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D:\D\CONG VIEC\Nam 2024\Cong khai\CONG KHAI DU TOAN 2024-GOI ANH NGHIA\"/>
    </mc:Choice>
  </mc:AlternateContent>
  <bookViews>
    <workbookView xWindow="-120" yWindow="-120" windowWidth="20640" windowHeight="11040" tabRatio="775" firstSheet="36" activeTab="36"/>
  </bookViews>
  <sheets>
    <sheet name="Biễu mẩu số 01-KTXH" sheetId="24" state="hidden" r:id="rId1"/>
    <sheet name="Biểu mẫu số 01-KTXH.1" sheetId="58" state="hidden" r:id="rId2"/>
    <sheet name="PL1.1" sheetId="59" state="hidden" r:id="rId3"/>
    <sheet name="PL2.1" sheetId="60" state="hidden" r:id="rId4"/>
    <sheet name="PL-TổngThu21-25" sheetId="18" state="hidden" r:id="rId5"/>
    <sheet name="PL-TổngChi21-25" sheetId="19" state="hidden" r:id="rId6"/>
    <sheet name="PL-CĐ21-25" sheetId="61" state="hidden" r:id="rId7"/>
    <sheet name="PL-NSTWBSGĐ" sheetId="20" state="hidden" r:id="rId8"/>
    <sheet name="PL-DP DU TRU" sheetId="21" state="hidden" r:id="rId9"/>
    <sheet name="PL QUYTCNGOAINS" sheetId="25" state="hidden" r:id="rId10"/>
    <sheet name="PL-CĐNAMTHEOTW" sheetId="26" state="hidden" r:id="rId11"/>
    <sheet name="PL-VAY TRA NO" sheetId="23" state="hidden" r:id="rId12"/>
    <sheet name="Biểu mẫu số 3" sheetId="22" state="hidden" r:id="rId13"/>
    <sheet name="Biểu mẫu số 04" sheetId="57" state="hidden" r:id="rId14"/>
    <sheet name="Biểu mẫu số 05" sheetId="62" state="hidden" r:id="rId15"/>
    <sheet name="PL-NSTWBSTRONGNAM" sheetId="27" state="hidden" r:id="rId16"/>
    <sheet name="PL-KHTC5NAM" sheetId="28" state="hidden" r:id="rId17"/>
    <sheet name="NC Tiền lương" sheetId="29" state="hidden" r:id="rId18"/>
    <sheet name="List danh mục" sheetId="63" state="hidden" r:id="rId19"/>
    <sheet name="Vốn ĐTC 2021-2025" sheetId="155" state="hidden" r:id="rId20"/>
    <sheet name="Dự toán Chi TW-ĐP" sheetId="31" state="hidden" r:id="rId21"/>
    <sheet name="PL-SosanhĐM" sheetId="32" state="hidden" r:id="rId22"/>
    <sheet name="PL-ĐP Xác định lại ĐM" sheetId="33" state="hidden" r:id="rId23"/>
    <sheet name="PL-TW Xác định lại ĐM" sheetId="34" state="hidden" r:id="rId24"/>
    <sheet name="PL-Định mức chi TX" sheetId="35" state="hidden" r:id="rId25"/>
    <sheet name="SO SANH-UTH2023-DT2024 (2)" sheetId="158" state="hidden" r:id="rId26"/>
    <sheet name="SO SANH (1) UTH2023-DT2024" sheetId="36" state="hidden" r:id="rId27"/>
    <sheet name="ThuNSNN2010-2025" sheetId="37" state="hidden" r:id="rId28"/>
    <sheet name="ChiNSĐP2010-2025" sheetId="38" state="hidden" r:id="rId29"/>
    <sheet name="CĐNS2023-2024 (2)" sheetId="157" state="hidden" r:id="rId30"/>
    <sheet name="CĐNS2023-2024" sheetId="30" state="hidden" r:id="rId31"/>
    <sheet name="Thu03nam" sheetId="40" state="hidden" r:id="rId32"/>
    <sheet name="ChiNSĐP03nam" sheetId="41" state="hidden" r:id="rId33"/>
    <sheet name="CĐ03nam" sheetId="39" state="hidden" r:id="rId34"/>
    <sheet name="CĐNSĐP03namBS" sheetId="42" state="hidden" r:id="rId35"/>
    <sheet name="CĐNSĐP03nam-BS" sheetId="114" state="hidden" r:id="rId36"/>
    <sheet name="Biểu số 54-CK-NSNN " sheetId="106" r:id="rId37"/>
    <sheet name="Biểu số 45-CK-NSNN-ĐT" sheetId="96" state="hidden" r:id="rId38"/>
    <sheet name="Biểu số 44-CK-NSNN" sheetId="171" state="hidden" r:id="rId39"/>
    <sheet name="Biểu số 43-CK-NSNN" sheetId="129" state="hidden" r:id="rId40"/>
    <sheet name="Biểu số 42-CK-NSNN" sheetId="162" state="hidden" r:id="rId41"/>
    <sheet name="Biểu số 41-CK-NSNN" sheetId="90" state="hidden" r:id="rId42"/>
    <sheet name="Biểu số 40-CK-NSNN" sheetId="161" state="hidden" r:id="rId43"/>
    <sheet name="Biểu số 39-CK-NSNN-ĐT" sheetId="91" state="hidden" r:id="rId44"/>
    <sheet name="Biểu số 38-CK-NSNN" sheetId="160" state="hidden" r:id="rId45"/>
    <sheet name="Biểu số 37-CK-NSNN" sheetId="86" state="hidden" r:id="rId46"/>
    <sheet name="Phụ lục 36-CK-NSNN" sheetId="123" state="hidden" r:id="rId47"/>
    <sheet name="Biểu số 35-CK-NSNN" sheetId="170" state="hidden" r:id="rId48"/>
    <sheet name="Biểu số 34-CK-NSNN" sheetId="85" state="hidden" r:id="rId49"/>
    <sheet name="Biểu số 33-CK-NSNN" sheetId="84" state="hidden" r:id="rId50"/>
    <sheet name="Sheet1" sheetId="172" state="hidden" r:id="rId51"/>
    <sheet name="Phụ lục số 1" sheetId="1" state="hidden" r:id="rId52"/>
    <sheet name="Phụ lục số 2" sheetId="2" state="hidden" r:id="rId53"/>
    <sheet name="Phụ lục số 3" sheetId="7" state="hidden" r:id="rId54"/>
    <sheet name="Phụ lục số 3.1" sheetId="8" state="hidden" r:id="rId55"/>
    <sheet name="Phụ lục số 3.2" sheetId="43" state="hidden" r:id="rId56"/>
    <sheet name="Phụ lục số 4" sheetId="11" state="hidden" r:id="rId57"/>
    <sheet name="Phụ lục số 5" sheetId="10" state="hidden" r:id="rId58"/>
    <sheet name="Phụ lục số 6" sheetId="12" state="hidden" r:id="rId59"/>
    <sheet name="Phụ lục số 7" sheetId="13" state="hidden" r:id="rId60"/>
    <sheet name="Phụ lục số 8" sheetId="14" state="hidden" r:id="rId61"/>
    <sheet name="PL Thuyet minh đất" sheetId="156" state="hidden" r:id="rId62"/>
    <sheet name="Phụ lục số 5.1 Thu" sheetId="15" state="hidden" r:id="rId63"/>
    <sheet name="Phụ lục 6.1 Chi" sheetId="16" state="hidden" r:id="rId64"/>
    <sheet name="Phụ lục 7.1-CĐH" sheetId="44" state="hidden" r:id="rId65"/>
    <sheet name="Phụ lục 7.2-CCTL" sheetId="45" state="hidden" r:id="rId66"/>
    <sheet name="Phụ lục 7.3-CĐCS" sheetId="47" state="hidden" r:id="rId67"/>
    <sheet name="Phụ lục 3.3-XSKT" sheetId="46" state="hidden" r:id="rId68"/>
    <sheet name="PL1-Thu6T" sheetId="65" state="hidden" r:id="rId69"/>
    <sheet name="PL2-Chi6T" sheetId="66" state="hidden" r:id="rId70"/>
    <sheet name="PL3-CĐ6Thang" sheetId="6" state="hidden" r:id="rId71"/>
    <sheet name="PL3-CĐ6Thang-KBS" sheetId="5" state="hidden" r:id="rId72"/>
    <sheet name="Phụ lục 1-HĐND" sheetId="48" state="hidden" r:id="rId73"/>
    <sheet name="Phụ lục 2-HĐND" sheetId="49" state="hidden" r:id="rId74"/>
    <sheet name="Phụ lục 3-HĐND" sheetId="50" state="hidden" r:id="rId75"/>
    <sheet name="Phụ lục 4-HĐND" sheetId="51" state="hidden" r:id="rId76"/>
    <sheet name="Phụ lục 5-HĐND" sheetId="52" state="hidden" r:id="rId77"/>
    <sheet name="Phụ lục 6-HĐND" sheetId="53" state="hidden" r:id="rId78"/>
    <sheet name="Phụ lục 7-HĐND" sheetId="54" state="hidden" r:id="rId79"/>
    <sheet name="Phụ lục 8-HĐND" sheetId="55" state="hidden" r:id="rId80"/>
    <sheet name="Phụ lục 9-HĐND" sheetId="56" state="hidden" r:id="rId81"/>
    <sheet name="Phụ lục 7.4 - 10%TK" sheetId="17" state="hidden" r:id="rId82"/>
    <sheet name="TỔNG CỘNG" sheetId="138" state="hidden" r:id="rId83"/>
    <sheet name="H. HỒNG NGỰ" sheetId="139" state="hidden" r:id="rId84"/>
    <sheet name="TP. HỒNG NGỰ" sheetId="140" state="hidden" r:id="rId85"/>
    <sheet name="H. TÂN HỒNG" sheetId="141" state="hidden" r:id="rId86"/>
    <sheet name="H. TAM NÔNG" sheetId="142" state="hidden" r:id="rId87"/>
    <sheet name="H. THANH BÌNH" sheetId="143" state="hidden" r:id="rId88"/>
    <sheet name="TP. CAO LÃNH" sheetId="144" state="hidden" r:id="rId89"/>
    <sheet name="H. CAO LÃNH" sheetId="145" state="hidden" r:id="rId90"/>
    <sheet name="H. THÁP MƯỜI" sheetId="146" state="hidden" r:id="rId91"/>
    <sheet name="H. LẤP VÒ" sheetId="147" state="hidden" r:id="rId92"/>
    <sheet name="H. LAI VUNG" sheetId="148" state="hidden" r:id="rId93"/>
    <sheet name="TP. SA ĐÉC" sheetId="149" state="hidden" r:id="rId94"/>
    <sheet name="H. CHÂU THÀNH" sheetId="150" state="hidden" r:id="rId95"/>
    <sheet name="Phụ lục 1-KQPB" sheetId="110" state="hidden" r:id="rId96"/>
    <sheet name="Phụ lục 2-KQPB" sheetId="111" state="hidden" r:id="rId97"/>
    <sheet name="Phụ lục 3-KQPB" sheetId="112" state="hidden" r:id="rId98"/>
    <sheet name="Phụ lục 4-KQPB" sheetId="113" state="hidden" r:id="rId99"/>
    <sheet name="Phụ lục 5-KQPB" sheetId="71" state="hidden" r:id="rId100"/>
    <sheet name="Phụ lục 1-CKNS" sheetId="115" state="hidden" r:id="rId101"/>
    <sheet name="Phụ lục 2-CKNS" sheetId="116" state="hidden" r:id="rId102"/>
    <sheet name="Phụ lục 3-CKNS" sheetId="117" state="hidden" r:id="rId103"/>
    <sheet name="Phụ lục 4-CKNS" sheetId="118" state="hidden" r:id="rId104"/>
    <sheet name="Phụ lục 5-CKNS" sheetId="159" state="hidden" r:id="rId105"/>
    <sheet name="Phụ lục 6-CKNS" sheetId="152" state="hidden" r:id="rId106"/>
    <sheet name="Phụ lục 7-CKNS" sheetId="153" state="hidden" r:id="rId107"/>
    <sheet name="Phụ lục 8-CKNS" sheetId="81" state="hidden" r:id="rId108"/>
    <sheet name="Phụ lục 9-CKNS" sheetId="82" state="hidden" r:id="rId109"/>
    <sheet name="Phụ lục 10-CKNS" sheetId="154" state="hidden" r:id="rId110"/>
    <sheet name="TỔNG HỢP-SNGD" sheetId="164" state="hidden" r:id="rId111"/>
    <sheet name="PL-Theo dõi ĐA-ĐU Địa phương" sheetId="72" state="hidden" r:id="rId112"/>
    <sheet name="PL-Theo dõi nguồn chưa PB" sheetId="73" state="hidden" r:id="rId113"/>
  </sheets>
  <externalReferences>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s>
  <definedNames>
    <definedName name="_xlnm.Print_Area" localSheetId="40">'Biểu số 42-CK-NSNN'!$A$1:$Y$22</definedName>
    <definedName name="_xlnm.Print_Area" localSheetId="38">'Biểu số 44-CK-NSNN'!$A$1:$E$37</definedName>
    <definedName name="_xlnm.Print_Area" localSheetId="33">CĐ03nam!$A$1:$H$47</definedName>
    <definedName name="_xlnm.Print_Area" localSheetId="30">'CĐNS2023-2024'!$A$1:$E$51</definedName>
    <definedName name="_xlnm.Print_Area" localSheetId="29">'CĐNS2023-2024 (2)'!$A$1:$H$55</definedName>
    <definedName name="_xlnm.Print_Area" localSheetId="34">CĐNSĐP03namBS!$A$1:$Q$46</definedName>
    <definedName name="_xlnm.Print_Area" localSheetId="35">'CĐNSĐP03nam-BS'!$A$1:$Q$45</definedName>
    <definedName name="_xlnm.Print_Area" localSheetId="32">ChiNSĐP03nam!$A$1:$Y$40</definedName>
    <definedName name="_xlnm.Print_Area" localSheetId="20">'Dự toán Chi TW-ĐP'!$A$1:$H$37</definedName>
    <definedName name="_xlnm.Print_Area" localSheetId="89">'H. CAO LÃNH'!$A$1:$C$132</definedName>
    <definedName name="_xlnm.Print_Area" localSheetId="94">'H. CHÂU THÀNH'!$A$1:$C$132</definedName>
    <definedName name="_xlnm.Print_Area" localSheetId="83">'H. HỒNG NGỰ'!$A$1:$C$132</definedName>
    <definedName name="_xlnm.Print_Area" localSheetId="92">'H. LAI VUNG'!$A$1:$C$132</definedName>
    <definedName name="_xlnm.Print_Area" localSheetId="91">'H. LẤP VÒ'!$A$1:$C$132</definedName>
    <definedName name="_xlnm.Print_Area" localSheetId="86">'H. TAM NÔNG'!$A$1:$C$132</definedName>
    <definedName name="_xlnm.Print_Area" localSheetId="85">'H. TÂN HỒNG'!$A$1:$C$132</definedName>
    <definedName name="_xlnm.Print_Area" localSheetId="87">'H. THANH BÌNH'!$A$1:$C$132</definedName>
    <definedName name="_xlnm.Print_Area" localSheetId="90">'H. THÁP MƯỜI'!$A$1:$C$132</definedName>
    <definedName name="_xlnm.Print_Area" localSheetId="109">'Phụ lục 10-CKNS'!$A$1:$E$37</definedName>
    <definedName name="_xlnm.Print_Area" localSheetId="100">'Phụ lục 1-CKNS'!$A$4:$C$45</definedName>
    <definedName name="_xlnm.Print_Area" localSheetId="72">'Phụ lục 1-HĐND'!$A$4:$C$46</definedName>
    <definedName name="_xlnm.Print_Area" localSheetId="95">'Phụ lục 1-KQPB'!$A$4:$C$46</definedName>
    <definedName name="_xlnm.Print_Area" localSheetId="101">'Phụ lục 2-CKNS'!$A$1:$C$52</definedName>
    <definedName name="_xlnm.Print_Area" localSheetId="73">'Phụ lục 2-HĐND'!$A$3:$C$50</definedName>
    <definedName name="_xlnm.Print_Area" localSheetId="96">'Phụ lục 2-KQPB'!$A$4:$C$39</definedName>
    <definedName name="_xlnm.Print_Area" localSheetId="46">'Phụ lục 36-CK-NSNN'!$A$1:$E$53</definedName>
    <definedName name="_xlnm.Print_Area" localSheetId="97">'Phụ lục 3-KQPB'!$A$4:$E$53</definedName>
    <definedName name="_xlnm.Print_Area" localSheetId="103">'Phụ lục 4-CKNS'!$A$4:$E$50</definedName>
    <definedName name="_xlnm.Print_Area" localSheetId="75">'Phụ lục 4-HĐND'!$A$1:$E$43</definedName>
    <definedName name="_xlnm.Print_Area" localSheetId="98">'Phụ lục 4-KQPB'!$A$1:$E$37</definedName>
    <definedName name="_xlnm.Print_Area" localSheetId="76">'Phụ lục 5-HĐND'!$A$1:$AO$44</definedName>
    <definedName name="_xlnm.Print_Area" localSheetId="99">'Phụ lục 5-KQPB'!$A$1:$F$36</definedName>
    <definedName name="_xlnm.Print_Area" localSheetId="105">'Phụ lục 6-CKNS'!$A$1:$E$37</definedName>
    <definedName name="_xlnm.Print_Area" localSheetId="106">'Phụ lục 7-CKNS'!$A$1:$Y$22</definedName>
    <definedName name="_xlnm.Print_Area" localSheetId="78">'Phụ lục 7-HĐND'!$A$1:$Y$22</definedName>
    <definedName name="_xlnm.Print_Area" localSheetId="79">'Phụ lục 8-HĐND'!$A$1:$E$37</definedName>
    <definedName name="_xlnm.Print_Area" localSheetId="51">'Phụ lục số 1'!$A$1:$AJ$61</definedName>
    <definedName name="_xlnm.Print_Area" localSheetId="52">'Phụ lục số 2'!$A$1:$AB$39</definedName>
    <definedName name="_xlnm.Print_Area" localSheetId="53">'Phụ lục số 3'!$A$1:$K$47</definedName>
    <definedName name="_xlnm.Print_Area" localSheetId="54">'Phụ lục số 3.1'!$A$1:$K$46</definedName>
    <definedName name="_xlnm.Print_Area" localSheetId="56">'Phụ lục số 4'!$A$1:$AE$118</definedName>
    <definedName name="_xlnm.Print_Area" localSheetId="57">'Phụ lục số 5'!$A$1:$AO$45</definedName>
    <definedName name="_xlnm.Print_Area" localSheetId="58">'Phụ lục số 6'!$A$1:$O$23</definedName>
    <definedName name="_xlnm.Print_Area" localSheetId="59">'Phụ lục số 7'!$A$1:$Y$22</definedName>
    <definedName name="_xlnm.Print_Area" localSheetId="60">'Phụ lục số 8'!$A$1:$E$37</definedName>
    <definedName name="_xlnm.Print_Area" localSheetId="61">'PL Thuyet minh đất'!$A$1:$L$21</definedName>
    <definedName name="_xlnm.Print_Area" localSheetId="70">'PL3-CĐ6Thang'!$A$1:$E$62</definedName>
    <definedName name="_xlnm.Print_Area" localSheetId="71">'PL3-CĐ6Thang-KBS'!$A$1:$E$62</definedName>
    <definedName name="_xlnm.Print_Area" localSheetId="8">'PL-DP DU TRU'!$A$1:$E$47</definedName>
    <definedName name="_xlnm.Print_Area" localSheetId="11">'PL-VAY TRA NO'!$A$1:$L$56</definedName>
    <definedName name="_xlnm.Print_Area" localSheetId="26">'SO SANH (1) UTH2023-DT2024'!$A$1:$AG$62</definedName>
    <definedName name="_xlnm.Print_Area" localSheetId="25">'SO SANH-UTH2023-DT2024 (2)'!$A$1:$Z$36</definedName>
    <definedName name="_xlnm.Print_Area" localSheetId="31">Thu03nam!$A$1:$AE$60</definedName>
    <definedName name="_xlnm.Print_Area" localSheetId="82">'TỔNG CỘNG'!$A$1:$C$132</definedName>
    <definedName name="_xlnm.Print_Area" localSheetId="110">'TỔNG HỢP-SNGD'!$A$1:$G$12</definedName>
    <definedName name="_xlnm.Print_Area" localSheetId="88">'TP. CAO LÃNH'!$A$1:$C$132</definedName>
    <definedName name="_xlnm.Print_Area" localSheetId="84">'TP. HỒNG NGỰ'!$A$1:$C$132</definedName>
    <definedName name="_xlnm.Print_Area" localSheetId="93">'TP. SA ĐÉC'!$A$1:$C$132</definedName>
    <definedName name="_xlnm.Print_Area" localSheetId="19">'Vốn ĐTC 2021-2025'!$A$1:$AG$36</definedName>
    <definedName name="_xlnm.Print_Titles" localSheetId="0">'Biễu mẩu số 01-KTXH'!$A:$B,'Biễu mẩu số 01-KTXH'!$4:$5</definedName>
    <definedName name="_xlnm.Print_Titles" localSheetId="45">'Biểu số 37-CK-NSNN'!$8:$10</definedName>
    <definedName name="_xlnm.Print_Titles" localSheetId="44">'Biểu số 38-CK-NSNN'!$A:$B,'Biểu số 38-CK-NSNN'!$1:$8</definedName>
    <definedName name="_xlnm.Print_Titles" localSheetId="43">'Biểu số 39-CK-NSNN-ĐT'!$6:$8</definedName>
    <definedName name="_xlnm.Print_Titles" localSheetId="42">'Biểu số 40-CK-NSNN'!$A:$B,'Biểu số 40-CK-NSNN'!$1:$8</definedName>
    <definedName name="_xlnm.Print_Titles" localSheetId="37">'Biểu số 45-CK-NSNN-ĐT'!$6:$9</definedName>
    <definedName name="_xlnm.Print_Titles" localSheetId="35">'CĐNSĐP03nam-BS'!$A:$B,'CĐNSĐP03nam-BS'!$1:$4</definedName>
    <definedName name="_xlnm.Print_Titles" localSheetId="32">ChiNSĐP03nam!$A:$B,ChiNSĐP03nam!$4:$6</definedName>
    <definedName name="_xlnm.Print_Titles" localSheetId="104">'Phụ lục 5-CKNS'!$A:$B,'Phụ lục 5-CKNS'!$1:$8</definedName>
    <definedName name="_xlnm.Print_Titles" localSheetId="76">'Phụ lục 5-HĐND'!$A:$B,'Phụ lục 5-HĐND'!$5:$6</definedName>
    <definedName name="_xlnm.Print_Titles" localSheetId="63">'Phụ lục 6.1 Chi'!$A:$B,'Phụ lục 6.1 Chi'!$4:$7</definedName>
    <definedName name="_xlnm.Print_Titles" localSheetId="66">'Phụ lục 7.3-CĐCS'!$A:$B,'Phụ lục 7.3-CĐCS'!$6:$8</definedName>
    <definedName name="_xlnm.Print_Titles" localSheetId="108">'Phụ lục 9-CKNS'!$5:$6</definedName>
    <definedName name="_xlnm.Print_Titles" localSheetId="80">'Phụ lục 9-HĐND'!$A:$B,'Phụ lục 9-HĐND'!$1:$8</definedName>
    <definedName name="_xlnm.Print_Titles" localSheetId="51">'Phụ lục số 1'!$A:$B,'Phụ lục số 1'!$3:$7</definedName>
    <definedName name="_xlnm.Print_Titles" localSheetId="52">'Phụ lục số 2'!$A:$B,'Phụ lục số 2'!$3:$6</definedName>
    <definedName name="_xlnm.Print_Titles" localSheetId="53">'Phụ lục số 3'!$A:$B,'Phụ lục số 3'!$1:$5</definedName>
    <definedName name="_xlnm.Print_Titles" localSheetId="54">'Phụ lục số 3.1'!$A:$B,'Phụ lục số 3.1'!$1:$5</definedName>
    <definedName name="_xlnm.Print_Titles" localSheetId="56">'Phụ lục số 4'!$5:$8</definedName>
    <definedName name="_xlnm.Print_Titles" localSheetId="57">'Phụ lục số 5'!$A:$B,'Phụ lục số 5'!$5:$6</definedName>
    <definedName name="_xlnm.Print_Titles" localSheetId="62">'Phụ lục số 5.1 Thu'!$A:$B,'Phụ lục số 5.1 Thu'!$4:$8</definedName>
    <definedName name="_xlnm.Print_Titles" localSheetId="70">'PL3-CĐ6Thang'!$3:$4</definedName>
    <definedName name="_xlnm.Print_Titles" localSheetId="71">'PL3-CĐ6Thang-KBS'!$3:$4</definedName>
    <definedName name="_xlnm.Print_Titles" localSheetId="11">'PL-VAY TRA NO'!$A:$B,'PL-VAY TRA NO'!$4:$5</definedName>
    <definedName name="_xlnm.Print_Titles" localSheetId="31">Thu03nam!$A:$B,Thu03nam!$4:$7</definedName>
    <definedName name="_xlnm.Print_Titles" localSheetId="19">'Vốn ĐTC 2021-2025'!$A:$B,'Vốn ĐTC 2021-2025'!$4:$6</definedName>
  </definedNames>
  <calcPr calcId="162913"/>
</workbook>
</file>

<file path=xl/calcChain.xml><?xml version="1.0" encoding="utf-8"?>
<calcChain xmlns="http://schemas.openxmlformats.org/spreadsheetml/2006/main">
  <c r="I40" i="91" l="1"/>
  <c r="C44" i="91"/>
  <c r="S525" i="96"/>
  <c r="S524" i="96"/>
  <c r="S523" i="96"/>
  <c r="S520" i="96" s="1"/>
  <c r="S522" i="96"/>
  <c r="S521" i="96"/>
  <c r="V520" i="96"/>
  <c r="U520" i="96"/>
  <c r="T520" i="96"/>
  <c r="S519" i="96"/>
  <c r="S518" i="96" s="1"/>
  <c r="S517" i="96" s="1"/>
  <c r="S516" i="96" s="1"/>
  <c r="S515" i="96" s="1"/>
  <c r="V518" i="96"/>
  <c r="U518" i="96"/>
  <c r="U517" i="96" s="1"/>
  <c r="U516" i="96" s="1"/>
  <c r="U515" i="96" s="1"/>
  <c r="T518" i="96"/>
  <c r="R518" i="96"/>
  <c r="R517" i="96" s="1"/>
  <c r="R516" i="96" s="1"/>
  <c r="R515" i="96" s="1"/>
  <c r="Q518" i="96"/>
  <c r="P518" i="96"/>
  <c r="O518" i="96"/>
  <c r="N518" i="96"/>
  <c r="M518" i="96"/>
  <c r="L518" i="96"/>
  <c r="L517" i="96" s="1"/>
  <c r="L516" i="96" s="1"/>
  <c r="L515" i="96" s="1"/>
  <c r="K518" i="96"/>
  <c r="K517" i="96" s="1"/>
  <c r="K516" i="96" s="1"/>
  <c r="K515" i="96" s="1"/>
  <c r="J518" i="96"/>
  <c r="I518" i="96"/>
  <c r="I517" i="96" s="1"/>
  <c r="I516" i="96" s="1"/>
  <c r="I515" i="96" s="1"/>
  <c r="H518" i="96"/>
  <c r="G518" i="96"/>
  <c r="G517" i="96" s="1"/>
  <c r="G516" i="96" s="1"/>
  <c r="G515" i="96" s="1"/>
  <c r="V517" i="96"/>
  <c r="V516" i="96" s="1"/>
  <c r="V515" i="96" s="1"/>
  <c r="T517" i="96"/>
  <c r="Q517" i="96"/>
  <c r="P517" i="96"/>
  <c r="P516" i="96" s="1"/>
  <c r="P515" i="96" s="1"/>
  <c r="O517" i="96"/>
  <c r="O516" i="96" s="1"/>
  <c r="O515" i="96" s="1"/>
  <c r="N517" i="96"/>
  <c r="M517" i="96"/>
  <c r="M516" i="96" s="1"/>
  <c r="M515" i="96" s="1"/>
  <c r="J517" i="96"/>
  <c r="J516" i="96" s="1"/>
  <c r="J515" i="96" s="1"/>
  <c r="H517" i="96"/>
  <c r="T516" i="96"/>
  <c r="T515" i="96" s="1"/>
  <c r="Q516" i="96"/>
  <c r="Q515" i="96" s="1"/>
  <c r="N516" i="96"/>
  <c r="N515" i="96" s="1"/>
  <c r="H516" i="96"/>
  <c r="H515" i="96" s="1"/>
  <c r="V512" i="96"/>
  <c r="V511" i="96" s="1"/>
  <c r="V510" i="96" s="1"/>
  <c r="U512" i="96"/>
  <c r="T512" i="96"/>
  <c r="S512" i="96"/>
  <c r="R512" i="96"/>
  <c r="Q512" i="96"/>
  <c r="P512" i="96"/>
  <c r="P511" i="96" s="1"/>
  <c r="P510" i="96" s="1"/>
  <c r="O512" i="96"/>
  <c r="O511" i="96" s="1"/>
  <c r="O510" i="96" s="1"/>
  <c r="N512" i="96"/>
  <c r="M512" i="96"/>
  <c r="M511" i="96" s="1"/>
  <c r="M510" i="96" s="1"/>
  <c r="L512" i="96"/>
  <c r="K512" i="96"/>
  <c r="K511" i="96" s="1"/>
  <c r="K510" i="96" s="1"/>
  <c r="J512" i="96"/>
  <c r="J511" i="96" s="1"/>
  <c r="J510" i="96" s="1"/>
  <c r="I512" i="96"/>
  <c r="H512" i="96"/>
  <c r="G512" i="96"/>
  <c r="U511" i="96"/>
  <c r="T511" i="96"/>
  <c r="T510" i="96" s="1"/>
  <c r="S511" i="96"/>
  <c r="S510" i="96" s="1"/>
  <c r="R511" i="96"/>
  <c r="Q511" i="96"/>
  <c r="Q510" i="96" s="1"/>
  <c r="N511" i="96"/>
  <c r="N510" i="96" s="1"/>
  <c r="L511" i="96"/>
  <c r="I511" i="96"/>
  <c r="H511" i="96"/>
  <c r="H510" i="96" s="1"/>
  <c r="G511" i="96"/>
  <c r="G510" i="96" s="1"/>
  <c r="U510" i="96"/>
  <c r="R510" i="96"/>
  <c r="L510" i="96"/>
  <c r="I510" i="96"/>
  <c r="V508" i="96"/>
  <c r="V507" i="96" s="1"/>
  <c r="V506" i="96" s="1"/>
  <c r="U508" i="96"/>
  <c r="T508" i="96"/>
  <c r="S508" i="96"/>
  <c r="R508" i="96"/>
  <c r="Q508" i="96"/>
  <c r="P508" i="96"/>
  <c r="O508" i="96"/>
  <c r="O507" i="96" s="1"/>
  <c r="O506" i="96" s="1"/>
  <c r="N508" i="96"/>
  <c r="M508" i="96"/>
  <c r="M507" i="96" s="1"/>
  <c r="M506" i="96" s="1"/>
  <c r="L508" i="96"/>
  <c r="K508" i="96"/>
  <c r="J508" i="96"/>
  <c r="J507" i="96" s="1"/>
  <c r="J506" i="96" s="1"/>
  <c r="I508" i="96"/>
  <c r="H508" i="96"/>
  <c r="G508" i="96"/>
  <c r="U507" i="96"/>
  <c r="T507" i="96"/>
  <c r="S507" i="96"/>
  <c r="S506" i="96" s="1"/>
  <c r="R507" i="96"/>
  <c r="Q507" i="96"/>
  <c r="Q506" i="96" s="1"/>
  <c r="P507" i="96"/>
  <c r="N507" i="96"/>
  <c r="N506" i="96" s="1"/>
  <c r="L507" i="96"/>
  <c r="K507" i="96"/>
  <c r="I507" i="96"/>
  <c r="H507" i="96"/>
  <c r="G507" i="96"/>
  <c r="G506" i="96" s="1"/>
  <c r="U506" i="96"/>
  <c r="T506" i="96"/>
  <c r="R506" i="96"/>
  <c r="P506" i="96"/>
  <c r="L506" i="96"/>
  <c r="K506" i="96"/>
  <c r="I506" i="96"/>
  <c r="H506" i="96"/>
  <c r="S505" i="96"/>
  <c r="S504" i="96" s="1"/>
  <c r="S503" i="96" s="1"/>
  <c r="S502" i="96" s="1"/>
  <c r="O505" i="96"/>
  <c r="O504" i="96" s="1"/>
  <c r="O503" i="96" s="1"/>
  <c r="O502" i="96" s="1"/>
  <c r="K505" i="96"/>
  <c r="V504" i="96"/>
  <c r="U504" i="96"/>
  <c r="T504" i="96"/>
  <c r="R504" i="96"/>
  <c r="Q504" i="96"/>
  <c r="P504" i="96"/>
  <c r="P503" i="96" s="1"/>
  <c r="P502" i="96" s="1"/>
  <c r="N504" i="96"/>
  <c r="M504" i="96"/>
  <c r="M503" i="96" s="1"/>
  <c r="M502" i="96" s="1"/>
  <c r="L504" i="96"/>
  <c r="K504" i="96"/>
  <c r="K503" i="96" s="1"/>
  <c r="K502" i="96" s="1"/>
  <c r="J504" i="96"/>
  <c r="I504" i="96"/>
  <c r="H504" i="96"/>
  <c r="G504" i="96"/>
  <c r="V503" i="96"/>
  <c r="U503" i="96"/>
  <c r="T503" i="96"/>
  <c r="T502" i="96" s="1"/>
  <c r="R503" i="96"/>
  <c r="Q503" i="96"/>
  <c r="Q502" i="96" s="1"/>
  <c r="N503" i="96"/>
  <c r="L503" i="96"/>
  <c r="J503" i="96"/>
  <c r="I503" i="96"/>
  <c r="H503" i="96"/>
  <c r="H502" i="96" s="1"/>
  <c r="H490" i="96" s="1"/>
  <c r="G503" i="96"/>
  <c r="V502" i="96"/>
  <c r="U502" i="96"/>
  <c r="R502" i="96"/>
  <c r="N502" i="96"/>
  <c r="L502" i="96"/>
  <c r="J502" i="96"/>
  <c r="I502" i="96"/>
  <c r="G502" i="96"/>
  <c r="K501" i="96"/>
  <c r="V500" i="96"/>
  <c r="U500" i="96"/>
  <c r="T500" i="96"/>
  <c r="S500" i="96"/>
  <c r="R500" i="96"/>
  <c r="Q500" i="96"/>
  <c r="Q499" i="96" s="1"/>
  <c r="Q498" i="96" s="1"/>
  <c r="P500" i="96"/>
  <c r="O500" i="96"/>
  <c r="N500" i="96"/>
  <c r="N499" i="96" s="1"/>
  <c r="N498" i="96" s="1"/>
  <c r="M500" i="96"/>
  <c r="L500" i="96"/>
  <c r="L499" i="96" s="1"/>
  <c r="L498" i="96" s="1"/>
  <c r="L490" i="96" s="1"/>
  <c r="K500" i="96"/>
  <c r="K499" i="96" s="1"/>
  <c r="K498" i="96" s="1"/>
  <c r="K490" i="96" s="1"/>
  <c r="J500" i="96"/>
  <c r="I500" i="96"/>
  <c r="H500" i="96"/>
  <c r="G500" i="96"/>
  <c r="V499" i="96"/>
  <c r="U499" i="96"/>
  <c r="U498" i="96" s="1"/>
  <c r="T499" i="96"/>
  <c r="S499" i="96"/>
  <c r="R499" i="96"/>
  <c r="R498" i="96" s="1"/>
  <c r="P499" i="96"/>
  <c r="P498" i="96" s="1"/>
  <c r="O499" i="96"/>
  <c r="O498" i="96" s="1"/>
  <c r="M499" i="96"/>
  <c r="J499" i="96"/>
  <c r="I499" i="96"/>
  <c r="I498" i="96" s="1"/>
  <c r="H499" i="96"/>
  <c r="G499" i="96"/>
  <c r="V498" i="96"/>
  <c r="T498" i="96"/>
  <c r="S498" i="96"/>
  <c r="M498" i="96"/>
  <c r="J498" i="96"/>
  <c r="H498" i="96"/>
  <c r="G498" i="96"/>
  <c r="V496" i="96"/>
  <c r="U496" i="96"/>
  <c r="T496" i="96"/>
  <c r="S496" i="96"/>
  <c r="R496" i="96"/>
  <c r="Q496" i="96"/>
  <c r="Q495" i="96" s="1"/>
  <c r="Q494" i="96" s="1"/>
  <c r="P496" i="96"/>
  <c r="O496" i="96"/>
  <c r="N496" i="96"/>
  <c r="N495" i="96" s="1"/>
  <c r="N494" i="96" s="1"/>
  <c r="M496" i="96"/>
  <c r="L496" i="96"/>
  <c r="K496" i="96"/>
  <c r="J496" i="96"/>
  <c r="I496" i="96"/>
  <c r="H496" i="96"/>
  <c r="G496" i="96"/>
  <c r="V495" i="96"/>
  <c r="U495" i="96"/>
  <c r="U494" i="96" s="1"/>
  <c r="U490" i="96" s="1"/>
  <c r="T495" i="96"/>
  <c r="S495" i="96"/>
  <c r="R495" i="96"/>
  <c r="R494" i="96" s="1"/>
  <c r="P495" i="96"/>
  <c r="O495" i="96"/>
  <c r="M495" i="96"/>
  <c r="L495" i="96"/>
  <c r="K495" i="96"/>
  <c r="J495" i="96"/>
  <c r="I495" i="96"/>
  <c r="I494" i="96" s="1"/>
  <c r="H495" i="96"/>
  <c r="G495" i="96"/>
  <c r="V494" i="96"/>
  <c r="T494" i="96"/>
  <c r="S494" i="96"/>
  <c r="P494" i="96"/>
  <c r="O494" i="96"/>
  <c r="M494" i="96"/>
  <c r="M490" i="96" s="1"/>
  <c r="L494" i="96"/>
  <c r="K494" i="96"/>
  <c r="J494" i="96"/>
  <c r="J490" i="96" s="1"/>
  <c r="H494" i="96"/>
  <c r="G494" i="96"/>
  <c r="S493" i="96"/>
  <c r="O493" i="96"/>
  <c r="O492" i="96" s="1"/>
  <c r="O491" i="96" s="1"/>
  <c r="J493" i="96"/>
  <c r="G493" i="96"/>
  <c r="G492" i="96" s="1"/>
  <c r="G491" i="96" s="1"/>
  <c r="V492" i="96"/>
  <c r="S492" i="96"/>
  <c r="S491" i="96" s="1"/>
  <c r="R492" i="96"/>
  <c r="N492" i="96"/>
  <c r="K492" i="96"/>
  <c r="J492" i="96"/>
  <c r="V491" i="96"/>
  <c r="U491" i="96"/>
  <c r="T491" i="96"/>
  <c r="R491" i="96"/>
  <c r="Q491" i="96"/>
  <c r="P491" i="96"/>
  <c r="N491" i="96"/>
  <c r="N490" i="96" s="1"/>
  <c r="M491" i="96"/>
  <c r="L491" i="96"/>
  <c r="K491" i="96"/>
  <c r="J491" i="96"/>
  <c r="I491" i="96"/>
  <c r="H491" i="96"/>
  <c r="S489" i="96"/>
  <c r="O489" i="96"/>
  <c r="V488" i="96"/>
  <c r="U488" i="96"/>
  <c r="T488" i="96"/>
  <c r="S488" i="96"/>
  <c r="R488" i="96"/>
  <c r="Q488" i="96"/>
  <c r="P488" i="96"/>
  <c r="O488" i="96"/>
  <c r="O487" i="96" s="1"/>
  <c r="O486" i="96" s="1"/>
  <c r="N488" i="96"/>
  <c r="M488" i="96"/>
  <c r="L488" i="96"/>
  <c r="L487" i="96" s="1"/>
  <c r="L486" i="96" s="1"/>
  <c r="K488" i="96"/>
  <c r="J488" i="96"/>
  <c r="I488" i="96"/>
  <c r="H488" i="96"/>
  <c r="G488" i="96"/>
  <c r="V487" i="96"/>
  <c r="U487" i="96"/>
  <c r="T487" i="96"/>
  <c r="S487" i="96"/>
  <c r="S486" i="96" s="1"/>
  <c r="R487" i="96"/>
  <c r="Q487" i="96"/>
  <c r="P487" i="96"/>
  <c r="P486" i="96" s="1"/>
  <c r="N487" i="96"/>
  <c r="M487" i="96"/>
  <c r="K487" i="96"/>
  <c r="J487" i="96"/>
  <c r="I487" i="96"/>
  <c r="H487" i="96"/>
  <c r="G487" i="96"/>
  <c r="G486" i="96" s="1"/>
  <c r="V486" i="96"/>
  <c r="U486" i="96"/>
  <c r="T486" i="96"/>
  <c r="R486" i="96"/>
  <c r="Q486" i="96"/>
  <c r="N486" i="96"/>
  <c r="M486" i="96"/>
  <c r="K486" i="96"/>
  <c r="J486" i="96"/>
  <c r="I486" i="96"/>
  <c r="H486" i="96"/>
  <c r="S485" i="96"/>
  <c r="O485" i="96"/>
  <c r="K485" i="96"/>
  <c r="S484" i="96"/>
  <c r="O484" i="96"/>
  <c r="K484" i="96"/>
  <c r="S483" i="96"/>
  <c r="S482" i="96" s="1"/>
  <c r="S481" i="96" s="1"/>
  <c r="S480" i="96" s="1"/>
  <c r="O483" i="96"/>
  <c r="O482" i="96" s="1"/>
  <c r="O481" i="96" s="1"/>
  <c r="O480" i="96" s="1"/>
  <c r="K483" i="96"/>
  <c r="V482" i="96"/>
  <c r="U482" i="96"/>
  <c r="U481" i="96" s="1"/>
  <c r="U480" i="96" s="1"/>
  <c r="T482" i="96"/>
  <c r="R482" i="96"/>
  <c r="Q482" i="96"/>
  <c r="P482" i="96"/>
  <c r="N482" i="96"/>
  <c r="M482" i="96"/>
  <c r="L482" i="96"/>
  <c r="L481" i="96" s="1"/>
  <c r="L480" i="96" s="1"/>
  <c r="K482" i="96"/>
  <c r="J482" i="96"/>
  <c r="I482" i="96"/>
  <c r="I481" i="96" s="1"/>
  <c r="I480" i="96" s="1"/>
  <c r="H482" i="96"/>
  <c r="G482" i="96"/>
  <c r="G481" i="96" s="1"/>
  <c r="G480" i="96" s="1"/>
  <c r="V481" i="96"/>
  <c r="T481" i="96"/>
  <c r="R481" i="96"/>
  <c r="Q481" i="96"/>
  <c r="P481" i="96"/>
  <c r="P480" i="96" s="1"/>
  <c r="N481" i="96"/>
  <c r="M481" i="96"/>
  <c r="M480" i="96" s="1"/>
  <c r="K481" i="96"/>
  <c r="J481" i="96"/>
  <c r="H481" i="96"/>
  <c r="V480" i="96"/>
  <c r="T480" i="96"/>
  <c r="R480" i="96"/>
  <c r="Q480" i="96"/>
  <c r="N480" i="96"/>
  <c r="K480" i="96"/>
  <c r="J480" i="96"/>
  <c r="H480" i="96"/>
  <c r="V477" i="96"/>
  <c r="U477" i="96"/>
  <c r="U476" i="96" s="1"/>
  <c r="U475" i="96" s="1"/>
  <c r="T477" i="96"/>
  <c r="S477" i="96"/>
  <c r="R477" i="96"/>
  <c r="Q477" i="96"/>
  <c r="P477" i="96"/>
  <c r="O477" i="96"/>
  <c r="N477" i="96"/>
  <c r="M477" i="96"/>
  <c r="L477" i="96"/>
  <c r="L476" i="96" s="1"/>
  <c r="L475" i="96" s="1"/>
  <c r="K477" i="96"/>
  <c r="J477" i="96"/>
  <c r="I477" i="96"/>
  <c r="I476" i="96" s="1"/>
  <c r="I475" i="96" s="1"/>
  <c r="H477" i="96"/>
  <c r="G477" i="96"/>
  <c r="V476" i="96"/>
  <c r="T476" i="96"/>
  <c r="S476" i="96"/>
  <c r="R476" i="96"/>
  <c r="Q476" i="96"/>
  <c r="P476" i="96"/>
  <c r="P475" i="96" s="1"/>
  <c r="O476" i="96"/>
  <c r="N476" i="96"/>
  <c r="M476" i="96"/>
  <c r="M475" i="96" s="1"/>
  <c r="K476" i="96"/>
  <c r="J476" i="96"/>
  <c r="H476" i="96"/>
  <c r="G476" i="96"/>
  <c r="V475" i="96"/>
  <c r="T475" i="96"/>
  <c r="S475" i="96"/>
  <c r="R475" i="96"/>
  <c r="Q475" i="96"/>
  <c r="O475" i="96"/>
  <c r="N475" i="96"/>
  <c r="K475" i="96"/>
  <c r="J475" i="96"/>
  <c r="H475" i="96"/>
  <c r="G475" i="96"/>
  <c r="S474" i="96"/>
  <c r="O474" i="96"/>
  <c r="G474" i="96"/>
  <c r="S473" i="96"/>
  <c r="O473" i="96"/>
  <c r="G473" i="96"/>
  <c r="S472" i="96"/>
  <c r="O472" i="96"/>
  <c r="G472" i="96"/>
  <c r="S471" i="96"/>
  <c r="O471" i="96"/>
  <c r="G471" i="96"/>
  <c r="S470" i="96"/>
  <c r="O470" i="96"/>
  <c r="G470" i="96"/>
  <c r="S469" i="96"/>
  <c r="O469" i="96"/>
  <c r="K469" i="96"/>
  <c r="G469" i="96"/>
  <c r="S468" i="96"/>
  <c r="O468" i="96"/>
  <c r="K468" i="96"/>
  <c r="G468" i="96"/>
  <c r="G466" i="96" s="1"/>
  <c r="G465" i="96" s="1"/>
  <c r="G464" i="96" s="1"/>
  <c r="S467" i="96"/>
  <c r="O467" i="96"/>
  <c r="K467" i="96"/>
  <c r="K466" i="96" s="1"/>
  <c r="K465" i="96" s="1"/>
  <c r="G467" i="96"/>
  <c r="V466" i="96"/>
  <c r="U466" i="96"/>
  <c r="T466" i="96"/>
  <c r="S466" i="96"/>
  <c r="R466" i="96"/>
  <c r="Q466" i="96"/>
  <c r="P466" i="96"/>
  <c r="O466" i="96"/>
  <c r="O465" i="96" s="1"/>
  <c r="O464" i="96" s="1"/>
  <c r="N466" i="96"/>
  <c r="M466" i="96"/>
  <c r="L466" i="96"/>
  <c r="L465" i="96" s="1"/>
  <c r="L464" i="96" s="1"/>
  <c r="J466" i="96"/>
  <c r="I466" i="96"/>
  <c r="H466" i="96"/>
  <c r="V465" i="96"/>
  <c r="U465" i="96"/>
  <c r="T465" i="96"/>
  <c r="S465" i="96"/>
  <c r="S464" i="96" s="1"/>
  <c r="R465" i="96"/>
  <c r="Q465" i="96"/>
  <c r="P465" i="96"/>
  <c r="P464" i="96" s="1"/>
  <c r="N465" i="96"/>
  <c r="M465" i="96"/>
  <c r="J465" i="96"/>
  <c r="I465" i="96"/>
  <c r="H465" i="96"/>
  <c r="V464" i="96"/>
  <c r="U464" i="96"/>
  <c r="T464" i="96"/>
  <c r="R464" i="96"/>
  <c r="Q464" i="96"/>
  <c r="N464" i="96"/>
  <c r="M464" i="96"/>
  <c r="K464" i="96"/>
  <c r="J464" i="96"/>
  <c r="I464" i="96"/>
  <c r="H464" i="96"/>
  <c r="V463" i="96"/>
  <c r="S463" i="96"/>
  <c r="S462" i="96" s="1"/>
  <c r="S461" i="96" s="1"/>
  <c r="S460" i="96" s="1"/>
  <c r="O463" i="96"/>
  <c r="K463" i="96"/>
  <c r="K462" i="96" s="1"/>
  <c r="K461" i="96" s="1"/>
  <c r="K460" i="96" s="1"/>
  <c r="J463" i="96"/>
  <c r="V462" i="96"/>
  <c r="U462" i="96"/>
  <c r="T462" i="96"/>
  <c r="T461" i="96" s="1"/>
  <c r="T460" i="96" s="1"/>
  <c r="R462" i="96"/>
  <c r="Q462" i="96"/>
  <c r="Q461" i="96" s="1"/>
  <c r="Q460" i="96" s="1"/>
  <c r="P462" i="96"/>
  <c r="O462" i="96"/>
  <c r="N462" i="96"/>
  <c r="M462" i="96"/>
  <c r="L462" i="96"/>
  <c r="J462" i="96"/>
  <c r="I462" i="96"/>
  <c r="H462" i="96"/>
  <c r="H461" i="96" s="1"/>
  <c r="H460" i="96" s="1"/>
  <c r="G462" i="96"/>
  <c r="V461" i="96"/>
  <c r="U461" i="96"/>
  <c r="U460" i="96" s="1"/>
  <c r="R461" i="96"/>
  <c r="P461" i="96"/>
  <c r="O461" i="96"/>
  <c r="N461" i="96"/>
  <c r="M461" i="96"/>
  <c r="L461" i="96"/>
  <c r="L460" i="96" s="1"/>
  <c r="J461" i="96"/>
  <c r="I461" i="96"/>
  <c r="I460" i="96" s="1"/>
  <c r="G461" i="96"/>
  <c r="V460" i="96"/>
  <c r="R460" i="96"/>
  <c r="P460" i="96"/>
  <c r="O460" i="96"/>
  <c r="N460" i="96"/>
  <c r="M460" i="96"/>
  <c r="J460" i="96"/>
  <c r="G460" i="96"/>
  <c r="S459" i="96"/>
  <c r="O459" i="96"/>
  <c r="N459" i="96"/>
  <c r="K459" i="96" s="1"/>
  <c r="G459" i="96"/>
  <c r="S458" i="96"/>
  <c r="O458" i="96"/>
  <c r="N458" i="96"/>
  <c r="K458" i="96"/>
  <c r="G458" i="96"/>
  <c r="S457" i="96"/>
  <c r="O457" i="96"/>
  <c r="N457" i="96"/>
  <c r="K457" i="96" s="1"/>
  <c r="G457" i="96"/>
  <c r="G455" i="96" s="1"/>
  <c r="G454" i="96" s="1"/>
  <c r="G453" i="96" s="1"/>
  <c r="S456" i="96"/>
  <c r="S455" i="96" s="1"/>
  <c r="S454" i="96" s="1"/>
  <c r="S453" i="96" s="1"/>
  <c r="O456" i="96"/>
  <c r="N456" i="96"/>
  <c r="N455" i="96" s="1"/>
  <c r="N454" i="96" s="1"/>
  <c r="N453" i="96" s="1"/>
  <c r="G456" i="96"/>
  <c r="V455" i="96"/>
  <c r="U455" i="96"/>
  <c r="T455" i="96"/>
  <c r="R455" i="96"/>
  <c r="Q455" i="96"/>
  <c r="P455" i="96"/>
  <c r="P454" i="96" s="1"/>
  <c r="P453" i="96" s="1"/>
  <c r="O455" i="96"/>
  <c r="M455" i="96"/>
  <c r="M454" i="96" s="1"/>
  <c r="M453" i="96" s="1"/>
  <c r="L455" i="96"/>
  <c r="J455" i="96"/>
  <c r="I455" i="96"/>
  <c r="H455" i="96"/>
  <c r="V454" i="96"/>
  <c r="U454" i="96"/>
  <c r="T454" i="96"/>
  <c r="T453" i="96" s="1"/>
  <c r="R454" i="96"/>
  <c r="Q454" i="96"/>
  <c r="Q453" i="96" s="1"/>
  <c r="O454" i="96"/>
  <c r="L454" i="96"/>
  <c r="J454" i="96"/>
  <c r="I454" i="96"/>
  <c r="H454" i="96"/>
  <c r="H453" i="96" s="1"/>
  <c r="V453" i="96"/>
  <c r="U453" i="96"/>
  <c r="R453" i="96"/>
  <c r="O453" i="96"/>
  <c r="L453" i="96"/>
  <c r="J453" i="96"/>
  <c r="I453" i="96"/>
  <c r="O452" i="96"/>
  <c r="K452" i="96"/>
  <c r="V451" i="96"/>
  <c r="V448" i="96" s="1"/>
  <c r="V447" i="96" s="1"/>
  <c r="V446" i="96" s="1"/>
  <c r="O451" i="96"/>
  <c r="K451" i="96"/>
  <c r="O450" i="96"/>
  <c r="O448" i="96" s="1"/>
  <c r="O447" i="96" s="1"/>
  <c r="O446" i="96" s="1"/>
  <c r="K450" i="96"/>
  <c r="S449" i="96"/>
  <c r="O449" i="96"/>
  <c r="K449" i="96"/>
  <c r="U448" i="96"/>
  <c r="T448" i="96"/>
  <c r="R448" i="96"/>
  <c r="Q448" i="96"/>
  <c r="P448" i="96"/>
  <c r="N448" i="96"/>
  <c r="M448" i="96"/>
  <c r="L448" i="96"/>
  <c r="L447" i="96" s="1"/>
  <c r="L446" i="96" s="1"/>
  <c r="K448" i="96"/>
  <c r="J448" i="96"/>
  <c r="I448" i="96"/>
  <c r="H448" i="96"/>
  <c r="G448" i="96"/>
  <c r="U447" i="96"/>
  <c r="T447" i="96"/>
  <c r="R447" i="96"/>
  <c r="R446" i="96" s="1"/>
  <c r="Q447" i="96"/>
  <c r="P447" i="96"/>
  <c r="P446" i="96" s="1"/>
  <c r="N447" i="96"/>
  <c r="M447" i="96"/>
  <c r="K447" i="96"/>
  <c r="J447" i="96"/>
  <c r="I447" i="96"/>
  <c r="H447" i="96"/>
  <c r="G447" i="96"/>
  <c r="G446" i="96" s="1"/>
  <c r="U446" i="96"/>
  <c r="T446" i="96"/>
  <c r="Q446" i="96"/>
  <c r="N446" i="96"/>
  <c r="M446" i="96"/>
  <c r="K446" i="96"/>
  <c r="J446" i="96"/>
  <c r="I446" i="96"/>
  <c r="H446" i="96"/>
  <c r="S445" i="96"/>
  <c r="O445" i="96"/>
  <c r="K445" i="96"/>
  <c r="J445" i="96"/>
  <c r="S444" i="96"/>
  <c r="O444" i="96"/>
  <c r="K444" i="96"/>
  <c r="J444" i="96"/>
  <c r="J443" i="96" s="1"/>
  <c r="J442" i="96" s="1"/>
  <c r="J441" i="96" s="1"/>
  <c r="V443" i="96"/>
  <c r="U443" i="96"/>
  <c r="T443" i="96"/>
  <c r="S443" i="96"/>
  <c r="R443" i="96"/>
  <c r="Q443" i="96"/>
  <c r="P443" i="96"/>
  <c r="O443" i="96"/>
  <c r="N443" i="96"/>
  <c r="M443" i="96"/>
  <c r="L443" i="96"/>
  <c r="K443" i="96"/>
  <c r="K442" i="96" s="1"/>
  <c r="K441" i="96" s="1"/>
  <c r="I443" i="96"/>
  <c r="H443" i="96"/>
  <c r="H442" i="96" s="1"/>
  <c r="H441" i="96" s="1"/>
  <c r="G443" i="96"/>
  <c r="V442" i="96"/>
  <c r="U442" i="96"/>
  <c r="T442" i="96"/>
  <c r="S442" i="96"/>
  <c r="R442" i="96"/>
  <c r="Q442" i="96"/>
  <c r="P442" i="96"/>
  <c r="O442" i="96"/>
  <c r="O441" i="96" s="1"/>
  <c r="N442" i="96"/>
  <c r="N441" i="96" s="1"/>
  <c r="M442" i="96"/>
  <c r="L442" i="96"/>
  <c r="L441" i="96" s="1"/>
  <c r="I442" i="96"/>
  <c r="G442" i="96"/>
  <c r="V441" i="96"/>
  <c r="U441" i="96"/>
  <c r="T441" i="96"/>
  <c r="S441" i="96"/>
  <c r="R441" i="96"/>
  <c r="Q441" i="96"/>
  <c r="P441" i="96"/>
  <c r="M441" i="96"/>
  <c r="I441" i="96"/>
  <c r="G441" i="96"/>
  <c r="K440" i="96"/>
  <c r="V439" i="96"/>
  <c r="U439" i="96"/>
  <c r="T439" i="96"/>
  <c r="S439" i="96"/>
  <c r="R439" i="96"/>
  <c r="Q439" i="96"/>
  <c r="Q438" i="96" s="1"/>
  <c r="Q437" i="96" s="1"/>
  <c r="P439" i="96"/>
  <c r="O439" i="96"/>
  <c r="N439" i="96"/>
  <c r="M439" i="96"/>
  <c r="L439" i="96"/>
  <c r="L438" i="96" s="1"/>
  <c r="L437" i="96" s="1"/>
  <c r="K439" i="96"/>
  <c r="K438" i="96" s="1"/>
  <c r="K437" i="96" s="1"/>
  <c r="J439" i="96"/>
  <c r="I439" i="96"/>
  <c r="H439" i="96"/>
  <c r="G439" i="96"/>
  <c r="V438" i="96"/>
  <c r="U438" i="96"/>
  <c r="U437" i="96" s="1"/>
  <c r="T438" i="96"/>
  <c r="S438" i="96"/>
  <c r="R438" i="96"/>
  <c r="P438" i="96"/>
  <c r="P437" i="96" s="1"/>
  <c r="O438" i="96"/>
  <c r="O437" i="96" s="1"/>
  <c r="N438" i="96"/>
  <c r="M438" i="96"/>
  <c r="J438" i="96"/>
  <c r="I438" i="96"/>
  <c r="I437" i="96" s="1"/>
  <c r="H438" i="96"/>
  <c r="G438" i="96"/>
  <c r="V437" i="96"/>
  <c r="T437" i="96"/>
  <c r="S437" i="96"/>
  <c r="R437" i="96"/>
  <c r="N437" i="96"/>
  <c r="M437" i="96"/>
  <c r="J437" i="96"/>
  <c r="H437" i="96"/>
  <c r="H422" i="96" s="1"/>
  <c r="G437" i="96"/>
  <c r="S436" i="96"/>
  <c r="S434" i="96" s="1"/>
  <c r="S433" i="96" s="1"/>
  <c r="S432" i="96" s="1"/>
  <c r="O436" i="96"/>
  <c r="K436" i="96"/>
  <c r="S435" i="96"/>
  <c r="O435" i="96"/>
  <c r="K435" i="96"/>
  <c r="V434" i="96"/>
  <c r="U434" i="96"/>
  <c r="T434" i="96"/>
  <c r="R434" i="96"/>
  <c r="R433" i="96" s="1"/>
  <c r="R432" i="96" s="1"/>
  <c r="Q434" i="96"/>
  <c r="Q433" i="96" s="1"/>
  <c r="Q432" i="96" s="1"/>
  <c r="P434" i="96"/>
  <c r="O434" i="96"/>
  <c r="N434" i="96"/>
  <c r="M434" i="96"/>
  <c r="L434" i="96"/>
  <c r="K434" i="96"/>
  <c r="K433" i="96" s="1"/>
  <c r="K432" i="96" s="1"/>
  <c r="J434" i="96"/>
  <c r="I434" i="96"/>
  <c r="H434" i="96"/>
  <c r="G434" i="96"/>
  <c r="V433" i="96"/>
  <c r="V432" i="96" s="1"/>
  <c r="U433" i="96"/>
  <c r="U432" i="96" s="1"/>
  <c r="T433" i="96"/>
  <c r="P433" i="96"/>
  <c r="O433" i="96"/>
  <c r="O432" i="96" s="1"/>
  <c r="N433" i="96"/>
  <c r="M433" i="96"/>
  <c r="L433" i="96"/>
  <c r="J433" i="96"/>
  <c r="J432" i="96" s="1"/>
  <c r="I433" i="96"/>
  <c r="I432" i="96" s="1"/>
  <c r="H433" i="96"/>
  <c r="H432" i="96" s="1"/>
  <c r="G433" i="96"/>
  <c r="T432" i="96"/>
  <c r="P432" i="96"/>
  <c r="N432" i="96"/>
  <c r="N422" i="96" s="1"/>
  <c r="M432" i="96"/>
  <c r="L432" i="96"/>
  <c r="G432" i="96"/>
  <c r="S431" i="96"/>
  <c r="S430" i="96" s="1"/>
  <c r="S429" i="96" s="1"/>
  <c r="S428" i="96" s="1"/>
  <c r="K431" i="96"/>
  <c r="V430" i="96"/>
  <c r="U430" i="96"/>
  <c r="T430" i="96"/>
  <c r="T429" i="96" s="1"/>
  <c r="T428" i="96" s="1"/>
  <c r="R430" i="96"/>
  <c r="Q430" i="96"/>
  <c r="P430" i="96"/>
  <c r="O430" i="96"/>
  <c r="N430" i="96"/>
  <c r="M430" i="96"/>
  <c r="M429" i="96" s="1"/>
  <c r="M428" i="96" s="1"/>
  <c r="L430" i="96"/>
  <c r="K430" i="96"/>
  <c r="J430" i="96"/>
  <c r="I430" i="96"/>
  <c r="H430" i="96"/>
  <c r="H429" i="96" s="1"/>
  <c r="H428" i="96" s="1"/>
  <c r="G430" i="96"/>
  <c r="G429" i="96" s="1"/>
  <c r="G428" i="96" s="1"/>
  <c r="V429" i="96"/>
  <c r="V428" i="96" s="1"/>
  <c r="U429" i="96"/>
  <c r="R429" i="96"/>
  <c r="Q429" i="96"/>
  <c r="Q428" i="96" s="1"/>
  <c r="P429" i="96"/>
  <c r="O429" i="96"/>
  <c r="N429" i="96"/>
  <c r="L429" i="96"/>
  <c r="L428" i="96" s="1"/>
  <c r="K429" i="96"/>
  <c r="K428" i="96" s="1"/>
  <c r="J429" i="96"/>
  <c r="J428" i="96" s="1"/>
  <c r="I429" i="96"/>
  <c r="U428" i="96"/>
  <c r="R428" i="96"/>
  <c r="P428" i="96"/>
  <c r="O428" i="96"/>
  <c r="N428" i="96"/>
  <c r="I428" i="96"/>
  <c r="V425" i="96"/>
  <c r="U425" i="96"/>
  <c r="T425" i="96"/>
  <c r="T424" i="96" s="1"/>
  <c r="T423" i="96" s="1"/>
  <c r="T422" i="96" s="1"/>
  <c r="S425" i="96"/>
  <c r="S424" i="96" s="1"/>
  <c r="S423" i="96" s="1"/>
  <c r="R425" i="96"/>
  <c r="R424" i="96" s="1"/>
  <c r="R423" i="96" s="1"/>
  <c r="Q425" i="96"/>
  <c r="P425" i="96"/>
  <c r="O425" i="96"/>
  <c r="N425" i="96"/>
  <c r="M425" i="96"/>
  <c r="M424" i="96" s="1"/>
  <c r="M423" i="96" s="1"/>
  <c r="M422" i="96" s="1"/>
  <c r="L425" i="96"/>
  <c r="K425" i="96"/>
  <c r="J425" i="96"/>
  <c r="I425" i="96"/>
  <c r="H425" i="96"/>
  <c r="H424" i="96" s="1"/>
  <c r="H423" i="96" s="1"/>
  <c r="G425" i="96"/>
  <c r="G424" i="96" s="1"/>
  <c r="G423" i="96" s="1"/>
  <c r="V424" i="96"/>
  <c r="V423" i="96" s="1"/>
  <c r="U424" i="96"/>
  <c r="Q424" i="96"/>
  <c r="Q423" i="96" s="1"/>
  <c r="P424" i="96"/>
  <c r="O424" i="96"/>
  <c r="N424" i="96"/>
  <c r="L424" i="96"/>
  <c r="L423" i="96" s="1"/>
  <c r="L422" i="96" s="1"/>
  <c r="K424" i="96"/>
  <c r="K423" i="96" s="1"/>
  <c r="J424" i="96"/>
  <c r="J423" i="96" s="1"/>
  <c r="I424" i="96"/>
  <c r="U423" i="96"/>
  <c r="P423" i="96"/>
  <c r="O423" i="96"/>
  <c r="N423" i="96"/>
  <c r="I423" i="96"/>
  <c r="S421" i="96"/>
  <c r="S420" i="96" s="1"/>
  <c r="S419" i="96" s="1"/>
  <c r="S418" i="96" s="1"/>
  <c r="S413" i="96" s="1"/>
  <c r="O421" i="96"/>
  <c r="G421" i="96"/>
  <c r="V420" i="96"/>
  <c r="U420" i="96"/>
  <c r="T420" i="96"/>
  <c r="T419" i="96" s="1"/>
  <c r="T418" i="96" s="1"/>
  <c r="R420" i="96"/>
  <c r="Q420" i="96"/>
  <c r="P420" i="96"/>
  <c r="O420" i="96"/>
  <c r="O419" i="96" s="1"/>
  <c r="O418" i="96" s="1"/>
  <c r="N420" i="96"/>
  <c r="N419" i="96" s="1"/>
  <c r="N418" i="96" s="1"/>
  <c r="N413" i="96" s="1"/>
  <c r="M420" i="96"/>
  <c r="L420" i="96"/>
  <c r="K420" i="96"/>
  <c r="J420" i="96"/>
  <c r="I420" i="96"/>
  <c r="H420" i="96"/>
  <c r="H419" i="96" s="1"/>
  <c r="H418" i="96" s="1"/>
  <c r="G420" i="96"/>
  <c r="V419" i="96"/>
  <c r="U419" i="96"/>
  <c r="R419" i="96"/>
  <c r="R418" i="96" s="1"/>
  <c r="R413" i="96" s="1"/>
  <c r="Q419" i="96"/>
  <c r="P419" i="96"/>
  <c r="M419" i="96"/>
  <c r="L419" i="96"/>
  <c r="L418" i="96" s="1"/>
  <c r="K419" i="96"/>
  <c r="J419" i="96"/>
  <c r="I419" i="96"/>
  <c r="G419" i="96"/>
  <c r="G418" i="96" s="1"/>
  <c r="V418" i="96"/>
  <c r="U418" i="96"/>
  <c r="Q418" i="96"/>
  <c r="P418" i="96"/>
  <c r="M418" i="96"/>
  <c r="K418" i="96"/>
  <c r="J418" i="96"/>
  <c r="I418" i="96"/>
  <c r="S417" i="96"/>
  <c r="O417" i="96"/>
  <c r="O416" i="96" s="1"/>
  <c r="O415" i="96" s="1"/>
  <c r="K417" i="96"/>
  <c r="G417" i="96"/>
  <c r="V416" i="96"/>
  <c r="U416" i="96"/>
  <c r="T416" i="96"/>
  <c r="S416" i="96"/>
  <c r="S415" i="96" s="1"/>
  <c r="S414" i="96" s="1"/>
  <c r="R416" i="96"/>
  <c r="Q416" i="96"/>
  <c r="P416" i="96"/>
  <c r="N416" i="96"/>
  <c r="M416" i="96"/>
  <c r="L416" i="96"/>
  <c r="L415" i="96" s="1"/>
  <c r="L414" i="96" s="1"/>
  <c r="K416" i="96"/>
  <c r="J416" i="96"/>
  <c r="I416" i="96"/>
  <c r="H416" i="96"/>
  <c r="G416" i="96"/>
  <c r="G415" i="96" s="1"/>
  <c r="G414" i="96" s="1"/>
  <c r="V415" i="96"/>
  <c r="U415" i="96"/>
  <c r="T415" i="96"/>
  <c r="R415" i="96"/>
  <c r="Q415" i="96"/>
  <c r="P415" i="96"/>
  <c r="P414" i="96" s="1"/>
  <c r="P413" i="96" s="1"/>
  <c r="N415" i="96"/>
  <c r="M415" i="96"/>
  <c r="M414" i="96" s="1"/>
  <c r="M413" i="96" s="1"/>
  <c r="K415" i="96"/>
  <c r="K414" i="96" s="1"/>
  <c r="J415" i="96"/>
  <c r="I415" i="96"/>
  <c r="H415" i="96"/>
  <c r="V414" i="96"/>
  <c r="U414" i="96"/>
  <c r="T414" i="96"/>
  <c r="T413" i="96" s="1"/>
  <c r="R414" i="96"/>
  <c r="Q414" i="96"/>
  <c r="O414" i="96"/>
  <c r="O413" i="96" s="1"/>
  <c r="N414" i="96"/>
  <c r="J414" i="96"/>
  <c r="I414" i="96"/>
  <c r="H414" i="96"/>
  <c r="H413" i="96" s="1"/>
  <c r="V413" i="96"/>
  <c r="U413" i="96"/>
  <c r="Q413" i="96"/>
  <c r="J413" i="96"/>
  <c r="I413" i="96"/>
  <c r="G413" i="96"/>
  <c r="S412" i="96"/>
  <c r="O412" i="96"/>
  <c r="K412" i="96"/>
  <c r="K411" i="96" s="1"/>
  <c r="K410" i="96" s="1"/>
  <c r="G412" i="96"/>
  <c r="V411" i="96"/>
  <c r="U411" i="96"/>
  <c r="T411" i="96"/>
  <c r="T410" i="96" s="1"/>
  <c r="T409" i="96" s="1"/>
  <c r="S411" i="96"/>
  <c r="R411" i="96"/>
  <c r="Q411" i="96"/>
  <c r="P411" i="96"/>
  <c r="O411" i="96"/>
  <c r="O410" i="96" s="1"/>
  <c r="O409" i="96" s="1"/>
  <c r="N411" i="96"/>
  <c r="M411" i="96"/>
  <c r="M410" i="96" s="1"/>
  <c r="M409" i="96" s="1"/>
  <c r="M403" i="96" s="1"/>
  <c r="L411" i="96"/>
  <c r="J411" i="96"/>
  <c r="I411" i="96"/>
  <c r="H411" i="96"/>
  <c r="H410" i="96" s="1"/>
  <c r="H409" i="96" s="1"/>
  <c r="G411" i="96"/>
  <c r="V410" i="96"/>
  <c r="U410" i="96"/>
  <c r="S410" i="96"/>
  <c r="S409" i="96" s="1"/>
  <c r="R410" i="96"/>
  <c r="Q410" i="96"/>
  <c r="Q409" i="96" s="1"/>
  <c r="P410" i="96"/>
  <c r="N410" i="96"/>
  <c r="L410" i="96"/>
  <c r="L409" i="96" s="1"/>
  <c r="J410" i="96"/>
  <c r="I410" i="96"/>
  <c r="G410" i="96"/>
  <c r="G409" i="96" s="1"/>
  <c r="V409" i="96"/>
  <c r="U409" i="96"/>
  <c r="R409" i="96"/>
  <c r="P409" i="96"/>
  <c r="N409" i="96"/>
  <c r="K409" i="96"/>
  <c r="J409" i="96"/>
  <c r="I409" i="96"/>
  <c r="S408" i="96"/>
  <c r="O408" i="96"/>
  <c r="K408" i="96"/>
  <c r="G408" i="96"/>
  <c r="S407" i="96"/>
  <c r="O407" i="96"/>
  <c r="K407" i="96"/>
  <c r="G407" i="96"/>
  <c r="G406" i="96" s="1"/>
  <c r="G405" i="96" s="1"/>
  <c r="V406" i="96"/>
  <c r="U406" i="96"/>
  <c r="T406" i="96"/>
  <c r="S406" i="96"/>
  <c r="R406" i="96"/>
  <c r="Q406" i="96"/>
  <c r="P406" i="96"/>
  <c r="P405" i="96" s="1"/>
  <c r="P404" i="96" s="1"/>
  <c r="P403" i="96" s="1"/>
  <c r="O406" i="96"/>
  <c r="N406" i="96"/>
  <c r="M406" i="96"/>
  <c r="L406" i="96"/>
  <c r="K406" i="96"/>
  <c r="K405" i="96" s="1"/>
  <c r="K404" i="96" s="1"/>
  <c r="J406" i="96"/>
  <c r="I406" i="96"/>
  <c r="H406" i="96"/>
  <c r="V405" i="96"/>
  <c r="U405" i="96"/>
  <c r="T405" i="96"/>
  <c r="T404" i="96" s="1"/>
  <c r="S405" i="96"/>
  <c r="R405" i="96"/>
  <c r="Q405" i="96"/>
  <c r="Q404" i="96" s="1"/>
  <c r="O405" i="96"/>
  <c r="O404" i="96" s="1"/>
  <c r="N405" i="96"/>
  <c r="M405" i="96"/>
  <c r="L405" i="96"/>
  <c r="J405" i="96"/>
  <c r="I405" i="96"/>
  <c r="H405" i="96"/>
  <c r="H404" i="96" s="1"/>
  <c r="H403" i="96" s="1"/>
  <c r="V404" i="96"/>
  <c r="U404" i="96"/>
  <c r="S404" i="96"/>
  <c r="R404" i="96"/>
  <c r="N404" i="96"/>
  <c r="M404" i="96"/>
  <c r="L404" i="96"/>
  <c r="L403" i="96" s="1"/>
  <c r="J404" i="96"/>
  <c r="I404" i="96"/>
  <c r="G404" i="96"/>
  <c r="G403" i="96" s="1"/>
  <c r="V403" i="96"/>
  <c r="U403" i="96"/>
  <c r="R403" i="96"/>
  <c r="N403" i="96"/>
  <c r="J403" i="96"/>
  <c r="I403" i="96"/>
  <c r="S402" i="96"/>
  <c r="O402" i="96"/>
  <c r="K402" i="96"/>
  <c r="S401" i="96"/>
  <c r="S400" i="96" s="1"/>
  <c r="S399" i="96" s="1"/>
  <c r="S398" i="96" s="1"/>
  <c r="O401" i="96"/>
  <c r="K401" i="96"/>
  <c r="V400" i="96"/>
  <c r="U400" i="96"/>
  <c r="U399" i="96" s="1"/>
  <c r="U398" i="96" s="1"/>
  <c r="T400" i="96"/>
  <c r="R400" i="96"/>
  <c r="Q400" i="96"/>
  <c r="P400" i="96"/>
  <c r="O400" i="96"/>
  <c r="N400" i="96"/>
  <c r="N399" i="96" s="1"/>
  <c r="N398" i="96" s="1"/>
  <c r="M400" i="96"/>
  <c r="L400" i="96"/>
  <c r="K400" i="96"/>
  <c r="J400" i="96"/>
  <c r="I400" i="96"/>
  <c r="I399" i="96" s="1"/>
  <c r="I398" i="96" s="1"/>
  <c r="H400" i="96"/>
  <c r="G400" i="96"/>
  <c r="G399" i="96" s="1"/>
  <c r="G398" i="96" s="1"/>
  <c r="V399" i="96"/>
  <c r="T399" i="96"/>
  <c r="R399" i="96"/>
  <c r="R398" i="96" s="1"/>
  <c r="Q399" i="96"/>
  <c r="P399" i="96"/>
  <c r="O399" i="96"/>
  <c r="M399" i="96"/>
  <c r="M398" i="96" s="1"/>
  <c r="L399" i="96"/>
  <c r="K399" i="96"/>
  <c r="J399" i="96"/>
  <c r="H399" i="96"/>
  <c r="V398" i="96"/>
  <c r="T398" i="96"/>
  <c r="Q398" i="96"/>
  <c r="P398" i="96"/>
  <c r="O398" i="96"/>
  <c r="L398" i="96"/>
  <c r="K398" i="96"/>
  <c r="J398" i="96"/>
  <c r="H398" i="96"/>
  <c r="S397" i="96"/>
  <c r="O397" i="96"/>
  <c r="K397" i="96"/>
  <c r="J397" i="96"/>
  <c r="S396" i="96"/>
  <c r="O396" i="96"/>
  <c r="K396" i="96"/>
  <c r="J396" i="96"/>
  <c r="S395" i="96"/>
  <c r="S394" i="96" s="1"/>
  <c r="S393" i="96" s="1"/>
  <c r="S392" i="96" s="1"/>
  <c r="O395" i="96"/>
  <c r="O394" i="96" s="1"/>
  <c r="O393" i="96" s="1"/>
  <c r="O392" i="96" s="1"/>
  <c r="K395" i="96"/>
  <c r="J395" i="96"/>
  <c r="V394" i="96"/>
  <c r="U394" i="96"/>
  <c r="U393" i="96" s="1"/>
  <c r="U392" i="96" s="1"/>
  <c r="T394" i="96"/>
  <c r="R394" i="96"/>
  <c r="Q394" i="96"/>
  <c r="P394" i="96"/>
  <c r="N394" i="96"/>
  <c r="N393" i="96" s="1"/>
  <c r="N392" i="96" s="1"/>
  <c r="M394" i="96"/>
  <c r="L394" i="96"/>
  <c r="K394" i="96"/>
  <c r="J394" i="96"/>
  <c r="I394" i="96"/>
  <c r="I393" i="96" s="1"/>
  <c r="I392" i="96" s="1"/>
  <c r="I365" i="96" s="1"/>
  <c r="H394" i="96"/>
  <c r="G394" i="96"/>
  <c r="V393" i="96"/>
  <c r="T393" i="96"/>
  <c r="R393" i="96"/>
  <c r="Q393" i="96"/>
  <c r="P393" i="96"/>
  <c r="M393" i="96"/>
  <c r="M392" i="96" s="1"/>
  <c r="L393" i="96"/>
  <c r="K393" i="96"/>
  <c r="J393" i="96"/>
  <c r="H393" i="96"/>
  <c r="G393" i="96"/>
  <c r="V392" i="96"/>
  <c r="T392" i="96"/>
  <c r="R392" i="96"/>
  <c r="Q392" i="96"/>
  <c r="P392" i="96"/>
  <c r="L392" i="96"/>
  <c r="K392" i="96"/>
  <c r="J392" i="96"/>
  <c r="H392" i="96"/>
  <c r="G392" i="96"/>
  <c r="S391" i="96"/>
  <c r="O391" i="96"/>
  <c r="K391" i="96"/>
  <c r="S390" i="96"/>
  <c r="O390" i="96"/>
  <c r="K390" i="96"/>
  <c r="V389" i="96"/>
  <c r="U389" i="96"/>
  <c r="T389" i="96"/>
  <c r="S389" i="96"/>
  <c r="R389" i="96"/>
  <c r="Q389" i="96"/>
  <c r="P389" i="96"/>
  <c r="O389" i="96"/>
  <c r="O388" i="96" s="1"/>
  <c r="O387" i="96" s="1"/>
  <c r="N389" i="96"/>
  <c r="M389" i="96"/>
  <c r="L389" i="96"/>
  <c r="K389" i="96"/>
  <c r="J389" i="96"/>
  <c r="I389" i="96"/>
  <c r="H389" i="96"/>
  <c r="G389" i="96"/>
  <c r="V388" i="96"/>
  <c r="U388" i="96"/>
  <c r="T388" i="96"/>
  <c r="S388" i="96"/>
  <c r="S387" i="96" s="1"/>
  <c r="R388" i="96"/>
  <c r="Q388" i="96"/>
  <c r="P388" i="96"/>
  <c r="N388" i="96"/>
  <c r="M388" i="96"/>
  <c r="L388" i="96"/>
  <c r="K388" i="96"/>
  <c r="J388" i="96"/>
  <c r="I388" i="96"/>
  <c r="H388" i="96"/>
  <c r="G388" i="96"/>
  <c r="G387" i="96" s="1"/>
  <c r="V387" i="96"/>
  <c r="U387" i="96"/>
  <c r="T387" i="96"/>
  <c r="R387" i="96"/>
  <c r="Q387" i="96"/>
  <c r="P387" i="96"/>
  <c r="N387" i="96"/>
  <c r="M387" i="96"/>
  <c r="L387" i="96"/>
  <c r="K387" i="96"/>
  <c r="J387" i="96"/>
  <c r="I387" i="96"/>
  <c r="H387" i="96"/>
  <c r="V383" i="96"/>
  <c r="V382" i="96" s="1"/>
  <c r="V381" i="96" s="1"/>
  <c r="U383" i="96"/>
  <c r="T383" i="96"/>
  <c r="S383" i="96"/>
  <c r="R383" i="96"/>
  <c r="Q383" i="96"/>
  <c r="P383" i="96"/>
  <c r="O383" i="96"/>
  <c r="O382" i="96" s="1"/>
  <c r="O381" i="96" s="1"/>
  <c r="N383" i="96"/>
  <c r="M383" i="96"/>
  <c r="L383" i="96"/>
  <c r="K383" i="96"/>
  <c r="J383" i="96"/>
  <c r="J382" i="96" s="1"/>
  <c r="J381" i="96" s="1"/>
  <c r="I383" i="96"/>
  <c r="H383" i="96"/>
  <c r="G383" i="96"/>
  <c r="U382" i="96"/>
  <c r="T382" i="96"/>
  <c r="S382" i="96"/>
  <c r="S381" i="96" s="1"/>
  <c r="R382" i="96"/>
  <c r="Q382" i="96"/>
  <c r="P382" i="96"/>
  <c r="N382" i="96"/>
  <c r="N381" i="96" s="1"/>
  <c r="M382" i="96"/>
  <c r="L382" i="96"/>
  <c r="K382" i="96"/>
  <c r="I382" i="96"/>
  <c r="H382" i="96"/>
  <c r="G382" i="96"/>
  <c r="G381" i="96" s="1"/>
  <c r="U381" i="96"/>
  <c r="T381" i="96"/>
  <c r="R381" i="96"/>
  <c r="Q381" i="96"/>
  <c r="P381" i="96"/>
  <c r="M381" i="96"/>
  <c r="L381" i="96"/>
  <c r="K381" i="96"/>
  <c r="I381" i="96"/>
  <c r="H381" i="96"/>
  <c r="V374" i="96"/>
  <c r="U374" i="96"/>
  <c r="T374" i="96"/>
  <c r="S374" i="96"/>
  <c r="R374" i="96"/>
  <c r="Q374" i="96"/>
  <c r="P374" i="96"/>
  <c r="O374" i="96"/>
  <c r="O371" i="96" s="1"/>
  <c r="O370" i="96" s="1"/>
  <c r="N374" i="96"/>
  <c r="M374" i="96"/>
  <c r="L374" i="96"/>
  <c r="K374" i="96"/>
  <c r="J374" i="96"/>
  <c r="I374" i="96"/>
  <c r="H374" i="96"/>
  <c r="G374" i="96"/>
  <c r="V372" i="96"/>
  <c r="U372" i="96"/>
  <c r="T372" i="96"/>
  <c r="S372" i="96"/>
  <c r="S371" i="96" s="1"/>
  <c r="S370" i="96" s="1"/>
  <c r="R372" i="96"/>
  <c r="Q372" i="96"/>
  <c r="P372" i="96"/>
  <c r="O372" i="96"/>
  <c r="N372" i="96"/>
  <c r="N371" i="96" s="1"/>
  <c r="N370" i="96" s="1"/>
  <c r="M372" i="96"/>
  <c r="L372" i="96"/>
  <c r="L371" i="96" s="1"/>
  <c r="L370" i="96" s="1"/>
  <c r="K372" i="96"/>
  <c r="J372" i="96"/>
  <c r="I372" i="96"/>
  <c r="H372" i="96"/>
  <c r="G372" i="96"/>
  <c r="G371" i="96" s="1"/>
  <c r="G370" i="96" s="1"/>
  <c r="V371" i="96"/>
  <c r="U371" i="96"/>
  <c r="T371" i="96"/>
  <c r="R371" i="96"/>
  <c r="R370" i="96" s="1"/>
  <c r="Q371" i="96"/>
  <c r="P371" i="96"/>
  <c r="P370" i="96" s="1"/>
  <c r="M371" i="96"/>
  <c r="K371" i="96"/>
  <c r="K370" i="96" s="1"/>
  <c r="J371" i="96"/>
  <c r="I371" i="96"/>
  <c r="H371" i="96"/>
  <c r="V370" i="96"/>
  <c r="U370" i="96"/>
  <c r="T370" i="96"/>
  <c r="Q370" i="96"/>
  <c r="M370" i="96"/>
  <c r="J370" i="96"/>
  <c r="I370" i="96"/>
  <c r="H370" i="96"/>
  <c r="Q369" i="96"/>
  <c r="N369" i="96"/>
  <c r="K369" i="96" s="1"/>
  <c r="K368" i="96" s="1"/>
  <c r="K367" i="96" s="1"/>
  <c r="K366" i="96" s="1"/>
  <c r="K365" i="96" s="1"/>
  <c r="G369" i="96"/>
  <c r="G368" i="96" s="1"/>
  <c r="G367" i="96" s="1"/>
  <c r="G366" i="96" s="1"/>
  <c r="V368" i="96"/>
  <c r="V367" i="96" s="1"/>
  <c r="V366" i="96" s="1"/>
  <c r="V365" i="96" s="1"/>
  <c r="U368" i="96"/>
  <c r="T368" i="96"/>
  <c r="T367" i="96" s="1"/>
  <c r="S368" i="96"/>
  <c r="S367" i="96" s="1"/>
  <c r="S366" i="96" s="1"/>
  <c r="P368" i="96"/>
  <c r="M368" i="96"/>
  <c r="M367" i="96" s="1"/>
  <c r="M366" i="96" s="1"/>
  <c r="M365" i="96" s="1"/>
  <c r="L368" i="96"/>
  <c r="J368" i="96"/>
  <c r="J367" i="96" s="1"/>
  <c r="J366" i="96" s="1"/>
  <c r="I368" i="96"/>
  <c r="H368" i="96"/>
  <c r="H367" i="96" s="1"/>
  <c r="U367" i="96"/>
  <c r="P367" i="96"/>
  <c r="P366" i="96" s="1"/>
  <c r="P365" i="96" s="1"/>
  <c r="L367" i="96"/>
  <c r="I367" i="96"/>
  <c r="U366" i="96"/>
  <c r="T366" i="96"/>
  <c r="T365" i="96" s="1"/>
  <c r="L366" i="96"/>
  <c r="I366" i="96"/>
  <c r="H366" i="96"/>
  <c r="H365" i="96" s="1"/>
  <c r="U365" i="96"/>
  <c r="L365" i="96"/>
  <c r="J365" i="96"/>
  <c r="S364" i="96"/>
  <c r="O364" i="96"/>
  <c r="O363" i="96" s="1"/>
  <c r="O362" i="96" s="1"/>
  <c r="O361" i="96" s="1"/>
  <c r="K364" i="96"/>
  <c r="J364" i="96"/>
  <c r="J363" i="96" s="1"/>
  <c r="J362" i="96" s="1"/>
  <c r="J361" i="96" s="1"/>
  <c r="V363" i="96"/>
  <c r="U363" i="96"/>
  <c r="T363" i="96"/>
  <c r="T362" i="96" s="1"/>
  <c r="T361" i="96" s="1"/>
  <c r="S363" i="96"/>
  <c r="S362" i="96" s="1"/>
  <c r="S361" i="96" s="1"/>
  <c r="R363" i="96"/>
  <c r="R362" i="96" s="1"/>
  <c r="R361" i="96" s="1"/>
  <c r="Q363" i="96"/>
  <c r="Q362" i="96" s="1"/>
  <c r="Q361" i="96" s="1"/>
  <c r="P363" i="96"/>
  <c r="P362" i="96" s="1"/>
  <c r="P361" i="96" s="1"/>
  <c r="N363" i="96"/>
  <c r="N362" i="96" s="1"/>
  <c r="N361" i="96" s="1"/>
  <c r="M363" i="96"/>
  <c r="L363" i="96"/>
  <c r="K363" i="96"/>
  <c r="I363" i="96"/>
  <c r="H363" i="96"/>
  <c r="H362" i="96" s="1"/>
  <c r="H361" i="96" s="1"/>
  <c r="G363" i="96"/>
  <c r="G362" i="96" s="1"/>
  <c r="G361" i="96" s="1"/>
  <c r="V362" i="96"/>
  <c r="V361" i="96" s="1"/>
  <c r="U362" i="96"/>
  <c r="U361" i="96" s="1"/>
  <c r="M362" i="96"/>
  <c r="L362" i="96"/>
  <c r="L361" i="96" s="1"/>
  <c r="K362" i="96"/>
  <c r="K361" i="96" s="1"/>
  <c r="I362" i="96"/>
  <c r="I361" i="96" s="1"/>
  <c r="M361" i="96"/>
  <c r="S360" i="96"/>
  <c r="J360" i="96"/>
  <c r="S359" i="96"/>
  <c r="J359" i="96"/>
  <c r="S358" i="96"/>
  <c r="J358" i="96"/>
  <c r="J354" i="96" s="1"/>
  <c r="J353" i="96" s="1"/>
  <c r="J352" i="96" s="1"/>
  <c r="S357" i="96"/>
  <c r="J357" i="96"/>
  <c r="S356" i="96"/>
  <c r="J356" i="96"/>
  <c r="S355" i="96"/>
  <c r="J355" i="96"/>
  <c r="V354" i="96"/>
  <c r="U354" i="96"/>
  <c r="T354" i="96"/>
  <c r="T353" i="96" s="1"/>
  <c r="T352" i="96" s="1"/>
  <c r="R354" i="96"/>
  <c r="R353" i="96" s="1"/>
  <c r="R352" i="96" s="1"/>
  <c r="Q354" i="96"/>
  <c r="Q353" i="96" s="1"/>
  <c r="Q352" i="96" s="1"/>
  <c r="P354" i="96"/>
  <c r="P353" i="96" s="1"/>
  <c r="O354" i="96"/>
  <c r="N354" i="96"/>
  <c r="M354" i="96"/>
  <c r="L354" i="96"/>
  <c r="K354" i="96"/>
  <c r="I354" i="96"/>
  <c r="H354" i="96"/>
  <c r="H353" i="96" s="1"/>
  <c r="H352" i="96" s="1"/>
  <c r="G354" i="96"/>
  <c r="G353" i="96" s="1"/>
  <c r="G352" i="96" s="1"/>
  <c r="V353" i="96"/>
  <c r="V352" i="96" s="1"/>
  <c r="U353" i="96"/>
  <c r="U352" i="96" s="1"/>
  <c r="O353" i="96"/>
  <c r="N353" i="96"/>
  <c r="M353" i="96"/>
  <c r="L353" i="96"/>
  <c r="L352" i="96" s="1"/>
  <c r="K353" i="96"/>
  <c r="K352" i="96" s="1"/>
  <c r="I353" i="96"/>
  <c r="I352" i="96" s="1"/>
  <c r="P352" i="96"/>
  <c r="O352" i="96"/>
  <c r="N352" i="96"/>
  <c r="M352" i="96"/>
  <c r="S351" i="96"/>
  <c r="S350" i="96"/>
  <c r="S349" i="96"/>
  <c r="S348" i="96"/>
  <c r="S347" i="96"/>
  <c r="S346" i="96"/>
  <c r="V345" i="96"/>
  <c r="U345" i="96"/>
  <c r="T345" i="96"/>
  <c r="R345" i="96"/>
  <c r="Q345" i="96"/>
  <c r="P345" i="96"/>
  <c r="O345" i="96"/>
  <c r="N345" i="96"/>
  <c r="N344" i="96" s="1"/>
  <c r="N343" i="96" s="1"/>
  <c r="M345" i="96"/>
  <c r="M344" i="96" s="1"/>
  <c r="M343" i="96" s="1"/>
  <c r="L345" i="96"/>
  <c r="L344" i="96" s="1"/>
  <c r="L343" i="96" s="1"/>
  <c r="K345" i="96"/>
  <c r="K344" i="96" s="1"/>
  <c r="K343" i="96" s="1"/>
  <c r="J345" i="96"/>
  <c r="I345" i="96"/>
  <c r="H345" i="96"/>
  <c r="G345" i="96"/>
  <c r="V344" i="96"/>
  <c r="U344" i="96"/>
  <c r="T344" i="96"/>
  <c r="R344" i="96"/>
  <c r="R343" i="96" s="1"/>
  <c r="Q344" i="96"/>
  <c r="Q343" i="96" s="1"/>
  <c r="P344" i="96"/>
  <c r="P343" i="96" s="1"/>
  <c r="O344" i="96"/>
  <c r="O343" i="96" s="1"/>
  <c r="J344" i="96"/>
  <c r="I344" i="96"/>
  <c r="H344" i="96"/>
  <c r="G344" i="96"/>
  <c r="V343" i="96"/>
  <c r="U343" i="96"/>
  <c r="T343" i="96"/>
  <c r="J343" i="96"/>
  <c r="I343" i="96"/>
  <c r="H343" i="96"/>
  <c r="G343" i="96"/>
  <c r="S342" i="96"/>
  <c r="O342" i="96"/>
  <c r="G342" i="96"/>
  <c r="S341" i="96"/>
  <c r="O341" i="96"/>
  <c r="G341" i="96"/>
  <c r="V340" i="96"/>
  <c r="U340" i="96"/>
  <c r="T340" i="96"/>
  <c r="T339" i="96" s="1"/>
  <c r="T338" i="96" s="1"/>
  <c r="S340" i="96"/>
  <c r="S339" i="96" s="1"/>
  <c r="S338" i="96" s="1"/>
  <c r="R340" i="96"/>
  <c r="R339" i="96" s="1"/>
  <c r="R338" i="96" s="1"/>
  <c r="Q340" i="96"/>
  <c r="Q339" i="96" s="1"/>
  <c r="Q338" i="96" s="1"/>
  <c r="P340" i="96"/>
  <c r="O340" i="96"/>
  <c r="N340" i="96"/>
  <c r="M340" i="96"/>
  <c r="L340" i="96"/>
  <c r="K340" i="96"/>
  <c r="J340" i="96"/>
  <c r="I340" i="96"/>
  <c r="H340" i="96"/>
  <c r="H339" i="96" s="1"/>
  <c r="H338" i="96" s="1"/>
  <c r="G340" i="96"/>
  <c r="G339" i="96" s="1"/>
  <c r="G338" i="96" s="1"/>
  <c r="V339" i="96"/>
  <c r="V338" i="96" s="1"/>
  <c r="U339" i="96"/>
  <c r="U338" i="96" s="1"/>
  <c r="P339" i="96"/>
  <c r="O339" i="96"/>
  <c r="N339" i="96"/>
  <c r="M339" i="96"/>
  <c r="L339" i="96"/>
  <c r="L338" i="96" s="1"/>
  <c r="K339" i="96"/>
  <c r="K338" i="96" s="1"/>
  <c r="J339" i="96"/>
  <c r="J338" i="96" s="1"/>
  <c r="I339" i="96"/>
  <c r="I338" i="96" s="1"/>
  <c r="P338" i="96"/>
  <c r="O338" i="96"/>
  <c r="N338" i="96"/>
  <c r="M338" i="96"/>
  <c r="S337" i="96"/>
  <c r="U336" i="96"/>
  <c r="U328" i="96" s="1"/>
  <c r="U327" i="96" s="1"/>
  <c r="S336" i="96"/>
  <c r="S335" i="96"/>
  <c r="Q335" i="96"/>
  <c r="K335" i="96"/>
  <c r="M334" i="96"/>
  <c r="S333" i="96"/>
  <c r="S332" i="96"/>
  <c r="S331" i="96"/>
  <c r="O331" i="96"/>
  <c r="K331" i="96"/>
  <c r="S330" i="96"/>
  <c r="O330" i="96"/>
  <c r="K330" i="96"/>
  <c r="K328" i="96" s="1"/>
  <c r="K327" i="96" s="1"/>
  <c r="S329" i="96"/>
  <c r="S328" i="96" s="1"/>
  <c r="S327" i="96" s="1"/>
  <c r="S326" i="96" s="1"/>
  <c r="O329" i="96"/>
  <c r="K329" i="96"/>
  <c r="V328" i="96"/>
  <c r="T328" i="96"/>
  <c r="R328" i="96"/>
  <c r="P328" i="96"/>
  <c r="N328" i="96"/>
  <c r="N327" i="96" s="1"/>
  <c r="N326" i="96" s="1"/>
  <c r="M328" i="96"/>
  <c r="M327" i="96" s="1"/>
  <c r="M326" i="96" s="1"/>
  <c r="L328" i="96"/>
  <c r="L327" i="96" s="1"/>
  <c r="L326" i="96" s="1"/>
  <c r="J328" i="96"/>
  <c r="I328" i="96"/>
  <c r="I327" i="96" s="1"/>
  <c r="I326" i="96" s="1"/>
  <c r="H328" i="96"/>
  <c r="G328" i="96"/>
  <c r="V327" i="96"/>
  <c r="T327" i="96"/>
  <c r="R327" i="96"/>
  <c r="R326" i="96" s="1"/>
  <c r="P327" i="96"/>
  <c r="P326" i="96" s="1"/>
  <c r="J327" i="96"/>
  <c r="H327" i="96"/>
  <c r="G327" i="96"/>
  <c r="G326" i="96" s="1"/>
  <c r="V326" i="96"/>
  <c r="U326" i="96"/>
  <c r="T326" i="96"/>
  <c r="K326" i="96"/>
  <c r="J326" i="96"/>
  <c r="H326" i="96"/>
  <c r="S325" i="96"/>
  <c r="J325" i="96"/>
  <c r="S324" i="96"/>
  <c r="J324" i="96"/>
  <c r="S323" i="96"/>
  <c r="J323" i="96"/>
  <c r="S322" i="96"/>
  <c r="J322" i="96"/>
  <c r="S321" i="96"/>
  <c r="J321" i="96"/>
  <c r="S320" i="96"/>
  <c r="J320" i="96"/>
  <c r="S319" i="96"/>
  <c r="J319" i="96"/>
  <c r="S318" i="96"/>
  <c r="J318" i="96"/>
  <c r="S317" i="96"/>
  <c r="J317" i="96"/>
  <c r="S316" i="96"/>
  <c r="J316" i="96"/>
  <c r="S315" i="96"/>
  <c r="J315" i="96"/>
  <c r="S314" i="96"/>
  <c r="J314" i="96"/>
  <c r="S313" i="96"/>
  <c r="J313" i="96"/>
  <c r="S312" i="96"/>
  <c r="J312" i="96"/>
  <c r="S311" i="96"/>
  <c r="O311" i="96"/>
  <c r="K311" i="96"/>
  <c r="J311" i="96"/>
  <c r="S310" i="96"/>
  <c r="S307" i="96" s="1"/>
  <c r="S306" i="96" s="1"/>
  <c r="O310" i="96"/>
  <c r="O307" i="96" s="1"/>
  <c r="O306" i="96" s="1"/>
  <c r="O305" i="96" s="1"/>
  <c r="K310" i="96"/>
  <c r="J310" i="96"/>
  <c r="S309" i="96"/>
  <c r="O309" i="96"/>
  <c r="K309" i="96"/>
  <c r="J309" i="96"/>
  <c r="S308" i="96"/>
  <c r="O308" i="96"/>
  <c r="K308" i="96"/>
  <c r="J308" i="96"/>
  <c r="V307" i="96"/>
  <c r="V306" i="96" s="1"/>
  <c r="V305" i="96" s="1"/>
  <c r="U307" i="96"/>
  <c r="U306" i="96" s="1"/>
  <c r="U305" i="96" s="1"/>
  <c r="T307" i="96"/>
  <c r="T306" i="96" s="1"/>
  <c r="T305" i="96" s="1"/>
  <c r="R307" i="96"/>
  <c r="Q307" i="96"/>
  <c r="P307" i="96"/>
  <c r="N307" i="96"/>
  <c r="M307" i="96"/>
  <c r="L307" i="96"/>
  <c r="K307" i="96"/>
  <c r="K306" i="96" s="1"/>
  <c r="K305" i="96" s="1"/>
  <c r="I307" i="96"/>
  <c r="I306" i="96" s="1"/>
  <c r="I305" i="96" s="1"/>
  <c r="I288" i="96" s="1"/>
  <c r="H307" i="96"/>
  <c r="H306" i="96" s="1"/>
  <c r="H305" i="96" s="1"/>
  <c r="G307" i="96"/>
  <c r="G306" i="96" s="1"/>
  <c r="R306" i="96"/>
  <c r="Q306" i="96"/>
  <c r="P306" i="96"/>
  <c r="N306" i="96"/>
  <c r="N305" i="96" s="1"/>
  <c r="M306" i="96"/>
  <c r="M305" i="96" s="1"/>
  <c r="L306" i="96"/>
  <c r="L305" i="96" s="1"/>
  <c r="S305" i="96"/>
  <c r="R305" i="96"/>
  <c r="Q305" i="96"/>
  <c r="P305" i="96"/>
  <c r="G305" i="96"/>
  <c r="S304" i="96"/>
  <c r="O304" i="96"/>
  <c r="N304" i="96"/>
  <c r="S303" i="96"/>
  <c r="O303" i="96"/>
  <c r="N303" i="96"/>
  <c r="S302" i="96"/>
  <c r="O302" i="96"/>
  <c r="N302" i="96"/>
  <c r="S301" i="96"/>
  <c r="O301" i="96"/>
  <c r="N301" i="96"/>
  <c r="S300" i="96"/>
  <c r="O300" i="96"/>
  <c r="O297" i="96" s="1"/>
  <c r="O296" i="96" s="1"/>
  <c r="N300" i="96"/>
  <c r="S299" i="96"/>
  <c r="O299" i="96"/>
  <c r="N299" i="96"/>
  <c r="S298" i="96"/>
  <c r="O298" i="96"/>
  <c r="N298" i="96"/>
  <c r="V297" i="96"/>
  <c r="U297" i="96"/>
  <c r="T297" i="96"/>
  <c r="T296" i="96" s="1"/>
  <c r="T295" i="96" s="1"/>
  <c r="S297" i="96"/>
  <c r="S296" i="96" s="1"/>
  <c r="S295" i="96" s="1"/>
  <c r="R297" i="96"/>
  <c r="R296" i="96" s="1"/>
  <c r="R295" i="96" s="1"/>
  <c r="Q297" i="96"/>
  <c r="Q296" i="96" s="1"/>
  <c r="Q295" i="96" s="1"/>
  <c r="P297" i="96"/>
  <c r="M297" i="96"/>
  <c r="L297" i="96"/>
  <c r="K297" i="96"/>
  <c r="J297" i="96"/>
  <c r="I297" i="96"/>
  <c r="H297" i="96"/>
  <c r="H296" i="96" s="1"/>
  <c r="H295" i="96" s="1"/>
  <c r="G297" i="96"/>
  <c r="G296" i="96" s="1"/>
  <c r="G295" i="96" s="1"/>
  <c r="G288" i="96" s="1"/>
  <c r="V296" i="96"/>
  <c r="V295" i="96" s="1"/>
  <c r="U296" i="96"/>
  <c r="U295" i="96" s="1"/>
  <c r="P296" i="96"/>
  <c r="M296" i="96"/>
  <c r="L296" i="96"/>
  <c r="L295" i="96" s="1"/>
  <c r="K296" i="96"/>
  <c r="K295" i="96" s="1"/>
  <c r="J296" i="96"/>
  <c r="J295" i="96" s="1"/>
  <c r="I296" i="96"/>
  <c r="I295" i="96" s="1"/>
  <c r="P295" i="96"/>
  <c r="O295" i="96"/>
  <c r="M295" i="96"/>
  <c r="I293" i="96"/>
  <c r="I292" i="96"/>
  <c r="V291" i="96"/>
  <c r="V290" i="96" s="1"/>
  <c r="V289" i="96" s="1"/>
  <c r="V288" i="96" s="1"/>
  <c r="U291" i="96"/>
  <c r="U290" i="96" s="1"/>
  <c r="U289" i="96" s="1"/>
  <c r="T291" i="96"/>
  <c r="T290" i="96" s="1"/>
  <c r="T289" i="96" s="1"/>
  <c r="S291" i="96"/>
  <c r="S290" i="96" s="1"/>
  <c r="S289" i="96" s="1"/>
  <c r="R291" i="96"/>
  <c r="Q291" i="96"/>
  <c r="P291" i="96"/>
  <c r="O291" i="96"/>
  <c r="N291" i="96"/>
  <c r="M291" i="96"/>
  <c r="L291" i="96"/>
  <c r="K291" i="96"/>
  <c r="J291" i="96"/>
  <c r="J290" i="96" s="1"/>
  <c r="J289" i="96" s="1"/>
  <c r="I291" i="96"/>
  <c r="I290" i="96" s="1"/>
  <c r="I289" i="96" s="1"/>
  <c r="H291" i="96"/>
  <c r="H290" i="96" s="1"/>
  <c r="H289" i="96" s="1"/>
  <c r="G291" i="96"/>
  <c r="G290" i="96" s="1"/>
  <c r="G289" i="96" s="1"/>
  <c r="R290" i="96"/>
  <c r="Q290" i="96"/>
  <c r="P290" i="96"/>
  <c r="O290" i="96"/>
  <c r="N290" i="96"/>
  <c r="N289" i="96" s="1"/>
  <c r="M290" i="96"/>
  <c r="M289" i="96" s="1"/>
  <c r="L290" i="96"/>
  <c r="L289" i="96" s="1"/>
  <c r="L288" i="96" s="1"/>
  <c r="K290" i="96"/>
  <c r="K289" i="96" s="1"/>
  <c r="R289" i="96"/>
  <c r="Q289" i="96"/>
  <c r="P289" i="96"/>
  <c r="O289" i="96"/>
  <c r="T288" i="96"/>
  <c r="H288" i="96"/>
  <c r="S287" i="96"/>
  <c r="G287" i="96"/>
  <c r="S286" i="96"/>
  <c r="O286" i="96"/>
  <c r="K286" i="96"/>
  <c r="G286" i="96"/>
  <c r="V285" i="96"/>
  <c r="U285" i="96"/>
  <c r="T285" i="96"/>
  <c r="T282" i="96" s="1"/>
  <c r="T281" i="96" s="1"/>
  <c r="S285" i="96"/>
  <c r="R285" i="96"/>
  <c r="R282" i="96" s="1"/>
  <c r="R281" i="96" s="1"/>
  <c r="Q285" i="96"/>
  <c r="P285" i="96"/>
  <c r="O285" i="96"/>
  <c r="N285" i="96"/>
  <c r="M285" i="96"/>
  <c r="L285" i="96"/>
  <c r="K285" i="96"/>
  <c r="J285" i="96"/>
  <c r="I285" i="96"/>
  <c r="H285" i="96"/>
  <c r="H282" i="96" s="1"/>
  <c r="H281" i="96" s="1"/>
  <c r="G285" i="96"/>
  <c r="G282" i="96" s="1"/>
  <c r="G281" i="96" s="1"/>
  <c r="S284" i="96"/>
  <c r="S283" i="96" s="1"/>
  <c r="S282" i="96" s="1"/>
  <c r="S281" i="96" s="1"/>
  <c r="O284" i="96"/>
  <c r="K284" i="96"/>
  <c r="G284" i="96"/>
  <c r="G283" i="96" s="1"/>
  <c r="V283" i="96"/>
  <c r="V282" i="96" s="1"/>
  <c r="U283" i="96"/>
  <c r="T283" i="96"/>
  <c r="R283" i="96"/>
  <c r="Q283" i="96"/>
  <c r="P283" i="96"/>
  <c r="P282" i="96" s="1"/>
  <c r="P281" i="96" s="1"/>
  <c r="O283" i="96"/>
  <c r="O282" i="96" s="1"/>
  <c r="O281" i="96" s="1"/>
  <c r="N283" i="96"/>
  <c r="N282" i="96" s="1"/>
  <c r="N281" i="96" s="1"/>
  <c r="M283" i="96"/>
  <c r="M282" i="96" s="1"/>
  <c r="M281" i="96" s="1"/>
  <c r="L283" i="96"/>
  <c r="K283" i="96"/>
  <c r="K282" i="96" s="1"/>
  <c r="K281" i="96" s="1"/>
  <c r="J283" i="96"/>
  <c r="J282" i="96" s="1"/>
  <c r="J281" i="96" s="1"/>
  <c r="I283" i="96"/>
  <c r="H283" i="96"/>
  <c r="U282" i="96"/>
  <c r="Q282" i="96"/>
  <c r="Q281" i="96" s="1"/>
  <c r="L282" i="96"/>
  <c r="I282" i="96"/>
  <c r="V281" i="96"/>
  <c r="U281" i="96"/>
  <c r="L281" i="96"/>
  <c r="I281" i="96"/>
  <c r="V279" i="96"/>
  <c r="U279" i="96"/>
  <c r="T279" i="96"/>
  <c r="S279" i="96"/>
  <c r="R279" i="96"/>
  <c r="Q279" i="96"/>
  <c r="P279" i="96"/>
  <c r="P278" i="96" s="1"/>
  <c r="P277" i="96" s="1"/>
  <c r="O279" i="96"/>
  <c r="O278" i="96" s="1"/>
  <c r="O277" i="96" s="1"/>
  <c r="N279" i="96"/>
  <c r="N278" i="96" s="1"/>
  <c r="N277" i="96" s="1"/>
  <c r="M279" i="96"/>
  <c r="M278" i="96" s="1"/>
  <c r="M277" i="96" s="1"/>
  <c r="L279" i="96"/>
  <c r="K279" i="96"/>
  <c r="K278" i="96" s="1"/>
  <c r="K277" i="96" s="1"/>
  <c r="J279" i="96"/>
  <c r="I279" i="96"/>
  <c r="H279" i="96"/>
  <c r="G279" i="96"/>
  <c r="V278" i="96"/>
  <c r="U278" i="96"/>
  <c r="T278" i="96"/>
  <c r="T277" i="96" s="1"/>
  <c r="S278" i="96"/>
  <c r="S277" i="96" s="1"/>
  <c r="R278" i="96"/>
  <c r="R277" i="96" s="1"/>
  <c r="Q278" i="96"/>
  <c r="Q277" i="96" s="1"/>
  <c r="L278" i="96"/>
  <c r="J278" i="96"/>
  <c r="I278" i="96"/>
  <c r="H278" i="96"/>
  <c r="H277" i="96" s="1"/>
  <c r="G278" i="96"/>
  <c r="G277" i="96" s="1"/>
  <c r="V277" i="96"/>
  <c r="U277" i="96"/>
  <c r="L277" i="96"/>
  <c r="J277" i="96"/>
  <c r="I277" i="96"/>
  <c r="S276" i="96"/>
  <c r="O276" i="96"/>
  <c r="K276" i="96"/>
  <c r="G276" i="96"/>
  <c r="V275" i="96"/>
  <c r="U275" i="96"/>
  <c r="T275" i="96"/>
  <c r="T274" i="96" s="1"/>
  <c r="S275" i="96"/>
  <c r="S274" i="96" s="1"/>
  <c r="R275" i="96"/>
  <c r="R274" i="96" s="1"/>
  <c r="Q275" i="96"/>
  <c r="Q274" i="96" s="1"/>
  <c r="P275" i="96"/>
  <c r="O275" i="96"/>
  <c r="N275" i="96"/>
  <c r="N274" i="96" s="1"/>
  <c r="M275" i="96"/>
  <c r="L275" i="96"/>
  <c r="K275" i="96"/>
  <c r="J275" i="96"/>
  <c r="I275" i="96"/>
  <c r="H275" i="96"/>
  <c r="H274" i="96" s="1"/>
  <c r="G275" i="96"/>
  <c r="G274" i="96" s="1"/>
  <c r="V274" i="96"/>
  <c r="V271" i="96" s="1"/>
  <c r="U274" i="96"/>
  <c r="U271" i="96" s="1"/>
  <c r="P274" i="96"/>
  <c r="O274" i="96"/>
  <c r="M274" i="96"/>
  <c r="L274" i="96"/>
  <c r="K274" i="96"/>
  <c r="K271" i="96" s="1"/>
  <c r="J274" i="96"/>
  <c r="I274" i="96"/>
  <c r="I271" i="96" s="1"/>
  <c r="S273" i="96"/>
  <c r="O273" i="96"/>
  <c r="K273" i="96"/>
  <c r="K272" i="96" s="1"/>
  <c r="G273" i="96"/>
  <c r="V272" i="96"/>
  <c r="U272" i="96"/>
  <c r="T272" i="96"/>
  <c r="S272" i="96"/>
  <c r="R272" i="96"/>
  <c r="Q272" i="96"/>
  <c r="Q271" i="96" s="1"/>
  <c r="P272" i="96"/>
  <c r="O272" i="96"/>
  <c r="N272" i="96"/>
  <c r="N271" i="96" s="1"/>
  <c r="M272" i="96"/>
  <c r="L272" i="96"/>
  <c r="J272" i="96"/>
  <c r="I272" i="96"/>
  <c r="H272" i="96"/>
  <c r="G272" i="96"/>
  <c r="P271" i="96"/>
  <c r="O271" i="96"/>
  <c r="M271" i="96"/>
  <c r="L271" i="96"/>
  <c r="J271" i="96"/>
  <c r="V270" i="96"/>
  <c r="S270" i="96" s="1"/>
  <c r="S269" i="96" s="1"/>
  <c r="S268" i="96" s="1"/>
  <c r="S267" i="96" s="1"/>
  <c r="O270" i="96"/>
  <c r="O269" i="96" s="1"/>
  <c r="O268" i="96" s="1"/>
  <c r="K270" i="96"/>
  <c r="K269" i="96" s="1"/>
  <c r="J270" i="96"/>
  <c r="U269" i="96"/>
  <c r="U268" i="96" s="1"/>
  <c r="U267" i="96" s="1"/>
  <c r="T269" i="96"/>
  <c r="T268" i="96" s="1"/>
  <c r="T267" i="96" s="1"/>
  <c r="R269" i="96"/>
  <c r="R268" i="96" s="1"/>
  <c r="R267" i="96" s="1"/>
  <c r="Q269" i="96"/>
  <c r="P269" i="96"/>
  <c r="N269" i="96"/>
  <c r="N268" i="96" s="1"/>
  <c r="N267" i="96" s="1"/>
  <c r="M269" i="96"/>
  <c r="L269" i="96"/>
  <c r="J269" i="96"/>
  <c r="I269" i="96"/>
  <c r="I268" i="96" s="1"/>
  <c r="I267" i="96" s="1"/>
  <c r="H269" i="96"/>
  <c r="H268" i="96" s="1"/>
  <c r="H267" i="96" s="1"/>
  <c r="G269" i="96"/>
  <c r="G268" i="96" s="1"/>
  <c r="G267" i="96" s="1"/>
  <c r="Q268" i="96"/>
  <c r="P268" i="96"/>
  <c r="M268" i="96"/>
  <c r="M267" i="96" s="1"/>
  <c r="L268" i="96"/>
  <c r="L267" i="96" s="1"/>
  <c r="K268" i="96"/>
  <c r="K267" i="96" s="1"/>
  <c r="J268" i="96"/>
  <c r="J267" i="96" s="1"/>
  <c r="Q267" i="96"/>
  <c r="P267" i="96"/>
  <c r="O267" i="96"/>
  <c r="S266" i="96"/>
  <c r="O266" i="96"/>
  <c r="O263" i="96" s="1"/>
  <c r="O262" i="96" s="1"/>
  <c r="O261" i="96" s="1"/>
  <c r="K266" i="96"/>
  <c r="K263" i="96" s="1"/>
  <c r="G266" i="96"/>
  <c r="G263" i="96" s="1"/>
  <c r="G262" i="96" s="1"/>
  <c r="G261" i="96" s="1"/>
  <c r="S265" i="96"/>
  <c r="O265" i="96"/>
  <c r="K265" i="96"/>
  <c r="J265" i="96"/>
  <c r="S264" i="96"/>
  <c r="O264" i="96"/>
  <c r="K264" i="96"/>
  <c r="J264" i="96"/>
  <c r="J263" i="96" s="1"/>
  <c r="V263" i="96"/>
  <c r="U263" i="96"/>
  <c r="U262" i="96" s="1"/>
  <c r="U261" i="96" s="1"/>
  <c r="T263" i="96"/>
  <c r="T262" i="96" s="1"/>
  <c r="T261" i="96" s="1"/>
  <c r="S263" i="96"/>
  <c r="S262" i="96" s="1"/>
  <c r="S261" i="96" s="1"/>
  <c r="R263" i="96"/>
  <c r="R262" i="96" s="1"/>
  <c r="R261" i="96" s="1"/>
  <c r="Q263" i="96"/>
  <c r="P263" i="96"/>
  <c r="N263" i="96"/>
  <c r="M263" i="96"/>
  <c r="L263" i="96"/>
  <c r="I263" i="96"/>
  <c r="I262" i="96" s="1"/>
  <c r="I261" i="96" s="1"/>
  <c r="H263" i="96"/>
  <c r="H262" i="96" s="1"/>
  <c r="H261" i="96" s="1"/>
  <c r="V262" i="96"/>
  <c r="V261" i="96" s="1"/>
  <c r="Q262" i="96"/>
  <c r="P262" i="96"/>
  <c r="N262" i="96"/>
  <c r="M262" i="96"/>
  <c r="M261" i="96" s="1"/>
  <c r="L262" i="96"/>
  <c r="L261" i="96" s="1"/>
  <c r="K262" i="96"/>
  <c r="K261" i="96" s="1"/>
  <c r="J262" i="96"/>
  <c r="J261" i="96" s="1"/>
  <c r="Q261" i="96"/>
  <c r="P261" i="96"/>
  <c r="N261" i="96"/>
  <c r="S260" i="96"/>
  <c r="S259" i="96" s="1"/>
  <c r="S258" i="96" s="1"/>
  <c r="S257" i="96" s="1"/>
  <c r="O260" i="96"/>
  <c r="O259" i="96" s="1"/>
  <c r="O258" i="96" s="1"/>
  <c r="O257" i="96" s="1"/>
  <c r="K260" i="96"/>
  <c r="K259" i="96" s="1"/>
  <c r="K258" i="96" s="1"/>
  <c r="K257" i="96" s="1"/>
  <c r="J260" i="96"/>
  <c r="V259" i="96"/>
  <c r="V258" i="96" s="1"/>
  <c r="V257" i="96" s="1"/>
  <c r="U259" i="96"/>
  <c r="T259" i="96"/>
  <c r="R259" i="96"/>
  <c r="Q259" i="96"/>
  <c r="P259" i="96"/>
  <c r="N259" i="96"/>
  <c r="M259" i="96"/>
  <c r="M258" i="96" s="1"/>
  <c r="M257" i="96" s="1"/>
  <c r="L259" i="96"/>
  <c r="L258" i="96" s="1"/>
  <c r="L257" i="96" s="1"/>
  <c r="J259" i="96"/>
  <c r="J258" i="96" s="1"/>
  <c r="J257" i="96" s="1"/>
  <c r="I259" i="96"/>
  <c r="H259" i="96"/>
  <c r="G259" i="96"/>
  <c r="U258" i="96"/>
  <c r="T258" i="96"/>
  <c r="R258" i="96"/>
  <c r="Q258" i="96"/>
  <c r="Q257" i="96" s="1"/>
  <c r="P258" i="96"/>
  <c r="P257" i="96" s="1"/>
  <c r="N258" i="96"/>
  <c r="N257" i="96" s="1"/>
  <c r="I258" i="96"/>
  <c r="H258" i="96"/>
  <c r="G258" i="96"/>
  <c r="U257" i="96"/>
  <c r="T257" i="96"/>
  <c r="R257" i="96"/>
  <c r="I257" i="96"/>
  <c r="H257" i="96"/>
  <c r="G257" i="96"/>
  <c r="V254" i="96"/>
  <c r="V253" i="96" s="1"/>
  <c r="V252" i="96" s="1"/>
  <c r="U254" i="96"/>
  <c r="T254" i="96"/>
  <c r="S254" i="96"/>
  <c r="R254" i="96"/>
  <c r="Q254" i="96"/>
  <c r="P254" i="96"/>
  <c r="O254" i="96"/>
  <c r="N254" i="96"/>
  <c r="M254" i="96"/>
  <c r="M253" i="96" s="1"/>
  <c r="M252" i="96" s="1"/>
  <c r="L254" i="96"/>
  <c r="L253" i="96" s="1"/>
  <c r="L252" i="96" s="1"/>
  <c r="K254" i="96"/>
  <c r="K253" i="96" s="1"/>
  <c r="K252" i="96" s="1"/>
  <c r="J254" i="96"/>
  <c r="J253" i="96" s="1"/>
  <c r="J252" i="96" s="1"/>
  <c r="I254" i="96"/>
  <c r="H254" i="96"/>
  <c r="G254" i="96"/>
  <c r="U253" i="96"/>
  <c r="T253" i="96"/>
  <c r="S253" i="96"/>
  <c r="R253" i="96"/>
  <c r="Q253" i="96"/>
  <c r="Q252" i="96" s="1"/>
  <c r="P253" i="96"/>
  <c r="P252" i="96" s="1"/>
  <c r="O253" i="96"/>
  <c r="O252" i="96" s="1"/>
  <c r="N253" i="96"/>
  <c r="N252" i="96" s="1"/>
  <c r="I253" i="96"/>
  <c r="H253" i="96"/>
  <c r="G253" i="96"/>
  <c r="U252" i="96"/>
  <c r="T252" i="96"/>
  <c r="S252" i="96"/>
  <c r="R252" i="96"/>
  <c r="I252" i="96"/>
  <c r="H252" i="96"/>
  <c r="G252" i="96"/>
  <c r="S251" i="96"/>
  <c r="S250" i="96" s="1"/>
  <c r="S249" i="96" s="1"/>
  <c r="S248" i="96" s="1"/>
  <c r="O251" i="96"/>
  <c r="K251" i="96"/>
  <c r="G251" i="96"/>
  <c r="V250" i="96"/>
  <c r="U250" i="96"/>
  <c r="T250" i="96"/>
  <c r="R250" i="96"/>
  <c r="Q250" i="96"/>
  <c r="Q249" i="96" s="1"/>
  <c r="Q248" i="96" s="1"/>
  <c r="P250" i="96"/>
  <c r="P249" i="96" s="1"/>
  <c r="P248" i="96" s="1"/>
  <c r="O250" i="96"/>
  <c r="O249" i="96" s="1"/>
  <c r="O248" i="96" s="1"/>
  <c r="N250" i="96"/>
  <c r="N249" i="96" s="1"/>
  <c r="N248" i="96" s="1"/>
  <c r="M250" i="96"/>
  <c r="L250" i="96"/>
  <c r="K250" i="96"/>
  <c r="J250" i="96"/>
  <c r="I250" i="96"/>
  <c r="H250" i="96"/>
  <c r="G250" i="96"/>
  <c r="V249" i="96"/>
  <c r="U249" i="96"/>
  <c r="U248" i="96" s="1"/>
  <c r="T249" i="96"/>
  <c r="T248" i="96" s="1"/>
  <c r="R249" i="96"/>
  <c r="R248" i="96" s="1"/>
  <c r="M249" i="96"/>
  <c r="L249" i="96"/>
  <c r="K249" i="96"/>
  <c r="J249" i="96"/>
  <c r="I249" i="96"/>
  <c r="I248" i="96" s="1"/>
  <c r="H249" i="96"/>
  <c r="H248" i="96" s="1"/>
  <c r="G249" i="96"/>
  <c r="G248" i="96" s="1"/>
  <c r="V248" i="96"/>
  <c r="M248" i="96"/>
  <c r="L248" i="96"/>
  <c r="K248" i="96"/>
  <c r="J248" i="96"/>
  <c r="S247" i="96"/>
  <c r="O247" i="96"/>
  <c r="K247" i="96"/>
  <c r="G247" i="96"/>
  <c r="S246" i="96"/>
  <c r="O246" i="96"/>
  <c r="O245" i="96" s="1"/>
  <c r="O244" i="96" s="1"/>
  <c r="O243" i="96" s="1"/>
  <c r="O242" i="96" s="1"/>
  <c r="K246" i="96"/>
  <c r="G246" i="96"/>
  <c r="G245" i="96" s="1"/>
  <c r="G244" i="96" s="1"/>
  <c r="G243" i="96" s="1"/>
  <c r="V245" i="96"/>
  <c r="V244" i="96" s="1"/>
  <c r="V243" i="96" s="1"/>
  <c r="U245" i="96"/>
  <c r="T245" i="96"/>
  <c r="S245" i="96"/>
  <c r="R245" i="96"/>
  <c r="Q245" i="96"/>
  <c r="P245" i="96"/>
  <c r="N245" i="96"/>
  <c r="M245" i="96"/>
  <c r="M244" i="96" s="1"/>
  <c r="M243" i="96" s="1"/>
  <c r="L245" i="96"/>
  <c r="L244" i="96" s="1"/>
  <c r="L243" i="96" s="1"/>
  <c r="K245" i="96"/>
  <c r="K244" i="96" s="1"/>
  <c r="K243" i="96" s="1"/>
  <c r="J245" i="96"/>
  <c r="J244" i="96" s="1"/>
  <c r="J243" i="96" s="1"/>
  <c r="J242" i="96" s="1"/>
  <c r="I245" i="96"/>
  <c r="H245" i="96"/>
  <c r="U244" i="96"/>
  <c r="T244" i="96"/>
  <c r="S244" i="96"/>
  <c r="R244" i="96"/>
  <c r="Q244" i="96"/>
  <c r="Q243" i="96" s="1"/>
  <c r="P244" i="96"/>
  <c r="P243" i="96" s="1"/>
  <c r="P242" i="96" s="1"/>
  <c r="N244" i="96"/>
  <c r="N243" i="96" s="1"/>
  <c r="I244" i="96"/>
  <c r="H244" i="96"/>
  <c r="U243" i="96"/>
  <c r="T243" i="96"/>
  <c r="S243" i="96"/>
  <c r="R243" i="96"/>
  <c r="I243" i="96"/>
  <c r="H243" i="96"/>
  <c r="L242" i="96"/>
  <c r="S240" i="96"/>
  <c r="O240" i="96"/>
  <c r="O239" i="96" s="1"/>
  <c r="K240" i="96"/>
  <c r="G240" i="96"/>
  <c r="G239" i="96" s="1"/>
  <c r="G238" i="96" s="1"/>
  <c r="G237" i="96" s="1"/>
  <c r="V239" i="96"/>
  <c r="V238" i="96" s="1"/>
  <c r="V237" i="96" s="1"/>
  <c r="U239" i="96"/>
  <c r="T239" i="96"/>
  <c r="S239" i="96"/>
  <c r="R239" i="96"/>
  <c r="Q239" i="96"/>
  <c r="P239" i="96"/>
  <c r="N239" i="96"/>
  <c r="M239" i="96"/>
  <c r="M238" i="96" s="1"/>
  <c r="M237" i="96" s="1"/>
  <c r="L239" i="96"/>
  <c r="L238" i="96" s="1"/>
  <c r="L237" i="96" s="1"/>
  <c r="K239" i="96"/>
  <c r="K238" i="96" s="1"/>
  <c r="K237" i="96" s="1"/>
  <c r="J239" i="96"/>
  <c r="J238" i="96" s="1"/>
  <c r="J237" i="96" s="1"/>
  <c r="I239" i="96"/>
  <c r="H239" i="96"/>
  <c r="U238" i="96"/>
  <c r="T238" i="96"/>
  <c r="S238" i="96"/>
  <c r="R238" i="96"/>
  <c r="Q238" i="96"/>
  <c r="Q237" i="96" s="1"/>
  <c r="P238" i="96"/>
  <c r="P237" i="96" s="1"/>
  <c r="O238" i="96"/>
  <c r="O237" i="96" s="1"/>
  <c r="N238" i="96"/>
  <c r="N237" i="96" s="1"/>
  <c r="I238" i="96"/>
  <c r="H238" i="96"/>
  <c r="U237" i="96"/>
  <c r="T237" i="96"/>
  <c r="S237" i="96"/>
  <c r="R237" i="96"/>
  <c r="I237" i="96"/>
  <c r="H237" i="96"/>
  <c r="S236" i="96"/>
  <c r="S235" i="96" s="1"/>
  <c r="O236" i="96"/>
  <c r="K236" i="96"/>
  <c r="G236" i="96"/>
  <c r="V235" i="96"/>
  <c r="U235" i="96"/>
  <c r="T235" i="96"/>
  <c r="R235" i="96"/>
  <c r="Q235" i="96"/>
  <c r="Q234" i="96" s="1"/>
  <c r="Q233" i="96" s="1"/>
  <c r="P235" i="96"/>
  <c r="P234" i="96" s="1"/>
  <c r="P233" i="96" s="1"/>
  <c r="O235" i="96"/>
  <c r="O234" i="96" s="1"/>
  <c r="O233" i="96" s="1"/>
  <c r="N235" i="96"/>
  <c r="N234" i="96" s="1"/>
  <c r="N233" i="96" s="1"/>
  <c r="M235" i="96"/>
  <c r="L235" i="96"/>
  <c r="K235" i="96"/>
  <c r="J235" i="96"/>
  <c r="J234" i="96" s="1"/>
  <c r="I235" i="96"/>
  <c r="H235" i="96"/>
  <c r="G235" i="96"/>
  <c r="V234" i="96"/>
  <c r="U234" i="96"/>
  <c r="U233" i="96" s="1"/>
  <c r="T234" i="96"/>
  <c r="T233" i="96" s="1"/>
  <c r="S234" i="96"/>
  <c r="S233" i="96" s="1"/>
  <c r="R234" i="96"/>
  <c r="R233" i="96" s="1"/>
  <c r="M234" i="96"/>
  <c r="L234" i="96"/>
  <c r="K234" i="96"/>
  <c r="I234" i="96"/>
  <c r="I233" i="96" s="1"/>
  <c r="H234" i="96"/>
  <c r="H233" i="96" s="1"/>
  <c r="G234" i="96"/>
  <c r="G233" i="96" s="1"/>
  <c r="V233" i="96"/>
  <c r="M233" i="96"/>
  <c r="L233" i="96"/>
  <c r="K233" i="96"/>
  <c r="J233" i="96"/>
  <c r="S232" i="96"/>
  <c r="O232" i="96"/>
  <c r="K232" i="96"/>
  <c r="G232" i="96"/>
  <c r="V231" i="96"/>
  <c r="U231" i="96"/>
  <c r="U230" i="96" s="1"/>
  <c r="U229" i="96" s="1"/>
  <c r="U228" i="96" s="1"/>
  <c r="T231" i="96"/>
  <c r="T230" i="96" s="1"/>
  <c r="T229" i="96" s="1"/>
  <c r="S231" i="96"/>
  <c r="S230" i="96" s="1"/>
  <c r="S229" i="96" s="1"/>
  <c r="S228" i="96" s="1"/>
  <c r="R231" i="96"/>
  <c r="R230" i="96" s="1"/>
  <c r="R229" i="96" s="1"/>
  <c r="Q231" i="96"/>
  <c r="P231" i="96"/>
  <c r="O231" i="96"/>
  <c r="N231" i="96"/>
  <c r="N230" i="96" s="1"/>
  <c r="M231" i="96"/>
  <c r="L231" i="96"/>
  <c r="K231" i="96"/>
  <c r="J231" i="96"/>
  <c r="I231" i="96"/>
  <c r="I230" i="96" s="1"/>
  <c r="I229" i="96" s="1"/>
  <c r="I228" i="96" s="1"/>
  <c r="H231" i="96"/>
  <c r="H230" i="96" s="1"/>
  <c r="H229" i="96" s="1"/>
  <c r="H228" i="96" s="1"/>
  <c r="G231" i="96"/>
  <c r="G230" i="96" s="1"/>
  <c r="G229" i="96" s="1"/>
  <c r="G228" i="96" s="1"/>
  <c r="V230" i="96"/>
  <c r="V229" i="96" s="1"/>
  <c r="Q230" i="96"/>
  <c r="P230" i="96"/>
  <c r="O230" i="96"/>
  <c r="M230" i="96"/>
  <c r="M229" i="96" s="1"/>
  <c r="L230" i="96"/>
  <c r="L229" i="96" s="1"/>
  <c r="K230" i="96"/>
  <c r="K229" i="96" s="1"/>
  <c r="J230" i="96"/>
  <c r="J229" i="96" s="1"/>
  <c r="Q229" i="96"/>
  <c r="P229" i="96"/>
  <c r="P228" i="96" s="1"/>
  <c r="O229" i="96"/>
  <c r="O228" i="96" s="1"/>
  <c r="N229" i="96"/>
  <c r="N228" i="96" s="1"/>
  <c r="T228" i="96"/>
  <c r="S227" i="96"/>
  <c r="O227" i="96"/>
  <c r="K227" i="96"/>
  <c r="G227" i="96"/>
  <c r="S226" i="96"/>
  <c r="O226" i="96"/>
  <c r="K226" i="96"/>
  <c r="G226" i="96"/>
  <c r="V225" i="96"/>
  <c r="U225" i="96"/>
  <c r="U224" i="96" s="1"/>
  <c r="U223" i="96" s="1"/>
  <c r="T225" i="96"/>
  <c r="T224" i="96" s="1"/>
  <c r="T223" i="96" s="1"/>
  <c r="S225" i="96"/>
  <c r="S224" i="96" s="1"/>
  <c r="S223" i="96" s="1"/>
  <c r="R225" i="96"/>
  <c r="R224" i="96" s="1"/>
  <c r="R223" i="96" s="1"/>
  <c r="Q225" i="96"/>
  <c r="P225" i="96"/>
  <c r="O225" i="96"/>
  <c r="N225" i="96"/>
  <c r="N224" i="96" s="1"/>
  <c r="N223" i="96" s="1"/>
  <c r="M225" i="96"/>
  <c r="L225" i="96"/>
  <c r="K225" i="96"/>
  <c r="J225" i="96"/>
  <c r="I225" i="96"/>
  <c r="I224" i="96" s="1"/>
  <c r="I223" i="96" s="1"/>
  <c r="H225" i="96"/>
  <c r="H224" i="96" s="1"/>
  <c r="H223" i="96" s="1"/>
  <c r="G225" i="96"/>
  <c r="G224" i="96" s="1"/>
  <c r="G223" i="96" s="1"/>
  <c r="V224" i="96"/>
  <c r="V223" i="96" s="1"/>
  <c r="Q224" i="96"/>
  <c r="P224" i="96"/>
  <c r="O224" i="96"/>
  <c r="M224" i="96"/>
  <c r="M223" i="96" s="1"/>
  <c r="L224" i="96"/>
  <c r="L223" i="96" s="1"/>
  <c r="K224" i="96"/>
  <c r="K223" i="96" s="1"/>
  <c r="J224" i="96"/>
  <c r="J223" i="96" s="1"/>
  <c r="Q223" i="96"/>
  <c r="P223" i="96"/>
  <c r="O223" i="96"/>
  <c r="S222" i="96"/>
  <c r="O222" i="96"/>
  <c r="K222" i="96"/>
  <c r="K220" i="96" s="1"/>
  <c r="K219" i="96" s="1"/>
  <c r="K218" i="96" s="1"/>
  <c r="J222" i="96"/>
  <c r="J220" i="96" s="1"/>
  <c r="J219" i="96" s="1"/>
  <c r="J218" i="96" s="1"/>
  <c r="S221" i="96"/>
  <c r="S220" i="96" s="1"/>
  <c r="S219" i="96" s="1"/>
  <c r="S218" i="96" s="1"/>
  <c r="O221" i="96"/>
  <c r="K221" i="96"/>
  <c r="J221" i="96"/>
  <c r="V220" i="96"/>
  <c r="V219" i="96" s="1"/>
  <c r="U220" i="96"/>
  <c r="T220" i="96"/>
  <c r="R220" i="96"/>
  <c r="Q220" i="96"/>
  <c r="Q219" i="96" s="1"/>
  <c r="Q218" i="96" s="1"/>
  <c r="P220" i="96"/>
  <c r="P219" i="96" s="1"/>
  <c r="P218" i="96" s="1"/>
  <c r="O220" i="96"/>
  <c r="O219" i="96" s="1"/>
  <c r="O218" i="96" s="1"/>
  <c r="N220" i="96"/>
  <c r="N219" i="96" s="1"/>
  <c r="N218" i="96" s="1"/>
  <c r="M220" i="96"/>
  <c r="L220" i="96"/>
  <c r="I220" i="96"/>
  <c r="H220" i="96"/>
  <c r="G220" i="96"/>
  <c r="U219" i="96"/>
  <c r="U218" i="96" s="1"/>
  <c r="T219" i="96"/>
  <c r="T218" i="96" s="1"/>
  <c r="R219" i="96"/>
  <c r="R218" i="96" s="1"/>
  <c r="M219" i="96"/>
  <c r="L219" i="96"/>
  <c r="I219" i="96"/>
  <c r="I218" i="96" s="1"/>
  <c r="H219" i="96"/>
  <c r="H218" i="96" s="1"/>
  <c r="G219" i="96"/>
  <c r="G218" i="96" s="1"/>
  <c r="V218" i="96"/>
  <c r="M218" i="96"/>
  <c r="L218" i="96"/>
  <c r="S217" i="96"/>
  <c r="O217" i="96"/>
  <c r="K217" i="96"/>
  <c r="J217" i="96"/>
  <c r="S216" i="96"/>
  <c r="O216" i="96"/>
  <c r="O213" i="96" s="1"/>
  <c r="O212" i="96" s="1"/>
  <c r="O211" i="96" s="1"/>
  <c r="K216" i="96"/>
  <c r="K213" i="96" s="1"/>
  <c r="K212" i="96" s="1"/>
  <c r="K211" i="96" s="1"/>
  <c r="J216" i="96"/>
  <c r="S215" i="96"/>
  <c r="O215" i="96"/>
  <c r="K215" i="96"/>
  <c r="J215" i="96"/>
  <c r="S214" i="96"/>
  <c r="O214" i="96"/>
  <c r="K214" i="96"/>
  <c r="J214" i="96"/>
  <c r="V213" i="96"/>
  <c r="U213" i="96"/>
  <c r="U212" i="96" s="1"/>
  <c r="U211" i="96" s="1"/>
  <c r="T213" i="96"/>
  <c r="T212" i="96" s="1"/>
  <c r="T211" i="96" s="1"/>
  <c r="S213" i="96"/>
  <c r="S212" i="96" s="1"/>
  <c r="S211" i="96" s="1"/>
  <c r="R213" i="96"/>
  <c r="R212" i="96" s="1"/>
  <c r="R211" i="96" s="1"/>
  <c r="Q213" i="96"/>
  <c r="P213" i="96"/>
  <c r="N213" i="96"/>
  <c r="N212" i="96" s="1"/>
  <c r="M213" i="96"/>
  <c r="L213" i="96"/>
  <c r="I213" i="96"/>
  <c r="I212" i="96" s="1"/>
  <c r="I211" i="96" s="1"/>
  <c r="H213" i="96"/>
  <c r="H212" i="96" s="1"/>
  <c r="H211" i="96" s="1"/>
  <c r="G213" i="96"/>
  <c r="G212" i="96" s="1"/>
  <c r="G211" i="96" s="1"/>
  <c r="V212" i="96"/>
  <c r="V211" i="96" s="1"/>
  <c r="Q212" i="96"/>
  <c r="P212" i="96"/>
  <c r="M212" i="96"/>
  <c r="M211" i="96" s="1"/>
  <c r="L212" i="96"/>
  <c r="L211" i="96" s="1"/>
  <c r="Q211" i="96"/>
  <c r="P211" i="96"/>
  <c r="N211" i="96"/>
  <c r="K210" i="96"/>
  <c r="V209" i="96"/>
  <c r="V208" i="96" s="1"/>
  <c r="V207" i="96" s="1"/>
  <c r="U209" i="96"/>
  <c r="U208" i="96" s="1"/>
  <c r="U207" i="96" s="1"/>
  <c r="T209" i="96"/>
  <c r="T208" i="96" s="1"/>
  <c r="S209" i="96"/>
  <c r="S208" i="96" s="1"/>
  <c r="S207" i="96" s="1"/>
  <c r="R209" i="96"/>
  <c r="Q209" i="96"/>
  <c r="P209" i="96"/>
  <c r="O209" i="96"/>
  <c r="O208" i="96" s="1"/>
  <c r="O207" i="96" s="1"/>
  <c r="N209" i="96"/>
  <c r="M209" i="96"/>
  <c r="L209" i="96"/>
  <c r="L208" i="96" s="1"/>
  <c r="L207" i="96" s="1"/>
  <c r="K209" i="96"/>
  <c r="J209" i="96"/>
  <c r="J208" i="96" s="1"/>
  <c r="J207" i="96" s="1"/>
  <c r="I209" i="96"/>
  <c r="I208" i="96" s="1"/>
  <c r="I207" i="96" s="1"/>
  <c r="H209" i="96"/>
  <c r="H208" i="96" s="1"/>
  <c r="H207" i="96" s="1"/>
  <c r="G209" i="96"/>
  <c r="G208" i="96" s="1"/>
  <c r="G207" i="96" s="1"/>
  <c r="R208" i="96"/>
  <c r="Q208" i="96"/>
  <c r="P208" i="96"/>
  <c r="N208" i="96"/>
  <c r="N207" i="96" s="1"/>
  <c r="M208" i="96"/>
  <c r="K208" i="96"/>
  <c r="K207" i="96" s="1"/>
  <c r="T207" i="96"/>
  <c r="R207" i="96"/>
  <c r="Q207" i="96"/>
  <c r="P207" i="96"/>
  <c r="M207" i="96"/>
  <c r="S206" i="96"/>
  <c r="O206" i="96"/>
  <c r="K206" i="96"/>
  <c r="V205" i="96"/>
  <c r="U205" i="96"/>
  <c r="T205" i="96"/>
  <c r="T204" i="96" s="1"/>
  <c r="T203" i="96" s="1"/>
  <c r="S205" i="96"/>
  <c r="S204" i="96" s="1"/>
  <c r="R205" i="96"/>
  <c r="R204" i="96" s="1"/>
  <c r="R203" i="96" s="1"/>
  <c r="R202" i="96" s="1"/>
  <c r="Q205" i="96"/>
  <c r="P205" i="96"/>
  <c r="P204" i="96" s="1"/>
  <c r="P203" i="96" s="1"/>
  <c r="P202" i="96" s="1"/>
  <c r="O205" i="96"/>
  <c r="N205" i="96"/>
  <c r="M205" i="96"/>
  <c r="L205" i="96"/>
  <c r="K205" i="96"/>
  <c r="J205" i="96"/>
  <c r="I205" i="96"/>
  <c r="I204" i="96" s="1"/>
  <c r="I203" i="96" s="1"/>
  <c r="I202" i="96" s="1"/>
  <c r="H205" i="96"/>
  <c r="H204" i="96" s="1"/>
  <c r="H203" i="96" s="1"/>
  <c r="G205" i="96"/>
  <c r="G204" i="96" s="1"/>
  <c r="V204" i="96"/>
  <c r="V203" i="96" s="1"/>
  <c r="U204" i="96"/>
  <c r="U203" i="96" s="1"/>
  <c r="Q204" i="96"/>
  <c r="O204" i="96"/>
  <c r="O203" i="96" s="1"/>
  <c r="O202" i="96" s="1"/>
  <c r="N204" i="96"/>
  <c r="M204" i="96"/>
  <c r="M203" i="96" s="1"/>
  <c r="L204" i="96"/>
  <c r="L203" i="96" s="1"/>
  <c r="K204" i="96"/>
  <c r="K203" i="96" s="1"/>
  <c r="K202" i="96" s="1"/>
  <c r="J204" i="96"/>
  <c r="J203" i="96" s="1"/>
  <c r="S203" i="96"/>
  <c r="S202" i="96" s="1"/>
  <c r="Q203" i="96"/>
  <c r="N203" i="96"/>
  <c r="G203" i="96"/>
  <c r="U202" i="96"/>
  <c r="G202" i="96"/>
  <c r="S201" i="96"/>
  <c r="O201" i="96"/>
  <c r="K201" i="96"/>
  <c r="K200" i="96" s="1"/>
  <c r="K199" i="96" s="1"/>
  <c r="K198" i="96" s="1"/>
  <c r="G201" i="96"/>
  <c r="V200" i="96"/>
  <c r="V199" i="96" s="1"/>
  <c r="V198" i="96" s="1"/>
  <c r="U200" i="96"/>
  <c r="T200" i="96"/>
  <c r="S200" i="96"/>
  <c r="S199" i="96" s="1"/>
  <c r="S198" i="96" s="1"/>
  <c r="R200" i="96"/>
  <c r="Q200" i="96"/>
  <c r="Q199" i="96" s="1"/>
  <c r="Q198" i="96" s="1"/>
  <c r="P200" i="96"/>
  <c r="P199" i="96" s="1"/>
  <c r="P198" i="96" s="1"/>
  <c r="O200" i="96"/>
  <c r="O199" i="96" s="1"/>
  <c r="O198" i="96" s="1"/>
  <c r="N200" i="96"/>
  <c r="N199" i="96" s="1"/>
  <c r="N198" i="96" s="1"/>
  <c r="M200" i="96"/>
  <c r="M199" i="96" s="1"/>
  <c r="M198" i="96" s="1"/>
  <c r="L200" i="96"/>
  <c r="L199" i="96" s="1"/>
  <c r="L198" i="96" s="1"/>
  <c r="L189" i="96" s="1"/>
  <c r="J200" i="96"/>
  <c r="J199" i="96" s="1"/>
  <c r="J198" i="96" s="1"/>
  <c r="I200" i="96"/>
  <c r="H200" i="96"/>
  <c r="G200" i="96"/>
  <c r="U199" i="96"/>
  <c r="U198" i="96" s="1"/>
  <c r="T199" i="96"/>
  <c r="T198" i="96" s="1"/>
  <c r="R199" i="96"/>
  <c r="R198" i="96" s="1"/>
  <c r="I199" i="96"/>
  <c r="I198" i="96" s="1"/>
  <c r="H199" i="96"/>
  <c r="H198" i="96" s="1"/>
  <c r="G199" i="96"/>
  <c r="G198" i="96" s="1"/>
  <c r="S197" i="96"/>
  <c r="O197" i="96"/>
  <c r="K197" i="96"/>
  <c r="G197" i="96"/>
  <c r="G195" i="96" s="1"/>
  <c r="G194" i="96" s="1"/>
  <c r="S196" i="96"/>
  <c r="O196" i="96"/>
  <c r="O195" i="96" s="1"/>
  <c r="O194" i="96" s="1"/>
  <c r="K196" i="96"/>
  <c r="V195" i="96"/>
  <c r="V194" i="96" s="1"/>
  <c r="U195" i="96"/>
  <c r="T195" i="96"/>
  <c r="S195" i="96"/>
  <c r="S194" i="96" s="1"/>
  <c r="R195" i="96"/>
  <c r="Q195" i="96"/>
  <c r="P195" i="96"/>
  <c r="N195" i="96"/>
  <c r="N194" i="96" s="1"/>
  <c r="M195" i="96"/>
  <c r="L195" i="96"/>
  <c r="K195" i="96"/>
  <c r="K194" i="96" s="1"/>
  <c r="J195" i="96"/>
  <c r="I195" i="96"/>
  <c r="H195" i="96"/>
  <c r="R194" i="96"/>
  <c r="J194" i="96"/>
  <c r="J190" i="96" s="1"/>
  <c r="J189" i="96" s="1"/>
  <c r="S193" i="96"/>
  <c r="G193" i="96"/>
  <c r="S192" i="96"/>
  <c r="S191" i="96" s="1"/>
  <c r="S190" i="96" s="1"/>
  <c r="G192" i="96"/>
  <c r="G191" i="96" s="1"/>
  <c r="G190" i="96" s="1"/>
  <c r="V191" i="96"/>
  <c r="U191" i="96"/>
  <c r="U190" i="96" s="1"/>
  <c r="U189" i="96" s="1"/>
  <c r="T191" i="96"/>
  <c r="R191" i="96"/>
  <c r="Q191" i="96"/>
  <c r="P191" i="96"/>
  <c r="P190" i="96" s="1"/>
  <c r="O191" i="96"/>
  <c r="N191" i="96"/>
  <c r="M191" i="96"/>
  <c r="M190" i="96" s="1"/>
  <c r="L191" i="96"/>
  <c r="L190" i="96" s="1"/>
  <c r="K191" i="96"/>
  <c r="J191" i="96"/>
  <c r="I191" i="96"/>
  <c r="I190" i="96" s="1"/>
  <c r="H191" i="96"/>
  <c r="V190" i="96"/>
  <c r="V189" i="96" s="1"/>
  <c r="T190" i="96"/>
  <c r="R190" i="96"/>
  <c r="R189" i="96" s="1"/>
  <c r="Q190" i="96"/>
  <c r="H190" i="96"/>
  <c r="H189" i="96" s="1"/>
  <c r="V188" i="96"/>
  <c r="S188" i="96"/>
  <c r="O188" i="96"/>
  <c r="K188" i="96"/>
  <c r="S187" i="96"/>
  <c r="O187" i="96"/>
  <c r="K187" i="96"/>
  <c r="S186" i="96"/>
  <c r="S184" i="96" s="1"/>
  <c r="S183" i="96" s="1"/>
  <c r="S182" i="96" s="1"/>
  <c r="O186" i="96"/>
  <c r="K186" i="96"/>
  <c r="S185" i="96"/>
  <c r="O185" i="96"/>
  <c r="K185" i="96"/>
  <c r="V184" i="96"/>
  <c r="V183" i="96" s="1"/>
  <c r="V182" i="96" s="1"/>
  <c r="U184" i="96"/>
  <c r="T184" i="96"/>
  <c r="R184" i="96"/>
  <c r="Q184" i="96"/>
  <c r="Q183" i="96" s="1"/>
  <c r="Q182" i="96" s="1"/>
  <c r="P184" i="96"/>
  <c r="P183" i="96" s="1"/>
  <c r="P182" i="96" s="1"/>
  <c r="O184" i="96"/>
  <c r="O183" i="96" s="1"/>
  <c r="N184" i="96"/>
  <c r="N183" i="96" s="1"/>
  <c r="N182" i="96" s="1"/>
  <c r="M184" i="96"/>
  <c r="M183" i="96" s="1"/>
  <c r="L184" i="96"/>
  <c r="L183" i="96" s="1"/>
  <c r="J184" i="96"/>
  <c r="J183" i="96" s="1"/>
  <c r="J182" i="96" s="1"/>
  <c r="I184" i="96"/>
  <c r="H184" i="96"/>
  <c r="G184" i="96"/>
  <c r="G183" i="96" s="1"/>
  <c r="G182" i="96" s="1"/>
  <c r="U183" i="96"/>
  <c r="U182" i="96" s="1"/>
  <c r="T183" i="96"/>
  <c r="T182" i="96" s="1"/>
  <c r="R183" i="96"/>
  <c r="R182" i="96" s="1"/>
  <c r="I183" i="96"/>
  <c r="I182" i="96" s="1"/>
  <c r="H183" i="96"/>
  <c r="H182" i="96" s="1"/>
  <c r="O182" i="96"/>
  <c r="M182" i="96"/>
  <c r="L182" i="96"/>
  <c r="S181" i="96"/>
  <c r="O181" i="96"/>
  <c r="K181" i="96"/>
  <c r="G181" i="96"/>
  <c r="G180" i="96" s="1"/>
  <c r="G179" i="96" s="1"/>
  <c r="G178" i="96" s="1"/>
  <c r="G177" i="96" s="1"/>
  <c r="V180" i="96"/>
  <c r="U180" i="96"/>
  <c r="U179" i="96" s="1"/>
  <c r="U178" i="96" s="1"/>
  <c r="U177" i="96" s="1"/>
  <c r="T180" i="96"/>
  <c r="T179" i="96" s="1"/>
  <c r="T178" i="96" s="1"/>
  <c r="S180" i="96"/>
  <c r="S179" i="96" s="1"/>
  <c r="R180" i="96"/>
  <c r="R179" i="96" s="1"/>
  <c r="R178" i="96" s="1"/>
  <c r="R177" i="96" s="1"/>
  <c r="Q180" i="96"/>
  <c r="Q179" i="96" s="1"/>
  <c r="Q178" i="96" s="1"/>
  <c r="Q177" i="96" s="1"/>
  <c r="P180" i="96"/>
  <c r="P179" i="96" s="1"/>
  <c r="O180" i="96"/>
  <c r="N180" i="96"/>
  <c r="N179" i="96" s="1"/>
  <c r="N178" i="96" s="1"/>
  <c r="M180" i="96"/>
  <c r="L180" i="96"/>
  <c r="K180" i="96"/>
  <c r="K179" i="96" s="1"/>
  <c r="K178" i="96" s="1"/>
  <c r="J180" i="96"/>
  <c r="I180" i="96"/>
  <c r="I179" i="96" s="1"/>
  <c r="I178" i="96" s="1"/>
  <c r="H180" i="96"/>
  <c r="H179" i="96" s="1"/>
  <c r="H178" i="96" s="1"/>
  <c r="H177" i="96" s="1"/>
  <c r="V179" i="96"/>
  <c r="V178" i="96" s="1"/>
  <c r="O179" i="96"/>
  <c r="O178" i="96" s="1"/>
  <c r="O177" i="96" s="1"/>
  <c r="M179" i="96"/>
  <c r="M178" i="96" s="1"/>
  <c r="L179" i="96"/>
  <c r="L178" i="96" s="1"/>
  <c r="L177" i="96" s="1"/>
  <c r="J179" i="96"/>
  <c r="J178" i="96" s="1"/>
  <c r="S178" i="96"/>
  <c r="S177" i="96" s="1"/>
  <c r="P178" i="96"/>
  <c r="P177" i="96" s="1"/>
  <c r="T177" i="96"/>
  <c r="I177" i="96"/>
  <c r="S176" i="96"/>
  <c r="O176" i="96"/>
  <c r="K176" i="96"/>
  <c r="K175" i="96" s="1"/>
  <c r="K174" i="96" s="1"/>
  <c r="K173" i="96" s="1"/>
  <c r="K172" i="96" s="1"/>
  <c r="G176" i="96"/>
  <c r="V175" i="96"/>
  <c r="V174" i="96" s="1"/>
  <c r="V173" i="96" s="1"/>
  <c r="V172" i="96" s="1"/>
  <c r="U175" i="96"/>
  <c r="T175" i="96"/>
  <c r="S175" i="96"/>
  <c r="R175" i="96"/>
  <c r="Q175" i="96"/>
  <c r="Q174" i="96" s="1"/>
  <c r="Q173" i="96" s="1"/>
  <c r="Q172" i="96" s="1"/>
  <c r="P175" i="96"/>
  <c r="P174" i="96" s="1"/>
  <c r="P173" i="96" s="1"/>
  <c r="O175" i="96"/>
  <c r="O174" i="96" s="1"/>
  <c r="N175" i="96"/>
  <c r="N174" i="96" s="1"/>
  <c r="N173" i="96" s="1"/>
  <c r="N172" i="96" s="1"/>
  <c r="M175" i="96"/>
  <c r="M174" i="96" s="1"/>
  <c r="L175" i="96"/>
  <c r="L174" i="96" s="1"/>
  <c r="L173" i="96" s="1"/>
  <c r="L172" i="96" s="1"/>
  <c r="J175" i="96"/>
  <c r="J174" i="96" s="1"/>
  <c r="J173" i="96" s="1"/>
  <c r="J172" i="96" s="1"/>
  <c r="I175" i="96"/>
  <c r="H175" i="96"/>
  <c r="G175" i="96"/>
  <c r="G174" i="96" s="1"/>
  <c r="G173" i="96" s="1"/>
  <c r="G172" i="96" s="1"/>
  <c r="U174" i="96"/>
  <c r="U173" i="96" s="1"/>
  <c r="U172" i="96" s="1"/>
  <c r="T174" i="96"/>
  <c r="T173" i="96" s="1"/>
  <c r="T172" i="96" s="1"/>
  <c r="S174" i="96"/>
  <c r="S173" i="96" s="1"/>
  <c r="S172" i="96" s="1"/>
  <c r="R174" i="96"/>
  <c r="R173" i="96" s="1"/>
  <c r="R172" i="96" s="1"/>
  <c r="I174" i="96"/>
  <c r="I173" i="96" s="1"/>
  <c r="I172" i="96" s="1"/>
  <c r="H174" i="96"/>
  <c r="H173" i="96" s="1"/>
  <c r="H172" i="96" s="1"/>
  <c r="O173" i="96"/>
  <c r="O172" i="96" s="1"/>
  <c r="M173" i="96"/>
  <c r="M172" i="96" s="1"/>
  <c r="P172" i="96"/>
  <c r="V162" i="96"/>
  <c r="U162" i="96"/>
  <c r="U161" i="96" s="1"/>
  <c r="U160" i="96" s="1"/>
  <c r="T162" i="96"/>
  <c r="T161" i="96" s="1"/>
  <c r="T160" i="96" s="1"/>
  <c r="S162" i="96"/>
  <c r="S161" i="96" s="1"/>
  <c r="S160" i="96" s="1"/>
  <c r="R162" i="96"/>
  <c r="R161" i="96" s="1"/>
  <c r="R160" i="96" s="1"/>
  <c r="Q162" i="96"/>
  <c r="Q161" i="96" s="1"/>
  <c r="Q160" i="96" s="1"/>
  <c r="P162" i="96"/>
  <c r="P161" i="96" s="1"/>
  <c r="O162" i="96"/>
  <c r="N162" i="96"/>
  <c r="N161" i="96" s="1"/>
  <c r="N160" i="96" s="1"/>
  <c r="M162" i="96"/>
  <c r="L162" i="96"/>
  <c r="K162" i="96"/>
  <c r="J162" i="96"/>
  <c r="I162" i="96"/>
  <c r="I161" i="96" s="1"/>
  <c r="I160" i="96" s="1"/>
  <c r="H162" i="96"/>
  <c r="H161" i="96" s="1"/>
  <c r="H160" i="96" s="1"/>
  <c r="G162" i="96"/>
  <c r="G161" i="96" s="1"/>
  <c r="G160" i="96" s="1"/>
  <c r="V161" i="96"/>
  <c r="V160" i="96" s="1"/>
  <c r="O161" i="96"/>
  <c r="M161" i="96"/>
  <c r="M160" i="96" s="1"/>
  <c r="L161" i="96"/>
  <c r="L160" i="96" s="1"/>
  <c r="K161" i="96"/>
  <c r="K160" i="96" s="1"/>
  <c r="J161" i="96"/>
  <c r="J160" i="96" s="1"/>
  <c r="P160" i="96"/>
  <c r="O160" i="96"/>
  <c r="V150" i="96"/>
  <c r="U150" i="96"/>
  <c r="U149" i="96" s="1"/>
  <c r="U148" i="96" s="1"/>
  <c r="T150" i="96"/>
  <c r="T149" i="96" s="1"/>
  <c r="T148" i="96" s="1"/>
  <c r="S150" i="96"/>
  <c r="S149" i="96" s="1"/>
  <c r="S148" i="96" s="1"/>
  <c r="R150" i="96"/>
  <c r="R149" i="96" s="1"/>
  <c r="R148" i="96" s="1"/>
  <c r="Q150" i="96"/>
  <c r="Q149" i="96" s="1"/>
  <c r="P150" i="96"/>
  <c r="P149" i="96" s="1"/>
  <c r="P148" i="96" s="1"/>
  <c r="O150" i="96"/>
  <c r="N150" i="96"/>
  <c r="M150" i="96"/>
  <c r="L150" i="96"/>
  <c r="K150" i="96"/>
  <c r="J150" i="96"/>
  <c r="I150" i="96"/>
  <c r="I149" i="96" s="1"/>
  <c r="I148" i="96" s="1"/>
  <c r="H150" i="96"/>
  <c r="H149" i="96" s="1"/>
  <c r="H148" i="96" s="1"/>
  <c r="G150" i="96"/>
  <c r="G149" i="96" s="1"/>
  <c r="V149" i="96"/>
  <c r="V148" i="96" s="1"/>
  <c r="O149" i="96"/>
  <c r="O148" i="96" s="1"/>
  <c r="N149" i="96"/>
  <c r="M149" i="96"/>
  <c r="M148" i="96" s="1"/>
  <c r="L149" i="96"/>
  <c r="L148" i="96" s="1"/>
  <c r="K149" i="96"/>
  <c r="K148" i="96" s="1"/>
  <c r="J149" i="96"/>
  <c r="J148" i="96" s="1"/>
  <c r="Q148" i="96"/>
  <c r="N148" i="96"/>
  <c r="G148" i="96"/>
  <c r="S147" i="96"/>
  <c r="O147" i="96"/>
  <c r="O143" i="96" s="1"/>
  <c r="O142" i="96" s="1"/>
  <c r="O141" i="96" s="1"/>
  <c r="K147" i="96"/>
  <c r="G147" i="96"/>
  <c r="S146" i="96"/>
  <c r="O146" i="96"/>
  <c r="K146" i="96"/>
  <c r="G146" i="96"/>
  <c r="V145" i="96"/>
  <c r="S145" i="96" s="1"/>
  <c r="O145" i="96"/>
  <c r="K145" i="96"/>
  <c r="G145" i="96"/>
  <c r="V144" i="96"/>
  <c r="V143" i="96" s="1"/>
  <c r="V142" i="96" s="1"/>
  <c r="V141" i="96" s="1"/>
  <c r="S144" i="96"/>
  <c r="S143" i="96" s="1"/>
  <c r="S142" i="96" s="1"/>
  <c r="S141" i="96" s="1"/>
  <c r="O144" i="96"/>
  <c r="K144" i="96"/>
  <c r="G144" i="96"/>
  <c r="G143" i="96" s="1"/>
  <c r="U143" i="96"/>
  <c r="T143" i="96"/>
  <c r="R143" i="96"/>
  <c r="Q143" i="96"/>
  <c r="Q142" i="96" s="1"/>
  <c r="Q141" i="96" s="1"/>
  <c r="P143" i="96"/>
  <c r="N143" i="96"/>
  <c r="N142" i="96" s="1"/>
  <c r="N141" i="96" s="1"/>
  <c r="M143" i="96"/>
  <c r="M142" i="96" s="1"/>
  <c r="L143" i="96"/>
  <c r="L142" i="96" s="1"/>
  <c r="L141" i="96" s="1"/>
  <c r="J143" i="96"/>
  <c r="J142" i="96" s="1"/>
  <c r="I143" i="96"/>
  <c r="H143" i="96"/>
  <c r="U142" i="96"/>
  <c r="U141" i="96" s="1"/>
  <c r="T142" i="96"/>
  <c r="R142" i="96"/>
  <c r="R141" i="96" s="1"/>
  <c r="P142" i="96"/>
  <c r="P141" i="96" s="1"/>
  <c r="I142" i="96"/>
  <c r="I141" i="96" s="1"/>
  <c r="H142" i="96"/>
  <c r="G142" i="96"/>
  <c r="G141" i="96" s="1"/>
  <c r="T141" i="96"/>
  <c r="M141" i="96"/>
  <c r="J141" i="96"/>
  <c r="H141" i="96"/>
  <c r="S140" i="96"/>
  <c r="O140" i="96"/>
  <c r="K140" i="96"/>
  <c r="K139" i="96" s="1"/>
  <c r="G140" i="96"/>
  <c r="V139" i="96"/>
  <c r="U139" i="96"/>
  <c r="T139" i="96"/>
  <c r="S139" i="96"/>
  <c r="S138" i="96" s="1"/>
  <c r="S137" i="96" s="1"/>
  <c r="R139" i="96"/>
  <c r="R138" i="96" s="1"/>
  <c r="R137" i="96" s="1"/>
  <c r="Q139" i="96"/>
  <c r="Q138" i="96" s="1"/>
  <c r="Q137" i="96" s="1"/>
  <c r="P139" i="96"/>
  <c r="P138" i="96" s="1"/>
  <c r="P137" i="96" s="1"/>
  <c r="O139" i="96"/>
  <c r="O138" i="96" s="1"/>
  <c r="O137" i="96" s="1"/>
  <c r="N139" i="96"/>
  <c r="N138" i="96" s="1"/>
  <c r="M139" i="96"/>
  <c r="L139" i="96"/>
  <c r="J139" i="96"/>
  <c r="I139" i="96"/>
  <c r="H139" i="96"/>
  <c r="G139" i="96"/>
  <c r="G138" i="96" s="1"/>
  <c r="G137" i="96" s="1"/>
  <c r="V138" i="96"/>
  <c r="V137" i="96" s="1"/>
  <c r="U138" i="96"/>
  <c r="U137" i="96" s="1"/>
  <c r="T138" i="96"/>
  <c r="T137" i="96" s="1"/>
  <c r="M138" i="96"/>
  <c r="M137" i="96" s="1"/>
  <c r="L138" i="96"/>
  <c r="K138" i="96"/>
  <c r="K137" i="96" s="1"/>
  <c r="J138" i="96"/>
  <c r="J137" i="96" s="1"/>
  <c r="I138" i="96"/>
  <c r="I137" i="96" s="1"/>
  <c r="H138" i="96"/>
  <c r="H137" i="96" s="1"/>
  <c r="N137" i="96"/>
  <c r="L137" i="96"/>
  <c r="S136" i="96"/>
  <c r="O136" i="96"/>
  <c r="N136" i="96"/>
  <c r="K136" i="96"/>
  <c r="G136" i="96"/>
  <c r="G133" i="96" s="1"/>
  <c r="G132" i="96" s="1"/>
  <c r="G131" i="96" s="1"/>
  <c r="S135" i="96"/>
  <c r="S133" i="96" s="1"/>
  <c r="S132" i="96" s="1"/>
  <c r="S131" i="96" s="1"/>
  <c r="O135" i="96"/>
  <c r="O133" i="96" s="1"/>
  <c r="O132" i="96" s="1"/>
  <c r="O131" i="96" s="1"/>
  <c r="N135" i="96"/>
  <c r="N133" i="96" s="1"/>
  <c r="K135" i="96"/>
  <c r="G135" i="96"/>
  <c r="S134" i="96"/>
  <c r="O134" i="96"/>
  <c r="N134" i="96"/>
  <c r="K134" i="96"/>
  <c r="G134" i="96"/>
  <c r="V133" i="96"/>
  <c r="V132" i="96" s="1"/>
  <c r="V131" i="96" s="1"/>
  <c r="U133" i="96"/>
  <c r="U132" i="96" s="1"/>
  <c r="U131" i="96" s="1"/>
  <c r="T133" i="96"/>
  <c r="T132" i="96" s="1"/>
  <c r="R133" i="96"/>
  <c r="R132" i="96" s="1"/>
  <c r="R131" i="96" s="1"/>
  <c r="Q133" i="96"/>
  <c r="Q132" i="96" s="1"/>
  <c r="P133" i="96"/>
  <c r="M133" i="96"/>
  <c r="L133" i="96"/>
  <c r="J133" i="96"/>
  <c r="J132" i="96" s="1"/>
  <c r="J131" i="96" s="1"/>
  <c r="I133" i="96"/>
  <c r="I132" i="96" s="1"/>
  <c r="I131" i="96" s="1"/>
  <c r="H133" i="96"/>
  <c r="H132" i="96" s="1"/>
  <c r="H131" i="96" s="1"/>
  <c r="P132" i="96"/>
  <c r="N132" i="96"/>
  <c r="N131" i="96" s="1"/>
  <c r="M132" i="96"/>
  <c r="M131" i="96" s="1"/>
  <c r="L132" i="96"/>
  <c r="L131" i="96" s="1"/>
  <c r="T131" i="96"/>
  <c r="Q131" i="96"/>
  <c r="P131" i="96"/>
  <c r="S130" i="96"/>
  <c r="O130" i="96"/>
  <c r="K130" i="96"/>
  <c r="J130" i="96"/>
  <c r="S129" i="96"/>
  <c r="O129" i="96"/>
  <c r="K129" i="96" s="1"/>
  <c r="J129" i="96"/>
  <c r="S128" i="96"/>
  <c r="O128" i="96"/>
  <c r="K128" i="96"/>
  <c r="J128" i="96"/>
  <c r="S127" i="96"/>
  <c r="O127" i="96"/>
  <c r="K127" i="96"/>
  <c r="J127" i="96"/>
  <c r="S126" i="96"/>
  <c r="O126" i="96"/>
  <c r="K126" i="96" s="1"/>
  <c r="J126" i="96"/>
  <c r="S125" i="96"/>
  <c r="O125" i="96"/>
  <c r="K125" i="96"/>
  <c r="J125" i="96"/>
  <c r="S124" i="96"/>
  <c r="S121" i="96" s="1"/>
  <c r="S120" i="96" s="1"/>
  <c r="S119" i="96" s="1"/>
  <c r="O124" i="96"/>
  <c r="K124" i="96"/>
  <c r="J124" i="96"/>
  <c r="S123" i="96"/>
  <c r="O123" i="96"/>
  <c r="K123" i="96"/>
  <c r="J123" i="96"/>
  <c r="S122" i="96"/>
  <c r="O122" i="96"/>
  <c r="K122" i="96"/>
  <c r="J122" i="96"/>
  <c r="V121" i="96"/>
  <c r="V120" i="96" s="1"/>
  <c r="V119" i="96" s="1"/>
  <c r="U121" i="96"/>
  <c r="U120" i="96" s="1"/>
  <c r="U119" i="96" s="1"/>
  <c r="T121" i="96"/>
  <c r="T120" i="96" s="1"/>
  <c r="T119" i="96" s="1"/>
  <c r="R121" i="96"/>
  <c r="R120" i="96" s="1"/>
  <c r="Q121" i="96"/>
  <c r="Q120" i="96" s="1"/>
  <c r="P121" i="96"/>
  <c r="N121" i="96"/>
  <c r="M121" i="96"/>
  <c r="L121" i="96"/>
  <c r="J121" i="96"/>
  <c r="J120" i="96" s="1"/>
  <c r="J119" i="96" s="1"/>
  <c r="I121" i="96"/>
  <c r="I120" i="96" s="1"/>
  <c r="I119" i="96" s="1"/>
  <c r="H121" i="96"/>
  <c r="H120" i="96" s="1"/>
  <c r="G121" i="96"/>
  <c r="G120" i="96" s="1"/>
  <c r="G119" i="96" s="1"/>
  <c r="P120" i="96"/>
  <c r="P119" i="96" s="1"/>
  <c r="N120" i="96"/>
  <c r="N119" i="96" s="1"/>
  <c r="M120" i="96"/>
  <c r="M119" i="96" s="1"/>
  <c r="L120" i="96"/>
  <c r="L119" i="96" s="1"/>
  <c r="R119" i="96"/>
  <c r="Q119" i="96"/>
  <c r="H119" i="96"/>
  <c r="S118" i="96"/>
  <c r="O118" i="96"/>
  <c r="J118" i="96"/>
  <c r="S117" i="96"/>
  <c r="O117" i="96"/>
  <c r="J117" i="96"/>
  <c r="S116" i="96"/>
  <c r="O116" i="96"/>
  <c r="J116" i="96"/>
  <c r="S115" i="96"/>
  <c r="O115" i="96"/>
  <c r="K115" i="96"/>
  <c r="J115" i="96"/>
  <c r="S114" i="96"/>
  <c r="O114" i="96"/>
  <c r="K114" i="96"/>
  <c r="J114" i="96"/>
  <c r="S113" i="96"/>
  <c r="O113" i="96"/>
  <c r="K113" i="96"/>
  <c r="J113" i="96"/>
  <c r="S112" i="96"/>
  <c r="O112" i="96"/>
  <c r="K112" i="96"/>
  <c r="J112" i="96"/>
  <c r="S111" i="96"/>
  <c r="O111" i="96"/>
  <c r="K111" i="96"/>
  <c r="J111" i="96"/>
  <c r="S110" i="96"/>
  <c r="O110" i="96"/>
  <c r="K110" i="96"/>
  <c r="J110" i="96"/>
  <c r="S109" i="96"/>
  <c r="O109" i="96"/>
  <c r="K109" i="96"/>
  <c r="J109" i="96"/>
  <c r="S108" i="96"/>
  <c r="S107" i="96" s="1"/>
  <c r="O108" i="96"/>
  <c r="K108" i="96"/>
  <c r="K107" i="96" s="1"/>
  <c r="K106" i="96" s="1"/>
  <c r="K105" i="96" s="1"/>
  <c r="J108" i="96"/>
  <c r="V107" i="96"/>
  <c r="V106" i="96" s="1"/>
  <c r="V105" i="96" s="1"/>
  <c r="U107" i="96"/>
  <c r="T107" i="96"/>
  <c r="R107" i="96"/>
  <c r="Q107" i="96"/>
  <c r="Q106" i="96" s="1"/>
  <c r="Q105" i="96" s="1"/>
  <c r="P107" i="96"/>
  <c r="O107" i="96"/>
  <c r="O106" i="96" s="1"/>
  <c r="O105" i="96" s="1"/>
  <c r="N107" i="96"/>
  <c r="N106" i="96" s="1"/>
  <c r="N105" i="96" s="1"/>
  <c r="M107" i="96"/>
  <c r="M106" i="96" s="1"/>
  <c r="L107" i="96"/>
  <c r="L106" i="96" s="1"/>
  <c r="L105" i="96" s="1"/>
  <c r="I107" i="96"/>
  <c r="H107" i="96"/>
  <c r="G107" i="96"/>
  <c r="U106" i="96"/>
  <c r="U105" i="96" s="1"/>
  <c r="T106" i="96"/>
  <c r="S106" i="96"/>
  <c r="S105" i="96" s="1"/>
  <c r="R106" i="96"/>
  <c r="R105" i="96" s="1"/>
  <c r="P106" i="96"/>
  <c r="P105" i="96" s="1"/>
  <c r="I106" i="96"/>
  <c r="H106" i="96"/>
  <c r="G106" i="96"/>
  <c r="G105" i="96" s="1"/>
  <c r="T105" i="96"/>
  <c r="M105" i="96"/>
  <c r="I105" i="96"/>
  <c r="H105" i="96"/>
  <c r="K104" i="96"/>
  <c r="K103" i="96"/>
  <c r="K102" i="96"/>
  <c r="K101" i="96"/>
  <c r="K100" i="96"/>
  <c r="K99" i="96"/>
  <c r="K98" i="96"/>
  <c r="K97" i="96"/>
  <c r="V96" i="96"/>
  <c r="V95" i="96" s="1"/>
  <c r="V94" i="96" s="1"/>
  <c r="U96" i="96"/>
  <c r="U95" i="96" s="1"/>
  <c r="U94" i="96" s="1"/>
  <c r="T96" i="96"/>
  <c r="T95" i="96" s="1"/>
  <c r="T94" i="96" s="1"/>
  <c r="S96" i="96"/>
  <c r="R96" i="96"/>
  <c r="R95" i="96" s="1"/>
  <c r="R94" i="96" s="1"/>
  <c r="Q96" i="96"/>
  <c r="P96" i="96"/>
  <c r="O96" i="96"/>
  <c r="N96" i="96"/>
  <c r="M96" i="96"/>
  <c r="L96" i="96"/>
  <c r="K96" i="96"/>
  <c r="K95" i="96" s="1"/>
  <c r="K94" i="96" s="1"/>
  <c r="J96" i="96"/>
  <c r="J95" i="96" s="1"/>
  <c r="J94" i="96" s="1"/>
  <c r="I96" i="96"/>
  <c r="I95" i="96" s="1"/>
  <c r="I94" i="96" s="1"/>
  <c r="H96" i="96"/>
  <c r="H95" i="96" s="1"/>
  <c r="H94" i="96" s="1"/>
  <c r="G96" i="96"/>
  <c r="S95" i="96"/>
  <c r="Q95" i="96"/>
  <c r="P95" i="96"/>
  <c r="O95" i="96"/>
  <c r="O94" i="96" s="1"/>
  <c r="N95" i="96"/>
  <c r="N94" i="96" s="1"/>
  <c r="M95" i="96"/>
  <c r="M94" i="96" s="1"/>
  <c r="L95" i="96"/>
  <c r="L94" i="96" s="1"/>
  <c r="G95" i="96"/>
  <c r="S94" i="96"/>
  <c r="Q94" i="96"/>
  <c r="P94" i="96"/>
  <c r="G94" i="96"/>
  <c r="S93" i="96"/>
  <c r="S92" i="96"/>
  <c r="S91" i="96"/>
  <c r="O91" i="96"/>
  <c r="K91" i="96"/>
  <c r="S90" i="96"/>
  <c r="O90" i="96"/>
  <c r="K90" i="96"/>
  <c r="S89" i="96"/>
  <c r="O89" i="96"/>
  <c r="K89" i="96"/>
  <c r="S88" i="96"/>
  <c r="O88" i="96"/>
  <c r="O87" i="96" s="1"/>
  <c r="O86" i="96" s="1"/>
  <c r="O85" i="96" s="1"/>
  <c r="K88" i="96"/>
  <c r="V87" i="96"/>
  <c r="V86" i="96" s="1"/>
  <c r="V85" i="96" s="1"/>
  <c r="U87" i="96"/>
  <c r="T87" i="96"/>
  <c r="T86" i="96" s="1"/>
  <c r="T85" i="96" s="1"/>
  <c r="R87" i="96"/>
  <c r="Q87" i="96"/>
  <c r="P87" i="96"/>
  <c r="N87" i="96"/>
  <c r="M87" i="96"/>
  <c r="M86" i="96" s="1"/>
  <c r="M85" i="96" s="1"/>
  <c r="L87" i="96"/>
  <c r="L86" i="96" s="1"/>
  <c r="L85" i="96" s="1"/>
  <c r="K87" i="96"/>
  <c r="K86" i="96" s="1"/>
  <c r="K85" i="96" s="1"/>
  <c r="J87" i="96"/>
  <c r="J86" i="96" s="1"/>
  <c r="J85" i="96" s="1"/>
  <c r="I87" i="96"/>
  <c r="H87" i="96"/>
  <c r="H86" i="96" s="1"/>
  <c r="H85" i="96" s="1"/>
  <c r="G87" i="96"/>
  <c r="U86" i="96"/>
  <c r="R86" i="96"/>
  <c r="Q86" i="96"/>
  <c r="Q85" i="96" s="1"/>
  <c r="P86" i="96"/>
  <c r="P85" i="96" s="1"/>
  <c r="N86" i="96"/>
  <c r="N85" i="96" s="1"/>
  <c r="I86" i="96"/>
  <c r="G86" i="96"/>
  <c r="U85" i="96"/>
  <c r="R85" i="96"/>
  <c r="I85" i="96"/>
  <c r="G85" i="96"/>
  <c r="S84" i="96"/>
  <c r="O84" i="96"/>
  <c r="K84" i="96"/>
  <c r="S83" i="96"/>
  <c r="O83" i="96"/>
  <c r="K83" i="96"/>
  <c r="S82" i="96"/>
  <c r="O82" i="96"/>
  <c r="K82" i="96"/>
  <c r="S81" i="96"/>
  <c r="O81" i="96"/>
  <c r="K81" i="96"/>
  <c r="S80" i="96"/>
  <c r="O80" i="96"/>
  <c r="K80" i="96"/>
  <c r="S79" i="96"/>
  <c r="O79" i="96"/>
  <c r="K79" i="96"/>
  <c r="V78" i="96"/>
  <c r="U78" i="96"/>
  <c r="T78" i="96"/>
  <c r="S78" i="96"/>
  <c r="S77" i="96" s="1"/>
  <c r="S76" i="96" s="1"/>
  <c r="R78" i="96"/>
  <c r="R77" i="96" s="1"/>
  <c r="R76" i="96" s="1"/>
  <c r="Q78" i="96"/>
  <c r="Q77" i="96" s="1"/>
  <c r="Q76" i="96" s="1"/>
  <c r="P78" i="96"/>
  <c r="P77" i="96" s="1"/>
  <c r="P76" i="96" s="1"/>
  <c r="N78" i="96"/>
  <c r="N77" i="96" s="1"/>
  <c r="M78" i="96"/>
  <c r="L78" i="96"/>
  <c r="J78" i="96"/>
  <c r="I78" i="96"/>
  <c r="I77" i="96" s="1"/>
  <c r="I76" i="96" s="1"/>
  <c r="H78" i="96"/>
  <c r="G78" i="96"/>
  <c r="G77" i="96" s="1"/>
  <c r="G76" i="96" s="1"/>
  <c r="V77" i="96"/>
  <c r="V76" i="96" s="1"/>
  <c r="U77" i="96"/>
  <c r="U76" i="96" s="1"/>
  <c r="T77" i="96"/>
  <c r="T76" i="96" s="1"/>
  <c r="M77" i="96"/>
  <c r="M76" i="96" s="1"/>
  <c r="L77" i="96"/>
  <c r="J77" i="96"/>
  <c r="J76" i="96" s="1"/>
  <c r="H77" i="96"/>
  <c r="H76" i="96" s="1"/>
  <c r="N76" i="96"/>
  <c r="L76" i="96"/>
  <c r="K75" i="96"/>
  <c r="K74" i="96"/>
  <c r="K70" i="96" s="1"/>
  <c r="K69" i="96" s="1"/>
  <c r="K68" i="96" s="1"/>
  <c r="K73" i="96"/>
  <c r="K72" i="96"/>
  <c r="K71" i="96"/>
  <c r="V70" i="96"/>
  <c r="V69" i="96" s="1"/>
  <c r="U70" i="96"/>
  <c r="U69" i="96" s="1"/>
  <c r="U68" i="96" s="1"/>
  <c r="T70" i="96"/>
  <c r="S70" i="96"/>
  <c r="S69" i="96" s="1"/>
  <c r="S68" i="96" s="1"/>
  <c r="R70" i="96"/>
  <c r="Q70" i="96"/>
  <c r="P70" i="96"/>
  <c r="O70" i="96"/>
  <c r="N70" i="96"/>
  <c r="N69" i="96" s="1"/>
  <c r="N68" i="96" s="1"/>
  <c r="M70" i="96"/>
  <c r="L70" i="96"/>
  <c r="L69" i="96" s="1"/>
  <c r="L68" i="96" s="1"/>
  <c r="J70" i="96"/>
  <c r="J69" i="96" s="1"/>
  <c r="I70" i="96"/>
  <c r="I69" i="96" s="1"/>
  <c r="I68" i="96" s="1"/>
  <c r="H70" i="96"/>
  <c r="G70" i="96"/>
  <c r="G69" i="96" s="1"/>
  <c r="G68" i="96" s="1"/>
  <c r="T69" i="96"/>
  <c r="R69" i="96"/>
  <c r="R68" i="96" s="1"/>
  <c r="Q69" i="96"/>
  <c r="P69" i="96"/>
  <c r="P68" i="96" s="1"/>
  <c r="O69" i="96"/>
  <c r="O68" i="96" s="1"/>
  <c r="M69" i="96"/>
  <c r="M68" i="96" s="1"/>
  <c r="H69" i="96"/>
  <c r="V68" i="96"/>
  <c r="T68" i="96"/>
  <c r="Q68" i="96"/>
  <c r="J68" i="96"/>
  <c r="H68" i="96"/>
  <c r="V59" i="96"/>
  <c r="V58" i="96" s="1"/>
  <c r="V57" i="96" s="1"/>
  <c r="U59" i="96"/>
  <c r="T59" i="96"/>
  <c r="S59" i="96"/>
  <c r="S58" i="96" s="1"/>
  <c r="S57" i="96" s="1"/>
  <c r="R59" i="96"/>
  <c r="Q59" i="96"/>
  <c r="P59" i="96"/>
  <c r="O59" i="96"/>
  <c r="N59" i="96"/>
  <c r="M59" i="96"/>
  <c r="L59" i="96"/>
  <c r="L58" i="96" s="1"/>
  <c r="L57" i="96" s="1"/>
  <c r="K59" i="96"/>
  <c r="K58" i="96" s="1"/>
  <c r="K57" i="96" s="1"/>
  <c r="J59" i="96"/>
  <c r="J58" i="96" s="1"/>
  <c r="J57" i="96" s="1"/>
  <c r="I59" i="96"/>
  <c r="H59" i="96"/>
  <c r="G59" i="96"/>
  <c r="G58" i="96" s="1"/>
  <c r="U58" i="96"/>
  <c r="T58" i="96"/>
  <c r="R58" i="96"/>
  <c r="Q58" i="96"/>
  <c r="P58" i="96"/>
  <c r="P57" i="96" s="1"/>
  <c r="O58" i="96"/>
  <c r="O57" i="96" s="1"/>
  <c r="N58" i="96"/>
  <c r="N57" i="96" s="1"/>
  <c r="M58" i="96"/>
  <c r="I58" i="96"/>
  <c r="H58" i="96"/>
  <c r="U57" i="96"/>
  <c r="T57" i="96"/>
  <c r="R57" i="96"/>
  <c r="Q57" i="96"/>
  <c r="M57" i="96"/>
  <c r="I57" i="96"/>
  <c r="H57" i="96"/>
  <c r="G57" i="96"/>
  <c r="V56" i="96"/>
  <c r="O56" i="96"/>
  <c r="K56" i="96"/>
  <c r="U55" i="96"/>
  <c r="T55" i="96"/>
  <c r="R55" i="96"/>
  <c r="Q55" i="96"/>
  <c r="P55" i="96"/>
  <c r="P54" i="96" s="1"/>
  <c r="P53" i="96" s="1"/>
  <c r="O55" i="96"/>
  <c r="O54" i="96" s="1"/>
  <c r="O53" i="96" s="1"/>
  <c r="N55" i="96"/>
  <c r="N54" i="96" s="1"/>
  <c r="N53" i="96" s="1"/>
  <c r="N46" i="96" s="1"/>
  <c r="M55" i="96"/>
  <c r="L55" i="96"/>
  <c r="L54" i="96" s="1"/>
  <c r="L53" i="96" s="1"/>
  <c r="K55" i="96"/>
  <c r="K54" i="96" s="1"/>
  <c r="J55" i="96"/>
  <c r="I55" i="96"/>
  <c r="H55" i="96"/>
  <c r="G55" i="96"/>
  <c r="U54" i="96"/>
  <c r="T54" i="96"/>
  <c r="T53" i="96" s="1"/>
  <c r="R54" i="96"/>
  <c r="R53" i="96" s="1"/>
  <c r="Q54" i="96"/>
  <c r="M54" i="96"/>
  <c r="J54" i="96"/>
  <c r="I54" i="96"/>
  <c r="H54" i="96"/>
  <c r="H53" i="96" s="1"/>
  <c r="G54" i="96"/>
  <c r="G53" i="96" s="1"/>
  <c r="U53" i="96"/>
  <c r="Q53" i="96"/>
  <c r="M53" i="96"/>
  <c r="K53" i="96"/>
  <c r="J53" i="96"/>
  <c r="I53" i="96"/>
  <c r="S52" i="96"/>
  <c r="O52" i="96"/>
  <c r="K52" i="96"/>
  <c r="S51" i="96"/>
  <c r="O51" i="96"/>
  <c r="K51" i="96"/>
  <c r="S50" i="96"/>
  <c r="S49" i="96" s="1"/>
  <c r="O50" i="96"/>
  <c r="O49" i="96" s="1"/>
  <c r="O48" i="96" s="1"/>
  <c r="O47" i="96" s="1"/>
  <c r="K50" i="96"/>
  <c r="K49" i="96" s="1"/>
  <c r="K48" i="96" s="1"/>
  <c r="K47" i="96" s="1"/>
  <c r="V49" i="96"/>
  <c r="U49" i="96"/>
  <c r="T49" i="96"/>
  <c r="T48" i="96" s="1"/>
  <c r="R49" i="96"/>
  <c r="Q49" i="96"/>
  <c r="P49" i="96"/>
  <c r="N49" i="96"/>
  <c r="M49" i="96"/>
  <c r="M48" i="96" s="1"/>
  <c r="M47" i="96" s="1"/>
  <c r="M46" i="96" s="1"/>
  <c r="L49" i="96"/>
  <c r="L48" i="96" s="1"/>
  <c r="L47" i="96" s="1"/>
  <c r="L46" i="96" s="1"/>
  <c r="J49" i="96"/>
  <c r="I49" i="96"/>
  <c r="H49" i="96"/>
  <c r="H48" i="96" s="1"/>
  <c r="H47" i="96" s="1"/>
  <c r="H46" i="96" s="1"/>
  <c r="G49" i="96"/>
  <c r="V48" i="96"/>
  <c r="U48" i="96"/>
  <c r="S48" i="96"/>
  <c r="R48" i="96"/>
  <c r="Q48" i="96"/>
  <c r="Q47" i="96" s="1"/>
  <c r="P48" i="96"/>
  <c r="P47" i="96" s="1"/>
  <c r="N48" i="96"/>
  <c r="J48" i="96"/>
  <c r="I48" i="96"/>
  <c r="G48" i="96"/>
  <c r="G47" i="96" s="1"/>
  <c r="G46" i="96" s="1"/>
  <c r="V47" i="96"/>
  <c r="U47" i="96"/>
  <c r="T47" i="96"/>
  <c r="S47" i="96"/>
  <c r="R47" i="96"/>
  <c r="N47" i="96"/>
  <c r="J47" i="96"/>
  <c r="I47" i="96"/>
  <c r="S45" i="96"/>
  <c r="O45" i="96"/>
  <c r="K45" i="96" s="1"/>
  <c r="J45" i="96"/>
  <c r="J44" i="96" s="1"/>
  <c r="J43" i="96" s="1"/>
  <c r="J42" i="96" s="1"/>
  <c r="V44" i="96"/>
  <c r="U44" i="96"/>
  <c r="U43" i="96" s="1"/>
  <c r="U42" i="96" s="1"/>
  <c r="T44" i="96"/>
  <c r="T43" i="96" s="1"/>
  <c r="T42" i="96" s="1"/>
  <c r="S44" i="96"/>
  <c r="S43" i="96" s="1"/>
  <c r="S42" i="96" s="1"/>
  <c r="S33" i="96" s="1"/>
  <c r="R44" i="96"/>
  <c r="Q44" i="96"/>
  <c r="P44" i="96"/>
  <c r="P43" i="96" s="1"/>
  <c r="O44" i="96"/>
  <c r="N44" i="96"/>
  <c r="M44" i="96"/>
  <c r="L44" i="96"/>
  <c r="K44" i="96"/>
  <c r="K43" i="96" s="1"/>
  <c r="K42" i="96" s="1"/>
  <c r="I44" i="96"/>
  <c r="I43" i="96" s="1"/>
  <c r="I42" i="96" s="1"/>
  <c r="H44" i="96"/>
  <c r="H43" i="96" s="1"/>
  <c r="H42" i="96" s="1"/>
  <c r="G44" i="96"/>
  <c r="G43" i="96" s="1"/>
  <c r="G42" i="96" s="1"/>
  <c r="V43" i="96"/>
  <c r="R43" i="96"/>
  <c r="Q43" i="96"/>
  <c r="O43" i="96"/>
  <c r="N43" i="96"/>
  <c r="M43" i="96"/>
  <c r="M42" i="96" s="1"/>
  <c r="M33" i="96" s="1"/>
  <c r="L43" i="96"/>
  <c r="L42" i="96" s="1"/>
  <c r="V42" i="96"/>
  <c r="R42" i="96"/>
  <c r="Q42" i="96"/>
  <c r="P42" i="96"/>
  <c r="O42" i="96"/>
  <c r="N42" i="96"/>
  <c r="V41" i="96"/>
  <c r="S41" i="96"/>
  <c r="S40" i="96" s="1"/>
  <c r="S39" i="96" s="1"/>
  <c r="S38" i="96" s="1"/>
  <c r="O41" i="96"/>
  <c r="O40" i="96" s="1"/>
  <c r="O39" i="96" s="1"/>
  <c r="O38" i="96" s="1"/>
  <c r="K41" i="96"/>
  <c r="K40" i="96" s="1"/>
  <c r="K39" i="96" s="1"/>
  <c r="K38" i="96" s="1"/>
  <c r="G41" i="96"/>
  <c r="V40" i="96"/>
  <c r="U40" i="96"/>
  <c r="U39" i="96" s="1"/>
  <c r="T40" i="96"/>
  <c r="R40" i="96"/>
  <c r="Q40" i="96"/>
  <c r="P40" i="96"/>
  <c r="N40" i="96"/>
  <c r="N39" i="96" s="1"/>
  <c r="N38" i="96" s="1"/>
  <c r="M40" i="96"/>
  <c r="M39" i="96" s="1"/>
  <c r="M38" i="96" s="1"/>
  <c r="L40" i="96"/>
  <c r="L39" i="96" s="1"/>
  <c r="L38" i="96" s="1"/>
  <c r="J40" i="96"/>
  <c r="I40" i="96"/>
  <c r="I39" i="96" s="1"/>
  <c r="H40" i="96"/>
  <c r="G40" i="96"/>
  <c r="V39" i="96"/>
  <c r="T39" i="96"/>
  <c r="T38" i="96" s="1"/>
  <c r="R39" i="96"/>
  <c r="R38" i="96" s="1"/>
  <c r="R33" i="96" s="1"/>
  <c r="Q39" i="96"/>
  <c r="Q38" i="96" s="1"/>
  <c r="P39" i="96"/>
  <c r="P38" i="96" s="1"/>
  <c r="J39" i="96"/>
  <c r="H39" i="96"/>
  <c r="G39" i="96"/>
  <c r="V38" i="96"/>
  <c r="U38" i="96"/>
  <c r="J38" i="96"/>
  <c r="I38" i="96"/>
  <c r="H38" i="96"/>
  <c r="G38" i="96"/>
  <c r="S37" i="96"/>
  <c r="O37" i="96"/>
  <c r="K37" i="96"/>
  <c r="V36" i="96"/>
  <c r="U36" i="96"/>
  <c r="T36" i="96"/>
  <c r="S36" i="96"/>
  <c r="R36" i="96"/>
  <c r="Q36" i="96"/>
  <c r="Q35" i="96" s="1"/>
  <c r="Q34" i="96" s="1"/>
  <c r="Q33" i="96" s="1"/>
  <c r="P36" i="96"/>
  <c r="O36" i="96"/>
  <c r="O35" i="96" s="1"/>
  <c r="N36" i="96"/>
  <c r="M36" i="96"/>
  <c r="L36" i="96"/>
  <c r="L35" i="96" s="1"/>
  <c r="K36" i="96"/>
  <c r="J36" i="96"/>
  <c r="I36" i="96"/>
  <c r="H36" i="96"/>
  <c r="G36" i="96"/>
  <c r="G35" i="96" s="1"/>
  <c r="G34" i="96" s="1"/>
  <c r="G33" i="96" s="1"/>
  <c r="V35" i="96"/>
  <c r="U35" i="96"/>
  <c r="U34" i="96" s="1"/>
  <c r="T35" i="96"/>
  <c r="S35" i="96"/>
  <c r="S34" i="96" s="1"/>
  <c r="R35" i="96"/>
  <c r="P35" i="96"/>
  <c r="P34" i="96" s="1"/>
  <c r="P33" i="96" s="1"/>
  <c r="N35" i="96"/>
  <c r="M35" i="96"/>
  <c r="K35" i="96"/>
  <c r="K34" i="96" s="1"/>
  <c r="K33" i="96" s="1"/>
  <c r="J35" i="96"/>
  <c r="I35" i="96"/>
  <c r="H35" i="96"/>
  <c r="H34" i="96" s="1"/>
  <c r="H33" i="96" s="1"/>
  <c r="V34" i="96"/>
  <c r="T34" i="96"/>
  <c r="R34" i="96"/>
  <c r="O34" i="96"/>
  <c r="O33" i="96" s="1"/>
  <c r="N34" i="96"/>
  <c r="M34" i="96"/>
  <c r="L34" i="96"/>
  <c r="L33" i="96" s="1"/>
  <c r="J34" i="96"/>
  <c r="I34" i="96"/>
  <c r="V33" i="96"/>
  <c r="U33" i="96"/>
  <c r="N33" i="96"/>
  <c r="J33" i="96"/>
  <c r="I33" i="96"/>
  <c r="S32" i="96"/>
  <c r="O32" i="96"/>
  <c r="K32" i="96"/>
  <c r="G32" i="96"/>
  <c r="S31" i="96"/>
  <c r="O31" i="96"/>
  <c r="K31" i="96"/>
  <c r="G31" i="96"/>
  <c r="S30" i="96"/>
  <c r="O30" i="96"/>
  <c r="K30" i="96"/>
  <c r="G30" i="96"/>
  <c r="S29" i="96"/>
  <c r="O29" i="96"/>
  <c r="K29" i="96"/>
  <c r="G29" i="96"/>
  <c r="S28" i="96"/>
  <c r="O28" i="96"/>
  <c r="O27" i="96" s="1"/>
  <c r="O26" i="96" s="1"/>
  <c r="O25" i="96" s="1"/>
  <c r="O24" i="96" s="1"/>
  <c r="K28" i="96"/>
  <c r="K27" i="96" s="1"/>
  <c r="K26" i="96" s="1"/>
  <c r="K25" i="96" s="1"/>
  <c r="K24" i="96" s="1"/>
  <c r="G28" i="96"/>
  <c r="V27" i="96"/>
  <c r="V26" i="96" s="1"/>
  <c r="V25" i="96" s="1"/>
  <c r="V24" i="96" s="1"/>
  <c r="U27" i="96"/>
  <c r="U26" i="96" s="1"/>
  <c r="U25" i="96" s="1"/>
  <c r="U24" i="96" s="1"/>
  <c r="T27" i="96"/>
  <c r="S27" i="96"/>
  <c r="S26" i="96" s="1"/>
  <c r="S25" i="96" s="1"/>
  <c r="S24" i="96" s="1"/>
  <c r="R27" i="96"/>
  <c r="Q27" i="96"/>
  <c r="P27" i="96"/>
  <c r="P26" i="96" s="1"/>
  <c r="P25" i="96" s="1"/>
  <c r="P24" i="96" s="1"/>
  <c r="N27" i="96"/>
  <c r="M27" i="96"/>
  <c r="L27" i="96"/>
  <c r="L26" i="96" s="1"/>
  <c r="L25" i="96" s="1"/>
  <c r="L24" i="96" s="1"/>
  <c r="J27" i="96"/>
  <c r="J26" i="96" s="1"/>
  <c r="J25" i="96" s="1"/>
  <c r="J24" i="96" s="1"/>
  <c r="I27" i="96"/>
  <c r="I26" i="96" s="1"/>
  <c r="I25" i="96" s="1"/>
  <c r="I24" i="96" s="1"/>
  <c r="H27" i="96"/>
  <c r="G27" i="96"/>
  <c r="G26" i="96" s="1"/>
  <c r="G25" i="96" s="1"/>
  <c r="G24" i="96" s="1"/>
  <c r="T26" i="96"/>
  <c r="T25" i="96" s="1"/>
  <c r="T24" i="96" s="1"/>
  <c r="R26" i="96"/>
  <c r="Q26" i="96"/>
  <c r="N26" i="96"/>
  <c r="N25" i="96" s="1"/>
  <c r="N24" i="96" s="1"/>
  <c r="M26" i="96"/>
  <c r="M25" i="96" s="1"/>
  <c r="M24" i="96" s="1"/>
  <c r="H26" i="96"/>
  <c r="H25" i="96" s="1"/>
  <c r="H24" i="96" s="1"/>
  <c r="R25" i="96"/>
  <c r="R24" i="96" s="1"/>
  <c r="Q25" i="96"/>
  <c r="Q24" i="96" s="1"/>
  <c r="S23" i="96"/>
  <c r="O23" i="96"/>
  <c r="K23" i="96"/>
  <c r="G23" i="96"/>
  <c r="S22" i="96"/>
  <c r="O22" i="96"/>
  <c r="K22" i="96"/>
  <c r="G22" i="96"/>
  <c r="S21" i="96"/>
  <c r="S20" i="96" s="1"/>
  <c r="S19" i="96" s="1"/>
  <c r="S18" i="96" s="1"/>
  <c r="O21" i="96"/>
  <c r="O20" i="96" s="1"/>
  <c r="O19" i="96" s="1"/>
  <c r="O18" i="96" s="1"/>
  <c r="K21" i="96"/>
  <c r="G21" i="96"/>
  <c r="G20" i="96" s="1"/>
  <c r="G19" i="96" s="1"/>
  <c r="G18" i="96" s="1"/>
  <c r="V20" i="96"/>
  <c r="U20" i="96"/>
  <c r="T20" i="96"/>
  <c r="T19" i="96" s="1"/>
  <c r="T18" i="96" s="1"/>
  <c r="R20" i="96"/>
  <c r="Q20" i="96"/>
  <c r="P20" i="96"/>
  <c r="P19" i="96" s="1"/>
  <c r="P18" i="96" s="1"/>
  <c r="N20" i="96"/>
  <c r="N19" i="96" s="1"/>
  <c r="N18" i="96" s="1"/>
  <c r="M20" i="96"/>
  <c r="M19" i="96" s="1"/>
  <c r="M18" i="96" s="1"/>
  <c r="L20" i="96"/>
  <c r="K20" i="96"/>
  <c r="K19" i="96" s="1"/>
  <c r="K18" i="96" s="1"/>
  <c r="J20" i="96"/>
  <c r="I20" i="96"/>
  <c r="H20" i="96"/>
  <c r="H19" i="96" s="1"/>
  <c r="H18" i="96" s="1"/>
  <c r="V19" i="96"/>
  <c r="U19" i="96"/>
  <c r="R19" i="96"/>
  <c r="R18" i="96" s="1"/>
  <c r="Q19" i="96"/>
  <c r="Q18" i="96" s="1"/>
  <c r="L19" i="96"/>
  <c r="L18" i="96" s="1"/>
  <c r="J19" i="96"/>
  <c r="I19" i="96"/>
  <c r="V18" i="96"/>
  <c r="U18" i="96"/>
  <c r="J18" i="96"/>
  <c r="I18" i="96"/>
  <c r="S17" i="96"/>
  <c r="O17" i="96"/>
  <c r="K17" i="96"/>
  <c r="K16" i="96" s="1"/>
  <c r="K15" i="96" s="1"/>
  <c r="K14" i="96" s="1"/>
  <c r="K13" i="96" s="1"/>
  <c r="G17" i="96"/>
  <c r="G16" i="96" s="1"/>
  <c r="G15" i="96" s="1"/>
  <c r="G14" i="96" s="1"/>
  <c r="G13" i="96" s="1"/>
  <c r="V16" i="96"/>
  <c r="U16" i="96"/>
  <c r="T16" i="96"/>
  <c r="T15" i="96" s="1"/>
  <c r="T14" i="96" s="1"/>
  <c r="S16" i="96"/>
  <c r="R16" i="96"/>
  <c r="R15" i="96" s="1"/>
  <c r="R14" i="96" s="1"/>
  <c r="Q16" i="96"/>
  <c r="Q15" i="96" s="1"/>
  <c r="Q14" i="96" s="1"/>
  <c r="P16" i="96"/>
  <c r="O16" i="96"/>
  <c r="O15" i="96" s="1"/>
  <c r="O14" i="96" s="1"/>
  <c r="N16" i="96"/>
  <c r="M16" i="96"/>
  <c r="L16" i="96"/>
  <c r="L15" i="96" s="1"/>
  <c r="L14" i="96" s="1"/>
  <c r="L13" i="96" s="1"/>
  <c r="J16" i="96"/>
  <c r="I16" i="96"/>
  <c r="H16" i="96"/>
  <c r="H15" i="96" s="1"/>
  <c r="H14" i="96" s="1"/>
  <c r="V15" i="96"/>
  <c r="V14" i="96" s="1"/>
  <c r="V13" i="96" s="1"/>
  <c r="U15" i="96"/>
  <c r="U14" i="96" s="1"/>
  <c r="U13" i="96" s="1"/>
  <c r="S15" i="96"/>
  <c r="S14" i="96" s="1"/>
  <c r="S13" i="96" s="1"/>
  <c r="P15" i="96"/>
  <c r="P14" i="96" s="1"/>
  <c r="P13" i="96" s="1"/>
  <c r="N15" i="96"/>
  <c r="M15" i="96"/>
  <c r="J15" i="96"/>
  <c r="J14" i="96" s="1"/>
  <c r="J13" i="96" s="1"/>
  <c r="I15" i="96"/>
  <c r="I14" i="96" s="1"/>
  <c r="I13" i="96" s="1"/>
  <c r="N14" i="96"/>
  <c r="N13" i="96" s="1"/>
  <c r="M14" i="96"/>
  <c r="M13" i="96" s="1"/>
  <c r="C46" i="91"/>
  <c r="K45" i="91"/>
  <c r="C45" i="91" s="1"/>
  <c r="N43" i="91"/>
  <c r="M43" i="91"/>
  <c r="K43" i="91" s="1"/>
  <c r="D43" i="91"/>
  <c r="N42" i="91"/>
  <c r="M42" i="91"/>
  <c r="K42" i="91" s="1"/>
  <c r="I42" i="91"/>
  <c r="D42" i="91"/>
  <c r="M41" i="91"/>
  <c r="K41" i="91" s="1"/>
  <c r="D41" i="91"/>
  <c r="K40" i="91"/>
  <c r="D40" i="91"/>
  <c r="M39" i="91"/>
  <c r="K39" i="91" s="1"/>
  <c r="C39" i="91" s="1"/>
  <c r="D39" i="91"/>
  <c r="N38" i="91"/>
  <c r="M38" i="91"/>
  <c r="L38" i="91"/>
  <c r="D38" i="91"/>
  <c r="M37" i="91"/>
  <c r="L37" i="91"/>
  <c r="I37" i="91"/>
  <c r="D37" i="91"/>
  <c r="K36" i="91"/>
  <c r="I36" i="91"/>
  <c r="D36" i="91"/>
  <c r="K35" i="91"/>
  <c r="I35" i="91"/>
  <c r="D35" i="91"/>
  <c r="M34" i="91"/>
  <c r="L34" i="91"/>
  <c r="D34" i="91"/>
  <c r="N33" i="91"/>
  <c r="M33" i="91"/>
  <c r="K33" i="91" s="1"/>
  <c r="D33" i="91"/>
  <c r="N32" i="91"/>
  <c r="M32" i="91"/>
  <c r="L32" i="91"/>
  <c r="D32" i="91"/>
  <c r="K31" i="91"/>
  <c r="D31" i="91"/>
  <c r="K30" i="91"/>
  <c r="C30" i="91" s="1"/>
  <c r="M29" i="91"/>
  <c r="K29" i="91" s="1"/>
  <c r="J29" i="91"/>
  <c r="K28" i="91"/>
  <c r="J28" i="91"/>
  <c r="K27" i="91"/>
  <c r="C27" i="91" s="1"/>
  <c r="M26" i="91"/>
  <c r="K26" i="91" s="1"/>
  <c r="C26" i="91" s="1"/>
  <c r="L25" i="91"/>
  <c r="K25" i="91" s="1"/>
  <c r="C25" i="91" s="1"/>
  <c r="N24" i="91"/>
  <c r="K24" i="91"/>
  <c r="F24" i="91"/>
  <c r="D24" i="91"/>
  <c r="K23" i="91"/>
  <c r="C23" i="91"/>
  <c r="K22" i="91"/>
  <c r="C22" i="91" s="1"/>
  <c r="K21" i="91"/>
  <c r="C21" i="91" s="1"/>
  <c r="K20" i="91"/>
  <c r="G20" i="91"/>
  <c r="K19" i="91"/>
  <c r="E19" i="91"/>
  <c r="E11" i="91" s="1"/>
  <c r="E10" i="91" s="1"/>
  <c r="K18" i="91"/>
  <c r="F18" i="91"/>
  <c r="C18" i="91" s="1"/>
  <c r="K17" i="91"/>
  <c r="C17" i="91" s="1"/>
  <c r="K16" i="91"/>
  <c r="G16" i="91"/>
  <c r="L15" i="91"/>
  <c r="K15" i="91" s="1"/>
  <c r="C15" i="91" s="1"/>
  <c r="K14" i="91"/>
  <c r="D14" i="91"/>
  <c r="M13" i="91"/>
  <c r="J13" i="91"/>
  <c r="O12" i="91"/>
  <c r="O11" i="91" s="1"/>
  <c r="O10" i="91" s="1"/>
  <c r="K12" i="91"/>
  <c r="H11" i="91"/>
  <c r="H10" i="91" s="1"/>
  <c r="F11" i="91"/>
  <c r="F10" i="91" s="1"/>
  <c r="E36" i="171"/>
  <c r="C36" i="171" s="1"/>
  <c r="B36" i="171"/>
  <c r="A36" i="171"/>
  <c r="B35" i="171"/>
  <c r="A35" i="171"/>
  <c r="E34" i="171"/>
  <c r="C34" i="171" s="1"/>
  <c r="B34" i="171"/>
  <c r="A34" i="171"/>
  <c r="E33" i="171"/>
  <c r="C33" i="171"/>
  <c r="B33" i="171"/>
  <c r="A33" i="171"/>
  <c r="E32" i="171"/>
  <c r="C32" i="171" s="1"/>
  <c r="B32" i="171"/>
  <c r="A32" i="171"/>
  <c r="E31" i="171"/>
  <c r="C31" i="171" s="1"/>
  <c r="B31" i="171"/>
  <c r="A31" i="171"/>
  <c r="E30" i="171"/>
  <c r="C30" i="171"/>
  <c r="B30" i="171"/>
  <c r="A30" i="171"/>
  <c r="D29" i="171"/>
  <c r="B29" i="171"/>
  <c r="E27" i="171"/>
  <c r="C27" i="171" s="1"/>
  <c r="B27" i="171"/>
  <c r="A27" i="171"/>
  <c r="B26" i="171"/>
  <c r="A26" i="171"/>
  <c r="D25" i="171"/>
  <c r="B25" i="171"/>
  <c r="A25" i="171"/>
  <c r="E24" i="171"/>
  <c r="D24" i="171"/>
  <c r="B24" i="171"/>
  <c r="A24" i="171"/>
  <c r="D23" i="171"/>
  <c r="B23" i="171"/>
  <c r="A23" i="171"/>
  <c r="D22" i="171"/>
  <c r="B22" i="171"/>
  <c r="A22" i="171"/>
  <c r="D21" i="171"/>
  <c r="B21" i="171"/>
  <c r="A21" i="171"/>
  <c r="B20" i="171"/>
  <c r="A20" i="171"/>
  <c r="B19" i="171"/>
  <c r="A19" i="171"/>
  <c r="B18" i="171"/>
  <c r="A18" i="171"/>
  <c r="E17" i="171"/>
  <c r="B17" i="171"/>
  <c r="A17" i="171"/>
  <c r="E16" i="171"/>
  <c r="D16" i="171"/>
  <c r="B16" i="171"/>
  <c r="E15" i="171"/>
  <c r="B15" i="171"/>
  <c r="A15" i="171"/>
  <c r="B14" i="171"/>
  <c r="E13" i="171"/>
  <c r="B13" i="171"/>
  <c r="A13" i="171"/>
  <c r="B12" i="171"/>
  <c r="A12" i="171"/>
  <c r="C11" i="171"/>
  <c r="B11" i="171"/>
  <c r="B10" i="171"/>
  <c r="E9" i="171"/>
  <c r="D9" i="171"/>
  <c r="B9" i="171"/>
  <c r="A9" i="171"/>
  <c r="B8" i="171"/>
  <c r="A8" i="171"/>
  <c r="B7" i="171"/>
  <c r="H53" i="170"/>
  <c r="F53" i="170"/>
  <c r="E53" i="170"/>
  <c r="I53" i="170" s="1"/>
  <c r="D53" i="170"/>
  <c r="C53" i="170"/>
  <c r="G51" i="170"/>
  <c r="G49" i="170"/>
  <c r="G46" i="170"/>
  <c r="G41" i="170"/>
  <c r="D38" i="170"/>
  <c r="E28" i="170"/>
  <c r="C28" i="170"/>
  <c r="C27" i="170"/>
  <c r="G26" i="170"/>
  <c r="I26" i="170" s="1"/>
  <c r="E26" i="170"/>
  <c r="C26" i="170"/>
  <c r="G25" i="170"/>
  <c r="E25" i="170"/>
  <c r="C25" i="170"/>
  <c r="C23" i="170"/>
  <c r="E22" i="170"/>
  <c r="C22" i="170"/>
  <c r="C21" i="170"/>
  <c r="E20" i="170"/>
  <c r="C20" i="170"/>
  <c r="C19" i="170"/>
  <c r="G17" i="170"/>
  <c r="C17" i="170"/>
  <c r="G16" i="170"/>
  <c r="F16" i="170"/>
  <c r="E16" i="170"/>
  <c r="C16" i="170"/>
  <c r="F15" i="170"/>
  <c r="E15" i="170"/>
  <c r="C15" i="170"/>
  <c r="G14" i="170"/>
  <c r="I14" i="170" s="1"/>
  <c r="F14" i="170"/>
  <c r="E14" i="170"/>
  <c r="C14" i="170"/>
  <c r="F13" i="170"/>
  <c r="E13" i="170"/>
  <c r="C13" i="170"/>
  <c r="D22" i="85"/>
  <c r="C22" i="85"/>
  <c r="K38" i="91" l="1"/>
  <c r="J11" i="91"/>
  <c r="J10" i="91" s="1"/>
  <c r="D11" i="91"/>
  <c r="D10" i="91" s="1"/>
  <c r="C14" i="91"/>
  <c r="C31" i="91"/>
  <c r="C35" i="91"/>
  <c r="C12" i="91"/>
  <c r="K32" i="91"/>
  <c r="C29" i="91"/>
  <c r="C40" i="91"/>
  <c r="C16" i="91"/>
  <c r="I11" i="91"/>
  <c r="I10" i="91" s="1"/>
  <c r="K37" i="91"/>
  <c r="C37" i="91" s="1"/>
  <c r="C38" i="91"/>
  <c r="N11" i="91"/>
  <c r="N10" i="91" s="1"/>
  <c r="M11" i="91"/>
  <c r="M10" i="91" s="1"/>
  <c r="G11" i="91"/>
  <c r="G10" i="91" s="1"/>
  <c r="C28" i="91"/>
  <c r="C36" i="91"/>
  <c r="C32" i="91"/>
  <c r="C41" i="91"/>
  <c r="C24" i="91"/>
  <c r="C42" i="91"/>
  <c r="C19" i="91"/>
  <c r="C33" i="91"/>
  <c r="C20" i="91"/>
  <c r="C43" i="91"/>
  <c r="K34" i="91"/>
  <c r="C34" i="91" s="1"/>
  <c r="O13" i="96"/>
  <c r="Q13" i="96"/>
  <c r="R13" i="96"/>
  <c r="T13" i="96"/>
  <c r="H13" i="96"/>
  <c r="T33" i="96"/>
  <c r="L241" i="96"/>
  <c r="M177" i="96"/>
  <c r="T189" i="96"/>
  <c r="J202" i="96"/>
  <c r="R46" i="96"/>
  <c r="I46" i="96"/>
  <c r="V177" i="96"/>
  <c r="L202" i="96"/>
  <c r="L12" i="96" s="1"/>
  <c r="L11" i="96" s="1"/>
  <c r="O121" i="96"/>
  <c r="O120" i="96" s="1"/>
  <c r="O119" i="96" s="1"/>
  <c r="I189" i="96"/>
  <c r="M202" i="96"/>
  <c r="P46" i="96"/>
  <c r="K133" i="96"/>
  <c r="K132" i="96" s="1"/>
  <c r="K131" i="96" s="1"/>
  <c r="G189" i="96"/>
  <c r="R228" i="96"/>
  <c r="K242" i="96"/>
  <c r="U288" i="96"/>
  <c r="Q328" i="96"/>
  <c r="Q327" i="96" s="1"/>
  <c r="Q326" i="96" s="1"/>
  <c r="O335" i="96"/>
  <c r="O328" i="96" s="1"/>
  <c r="O327" i="96" s="1"/>
  <c r="O326" i="96" s="1"/>
  <c r="O288" i="96" s="1"/>
  <c r="O241" i="96" s="1"/>
  <c r="Q46" i="96"/>
  <c r="K184" i="96"/>
  <c r="K183" i="96" s="1"/>
  <c r="K182" i="96" s="1"/>
  <c r="K177" i="96" s="1"/>
  <c r="K190" i="96"/>
  <c r="K189" i="96" s="1"/>
  <c r="S189" i="96"/>
  <c r="J213" i="96"/>
  <c r="J212" i="96" s="1"/>
  <c r="J211" i="96" s="1"/>
  <c r="M242" i="96"/>
  <c r="O78" i="96"/>
  <c r="O77" i="96" s="1"/>
  <c r="O76" i="96" s="1"/>
  <c r="O46" i="96" s="1"/>
  <c r="M189" i="96"/>
  <c r="J307" i="96"/>
  <c r="J306" i="96" s="1"/>
  <c r="J305" i="96" s="1"/>
  <c r="J288" i="96" s="1"/>
  <c r="J241" i="96" s="1"/>
  <c r="T46" i="96"/>
  <c r="K78" i="96"/>
  <c r="K77" i="96" s="1"/>
  <c r="K76" i="96" s="1"/>
  <c r="K46" i="96" s="1"/>
  <c r="N190" i="96"/>
  <c r="N189" i="96" s="1"/>
  <c r="N202" i="96"/>
  <c r="V202" i="96"/>
  <c r="U46" i="96"/>
  <c r="S87" i="96"/>
  <c r="S86" i="96" s="1"/>
  <c r="S85" i="96" s="1"/>
  <c r="K143" i="96"/>
  <c r="K142" i="96" s="1"/>
  <c r="K141" i="96" s="1"/>
  <c r="J177" i="96"/>
  <c r="O190" i="96"/>
  <c r="O189" i="96" s="1"/>
  <c r="N242" i="96"/>
  <c r="S56" i="96"/>
  <c r="S55" i="96" s="1"/>
  <c r="S54" i="96" s="1"/>
  <c r="S53" i="96" s="1"/>
  <c r="S46" i="96" s="1"/>
  <c r="V55" i="96"/>
  <c r="V54" i="96" s="1"/>
  <c r="V53" i="96" s="1"/>
  <c r="V46" i="96" s="1"/>
  <c r="V12" i="96" s="1"/>
  <c r="V11" i="96" s="1"/>
  <c r="J107" i="96"/>
  <c r="J106" i="96" s="1"/>
  <c r="J105" i="96" s="1"/>
  <c r="J46" i="96" s="1"/>
  <c r="J12" i="96" s="1"/>
  <c r="J11" i="96" s="1"/>
  <c r="K121" i="96"/>
  <c r="K120" i="96" s="1"/>
  <c r="K119" i="96" s="1"/>
  <c r="N177" i="96"/>
  <c r="Q189" i="96"/>
  <c r="P189" i="96"/>
  <c r="Q202" i="96"/>
  <c r="H202" i="96"/>
  <c r="T202" i="96"/>
  <c r="V228" i="96"/>
  <c r="M288" i="96"/>
  <c r="I490" i="96"/>
  <c r="K403" i="96"/>
  <c r="G365" i="96"/>
  <c r="Q228" i="96"/>
  <c r="Q242" i="96"/>
  <c r="R271" i="96"/>
  <c r="R369" i="96"/>
  <c r="R368" i="96" s="1"/>
  <c r="R367" i="96" s="1"/>
  <c r="R366" i="96" s="1"/>
  <c r="R365" i="96" s="1"/>
  <c r="Q368" i="96"/>
  <c r="Q367" i="96" s="1"/>
  <c r="Q366" i="96" s="1"/>
  <c r="Q365" i="96" s="1"/>
  <c r="O369" i="96"/>
  <c r="O368" i="96" s="1"/>
  <c r="O367" i="96" s="1"/>
  <c r="O366" i="96" s="1"/>
  <c r="O365" i="96" s="1"/>
  <c r="J228" i="96"/>
  <c r="H242" i="96"/>
  <c r="H241" i="96" s="1"/>
  <c r="S271" i="96"/>
  <c r="K228" i="96"/>
  <c r="I242" i="96"/>
  <c r="G271" i="96"/>
  <c r="G242" i="96" s="1"/>
  <c r="G241" i="96" s="1"/>
  <c r="T271" i="96"/>
  <c r="S345" i="96"/>
  <c r="S344" i="96" s="1"/>
  <c r="S343" i="96" s="1"/>
  <c r="S288" i="96" s="1"/>
  <c r="L228" i="96"/>
  <c r="R242" i="96"/>
  <c r="R241" i="96" s="1"/>
  <c r="H271" i="96"/>
  <c r="P288" i="96"/>
  <c r="P241" i="96" s="1"/>
  <c r="M228" i="96"/>
  <c r="S242" i="96"/>
  <c r="Q288" i="96"/>
  <c r="N297" i="96"/>
  <c r="N296" i="96" s="1"/>
  <c r="N295" i="96" s="1"/>
  <c r="N288" i="96" s="1"/>
  <c r="N368" i="96"/>
  <c r="N367" i="96" s="1"/>
  <c r="N366" i="96" s="1"/>
  <c r="N365" i="96" s="1"/>
  <c r="T242" i="96"/>
  <c r="R288" i="96"/>
  <c r="U242" i="96"/>
  <c r="K288" i="96"/>
  <c r="S354" i="96"/>
  <c r="S353" i="96" s="1"/>
  <c r="S352" i="96" s="1"/>
  <c r="S365" i="96"/>
  <c r="V269" i="96"/>
  <c r="V268" i="96" s="1"/>
  <c r="V267" i="96" s="1"/>
  <c r="V242" i="96" s="1"/>
  <c r="V241" i="96" s="1"/>
  <c r="S490" i="96"/>
  <c r="P490" i="96"/>
  <c r="O403" i="96"/>
  <c r="I422" i="96"/>
  <c r="Q422" i="96"/>
  <c r="Q403" i="96"/>
  <c r="G490" i="96"/>
  <c r="R490" i="96"/>
  <c r="O422" i="96"/>
  <c r="V422" i="96"/>
  <c r="R422" i="96"/>
  <c r="Q490" i="96"/>
  <c r="T490" i="96"/>
  <c r="S403" i="96"/>
  <c r="P422" i="96"/>
  <c r="G422" i="96"/>
  <c r="O490" i="96"/>
  <c r="V490" i="96"/>
  <c r="T403" i="96"/>
  <c r="K413" i="96"/>
  <c r="U422" i="96"/>
  <c r="L413" i="96"/>
  <c r="J422" i="96"/>
  <c r="S451" i="96"/>
  <c r="S448" i="96" s="1"/>
  <c r="S447" i="96" s="1"/>
  <c r="S446" i="96" s="1"/>
  <c r="S422" i="96" s="1"/>
  <c r="K456" i="96"/>
  <c r="K455" i="96" s="1"/>
  <c r="K454" i="96" s="1"/>
  <c r="K453" i="96" s="1"/>
  <c r="K422" i="96" s="1"/>
  <c r="K13" i="91"/>
  <c r="L11" i="91"/>
  <c r="L10" i="91" s="1"/>
  <c r="A30" i="106"/>
  <c r="I25" i="170"/>
  <c r="C16" i="171"/>
  <c r="C24" i="171"/>
  <c r="C9" i="171"/>
  <c r="E52" i="170"/>
  <c r="E51" i="170" s="1"/>
  <c r="I51" i="170" s="1"/>
  <c r="C13" i="91" l="1"/>
  <c r="C11" i="91" s="1"/>
  <c r="C10" i="91" s="1"/>
  <c r="K11" i="91"/>
  <c r="K10" i="91" s="1"/>
  <c r="G12" i="96"/>
  <c r="G11" i="96" s="1"/>
  <c r="P12" i="96"/>
  <c r="P11" i="96" s="1"/>
  <c r="U12" i="96"/>
  <c r="U11" i="96" s="1"/>
  <c r="K12" i="96"/>
  <c r="K11" i="96" s="1"/>
  <c r="N12" i="96"/>
  <c r="N11" i="96" s="1"/>
  <c r="I241" i="96"/>
  <c r="I12" i="96" s="1"/>
  <c r="I11" i="96" s="1"/>
  <c r="S241" i="96"/>
  <c r="S12" i="96" s="1"/>
  <c r="S11" i="96" s="1"/>
  <c r="O12" i="96"/>
  <c r="O11" i="96" s="1"/>
  <c r="H12" i="96"/>
  <c r="H11" i="96" s="1"/>
  <c r="N241" i="96"/>
  <c r="U241" i="96"/>
  <c r="K241" i="96"/>
  <c r="R12" i="96"/>
  <c r="R11" i="96" s="1"/>
  <c r="T241" i="96"/>
  <c r="T12" i="96" s="1"/>
  <c r="T11" i="96" s="1"/>
  <c r="Q241" i="96"/>
  <c r="M241" i="96"/>
  <c r="M12" i="96" s="1"/>
  <c r="M11" i="96" s="1"/>
  <c r="Q12" i="96"/>
  <c r="Q11" i="96" s="1"/>
  <c r="E25" i="14" l="1"/>
  <c r="E23" i="14"/>
  <c r="E22" i="14"/>
  <c r="D15" i="14"/>
  <c r="D18" i="14"/>
  <c r="D17" i="14"/>
  <c r="E23" i="171" l="1"/>
  <c r="C23" i="171" s="1"/>
  <c r="D13" i="14"/>
  <c r="D18" i="171"/>
  <c r="C18" i="171" s="1"/>
  <c r="E22" i="171"/>
  <c r="C22" i="171" s="1"/>
  <c r="E25" i="171"/>
  <c r="C25" i="171" s="1"/>
  <c r="D17" i="171"/>
  <c r="C17" i="171" s="1"/>
  <c r="D15" i="171"/>
  <c r="C15" i="171" s="1"/>
  <c r="C10" i="164"/>
  <c r="C12" i="164" s="1"/>
  <c r="C8" i="164"/>
  <c r="D8" i="164"/>
  <c r="C9" i="164"/>
  <c r="D9" i="164"/>
  <c r="D11" i="164"/>
  <c r="D12" i="164"/>
  <c r="D13" i="171" l="1"/>
  <c r="C13" i="171" s="1"/>
  <c r="C11" i="164"/>
  <c r="N18" i="11"/>
  <c r="T12" i="11" l="1"/>
  <c r="Y9" i="162" l="1"/>
  <c r="X9" i="162"/>
  <c r="W9" i="162"/>
  <c r="V9" i="162"/>
  <c r="U9" i="162"/>
  <c r="T9" i="162"/>
  <c r="S9" i="162"/>
  <c r="R9" i="162"/>
  <c r="Q9" i="162"/>
  <c r="P9" i="162"/>
  <c r="O9" i="162"/>
  <c r="N9" i="162"/>
  <c r="M9" i="162"/>
  <c r="L9" i="162"/>
  <c r="K9" i="162"/>
  <c r="J9" i="162"/>
  <c r="I9" i="162"/>
  <c r="H9" i="162"/>
  <c r="G9" i="162"/>
  <c r="F9" i="162"/>
  <c r="E9" i="162"/>
  <c r="D9" i="162"/>
  <c r="C9" i="162"/>
  <c r="B9" i="162"/>
  <c r="A9" i="162"/>
  <c r="AD118" i="161"/>
  <c r="AC118" i="161"/>
  <c r="AB118" i="161"/>
  <c r="AA118" i="161"/>
  <c r="Z118" i="161"/>
  <c r="Y118" i="161"/>
  <c r="X118" i="161"/>
  <c r="W118" i="161"/>
  <c r="V118" i="161"/>
  <c r="U118" i="161"/>
  <c r="T118" i="161"/>
  <c r="S118" i="161"/>
  <c r="R118" i="161"/>
  <c r="Q118" i="161"/>
  <c r="P118" i="161"/>
  <c r="O118" i="161"/>
  <c r="N118" i="161"/>
  <c r="M118" i="161"/>
  <c r="L118" i="161"/>
  <c r="K118" i="161"/>
  <c r="H118" i="161"/>
  <c r="D118" i="161" s="1"/>
  <c r="G118" i="161"/>
  <c r="F118" i="161"/>
  <c r="E118" i="161"/>
  <c r="B118" i="161"/>
  <c r="AE117" i="161"/>
  <c r="AD117" i="161"/>
  <c r="AB117" i="161" s="1"/>
  <c r="AC117" i="161"/>
  <c r="AA117" i="161"/>
  <c r="Z117" i="161"/>
  <c r="Y117" i="161"/>
  <c r="X117" i="161"/>
  <c r="W117" i="161"/>
  <c r="V117" i="161"/>
  <c r="U117" i="161"/>
  <c r="T117" i="161"/>
  <c r="S117" i="161"/>
  <c r="R117" i="161"/>
  <c r="Q117" i="161"/>
  <c r="P117" i="161"/>
  <c r="O117" i="161"/>
  <c r="N117" i="161"/>
  <c r="M117" i="161"/>
  <c r="L117" i="161"/>
  <c r="K117" i="161"/>
  <c r="H117" i="161"/>
  <c r="G117" i="161"/>
  <c r="F117" i="161"/>
  <c r="E117" i="161"/>
  <c r="D117" i="161" s="1"/>
  <c r="B117" i="161"/>
  <c r="AE116" i="161"/>
  <c r="AD116" i="161"/>
  <c r="AA116" i="161"/>
  <c r="Z116" i="161"/>
  <c r="Y116" i="161"/>
  <c r="X116" i="161"/>
  <c r="W116" i="161"/>
  <c r="V116" i="161"/>
  <c r="U116" i="161"/>
  <c r="T116" i="161"/>
  <c r="S116" i="161"/>
  <c r="R116" i="161"/>
  <c r="Q116" i="161"/>
  <c r="P116" i="161"/>
  <c r="O116" i="161"/>
  <c r="N116" i="161"/>
  <c r="M116" i="161"/>
  <c r="L116" i="161"/>
  <c r="K116" i="161"/>
  <c r="H116" i="161"/>
  <c r="G116" i="161"/>
  <c r="F116" i="161"/>
  <c r="E116" i="161"/>
  <c r="D116" i="161" s="1"/>
  <c r="B116" i="161"/>
  <c r="I115" i="161"/>
  <c r="D115" i="161" s="1"/>
  <c r="C115" i="161" s="1"/>
  <c r="H115" i="161"/>
  <c r="B115" i="161"/>
  <c r="AC114" i="161"/>
  <c r="I114" i="161"/>
  <c r="G114" i="161"/>
  <c r="F114" i="161"/>
  <c r="E114" i="161"/>
  <c r="B114" i="161"/>
  <c r="AE113" i="161"/>
  <c r="AD113" i="161"/>
  <c r="AB113" i="161" s="1"/>
  <c r="AC113" i="161"/>
  <c r="AA113" i="161"/>
  <c r="Z113" i="161"/>
  <c r="Y113" i="161"/>
  <c r="X113" i="161"/>
  <c r="W113" i="161"/>
  <c r="V113" i="161"/>
  <c r="U113" i="161"/>
  <c r="T113" i="161"/>
  <c r="S113" i="161"/>
  <c r="R113" i="161"/>
  <c r="Q113" i="161"/>
  <c r="P113" i="161"/>
  <c r="O113" i="161"/>
  <c r="N113" i="161"/>
  <c r="M113" i="161"/>
  <c r="L113" i="161"/>
  <c r="K113" i="161"/>
  <c r="H113" i="161"/>
  <c r="F113" i="161"/>
  <c r="E113" i="161"/>
  <c r="B113" i="161"/>
  <c r="AE112" i="161"/>
  <c r="AD112" i="161"/>
  <c r="AC112" i="161"/>
  <c r="AB112" i="161" s="1"/>
  <c r="AA112" i="161"/>
  <c r="Z112" i="161"/>
  <c r="Y112" i="161"/>
  <c r="X112" i="161"/>
  <c r="W112" i="161"/>
  <c r="V112" i="161"/>
  <c r="U112" i="161"/>
  <c r="T112" i="161"/>
  <c r="S112" i="161"/>
  <c r="R112" i="161"/>
  <c r="Q112" i="161"/>
  <c r="P112" i="161"/>
  <c r="O112" i="161"/>
  <c r="N112" i="161"/>
  <c r="M112" i="161"/>
  <c r="L112" i="161"/>
  <c r="K112" i="161"/>
  <c r="H112" i="161"/>
  <c r="G112" i="161"/>
  <c r="E112" i="161"/>
  <c r="B112" i="161"/>
  <c r="AE111" i="161"/>
  <c r="AD111" i="161"/>
  <c r="AC111" i="161"/>
  <c r="AA111" i="161"/>
  <c r="Z111" i="161"/>
  <c r="Y111" i="161"/>
  <c r="X111" i="161"/>
  <c r="W111" i="161"/>
  <c r="V111" i="161"/>
  <c r="U111" i="161"/>
  <c r="T111" i="161"/>
  <c r="S111" i="161"/>
  <c r="R111" i="161"/>
  <c r="Q111" i="161"/>
  <c r="P111" i="161"/>
  <c r="O111" i="161"/>
  <c r="N111" i="161"/>
  <c r="M111" i="161"/>
  <c r="L111" i="161"/>
  <c r="K111" i="161"/>
  <c r="H111" i="161"/>
  <c r="G111" i="161"/>
  <c r="F111" i="161"/>
  <c r="B111" i="161"/>
  <c r="D110" i="161"/>
  <c r="C110" i="161" s="1"/>
  <c r="AA109" i="161"/>
  <c r="Y109" i="161"/>
  <c r="X109" i="161"/>
  <c r="AE108" i="161"/>
  <c r="AD108" i="161"/>
  <c r="AC108" i="161"/>
  <c r="AB108" i="161"/>
  <c r="AA108" i="161"/>
  <c r="Z108" i="161"/>
  <c r="Y108" i="161"/>
  <c r="W108" i="161"/>
  <c r="V108" i="161"/>
  <c r="U108" i="161"/>
  <c r="T108" i="161"/>
  <c r="S108" i="161"/>
  <c r="R108" i="161"/>
  <c r="Q108" i="161"/>
  <c r="P108" i="161"/>
  <c r="O108" i="161"/>
  <c r="N108" i="161"/>
  <c r="M108" i="161"/>
  <c r="L108" i="161"/>
  <c r="K108" i="161"/>
  <c r="H108" i="161"/>
  <c r="G108" i="161"/>
  <c r="F108" i="161"/>
  <c r="D108" i="161" s="1"/>
  <c r="E108" i="161"/>
  <c r="B108" i="161"/>
  <c r="AE107" i="161"/>
  <c r="AD107" i="161"/>
  <c r="AC107" i="161"/>
  <c r="AA107" i="161"/>
  <c r="Z107" i="161"/>
  <c r="Y107" i="161"/>
  <c r="X107" i="161"/>
  <c r="V107" i="161"/>
  <c r="U107" i="161"/>
  <c r="T107" i="161"/>
  <c r="S107" i="161"/>
  <c r="R107" i="161"/>
  <c r="Q107" i="161"/>
  <c r="P107" i="161"/>
  <c r="O107" i="161"/>
  <c r="N107" i="161"/>
  <c r="M107" i="161"/>
  <c r="L107" i="161"/>
  <c r="K107" i="161"/>
  <c r="H107" i="161"/>
  <c r="G107" i="161"/>
  <c r="F107" i="161"/>
  <c r="E107" i="161"/>
  <c r="B107" i="161"/>
  <c r="AE106" i="161"/>
  <c r="AD106" i="161"/>
  <c r="AB106" i="161" s="1"/>
  <c r="AC106" i="161"/>
  <c r="AA106" i="161"/>
  <c r="Z106" i="161"/>
  <c r="Y106" i="161"/>
  <c r="X106" i="161"/>
  <c r="W106" i="161"/>
  <c r="H106" i="161"/>
  <c r="G106" i="161"/>
  <c r="F106" i="161"/>
  <c r="E106" i="161"/>
  <c r="B106" i="161"/>
  <c r="AE105" i="161"/>
  <c r="AD105" i="161"/>
  <c r="AC105" i="161"/>
  <c r="AA105" i="161"/>
  <c r="Z105" i="161"/>
  <c r="Y105" i="161"/>
  <c r="X105" i="161"/>
  <c r="W105" i="161"/>
  <c r="V105" i="161"/>
  <c r="U105" i="161"/>
  <c r="T105" i="161"/>
  <c r="S105" i="161"/>
  <c r="R105" i="161"/>
  <c r="Q105" i="161"/>
  <c r="P105" i="161"/>
  <c r="O105" i="161"/>
  <c r="N105" i="161"/>
  <c r="M105" i="161"/>
  <c r="L105" i="161"/>
  <c r="K105" i="161"/>
  <c r="H105" i="161"/>
  <c r="G105" i="161"/>
  <c r="F105" i="161"/>
  <c r="E105" i="161"/>
  <c r="B105" i="161"/>
  <c r="A105" i="161"/>
  <c r="AD104" i="161"/>
  <c r="AC104" i="161"/>
  <c r="AA104" i="161"/>
  <c r="Z104" i="161"/>
  <c r="Y104" i="161"/>
  <c r="X104" i="161"/>
  <c r="W104" i="161"/>
  <c r="V104" i="161"/>
  <c r="U104" i="161"/>
  <c r="T104" i="161"/>
  <c r="S104" i="161"/>
  <c r="R104" i="161"/>
  <c r="Q104" i="161"/>
  <c r="P104" i="161"/>
  <c r="O104" i="161"/>
  <c r="N104" i="161"/>
  <c r="M104" i="161"/>
  <c r="L104" i="161"/>
  <c r="K104" i="161"/>
  <c r="B104" i="161"/>
  <c r="AD103" i="161"/>
  <c r="AC103" i="161"/>
  <c r="AA103" i="161"/>
  <c r="Z103" i="161"/>
  <c r="Y103" i="161"/>
  <c r="X103" i="161"/>
  <c r="W103" i="161"/>
  <c r="U103" i="161"/>
  <c r="T103" i="161"/>
  <c r="S103" i="161"/>
  <c r="R103" i="161"/>
  <c r="Q103" i="161"/>
  <c r="P103" i="161"/>
  <c r="O103" i="161"/>
  <c r="N103" i="161"/>
  <c r="M103" i="161"/>
  <c r="L103" i="161"/>
  <c r="K103" i="161"/>
  <c r="B103" i="161"/>
  <c r="AE102" i="161"/>
  <c r="AD102" i="161"/>
  <c r="AC102" i="161"/>
  <c r="AA102" i="161"/>
  <c r="Z102" i="161"/>
  <c r="Y102" i="161"/>
  <c r="X102" i="161"/>
  <c r="W102" i="161"/>
  <c r="U102" i="161"/>
  <c r="T102" i="161"/>
  <c r="S102" i="161"/>
  <c r="R102" i="161"/>
  <c r="Q102" i="161"/>
  <c r="P102" i="161"/>
  <c r="O102" i="161"/>
  <c r="N102" i="161"/>
  <c r="M102" i="161"/>
  <c r="L102" i="161"/>
  <c r="K102" i="161"/>
  <c r="H102" i="161"/>
  <c r="G102" i="161"/>
  <c r="F102" i="161"/>
  <c r="E102" i="161"/>
  <c r="B102" i="161"/>
  <c r="A102" i="161"/>
  <c r="B101" i="161"/>
  <c r="B100" i="161"/>
  <c r="AE99" i="161"/>
  <c r="AD99" i="161"/>
  <c r="AC99" i="161"/>
  <c r="AA99" i="161"/>
  <c r="Z99" i="161"/>
  <c r="Y99" i="161"/>
  <c r="X99" i="161"/>
  <c r="W99" i="161"/>
  <c r="V99" i="161"/>
  <c r="U99" i="161"/>
  <c r="S99" i="161"/>
  <c r="R99" i="161"/>
  <c r="Q99" i="161"/>
  <c r="P99" i="161"/>
  <c r="O99" i="161"/>
  <c r="N99" i="161"/>
  <c r="M99" i="161"/>
  <c r="L99" i="161"/>
  <c r="K99" i="161"/>
  <c r="H99" i="161"/>
  <c r="G99" i="161"/>
  <c r="F99" i="161"/>
  <c r="E99" i="161"/>
  <c r="D99" i="161"/>
  <c r="B99" i="161"/>
  <c r="AE98" i="161"/>
  <c r="AD98" i="161"/>
  <c r="AC98" i="161"/>
  <c r="AA98" i="161"/>
  <c r="Z98" i="161"/>
  <c r="Y98" i="161"/>
  <c r="X98" i="161"/>
  <c r="W98" i="161"/>
  <c r="V98" i="161"/>
  <c r="U98" i="161"/>
  <c r="S98" i="161"/>
  <c r="R98" i="161"/>
  <c r="Q98" i="161"/>
  <c r="P98" i="161"/>
  <c r="O98" i="161"/>
  <c r="N98" i="161"/>
  <c r="M98" i="161"/>
  <c r="L98" i="161"/>
  <c r="K98" i="161"/>
  <c r="H98" i="161"/>
  <c r="G98" i="161"/>
  <c r="F98" i="161"/>
  <c r="E98" i="161"/>
  <c r="B98" i="161"/>
  <c r="A98" i="161"/>
  <c r="AE97" i="161"/>
  <c r="AD97" i="161"/>
  <c r="AC97" i="161"/>
  <c r="AA97" i="161"/>
  <c r="Z97" i="161"/>
  <c r="Y97" i="161"/>
  <c r="X97" i="161"/>
  <c r="W97" i="161"/>
  <c r="V97" i="161"/>
  <c r="U97" i="161"/>
  <c r="T97" i="161"/>
  <c r="R97" i="161"/>
  <c r="Q97" i="161"/>
  <c r="P97" i="161"/>
  <c r="O97" i="161"/>
  <c r="N97" i="161"/>
  <c r="M97" i="161"/>
  <c r="L97" i="161"/>
  <c r="K97" i="161"/>
  <c r="H97" i="161"/>
  <c r="G97" i="161"/>
  <c r="F97" i="161"/>
  <c r="E97" i="161"/>
  <c r="B97" i="161"/>
  <c r="A97" i="161"/>
  <c r="AE96" i="161"/>
  <c r="AD96" i="161"/>
  <c r="AC96" i="161"/>
  <c r="AA96" i="161"/>
  <c r="Z96" i="161"/>
  <c r="Y96" i="161"/>
  <c r="X96" i="161"/>
  <c r="W96" i="161"/>
  <c r="V96" i="161"/>
  <c r="U96" i="161"/>
  <c r="T96" i="161"/>
  <c r="R96" i="161"/>
  <c r="Q96" i="161"/>
  <c r="P96" i="161"/>
  <c r="O96" i="161"/>
  <c r="N96" i="161"/>
  <c r="M96" i="161"/>
  <c r="L96" i="161"/>
  <c r="K96" i="161"/>
  <c r="H96" i="161"/>
  <c r="G96" i="161"/>
  <c r="F96" i="161"/>
  <c r="D96" i="161" s="1"/>
  <c r="E96" i="161"/>
  <c r="B96" i="161"/>
  <c r="A96" i="161"/>
  <c r="AE95" i="161"/>
  <c r="AD95" i="161"/>
  <c r="AC95" i="161"/>
  <c r="AB95" i="161"/>
  <c r="AA95" i="161"/>
  <c r="Z95" i="161"/>
  <c r="Y95" i="161"/>
  <c r="X95" i="161"/>
  <c r="W95" i="161"/>
  <c r="V95" i="161"/>
  <c r="U95" i="161"/>
  <c r="T95" i="161"/>
  <c r="R95" i="161"/>
  <c r="Q95" i="161"/>
  <c r="P95" i="161"/>
  <c r="O95" i="161"/>
  <c r="N95" i="161"/>
  <c r="M95" i="161"/>
  <c r="L95" i="161"/>
  <c r="K95" i="161"/>
  <c r="H95" i="161"/>
  <c r="G95" i="161"/>
  <c r="F95" i="161"/>
  <c r="E95" i="161"/>
  <c r="B95" i="161"/>
  <c r="A95" i="161"/>
  <c r="B94" i="161"/>
  <c r="B93" i="161"/>
  <c r="B92" i="161"/>
  <c r="B91" i="161"/>
  <c r="AE90" i="161"/>
  <c r="AD90" i="161"/>
  <c r="AC90" i="161"/>
  <c r="AB90" i="161"/>
  <c r="AA90" i="161"/>
  <c r="Z90" i="161"/>
  <c r="Y90" i="161"/>
  <c r="X90" i="161"/>
  <c r="W90" i="161"/>
  <c r="V90" i="161"/>
  <c r="U90" i="161"/>
  <c r="T90" i="161"/>
  <c r="S90" i="161"/>
  <c r="R90" i="161"/>
  <c r="Q90" i="161"/>
  <c r="O90" i="161"/>
  <c r="N90" i="161"/>
  <c r="M90" i="161"/>
  <c r="L90" i="161"/>
  <c r="K90" i="161"/>
  <c r="H90" i="161"/>
  <c r="G90" i="161"/>
  <c r="F90" i="161"/>
  <c r="D90" i="161" s="1"/>
  <c r="E90" i="161"/>
  <c r="B90" i="161"/>
  <c r="AD89" i="161"/>
  <c r="AC89" i="161"/>
  <c r="AB89" i="161"/>
  <c r="AA89" i="161"/>
  <c r="Z89" i="161"/>
  <c r="Y89" i="161"/>
  <c r="X89" i="161"/>
  <c r="W89" i="161"/>
  <c r="V89" i="161"/>
  <c r="U89" i="161"/>
  <c r="T89" i="161"/>
  <c r="S89" i="161"/>
  <c r="R89" i="161"/>
  <c r="Q89" i="161"/>
  <c r="O89" i="161"/>
  <c r="N89" i="161"/>
  <c r="M89" i="161"/>
  <c r="L89" i="161"/>
  <c r="K89" i="161"/>
  <c r="B89" i="161"/>
  <c r="A89" i="161"/>
  <c r="B88" i="161"/>
  <c r="B87" i="161"/>
  <c r="AC86" i="161"/>
  <c r="AA86" i="161"/>
  <c r="Z86" i="161"/>
  <c r="Y86" i="161"/>
  <c r="X86" i="161"/>
  <c r="W86" i="161"/>
  <c r="V86" i="161"/>
  <c r="U86" i="161"/>
  <c r="T86" i="161"/>
  <c r="S86" i="161"/>
  <c r="R86" i="161"/>
  <c r="Q86" i="161"/>
  <c r="P86" i="161"/>
  <c r="O86" i="161"/>
  <c r="M86" i="161"/>
  <c r="L86" i="161"/>
  <c r="K86" i="161"/>
  <c r="B86" i="161"/>
  <c r="M85" i="161"/>
  <c r="L85" i="161"/>
  <c r="K85" i="161"/>
  <c r="B85" i="161"/>
  <c r="A85" i="161"/>
  <c r="AD84" i="161"/>
  <c r="AC84" i="161"/>
  <c r="AB84" i="161"/>
  <c r="AA84" i="161"/>
  <c r="Z84" i="161"/>
  <c r="Y84" i="161"/>
  <c r="X84" i="161"/>
  <c r="W84" i="161"/>
  <c r="V84" i="161"/>
  <c r="U84" i="161"/>
  <c r="T84" i="161"/>
  <c r="S84" i="161"/>
  <c r="R84" i="161"/>
  <c r="Q84" i="161"/>
  <c r="P84" i="161"/>
  <c r="O84" i="161"/>
  <c r="N84" i="161"/>
  <c r="L84" i="161"/>
  <c r="K84" i="161"/>
  <c r="B84" i="161"/>
  <c r="AD83" i="161"/>
  <c r="AC83" i="161"/>
  <c r="AB83" i="161"/>
  <c r="AA83" i="161"/>
  <c r="Z83" i="161"/>
  <c r="Y83" i="161"/>
  <c r="X83" i="161"/>
  <c r="W83" i="161"/>
  <c r="V83" i="161"/>
  <c r="U83" i="161"/>
  <c r="T83" i="161"/>
  <c r="S83" i="161"/>
  <c r="R83" i="161"/>
  <c r="Q83" i="161"/>
  <c r="P83" i="161"/>
  <c r="O83" i="161"/>
  <c r="N83" i="161"/>
  <c r="B83" i="161"/>
  <c r="A83" i="161"/>
  <c r="AD82" i="161"/>
  <c r="AC82" i="161"/>
  <c r="AB82" i="161"/>
  <c r="AA82" i="161"/>
  <c r="Z82" i="161"/>
  <c r="Y82" i="161"/>
  <c r="X82" i="161"/>
  <c r="W82" i="161"/>
  <c r="V82" i="161"/>
  <c r="U82" i="161"/>
  <c r="T82" i="161"/>
  <c r="S82" i="161"/>
  <c r="R82" i="161"/>
  <c r="Q82" i="161"/>
  <c r="P82" i="161"/>
  <c r="O82" i="161"/>
  <c r="N82" i="161"/>
  <c r="M82" i="161"/>
  <c r="K82" i="161"/>
  <c r="B82" i="161"/>
  <c r="AD81" i="161"/>
  <c r="AC81" i="161"/>
  <c r="AB81" i="161"/>
  <c r="AA81" i="161"/>
  <c r="Z81" i="161"/>
  <c r="Y81" i="161"/>
  <c r="X81" i="161"/>
  <c r="W81" i="161"/>
  <c r="V81" i="161"/>
  <c r="U81" i="161"/>
  <c r="T81" i="161"/>
  <c r="S81" i="161"/>
  <c r="R81" i="161"/>
  <c r="Q81" i="161"/>
  <c r="P81" i="161"/>
  <c r="O81" i="161"/>
  <c r="N81" i="161"/>
  <c r="M81" i="161"/>
  <c r="K81" i="161"/>
  <c r="B81" i="161"/>
  <c r="A81" i="161"/>
  <c r="AD80" i="161"/>
  <c r="AC80" i="161"/>
  <c r="AB80" i="161"/>
  <c r="AA80" i="161"/>
  <c r="Z80" i="161"/>
  <c r="Y80" i="161"/>
  <c r="X80" i="161"/>
  <c r="W80" i="161"/>
  <c r="V80" i="161"/>
  <c r="U80" i="161"/>
  <c r="T80" i="161"/>
  <c r="S80" i="161"/>
  <c r="R80" i="161"/>
  <c r="Q80" i="161"/>
  <c r="P80" i="161"/>
  <c r="O80" i="161"/>
  <c r="N80" i="161"/>
  <c r="M80" i="161"/>
  <c r="L80" i="161"/>
  <c r="B80" i="161"/>
  <c r="A80" i="161"/>
  <c r="AD79" i="161"/>
  <c r="AC79" i="161"/>
  <c r="AB79" i="161"/>
  <c r="AA79" i="161"/>
  <c r="Z79" i="161"/>
  <c r="Y79" i="161"/>
  <c r="X79" i="161"/>
  <c r="W79" i="161"/>
  <c r="V79" i="161"/>
  <c r="U79" i="161"/>
  <c r="T79" i="161"/>
  <c r="S79" i="161"/>
  <c r="R79" i="161"/>
  <c r="Q79" i="161"/>
  <c r="P79" i="161"/>
  <c r="O79" i="161"/>
  <c r="N79" i="161"/>
  <c r="M79" i="161"/>
  <c r="L79" i="161"/>
  <c r="K79" i="161"/>
  <c r="B79" i="161"/>
  <c r="A79" i="161"/>
  <c r="AD78" i="161"/>
  <c r="AC78" i="161"/>
  <c r="AB78" i="161"/>
  <c r="AA78" i="161"/>
  <c r="Z78" i="161"/>
  <c r="Y78" i="161"/>
  <c r="X78" i="161"/>
  <c r="W78" i="161"/>
  <c r="V78" i="161"/>
  <c r="U78" i="161"/>
  <c r="T78" i="161"/>
  <c r="S78" i="161"/>
  <c r="R78" i="161"/>
  <c r="Q78" i="161"/>
  <c r="P78" i="161"/>
  <c r="O78" i="161"/>
  <c r="N78" i="161"/>
  <c r="M78" i="161"/>
  <c r="L78" i="161"/>
  <c r="B78" i="161"/>
  <c r="A78" i="161"/>
  <c r="AE77" i="161"/>
  <c r="AD77" i="161"/>
  <c r="AC77" i="161"/>
  <c r="AA77" i="161"/>
  <c r="Z77" i="161"/>
  <c r="Y77" i="161"/>
  <c r="X77" i="161"/>
  <c r="W77" i="161"/>
  <c r="V77" i="161"/>
  <c r="U77" i="161"/>
  <c r="T77" i="161"/>
  <c r="S77" i="161"/>
  <c r="R77" i="161"/>
  <c r="Q77" i="161"/>
  <c r="P77" i="161"/>
  <c r="O77" i="161"/>
  <c r="N77" i="161"/>
  <c r="M77" i="161"/>
  <c r="L77" i="161"/>
  <c r="H77" i="161"/>
  <c r="G77" i="161"/>
  <c r="F77" i="161"/>
  <c r="E77" i="161"/>
  <c r="B77" i="161"/>
  <c r="A77" i="161"/>
  <c r="AD76" i="161"/>
  <c r="AC76" i="161"/>
  <c r="AB76" i="161"/>
  <c r="AA76" i="161"/>
  <c r="Z76" i="161"/>
  <c r="Y76" i="161"/>
  <c r="X76" i="161"/>
  <c r="W76" i="161"/>
  <c r="V76" i="161"/>
  <c r="U76" i="161"/>
  <c r="T76" i="161"/>
  <c r="S76" i="161"/>
  <c r="R76" i="161"/>
  <c r="Q76" i="161"/>
  <c r="P76" i="161"/>
  <c r="O76" i="161"/>
  <c r="N76" i="161"/>
  <c r="M76" i="161"/>
  <c r="L76" i="161"/>
  <c r="B76" i="161"/>
  <c r="A76" i="161"/>
  <c r="B75" i="161"/>
  <c r="B74" i="161"/>
  <c r="V73" i="161"/>
  <c r="J73" i="161" s="1"/>
  <c r="C73" i="161" s="1"/>
  <c r="B73" i="161"/>
  <c r="V72" i="161"/>
  <c r="J72" i="161" s="1"/>
  <c r="C72" i="161" s="1"/>
  <c r="B72" i="161"/>
  <c r="V71" i="161"/>
  <c r="J71" i="161" s="1"/>
  <c r="C71" i="161" s="1"/>
  <c r="B71" i="161"/>
  <c r="V70" i="161"/>
  <c r="J70" i="161"/>
  <c r="C70" i="161" s="1"/>
  <c r="B70" i="161"/>
  <c r="AE69" i="161"/>
  <c r="AD69" i="161"/>
  <c r="AC69" i="161"/>
  <c r="AB69" i="161"/>
  <c r="AA69" i="161"/>
  <c r="Z69" i="161"/>
  <c r="Y69" i="161"/>
  <c r="X69" i="161"/>
  <c r="W69" i="161"/>
  <c r="U69" i="161"/>
  <c r="T69" i="161"/>
  <c r="S69" i="161"/>
  <c r="R69" i="161"/>
  <c r="Q69" i="161"/>
  <c r="P69" i="161"/>
  <c r="O69" i="161"/>
  <c r="N69" i="161"/>
  <c r="M69" i="161"/>
  <c r="L69" i="161"/>
  <c r="K69" i="161"/>
  <c r="H69" i="161"/>
  <c r="G69" i="161"/>
  <c r="F69" i="161"/>
  <c r="E69" i="161"/>
  <c r="B69" i="161"/>
  <c r="AE68" i="161"/>
  <c r="AD68" i="161"/>
  <c r="AC68" i="161"/>
  <c r="AB68" i="161" s="1"/>
  <c r="AA68" i="161"/>
  <c r="Z68" i="161"/>
  <c r="Y68" i="161"/>
  <c r="X68" i="161"/>
  <c r="W68" i="161"/>
  <c r="U68" i="161"/>
  <c r="T68" i="161"/>
  <c r="S68" i="161"/>
  <c r="R68" i="161"/>
  <c r="Q68" i="161"/>
  <c r="P68" i="161"/>
  <c r="O68" i="161"/>
  <c r="N68" i="161"/>
  <c r="M68" i="161"/>
  <c r="L68" i="161"/>
  <c r="K68" i="161"/>
  <c r="H68" i="161"/>
  <c r="G68" i="161"/>
  <c r="F68" i="161"/>
  <c r="E68" i="161"/>
  <c r="B68" i="161"/>
  <c r="AE67" i="161"/>
  <c r="AD67" i="161"/>
  <c r="AB67" i="161" s="1"/>
  <c r="AC67" i="161"/>
  <c r="AA67" i="161"/>
  <c r="Z67" i="161"/>
  <c r="Y67" i="161"/>
  <c r="X67" i="161"/>
  <c r="W67" i="161"/>
  <c r="U67" i="161"/>
  <c r="T67" i="161"/>
  <c r="S67" i="161"/>
  <c r="R67" i="161"/>
  <c r="Q67" i="161"/>
  <c r="P67" i="161"/>
  <c r="O67" i="161"/>
  <c r="N67" i="161"/>
  <c r="M67" i="161"/>
  <c r="L67" i="161"/>
  <c r="K67" i="161"/>
  <c r="H67" i="161"/>
  <c r="G67" i="161"/>
  <c r="F67" i="161"/>
  <c r="E67" i="161"/>
  <c r="D67" i="161"/>
  <c r="B67" i="161"/>
  <c r="AE66" i="161"/>
  <c r="AD66" i="161"/>
  <c r="AC66" i="161"/>
  <c r="AB66" i="161" s="1"/>
  <c r="AA66" i="161"/>
  <c r="Z66" i="161"/>
  <c r="Y66" i="161"/>
  <c r="X66" i="161"/>
  <c r="W66" i="161"/>
  <c r="U66" i="161"/>
  <c r="T66" i="161"/>
  <c r="S66" i="161"/>
  <c r="R66" i="161"/>
  <c r="Q66" i="161"/>
  <c r="P66" i="161"/>
  <c r="O66" i="161"/>
  <c r="N66" i="161"/>
  <c r="M66" i="161"/>
  <c r="L66" i="161"/>
  <c r="K66" i="161"/>
  <c r="H66" i="161"/>
  <c r="G66" i="161"/>
  <c r="F66" i="161"/>
  <c r="E66" i="161"/>
  <c r="B66" i="161"/>
  <c r="AE65" i="161"/>
  <c r="AD65" i="161"/>
  <c r="AC65" i="161"/>
  <c r="AA65" i="161"/>
  <c r="Z65" i="161"/>
  <c r="Y65" i="161"/>
  <c r="X65" i="161"/>
  <c r="W65" i="161"/>
  <c r="U65" i="161"/>
  <c r="T65" i="161"/>
  <c r="S65" i="161"/>
  <c r="R65" i="161"/>
  <c r="Q65" i="161"/>
  <c r="P65" i="161"/>
  <c r="O65" i="161"/>
  <c r="N65" i="161"/>
  <c r="M65" i="161"/>
  <c r="L65" i="161"/>
  <c r="K65" i="161"/>
  <c r="H65" i="161"/>
  <c r="G65" i="161"/>
  <c r="F65" i="161"/>
  <c r="E65" i="161"/>
  <c r="B65" i="161"/>
  <c r="AE64" i="161"/>
  <c r="AD64" i="161"/>
  <c r="AB64" i="161" s="1"/>
  <c r="AC64" i="161"/>
  <c r="AA64" i="161"/>
  <c r="Z64" i="161"/>
  <c r="Y64" i="161"/>
  <c r="X64" i="161"/>
  <c r="W64" i="161"/>
  <c r="U64" i="161"/>
  <c r="T64" i="161"/>
  <c r="S64" i="161"/>
  <c r="R64" i="161"/>
  <c r="Q64" i="161"/>
  <c r="P64" i="161"/>
  <c r="O64" i="161"/>
  <c r="N64" i="161"/>
  <c r="M64" i="161"/>
  <c r="L64" i="161"/>
  <c r="L60" i="161" s="1"/>
  <c r="K64" i="161"/>
  <c r="H64" i="161"/>
  <c r="D64" i="161" s="1"/>
  <c r="G64" i="161"/>
  <c r="F64" i="161"/>
  <c r="E64" i="161"/>
  <c r="B64" i="161"/>
  <c r="AE63" i="161"/>
  <c r="AD63" i="161"/>
  <c r="AC63" i="161"/>
  <c r="AB63" i="161" s="1"/>
  <c r="AA63" i="161"/>
  <c r="Z63" i="161"/>
  <c r="Y63" i="161"/>
  <c r="Y60" i="161" s="1"/>
  <c r="X63" i="161"/>
  <c r="W63" i="161"/>
  <c r="U63" i="161"/>
  <c r="T63" i="161"/>
  <c r="S63" i="161"/>
  <c r="R63" i="161"/>
  <c r="Q63" i="161"/>
  <c r="P63" i="161"/>
  <c r="O63" i="161"/>
  <c r="N63" i="161"/>
  <c r="M63" i="161"/>
  <c r="L63" i="161"/>
  <c r="K63" i="161"/>
  <c r="H63" i="161"/>
  <c r="G63" i="161"/>
  <c r="F63" i="161"/>
  <c r="E63" i="161"/>
  <c r="B63" i="161"/>
  <c r="AE62" i="161"/>
  <c r="AD62" i="161"/>
  <c r="AC62" i="161"/>
  <c r="AA62" i="161"/>
  <c r="Z62" i="161"/>
  <c r="Y62" i="161"/>
  <c r="X62" i="161"/>
  <c r="W62" i="161"/>
  <c r="V62" i="161"/>
  <c r="U62" i="161"/>
  <c r="T62" i="161"/>
  <c r="S62" i="161"/>
  <c r="R62" i="161"/>
  <c r="Q62" i="161"/>
  <c r="P62" i="161"/>
  <c r="O62" i="161"/>
  <c r="M62" i="161"/>
  <c r="L62" i="161"/>
  <c r="K62" i="161"/>
  <c r="H62" i="161"/>
  <c r="G62" i="161"/>
  <c r="F62" i="161"/>
  <c r="D62" i="161" s="1"/>
  <c r="E62" i="161"/>
  <c r="B62" i="161"/>
  <c r="AE61" i="161"/>
  <c r="AE60" i="161" s="1"/>
  <c r="AD61" i="161"/>
  <c r="AC61" i="161"/>
  <c r="AB61" i="161" s="1"/>
  <c r="AA61" i="161"/>
  <c r="Z61" i="161"/>
  <c r="Y61" i="161"/>
  <c r="X61" i="161"/>
  <c r="W61" i="161"/>
  <c r="V61" i="161"/>
  <c r="U61" i="161"/>
  <c r="T61" i="161"/>
  <c r="S61" i="161"/>
  <c r="R61" i="161"/>
  <c r="Q61" i="161"/>
  <c r="P61" i="161"/>
  <c r="N61" i="161"/>
  <c r="M61" i="161"/>
  <c r="L61" i="161"/>
  <c r="K61" i="161"/>
  <c r="H61" i="161"/>
  <c r="G61" i="161"/>
  <c r="F61" i="161"/>
  <c r="E61" i="161"/>
  <c r="B61" i="161"/>
  <c r="I60" i="161"/>
  <c r="B60" i="161"/>
  <c r="AE59" i="161"/>
  <c r="AD59" i="161"/>
  <c r="AC59" i="161"/>
  <c r="AA59" i="161"/>
  <c r="Z59" i="161"/>
  <c r="Y59" i="161"/>
  <c r="X59" i="161"/>
  <c r="W59" i="161"/>
  <c r="V59" i="161"/>
  <c r="V56" i="161" s="1"/>
  <c r="T59" i="161"/>
  <c r="S59" i="161"/>
  <c r="R59" i="161"/>
  <c r="Q59" i="161"/>
  <c r="P59" i="161"/>
  <c r="O59" i="161"/>
  <c r="N59" i="161"/>
  <c r="M59" i="161"/>
  <c r="L59" i="161"/>
  <c r="K59" i="161"/>
  <c r="H59" i="161"/>
  <c r="H56" i="161" s="1"/>
  <c r="G59" i="161"/>
  <c r="F59" i="161"/>
  <c r="E59" i="161"/>
  <c r="B59" i="161"/>
  <c r="AE58" i="161"/>
  <c r="AD58" i="161"/>
  <c r="AC58" i="161"/>
  <c r="AB58" i="161" s="1"/>
  <c r="AA58" i="161"/>
  <c r="Z58" i="161"/>
  <c r="Y58" i="161"/>
  <c r="X58" i="161"/>
  <c r="W58" i="161"/>
  <c r="V58" i="161"/>
  <c r="T58" i="161"/>
  <c r="S58" i="161"/>
  <c r="R58" i="161"/>
  <c r="R56" i="161" s="1"/>
  <c r="Q58" i="161"/>
  <c r="P58" i="161"/>
  <c r="O58" i="161"/>
  <c r="N58" i="161"/>
  <c r="M58" i="161"/>
  <c r="L58" i="161"/>
  <c r="K58" i="161"/>
  <c r="H58" i="161"/>
  <c r="G58" i="161"/>
  <c r="F58" i="161"/>
  <c r="E58" i="161"/>
  <c r="B58" i="161"/>
  <c r="AE57" i="161"/>
  <c r="AD57" i="161"/>
  <c r="AC57" i="161"/>
  <c r="AB57" i="161" s="1"/>
  <c r="AA57" i="161"/>
  <c r="Z57" i="161"/>
  <c r="Y57" i="161"/>
  <c r="X57" i="161"/>
  <c r="W57" i="161"/>
  <c r="V57" i="161"/>
  <c r="T57" i="161"/>
  <c r="T56" i="161" s="1"/>
  <c r="S57" i="161"/>
  <c r="R57" i="161"/>
  <c r="Q57" i="161"/>
  <c r="P57" i="161"/>
  <c r="O57" i="161"/>
  <c r="N57" i="161"/>
  <c r="M57" i="161"/>
  <c r="L57" i="161"/>
  <c r="L56" i="161" s="1"/>
  <c r="K57" i="161"/>
  <c r="H57" i="161"/>
  <c r="G57" i="161"/>
  <c r="F57" i="161"/>
  <c r="D57" i="161" s="1"/>
  <c r="E57" i="161"/>
  <c r="B57" i="161"/>
  <c r="Q56" i="161"/>
  <c r="P56" i="161"/>
  <c r="O56" i="161"/>
  <c r="G56" i="161"/>
  <c r="B56" i="161"/>
  <c r="AE55" i="161"/>
  <c r="AD55" i="161"/>
  <c r="AB55" i="161" s="1"/>
  <c r="AC55" i="161"/>
  <c r="AA55" i="161"/>
  <c r="Z55" i="161"/>
  <c r="Y55" i="161"/>
  <c r="X55" i="161"/>
  <c r="W55" i="161"/>
  <c r="V55" i="161"/>
  <c r="U55" i="161"/>
  <c r="T55" i="161"/>
  <c r="S55" i="161"/>
  <c r="R55" i="161"/>
  <c r="Q55" i="161"/>
  <c r="P55" i="161"/>
  <c r="O55" i="161"/>
  <c r="N55" i="161"/>
  <c r="M55" i="161"/>
  <c r="L55" i="161"/>
  <c r="K55" i="161"/>
  <c r="H55" i="161"/>
  <c r="D55" i="161" s="1"/>
  <c r="G55" i="161"/>
  <c r="F55" i="161"/>
  <c r="E55" i="161"/>
  <c r="B55" i="161"/>
  <c r="AE54" i="161"/>
  <c r="AD54" i="161"/>
  <c r="AC54" i="161"/>
  <c r="AB54" i="161" s="1"/>
  <c r="AA54" i="161"/>
  <c r="Z54" i="161"/>
  <c r="Y54" i="161"/>
  <c r="X54" i="161"/>
  <c r="W54" i="161"/>
  <c r="V54" i="161"/>
  <c r="U54" i="161"/>
  <c r="T54" i="161"/>
  <c r="S54" i="161"/>
  <c r="R54" i="161"/>
  <c r="Q54" i="161"/>
  <c r="P54" i="161"/>
  <c r="O54" i="161"/>
  <c r="N54" i="161"/>
  <c r="M54" i="161"/>
  <c r="L54" i="161"/>
  <c r="K54" i="161"/>
  <c r="H54" i="161"/>
  <c r="G54" i="161"/>
  <c r="F54" i="161"/>
  <c r="E54" i="161"/>
  <c r="B54" i="161"/>
  <c r="AE53" i="161"/>
  <c r="AD53" i="161"/>
  <c r="AC53" i="161"/>
  <c r="AA53" i="161"/>
  <c r="Z53" i="161"/>
  <c r="Y53" i="161"/>
  <c r="X53" i="161"/>
  <c r="W53" i="161"/>
  <c r="V53" i="161"/>
  <c r="U53" i="161"/>
  <c r="T53" i="161"/>
  <c r="S53" i="161"/>
  <c r="R53" i="161"/>
  <c r="Q53" i="161"/>
  <c r="P53" i="161"/>
  <c r="O53" i="161"/>
  <c r="N53" i="161"/>
  <c r="M53" i="161"/>
  <c r="L53" i="161"/>
  <c r="K53" i="161"/>
  <c r="H53" i="161"/>
  <c r="G53" i="161"/>
  <c r="F53" i="161"/>
  <c r="E53" i="161"/>
  <c r="B53" i="161"/>
  <c r="AE52" i="161"/>
  <c r="AD52" i="161"/>
  <c r="AC52" i="161"/>
  <c r="AA52" i="161"/>
  <c r="Z52" i="161"/>
  <c r="Y52" i="161"/>
  <c r="X52" i="161"/>
  <c r="W52" i="161"/>
  <c r="V52" i="161"/>
  <c r="U52" i="161"/>
  <c r="T52" i="161"/>
  <c r="S52" i="161"/>
  <c r="R52" i="161"/>
  <c r="P52" i="161"/>
  <c r="O52" i="161"/>
  <c r="N52" i="161"/>
  <c r="M52" i="161"/>
  <c r="L52" i="161"/>
  <c r="K52" i="161"/>
  <c r="H52" i="161"/>
  <c r="G52" i="161"/>
  <c r="F52" i="161"/>
  <c r="E52" i="161"/>
  <c r="B52" i="161"/>
  <c r="AE51" i="161"/>
  <c r="AE48" i="161" s="1"/>
  <c r="AD51" i="161"/>
  <c r="AB51" i="161" s="1"/>
  <c r="AC51" i="161"/>
  <c r="AA51" i="161"/>
  <c r="Z51" i="161"/>
  <c r="Y51" i="161"/>
  <c r="X51" i="161"/>
  <c r="W51" i="161"/>
  <c r="V51" i="161"/>
  <c r="U51" i="161"/>
  <c r="T51" i="161"/>
  <c r="S51" i="161"/>
  <c r="R51" i="161"/>
  <c r="R48" i="161" s="1"/>
  <c r="Q51" i="161"/>
  <c r="P51" i="161"/>
  <c r="O51" i="161"/>
  <c r="N51" i="161"/>
  <c r="M51" i="161"/>
  <c r="L51" i="161"/>
  <c r="K51" i="161"/>
  <c r="H51" i="161"/>
  <c r="G51" i="161"/>
  <c r="F51" i="161"/>
  <c r="E51" i="161"/>
  <c r="B51" i="161"/>
  <c r="AE50" i="161"/>
  <c r="AD50" i="161"/>
  <c r="AC50" i="161"/>
  <c r="AA50" i="161"/>
  <c r="Z50" i="161"/>
  <c r="Y50" i="161"/>
  <c r="X50" i="161"/>
  <c r="W50" i="161"/>
  <c r="V50" i="161"/>
  <c r="U50" i="161"/>
  <c r="S50" i="161"/>
  <c r="R50" i="161"/>
  <c r="P50" i="161"/>
  <c r="O50" i="161"/>
  <c r="N50" i="161"/>
  <c r="L50" i="161"/>
  <c r="K50" i="161"/>
  <c r="H50" i="161"/>
  <c r="G50" i="161"/>
  <c r="F50" i="161"/>
  <c r="E50" i="161"/>
  <c r="D50" i="161"/>
  <c r="B50" i="161"/>
  <c r="AE49" i="161"/>
  <c r="AD49" i="161"/>
  <c r="AC49" i="161"/>
  <c r="AA49" i="161"/>
  <c r="Z49" i="161"/>
  <c r="Y49" i="161"/>
  <c r="X49" i="161"/>
  <c r="W49" i="161"/>
  <c r="V49" i="161"/>
  <c r="U49" i="161"/>
  <c r="T49" i="161"/>
  <c r="S49" i="161"/>
  <c r="R49" i="161"/>
  <c r="P49" i="161"/>
  <c r="O49" i="161"/>
  <c r="N49" i="161"/>
  <c r="M49" i="161"/>
  <c r="L49" i="161"/>
  <c r="K49" i="161"/>
  <c r="H49" i="161"/>
  <c r="G49" i="161"/>
  <c r="F49" i="161"/>
  <c r="E49" i="161"/>
  <c r="D49" i="161" s="1"/>
  <c r="B49" i="161"/>
  <c r="B48" i="161"/>
  <c r="AE47" i="161"/>
  <c r="AD47" i="161"/>
  <c r="AC47" i="161"/>
  <c r="AB47" i="161" s="1"/>
  <c r="AA47" i="161"/>
  <c r="Z47" i="161"/>
  <c r="Y47" i="161"/>
  <c r="X47" i="161"/>
  <c r="W47" i="161"/>
  <c r="V47" i="161"/>
  <c r="U47" i="161"/>
  <c r="S47" i="161"/>
  <c r="R47" i="161"/>
  <c r="Q47" i="161"/>
  <c r="P47" i="161"/>
  <c r="O47" i="161"/>
  <c r="N47" i="161"/>
  <c r="M47" i="161"/>
  <c r="L47" i="161"/>
  <c r="K47" i="161"/>
  <c r="H47" i="161"/>
  <c r="G47" i="161"/>
  <c r="F47" i="161"/>
  <c r="E47" i="161"/>
  <c r="B47" i="161"/>
  <c r="AE46" i="161"/>
  <c r="AD46" i="161"/>
  <c r="AC46" i="161"/>
  <c r="AB46" i="161" s="1"/>
  <c r="AA46" i="161"/>
  <c r="Z46" i="161"/>
  <c r="Y46" i="161"/>
  <c r="X46" i="161"/>
  <c r="W46" i="161"/>
  <c r="V46" i="161"/>
  <c r="V42" i="161" s="1"/>
  <c r="U46" i="161"/>
  <c r="T46" i="161"/>
  <c r="S46" i="161"/>
  <c r="R46" i="161"/>
  <c r="Q46" i="161"/>
  <c r="P46" i="161"/>
  <c r="O46" i="161"/>
  <c r="N46" i="161"/>
  <c r="N42" i="161" s="1"/>
  <c r="M46" i="161"/>
  <c r="L46" i="161"/>
  <c r="K46" i="161"/>
  <c r="H46" i="161"/>
  <c r="D46" i="161" s="1"/>
  <c r="G46" i="161"/>
  <c r="F46" i="161"/>
  <c r="E46" i="161"/>
  <c r="B46" i="161"/>
  <c r="AE45" i="161"/>
  <c r="AD45" i="161"/>
  <c r="AC45" i="161"/>
  <c r="AB45" i="161"/>
  <c r="AA45" i="161"/>
  <c r="Z45" i="161"/>
  <c r="Y45" i="161"/>
  <c r="X45" i="161"/>
  <c r="W45" i="161"/>
  <c r="V45" i="161"/>
  <c r="U45" i="161"/>
  <c r="T45" i="161"/>
  <c r="S45" i="161"/>
  <c r="R45" i="161"/>
  <c r="Q45" i="161"/>
  <c r="P45" i="161"/>
  <c r="O45" i="161"/>
  <c r="N45" i="161"/>
  <c r="M45" i="161"/>
  <c r="L45" i="161"/>
  <c r="K45" i="161"/>
  <c r="H45" i="161"/>
  <c r="G45" i="161"/>
  <c r="F45" i="161"/>
  <c r="E45" i="161"/>
  <c r="B45" i="161"/>
  <c r="AE44" i="161"/>
  <c r="AD44" i="161"/>
  <c r="AD42" i="161" s="1"/>
  <c r="AC44" i="161"/>
  <c r="AB44" i="161" s="1"/>
  <c r="AA44" i="161"/>
  <c r="Z44" i="161"/>
  <c r="Y44" i="161"/>
  <c r="X44" i="161"/>
  <c r="W44" i="161"/>
  <c r="V44" i="161"/>
  <c r="U44" i="161"/>
  <c r="T44" i="161"/>
  <c r="S44" i="161"/>
  <c r="R44" i="161"/>
  <c r="R42" i="161" s="1"/>
  <c r="Q44" i="161"/>
  <c r="P44" i="161"/>
  <c r="O44" i="161"/>
  <c r="N44" i="161"/>
  <c r="M44" i="161"/>
  <c r="L44" i="161"/>
  <c r="K44" i="161"/>
  <c r="H44" i="161"/>
  <c r="G44" i="161"/>
  <c r="F44" i="161"/>
  <c r="E44" i="161"/>
  <c r="B44" i="161"/>
  <c r="A44" i="161"/>
  <c r="A45" i="161" s="1"/>
  <c r="A46" i="161" s="1"/>
  <c r="A47" i="161" s="1"/>
  <c r="AE43" i="161"/>
  <c r="AE42" i="161" s="1"/>
  <c r="AE41" i="161" s="1"/>
  <c r="AD43" i="161"/>
  <c r="AC43" i="161"/>
  <c r="AB43" i="161" s="1"/>
  <c r="AA43" i="161"/>
  <c r="Z43" i="161"/>
  <c r="Y43" i="161"/>
  <c r="X43" i="161"/>
  <c r="W43" i="161"/>
  <c r="V43" i="161"/>
  <c r="U43" i="161"/>
  <c r="S43" i="161"/>
  <c r="R43" i="161"/>
  <c r="Q43" i="161"/>
  <c r="P43" i="161"/>
  <c r="P42" i="161" s="1"/>
  <c r="O43" i="161"/>
  <c r="N43" i="161"/>
  <c r="M43" i="161"/>
  <c r="L43" i="161"/>
  <c r="K43" i="161"/>
  <c r="H43" i="161"/>
  <c r="G43" i="161"/>
  <c r="G42" i="161" s="1"/>
  <c r="F43" i="161"/>
  <c r="E43" i="161"/>
  <c r="B43" i="161"/>
  <c r="A43" i="161"/>
  <c r="B42" i="161"/>
  <c r="B41" i="161"/>
  <c r="AE40" i="161"/>
  <c r="AD40" i="161"/>
  <c r="AC40" i="161"/>
  <c r="AA40" i="161"/>
  <c r="Z40" i="161"/>
  <c r="Y40" i="161"/>
  <c r="X40" i="161"/>
  <c r="W40" i="161"/>
  <c r="V40" i="161"/>
  <c r="U40" i="161"/>
  <c r="T40" i="161"/>
  <c r="S40" i="161"/>
  <c r="R40" i="161"/>
  <c r="Q40" i="161"/>
  <c r="P40" i="161"/>
  <c r="O40" i="161"/>
  <c r="N40" i="161"/>
  <c r="M40" i="161"/>
  <c r="L40" i="161"/>
  <c r="K40" i="161"/>
  <c r="H40" i="161"/>
  <c r="G40" i="161"/>
  <c r="F40" i="161"/>
  <c r="E40" i="161"/>
  <c r="D40" i="161"/>
  <c r="AE39" i="161"/>
  <c r="AD39" i="161"/>
  <c r="AC39" i="161"/>
  <c r="AA39" i="161"/>
  <c r="Z39" i="161"/>
  <c r="Y39" i="161"/>
  <c r="X39" i="161"/>
  <c r="W39" i="161"/>
  <c r="V39" i="161"/>
  <c r="U39" i="161"/>
  <c r="T39" i="161"/>
  <c r="S39" i="161"/>
  <c r="R39" i="161"/>
  <c r="Q39" i="161"/>
  <c r="P39" i="161"/>
  <c r="O39" i="161"/>
  <c r="N39" i="161"/>
  <c r="M39" i="161"/>
  <c r="K39" i="161"/>
  <c r="H39" i="161"/>
  <c r="G39" i="161"/>
  <c r="F39" i="161"/>
  <c r="E39" i="161"/>
  <c r="B39" i="161"/>
  <c r="AE38" i="161"/>
  <c r="AD38" i="161"/>
  <c r="AC38" i="161"/>
  <c r="AB38" i="161" s="1"/>
  <c r="AA38" i="161"/>
  <c r="Z38" i="161"/>
  <c r="Y38" i="161"/>
  <c r="X38" i="161"/>
  <c r="W38" i="161"/>
  <c r="V38" i="161"/>
  <c r="U38" i="161"/>
  <c r="T38" i="161"/>
  <c r="S38" i="161"/>
  <c r="R38" i="161"/>
  <c r="Q38" i="161"/>
  <c r="P38" i="161"/>
  <c r="O38" i="161"/>
  <c r="N38" i="161"/>
  <c r="M38" i="161"/>
  <c r="L38" i="161"/>
  <c r="K38" i="161"/>
  <c r="H38" i="161"/>
  <c r="G38" i="161"/>
  <c r="F38" i="161"/>
  <c r="E38" i="161"/>
  <c r="D38" i="161" s="1"/>
  <c r="B38" i="161"/>
  <c r="AE37" i="161"/>
  <c r="AD37" i="161"/>
  <c r="AC37" i="161"/>
  <c r="AB37" i="161" s="1"/>
  <c r="AA37" i="161"/>
  <c r="Z37" i="161"/>
  <c r="Y37" i="161"/>
  <c r="X37" i="161"/>
  <c r="W37" i="161"/>
  <c r="V37" i="161"/>
  <c r="U37" i="161"/>
  <c r="T37" i="161"/>
  <c r="S37" i="161"/>
  <c r="R37" i="161"/>
  <c r="Q37" i="161"/>
  <c r="P37" i="161"/>
  <c r="O37" i="161"/>
  <c r="N37" i="161"/>
  <c r="M37" i="161"/>
  <c r="L37" i="161"/>
  <c r="K37" i="161"/>
  <c r="H37" i="161"/>
  <c r="G37" i="161"/>
  <c r="F37" i="161"/>
  <c r="D37" i="161" s="1"/>
  <c r="E37" i="161"/>
  <c r="B37" i="161"/>
  <c r="AE36" i="161"/>
  <c r="AC36" i="161"/>
  <c r="AA36" i="161"/>
  <c r="Z36" i="161"/>
  <c r="Y36" i="161"/>
  <c r="X36" i="161"/>
  <c r="W36" i="161"/>
  <c r="V36" i="161"/>
  <c r="U36" i="161"/>
  <c r="T36" i="161"/>
  <c r="S36" i="161"/>
  <c r="R36" i="161"/>
  <c r="Q36" i="161"/>
  <c r="P36" i="161"/>
  <c r="O36" i="161"/>
  <c r="N36" i="161"/>
  <c r="M36" i="161"/>
  <c r="L36" i="161"/>
  <c r="H36" i="161"/>
  <c r="G36" i="161"/>
  <c r="F36" i="161"/>
  <c r="E36" i="161"/>
  <c r="B36" i="161"/>
  <c r="AE35" i="161"/>
  <c r="AD35" i="161"/>
  <c r="AC35" i="161"/>
  <c r="AA35" i="161"/>
  <c r="Z35" i="161"/>
  <c r="Y35" i="161"/>
  <c r="X35" i="161"/>
  <c r="W35" i="161"/>
  <c r="V35" i="161"/>
  <c r="U35" i="161"/>
  <c r="T35" i="161"/>
  <c r="S35" i="161"/>
  <c r="R35" i="161"/>
  <c r="Q35" i="161"/>
  <c r="P35" i="161"/>
  <c r="O35" i="161"/>
  <c r="N35" i="161"/>
  <c r="M35" i="161"/>
  <c r="L35" i="161"/>
  <c r="K35" i="161"/>
  <c r="H35" i="161"/>
  <c r="G35" i="161"/>
  <c r="F35" i="161"/>
  <c r="E35" i="161"/>
  <c r="D35" i="161" s="1"/>
  <c r="B35" i="161"/>
  <c r="AE34" i="161"/>
  <c r="AD34" i="161"/>
  <c r="AC34" i="161"/>
  <c r="AA34" i="161"/>
  <c r="Z34" i="161"/>
  <c r="Y34" i="161"/>
  <c r="X34" i="161"/>
  <c r="W34" i="161"/>
  <c r="V34" i="161"/>
  <c r="U34" i="161"/>
  <c r="T34" i="161"/>
  <c r="S34" i="161"/>
  <c r="R34" i="161"/>
  <c r="Q34" i="161"/>
  <c r="P34" i="161"/>
  <c r="O34" i="161"/>
  <c r="N34" i="161"/>
  <c r="M34" i="161"/>
  <c r="L34" i="161"/>
  <c r="K34" i="161"/>
  <c r="H34" i="161"/>
  <c r="G34" i="161"/>
  <c r="F34" i="161"/>
  <c r="E34" i="161"/>
  <c r="B34" i="161"/>
  <c r="AE33" i="161"/>
  <c r="AD33" i="161"/>
  <c r="AC33" i="161"/>
  <c r="AB33" i="161"/>
  <c r="AA33" i="161"/>
  <c r="Z33" i="161"/>
  <c r="Y33" i="161"/>
  <c r="X33" i="161"/>
  <c r="W33" i="161"/>
  <c r="V33" i="161"/>
  <c r="U33" i="161"/>
  <c r="T33" i="161"/>
  <c r="S33" i="161"/>
  <c r="R33" i="161"/>
  <c r="Q33" i="161"/>
  <c r="P33" i="161"/>
  <c r="O33" i="161"/>
  <c r="N33" i="161"/>
  <c r="M33" i="161"/>
  <c r="L33" i="161"/>
  <c r="K33" i="161"/>
  <c r="H33" i="161"/>
  <c r="G33" i="161"/>
  <c r="F33" i="161"/>
  <c r="E33" i="161"/>
  <c r="B33" i="161"/>
  <c r="AE32" i="161"/>
  <c r="AD32" i="161"/>
  <c r="AB32" i="161" s="1"/>
  <c r="AC32" i="161"/>
  <c r="AA32" i="161"/>
  <c r="Z32" i="161"/>
  <c r="Y32" i="161"/>
  <c r="X32" i="161"/>
  <c r="W32" i="161"/>
  <c r="V32" i="161"/>
  <c r="U32" i="161"/>
  <c r="T32" i="161"/>
  <c r="S32" i="161"/>
  <c r="R32" i="161"/>
  <c r="Q32" i="161"/>
  <c r="P32" i="161"/>
  <c r="O32" i="161"/>
  <c r="M32" i="161"/>
  <c r="L32" i="161"/>
  <c r="K32" i="161"/>
  <c r="H32" i="161"/>
  <c r="G32" i="161"/>
  <c r="F32" i="161"/>
  <c r="E32" i="161"/>
  <c r="D32" i="161"/>
  <c r="B32" i="161"/>
  <c r="AE31" i="161"/>
  <c r="AD31" i="161"/>
  <c r="AC31" i="161"/>
  <c r="AA31" i="161"/>
  <c r="Z31" i="161"/>
  <c r="Y31" i="161"/>
  <c r="X31" i="161"/>
  <c r="W31" i="161"/>
  <c r="V31" i="161"/>
  <c r="U31" i="161"/>
  <c r="T31" i="161"/>
  <c r="S31" i="161"/>
  <c r="R31" i="161"/>
  <c r="Q31" i="161"/>
  <c r="P31" i="161"/>
  <c r="O31" i="161"/>
  <c r="N31" i="161"/>
  <c r="M31" i="161"/>
  <c r="L31" i="161"/>
  <c r="K31" i="161"/>
  <c r="H31" i="161"/>
  <c r="G31" i="161"/>
  <c r="F31" i="161"/>
  <c r="E31" i="161"/>
  <c r="B31" i="161"/>
  <c r="AE30" i="161"/>
  <c r="AC30" i="161"/>
  <c r="AA30" i="161"/>
  <c r="Z30" i="161"/>
  <c r="Y30" i="161"/>
  <c r="X30" i="161"/>
  <c r="W30" i="161"/>
  <c r="V30" i="161"/>
  <c r="U30" i="161"/>
  <c r="T30" i="161"/>
  <c r="S30" i="161"/>
  <c r="R30" i="161"/>
  <c r="Q30" i="161"/>
  <c r="P30" i="161"/>
  <c r="O30" i="161"/>
  <c r="N30" i="161"/>
  <c r="M30" i="161"/>
  <c r="L30" i="161"/>
  <c r="K30" i="161"/>
  <c r="H30" i="161"/>
  <c r="G30" i="161"/>
  <c r="F30" i="161"/>
  <c r="E30" i="161"/>
  <c r="B30" i="161"/>
  <c r="AE29" i="161"/>
  <c r="AC29" i="161"/>
  <c r="AA29" i="161"/>
  <c r="Z29" i="161"/>
  <c r="Y29" i="161"/>
  <c r="X29" i="161"/>
  <c r="W29" i="161"/>
  <c r="V29" i="161"/>
  <c r="U29" i="161"/>
  <c r="T29" i="161"/>
  <c r="S29" i="161"/>
  <c r="R29" i="161"/>
  <c r="Q29" i="161"/>
  <c r="P29" i="161"/>
  <c r="O29" i="161"/>
  <c r="N29" i="161"/>
  <c r="M29" i="161"/>
  <c r="L29" i="161"/>
  <c r="K29" i="161"/>
  <c r="H29" i="161"/>
  <c r="G29" i="161"/>
  <c r="F29" i="161"/>
  <c r="E29" i="161"/>
  <c r="B29" i="161"/>
  <c r="AE28" i="161"/>
  <c r="AD28" i="161"/>
  <c r="AC28" i="161"/>
  <c r="AB28" i="161" s="1"/>
  <c r="AA28" i="161"/>
  <c r="Z28" i="161"/>
  <c r="Y28" i="161"/>
  <c r="X28" i="161"/>
  <c r="W28" i="161"/>
  <c r="V28" i="161"/>
  <c r="U28" i="161"/>
  <c r="S28" i="161"/>
  <c r="R28" i="161"/>
  <c r="Q28" i="161"/>
  <c r="P28" i="161"/>
  <c r="O28" i="161"/>
  <c r="M28" i="161"/>
  <c r="L28" i="161"/>
  <c r="H28" i="161"/>
  <c r="G28" i="161"/>
  <c r="F28" i="161"/>
  <c r="E28" i="161"/>
  <c r="B28" i="161"/>
  <c r="AE27" i="161"/>
  <c r="AD27" i="161"/>
  <c r="AC27" i="161"/>
  <c r="AB27" i="161" s="1"/>
  <c r="AA27" i="161"/>
  <c r="Z27" i="161"/>
  <c r="Y27" i="161"/>
  <c r="X27" i="161"/>
  <c r="W27" i="161"/>
  <c r="V27" i="161"/>
  <c r="U27" i="161"/>
  <c r="T27" i="161"/>
  <c r="S27" i="161"/>
  <c r="R27" i="161"/>
  <c r="Q27" i="161"/>
  <c r="P27" i="161"/>
  <c r="O27" i="161"/>
  <c r="N27" i="161"/>
  <c r="M27" i="161"/>
  <c r="J27" i="161" s="1"/>
  <c r="L27" i="161"/>
  <c r="K27" i="161"/>
  <c r="H27" i="161"/>
  <c r="G27" i="161"/>
  <c r="F27" i="161"/>
  <c r="E27" i="161"/>
  <c r="D27" i="161" s="1"/>
  <c r="B27" i="161"/>
  <c r="AE26" i="161"/>
  <c r="AD26" i="161"/>
  <c r="AC26" i="161"/>
  <c r="AB26" i="161" s="1"/>
  <c r="AA26" i="161"/>
  <c r="Z26" i="161"/>
  <c r="Y26" i="161"/>
  <c r="X26" i="161"/>
  <c r="W26" i="161"/>
  <c r="V26" i="161"/>
  <c r="U26" i="161"/>
  <c r="T26" i="161"/>
  <c r="S26" i="161"/>
  <c r="R26" i="161"/>
  <c r="Q26" i="161"/>
  <c r="P26" i="161"/>
  <c r="O26" i="161"/>
  <c r="N26" i="161"/>
  <c r="M26" i="161"/>
  <c r="K26" i="161"/>
  <c r="H26" i="161"/>
  <c r="G26" i="161"/>
  <c r="F26" i="161"/>
  <c r="E26" i="161"/>
  <c r="D26" i="161"/>
  <c r="B26" i="161"/>
  <c r="AE25" i="161"/>
  <c r="AD25" i="161"/>
  <c r="AC25" i="161"/>
  <c r="AB25" i="161" s="1"/>
  <c r="AA25" i="161"/>
  <c r="Z25" i="161"/>
  <c r="Y25" i="161"/>
  <c r="X25" i="161"/>
  <c r="W25" i="161"/>
  <c r="V25" i="161"/>
  <c r="U25" i="161"/>
  <c r="T25" i="161"/>
  <c r="S25" i="161"/>
  <c r="R25" i="161"/>
  <c r="Q25" i="161"/>
  <c r="P25" i="161"/>
  <c r="O25" i="161"/>
  <c r="M25" i="161"/>
  <c r="L25" i="161"/>
  <c r="K25" i="161"/>
  <c r="H25" i="161"/>
  <c r="G25" i="161"/>
  <c r="F25" i="161"/>
  <c r="E25" i="161"/>
  <c r="B25" i="161"/>
  <c r="AE24" i="161"/>
  <c r="AD24" i="161"/>
  <c r="AC24" i="161"/>
  <c r="AB24" i="161" s="1"/>
  <c r="AA24" i="161"/>
  <c r="Z24" i="161"/>
  <c r="Y24" i="161"/>
  <c r="X24" i="161"/>
  <c r="W24" i="161"/>
  <c r="V24" i="161"/>
  <c r="U24" i="161"/>
  <c r="T24" i="161"/>
  <c r="S24" i="161"/>
  <c r="R24" i="161"/>
  <c r="Q24" i="161"/>
  <c r="P24" i="161"/>
  <c r="O24" i="161"/>
  <c r="N24" i="161"/>
  <c r="M24" i="161"/>
  <c r="L24" i="161"/>
  <c r="K24" i="161"/>
  <c r="H24" i="161"/>
  <c r="G24" i="161"/>
  <c r="F24" i="161"/>
  <c r="E24" i="161"/>
  <c r="D24" i="161" s="1"/>
  <c r="B24" i="161"/>
  <c r="AE23" i="161"/>
  <c r="AD23" i="161"/>
  <c r="AC23" i="161"/>
  <c r="AB23" i="161" s="1"/>
  <c r="AA23" i="161"/>
  <c r="Z23" i="161"/>
  <c r="Y23" i="161"/>
  <c r="X23" i="161"/>
  <c r="W23" i="161"/>
  <c r="V23" i="161"/>
  <c r="U23" i="161"/>
  <c r="S23" i="161"/>
  <c r="R23" i="161"/>
  <c r="Q23" i="161"/>
  <c r="P23" i="161"/>
  <c r="O23" i="161"/>
  <c r="N23" i="161"/>
  <c r="M23" i="161"/>
  <c r="L23" i="161"/>
  <c r="K23" i="161"/>
  <c r="H23" i="161"/>
  <c r="G23" i="161"/>
  <c r="F23" i="161"/>
  <c r="E23" i="161"/>
  <c r="B23" i="161"/>
  <c r="AE22" i="161"/>
  <c r="AD22" i="161"/>
  <c r="AC22" i="161"/>
  <c r="AB22" i="161" s="1"/>
  <c r="AA22" i="161"/>
  <c r="Z22" i="161"/>
  <c r="Y22" i="161"/>
  <c r="X22" i="161"/>
  <c r="W22" i="161"/>
  <c r="V22" i="161"/>
  <c r="U22" i="161"/>
  <c r="T22" i="161"/>
  <c r="S22" i="161"/>
  <c r="R22" i="161"/>
  <c r="Q22" i="161"/>
  <c r="P22" i="161"/>
  <c r="O22" i="161"/>
  <c r="N22" i="161"/>
  <c r="M22" i="161"/>
  <c r="L22" i="161"/>
  <c r="K22" i="161"/>
  <c r="H22" i="161"/>
  <c r="G22" i="161"/>
  <c r="F22" i="161"/>
  <c r="E22" i="161"/>
  <c r="D22" i="161" s="1"/>
  <c r="B22" i="161"/>
  <c r="AE21" i="161"/>
  <c r="AD21" i="161"/>
  <c r="AC21" i="161"/>
  <c r="AB21" i="161"/>
  <c r="AA21" i="161"/>
  <c r="Z21" i="161"/>
  <c r="Y21" i="161"/>
  <c r="X21" i="161"/>
  <c r="W21" i="161"/>
  <c r="V21" i="161"/>
  <c r="U21" i="161"/>
  <c r="T21" i="161"/>
  <c r="S21" i="161"/>
  <c r="R21" i="161"/>
  <c r="Q21" i="161"/>
  <c r="P21" i="161"/>
  <c r="O21" i="161"/>
  <c r="N21" i="161"/>
  <c r="M21" i="161"/>
  <c r="L21" i="161"/>
  <c r="K21" i="161"/>
  <c r="H21" i="161"/>
  <c r="G21" i="161"/>
  <c r="F21" i="161"/>
  <c r="E21" i="161"/>
  <c r="B21" i="161"/>
  <c r="AE20" i="161"/>
  <c r="AD20" i="161"/>
  <c r="AC20" i="161"/>
  <c r="AA20" i="161"/>
  <c r="Z20" i="161"/>
  <c r="Y20" i="161"/>
  <c r="X20" i="161"/>
  <c r="W20" i="161"/>
  <c r="V20" i="161"/>
  <c r="U20" i="161"/>
  <c r="T20" i="161"/>
  <c r="S20" i="161"/>
  <c r="R20" i="161"/>
  <c r="Q20" i="161"/>
  <c r="P20" i="161"/>
  <c r="O20" i="161"/>
  <c r="N20" i="161"/>
  <c r="M20" i="161"/>
  <c r="L20" i="161"/>
  <c r="K20" i="161"/>
  <c r="H20" i="161"/>
  <c r="G20" i="161"/>
  <c r="F20" i="161"/>
  <c r="E20" i="161"/>
  <c r="B20" i="161"/>
  <c r="AE19" i="161"/>
  <c r="AD19" i="161"/>
  <c r="AC19" i="161"/>
  <c r="AA19" i="161"/>
  <c r="Z19" i="161"/>
  <c r="Y19" i="161"/>
  <c r="X19" i="161"/>
  <c r="W19" i="161"/>
  <c r="V19" i="161"/>
  <c r="U19" i="161"/>
  <c r="T19" i="161"/>
  <c r="S19" i="161"/>
  <c r="R19" i="161"/>
  <c r="Q19" i="161"/>
  <c r="P19" i="161"/>
  <c r="O19" i="161"/>
  <c r="N19" i="161"/>
  <c r="M19" i="161"/>
  <c r="L19" i="161"/>
  <c r="K19" i="161"/>
  <c r="H19" i="161"/>
  <c r="G19" i="161"/>
  <c r="F19" i="161"/>
  <c r="E19" i="161"/>
  <c r="D19" i="161"/>
  <c r="B19" i="161"/>
  <c r="AE18" i="161"/>
  <c r="AD18" i="161"/>
  <c r="AC18" i="161"/>
  <c r="AA18" i="161"/>
  <c r="Z18" i="161"/>
  <c r="Y18" i="161"/>
  <c r="X18" i="161"/>
  <c r="W18" i="161"/>
  <c r="V18" i="161"/>
  <c r="U18" i="161"/>
  <c r="S18" i="161"/>
  <c r="R18" i="161"/>
  <c r="Q18" i="161"/>
  <c r="P18" i="161"/>
  <c r="O18" i="161"/>
  <c r="N18" i="161"/>
  <c r="M18" i="161"/>
  <c r="L18" i="161"/>
  <c r="K18" i="161"/>
  <c r="H18" i="161"/>
  <c r="G18" i="161"/>
  <c r="F18" i="161"/>
  <c r="E18" i="161"/>
  <c r="B18" i="161"/>
  <c r="AE17" i="161"/>
  <c r="AD17" i="161"/>
  <c r="AC17" i="161"/>
  <c r="AB17" i="161" s="1"/>
  <c r="AA17" i="161"/>
  <c r="Z17" i="161"/>
  <c r="Y17" i="161"/>
  <c r="X17" i="161"/>
  <c r="W17" i="161"/>
  <c r="V17" i="161"/>
  <c r="U17" i="161"/>
  <c r="S17" i="161"/>
  <c r="R17" i="161"/>
  <c r="Q17" i="161"/>
  <c r="P17" i="161"/>
  <c r="O17" i="161"/>
  <c r="N17" i="161"/>
  <c r="M17" i="161"/>
  <c r="L17" i="161"/>
  <c r="K17" i="161"/>
  <c r="H17" i="161"/>
  <c r="G17" i="161"/>
  <c r="F17" i="161"/>
  <c r="E17" i="161"/>
  <c r="B17" i="161"/>
  <c r="AE16" i="161"/>
  <c r="AC16" i="161"/>
  <c r="AA16" i="161"/>
  <c r="Z16" i="161"/>
  <c r="Y16" i="161"/>
  <c r="X16" i="161"/>
  <c r="W16" i="161"/>
  <c r="V16" i="161"/>
  <c r="U16" i="161"/>
  <c r="T16" i="161"/>
  <c r="S16" i="161"/>
  <c r="R16" i="161"/>
  <c r="Q16" i="161"/>
  <c r="P16" i="161"/>
  <c r="O16" i="161"/>
  <c r="N16" i="161"/>
  <c r="M16" i="161"/>
  <c r="L16" i="161"/>
  <c r="K16" i="161"/>
  <c r="H16" i="161"/>
  <c r="G16" i="161"/>
  <c r="F16" i="161"/>
  <c r="E16" i="161"/>
  <c r="D16" i="161" s="1"/>
  <c r="B16" i="161"/>
  <c r="AE15" i="161"/>
  <c r="AC15" i="161"/>
  <c r="AA15" i="161"/>
  <c r="Z15" i="161"/>
  <c r="Y15" i="161"/>
  <c r="X15" i="161"/>
  <c r="W15" i="161"/>
  <c r="V15" i="161"/>
  <c r="U15" i="161"/>
  <c r="S15" i="161"/>
  <c r="R15" i="161"/>
  <c r="Q15" i="161"/>
  <c r="P15" i="161"/>
  <c r="O15" i="161"/>
  <c r="M15" i="161"/>
  <c r="H15" i="161"/>
  <c r="G15" i="161"/>
  <c r="F15" i="161"/>
  <c r="E15" i="161"/>
  <c r="B15" i="161"/>
  <c r="AE14" i="161"/>
  <c r="AD14" i="161"/>
  <c r="AC14" i="161"/>
  <c r="AB14" i="161" s="1"/>
  <c r="AA14" i="161"/>
  <c r="Z14" i="161"/>
  <c r="Y14" i="161"/>
  <c r="X14" i="161"/>
  <c r="W14" i="161"/>
  <c r="V14" i="161"/>
  <c r="U14" i="161"/>
  <c r="T14" i="161"/>
  <c r="S14" i="161"/>
  <c r="R14" i="161"/>
  <c r="Q14" i="161"/>
  <c r="P14" i="161"/>
  <c r="O14" i="161"/>
  <c r="N14" i="161"/>
  <c r="M14" i="161"/>
  <c r="L14" i="161"/>
  <c r="K14" i="161"/>
  <c r="H14" i="161"/>
  <c r="G14" i="161"/>
  <c r="F14" i="161"/>
  <c r="E14" i="161"/>
  <c r="B14" i="161"/>
  <c r="AE13" i="161"/>
  <c r="AD13" i="161"/>
  <c r="AC13" i="161"/>
  <c r="AB13" i="161"/>
  <c r="AA13" i="161"/>
  <c r="Z13" i="161"/>
  <c r="Y13" i="161"/>
  <c r="X13" i="161"/>
  <c r="W13" i="161"/>
  <c r="V13" i="161"/>
  <c r="U13" i="161"/>
  <c r="T13" i="161"/>
  <c r="S13" i="161"/>
  <c r="R13" i="161"/>
  <c r="Q13" i="161"/>
  <c r="P13" i="161"/>
  <c r="O13" i="161"/>
  <c r="N13" i="161"/>
  <c r="M13" i="161"/>
  <c r="L13" i="161"/>
  <c r="K13" i="161"/>
  <c r="H13" i="161"/>
  <c r="G13" i="161"/>
  <c r="F13" i="161"/>
  <c r="E13" i="161"/>
  <c r="B13" i="161"/>
  <c r="AE12" i="161"/>
  <c r="AD12" i="161"/>
  <c r="AC12" i="161"/>
  <c r="AB12" i="161" s="1"/>
  <c r="AA12" i="161"/>
  <c r="Z12" i="161"/>
  <c r="Y12" i="161"/>
  <c r="X12" i="161"/>
  <c r="W12" i="161"/>
  <c r="V12" i="161"/>
  <c r="U12" i="161"/>
  <c r="T12" i="161"/>
  <c r="S12" i="161"/>
  <c r="R12" i="161"/>
  <c r="Q12" i="161"/>
  <c r="P12" i="161"/>
  <c r="M12" i="161"/>
  <c r="L12" i="161"/>
  <c r="K12" i="161"/>
  <c r="H12" i="161"/>
  <c r="G12" i="161"/>
  <c r="F12" i="161"/>
  <c r="E12" i="161"/>
  <c r="B12" i="161"/>
  <c r="B11" i="161"/>
  <c r="B10" i="161"/>
  <c r="V8" i="161"/>
  <c r="U8" i="161"/>
  <c r="T8" i="161"/>
  <c r="S8" i="161"/>
  <c r="R8" i="161"/>
  <c r="Q8" i="161"/>
  <c r="P8" i="161"/>
  <c r="O8" i="161"/>
  <c r="N8" i="161"/>
  <c r="M8" i="161"/>
  <c r="L8" i="161"/>
  <c r="AA6" i="161"/>
  <c r="AD118" i="160"/>
  <c r="AC118" i="160"/>
  <c r="AB118" i="160" s="1"/>
  <c r="AA118" i="160"/>
  <c r="Z118" i="160"/>
  <c r="Y118" i="160"/>
  <c r="X118" i="160"/>
  <c r="W118" i="160"/>
  <c r="V118" i="160"/>
  <c r="U118" i="160"/>
  <c r="T118" i="160"/>
  <c r="S118" i="160"/>
  <c r="R118" i="160"/>
  <c r="Q118" i="160"/>
  <c r="P118" i="160"/>
  <c r="O118" i="160"/>
  <c r="N118" i="160"/>
  <c r="M118" i="160"/>
  <c r="L118" i="160"/>
  <c r="K118" i="160"/>
  <c r="J118" i="160" s="1"/>
  <c r="H118" i="160"/>
  <c r="G118" i="160"/>
  <c r="F118" i="160"/>
  <c r="E118" i="160"/>
  <c r="B118" i="160"/>
  <c r="AE117" i="160"/>
  <c r="AD117" i="160"/>
  <c r="AC117" i="160"/>
  <c r="AB117" i="160"/>
  <c r="AA117" i="160"/>
  <c r="Z117" i="160"/>
  <c r="Y117" i="160"/>
  <c r="X117" i="160"/>
  <c r="W117" i="160"/>
  <c r="V117" i="160"/>
  <c r="U117" i="160"/>
  <c r="T117" i="160"/>
  <c r="S117" i="160"/>
  <c r="R117" i="160"/>
  <c r="Q117" i="160"/>
  <c r="P117" i="160"/>
  <c r="O117" i="160"/>
  <c r="N117" i="160"/>
  <c r="M117" i="160"/>
  <c r="L117" i="160"/>
  <c r="K117" i="160"/>
  <c r="H117" i="160"/>
  <c r="G117" i="160"/>
  <c r="F117" i="160"/>
  <c r="E117" i="160"/>
  <c r="B117" i="160"/>
  <c r="AE116" i="160"/>
  <c r="AD116" i="160"/>
  <c r="AA116" i="160"/>
  <c r="Z116" i="160"/>
  <c r="Y116" i="160"/>
  <c r="X116" i="160"/>
  <c r="W116" i="160"/>
  <c r="V116" i="160"/>
  <c r="U116" i="160"/>
  <c r="T116" i="160"/>
  <c r="S116" i="160"/>
  <c r="R116" i="160"/>
  <c r="Q116" i="160"/>
  <c r="P116" i="160"/>
  <c r="O116" i="160"/>
  <c r="N116" i="160"/>
  <c r="M116" i="160"/>
  <c r="L116" i="160"/>
  <c r="K116" i="160"/>
  <c r="H116" i="160"/>
  <c r="G116" i="160"/>
  <c r="F116" i="160"/>
  <c r="E116" i="160"/>
  <c r="B116" i="160"/>
  <c r="I115" i="160"/>
  <c r="H115" i="160"/>
  <c r="D115" i="160"/>
  <c r="C115" i="160" s="1"/>
  <c r="B115" i="160"/>
  <c r="AC114" i="160"/>
  <c r="I114" i="160"/>
  <c r="G114" i="160"/>
  <c r="F114" i="160"/>
  <c r="E114" i="160"/>
  <c r="B114" i="160"/>
  <c r="AE113" i="160"/>
  <c r="AD113" i="160"/>
  <c r="AC113" i="160"/>
  <c r="AB113" i="160"/>
  <c r="AA113" i="160"/>
  <c r="Z113" i="160"/>
  <c r="Y113" i="160"/>
  <c r="X113" i="160"/>
  <c r="W113" i="160"/>
  <c r="V113" i="160"/>
  <c r="U113" i="160"/>
  <c r="T113" i="160"/>
  <c r="S113" i="160"/>
  <c r="R113" i="160"/>
  <c r="Q113" i="160"/>
  <c r="P113" i="160"/>
  <c r="O113" i="160"/>
  <c r="N113" i="160"/>
  <c r="M113" i="160"/>
  <c r="L113" i="160"/>
  <c r="K113" i="160"/>
  <c r="H113" i="160"/>
  <c r="F113" i="160"/>
  <c r="E113" i="160"/>
  <c r="B113" i="160"/>
  <c r="AE112" i="160"/>
  <c r="AD112" i="160"/>
  <c r="AC112" i="160"/>
  <c r="AB112" i="160" s="1"/>
  <c r="AA112" i="160"/>
  <c r="Z112" i="160"/>
  <c r="Y112" i="160"/>
  <c r="X112" i="160"/>
  <c r="W112" i="160"/>
  <c r="V112" i="160"/>
  <c r="U112" i="160"/>
  <c r="T112" i="160"/>
  <c r="S112" i="160"/>
  <c r="R112" i="160"/>
  <c r="Q112" i="160"/>
  <c r="P112" i="160"/>
  <c r="O112" i="160"/>
  <c r="N112" i="160"/>
  <c r="M112" i="160"/>
  <c r="L112" i="160"/>
  <c r="K112" i="160"/>
  <c r="H112" i="160"/>
  <c r="G112" i="160"/>
  <c r="E112" i="160"/>
  <c r="B112" i="160"/>
  <c r="AE111" i="160"/>
  <c r="AD111" i="160"/>
  <c r="AC111" i="160"/>
  <c r="AA111" i="160"/>
  <c r="Z111" i="160"/>
  <c r="Y111" i="160"/>
  <c r="X111" i="160"/>
  <c r="W111" i="160"/>
  <c r="V111" i="160"/>
  <c r="U111" i="160"/>
  <c r="T111" i="160"/>
  <c r="S111" i="160"/>
  <c r="R111" i="160"/>
  <c r="Q111" i="160"/>
  <c r="P111" i="160"/>
  <c r="O111" i="160"/>
  <c r="N111" i="160"/>
  <c r="M111" i="160"/>
  <c r="L111" i="160"/>
  <c r="K111" i="160"/>
  <c r="H111" i="160"/>
  <c r="G111" i="160"/>
  <c r="F111" i="160"/>
  <c r="B111" i="160"/>
  <c r="D110" i="160"/>
  <c r="C110" i="160" s="1"/>
  <c r="AA109" i="160"/>
  <c r="Y109" i="160"/>
  <c r="X109" i="160"/>
  <c r="AE108" i="160"/>
  <c r="AD108" i="160"/>
  <c r="AB108" i="160" s="1"/>
  <c r="AC108" i="160"/>
  <c r="AA108" i="160"/>
  <c r="Z108" i="160"/>
  <c r="Y108" i="160"/>
  <c r="W108" i="160"/>
  <c r="V108" i="160"/>
  <c r="U108" i="160"/>
  <c r="T108" i="160"/>
  <c r="S108" i="160"/>
  <c r="R108" i="160"/>
  <c r="Q108" i="160"/>
  <c r="P108" i="160"/>
  <c r="O108" i="160"/>
  <c r="N108" i="160"/>
  <c r="M108" i="160"/>
  <c r="L108" i="160"/>
  <c r="K108" i="160"/>
  <c r="H108" i="160"/>
  <c r="G108" i="160"/>
  <c r="F108" i="160"/>
  <c r="E108" i="160"/>
  <c r="B108" i="160"/>
  <c r="AE107" i="160"/>
  <c r="AD107" i="160"/>
  <c r="AB107" i="160" s="1"/>
  <c r="AC107" i="160"/>
  <c r="AA107" i="160"/>
  <c r="Z107" i="160"/>
  <c r="Y107" i="160"/>
  <c r="X107" i="160"/>
  <c r="V107" i="160"/>
  <c r="U107" i="160"/>
  <c r="T107" i="160"/>
  <c r="S107" i="160"/>
  <c r="R107" i="160"/>
  <c r="Q107" i="160"/>
  <c r="P107" i="160"/>
  <c r="O107" i="160"/>
  <c r="N107" i="160"/>
  <c r="M107" i="160"/>
  <c r="L107" i="160"/>
  <c r="K107" i="160"/>
  <c r="J107" i="160" s="1"/>
  <c r="H107" i="160"/>
  <c r="G107" i="160"/>
  <c r="F107" i="160"/>
  <c r="E107" i="160"/>
  <c r="B107" i="160"/>
  <c r="AE106" i="160"/>
  <c r="AD106" i="160"/>
  <c r="AB106" i="160" s="1"/>
  <c r="AC106" i="160"/>
  <c r="AA106" i="160"/>
  <c r="Z106" i="160"/>
  <c r="Y106" i="160"/>
  <c r="X106" i="160"/>
  <c r="W106" i="160"/>
  <c r="H106" i="160"/>
  <c r="G106" i="160"/>
  <c r="F106" i="160"/>
  <c r="E106" i="160"/>
  <c r="D106" i="160" s="1"/>
  <c r="B106" i="160"/>
  <c r="AE105" i="160"/>
  <c r="AD105" i="160"/>
  <c r="AC105" i="160"/>
  <c r="AA105" i="160"/>
  <c r="Z105" i="160"/>
  <c r="Y105" i="160"/>
  <c r="X105" i="160"/>
  <c r="W105" i="160"/>
  <c r="V105" i="160"/>
  <c r="U105" i="160"/>
  <c r="T105" i="160"/>
  <c r="S105" i="160"/>
  <c r="R105" i="160"/>
  <c r="Q105" i="160"/>
  <c r="P105" i="160"/>
  <c r="O105" i="160"/>
  <c r="N105" i="160"/>
  <c r="M105" i="160"/>
  <c r="L105" i="160"/>
  <c r="K105" i="160"/>
  <c r="H105" i="160"/>
  <c r="G105" i="160"/>
  <c r="F105" i="160"/>
  <c r="E105" i="160"/>
  <c r="B105" i="160"/>
  <c r="A105" i="160"/>
  <c r="AD104" i="160"/>
  <c r="AC104" i="160"/>
  <c r="AA104" i="160"/>
  <c r="Z104" i="160"/>
  <c r="Y104" i="160"/>
  <c r="X104" i="160"/>
  <c r="W104" i="160"/>
  <c r="V104" i="160"/>
  <c r="U104" i="160"/>
  <c r="T104" i="160"/>
  <c r="S104" i="160"/>
  <c r="R104" i="160"/>
  <c r="Q104" i="160"/>
  <c r="P104" i="160"/>
  <c r="O104" i="160"/>
  <c r="N104" i="160"/>
  <c r="M104" i="160"/>
  <c r="L104" i="160"/>
  <c r="J104" i="160" s="1"/>
  <c r="K104" i="160"/>
  <c r="B104" i="160"/>
  <c r="AD103" i="160"/>
  <c r="AC103" i="160"/>
  <c r="AA103" i="160"/>
  <c r="Z103" i="160"/>
  <c r="Y103" i="160"/>
  <c r="X103" i="160"/>
  <c r="W103" i="160"/>
  <c r="U103" i="160"/>
  <c r="T103" i="160"/>
  <c r="S103" i="160"/>
  <c r="R103" i="160"/>
  <c r="Q103" i="160"/>
  <c r="P103" i="160"/>
  <c r="O103" i="160"/>
  <c r="N103" i="160"/>
  <c r="M103" i="160"/>
  <c r="L103" i="160"/>
  <c r="K103" i="160"/>
  <c r="B103" i="160"/>
  <c r="AE102" i="160"/>
  <c r="AD102" i="160"/>
  <c r="AC102" i="160"/>
  <c r="AA102" i="160"/>
  <c r="Z102" i="160"/>
  <c r="Y102" i="160"/>
  <c r="X102" i="160"/>
  <c r="W102" i="160"/>
  <c r="U102" i="160"/>
  <c r="T102" i="160"/>
  <c r="S102" i="160"/>
  <c r="R102" i="160"/>
  <c r="Q102" i="160"/>
  <c r="P102" i="160"/>
  <c r="O102" i="160"/>
  <c r="N102" i="160"/>
  <c r="M102" i="160"/>
  <c r="L102" i="160"/>
  <c r="K102" i="160"/>
  <c r="H102" i="160"/>
  <c r="G102" i="160"/>
  <c r="F102" i="160"/>
  <c r="E102" i="160"/>
  <c r="B102" i="160"/>
  <c r="A102" i="160"/>
  <c r="B101" i="160"/>
  <c r="B100" i="160"/>
  <c r="AE99" i="160"/>
  <c r="AD99" i="160"/>
  <c r="AC99" i="160"/>
  <c r="AA99" i="160"/>
  <c r="Z99" i="160"/>
  <c r="Y99" i="160"/>
  <c r="X99" i="160"/>
  <c r="W99" i="160"/>
  <c r="V99" i="160"/>
  <c r="U99" i="160"/>
  <c r="S99" i="160"/>
  <c r="R99" i="160"/>
  <c r="Q99" i="160"/>
  <c r="P99" i="160"/>
  <c r="O99" i="160"/>
  <c r="N99" i="160"/>
  <c r="M99" i="160"/>
  <c r="L99" i="160"/>
  <c r="K99" i="160"/>
  <c r="H99" i="160"/>
  <c r="G99" i="160"/>
  <c r="F99" i="160"/>
  <c r="E99" i="160"/>
  <c r="B99" i="160"/>
  <c r="AE98" i="160"/>
  <c r="AD98" i="160"/>
  <c r="AC98" i="160"/>
  <c r="AA98" i="160"/>
  <c r="Z98" i="160"/>
  <c r="Y98" i="160"/>
  <c r="X98" i="160"/>
  <c r="W98" i="160"/>
  <c r="V98" i="160"/>
  <c r="U98" i="160"/>
  <c r="S98" i="160"/>
  <c r="R98" i="160"/>
  <c r="Q98" i="160"/>
  <c r="P98" i="160"/>
  <c r="O98" i="160"/>
  <c r="N98" i="160"/>
  <c r="M98" i="160"/>
  <c r="L98" i="160"/>
  <c r="K98" i="160"/>
  <c r="H98" i="160"/>
  <c r="G98" i="160"/>
  <c r="F98" i="160"/>
  <c r="E98" i="160"/>
  <c r="B98" i="160"/>
  <c r="A98" i="160"/>
  <c r="AE97" i="160"/>
  <c r="AD97" i="160"/>
  <c r="AC97" i="160"/>
  <c r="AA97" i="160"/>
  <c r="Z97" i="160"/>
  <c r="Y97" i="160"/>
  <c r="X97" i="160"/>
  <c r="W97" i="160"/>
  <c r="V97" i="160"/>
  <c r="U97" i="160"/>
  <c r="T97" i="160"/>
  <c r="R97" i="160"/>
  <c r="Q97" i="160"/>
  <c r="P97" i="160"/>
  <c r="O97" i="160"/>
  <c r="N97" i="160"/>
  <c r="M97" i="160"/>
  <c r="L97" i="160"/>
  <c r="K97" i="160"/>
  <c r="H97" i="160"/>
  <c r="G97" i="160"/>
  <c r="F97" i="160"/>
  <c r="E97" i="160"/>
  <c r="B97" i="160"/>
  <c r="A97" i="160"/>
  <c r="AE96" i="160"/>
  <c r="AD96" i="160"/>
  <c r="AC96" i="160"/>
  <c r="AA96" i="160"/>
  <c r="Z96" i="160"/>
  <c r="Y96" i="160"/>
  <c r="X96" i="160"/>
  <c r="W96" i="160"/>
  <c r="V96" i="160"/>
  <c r="U96" i="160"/>
  <c r="T96" i="160"/>
  <c r="R96" i="160"/>
  <c r="Q96" i="160"/>
  <c r="P96" i="160"/>
  <c r="O96" i="160"/>
  <c r="N96" i="160"/>
  <c r="M96" i="160"/>
  <c r="L96" i="160"/>
  <c r="K96" i="160"/>
  <c r="H96" i="160"/>
  <c r="G96" i="160"/>
  <c r="F96" i="160"/>
  <c r="E96" i="160"/>
  <c r="B96" i="160"/>
  <c r="A96" i="160"/>
  <c r="AE95" i="160"/>
  <c r="AD95" i="160"/>
  <c r="AC95" i="160"/>
  <c r="AB95" i="160"/>
  <c r="AA95" i="160"/>
  <c r="Z95" i="160"/>
  <c r="Y95" i="160"/>
  <c r="X95" i="160"/>
  <c r="W95" i="160"/>
  <c r="V95" i="160"/>
  <c r="U95" i="160"/>
  <c r="T95" i="160"/>
  <c r="R95" i="160"/>
  <c r="Q95" i="160"/>
  <c r="P95" i="160"/>
  <c r="O95" i="160"/>
  <c r="N95" i="160"/>
  <c r="M95" i="160"/>
  <c r="L95" i="160"/>
  <c r="K95" i="160"/>
  <c r="H95" i="160"/>
  <c r="D95" i="160" s="1"/>
  <c r="G95" i="160"/>
  <c r="F95" i="160"/>
  <c r="E95" i="160"/>
  <c r="B95" i="160"/>
  <c r="A95" i="160"/>
  <c r="B94" i="160"/>
  <c r="B93" i="160"/>
  <c r="B92" i="160"/>
  <c r="B91" i="160"/>
  <c r="AE90" i="160"/>
  <c r="AD90" i="160"/>
  <c r="AC90" i="160"/>
  <c r="AB90" i="160"/>
  <c r="AA90" i="160"/>
  <c r="Z90" i="160"/>
  <c r="Y90" i="160"/>
  <c r="X90" i="160"/>
  <c r="W90" i="160"/>
  <c r="V90" i="160"/>
  <c r="U90" i="160"/>
  <c r="T90" i="160"/>
  <c r="S90" i="160"/>
  <c r="R90" i="160"/>
  <c r="Q90" i="160"/>
  <c r="O90" i="160"/>
  <c r="N90" i="160"/>
  <c r="M90" i="160"/>
  <c r="L90" i="160"/>
  <c r="K90" i="160"/>
  <c r="H90" i="160"/>
  <c r="G90" i="160"/>
  <c r="F90" i="160"/>
  <c r="E90" i="160"/>
  <c r="B90" i="160"/>
  <c r="AD89" i="160"/>
  <c r="AC89" i="160"/>
  <c r="AB89" i="160"/>
  <c r="AA89" i="160"/>
  <c r="Z89" i="160"/>
  <c r="Y89" i="160"/>
  <c r="X89" i="160"/>
  <c r="W89" i="160"/>
  <c r="V89" i="160"/>
  <c r="U89" i="160"/>
  <c r="T89" i="160"/>
  <c r="S89" i="160"/>
  <c r="R89" i="160"/>
  <c r="Q89" i="160"/>
  <c r="O89" i="160"/>
  <c r="N89" i="160"/>
  <c r="M89" i="160"/>
  <c r="L89" i="160"/>
  <c r="K89" i="160"/>
  <c r="B89" i="160"/>
  <c r="A89" i="160"/>
  <c r="B88" i="160"/>
  <c r="B87" i="160"/>
  <c r="AC86" i="160"/>
  <c r="AA86" i="160"/>
  <c r="Z86" i="160"/>
  <c r="Y86" i="160"/>
  <c r="X86" i="160"/>
  <c r="W86" i="160"/>
  <c r="V86" i="160"/>
  <c r="U86" i="160"/>
  <c r="T86" i="160"/>
  <c r="S86" i="160"/>
  <c r="R86" i="160"/>
  <c r="Q86" i="160"/>
  <c r="P86" i="160"/>
  <c r="O86" i="160"/>
  <c r="M86" i="160"/>
  <c r="L86" i="160"/>
  <c r="K86" i="160"/>
  <c r="B86" i="160"/>
  <c r="M85" i="160"/>
  <c r="L85" i="160"/>
  <c r="K85" i="160"/>
  <c r="B85" i="160"/>
  <c r="A85" i="160"/>
  <c r="AD84" i="160"/>
  <c r="AC84" i="160"/>
  <c r="AB84" i="160"/>
  <c r="AA84" i="160"/>
  <c r="Z84" i="160"/>
  <c r="Y84" i="160"/>
  <c r="X84" i="160"/>
  <c r="W84" i="160"/>
  <c r="V84" i="160"/>
  <c r="U84" i="160"/>
  <c r="T84" i="160"/>
  <c r="S84" i="160"/>
  <c r="R84" i="160"/>
  <c r="Q84" i="160"/>
  <c r="P84" i="160"/>
  <c r="O84" i="160"/>
  <c r="N84" i="160"/>
  <c r="L84" i="160"/>
  <c r="K84" i="160"/>
  <c r="B84" i="160"/>
  <c r="AD83" i="160"/>
  <c r="AC83" i="160"/>
  <c r="AB83" i="160"/>
  <c r="AA83" i="160"/>
  <c r="Z83" i="160"/>
  <c r="Y83" i="160"/>
  <c r="X83" i="160"/>
  <c r="W83" i="160"/>
  <c r="V83" i="160"/>
  <c r="U83" i="160"/>
  <c r="T83" i="160"/>
  <c r="S83" i="160"/>
  <c r="R83" i="160"/>
  <c r="Q83" i="160"/>
  <c r="P83" i="160"/>
  <c r="O83" i="160"/>
  <c r="N83" i="160"/>
  <c r="B83" i="160"/>
  <c r="A83" i="160"/>
  <c r="AD82" i="160"/>
  <c r="AC82" i="160"/>
  <c r="AB82" i="160"/>
  <c r="AA82" i="160"/>
  <c r="Z82" i="160"/>
  <c r="Y82" i="160"/>
  <c r="X82" i="160"/>
  <c r="W82" i="160"/>
  <c r="V82" i="160"/>
  <c r="U82" i="160"/>
  <c r="T82" i="160"/>
  <c r="S82" i="160"/>
  <c r="R82" i="160"/>
  <c r="Q82" i="160"/>
  <c r="P82" i="160"/>
  <c r="O82" i="160"/>
  <c r="N82" i="160"/>
  <c r="M82" i="160"/>
  <c r="K82" i="160"/>
  <c r="B82" i="160"/>
  <c r="AD81" i="160"/>
  <c r="AC81" i="160"/>
  <c r="AB81" i="160"/>
  <c r="AA81" i="160"/>
  <c r="Z81" i="160"/>
  <c r="Y81" i="160"/>
  <c r="X81" i="160"/>
  <c r="W81" i="160"/>
  <c r="V81" i="160"/>
  <c r="U81" i="160"/>
  <c r="T81" i="160"/>
  <c r="S81" i="160"/>
  <c r="R81" i="160"/>
  <c r="Q81" i="160"/>
  <c r="P81" i="160"/>
  <c r="O81" i="160"/>
  <c r="N81" i="160"/>
  <c r="M81" i="160"/>
  <c r="K81" i="160"/>
  <c r="B81" i="160"/>
  <c r="A81" i="160"/>
  <c r="AD80" i="160"/>
  <c r="AC80" i="160"/>
  <c r="AB80" i="160"/>
  <c r="AA80" i="160"/>
  <c r="Z80" i="160"/>
  <c r="Y80" i="160"/>
  <c r="X80" i="160"/>
  <c r="W80" i="160"/>
  <c r="V80" i="160"/>
  <c r="U80" i="160"/>
  <c r="T80" i="160"/>
  <c r="S80" i="160"/>
  <c r="R80" i="160"/>
  <c r="Q80" i="160"/>
  <c r="P80" i="160"/>
  <c r="O80" i="160"/>
  <c r="N80" i="160"/>
  <c r="M80" i="160"/>
  <c r="L80" i="160"/>
  <c r="B80" i="160"/>
  <c r="A80" i="160"/>
  <c r="AD79" i="160"/>
  <c r="AC79" i="160"/>
  <c r="AB79" i="160"/>
  <c r="AA79" i="160"/>
  <c r="Z79" i="160"/>
  <c r="Y79" i="160"/>
  <c r="X79" i="160"/>
  <c r="W79" i="160"/>
  <c r="V79" i="160"/>
  <c r="U79" i="160"/>
  <c r="T79" i="160"/>
  <c r="S79" i="160"/>
  <c r="R79" i="160"/>
  <c r="Q79" i="160"/>
  <c r="P79" i="160"/>
  <c r="O79" i="160"/>
  <c r="N79" i="160"/>
  <c r="M79" i="160"/>
  <c r="L79" i="160"/>
  <c r="K79" i="160"/>
  <c r="B79" i="160"/>
  <c r="A79" i="160"/>
  <c r="AD78" i="160"/>
  <c r="AC78" i="160"/>
  <c r="AB78" i="160"/>
  <c r="AA78" i="160"/>
  <c r="Z78" i="160"/>
  <c r="Y78" i="160"/>
  <c r="X78" i="160"/>
  <c r="W78" i="160"/>
  <c r="V78" i="160"/>
  <c r="U78" i="160"/>
  <c r="T78" i="160"/>
  <c r="S78" i="160"/>
  <c r="R78" i="160"/>
  <c r="Q78" i="160"/>
  <c r="P78" i="160"/>
  <c r="O78" i="160"/>
  <c r="N78" i="160"/>
  <c r="M78" i="160"/>
  <c r="L78" i="160"/>
  <c r="B78" i="160"/>
  <c r="A78" i="160"/>
  <c r="AE77" i="160"/>
  <c r="AD77" i="160"/>
  <c r="AC77" i="160"/>
  <c r="AA77" i="160"/>
  <c r="Z77" i="160"/>
  <c r="Y77" i="160"/>
  <c r="X77" i="160"/>
  <c r="W77" i="160"/>
  <c r="V77" i="160"/>
  <c r="U77" i="160"/>
  <c r="T77" i="160"/>
  <c r="S77" i="160"/>
  <c r="R77" i="160"/>
  <c r="Q77" i="160"/>
  <c r="P77" i="160"/>
  <c r="O77" i="160"/>
  <c r="N77" i="160"/>
  <c r="M77" i="160"/>
  <c r="L77" i="160"/>
  <c r="H77" i="160"/>
  <c r="G77" i="160"/>
  <c r="F77" i="160"/>
  <c r="E77" i="160"/>
  <c r="B77" i="160"/>
  <c r="A77" i="160"/>
  <c r="AD76" i="160"/>
  <c r="AC76" i="160"/>
  <c r="AB76" i="160"/>
  <c r="AA76" i="160"/>
  <c r="Z76" i="160"/>
  <c r="Y76" i="160"/>
  <c r="X76" i="160"/>
  <c r="W76" i="160"/>
  <c r="V76" i="160"/>
  <c r="U76" i="160"/>
  <c r="T76" i="160"/>
  <c r="S76" i="160"/>
  <c r="R76" i="160"/>
  <c r="Q76" i="160"/>
  <c r="P76" i="160"/>
  <c r="O76" i="160"/>
  <c r="N76" i="160"/>
  <c r="M76" i="160"/>
  <c r="L76" i="160"/>
  <c r="B76" i="160"/>
  <c r="A76" i="160"/>
  <c r="B75" i="160"/>
  <c r="B74" i="160"/>
  <c r="V73" i="160"/>
  <c r="J73" i="160" s="1"/>
  <c r="C73" i="160" s="1"/>
  <c r="B73" i="160"/>
  <c r="V72" i="160"/>
  <c r="J72" i="160" s="1"/>
  <c r="C72" i="160" s="1"/>
  <c r="B72" i="160"/>
  <c r="V71" i="160"/>
  <c r="J71" i="160" s="1"/>
  <c r="C71" i="160" s="1"/>
  <c r="B71" i="160"/>
  <c r="V70" i="160"/>
  <c r="J70" i="160"/>
  <c r="C70" i="160" s="1"/>
  <c r="B70" i="160"/>
  <c r="AE69" i="160"/>
  <c r="AD69" i="160"/>
  <c r="AC69" i="160"/>
  <c r="AB69" i="160" s="1"/>
  <c r="AA69" i="160"/>
  <c r="Z69" i="160"/>
  <c r="Y69" i="160"/>
  <c r="X69" i="160"/>
  <c r="W69" i="160"/>
  <c r="U69" i="160"/>
  <c r="T69" i="160"/>
  <c r="S69" i="160"/>
  <c r="R69" i="160"/>
  <c r="Q69" i="160"/>
  <c r="P69" i="160"/>
  <c r="O69" i="160"/>
  <c r="N69" i="160"/>
  <c r="M69" i="160"/>
  <c r="L69" i="160"/>
  <c r="K69" i="160"/>
  <c r="H69" i="160"/>
  <c r="G69" i="160"/>
  <c r="F69" i="160"/>
  <c r="E69" i="160"/>
  <c r="B69" i="160"/>
  <c r="AE68" i="160"/>
  <c r="AD68" i="160"/>
  <c r="AC68" i="160"/>
  <c r="AB68" i="160" s="1"/>
  <c r="AA68" i="160"/>
  <c r="Z68" i="160"/>
  <c r="Y68" i="160"/>
  <c r="X68" i="160"/>
  <c r="W68" i="160"/>
  <c r="U68" i="160"/>
  <c r="T68" i="160"/>
  <c r="S68" i="160"/>
  <c r="R68" i="160"/>
  <c r="Q68" i="160"/>
  <c r="P68" i="160"/>
  <c r="O68" i="160"/>
  <c r="N68" i="160"/>
  <c r="M68" i="160"/>
  <c r="L68" i="160"/>
  <c r="K68" i="160"/>
  <c r="H68" i="160"/>
  <c r="G68" i="160"/>
  <c r="F68" i="160"/>
  <c r="E68" i="160"/>
  <c r="D68" i="160" s="1"/>
  <c r="B68" i="160"/>
  <c r="AE67" i="160"/>
  <c r="AD67" i="160"/>
  <c r="AC67" i="160"/>
  <c r="AA67" i="160"/>
  <c r="Z67" i="160"/>
  <c r="Y67" i="160"/>
  <c r="X67" i="160"/>
  <c r="W67" i="160"/>
  <c r="U67" i="160"/>
  <c r="T67" i="160"/>
  <c r="S67" i="160"/>
  <c r="R67" i="160"/>
  <c r="Q67" i="160"/>
  <c r="P67" i="160"/>
  <c r="O67" i="160"/>
  <c r="N67" i="160"/>
  <c r="M67" i="160"/>
  <c r="L67" i="160"/>
  <c r="K67" i="160"/>
  <c r="H67" i="160"/>
  <c r="G67" i="160"/>
  <c r="F67" i="160"/>
  <c r="E67" i="160"/>
  <c r="B67" i="160"/>
  <c r="AE66" i="160"/>
  <c r="AD66" i="160"/>
  <c r="AC66" i="160"/>
  <c r="AA66" i="160"/>
  <c r="Z66" i="160"/>
  <c r="Y66" i="160"/>
  <c r="X66" i="160"/>
  <c r="W66" i="160"/>
  <c r="U66" i="160"/>
  <c r="T66" i="160"/>
  <c r="S66" i="160"/>
  <c r="R66" i="160"/>
  <c r="Q66" i="160"/>
  <c r="P66" i="160"/>
  <c r="O66" i="160"/>
  <c r="N66" i="160"/>
  <c r="M66" i="160"/>
  <c r="L66" i="160"/>
  <c r="K66" i="160"/>
  <c r="H66" i="160"/>
  <c r="G66" i="160"/>
  <c r="F66" i="160"/>
  <c r="E66" i="160"/>
  <c r="B66" i="160"/>
  <c r="AE65" i="160"/>
  <c r="AD65" i="160"/>
  <c r="AB65" i="160" s="1"/>
  <c r="AC65" i="160"/>
  <c r="AA65" i="160"/>
  <c r="Z65" i="160"/>
  <c r="Y65" i="160"/>
  <c r="X65" i="160"/>
  <c r="W65" i="160"/>
  <c r="U65" i="160"/>
  <c r="T65" i="160"/>
  <c r="S65" i="160"/>
  <c r="R65" i="160"/>
  <c r="Q65" i="160"/>
  <c r="P65" i="160"/>
  <c r="O65" i="160"/>
  <c r="N65" i="160"/>
  <c r="M65" i="160"/>
  <c r="L65" i="160"/>
  <c r="K65" i="160"/>
  <c r="H65" i="160"/>
  <c r="G65" i="160"/>
  <c r="F65" i="160"/>
  <c r="E65" i="160"/>
  <c r="D65" i="160" s="1"/>
  <c r="B65" i="160"/>
  <c r="AE64" i="160"/>
  <c r="AD64" i="160"/>
  <c r="AC64" i="160"/>
  <c r="AA64" i="160"/>
  <c r="Z64" i="160"/>
  <c r="Y64" i="160"/>
  <c r="X64" i="160"/>
  <c r="W64" i="160"/>
  <c r="U64" i="160"/>
  <c r="T64" i="160"/>
  <c r="S64" i="160"/>
  <c r="R64" i="160"/>
  <c r="Q64" i="160"/>
  <c r="P64" i="160"/>
  <c r="O64" i="160"/>
  <c r="N64" i="160"/>
  <c r="M64" i="160"/>
  <c r="L64" i="160"/>
  <c r="K64" i="160"/>
  <c r="H64" i="160"/>
  <c r="G64" i="160"/>
  <c r="F64" i="160"/>
  <c r="E64" i="160"/>
  <c r="B64" i="160"/>
  <c r="AE63" i="160"/>
  <c r="AD63" i="160"/>
  <c r="AC63" i="160"/>
  <c r="AA63" i="160"/>
  <c r="Z63" i="160"/>
  <c r="Y63" i="160"/>
  <c r="X63" i="160"/>
  <c r="W63" i="160"/>
  <c r="U63" i="160"/>
  <c r="T63" i="160"/>
  <c r="S63" i="160"/>
  <c r="R63" i="160"/>
  <c r="Q63" i="160"/>
  <c r="P63" i="160"/>
  <c r="O63" i="160"/>
  <c r="N63" i="160"/>
  <c r="M63" i="160"/>
  <c r="L63" i="160"/>
  <c r="K63" i="160"/>
  <c r="H63" i="160"/>
  <c r="G63" i="160"/>
  <c r="F63" i="160"/>
  <c r="E63" i="160"/>
  <c r="B63" i="160"/>
  <c r="AE62" i="160"/>
  <c r="AD62" i="160"/>
  <c r="AC62" i="160"/>
  <c r="AA62" i="160"/>
  <c r="Z62" i="160"/>
  <c r="Y62" i="160"/>
  <c r="X62" i="160"/>
  <c r="W62" i="160"/>
  <c r="V62" i="160"/>
  <c r="U62" i="160"/>
  <c r="T62" i="160"/>
  <c r="S62" i="160"/>
  <c r="R62" i="160"/>
  <c r="Q62" i="160"/>
  <c r="P62" i="160"/>
  <c r="O62" i="160"/>
  <c r="M62" i="160"/>
  <c r="L62" i="160"/>
  <c r="K62" i="160"/>
  <c r="H62" i="160"/>
  <c r="G62" i="160"/>
  <c r="F62" i="160"/>
  <c r="E62" i="160"/>
  <c r="B62" i="160"/>
  <c r="AE61" i="160"/>
  <c r="AD61" i="160"/>
  <c r="AB61" i="160" s="1"/>
  <c r="AC61" i="160"/>
  <c r="AA61" i="160"/>
  <c r="Z61" i="160"/>
  <c r="Y61" i="160"/>
  <c r="Y60" i="160" s="1"/>
  <c r="X61" i="160"/>
  <c r="W61" i="160"/>
  <c r="V61" i="160"/>
  <c r="U61" i="160"/>
  <c r="T61" i="160"/>
  <c r="S61" i="160"/>
  <c r="R61" i="160"/>
  <c r="Q61" i="160"/>
  <c r="P61" i="160"/>
  <c r="N61" i="160"/>
  <c r="M61" i="160"/>
  <c r="L61" i="160"/>
  <c r="K61" i="160"/>
  <c r="H61" i="160"/>
  <c r="G61" i="160"/>
  <c r="F61" i="160"/>
  <c r="E61" i="160"/>
  <c r="B61" i="160"/>
  <c r="I60" i="160"/>
  <c r="B60" i="160"/>
  <c r="AE59" i="160"/>
  <c r="AD59" i="160"/>
  <c r="AD56" i="160" s="1"/>
  <c r="AC59" i="160"/>
  <c r="AA59" i="160"/>
  <c r="Z59" i="160"/>
  <c r="Y59" i="160"/>
  <c r="X59" i="160"/>
  <c r="W59" i="160"/>
  <c r="V59" i="160"/>
  <c r="T59" i="160"/>
  <c r="S59" i="160"/>
  <c r="S56" i="160" s="1"/>
  <c r="R59" i="160"/>
  <c r="Q59" i="160"/>
  <c r="Q56" i="160" s="1"/>
  <c r="P59" i="160"/>
  <c r="O59" i="160"/>
  <c r="N59" i="160"/>
  <c r="M59" i="160"/>
  <c r="L59" i="160"/>
  <c r="K59" i="160"/>
  <c r="H59" i="160"/>
  <c r="G59" i="160"/>
  <c r="F59" i="160"/>
  <c r="E59" i="160"/>
  <c r="D59" i="160"/>
  <c r="B59" i="160"/>
  <c r="AE58" i="160"/>
  <c r="AD58" i="160"/>
  <c r="AC58" i="160"/>
  <c r="AB58" i="160" s="1"/>
  <c r="AA58" i="160"/>
  <c r="Z58" i="160"/>
  <c r="Y58" i="160"/>
  <c r="X58" i="160"/>
  <c r="W58" i="160"/>
  <c r="V58" i="160"/>
  <c r="T58" i="160"/>
  <c r="S58" i="160"/>
  <c r="R58" i="160"/>
  <c r="Q58" i="160"/>
  <c r="P58" i="160"/>
  <c r="O58" i="160"/>
  <c r="N58" i="160"/>
  <c r="N56" i="160" s="1"/>
  <c r="M58" i="160"/>
  <c r="L58" i="160"/>
  <c r="K58" i="160"/>
  <c r="H58" i="160"/>
  <c r="G58" i="160"/>
  <c r="G56" i="160" s="1"/>
  <c r="F58" i="160"/>
  <c r="E58" i="160"/>
  <c r="B58" i="160"/>
  <c r="AE57" i="160"/>
  <c r="AD57" i="160"/>
  <c r="AC57" i="160"/>
  <c r="AC56" i="160" s="1"/>
  <c r="AA57" i="160"/>
  <c r="Z57" i="160"/>
  <c r="Y57" i="160"/>
  <c r="X57" i="160"/>
  <c r="W57" i="160"/>
  <c r="V57" i="160"/>
  <c r="T57" i="160"/>
  <c r="T56" i="160" s="1"/>
  <c r="S57" i="160"/>
  <c r="R57" i="160"/>
  <c r="Q57" i="160"/>
  <c r="P57" i="160"/>
  <c r="O57" i="160"/>
  <c r="O56" i="160" s="1"/>
  <c r="N57" i="160"/>
  <c r="M57" i="160"/>
  <c r="L57" i="160"/>
  <c r="K57" i="160"/>
  <c r="H57" i="160"/>
  <c r="G57" i="160"/>
  <c r="F57" i="160"/>
  <c r="E57" i="160"/>
  <c r="D57" i="160" s="1"/>
  <c r="B57" i="160"/>
  <c r="M56" i="160"/>
  <c r="L56" i="160"/>
  <c r="H56" i="160"/>
  <c r="B56" i="160"/>
  <c r="AE55" i="160"/>
  <c r="AD55" i="160"/>
  <c r="AC55" i="160"/>
  <c r="AB55" i="160" s="1"/>
  <c r="AA55" i="160"/>
  <c r="Z55" i="160"/>
  <c r="Y55" i="160"/>
  <c r="X55" i="160"/>
  <c r="W55" i="160"/>
  <c r="V55" i="160"/>
  <c r="U55" i="160"/>
  <c r="T55" i="160"/>
  <c r="S55" i="160"/>
  <c r="R55" i="160"/>
  <c r="Q55" i="160"/>
  <c r="P55" i="160"/>
  <c r="O55" i="160"/>
  <c r="N55" i="160"/>
  <c r="M55" i="160"/>
  <c r="L55" i="160"/>
  <c r="K55" i="160"/>
  <c r="H55" i="160"/>
  <c r="G55" i="160"/>
  <c r="F55" i="160"/>
  <c r="E55" i="160"/>
  <c r="B55" i="160"/>
  <c r="AE54" i="160"/>
  <c r="AD54" i="160"/>
  <c r="AC54" i="160"/>
  <c r="AA54" i="160"/>
  <c r="Z54" i="160"/>
  <c r="Y54" i="160"/>
  <c r="X54" i="160"/>
  <c r="W54" i="160"/>
  <c r="V54" i="160"/>
  <c r="U54" i="160"/>
  <c r="T54" i="160"/>
  <c r="S54" i="160"/>
  <c r="R54" i="160"/>
  <c r="Q54" i="160"/>
  <c r="P54" i="160"/>
  <c r="O54" i="160"/>
  <c r="N54" i="160"/>
  <c r="M54" i="160"/>
  <c r="L54" i="160"/>
  <c r="K54" i="160"/>
  <c r="H54" i="160"/>
  <c r="G54" i="160"/>
  <c r="F54" i="160"/>
  <c r="E54" i="160"/>
  <c r="B54" i="160"/>
  <c r="AE53" i="160"/>
  <c r="AD53" i="160"/>
  <c r="AB53" i="160" s="1"/>
  <c r="AC53" i="160"/>
  <c r="AA53" i="160"/>
  <c r="Z53" i="160"/>
  <c r="Y53" i="160"/>
  <c r="X53" i="160"/>
  <c r="W53" i="160"/>
  <c r="V53" i="160"/>
  <c r="U53" i="160"/>
  <c r="T53" i="160"/>
  <c r="S53" i="160"/>
  <c r="R53" i="160"/>
  <c r="Q53" i="160"/>
  <c r="P53" i="160"/>
  <c r="O53" i="160"/>
  <c r="N53" i="160"/>
  <c r="M53" i="160"/>
  <c r="L53" i="160"/>
  <c r="L48" i="160" s="1"/>
  <c r="K53" i="160"/>
  <c r="H53" i="160"/>
  <c r="G53" i="160"/>
  <c r="F53" i="160"/>
  <c r="E53" i="160"/>
  <c r="B53" i="160"/>
  <c r="AE52" i="160"/>
  <c r="AD52" i="160"/>
  <c r="AC52" i="160"/>
  <c r="AA52" i="160"/>
  <c r="Z52" i="160"/>
  <c r="Y52" i="160"/>
  <c r="X52" i="160"/>
  <c r="W52" i="160"/>
  <c r="V52" i="160"/>
  <c r="U52" i="160"/>
  <c r="T52" i="160"/>
  <c r="S52" i="160"/>
  <c r="R52" i="160"/>
  <c r="P52" i="160"/>
  <c r="O52" i="160"/>
  <c r="N52" i="160"/>
  <c r="M52" i="160"/>
  <c r="L52" i="160"/>
  <c r="K52" i="160"/>
  <c r="H52" i="160"/>
  <c r="D52" i="160" s="1"/>
  <c r="G52" i="160"/>
  <c r="F52" i="160"/>
  <c r="E52" i="160"/>
  <c r="B52" i="160"/>
  <c r="AE51" i="160"/>
  <c r="AD51" i="160"/>
  <c r="AC51" i="160"/>
  <c r="AA51" i="160"/>
  <c r="Z51" i="160"/>
  <c r="Y51" i="160"/>
  <c r="X51" i="160"/>
  <c r="W51" i="160"/>
  <c r="V51" i="160"/>
  <c r="U51" i="160"/>
  <c r="T51" i="160"/>
  <c r="S51" i="160"/>
  <c r="R51" i="160"/>
  <c r="R48" i="160" s="1"/>
  <c r="Q51" i="160"/>
  <c r="P51" i="160"/>
  <c r="O51" i="160"/>
  <c r="N51" i="160"/>
  <c r="M51" i="160"/>
  <c r="L51" i="160"/>
  <c r="K51" i="160"/>
  <c r="H51" i="160"/>
  <c r="G51" i="160"/>
  <c r="F51" i="160"/>
  <c r="E51" i="160"/>
  <c r="B51" i="160"/>
  <c r="AE50" i="160"/>
  <c r="AD50" i="160"/>
  <c r="AC50" i="160"/>
  <c r="AB50" i="160" s="1"/>
  <c r="AA50" i="160"/>
  <c r="Z50" i="160"/>
  <c r="Y50" i="160"/>
  <c r="X50" i="160"/>
  <c r="W50" i="160"/>
  <c r="V50" i="160"/>
  <c r="U50" i="160"/>
  <c r="S50" i="160"/>
  <c r="R50" i="160"/>
  <c r="P50" i="160"/>
  <c r="O50" i="160"/>
  <c r="N50" i="160"/>
  <c r="L50" i="160"/>
  <c r="K50" i="160"/>
  <c r="H50" i="160"/>
  <c r="G50" i="160"/>
  <c r="F50" i="160"/>
  <c r="E50" i="160"/>
  <c r="B50" i="160"/>
  <c r="AE49" i="160"/>
  <c r="AD49" i="160"/>
  <c r="AC49" i="160"/>
  <c r="AB49" i="160"/>
  <c r="AA49" i="160"/>
  <c r="Z49" i="160"/>
  <c r="Y49" i="160"/>
  <c r="X49" i="160"/>
  <c r="W49" i="160"/>
  <c r="V49" i="160"/>
  <c r="U49" i="160"/>
  <c r="T49" i="160"/>
  <c r="S49" i="160"/>
  <c r="R49" i="160"/>
  <c r="P49" i="160"/>
  <c r="O49" i="160"/>
  <c r="N49" i="160"/>
  <c r="M49" i="160"/>
  <c r="L49" i="160"/>
  <c r="K49" i="160"/>
  <c r="H49" i="160"/>
  <c r="G49" i="160"/>
  <c r="F49" i="160"/>
  <c r="D49" i="160" s="1"/>
  <c r="E49" i="160"/>
  <c r="B49" i="160"/>
  <c r="B48" i="160"/>
  <c r="AE47" i="160"/>
  <c r="AD47" i="160"/>
  <c r="AC47" i="160"/>
  <c r="AA47" i="160"/>
  <c r="Z47" i="160"/>
  <c r="Y47" i="160"/>
  <c r="X47" i="160"/>
  <c r="W47" i="160"/>
  <c r="V47" i="160"/>
  <c r="U47" i="160"/>
  <c r="S47" i="160"/>
  <c r="R47" i="160"/>
  <c r="Q47" i="160"/>
  <c r="P47" i="160"/>
  <c r="O47" i="160"/>
  <c r="N47" i="160"/>
  <c r="M47" i="160"/>
  <c r="L47" i="160"/>
  <c r="K47" i="160"/>
  <c r="H47" i="160"/>
  <c r="G47" i="160"/>
  <c r="F47" i="160"/>
  <c r="E47" i="160"/>
  <c r="B47" i="160"/>
  <c r="AE46" i="160"/>
  <c r="AD46" i="160"/>
  <c r="AC46" i="160"/>
  <c r="AB46" i="160" s="1"/>
  <c r="AA46" i="160"/>
  <c r="Z46" i="160"/>
  <c r="Y46" i="160"/>
  <c r="X46" i="160"/>
  <c r="W46" i="160"/>
  <c r="V46" i="160"/>
  <c r="U46" i="160"/>
  <c r="T46" i="160"/>
  <c r="S46" i="160"/>
  <c r="R46" i="160"/>
  <c r="R42" i="160" s="1"/>
  <c r="R41" i="160" s="1"/>
  <c r="Q46" i="160"/>
  <c r="P46" i="160"/>
  <c r="O46" i="160"/>
  <c r="N46" i="160"/>
  <c r="M46" i="160"/>
  <c r="L46" i="160"/>
  <c r="K46" i="160"/>
  <c r="H46" i="160"/>
  <c r="G46" i="160"/>
  <c r="F46" i="160"/>
  <c r="D46" i="160" s="1"/>
  <c r="E46" i="160"/>
  <c r="B46" i="160"/>
  <c r="AE45" i="160"/>
  <c r="AD45" i="160"/>
  <c r="AC45" i="160"/>
  <c r="AA45" i="160"/>
  <c r="Z45" i="160"/>
  <c r="Y45" i="160"/>
  <c r="X45" i="160"/>
  <c r="W45" i="160"/>
  <c r="V45" i="160"/>
  <c r="U45" i="160"/>
  <c r="T45" i="160"/>
  <c r="S45" i="160"/>
  <c r="R45" i="160"/>
  <c r="Q45" i="160"/>
  <c r="P45" i="160"/>
  <c r="O45" i="160"/>
  <c r="N45" i="160"/>
  <c r="M45" i="160"/>
  <c r="L45" i="160"/>
  <c r="K45" i="160"/>
  <c r="H45" i="160"/>
  <c r="G45" i="160"/>
  <c r="F45" i="160"/>
  <c r="E45" i="160"/>
  <c r="D45" i="160" s="1"/>
  <c r="B45" i="160"/>
  <c r="AE44" i="160"/>
  <c r="AD44" i="160"/>
  <c r="AC44" i="160"/>
  <c r="AA44" i="160"/>
  <c r="Z44" i="160"/>
  <c r="Y44" i="160"/>
  <c r="X44" i="160"/>
  <c r="W44" i="160"/>
  <c r="V44" i="160"/>
  <c r="V42" i="160" s="1"/>
  <c r="U44" i="160"/>
  <c r="T44" i="160"/>
  <c r="S44" i="160"/>
  <c r="R44" i="160"/>
  <c r="Q44" i="160"/>
  <c r="P44" i="160"/>
  <c r="O44" i="160"/>
  <c r="N44" i="160"/>
  <c r="N42" i="160" s="1"/>
  <c r="M44" i="160"/>
  <c r="L44" i="160"/>
  <c r="K44" i="160"/>
  <c r="H44" i="160"/>
  <c r="G44" i="160"/>
  <c r="F44" i="160"/>
  <c r="E44" i="160"/>
  <c r="B44" i="160"/>
  <c r="AE43" i="160"/>
  <c r="AD43" i="160"/>
  <c r="AC43" i="160"/>
  <c r="AB43" i="160" s="1"/>
  <c r="AA43" i="160"/>
  <c r="Z43" i="160"/>
  <c r="Y43" i="160"/>
  <c r="X43" i="160"/>
  <c r="W43" i="160"/>
  <c r="V43" i="160"/>
  <c r="U43" i="160"/>
  <c r="S43" i="160"/>
  <c r="R43" i="160"/>
  <c r="Q43" i="160"/>
  <c r="P43" i="160"/>
  <c r="O43" i="160"/>
  <c r="N43" i="160"/>
  <c r="M43" i="160"/>
  <c r="M42" i="160" s="1"/>
  <c r="L43" i="160"/>
  <c r="K43" i="160"/>
  <c r="H43" i="160"/>
  <c r="G43" i="160"/>
  <c r="F43" i="160"/>
  <c r="E43" i="160"/>
  <c r="B43" i="160"/>
  <c r="A43" i="160"/>
  <c r="A44" i="160" s="1"/>
  <c r="A45" i="160" s="1"/>
  <c r="A46" i="160" s="1"/>
  <c r="A47" i="160" s="1"/>
  <c r="E42" i="160"/>
  <c r="B42" i="160"/>
  <c r="B41" i="160"/>
  <c r="AE40" i="160"/>
  <c r="AD40" i="160"/>
  <c r="AC40" i="160"/>
  <c r="AA40" i="160"/>
  <c r="Z40" i="160"/>
  <c r="Y40" i="160"/>
  <c r="X40" i="160"/>
  <c r="W40" i="160"/>
  <c r="V40" i="160"/>
  <c r="U40" i="160"/>
  <c r="T40" i="160"/>
  <c r="S40" i="160"/>
  <c r="R40" i="160"/>
  <c r="Q40" i="160"/>
  <c r="P40" i="160"/>
  <c r="O40" i="160"/>
  <c r="N40" i="160"/>
  <c r="M40" i="160"/>
  <c r="L40" i="160"/>
  <c r="K40" i="160"/>
  <c r="H40" i="160"/>
  <c r="G40" i="160"/>
  <c r="F40" i="160"/>
  <c r="D40" i="160" s="1"/>
  <c r="E40" i="160"/>
  <c r="AE39" i="160"/>
  <c r="AD39" i="160"/>
  <c r="AC39" i="160"/>
  <c r="AA39" i="160"/>
  <c r="Z39" i="160"/>
  <c r="Y39" i="160"/>
  <c r="X39" i="160"/>
  <c r="W39" i="160"/>
  <c r="V39" i="160"/>
  <c r="U39" i="160"/>
  <c r="T39" i="160"/>
  <c r="S39" i="160"/>
  <c r="R39" i="160"/>
  <c r="Q39" i="160"/>
  <c r="P39" i="160"/>
  <c r="O39" i="160"/>
  <c r="N39" i="160"/>
  <c r="M39" i="160"/>
  <c r="K39" i="160"/>
  <c r="H39" i="160"/>
  <c r="G39" i="160"/>
  <c r="F39" i="160"/>
  <c r="E39" i="160"/>
  <c r="B39" i="160"/>
  <c r="AE38" i="160"/>
  <c r="AD38" i="160"/>
  <c r="AC38" i="160"/>
  <c r="AB38" i="160" s="1"/>
  <c r="AA38" i="160"/>
  <c r="Z38" i="160"/>
  <c r="Y38" i="160"/>
  <c r="X38" i="160"/>
  <c r="W38" i="160"/>
  <c r="V38" i="160"/>
  <c r="U38" i="160"/>
  <c r="T38" i="160"/>
  <c r="S38" i="160"/>
  <c r="R38" i="160"/>
  <c r="Q38" i="160"/>
  <c r="P38" i="160"/>
  <c r="O38" i="160"/>
  <c r="N38" i="160"/>
  <c r="M38" i="160"/>
  <c r="L38" i="160"/>
  <c r="K38" i="160"/>
  <c r="H38" i="160"/>
  <c r="G38" i="160"/>
  <c r="F38" i="160"/>
  <c r="E38" i="160"/>
  <c r="B38" i="160"/>
  <c r="AE37" i="160"/>
  <c r="AD37" i="160"/>
  <c r="AC37" i="160"/>
  <c r="AB37" i="160" s="1"/>
  <c r="AA37" i="160"/>
  <c r="Z37" i="160"/>
  <c r="Y37" i="160"/>
  <c r="X37" i="160"/>
  <c r="W37" i="160"/>
  <c r="V37" i="160"/>
  <c r="U37" i="160"/>
  <c r="T37" i="160"/>
  <c r="S37" i="160"/>
  <c r="R37" i="160"/>
  <c r="Q37" i="160"/>
  <c r="P37" i="160"/>
  <c r="O37" i="160"/>
  <c r="N37" i="160"/>
  <c r="M37" i="160"/>
  <c r="L37" i="160"/>
  <c r="K37" i="160"/>
  <c r="H37" i="160"/>
  <c r="D37" i="160" s="1"/>
  <c r="G37" i="160"/>
  <c r="F37" i="160"/>
  <c r="E37" i="160"/>
  <c r="B37" i="160"/>
  <c r="AE36" i="160"/>
  <c r="AC36" i="160"/>
  <c r="AA36" i="160"/>
  <c r="Z36" i="160"/>
  <c r="Y36" i="160"/>
  <c r="X36" i="160"/>
  <c r="W36" i="160"/>
  <c r="V36" i="160"/>
  <c r="U36" i="160"/>
  <c r="T36" i="160"/>
  <c r="S36" i="160"/>
  <c r="R36" i="160"/>
  <c r="Q36" i="160"/>
  <c r="P36" i="160"/>
  <c r="O36" i="160"/>
  <c r="N36" i="160"/>
  <c r="M36" i="160"/>
  <c r="L36" i="160"/>
  <c r="H36" i="160"/>
  <c r="G36" i="160"/>
  <c r="F36" i="160"/>
  <c r="E36" i="160"/>
  <c r="B36" i="160"/>
  <c r="AE35" i="160"/>
  <c r="AD35" i="160"/>
  <c r="AC35" i="160"/>
  <c r="AA35" i="160"/>
  <c r="Z35" i="160"/>
  <c r="Y35" i="160"/>
  <c r="X35" i="160"/>
  <c r="W35" i="160"/>
  <c r="V35" i="160"/>
  <c r="U35" i="160"/>
  <c r="T35" i="160"/>
  <c r="S35" i="160"/>
  <c r="R35" i="160"/>
  <c r="Q35" i="160"/>
  <c r="P35" i="160"/>
  <c r="O35" i="160"/>
  <c r="N35" i="160"/>
  <c r="M35" i="160"/>
  <c r="L35" i="160"/>
  <c r="K35" i="160"/>
  <c r="H35" i="160"/>
  <c r="G35" i="160"/>
  <c r="F35" i="160"/>
  <c r="E35" i="160"/>
  <c r="D35" i="160" s="1"/>
  <c r="B35" i="160"/>
  <c r="AE34" i="160"/>
  <c r="AD34" i="160"/>
  <c r="AB34" i="160" s="1"/>
  <c r="AC34" i="160"/>
  <c r="AA34" i="160"/>
  <c r="Z34" i="160"/>
  <c r="Y34" i="160"/>
  <c r="X34" i="160"/>
  <c r="W34" i="160"/>
  <c r="V34" i="160"/>
  <c r="U34" i="160"/>
  <c r="T34" i="160"/>
  <c r="S34" i="160"/>
  <c r="R34" i="160"/>
  <c r="Q34" i="160"/>
  <c r="P34" i="160"/>
  <c r="O34" i="160"/>
  <c r="N34" i="160"/>
  <c r="M34" i="160"/>
  <c r="L34" i="160"/>
  <c r="K34" i="160"/>
  <c r="H34" i="160"/>
  <c r="G34" i="160"/>
  <c r="F34" i="160"/>
  <c r="E34" i="160"/>
  <c r="D34" i="160" s="1"/>
  <c r="B34" i="160"/>
  <c r="AE33" i="160"/>
  <c r="AD33" i="160"/>
  <c r="AC33" i="160"/>
  <c r="AB33" i="160" s="1"/>
  <c r="AA33" i="160"/>
  <c r="Z33" i="160"/>
  <c r="Y33" i="160"/>
  <c r="X33" i="160"/>
  <c r="W33" i="160"/>
  <c r="V33" i="160"/>
  <c r="U33" i="160"/>
  <c r="T33" i="160"/>
  <c r="S33" i="160"/>
  <c r="R33" i="160"/>
  <c r="Q33" i="160"/>
  <c r="P33" i="160"/>
  <c r="O33" i="160"/>
  <c r="N33" i="160"/>
  <c r="M33" i="160"/>
  <c r="L33" i="160"/>
  <c r="K33" i="160"/>
  <c r="H33" i="160"/>
  <c r="G33" i="160"/>
  <c r="F33" i="160"/>
  <c r="E33" i="160"/>
  <c r="B33" i="160"/>
  <c r="AE32" i="160"/>
  <c r="AD32" i="160"/>
  <c r="AB32" i="160" s="1"/>
  <c r="AC32" i="160"/>
  <c r="AA32" i="160"/>
  <c r="Z32" i="160"/>
  <c r="Y32" i="160"/>
  <c r="X32" i="160"/>
  <c r="W32" i="160"/>
  <c r="V32" i="160"/>
  <c r="U32" i="160"/>
  <c r="T32" i="160"/>
  <c r="S32" i="160"/>
  <c r="R32" i="160"/>
  <c r="Q32" i="160"/>
  <c r="P32" i="160"/>
  <c r="O32" i="160"/>
  <c r="M32" i="160"/>
  <c r="L32" i="160"/>
  <c r="K32" i="160"/>
  <c r="H32" i="160"/>
  <c r="G32" i="160"/>
  <c r="F32" i="160"/>
  <c r="E32" i="160"/>
  <c r="B32" i="160"/>
  <c r="AE31" i="160"/>
  <c r="AD31" i="160"/>
  <c r="AC31" i="160"/>
  <c r="AA31" i="160"/>
  <c r="Z31" i="160"/>
  <c r="Y31" i="160"/>
  <c r="X31" i="160"/>
  <c r="W31" i="160"/>
  <c r="V31" i="160"/>
  <c r="U31" i="160"/>
  <c r="T31" i="160"/>
  <c r="S31" i="160"/>
  <c r="R31" i="160"/>
  <c r="Q31" i="160"/>
  <c r="P31" i="160"/>
  <c r="O31" i="160"/>
  <c r="N31" i="160"/>
  <c r="M31" i="160"/>
  <c r="L31" i="160"/>
  <c r="K31" i="160"/>
  <c r="H31" i="160"/>
  <c r="G31" i="160"/>
  <c r="F31" i="160"/>
  <c r="E31" i="160"/>
  <c r="B31" i="160"/>
  <c r="AE30" i="160"/>
  <c r="AC30" i="160"/>
  <c r="AA30" i="160"/>
  <c r="Z30" i="160"/>
  <c r="Y30" i="160"/>
  <c r="X30" i="160"/>
  <c r="W30" i="160"/>
  <c r="V30" i="160"/>
  <c r="U30" i="160"/>
  <c r="T30" i="160"/>
  <c r="S30" i="160"/>
  <c r="R30" i="160"/>
  <c r="Q30" i="160"/>
  <c r="P30" i="160"/>
  <c r="O30" i="160"/>
  <c r="N30" i="160"/>
  <c r="M30" i="160"/>
  <c r="L30" i="160"/>
  <c r="K30" i="160"/>
  <c r="H30" i="160"/>
  <c r="G30" i="160"/>
  <c r="F30" i="160"/>
  <c r="E30" i="160"/>
  <c r="B30" i="160"/>
  <c r="AE29" i="160"/>
  <c r="AC29" i="160"/>
  <c r="AA29" i="160"/>
  <c r="Z29" i="160"/>
  <c r="Y29" i="160"/>
  <c r="X29" i="160"/>
  <c r="W29" i="160"/>
  <c r="V29" i="160"/>
  <c r="U29" i="160"/>
  <c r="T29" i="160"/>
  <c r="S29" i="160"/>
  <c r="R29" i="160"/>
  <c r="Q29" i="160"/>
  <c r="P29" i="160"/>
  <c r="O29" i="160"/>
  <c r="N29" i="160"/>
  <c r="M29" i="160"/>
  <c r="L29" i="160"/>
  <c r="K29" i="160"/>
  <c r="H29" i="160"/>
  <c r="G29" i="160"/>
  <c r="F29" i="160"/>
  <c r="E29" i="160"/>
  <c r="B29" i="160"/>
  <c r="AE28" i="160"/>
  <c r="AD28" i="160"/>
  <c r="AC28" i="160"/>
  <c r="AB28" i="160" s="1"/>
  <c r="AA28" i="160"/>
  <c r="Z28" i="160"/>
  <c r="Y28" i="160"/>
  <c r="X28" i="160"/>
  <c r="W28" i="160"/>
  <c r="V28" i="160"/>
  <c r="U28" i="160"/>
  <c r="S28" i="160"/>
  <c r="R28" i="160"/>
  <c r="Q28" i="160"/>
  <c r="P28" i="160"/>
  <c r="O28" i="160"/>
  <c r="M28" i="160"/>
  <c r="L28" i="160"/>
  <c r="H28" i="160"/>
  <c r="G28" i="160"/>
  <c r="F28" i="160"/>
  <c r="E28" i="160"/>
  <c r="B28" i="160"/>
  <c r="AE27" i="160"/>
  <c r="AD27" i="160"/>
  <c r="AC27" i="160"/>
  <c r="AA27" i="160"/>
  <c r="Z27" i="160"/>
  <c r="Y27" i="160"/>
  <c r="X27" i="160"/>
  <c r="W27" i="160"/>
  <c r="V27" i="160"/>
  <c r="U27" i="160"/>
  <c r="T27" i="160"/>
  <c r="S27" i="160"/>
  <c r="R27" i="160"/>
  <c r="Q27" i="160"/>
  <c r="P27" i="160"/>
  <c r="O27" i="160"/>
  <c r="N27" i="160"/>
  <c r="M27" i="160"/>
  <c r="L27" i="160"/>
  <c r="K27" i="160"/>
  <c r="H27" i="160"/>
  <c r="G27" i="160"/>
  <c r="F27" i="160"/>
  <c r="E27" i="160"/>
  <c r="B27" i="160"/>
  <c r="AE26" i="160"/>
  <c r="AD26" i="160"/>
  <c r="AC26" i="160"/>
  <c r="AB26" i="160" s="1"/>
  <c r="AA26" i="160"/>
  <c r="Z26" i="160"/>
  <c r="Y26" i="160"/>
  <c r="X26" i="160"/>
  <c r="W26" i="160"/>
  <c r="V26" i="160"/>
  <c r="U26" i="160"/>
  <c r="T26" i="160"/>
  <c r="S26" i="160"/>
  <c r="R26" i="160"/>
  <c r="Q26" i="160"/>
  <c r="P26" i="160"/>
  <c r="O26" i="160"/>
  <c r="N26" i="160"/>
  <c r="M26" i="160"/>
  <c r="K26" i="160"/>
  <c r="H26" i="160"/>
  <c r="G26" i="160"/>
  <c r="F26" i="160"/>
  <c r="E26" i="160"/>
  <c r="B26" i="160"/>
  <c r="AE25" i="160"/>
  <c r="AD25" i="160"/>
  <c r="AC25" i="160"/>
  <c r="AB25" i="160"/>
  <c r="AA25" i="160"/>
  <c r="Z25" i="160"/>
  <c r="Y25" i="160"/>
  <c r="X25" i="160"/>
  <c r="W25" i="160"/>
  <c r="V25" i="160"/>
  <c r="U25" i="160"/>
  <c r="T25" i="160"/>
  <c r="S25" i="160"/>
  <c r="R25" i="160"/>
  <c r="Q25" i="160"/>
  <c r="P25" i="160"/>
  <c r="O25" i="160"/>
  <c r="M25" i="160"/>
  <c r="L25" i="160"/>
  <c r="K25" i="160"/>
  <c r="H25" i="160"/>
  <c r="G25" i="160"/>
  <c r="F25" i="160"/>
  <c r="D25" i="160" s="1"/>
  <c r="E25" i="160"/>
  <c r="B25" i="160"/>
  <c r="AE24" i="160"/>
  <c r="AD24" i="160"/>
  <c r="AC24" i="160"/>
  <c r="AB24" i="160" s="1"/>
  <c r="AA24" i="160"/>
  <c r="Z24" i="160"/>
  <c r="Y24" i="160"/>
  <c r="X24" i="160"/>
  <c r="W24" i="160"/>
  <c r="V24" i="160"/>
  <c r="U24" i="160"/>
  <c r="T24" i="160"/>
  <c r="S24" i="160"/>
  <c r="R24" i="160"/>
  <c r="Q24" i="160"/>
  <c r="P24" i="160"/>
  <c r="O24" i="160"/>
  <c r="N24" i="160"/>
  <c r="M24" i="160"/>
  <c r="L24" i="160"/>
  <c r="K24" i="160"/>
  <c r="H24" i="160"/>
  <c r="G24" i="160"/>
  <c r="F24" i="160"/>
  <c r="E24" i="160"/>
  <c r="B24" i="160"/>
  <c r="AE23" i="160"/>
  <c r="AD23" i="160"/>
  <c r="AB23" i="160" s="1"/>
  <c r="AC23" i="160"/>
  <c r="AA23" i="160"/>
  <c r="Z23" i="160"/>
  <c r="Y23" i="160"/>
  <c r="X23" i="160"/>
  <c r="W23" i="160"/>
  <c r="V23" i="160"/>
  <c r="U23" i="160"/>
  <c r="S23" i="160"/>
  <c r="R23" i="160"/>
  <c r="Q23" i="160"/>
  <c r="P23" i="160"/>
  <c r="O23" i="160"/>
  <c r="N23" i="160"/>
  <c r="M23" i="160"/>
  <c r="L23" i="160"/>
  <c r="K23" i="160"/>
  <c r="H23" i="160"/>
  <c r="G23" i="160"/>
  <c r="F23" i="160"/>
  <c r="E23" i="160"/>
  <c r="D23" i="160" s="1"/>
  <c r="B23" i="160"/>
  <c r="AE22" i="160"/>
  <c r="AD22" i="160"/>
  <c r="AC22" i="160"/>
  <c r="AB22" i="160" s="1"/>
  <c r="AA22" i="160"/>
  <c r="Z22" i="160"/>
  <c r="Y22" i="160"/>
  <c r="X22" i="160"/>
  <c r="W22" i="160"/>
  <c r="V22" i="160"/>
  <c r="U22" i="160"/>
  <c r="T22" i="160"/>
  <c r="S22" i="160"/>
  <c r="R22" i="160"/>
  <c r="Q22" i="160"/>
  <c r="P22" i="160"/>
  <c r="O22" i="160"/>
  <c r="N22" i="160"/>
  <c r="M22" i="160"/>
  <c r="L22" i="160"/>
  <c r="K22" i="160"/>
  <c r="H22" i="160"/>
  <c r="G22" i="160"/>
  <c r="F22" i="160"/>
  <c r="E22" i="160"/>
  <c r="B22" i="160"/>
  <c r="AE21" i="160"/>
  <c r="AD21" i="160"/>
  <c r="AC21" i="160"/>
  <c r="AB21" i="160" s="1"/>
  <c r="AA21" i="160"/>
  <c r="Z21" i="160"/>
  <c r="Y21" i="160"/>
  <c r="X21" i="160"/>
  <c r="W21" i="160"/>
  <c r="V21" i="160"/>
  <c r="U21" i="160"/>
  <c r="T21" i="160"/>
  <c r="S21" i="160"/>
  <c r="R21" i="160"/>
  <c r="Q21" i="160"/>
  <c r="P21" i="160"/>
  <c r="O21" i="160"/>
  <c r="N21" i="160"/>
  <c r="M21" i="160"/>
  <c r="L21" i="160"/>
  <c r="K21" i="160"/>
  <c r="H21" i="160"/>
  <c r="G21" i="160"/>
  <c r="F21" i="160"/>
  <c r="E21" i="160"/>
  <c r="B21" i="160"/>
  <c r="AE20" i="160"/>
  <c r="AD20" i="160"/>
  <c r="AC20" i="160"/>
  <c r="AB20" i="160" s="1"/>
  <c r="AA20" i="160"/>
  <c r="Z20" i="160"/>
  <c r="Y20" i="160"/>
  <c r="X20" i="160"/>
  <c r="W20" i="160"/>
  <c r="V20" i="160"/>
  <c r="U20" i="160"/>
  <c r="T20" i="160"/>
  <c r="S20" i="160"/>
  <c r="R20" i="160"/>
  <c r="Q20" i="160"/>
  <c r="P20" i="160"/>
  <c r="O20" i="160"/>
  <c r="N20" i="160"/>
  <c r="M20" i="160"/>
  <c r="L20" i="160"/>
  <c r="K20" i="160"/>
  <c r="H20" i="160"/>
  <c r="G20" i="160"/>
  <c r="F20" i="160"/>
  <c r="E20" i="160"/>
  <c r="B20" i="160"/>
  <c r="AE19" i="160"/>
  <c r="AD19" i="160"/>
  <c r="AC19" i="160"/>
  <c r="AA19" i="160"/>
  <c r="Z19" i="160"/>
  <c r="Y19" i="160"/>
  <c r="X19" i="160"/>
  <c r="W19" i="160"/>
  <c r="V19" i="160"/>
  <c r="U19" i="160"/>
  <c r="T19" i="160"/>
  <c r="S19" i="160"/>
  <c r="R19" i="160"/>
  <c r="Q19" i="160"/>
  <c r="P19" i="160"/>
  <c r="O19" i="160"/>
  <c r="N19" i="160"/>
  <c r="M19" i="160"/>
  <c r="L19" i="160"/>
  <c r="K19" i="160"/>
  <c r="J19" i="160" s="1"/>
  <c r="H19" i="160"/>
  <c r="G19" i="160"/>
  <c r="F19" i="160"/>
  <c r="E19" i="160"/>
  <c r="B19" i="160"/>
  <c r="AE18" i="160"/>
  <c r="AD18" i="160"/>
  <c r="AC18" i="160"/>
  <c r="AA18" i="160"/>
  <c r="Z18" i="160"/>
  <c r="Y18" i="160"/>
  <c r="X18" i="160"/>
  <c r="W18" i="160"/>
  <c r="V18" i="160"/>
  <c r="U18" i="160"/>
  <c r="S18" i="160"/>
  <c r="R18" i="160"/>
  <c r="Q18" i="160"/>
  <c r="P18" i="160"/>
  <c r="O18" i="160"/>
  <c r="N18" i="160"/>
  <c r="M18" i="160"/>
  <c r="L18" i="160"/>
  <c r="K18" i="160"/>
  <c r="H18" i="160"/>
  <c r="G18" i="160"/>
  <c r="F18" i="160"/>
  <c r="E18" i="160"/>
  <c r="D18" i="160" s="1"/>
  <c r="B18" i="160"/>
  <c r="AE17" i="160"/>
  <c r="AD17" i="160"/>
  <c r="AC17" i="160"/>
  <c r="AB17" i="160"/>
  <c r="AA17" i="160"/>
  <c r="Z17" i="160"/>
  <c r="Y17" i="160"/>
  <c r="X17" i="160"/>
  <c r="W17" i="160"/>
  <c r="V17" i="160"/>
  <c r="U17" i="160"/>
  <c r="S17" i="160"/>
  <c r="R17" i="160"/>
  <c r="Q17" i="160"/>
  <c r="P17" i="160"/>
  <c r="O17" i="160"/>
  <c r="N17" i="160"/>
  <c r="M17" i="160"/>
  <c r="L17" i="160"/>
  <c r="K17" i="160"/>
  <c r="H17" i="160"/>
  <c r="G17" i="160"/>
  <c r="F17" i="160"/>
  <c r="E17" i="160"/>
  <c r="B17" i="160"/>
  <c r="AE16" i="160"/>
  <c r="AC16" i="160"/>
  <c r="AA16" i="160"/>
  <c r="Z16" i="160"/>
  <c r="Y16" i="160"/>
  <c r="X16" i="160"/>
  <c r="W16" i="160"/>
  <c r="V16" i="160"/>
  <c r="U16" i="160"/>
  <c r="T16" i="160"/>
  <c r="S16" i="160"/>
  <c r="R16" i="160"/>
  <c r="Q16" i="160"/>
  <c r="P16" i="160"/>
  <c r="O16" i="160"/>
  <c r="N16" i="160"/>
  <c r="M16" i="160"/>
  <c r="L16" i="160"/>
  <c r="K16" i="160"/>
  <c r="H16" i="160"/>
  <c r="G16" i="160"/>
  <c r="F16" i="160"/>
  <c r="E16" i="160"/>
  <c r="B16" i="160"/>
  <c r="AE15" i="160"/>
  <c r="AC15" i="160"/>
  <c r="AA15" i="160"/>
  <c r="Z15" i="160"/>
  <c r="Y15" i="160"/>
  <c r="X15" i="160"/>
  <c r="W15" i="160"/>
  <c r="V15" i="160"/>
  <c r="U15" i="160"/>
  <c r="S15" i="160"/>
  <c r="R15" i="160"/>
  <c r="Q15" i="160"/>
  <c r="P15" i="160"/>
  <c r="O15" i="160"/>
  <c r="M15" i="160"/>
  <c r="H15" i="160"/>
  <c r="G15" i="160"/>
  <c r="F15" i="160"/>
  <c r="E15" i="160"/>
  <c r="D15" i="160" s="1"/>
  <c r="B15" i="160"/>
  <c r="AE14" i="160"/>
  <c r="AD14" i="160"/>
  <c r="AC14" i="160"/>
  <c r="AB14" i="160" s="1"/>
  <c r="AA14" i="160"/>
  <c r="Z14" i="160"/>
  <c r="Y14" i="160"/>
  <c r="X14" i="160"/>
  <c r="W14" i="160"/>
  <c r="V14" i="160"/>
  <c r="U14" i="160"/>
  <c r="T14" i="160"/>
  <c r="S14" i="160"/>
  <c r="R14" i="160"/>
  <c r="Q14" i="160"/>
  <c r="P14" i="160"/>
  <c r="O14" i="160"/>
  <c r="N14" i="160"/>
  <c r="M14" i="160"/>
  <c r="L14" i="160"/>
  <c r="K14" i="160"/>
  <c r="H14" i="160"/>
  <c r="G14" i="160"/>
  <c r="G11" i="160" s="1"/>
  <c r="F14" i="160"/>
  <c r="E14" i="160"/>
  <c r="B14" i="160"/>
  <c r="AE13" i="160"/>
  <c r="AD13" i="160"/>
  <c r="AC13" i="160"/>
  <c r="AA13" i="160"/>
  <c r="Z13" i="160"/>
  <c r="Y13" i="160"/>
  <c r="X13" i="160"/>
  <c r="W13" i="160"/>
  <c r="V13" i="160"/>
  <c r="U13" i="160"/>
  <c r="T13" i="160"/>
  <c r="S13" i="160"/>
  <c r="R13" i="160"/>
  <c r="Q13" i="160"/>
  <c r="P13" i="160"/>
  <c r="O13" i="160"/>
  <c r="N13" i="160"/>
  <c r="M13" i="160"/>
  <c r="L13" i="160"/>
  <c r="K13" i="160"/>
  <c r="H13" i="160"/>
  <c r="G13" i="160"/>
  <c r="F13" i="160"/>
  <c r="E13" i="160"/>
  <c r="B13" i="160"/>
  <c r="AE12" i="160"/>
  <c r="AD12" i="160"/>
  <c r="AC12" i="160"/>
  <c r="AB12" i="160" s="1"/>
  <c r="AA12" i="160"/>
  <c r="Z12" i="160"/>
  <c r="Y12" i="160"/>
  <c r="X12" i="160"/>
  <c r="W12" i="160"/>
  <c r="V12" i="160"/>
  <c r="U12" i="160"/>
  <c r="T12" i="160"/>
  <c r="S12" i="160"/>
  <c r="R12" i="160"/>
  <c r="Q12" i="160"/>
  <c r="P12" i="160"/>
  <c r="M12" i="160"/>
  <c r="L12" i="160"/>
  <c r="K12" i="160"/>
  <c r="H12" i="160"/>
  <c r="G12" i="160"/>
  <c r="F12" i="160"/>
  <c r="E12" i="160"/>
  <c r="B12" i="160"/>
  <c r="B11" i="160"/>
  <c r="B10" i="160"/>
  <c r="I9" i="160"/>
  <c r="V8" i="160"/>
  <c r="U8" i="160"/>
  <c r="T8" i="160"/>
  <c r="S8" i="160"/>
  <c r="R8" i="160"/>
  <c r="Q8" i="160"/>
  <c r="P8" i="160"/>
  <c r="O8" i="160"/>
  <c r="N8" i="160"/>
  <c r="M8" i="160"/>
  <c r="L8" i="160"/>
  <c r="AA6" i="160"/>
  <c r="C20" i="86"/>
  <c r="B20" i="86"/>
  <c r="B37" i="123"/>
  <c r="D18" i="123"/>
  <c r="E22" i="85"/>
  <c r="E35" i="84"/>
  <c r="J40" i="160" l="1"/>
  <c r="M11" i="161"/>
  <c r="H60" i="161"/>
  <c r="O48" i="160"/>
  <c r="D25" i="161"/>
  <c r="AB107" i="161"/>
  <c r="AB66" i="160"/>
  <c r="J107" i="161"/>
  <c r="Y11" i="160"/>
  <c r="G42" i="160"/>
  <c r="AC11" i="161"/>
  <c r="J55" i="161"/>
  <c r="C55" i="161" s="1"/>
  <c r="AB35" i="160"/>
  <c r="C46" i="160"/>
  <c r="J111" i="160"/>
  <c r="D18" i="161"/>
  <c r="AB20" i="161"/>
  <c r="J29" i="161"/>
  <c r="AB52" i="161"/>
  <c r="O48" i="161"/>
  <c r="D59" i="161"/>
  <c r="R60" i="161"/>
  <c r="AB40" i="161"/>
  <c r="C34" i="160"/>
  <c r="D105" i="160"/>
  <c r="J118" i="161"/>
  <c r="J21" i="160"/>
  <c r="U11" i="160"/>
  <c r="J20" i="160"/>
  <c r="AB42" i="161"/>
  <c r="F11" i="160"/>
  <c r="V11" i="160"/>
  <c r="J29" i="160"/>
  <c r="J34" i="161"/>
  <c r="J79" i="161"/>
  <c r="C79" i="161" s="1"/>
  <c r="D64" i="160"/>
  <c r="J35" i="161"/>
  <c r="C35" i="161" s="1"/>
  <c r="S48" i="161"/>
  <c r="W11" i="160"/>
  <c r="AB18" i="160"/>
  <c r="J22" i="160"/>
  <c r="J30" i="160"/>
  <c r="H11" i="160"/>
  <c r="D47" i="160"/>
  <c r="AB52" i="160"/>
  <c r="J55" i="160"/>
  <c r="J24" i="161"/>
  <c r="C24" i="161" s="1"/>
  <c r="J37" i="161"/>
  <c r="D44" i="161"/>
  <c r="V48" i="161"/>
  <c r="G48" i="161"/>
  <c r="G41" i="161" s="1"/>
  <c r="J54" i="161"/>
  <c r="M56" i="161"/>
  <c r="P60" i="161"/>
  <c r="D77" i="161"/>
  <c r="V56" i="160"/>
  <c r="D97" i="160"/>
  <c r="X11" i="160"/>
  <c r="J14" i="160"/>
  <c r="D33" i="160"/>
  <c r="O42" i="160"/>
  <c r="J45" i="160"/>
  <c r="U42" i="160"/>
  <c r="AE48" i="160"/>
  <c r="S48" i="160"/>
  <c r="D67" i="160"/>
  <c r="Q60" i="160"/>
  <c r="D98" i="160"/>
  <c r="U11" i="161"/>
  <c r="D33" i="161"/>
  <c r="AB34" i="161"/>
  <c r="D45" i="161"/>
  <c r="S42" i="161"/>
  <c r="S41" i="161" s="1"/>
  <c r="H48" i="161"/>
  <c r="D52" i="161"/>
  <c r="D53" i="161"/>
  <c r="C53" i="161" s="1"/>
  <c r="AE56" i="161"/>
  <c r="N56" i="161"/>
  <c r="Q60" i="161"/>
  <c r="D68" i="161"/>
  <c r="D69" i="161"/>
  <c r="J112" i="161"/>
  <c r="U60" i="160"/>
  <c r="Z11" i="160"/>
  <c r="D17" i="160"/>
  <c r="AB19" i="160"/>
  <c r="AB27" i="160"/>
  <c r="D36" i="160"/>
  <c r="J46" i="160"/>
  <c r="D99" i="160"/>
  <c r="D13" i="161"/>
  <c r="D20" i="161"/>
  <c r="D21" i="161"/>
  <c r="D34" i="161"/>
  <c r="AB35" i="161"/>
  <c r="D39" i="161"/>
  <c r="F48" i="161"/>
  <c r="E60" i="161"/>
  <c r="D105" i="161"/>
  <c r="AB67" i="160"/>
  <c r="E48" i="161"/>
  <c r="D61" i="161"/>
  <c r="D98" i="161"/>
  <c r="AA11" i="160"/>
  <c r="K56" i="160"/>
  <c r="AD60" i="160"/>
  <c r="M60" i="160"/>
  <c r="J79" i="160"/>
  <c r="C79" i="160" s="1"/>
  <c r="H42" i="161"/>
  <c r="J51" i="161"/>
  <c r="J116" i="161"/>
  <c r="U48" i="161"/>
  <c r="U41" i="161" s="1"/>
  <c r="J16" i="160"/>
  <c r="D26" i="160"/>
  <c r="J27" i="160"/>
  <c r="G48" i="160"/>
  <c r="D50" i="160"/>
  <c r="D51" i="160"/>
  <c r="AB54" i="160"/>
  <c r="AB62" i="160"/>
  <c r="AB60" i="160" s="1"/>
  <c r="D77" i="160"/>
  <c r="D117" i="160"/>
  <c r="F11" i="161"/>
  <c r="AB31" i="161"/>
  <c r="J33" i="161"/>
  <c r="E42" i="161"/>
  <c r="D58" i="161"/>
  <c r="S56" i="161"/>
  <c r="AD56" i="161"/>
  <c r="U60" i="161"/>
  <c r="AB65" i="161"/>
  <c r="W60" i="161"/>
  <c r="D106" i="161"/>
  <c r="I9" i="161"/>
  <c r="D95" i="161"/>
  <c r="P11" i="160"/>
  <c r="AB13" i="160"/>
  <c r="D19" i="160"/>
  <c r="J24" i="160"/>
  <c r="AB31" i="160"/>
  <c r="AB39" i="160"/>
  <c r="AB44" i="160"/>
  <c r="P56" i="160"/>
  <c r="T60" i="160"/>
  <c r="AB63" i="160"/>
  <c r="D90" i="160"/>
  <c r="D107" i="160"/>
  <c r="J112" i="160"/>
  <c r="D116" i="160"/>
  <c r="J19" i="161"/>
  <c r="D29" i="161"/>
  <c r="J31" i="161"/>
  <c r="J38" i="161"/>
  <c r="AC42" i="161"/>
  <c r="O42" i="161"/>
  <c r="O41" i="161" s="1"/>
  <c r="N48" i="161"/>
  <c r="D54" i="161"/>
  <c r="G60" i="161"/>
  <c r="T60" i="161"/>
  <c r="D97" i="161"/>
  <c r="D102" i="161"/>
  <c r="AB111" i="161"/>
  <c r="R11" i="160"/>
  <c r="D20" i="160"/>
  <c r="C20" i="160" s="1"/>
  <c r="D27" i="160"/>
  <c r="D28" i="160"/>
  <c r="J34" i="160"/>
  <c r="AB40" i="160"/>
  <c r="D43" i="160"/>
  <c r="AE42" i="160"/>
  <c r="P42" i="160"/>
  <c r="P41" i="160" s="1"/>
  <c r="AB45" i="160"/>
  <c r="AB64" i="160"/>
  <c r="D108" i="160"/>
  <c r="J113" i="160"/>
  <c r="D118" i="160"/>
  <c r="V11" i="161"/>
  <c r="AB18" i="161"/>
  <c r="D28" i="161"/>
  <c r="J40" i="161"/>
  <c r="L42" i="161"/>
  <c r="U42" i="161"/>
  <c r="D47" i="161"/>
  <c r="AB49" i="161"/>
  <c r="E56" i="161"/>
  <c r="Z60" i="161"/>
  <c r="D65" i="161"/>
  <c r="J105" i="161"/>
  <c r="J117" i="161"/>
  <c r="C117" i="161" s="1"/>
  <c r="AB53" i="161"/>
  <c r="E11" i="160"/>
  <c r="D21" i="160"/>
  <c r="C21" i="160" s="1"/>
  <c r="D29" i="160"/>
  <c r="J35" i="160"/>
  <c r="C35" i="160" s="1"/>
  <c r="K48" i="160"/>
  <c r="D55" i="160"/>
  <c r="C55" i="160" s="1"/>
  <c r="E56" i="160"/>
  <c r="R56" i="160"/>
  <c r="H60" i="160"/>
  <c r="D62" i="160"/>
  <c r="G60" i="160"/>
  <c r="J14" i="161"/>
  <c r="J22" i="161"/>
  <c r="D30" i="161"/>
  <c r="AD48" i="161"/>
  <c r="AD41" i="161" s="1"/>
  <c r="P48" i="161"/>
  <c r="P41" i="161" s="1"/>
  <c r="J108" i="161"/>
  <c r="P48" i="160"/>
  <c r="W60" i="160"/>
  <c r="J30" i="161"/>
  <c r="S11" i="160"/>
  <c r="Q11" i="160"/>
  <c r="D13" i="160"/>
  <c r="D31" i="160"/>
  <c r="J37" i="160"/>
  <c r="C37" i="160" s="1"/>
  <c r="AE11" i="160"/>
  <c r="H42" i="160"/>
  <c r="AB47" i="160"/>
  <c r="J51" i="160"/>
  <c r="D58" i="160"/>
  <c r="AB59" i="160"/>
  <c r="D63" i="160"/>
  <c r="D96" i="160"/>
  <c r="AB111" i="160"/>
  <c r="J116" i="160"/>
  <c r="J117" i="160"/>
  <c r="D17" i="161"/>
  <c r="AB19" i="161"/>
  <c r="D36" i="161"/>
  <c r="AB39" i="161"/>
  <c r="J53" i="161"/>
  <c r="K56" i="161"/>
  <c r="M60" i="161"/>
  <c r="X60" i="161"/>
  <c r="M11" i="160"/>
  <c r="K42" i="161"/>
  <c r="J45" i="161"/>
  <c r="P11" i="161"/>
  <c r="X11" i="161"/>
  <c r="C33" i="161"/>
  <c r="C37" i="161"/>
  <c r="D51" i="161"/>
  <c r="C51" i="161" s="1"/>
  <c r="C54" i="161"/>
  <c r="AC60" i="161"/>
  <c r="AB62" i="161"/>
  <c r="AB60" i="161" s="1"/>
  <c r="F60" i="161"/>
  <c r="D12" i="161"/>
  <c r="G11" i="161"/>
  <c r="Q11" i="161"/>
  <c r="Y11" i="161"/>
  <c r="AE11" i="161"/>
  <c r="C22" i="161"/>
  <c r="C34" i="161"/>
  <c r="C38" i="161"/>
  <c r="AD60" i="161"/>
  <c r="D66" i="161"/>
  <c r="J104" i="161"/>
  <c r="J111" i="161"/>
  <c r="H11" i="161"/>
  <c r="E11" i="161"/>
  <c r="D14" i="161"/>
  <c r="C14" i="161" s="1"/>
  <c r="W11" i="161"/>
  <c r="J16" i="161"/>
  <c r="J20" i="161"/>
  <c r="C20" i="161" s="1"/>
  <c r="D31" i="161"/>
  <c r="C40" i="161"/>
  <c r="C45" i="161"/>
  <c r="F56" i="161"/>
  <c r="D107" i="161"/>
  <c r="Z11" i="161"/>
  <c r="D15" i="161"/>
  <c r="J21" i="161"/>
  <c r="C21" i="161" s="1"/>
  <c r="Q42" i="161"/>
  <c r="J44" i="161"/>
  <c r="C44" i="161" s="1"/>
  <c r="J46" i="161"/>
  <c r="M42" i="161"/>
  <c r="K48" i="161"/>
  <c r="J13" i="161"/>
  <c r="C13" i="161" s="1"/>
  <c r="S11" i="161"/>
  <c r="AA11" i="161"/>
  <c r="C19" i="161"/>
  <c r="D23" i="161"/>
  <c r="C27" i="161"/>
  <c r="H41" i="161"/>
  <c r="R41" i="161"/>
  <c r="C46" i="161"/>
  <c r="N41" i="161"/>
  <c r="V41" i="161"/>
  <c r="AC48" i="161"/>
  <c r="AB50" i="161"/>
  <c r="K60" i="161"/>
  <c r="S60" i="161"/>
  <c r="AA60" i="161"/>
  <c r="D63" i="161"/>
  <c r="J113" i="161"/>
  <c r="D56" i="161"/>
  <c r="AC56" i="161"/>
  <c r="AB59" i="161"/>
  <c r="AB56" i="161" s="1"/>
  <c r="R11" i="161"/>
  <c r="D43" i="161"/>
  <c r="F42" i="161"/>
  <c r="F41" i="161" s="1"/>
  <c r="L48" i="161"/>
  <c r="L41" i="161" s="1"/>
  <c r="J13" i="160"/>
  <c r="C13" i="160" s="1"/>
  <c r="D38" i="160"/>
  <c r="K42" i="160"/>
  <c r="J44" i="160"/>
  <c r="S42" i="160"/>
  <c r="F48" i="160"/>
  <c r="U48" i="160"/>
  <c r="AE60" i="160"/>
  <c r="AC11" i="160"/>
  <c r="AD42" i="160"/>
  <c r="AC48" i="160"/>
  <c r="D53" i="160"/>
  <c r="D56" i="160"/>
  <c r="E60" i="160"/>
  <c r="D61" i="160"/>
  <c r="F60" i="160"/>
  <c r="P60" i="160"/>
  <c r="X60" i="160"/>
  <c r="D102" i="160"/>
  <c r="J108" i="160"/>
  <c r="D39" i="160"/>
  <c r="C40" i="160"/>
  <c r="O41" i="160"/>
  <c r="AB51" i="160"/>
  <c r="AB48" i="160" s="1"/>
  <c r="F56" i="160"/>
  <c r="D32" i="160"/>
  <c r="F42" i="160"/>
  <c r="F41" i="160" s="1"/>
  <c r="R60" i="160"/>
  <c r="Z60" i="160"/>
  <c r="D14" i="160"/>
  <c r="C14" i="160" s="1"/>
  <c r="D16" i="160"/>
  <c r="D22" i="160"/>
  <c r="D24" i="160"/>
  <c r="C24" i="160" s="1"/>
  <c r="D30" i="160"/>
  <c r="J33" i="160"/>
  <c r="C33" i="160" s="1"/>
  <c r="J38" i="160"/>
  <c r="AC42" i="160"/>
  <c r="Q42" i="160"/>
  <c r="D44" i="160"/>
  <c r="H48" i="160"/>
  <c r="E48" i="160"/>
  <c r="E41" i="160" s="1"/>
  <c r="N48" i="160"/>
  <c r="N41" i="160" s="1"/>
  <c r="V48" i="160"/>
  <c r="V41" i="160" s="1"/>
  <c r="AB57" i="160"/>
  <c r="AB56" i="160" s="1"/>
  <c r="L60" i="160"/>
  <c r="D66" i="160"/>
  <c r="J105" i="160"/>
  <c r="D54" i="160"/>
  <c r="D12" i="160"/>
  <c r="J31" i="160"/>
  <c r="C31" i="160" s="1"/>
  <c r="C45" i="160"/>
  <c r="AD48" i="160"/>
  <c r="J53" i="160"/>
  <c r="AC60" i="160"/>
  <c r="D69" i="160"/>
  <c r="L42" i="160"/>
  <c r="L41" i="160" s="1"/>
  <c r="AB42" i="160"/>
  <c r="J54" i="160"/>
  <c r="AE56" i="160"/>
  <c r="K60" i="160"/>
  <c r="S60" i="160"/>
  <c r="AA60" i="160"/>
  <c r="C18" i="123"/>
  <c r="C22" i="160" l="1"/>
  <c r="C117" i="160"/>
  <c r="AE41" i="160"/>
  <c r="C19" i="160"/>
  <c r="H41" i="160"/>
  <c r="U41" i="160"/>
  <c r="C51" i="160"/>
  <c r="AB48" i="161"/>
  <c r="AB41" i="161" s="1"/>
  <c r="AC41" i="161"/>
  <c r="E41" i="161"/>
  <c r="G41" i="160"/>
  <c r="C44" i="160"/>
  <c r="S41" i="160"/>
  <c r="D48" i="161"/>
  <c r="C31" i="161"/>
  <c r="C27" i="160"/>
  <c r="AD41" i="160"/>
  <c r="K41" i="160"/>
  <c r="D42" i="161"/>
  <c r="D41" i="161" s="1"/>
  <c r="D11" i="161"/>
  <c r="K41" i="161"/>
  <c r="D60" i="161"/>
  <c r="AB41" i="160"/>
  <c r="D11" i="160"/>
  <c r="D60" i="160"/>
  <c r="C54" i="160"/>
  <c r="AC41" i="160"/>
  <c r="C53" i="160"/>
  <c r="C38" i="160"/>
  <c r="D42" i="160"/>
  <c r="D48" i="160"/>
  <c r="D41" i="160" l="1"/>
  <c r="AE46" i="1" l="1"/>
  <c r="AD118" i="159" l="1"/>
  <c r="AC118" i="159"/>
  <c r="AB118" i="159"/>
  <c r="AA118" i="159"/>
  <c r="Z118" i="159"/>
  <c r="Y118" i="159"/>
  <c r="X118" i="159"/>
  <c r="W118" i="159"/>
  <c r="V118" i="159"/>
  <c r="U118" i="159"/>
  <c r="T118" i="159"/>
  <c r="S118" i="159"/>
  <c r="R118" i="159"/>
  <c r="Q118" i="159"/>
  <c r="P118" i="159"/>
  <c r="O118" i="159"/>
  <c r="N118" i="159"/>
  <c r="M118" i="159"/>
  <c r="L118" i="159"/>
  <c r="K118" i="159"/>
  <c r="H118" i="159"/>
  <c r="G118" i="159"/>
  <c r="F118" i="159"/>
  <c r="E118" i="159"/>
  <c r="B118" i="159"/>
  <c r="AE117" i="159"/>
  <c r="AD117" i="159"/>
  <c r="AC117" i="159"/>
  <c r="AB117" i="159" s="1"/>
  <c r="AA117" i="159"/>
  <c r="Z117" i="159"/>
  <c r="Y117" i="159"/>
  <c r="X117" i="159"/>
  <c r="W117" i="159"/>
  <c r="V117" i="159"/>
  <c r="U117" i="159"/>
  <c r="T117" i="159"/>
  <c r="S117" i="159"/>
  <c r="R117" i="159"/>
  <c r="Q117" i="159"/>
  <c r="P117" i="159"/>
  <c r="O117" i="159"/>
  <c r="N117" i="159"/>
  <c r="M117" i="159"/>
  <c r="L117" i="159"/>
  <c r="K117" i="159"/>
  <c r="H117" i="159"/>
  <c r="G117" i="159"/>
  <c r="F117" i="159"/>
  <c r="E117" i="159"/>
  <c r="D117" i="159" s="1"/>
  <c r="B117" i="159"/>
  <c r="AE116" i="159"/>
  <c r="AD116" i="159"/>
  <c r="AA116" i="159"/>
  <c r="Z116" i="159"/>
  <c r="Y116" i="159"/>
  <c r="X116" i="159"/>
  <c r="W116" i="159"/>
  <c r="V116" i="159"/>
  <c r="U116" i="159"/>
  <c r="T116" i="159"/>
  <c r="S116" i="159"/>
  <c r="R116" i="159"/>
  <c r="Q116" i="159"/>
  <c r="P116" i="159"/>
  <c r="O116" i="159"/>
  <c r="N116" i="159"/>
  <c r="M116" i="159"/>
  <c r="L116" i="159"/>
  <c r="J116" i="159" s="1"/>
  <c r="K116" i="159"/>
  <c r="H116" i="159"/>
  <c r="G116" i="159"/>
  <c r="F116" i="159"/>
  <c r="E116" i="159"/>
  <c r="D116" i="159"/>
  <c r="B116" i="159"/>
  <c r="I115" i="159"/>
  <c r="H115" i="159"/>
  <c r="D115" i="159" s="1"/>
  <c r="C115" i="159" s="1"/>
  <c r="B115" i="159"/>
  <c r="AC114" i="159"/>
  <c r="I114" i="159"/>
  <c r="G114" i="159"/>
  <c r="F114" i="159"/>
  <c r="E114" i="159"/>
  <c r="B114" i="159"/>
  <c r="AE113" i="159"/>
  <c r="AD113" i="159"/>
  <c r="AC113" i="159"/>
  <c r="AB113" i="159" s="1"/>
  <c r="AA113" i="159"/>
  <c r="Z113" i="159"/>
  <c r="Y113" i="159"/>
  <c r="X113" i="159"/>
  <c r="W113" i="159"/>
  <c r="V113" i="159"/>
  <c r="U113" i="159"/>
  <c r="T113" i="159"/>
  <c r="S113" i="159"/>
  <c r="R113" i="159"/>
  <c r="Q113" i="159"/>
  <c r="P113" i="159"/>
  <c r="O113" i="159"/>
  <c r="N113" i="159"/>
  <c r="M113" i="159"/>
  <c r="L113" i="159"/>
  <c r="J113" i="159" s="1"/>
  <c r="K113" i="159"/>
  <c r="H113" i="159"/>
  <c r="F113" i="159"/>
  <c r="E113" i="159"/>
  <c r="B113" i="159"/>
  <c r="AE112" i="159"/>
  <c r="AD112" i="159"/>
  <c r="AC112" i="159"/>
  <c r="AB112" i="159" s="1"/>
  <c r="AA112" i="159"/>
  <c r="Z112" i="159"/>
  <c r="Y112" i="159"/>
  <c r="X112" i="159"/>
  <c r="W112" i="159"/>
  <c r="V112" i="159"/>
  <c r="U112" i="159"/>
  <c r="T112" i="159"/>
  <c r="S112" i="159"/>
  <c r="R112" i="159"/>
  <c r="Q112" i="159"/>
  <c r="P112" i="159"/>
  <c r="O112" i="159"/>
  <c r="N112" i="159"/>
  <c r="M112" i="159"/>
  <c r="L112" i="159"/>
  <c r="K112" i="159"/>
  <c r="J112" i="159" s="1"/>
  <c r="H112" i="159"/>
  <c r="G112" i="159"/>
  <c r="E112" i="159"/>
  <c r="B112" i="159"/>
  <c r="AE111" i="159"/>
  <c r="AD111" i="159"/>
  <c r="AC111" i="159"/>
  <c r="AB111" i="159" s="1"/>
  <c r="AA111" i="159"/>
  <c r="Z111" i="159"/>
  <c r="Y111" i="159"/>
  <c r="X111" i="159"/>
  <c r="W111" i="159"/>
  <c r="V111" i="159"/>
  <c r="U111" i="159"/>
  <c r="T111" i="159"/>
  <c r="S111" i="159"/>
  <c r="R111" i="159"/>
  <c r="Q111" i="159"/>
  <c r="P111" i="159"/>
  <c r="O111" i="159"/>
  <c r="N111" i="159"/>
  <c r="M111" i="159"/>
  <c r="L111" i="159"/>
  <c r="K111" i="159"/>
  <c r="H111" i="159"/>
  <c r="G111" i="159"/>
  <c r="F111" i="159"/>
  <c r="B111" i="159"/>
  <c r="D110" i="159"/>
  <c r="C110" i="159" s="1"/>
  <c r="AA109" i="159"/>
  <c r="Y109" i="159"/>
  <c r="X109" i="159"/>
  <c r="AE108" i="159"/>
  <c r="AD108" i="159"/>
  <c r="AC108" i="159"/>
  <c r="AB108" i="159" s="1"/>
  <c r="AA108" i="159"/>
  <c r="Z108" i="159"/>
  <c r="Y108" i="159"/>
  <c r="W108" i="159"/>
  <c r="V108" i="159"/>
  <c r="U108" i="159"/>
  <c r="T108" i="159"/>
  <c r="S108" i="159"/>
  <c r="R108" i="159"/>
  <c r="Q108" i="159"/>
  <c r="P108" i="159"/>
  <c r="O108" i="159"/>
  <c r="N108" i="159"/>
  <c r="M108" i="159"/>
  <c r="L108" i="159"/>
  <c r="K108" i="159"/>
  <c r="H108" i="159"/>
  <c r="G108" i="159"/>
  <c r="F108" i="159"/>
  <c r="E108" i="159"/>
  <c r="B108" i="159"/>
  <c r="AE107" i="159"/>
  <c r="AD107" i="159"/>
  <c r="AC107" i="159"/>
  <c r="AB107" i="159" s="1"/>
  <c r="AA107" i="159"/>
  <c r="Z107" i="159"/>
  <c r="Y107" i="159"/>
  <c r="X107" i="159"/>
  <c r="V107" i="159"/>
  <c r="U107" i="159"/>
  <c r="T107" i="159"/>
  <c r="S107" i="159"/>
  <c r="R107" i="159"/>
  <c r="Q107" i="159"/>
  <c r="P107" i="159"/>
  <c r="O107" i="159"/>
  <c r="N107" i="159"/>
  <c r="M107" i="159"/>
  <c r="L107" i="159"/>
  <c r="K107" i="159"/>
  <c r="H107" i="159"/>
  <c r="G107" i="159"/>
  <c r="F107" i="159"/>
  <c r="E107" i="159"/>
  <c r="B107" i="159"/>
  <c r="AE106" i="159"/>
  <c r="AD106" i="159"/>
  <c r="AC106" i="159"/>
  <c r="AB106" i="159" s="1"/>
  <c r="AA106" i="159"/>
  <c r="Z106" i="159"/>
  <c r="Y106" i="159"/>
  <c r="X106" i="159"/>
  <c r="W106" i="159"/>
  <c r="H106" i="159"/>
  <c r="G106" i="159"/>
  <c r="F106" i="159"/>
  <c r="E106" i="159"/>
  <c r="D106" i="159" s="1"/>
  <c r="B106" i="159"/>
  <c r="AE105" i="159"/>
  <c r="AD105" i="159"/>
  <c r="AC105" i="159"/>
  <c r="AA105" i="159"/>
  <c r="Z105" i="159"/>
  <c r="Y105" i="159"/>
  <c r="X105" i="159"/>
  <c r="W105" i="159"/>
  <c r="V105" i="159"/>
  <c r="U105" i="159"/>
  <c r="T105" i="159"/>
  <c r="S105" i="159"/>
  <c r="R105" i="159"/>
  <c r="Q105" i="159"/>
  <c r="P105" i="159"/>
  <c r="O105" i="159"/>
  <c r="N105" i="159"/>
  <c r="M105" i="159"/>
  <c r="L105" i="159"/>
  <c r="K105" i="159"/>
  <c r="H105" i="159"/>
  <c r="G105" i="159"/>
  <c r="F105" i="159"/>
  <c r="D105" i="159" s="1"/>
  <c r="E105" i="159"/>
  <c r="B105" i="159"/>
  <c r="A105" i="159"/>
  <c r="AD104" i="159"/>
  <c r="AC104" i="159"/>
  <c r="AA104" i="159"/>
  <c r="Z104" i="159"/>
  <c r="Y104" i="159"/>
  <c r="X104" i="159"/>
  <c r="W104" i="159"/>
  <c r="V104" i="159"/>
  <c r="U104" i="159"/>
  <c r="T104" i="159"/>
  <c r="S104" i="159"/>
  <c r="R104" i="159"/>
  <c r="Q104" i="159"/>
  <c r="P104" i="159"/>
  <c r="O104" i="159"/>
  <c r="N104" i="159"/>
  <c r="M104" i="159"/>
  <c r="L104" i="159"/>
  <c r="K104" i="159"/>
  <c r="B104" i="159"/>
  <c r="AD103" i="159"/>
  <c r="AC103" i="159"/>
  <c r="AA103" i="159"/>
  <c r="Z103" i="159"/>
  <c r="Y103" i="159"/>
  <c r="X103" i="159"/>
  <c r="W103" i="159"/>
  <c r="U103" i="159"/>
  <c r="T103" i="159"/>
  <c r="S103" i="159"/>
  <c r="R103" i="159"/>
  <c r="Q103" i="159"/>
  <c r="P103" i="159"/>
  <c r="O103" i="159"/>
  <c r="N103" i="159"/>
  <c r="M103" i="159"/>
  <c r="L103" i="159"/>
  <c r="K103" i="159"/>
  <c r="B103" i="159"/>
  <c r="AE102" i="159"/>
  <c r="AD102" i="159"/>
  <c r="AC102" i="159"/>
  <c r="AA102" i="159"/>
  <c r="Z102" i="159"/>
  <c r="Y102" i="159"/>
  <c r="X102" i="159"/>
  <c r="W102" i="159"/>
  <c r="U102" i="159"/>
  <c r="T102" i="159"/>
  <c r="S102" i="159"/>
  <c r="R102" i="159"/>
  <c r="Q102" i="159"/>
  <c r="P102" i="159"/>
  <c r="O102" i="159"/>
  <c r="N102" i="159"/>
  <c r="M102" i="159"/>
  <c r="L102" i="159"/>
  <c r="K102" i="159"/>
  <c r="H102" i="159"/>
  <c r="G102" i="159"/>
  <c r="F102" i="159"/>
  <c r="E102" i="159"/>
  <c r="D102" i="159" s="1"/>
  <c r="B102" i="159"/>
  <c r="A102" i="159"/>
  <c r="B101" i="159"/>
  <c r="B100" i="159"/>
  <c r="AE99" i="159"/>
  <c r="AD99" i="159"/>
  <c r="AC99" i="159"/>
  <c r="AA99" i="159"/>
  <c r="Z99" i="159"/>
  <c r="Y99" i="159"/>
  <c r="X99" i="159"/>
  <c r="W99" i="159"/>
  <c r="V99" i="159"/>
  <c r="U99" i="159"/>
  <c r="S99" i="159"/>
  <c r="R99" i="159"/>
  <c r="Q99" i="159"/>
  <c r="P99" i="159"/>
  <c r="O99" i="159"/>
  <c r="N99" i="159"/>
  <c r="M99" i="159"/>
  <c r="L99" i="159"/>
  <c r="K99" i="159"/>
  <c r="H99" i="159"/>
  <c r="G99" i="159"/>
  <c r="F99" i="159"/>
  <c r="E99" i="159"/>
  <c r="B99" i="159"/>
  <c r="AE98" i="159"/>
  <c r="AD98" i="159"/>
  <c r="AC98" i="159"/>
  <c r="AA98" i="159"/>
  <c r="Z98" i="159"/>
  <c r="Y98" i="159"/>
  <c r="X98" i="159"/>
  <c r="W98" i="159"/>
  <c r="V98" i="159"/>
  <c r="U98" i="159"/>
  <c r="S98" i="159"/>
  <c r="R98" i="159"/>
  <c r="Q98" i="159"/>
  <c r="P98" i="159"/>
  <c r="O98" i="159"/>
  <c r="N98" i="159"/>
  <c r="M98" i="159"/>
  <c r="L98" i="159"/>
  <c r="K98" i="159"/>
  <c r="H98" i="159"/>
  <c r="G98" i="159"/>
  <c r="F98" i="159"/>
  <c r="E98" i="159"/>
  <c r="B98" i="159"/>
  <c r="A98" i="159"/>
  <c r="AE97" i="159"/>
  <c r="AD97" i="159"/>
  <c r="AC97" i="159"/>
  <c r="AA97" i="159"/>
  <c r="Z97" i="159"/>
  <c r="Y97" i="159"/>
  <c r="X97" i="159"/>
  <c r="W97" i="159"/>
  <c r="V97" i="159"/>
  <c r="U97" i="159"/>
  <c r="T97" i="159"/>
  <c r="R97" i="159"/>
  <c r="Q97" i="159"/>
  <c r="P97" i="159"/>
  <c r="O97" i="159"/>
  <c r="N97" i="159"/>
  <c r="M97" i="159"/>
  <c r="L97" i="159"/>
  <c r="K97" i="159"/>
  <c r="H97" i="159"/>
  <c r="G97" i="159"/>
  <c r="F97" i="159"/>
  <c r="E97" i="159"/>
  <c r="D97" i="159" s="1"/>
  <c r="B97" i="159"/>
  <c r="A97" i="159"/>
  <c r="AE96" i="159"/>
  <c r="AD96" i="159"/>
  <c r="AC96" i="159"/>
  <c r="AA96" i="159"/>
  <c r="Z96" i="159"/>
  <c r="Y96" i="159"/>
  <c r="X96" i="159"/>
  <c r="W96" i="159"/>
  <c r="V96" i="159"/>
  <c r="U96" i="159"/>
  <c r="T96" i="159"/>
  <c r="R96" i="159"/>
  <c r="Q96" i="159"/>
  <c r="P96" i="159"/>
  <c r="O96" i="159"/>
  <c r="N96" i="159"/>
  <c r="M96" i="159"/>
  <c r="L96" i="159"/>
  <c r="K96" i="159"/>
  <c r="H96" i="159"/>
  <c r="G96" i="159"/>
  <c r="F96" i="159"/>
  <c r="D96" i="159" s="1"/>
  <c r="E96" i="159"/>
  <c r="B96" i="159"/>
  <c r="A96" i="159"/>
  <c r="AE95" i="159"/>
  <c r="AD95" i="159"/>
  <c r="AC95" i="159"/>
  <c r="AB95" i="159"/>
  <c r="AA95" i="159"/>
  <c r="Z95" i="159"/>
  <c r="Y95" i="159"/>
  <c r="X95" i="159"/>
  <c r="W95" i="159"/>
  <c r="V95" i="159"/>
  <c r="U95" i="159"/>
  <c r="T95" i="159"/>
  <c r="R95" i="159"/>
  <c r="Q95" i="159"/>
  <c r="P95" i="159"/>
  <c r="O95" i="159"/>
  <c r="N95" i="159"/>
  <c r="M95" i="159"/>
  <c r="L95" i="159"/>
  <c r="K95" i="159"/>
  <c r="H95" i="159"/>
  <c r="G95" i="159"/>
  <c r="F95" i="159"/>
  <c r="E95" i="159"/>
  <c r="B95" i="159"/>
  <c r="A95" i="159"/>
  <c r="B94" i="159"/>
  <c r="B93" i="159"/>
  <c r="B92" i="159"/>
  <c r="B91" i="159"/>
  <c r="AE90" i="159"/>
  <c r="AD90" i="159"/>
  <c r="AC90" i="159"/>
  <c r="AB90" i="159"/>
  <c r="AA90" i="159"/>
  <c r="Z90" i="159"/>
  <c r="Y90" i="159"/>
  <c r="X90" i="159"/>
  <c r="W90" i="159"/>
  <c r="V90" i="159"/>
  <c r="U90" i="159"/>
  <c r="T90" i="159"/>
  <c r="S90" i="159"/>
  <c r="R90" i="159"/>
  <c r="Q90" i="159"/>
  <c r="O90" i="159"/>
  <c r="N90" i="159"/>
  <c r="M90" i="159"/>
  <c r="L90" i="159"/>
  <c r="K90" i="159"/>
  <c r="H90" i="159"/>
  <c r="G90" i="159"/>
  <c r="F90" i="159"/>
  <c r="D90" i="159" s="1"/>
  <c r="E90" i="159"/>
  <c r="B90" i="159"/>
  <c r="AD89" i="159"/>
  <c r="AC89" i="159"/>
  <c r="AB89" i="159"/>
  <c r="AA89" i="159"/>
  <c r="Z89" i="159"/>
  <c r="Y89" i="159"/>
  <c r="X89" i="159"/>
  <c r="W89" i="159"/>
  <c r="V89" i="159"/>
  <c r="U89" i="159"/>
  <c r="T89" i="159"/>
  <c r="S89" i="159"/>
  <c r="R89" i="159"/>
  <c r="Q89" i="159"/>
  <c r="O89" i="159"/>
  <c r="N89" i="159"/>
  <c r="M89" i="159"/>
  <c r="L89" i="159"/>
  <c r="K89" i="159"/>
  <c r="B89" i="159"/>
  <c r="A89" i="159"/>
  <c r="B88" i="159"/>
  <c r="B87" i="159"/>
  <c r="AC86" i="159"/>
  <c r="AA86" i="159"/>
  <c r="Z86" i="159"/>
  <c r="Y86" i="159"/>
  <c r="X86" i="159"/>
  <c r="W86" i="159"/>
  <c r="V86" i="159"/>
  <c r="U86" i="159"/>
  <c r="T86" i="159"/>
  <c r="S86" i="159"/>
  <c r="R86" i="159"/>
  <c r="Q86" i="159"/>
  <c r="P86" i="159"/>
  <c r="O86" i="159"/>
  <c r="M86" i="159"/>
  <c r="L86" i="159"/>
  <c r="K86" i="159"/>
  <c r="B86" i="159"/>
  <c r="M85" i="159"/>
  <c r="L85" i="159"/>
  <c r="K85" i="159"/>
  <c r="B85" i="159"/>
  <c r="A85" i="159"/>
  <c r="AD84" i="159"/>
  <c r="AC84" i="159"/>
  <c r="AB84" i="159"/>
  <c r="AA84" i="159"/>
  <c r="Z84" i="159"/>
  <c r="Y84" i="159"/>
  <c r="X84" i="159"/>
  <c r="W84" i="159"/>
  <c r="V84" i="159"/>
  <c r="U84" i="159"/>
  <c r="T84" i="159"/>
  <c r="S84" i="159"/>
  <c r="R84" i="159"/>
  <c r="Q84" i="159"/>
  <c r="P84" i="159"/>
  <c r="O84" i="159"/>
  <c r="N84" i="159"/>
  <c r="L84" i="159"/>
  <c r="K84" i="159"/>
  <c r="B84" i="159"/>
  <c r="AD83" i="159"/>
  <c r="AC83" i="159"/>
  <c r="AB83" i="159"/>
  <c r="AA83" i="159"/>
  <c r="Z83" i="159"/>
  <c r="Y83" i="159"/>
  <c r="X83" i="159"/>
  <c r="W83" i="159"/>
  <c r="V83" i="159"/>
  <c r="U83" i="159"/>
  <c r="T83" i="159"/>
  <c r="S83" i="159"/>
  <c r="R83" i="159"/>
  <c r="Q83" i="159"/>
  <c r="P83" i="159"/>
  <c r="O83" i="159"/>
  <c r="N83" i="159"/>
  <c r="B83" i="159"/>
  <c r="A83" i="159"/>
  <c r="AD82" i="159"/>
  <c r="AC82" i="159"/>
  <c r="AB82" i="159"/>
  <c r="AA82" i="159"/>
  <c r="Z82" i="159"/>
  <c r="Y82" i="159"/>
  <c r="X82" i="159"/>
  <c r="W82" i="159"/>
  <c r="V82" i="159"/>
  <c r="U82" i="159"/>
  <c r="T82" i="159"/>
  <c r="S82" i="159"/>
  <c r="R82" i="159"/>
  <c r="Q82" i="159"/>
  <c r="P82" i="159"/>
  <c r="O82" i="159"/>
  <c r="N82" i="159"/>
  <c r="M82" i="159"/>
  <c r="K82" i="159"/>
  <c r="B82" i="159"/>
  <c r="AD81" i="159"/>
  <c r="AC81" i="159"/>
  <c r="AB81" i="159"/>
  <c r="AA81" i="159"/>
  <c r="Z81" i="159"/>
  <c r="Y81" i="159"/>
  <c r="X81" i="159"/>
  <c r="W81" i="159"/>
  <c r="V81" i="159"/>
  <c r="U81" i="159"/>
  <c r="T81" i="159"/>
  <c r="S81" i="159"/>
  <c r="R81" i="159"/>
  <c r="Q81" i="159"/>
  <c r="P81" i="159"/>
  <c r="O81" i="159"/>
  <c r="N81" i="159"/>
  <c r="M81" i="159"/>
  <c r="K81" i="159"/>
  <c r="B81" i="159"/>
  <c r="A81" i="159"/>
  <c r="AD80" i="159"/>
  <c r="AC80" i="159"/>
  <c r="AB80" i="159"/>
  <c r="AA80" i="159"/>
  <c r="Z80" i="159"/>
  <c r="Y80" i="159"/>
  <c r="X80" i="159"/>
  <c r="W80" i="159"/>
  <c r="V80" i="159"/>
  <c r="U80" i="159"/>
  <c r="T80" i="159"/>
  <c r="S80" i="159"/>
  <c r="R80" i="159"/>
  <c r="Q80" i="159"/>
  <c r="P80" i="159"/>
  <c r="O80" i="159"/>
  <c r="N80" i="159"/>
  <c r="M80" i="159"/>
  <c r="L80" i="159"/>
  <c r="B80" i="159"/>
  <c r="A80" i="159"/>
  <c r="AD79" i="159"/>
  <c r="AC79" i="159"/>
  <c r="AB79" i="159"/>
  <c r="AA79" i="159"/>
  <c r="Z79" i="159"/>
  <c r="Y79" i="159"/>
  <c r="X79" i="159"/>
  <c r="W79" i="159"/>
  <c r="V79" i="159"/>
  <c r="U79" i="159"/>
  <c r="T79" i="159"/>
  <c r="S79" i="159"/>
  <c r="R79" i="159"/>
  <c r="Q79" i="159"/>
  <c r="P79" i="159"/>
  <c r="O79" i="159"/>
  <c r="N79" i="159"/>
  <c r="M79" i="159"/>
  <c r="L79" i="159"/>
  <c r="K79" i="159"/>
  <c r="B79" i="159"/>
  <c r="A79" i="159"/>
  <c r="AD78" i="159"/>
  <c r="AC78" i="159"/>
  <c r="AB78" i="159"/>
  <c r="AA78" i="159"/>
  <c r="Z78" i="159"/>
  <c r="Y78" i="159"/>
  <c r="X78" i="159"/>
  <c r="W78" i="159"/>
  <c r="V78" i="159"/>
  <c r="U78" i="159"/>
  <c r="T78" i="159"/>
  <c r="S78" i="159"/>
  <c r="R78" i="159"/>
  <c r="Q78" i="159"/>
  <c r="P78" i="159"/>
  <c r="O78" i="159"/>
  <c r="N78" i="159"/>
  <c r="M78" i="159"/>
  <c r="L78" i="159"/>
  <c r="B78" i="159"/>
  <c r="A78" i="159"/>
  <c r="AE77" i="159"/>
  <c r="AD77" i="159"/>
  <c r="AC77" i="159"/>
  <c r="AA77" i="159"/>
  <c r="Z77" i="159"/>
  <c r="Y77" i="159"/>
  <c r="X77" i="159"/>
  <c r="W77" i="159"/>
  <c r="V77" i="159"/>
  <c r="U77" i="159"/>
  <c r="T77" i="159"/>
  <c r="S77" i="159"/>
  <c r="R77" i="159"/>
  <c r="Q77" i="159"/>
  <c r="P77" i="159"/>
  <c r="O77" i="159"/>
  <c r="N77" i="159"/>
  <c r="M77" i="159"/>
  <c r="L77" i="159"/>
  <c r="H77" i="159"/>
  <c r="G77" i="159"/>
  <c r="F77" i="159"/>
  <c r="E77" i="159"/>
  <c r="B77" i="159"/>
  <c r="A77" i="159"/>
  <c r="AD76" i="159"/>
  <c r="AC76" i="159"/>
  <c r="AB76" i="159"/>
  <c r="AA76" i="159"/>
  <c r="Z76" i="159"/>
  <c r="Y76" i="159"/>
  <c r="X76" i="159"/>
  <c r="W76" i="159"/>
  <c r="V76" i="159"/>
  <c r="U76" i="159"/>
  <c r="T76" i="159"/>
  <c r="S76" i="159"/>
  <c r="R76" i="159"/>
  <c r="Q76" i="159"/>
  <c r="P76" i="159"/>
  <c r="O76" i="159"/>
  <c r="N76" i="159"/>
  <c r="M76" i="159"/>
  <c r="L76" i="159"/>
  <c r="B76" i="159"/>
  <c r="A76" i="159"/>
  <c r="B75" i="159"/>
  <c r="B74" i="159"/>
  <c r="V73" i="159"/>
  <c r="J73" i="159"/>
  <c r="C73" i="159" s="1"/>
  <c r="B73" i="159"/>
  <c r="V72" i="159"/>
  <c r="J72" i="159" s="1"/>
  <c r="C72" i="159" s="1"/>
  <c r="B72" i="159"/>
  <c r="V71" i="159"/>
  <c r="J71" i="159"/>
  <c r="C71" i="159" s="1"/>
  <c r="B71" i="159"/>
  <c r="V70" i="159"/>
  <c r="J70" i="159"/>
  <c r="C70" i="159" s="1"/>
  <c r="B70" i="159"/>
  <c r="AE69" i="159"/>
  <c r="AD69" i="159"/>
  <c r="AC69" i="159"/>
  <c r="AA69" i="159"/>
  <c r="Z69" i="159"/>
  <c r="Y69" i="159"/>
  <c r="X69" i="159"/>
  <c r="W69" i="159"/>
  <c r="U69" i="159"/>
  <c r="T69" i="159"/>
  <c r="S69" i="159"/>
  <c r="R69" i="159"/>
  <c r="Q69" i="159"/>
  <c r="P69" i="159"/>
  <c r="O69" i="159"/>
  <c r="N69" i="159"/>
  <c r="M69" i="159"/>
  <c r="L69" i="159"/>
  <c r="K69" i="159"/>
  <c r="H69" i="159"/>
  <c r="G69" i="159"/>
  <c r="F69" i="159"/>
  <c r="E69" i="159"/>
  <c r="D69" i="159" s="1"/>
  <c r="B69" i="159"/>
  <c r="AE68" i="159"/>
  <c r="AD68" i="159"/>
  <c r="AC68" i="159"/>
  <c r="AA68" i="159"/>
  <c r="Z68" i="159"/>
  <c r="Y68" i="159"/>
  <c r="X68" i="159"/>
  <c r="W68" i="159"/>
  <c r="U68" i="159"/>
  <c r="T68" i="159"/>
  <c r="S68" i="159"/>
  <c r="R68" i="159"/>
  <c r="Q68" i="159"/>
  <c r="P68" i="159"/>
  <c r="O68" i="159"/>
  <c r="N68" i="159"/>
  <c r="M68" i="159"/>
  <c r="L68" i="159"/>
  <c r="K68" i="159"/>
  <c r="H68" i="159"/>
  <c r="G68" i="159"/>
  <c r="F68" i="159"/>
  <c r="D68" i="159" s="1"/>
  <c r="E68" i="159"/>
  <c r="B68" i="159"/>
  <c r="AE67" i="159"/>
  <c r="AD67" i="159"/>
  <c r="AB67" i="159" s="1"/>
  <c r="AC67" i="159"/>
  <c r="AA67" i="159"/>
  <c r="Z67" i="159"/>
  <c r="Y67" i="159"/>
  <c r="X67" i="159"/>
  <c r="W67" i="159"/>
  <c r="U67" i="159"/>
  <c r="T67" i="159"/>
  <c r="S67" i="159"/>
  <c r="R67" i="159"/>
  <c r="Q67" i="159"/>
  <c r="P67" i="159"/>
  <c r="O67" i="159"/>
  <c r="N67" i="159"/>
  <c r="M67" i="159"/>
  <c r="L67" i="159"/>
  <c r="K67" i="159"/>
  <c r="H67" i="159"/>
  <c r="G67" i="159"/>
  <c r="F67" i="159"/>
  <c r="E67" i="159"/>
  <c r="B67" i="159"/>
  <c r="AE66" i="159"/>
  <c r="AD66" i="159"/>
  <c r="AC66" i="159"/>
  <c r="AB66" i="159" s="1"/>
  <c r="AA66" i="159"/>
  <c r="Z66" i="159"/>
  <c r="Y66" i="159"/>
  <c r="X66" i="159"/>
  <c r="W66" i="159"/>
  <c r="U66" i="159"/>
  <c r="T66" i="159"/>
  <c r="S66" i="159"/>
  <c r="R66" i="159"/>
  <c r="Q66" i="159"/>
  <c r="P66" i="159"/>
  <c r="O66" i="159"/>
  <c r="N66" i="159"/>
  <c r="M66" i="159"/>
  <c r="L66" i="159"/>
  <c r="K66" i="159"/>
  <c r="H66" i="159"/>
  <c r="G66" i="159"/>
  <c r="F66" i="159"/>
  <c r="E66" i="159"/>
  <c r="B66" i="159"/>
  <c r="AE65" i="159"/>
  <c r="AD65" i="159"/>
  <c r="AC65" i="159"/>
  <c r="AB65" i="159"/>
  <c r="AA65" i="159"/>
  <c r="Z65" i="159"/>
  <c r="Y65" i="159"/>
  <c r="X65" i="159"/>
  <c r="W65" i="159"/>
  <c r="U65" i="159"/>
  <c r="T65" i="159"/>
  <c r="S65" i="159"/>
  <c r="R65" i="159"/>
  <c r="Q65" i="159"/>
  <c r="P65" i="159"/>
  <c r="O65" i="159"/>
  <c r="N65" i="159"/>
  <c r="M65" i="159"/>
  <c r="L65" i="159"/>
  <c r="K65" i="159"/>
  <c r="H65" i="159"/>
  <c r="G65" i="159"/>
  <c r="F65" i="159"/>
  <c r="E65" i="159"/>
  <c r="D65" i="159" s="1"/>
  <c r="B65" i="159"/>
  <c r="AE64" i="159"/>
  <c r="AD64" i="159"/>
  <c r="AC64" i="159"/>
  <c r="AB64" i="159" s="1"/>
  <c r="AA64" i="159"/>
  <c r="Z64" i="159"/>
  <c r="Y64" i="159"/>
  <c r="X64" i="159"/>
  <c r="W64" i="159"/>
  <c r="U64" i="159"/>
  <c r="T64" i="159"/>
  <c r="S64" i="159"/>
  <c r="R64" i="159"/>
  <c r="Q64" i="159"/>
  <c r="P64" i="159"/>
  <c r="O64" i="159"/>
  <c r="N64" i="159"/>
  <c r="M64" i="159"/>
  <c r="L64" i="159"/>
  <c r="K64" i="159"/>
  <c r="H64" i="159"/>
  <c r="G64" i="159"/>
  <c r="F64" i="159"/>
  <c r="E64" i="159"/>
  <c r="B64" i="159"/>
  <c r="AE63" i="159"/>
  <c r="AD63" i="159"/>
  <c r="AC63" i="159"/>
  <c r="AA63" i="159"/>
  <c r="Z63" i="159"/>
  <c r="Y63" i="159"/>
  <c r="X63" i="159"/>
  <c r="W63" i="159"/>
  <c r="U63" i="159"/>
  <c r="T63" i="159"/>
  <c r="S63" i="159"/>
  <c r="R63" i="159"/>
  <c r="Q63" i="159"/>
  <c r="P63" i="159"/>
  <c r="O63" i="159"/>
  <c r="N63" i="159"/>
  <c r="M63" i="159"/>
  <c r="L63" i="159"/>
  <c r="K63" i="159"/>
  <c r="H63" i="159"/>
  <c r="G63" i="159"/>
  <c r="F63" i="159"/>
  <c r="E63" i="159"/>
  <c r="D63" i="159" s="1"/>
  <c r="B63" i="159"/>
  <c r="AE62" i="159"/>
  <c r="AD62" i="159"/>
  <c r="AC62" i="159"/>
  <c r="AB62" i="159" s="1"/>
  <c r="AA62" i="159"/>
  <c r="Z62" i="159"/>
  <c r="Y62" i="159"/>
  <c r="X62" i="159"/>
  <c r="W62" i="159"/>
  <c r="V62" i="159"/>
  <c r="U62" i="159"/>
  <c r="T62" i="159"/>
  <c r="S62" i="159"/>
  <c r="R62" i="159"/>
  <c r="Q62" i="159"/>
  <c r="P62" i="159"/>
  <c r="O62" i="159"/>
  <c r="M62" i="159"/>
  <c r="L62" i="159"/>
  <c r="K62" i="159"/>
  <c r="H62" i="159"/>
  <c r="G62" i="159"/>
  <c r="F62" i="159"/>
  <c r="E62" i="159"/>
  <c r="E60" i="159" s="1"/>
  <c r="D62" i="159"/>
  <c r="B62" i="159"/>
  <c r="AE61" i="159"/>
  <c r="AD61" i="159"/>
  <c r="AB61" i="159" s="1"/>
  <c r="AC61" i="159"/>
  <c r="AA61" i="159"/>
  <c r="Z61" i="159"/>
  <c r="Y61" i="159"/>
  <c r="X61" i="159"/>
  <c r="W61" i="159"/>
  <c r="V61" i="159"/>
  <c r="U61" i="159"/>
  <c r="U60" i="159" s="1"/>
  <c r="T61" i="159"/>
  <c r="T60" i="159" s="1"/>
  <c r="S61" i="159"/>
  <c r="R61" i="159"/>
  <c r="Q61" i="159"/>
  <c r="P61" i="159"/>
  <c r="N61" i="159"/>
  <c r="M61" i="159"/>
  <c r="M60" i="159" s="1"/>
  <c r="L61" i="159"/>
  <c r="K61" i="159"/>
  <c r="H61" i="159"/>
  <c r="G61" i="159"/>
  <c r="G60" i="159" s="1"/>
  <c r="F61" i="159"/>
  <c r="E61" i="159"/>
  <c r="B61" i="159"/>
  <c r="I60" i="159"/>
  <c r="B60" i="159"/>
  <c r="AE59" i="159"/>
  <c r="AD59" i="159"/>
  <c r="AC59" i="159"/>
  <c r="AB59" i="159" s="1"/>
  <c r="AA59" i="159"/>
  <c r="Z59" i="159"/>
  <c r="Y59" i="159"/>
  <c r="X59" i="159"/>
  <c r="W59" i="159"/>
  <c r="V59" i="159"/>
  <c r="T59" i="159"/>
  <c r="S59" i="159"/>
  <c r="R59" i="159"/>
  <c r="Q59" i="159"/>
  <c r="P59" i="159"/>
  <c r="O59" i="159"/>
  <c r="N59" i="159"/>
  <c r="M59" i="159"/>
  <c r="L59" i="159"/>
  <c r="K59" i="159"/>
  <c r="H59" i="159"/>
  <c r="G59" i="159"/>
  <c r="F59" i="159"/>
  <c r="E59" i="159"/>
  <c r="D59" i="159" s="1"/>
  <c r="B59" i="159"/>
  <c r="AE58" i="159"/>
  <c r="AD58" i="159"/>
  <c r="AB58" i="159" s="1"/>
  <c r="AC58" i="159"/>
  <c r="AA58" i="159"/>
  <c r="Z58" i="159"/>
  <c r="Y58" i="159"/>
  <c r="X58" i="159"/>
  <c r="W58" i="159"/>
  <c r="V58" i="159"/>
  <c r="T58" i="159"/>
  <c r="S58" i="159"/>
  <c r="R58" i="159"/>
  <c r="Q58" i="159"/>
  <c r="Q56" i="159" s="1"/>
  <c r="P58" i="159"/>
  <c r="O58" i="159"/>
  <c r="N58" i="159"/>
  <c r="M58" i="159"/>
  <c r="L58" i="159"/>
  <c r="K58" i="159"/>
  <c r="H58" i="159"/>
  <c r="G58" i="159"/>
  <c r="G56" i="159" s="1"/>
  <c r="F58" i="159"/>
  <c r="E58" i="159"/>
  <c r="D58" i="159" s="1"/>
  <c r="B58" i="159"/>
  <c r="AE57" i="159"/>
  <c r="AE56" i="159" s="1"/>
  <c r="AD57" i="159"/>
  <c r="AC57" i="159"/>
  <c r="AA57" i="159"/>
  <c r="Z57" i="159"/>
  <c r="Y57" i="159"/>
  <c r="X57" i="159"/>
  <c r="W57" i="159"/>
  <c r="V57" i="159"/>
  <c r="V56" i="159" s="1"/>
  <c r="T57" i="159"/>
  <c r="S57" i="159"/>
  <c r="R57" i="159"/>
  <c r="Q57" i="159"/>
  <c r="P57" i="159"/>
  <c r="O57" i="159"/>
  <c r="N57" i="159"/>
  <c r="M57" i="159"/>
  <c r="L57" i="159"/>
  <c r="K57" i="159"/>
  <c r="H57" i="159"/>
  <c r="G57" i="159"/>
  <c r="F57" i="159"/>
  <c r="E57" i="159"/>
  <c r="E56" i="159" s="1"/>
  <c r="B57" i="159"/>
  <c r="N56" i="159"/>
  <c r="M56" i="159"/>
  <c r="B56" i="159"/>
  <c r="AE55" i="159"/>
  <c r="AD55" i="159"/>
  <c r="AC55" i="159"/>
  <c r="AB55" i="159"/>
  <c r="AA55" i="159"/>
  <c r="Z55" i="159"/>
  <c r="Y55" i="159"/>
  <c r="X55" i="159"/>
  <c r="W55" i="159"/>
  <c r="V55" i="159"/>
  <c r="U55" i="159"/>
  <c r="T55" i="159"/>
  <c r="S55" i="159"/>
  <c r="R55" i="159"/>
  <c r="Q55" i="159"/>
  <c r="P55" i="159"/>
  <c r="O55" i="159"/>
  <c r="N55" i="159"/>
  <c r="M55" i="159"/>
  <c r="L55" i="159"/>
  <c r="K55" i="159"/>
  <c r="H55" i="159"/>
  <c r="G55" i="159"/>
  <c r="F55" i="159"/>
  <c r="E55" i="159"/>
  <c r="D55" i="159" s="1"/>
  <c r="B55" i="159"/>
  <c r="AE54" i="159"/>
  <c r="AD54" i="159"/>
  <c r="AC54" i="159"/>
  <c r="AB54" i="159" s="1"/>
  <c r="AA54" i="159"/>
  <c r="Z54" i="159"/>
  <c r="Y54" i="159"/>
  <c r="X54" i="159"/>
  <c r="W54" i="159"/>
  <c r="V54" i="159"/>
  <c r="U54" i="159"/>
  <c r="T54" i="159"/>
  <c r="S54" i="159"/>
  <c r="R54" i="159"/>
  <c r="Q54" i="159"/>
  <c r="P54" i="159"/>
  <c r="O54" i="159"/>
  <c r="N54" i="159"/>
  <c r="M54" i="159"/>
  <c r="L54" i="159"/>
  <c r="K54" i="159"/>
  <c r="H54" i="159"/>
  <c r="G54" i="159"/>
  <c r="F54" i="159"/>
  <c r="E54" i="159"/>
  <c r="B54" i="159"/>
  <c r="AE53" i="159"/>
  <c r="AD53" i="159"/>
  <c r="AC53" i="159"/>
  <c r="AC48" i="159" s="1"/>
  <c r="AA53" i="159"/>
  <c r="Z53" i="159"/>
  <c r="Y53" i="159"/>
  <c r="X53" i="159"/>
  <c r="W53" i="159"/>
  <c r="V53" i="159"/>
  <c r="U53" i="159"/>
  <c r="T53" i="159"/>
  <c r="S53" i="159"/>
  <c r="R53" i="159"/>
  <c r="Q53" i="159"/>
  <c r="P53" i="159"/>
  <c r="O53" i="159"/>
  <c r="N53" i="159"/>
  <c r="M53" i="159"/>
  <c r="L53" i="159"/>
  <c r="K53" i="159"/>
  <c r="H53" i="159"/>
  <c r="G53" i="159"/>
  <c r="F53" i="159"/>
  <c r="E53" i="159"/>
  <c r="B53" i="159"/>
  <c r="AE52" i="159"/>
  <c r="AD52" i="159"/>
  <c r="AC52" i="159"/>
  <c r="AA52" i="159"/>
  <c r="Z52" i="159"/>
  <c r="Y52" i="159"/>
  <c r="X52" i="159"/>
  <c r="W52" i="159"/>
  <c r="V52" i="159"/>
  <c r="U52" i="159"/>
  <c r="T52" i="159"/>
  <c r="S52" i="159"/>
  <c r="R52" i="159"/>
  <c r="P52" i="159"/>
  <c r="O52" i="159"/>
  <c r="N52" i="159"/>
  <c r="M52" i="159"/>
  <c r="L52" i="159"/>
  <c r="K52" i="159"/>
  <c r="H52" i="159"/>
  <c r="G52" i="159"/>
  <c r="F52" i="159"/>
  <c r="D52" i="159" s="1"/>
  <c r="E52" i="159"/>
  <c r="B52" i="159"/>
  <c r="AE51" i="159"/>
  <c r="AD51" i="159"/>
  <c r="AB51" i="159" s="1"/>
  <c r="AC51" i="159"/>
  <c r="AA51" i="159"/>
  <c r="Z51" i="159"/>
  <c r="Y51" i="159"/>
  <c r="X51" i="159"/>
  <c r="W51" i="159"/>
  <c r="V51" i="159"/>
  <c r="U51" i="159"/>
  <c r="T51" i="159"/>
  <c r="S51" i="159"/>
  <c r="R51" i="159"/>
  <c r="Q51" i="159"/>
  <c r="P51" i="159"/>
  <c r="O51" i="159"/>
  <c r="N51" i="159"/>
  <c r="M51" i="159"/>
  <c r="L51" i="159"/>
  <c r="K51" i="159"/>
  <c r="H51" i="159"/>
  <c r="G51" i="159"/>
  <c r="F51" i="159"/>
  <c r="E51" i="159"/>
  <c r="B51" i="159"/>
  <c r="AE50" i="159"/>
  <c r="AD50" i="159"/>
  <c r="AC50" i="159"/>
  <c r="AB50" i="159" s="1"/>
  <c r="AA50" i="159"/>
  <c r="Z50" i="159"/>
  <c r="Y50" i="159"/>
  <c r="X50" i="159"/>
  <c r="W50" i="159"/>
  <c r="V50" i="159"/>
  <c r="U50" i="159"/>
  <c r="S50" i="159"/>
  <c r="R50" i="159"/>
  <c r="P50" i="159"/>
  <c r="O50" i="159"/>
  <c r="N50" i="159"/>
  <c r="L50" i="159"/>
  <c r="K50" i="159"/>
  <c r="H50" i="159"/>
  <c r="G50" i="159"/>
  <c r="F50" i="159"/>
  <c r="E50" i="159"/>
  <c r="D50" i="159"/>
  <c r="B50" i="159"/>
  <c r="AE49" i="159"/>
  <c r="AD49" i="159"/>
  <c r="AC49" i="159"/>
  <c r="AA49" i="159"/>
  <c r="Z49" i="159"/>
  <c r="Y49" i="159"/>
  <c r="X49" i="159"/>
  <c r="W49" i="159"/>
  <c r="V49" i="159"/>
  <c r="U49" i="159"/>
  <c r="T49" i="159"/>
  <c r="S49" i="159"/>
  <c r="R49" i="159"/>
  <c r="R48" i="159" s="1"/>
  <c r="P49" i="159"/>
  <c r="O49" i="159"/>
  <c r="N49" i="159"/>
  <c r="M49" i="159"/>
  <c r="L49" i="159"/>
  <c r="K49" i="159"/>
  <c r="H49" i="159"/>
  <c r="G49" i="159"/>
  <c r="G48" i="159" s="1"/>
  <c r="F49" i="159"/>
  <c r="E49" i="159"/>
  <c r="B49" i="159"/>
  <c r="AE48" i="159"/>
  <c r="B48" i="159"/>
  <c r="AE47" i="159"/>
  <c r="AD47" i="159"/>
  <c r="AC47" i="159"/>
  <c r="AB47" i="159" s="1"/>
  <c r="AA47" i="159"/>
  <c r="Z47" i="159"/>
  <c r="Y47" i="159"/>
  <c r="X47" i="159"/>
  <c r="W47" i="159"/>
  <c r="V47" i="159"/>
  <c r="U47" i="159"/>
  <c r="S47" i="159"/>
  <c r="R47" i="159"/>
  <c r="Q47" i="159"/>
  <c r="P47" i="159"/>
  <c r="O47" i="159"/>
  <c r="N47" i="159"/>
  <c r="M47" i="159"/>
  <c r="L47" i="159"/>
  <c r="K47" i="159"/>
  <c r="H47" i="159"/>
  <c r="G47" i="159"/>
  <c r="F47" i="159"/>
  <c r="E47" i="159"/>
  <c r="B47" i="159"/>
  <c r="AE46" i="159"/>
  <c r="AD46" i="159"/>
  <c r="AC46" i="159"/>
  <c r="AB46" i="159" s="1"/>
  <c r="AA46" i="159"/>
  <c r="Z46" i="159"/>
  <c r="Y46" i="159"/>
  <c r="X46" i="159"/>
  <c r="W46" i="159"/>
  <c r="V46" i="159"/>
  <c r="U46" i="159"/>
  <c r="T46" i="159"/>
  <c r="S46" i="159"/>
  <c r="R46" i="159"/>
  <c r="Q46" i="159"/>
  <c r="P46" i="159"/>
  <c r="O46" i="159"/>
  <c r="N46" i="159"/>
  <c r="M46" i="159"/>
  <c r="L46" i="159"/>
  <c r="L42" i="159" s="1"/>
  <c r="K46" i="159"/>
  <c r="J46" i="159" s="1"/>
  <c r="H46" i="159"/>
  <c r="G46" i="159"/>
  <c r="F46" i="159"/>
  <c r="D46" i="159" s="1"/>
  <c r="E46" i="159"/>
  <c r="B46" i="159"/>
  <c r="AE45" i="159"/>
  <c r="AD45" i="159"/>
  <c r="AC45" i="159"/>
  <c r="AB45" i="159"/>
  <c r="AA45" i="159"/>
  <c r="Z45" i="159"/>
  <c r="Y45" i="159"/>
  <c r="X45" i="159"/>
  <c r="W45" i="159"/>
  <c r="V45" i="159"/>
  <c r="U45" i="159"/>
  <c r="T45" i="159"/>
  <c r="S45" i="159"/>
  <c r="R45" i="159"/>
  <c r="Q45" i="159"/>
  <c r="P45" i="159"/>
  <c r="O45" i="159"/>
  <c r="N45" i="159"/>
  <c r="N42" i="159" s="1"/>
  <c r="M45" i="159"/>
  <c r="L45" i="159"/>
  <c r="K45" i="159"/>
  <c r="H45" i="159"/>
  <c r="G45" i="159"/>
  <c r="F45" i="159"/>
  <c r="E45" i="159"/>
  <c r="B45" i="159"/>
  <c r="AE44" i="159"/>
  <c r="AD44" i="159"/>
  <c r="AC44" i="159"/>
  <c r="AB44" i="159" s="1"/>
  <c r="AA44" i="159"/>
  <c r="Z44" i="159"/>
  <c r="Y44" i="159"/>
  <c r="X44" i="159"/>
  <c r="W44" i="159"/>
  <c r="V44" i="159"/>
  <c r="U44" i="159"/>
  <c r="T44" i="159"/>
  <c r="S44" i="159"/>
  <c r="R44" i="159"/>
  <c r="Q44" i="159"/>
  <c r="P44" i="159"/>
  <c r="O44" i="159"/>
  <c r="N44" i="159"/>
  <c r="M44" i="159"/>
  <c r="L44" i="159"/>
  <c r="K44" i="159"/>
  <c r="H44" i="159"/>
  <c r="G44" i="159"/>
  <c r="F44" i="159"/>
  <c r="D44" i="159" s="1"/>
  <c r="E44" i="159"/>
  <c r="B44" i="159"/>
  <c r="A44" i="159"/>
  <c r="A45" i="159" s="1"/>
  <c r="A46" i="159" s="1"/>
  <c r="A47" i="159" s="1"/>
  <c r="AE43" i="159"/>
  <c r="AE42" i="159" s="1"/>
  <c r="AE41" i="159" s="1"/>
  <c r="AD43" i="159"/>
  <c r="AC43" i="159"/>
  <c r="AB43" i="159" s="1"/>
  <c r="AA43" i="159"/>
  <c r="Z43" i="159"/>
  <c r="Y43" i="159"/>
  <c r="X43" i="159"/>
  <c r="W43" i="159"/>
  <c r="V43" i="159"/>
  <c r="V42" i="159" s="1"/>
  <c r="U43" i="159"/>
  <c r="S43" i="159"/>
  <c r="R43" i="159"/>
  <c r="Q43" i="159"/>
  <c r="P43" i="159"/>
  <c r="P42" i="159" s="1"/>
  <c r="O43" i="159"/>
  <c r="N43" i="159"/>
  <c r="M43" i="159"/>
  <c r="L43" i="159"/>
  <c r="K43" i="159"/>
  <c r="H43" i="159"/>
  <c r="G43" i="159"/>
  <c r="F43" i="159"/>
  <c r="E43" i="159"/>
  <c r="E42" i="159" s="1"/>
  <c r="D43" i="159"/>
  <c r="B43" i="159"/>
  <c r="A43" i="159"/>
  <c r="G42" i="159"/>
  <c r="B42" i="159"/>
  <c r="B41" i="159"/>
  <c r="AE40" i="159"/>
  <c r="AD40" i="159"/>
  <c r="AC40" i="159"/>
  <c r="AB40" i="159" s="1"/>
  <c r="AA40" i="159"/>
  <c r="Z40" i="159"/>
  <c r="Y40" i="159"/>
  <c r="X40" i="159"/>
  <c r="W40" i="159"/>
  <c r="V40" i="159"/>
  <c r="U40" i="159"/>
  <c r="T40" i="159"/>
  <c r="S40" i="159"/>
  <c r="R40" i="159"/>
  <c r="Q40" i="159"/>
  <c r="P40" i="159"/>
  <c r="O40" i="159"/>
  <c r="N40" i="159"/>
  <c r="M40" i="159"/>
  <c r="L40" i="159"/>
  <c r="K40" i="159"/>
  <c r="H40" i="159"/>
  <c r="G40" i="159"/>
  <c r="F40" i="159"/>
  <c r="E40" i="159"/>
  <c r="D40" i="159"/>
  <c r="AE39" i="159"/>
  <c r="AD39" i="159"/>
  <c r="AC39" i="159"/>
  <c r="AA39" i="159"/>
  <c r="Z39" i="159"/>
  <c r="Y39" i="159"/>
  <c r="X39" i="159"/>
  <c r="W39" i="159"/>
  <c r="V39" i="159"/>
  <c r="U39" i="159"/>
  <c r="T39" i="159"/>
  <c r="S39" i="159"/>
  <c r="R39" i="159"/>
  <c r="Q39" i="159"/>
  <c r="P39" i="159"/>
  <c r="O39" i="159"/>
  <c r="N39" i="159"/>
  <c r="M39" i="159"/>
  <c r="K39" i="159"/>
  <c r="H39" i="159"/>
  <c r="G39" i="159"/>
  <c r="F39" i="159"/>
  <c r="E39" i="159"/>
  <c r="B39" i="159"/>
  <c r="AE38" i="159"/>
  <c r="AD38" i="159"/>
  <c r="AC38" i="159"/>
  <c r="AB38" i="159" s="1"/>
  <c r="AA38" i="159"/>
  <c r="Z38" i="159"/>
  <c r="Y38" i="159"/>
  <c r="X38" i="159"/>
  <c r="W38" i="159"/>
  <c r="V38" i="159"/>
  <c r="U38" i="159"/>
  <c r="T38" i="159"/>
  <c r="S38" i="159"/>
  <c r="R38" i="159"/>
  <c r="Q38" i="159"/>
  <c r="P38" i="159"/>
  <c r="O38" i="159"/>
  <c r="N38" i="159"/>
  <c r="M38" i="159"/>
  <c r="L38" i="159"/>
  <c r="K38" i="159"/>
  <c r="H38" i="159"/>
  <c r="G38" i="159"/>
  <c r="F38" i="159"/>
  <c r="E38" i="159"/>
  <c r="B38" i="159"/>
  <c r="AE37" i="159"/>
  <c r="AD37" i="159"/>
  <c r="AC37" i="159"/>
  <c r="AB37" i="159" s="1"/>
  <c r="AA37" i="159"/>
  <c r="Z37" i="159"/>
  <c r="Y37" i="159"/>
  <c r="X37" i="159"/>
  <c r="W37" i="159"/>
  <c r="V37" i="159"/>
  <c r="U37" i="159"/>
  <c r="T37" i="159"/>
  <c r="S37" i="159"/>
  <c r="R37" i="159"/>
  <c r="Q37" i="159"/>
  <c r="P37" i="159"/>
  <c r="O37" i="159"/>
  <c r="N37" i="159"/>
  <c r="M37" i="159"/>
  <c r="L37" i="159"/>
  <c r="K37" i="159"/>
  <c r="J37" i="159" s="1"/>
  <c r="H37" i="159"/>
  <c r="G37" i="159"/>
  <c r="F37" i="159"/>
  <c r="E37" i="159"/>
  <c r="B37" i="159"/>
  <c r="AE36" i="159"/>
  <c r="AC36" i="159"/>
  <c r="AA36" i="159"/>
  <c r="Z36" i="159"/>
  <c r="Y36" i="159"/>
  <c r="X36" i="159"/>
  <c r="W36" i="159"/>
  <c r="V36" i="159"/>
  <c r="U36" i="159"/>
  <c r="T36" i="159"/>
  <c r="S36" i="159"/>
  <c r="R36" i="159"/>
  <c r="Q36" i="159"/>
  <c r="P36" i="159"/>
  <c r="O36" i="159"/>
  <c r="N36" i="159"/>
  <c r="M36" i="159"/>
  <c r="L36" i="159"/>
  <c r="H36" i="159"/>
  <c r="G36" i="159"/>
  <c r="F36" i="159"/>
  <c r="E36" i="159"/>
  <c r="D36" i="159" s="1"/>
  <c r="B36" i="159"/>
  <c r="AE35" i="159"/>
  <c r="AD35" i="159"/>
  <c r="AC35" i="159"/>
  <c r="AA35" i="159"/>
  <c r="Z35" i="159"/>
  <c r="Y35" i="159"/>
  <c r="X35" i="159"/>
  <c r="W35" i="159"/>
  <c r="V35" i="159"/>
  <c r="U35" i="159"/>
  <c r="T35" i="159"/>
  <c r="S35" i="159"/>
  <c r="R35" i="159"/>
  <c r="Q35" i="159"/>
  <c r="P35" i="159"/>
  <c r="O35" i="159"/>
  <c r="N35" i="159"/>
  <c r="M35" i="159"/>
  <c r="L35" i="159"/>
  <c r="K35" i="159"/>
  <c r="H35" i="159"/>
  <c r="G35" i="159"/>
  <c r="F35" i="159"/>
  <c r="E35" i="159"/>
  <c r="D35" i="159" s="1"/>
  <c r="B35" i="159"/>
  <c r="AE34" i="159"/>
  <c r="AD34" i="159"/>
  <c r="AC34" i="159"/>
  <c r="AA34" i="159"/>
  <c r="Z34" i="159"/>
  <c r="Y34" i="159"/>
  <c r="X34" i="159"/>
  <c r="W34" i="159"/>
  <c r="V34" i="159"/>
  <c r="U34" i="159"/>
  <c r="T34" i="159"/>
  <c r="S34" i="159"/>
  <c r="R34" i="159"/>
  <c r="Q34" i="159"/>
  <c r="P34" i="159"/>
  <c r="O34" i="159"/>
  <c r="J34" i="159" s="1"/>
  <c r="N34" i="159"/>
  <c r="M34" i="159"/>
  <c r="L34" i="159"/>
  <c r="K34" i="159"/>
  <c r="H34" i="159"/>
  <c r="G34" i="159"/>
  <c r="F34" i="159"/>
  <c r="E34" i="159"/>
  <c r="B34" i="159"/>
  <c r="AE33" i="159"/>
  <c r="AD33" i="159"/>
  <c r="AC33" i="159"/>
  <c r="AA33" i="159"/>
  <c r="Z33" i="159"/>
  <c r="Y33" i="159"/>
  <c r="X33" i="159"/>
  <c r="W33" i="159"/>
  <c r="V33" i="159"/>
  <c r="U33" i="159"/>
  <c r="T33" i="159"/>
  <c r="S33" i="159"/>
  <c r="R33" i="159"/>
  <c r="Q33" i="159"/>
  <c r="P33" i="159"/>
  <c r="O33" i="159"/>
  <c r="N33" i="159"/>
  <c r="M33" i="159"/>
  <c r="L33" i="159"/>
  <c r="K33" i="159"/>
  <c r="H33" i="159"/>
  <c r="G33" i="159"/>
  <c r="F33" i="159"/>
  <c r="E33" i="159"/>
  <c r="B33" i="159"/>
  <c r="AE32" i="159"/>
  <c r="AD32" i="159"/>
  <c r="AC32" i="159"/>
  <c r="AB32" i="159" s="1"/>
  <c r="AA32" i="159"/>
  <c r="Z32" i="159"/>
  <c r="Y32" i="159"/>
  <c r="X32" i="159"/>
  <c r="W32" i="159"/>
  <c r="V32" i="159"/>
  <c r="U32" i="159"/>
  <c r="T32" i="159"/>
  <c r="S32" i="159"/>
  <c r="R32" i="159"/>
  <c r="Q32" i="159"/>
  <c r="P32" i="159"/>
  <c r="O32" i="159"/>
  <c r="M32" i="159"/>
  <c r="L32" i="159"/>
  <c r="K32" i="159"/>
  <c r="H32" i="159"/>
  <c r="G32" i="159"/>
  <c r="F32" i="159"/>
  <c r="E32" i="159"/>
  <c r="B32" i="159"/>
  <c r="AE31" i="159"/>
  <c r="AD31" i="159"/>
  <c r="AC31" i="159"/>
  <c r="AA31" i="159"/>
  <c r="Z31" i="159"/>
  <c r="Y31" i="159"/>
  <c r="X31" i="159"/>
  <c r="W31" i="159"/>
  <c r="V31" i="159"/>
  <c r="U31" i="159"/>
  <c r="T31" i="159"/>
  <c r="S31" i="159"/>
  <c r="R31" i="159"/>
  <c r="Q31" i="159"/>
  <c r="P31" i="159"/>
  <c r="O31" i="159"/>
  <c r="N31" i="159"/>
  <c r="M31" i="159"/>
  <c r="L31" i="159"/>
  <c r="K31" i="159"/>
  <c r="H31" i="159"/>
  <c r="G31" i="159"/>
  <c r="F31" i="159"/>
  <c r="E31" i="159"/>
  <c r="B31" i="159"/>
  <c r="AE30" i="159"/>
  <c r="AC30" i="159"/>
  <c r="AA30" i="159"/>
  <c r="Z30" i="159"/>
  <c r="Y30" i="159"/>
  <c r="X30" i="159"/>
  <c r="W30" i="159"/>
  <c r="V30" i="159"/>
  <c r="U30" i="159"/>
  <c r="T30" i="159"/>
  <c r="S30" i="159"/>
  <c r="R30" i="159"/>
  <c r="Q30" i="159"/>
  <c r="P30" i="159"/>
  <c r="O30" i="159"/>
  <c r="N30" i="159"/>
  <c r="M30" i="159"/>
  <c r="L30" i="159"/>
  <c r="K30" i="159"/>
  <c r="H30" i="159"/>
  <c r="G30" i="159"/>
  <c r="F30" i="159"/>
  <c r="E30" i="159"/>
  <c r="B30" i="159"/>
  <c r="AE29" i="159"/>
  <c r="AC29" i="159"/>
  <c r="AA29" i="159"/>
  <c r="Z29" i="159"/>
  <c r="Y29" i="159"/>
  <c r="X29" i="159"/>
  <c r="W29" i="159"/>
  <c r="V29" i="159"/>
  <c r="U29" i="159"/>
  <c r="T29" i="159"/>
  <c r="S29" i="159"/>
  <c r="R29" i="159"/>
  <c r="Q29" i="159"/>
  <c r="P29" i="159"/>
  <c r="O29" i="159"/>
  <c r="N29" i="159"/>
  <c r="M29" i="159"/>
  <c r="L29" i="159"/>
  <c r="K29" i="159"/>
  <c r="H29" i="159"/>
  <c r="G29" i="159"/>
  <c r="F29" i="159"/>
  <c r="E29" i="159"/>
  <c r="B29" i="159"/>
  <c r="AE28" i="159"/>
  <c r="AD28" i="159"/>
  <c r="AB28" i="159" s="1"/>
  <c r="AC28" i="159"/>
  <c r="AA28" i="159"/>
  <c r="Z28" i="159"/>
  <c r="Y28" i="159"/>
  <c r="X28" i="159"/>
  <c r="W28" i="159"/>
  <c r="V28" i="159"/>
  <c r="U28" i="159"/>
  <c r="S28" i="159"/>
  <c r="R28" i="159"/>
  <c r="Q28" i="159"/>
  <c r="P28" i="159"/>
  <c r="O28" i="159"/>
  <c r="M28" i="159"/>
  <c r="L28" i="159"/>
  <c r="H28" i="159"/>
  <c r="G28" i="159"/>
  <c r="F28" i="159"/>
  <c r="E28" i="159"/>
  <c r="B28" i="159"/>
  <c r="AE27" i="159"/>
  <c r="AD27" i="159"/>
  <c r="AC27" i="159"/>
  <c r="AB27" i="159" s="1"/>
  <c r="AA27" i="159"/>
  <c r="Z27" i="159"/>
  <c r="Y27" i="159"/>
  <c r="X27" i="159"/>
  <c r="W27" i="159"/>
  <c r="V27" i="159"/>
  <c r="U27" i="159"/>
  <c r="T27" i="159"/>
  <c r="S27" i="159"/>
  <c r="R27" i="159"/>
  <c r="Q27" i="159"/>
  <c r="P27" i="159"/>
  <c r="O27" i="159"/>
  <c r="N27" i="159"/>
  <c r="M27" i="159"/>
  <c r="L27" i="159"/>
  <c r="K27" i="159"/>
  <c r="H27" i="159"/>
  <c r="D27" i="159" s="1"/>
  <c r="G27" i="159"/>
  <c r="F27" i="159"/>
  <c r="E27" i="159"/>
  <c r="B27" i="159"/>
  <c r="AE26" i="159"/>
  <c r="AD26" i="159"/>
  <c r="AB26" i="159" s="1"/>
  <c r="AC26" i="159"/>
  <c r="AA26" i="159"/>
  <c r="Z26" i="159"/>
  <c r="Y26" i="159"/>
  <c r="X26" i="159"/>
  <c r="W26" i="159"/>
  <c r="V26" i="159"/>
  <c r="U26" i="159"/>
  <c r="T26" i="159"/>
  <c r="S26" i="159"/>
  <c r="R26" i="159"/>
  <c r="Q26" i="159"/>
  <c r="P26" i="159"/>
  <c r="O26" i="159"/>
  <c r="N26" i="159"/>
  <c r="M26" i="159"/>
  <c r="K26" i="159"/>
  <c r="H26" i="159"/>
  <c r="G26" i="159"/>
  <c r="F26" i="159"/>
  <c r="E26" i="159"/>
  <c r="B26" i="159"/>
  <c r="AE25" i="159"/>
  <c r="AD25" i="159"/>
  <c r="AC25" i="159"/>
  <c r="AB25" i="159" s="1"/>
  <c r="AA25" i="159"/>
  <c r="Z25" i="159"/>
  <c r="Y25" i="159"/>
  <c r="X25" i="159"/>
  <c r="W25" i="159"/>
  <c r="V25" i="159"/>
  <c r="U25" i="159"/>
  <c r="T25" i="159"/>
  <c r="S25" i="159"/>
  <c r="R25" i="159"/>
  <c r="Q25" i="159"/>
  <c r="P25" i="159"/>
  <c r="O25" i="159"/>
  <c r="M25" i="159"/>
  <c r="L25" i="159"/>
  <c r="K25" i="159"/>
  <c r="H25" i="159"/>
  <c r="G25" i="159"/>
  <c r="F25" i="159"/>
  <c r="E25" i="159"/>
  <c r="D25" i="159"/>
  <c r="B25" i="159"/>
  <c r="AE24" i="159"/>
  <c r="AD24" i="159"/>
  <c r="AC24" i="159"/>
  <c r="AB24" i="159" s="1"/>
  <c r="AA24" i="159"/>
  <c r="Z24" i="159"/>
  <c r="Y24" i="159"/>
  <c r="X24" i="159"/>
  <c r="W24" i="159"/>
  <c r="V24" i="159"/>
  <c r="U24" i="159"/>
  <c r="T24" i="159"/>
  <c r="S24" i="159"/>
  <c r="R24" i="159"/>
  <c r="Q24" i="159"/>
  <c r="P24" i="159"/>
  <c r="O24" i="159"/>
  <c r="N24" i="159"/>
  <c r="M24" i="159"/>
  <c r="L24" i="159"/>
  <c r="K24" i="159"/>
  <c r="J24" i="159" s="1"/>
  <c r="H24" i="159"/>
  <c r="G24" i="159"/>
  <c r="F24" i="159"/>
  <c r="E24" i="159"/>
  <c r="B24" i="159"/>
  <c r="AE23" i="159"/>
  <c r="AD23" i="159"/>
  <c r="AC23" i="159"/>
  <c r="AA23" i="159"/>
  <c r="Z23" i="159"/>
  <c r="Y23" i="159"/>
  <c r="X23" i="159"/>
  <c r="W23" i="159"/>
  <c r="V23" i="159"/>
  <c r="U23" i="159"/>
  <c r="S23" i="159"/>
  <c r="R23" i="159"/>
  <c r="Q23" i="159"/>
  <c r="P23" i="159"/>
  <c r="O23" i="159"/>
  <c r="N23" i="159"/>
  <c r="M23" i="159"/>
  <c r="L23" i="159"/>
  <c r="K23" i="159"/>
  <c r="H23" i="159"/>
  <c r="G23" i="159"/>
  <c r="F23" i="159"/>
  <c r="E23" i="159"/>
  <c r="B23" i="159"/>
  <c r="AE22" i="159"/>
  <c r="AD22" i="159"/>
  <c r="AC22" i="159"/>
  <c r="AB22" i="159"/>
  <c r="AA22" i="159"/>
  <c r="Z22" i="159"/>
  <c r="Y22" i="159"/>
  <c r="X22" i="159"/>
  <c r="W22" i="159"/>
  <c r="V22" i="159"/>
  <c r="U22" i="159"/>
  <c r="T22" i="159"/>
  <c r="S22" i="159"/>
  <c r="R22" i="159"/>
  <c r="Q22" i="159"/>
  <c r="P22" i="159"/>
  <c r="O22" i="159"/>
  <c r="N22" i="159"/>
  <c r="M22" i="159"/>
  <c r="L22" i="159"/>
  <c r="K22" i="159"/>
  <c r="H22" i="159"/>
  <c r="G22" i="159"/>
  <c r="F22" i="159"/>
  <c r="E22" i="159"/>
  <c r="B22" i="159"/>
  <c r="AE21" i="159"/>
  <c r="AD21" i="159"/>
  <c r="AC21" i="159"/>
  <c r="AB21" i="159" s="1"/>
  <c r="AA21" i="159"/>
  <c r="Z21" i="159"/>
  <c r="Y21" i="159"/>
  <c r="X21" i="159"/>
  <c r="W21" i="159"/>
  <c r="V21" i="159"/>
  <c r="U21" i="159"/>
  <c r="T21" i="159"/>
  <c r="S21" i="159"/>
  <c r="R21" i="159"/>
  <c r="Q21" i="159"/>
  <c r="P21" i="159"/>
  <c r="O21" i="159"/>
  <c r="N21" i="159"/>
  <c r="M21" i="159"/>
  <c r="L21" i="159"/>
  <c r="K21" i="159"/>
  <c r="J21" i="159" s="1"/>
  <c r="H21" i="159"/>
  <c r="G21" i="159"/>
  <c r="F21" i="159"/>
  <c r="E21" i="159"/>
  <c r="B21" i="159"/>
  <c r="AE20" i="159"/>
  <c r="AD20" i="159"/>
  <c r="AC20" i="159"/>
  <c r="AA20" i="159"/>
  <c r="Z20" i="159"/>
  <c r="Y20" i="159"/>
  <c r="X20" i="159"/>
  <c r="W20" i="159"/>
  <c r="V20" i="159"/>
  <c r="U20" i="159"/>
  <c r="T20" i="159"/>
  <c r="S20" i="159"/>
  <c r="R20" i="159"/>
  <c r="Q20" i="159"/>
  <c r="P20" i="159"/>
  <c r="O20" i="159"/>
  <c r="N20" i="159"/>
  <c r="M20" i="159"/>
  <c r="L20" i="159"/>
  <c r="K20" i="159"/>
  <c r="H20" i="159"/>
  <c r="G20" i="159"/>
  <c r="F20" i="159"/>
  <c r="E20" i="159"/>
  <c r="B20" i="159"/>
  <c r="AE19" i="159"/>
  <c r="AD19" i="159"/>
  <c r="AC19" i="159"/>
  <c r="AA19" i="159"/>
  <c r="Z19" i="159"/>
  <c r="Y19" i="159"/>
  <c r="X19" i="159"/>
  <c r="W19" i="159"/>
  <c r="V19" i="159"/>
  <c r="U19" i="159"/>
  <c r="T19" i="159"/>
  <c r="S19" i="159"/>
  <c r="R19" i="159"/>
  <c r="Q19" i="159"/>
  <c r="P19" i="159"/>
  <c r="O19" i="159"/>
  <c r="N19" i="159"/>
  <c r="M19" i="159"/>
  <c r="L19" i="159"/>
  <c r="K19" i="159"/>
  <c r="H19" i="159"/>
  <c r="G19" i="159"/>
  <c r="F19" i="159"/>
  <c r="E19" i="159"/>
  <c r="D19" i="159" s="1"/>
  <c r="B19" i="159"/>
  <c r="AE18" i="159"/>
  <c r="AD18" i="159"/>
  <c r="AC18" i="159"/>
  <c r="AA18" i="159"/>
  <c r="Z18" i="159"/>
  <c r="Y18" i="159"/>
  <c r="X18" i="159"/>
  <c r="W18" i="159"/>
  <c r="V18" i="159"/>
  <c r="U18" i="159"/>
  <c r="S18" i="159"/>
  <c r="R18" i="159"/>
  <c r="Q18" i="159"/>
  <c r="P18" i="159"/>
  <c r="O18" i="159"/>
  <c r="N18" i="159"/>
  <c r="M18" i="159"/>
  <c r="L18" i="159"/>
  <c r="K18" i="159"/>
  <c r="H18" i="159"/>
  <c r="G18" i="159"/>
  <c r="F18" i="159"/>
  <c r="E18" i="159"/>
  <c r="D18" i="159" s="1"/>
  <c r="B18" i="159"/>
  <c r="AE17" i="159"/>
  <c r="AD17" i="159"/>
  <c r="AC17" i="159"/>
  <c r="AB17" i="159" s="1"/>
  <c r="AA17" i="159"/>
  <c r="Z17" i="159"/>
  <c r="Y17" i="159"/>
  <c r="X17" i="159"/>
  <c r="W17" i="159"/>
  <c r="V17" i="159"/>
  <c r="U17" i="159"/>
  <c r="S17" i="159"/>
  <c r="R17" i="159"/>
  <c r="Q17" i="159"/>
  <c r="P17" i="159"/>
  <c r="O17" i="159"/>
  <c r="N17" i="159"/>
  <c r="M17" i="159"/>
  <c r="L17" i="159"/>
  <c r="K17" i="159"/>
  <c r="H17" i="159"/>
  <c r="G17" i="159"/>
  <c r="F17" i="159"/>
  <c r="D17" i="159" s="1"/>
  <c r="E17" i="159"/>
  <c r="B17" i="159"/>
  <c r="AE16" i="159"/>
  <c r="AC16" i="159"/>
  <c r="AA16" i="159"/>
  <c r="Z16" i="159"/>
  <c r="Y16" i="159"/>
  <c r="X16" i="159"/>
  <c r="W16" i="159"/>
  <c r="V16" i="159"/>
  <c r="U16" i="159"/>
  <c r="T16" i="159"/>
  <c r="S16" i="159"/>
  <c r="R16" i="159"/>
  <c r="J16" i="159" s="1"/>
  <c r="Q16" i="159"/>
  <c r="P16" i="159"/>
  <c r="O16" i="159"/>
  <c r="N16" i="159"/>
  <c r="M16" i="159"/>
  <c r="L16" i="159"/>
  <c r="K16" i="159"/>
  <c r="H16" i="159"/>
  <c r="G16" i="159"/>
  <c r="F16" i="159"/>
  <c r="E16" i="159"/>
  <c r="B16" i="159"/>
  <c r="AE15" i="159"/>
  <c r="AC15" i="159"/>
  <c r="AA15" i="159"/>
  <c r="Z15" i="159"/>
  <c r="Y15" i="159"/>
  <c r="X15" i="159"/>
  <c r="W15" i="159"/>
  <c r="V15" i="159"/>
  <c r="U15" i="159"/>
  <c r="S15" i="159"/>
  <c r="R15" i="159"/>
  <c r="Q15" i="159"/>
  <c r="P15" i="159"/>
  <c r="O15" i="159"/>
  <c r="M15" i="159"/>
  <c r="H15" i="159"/>
  <c r="G15" i="159"/>
  <c r="F15" i="159"/>
  <c r="E15" i="159"/>
  <c r="D15" i="159" s="1"/>
  <c r="B15" i="159"/>
  <c r="AE14" i="159"/>
  <c r="AD14" i="159"/>
  <c r="AC14" i="159"/>
  <c r="AB14" i="159" s="1"/>
  <c r="AA14" i="159"/>
  <c r="Z14" i="159"/>
  <c r="Y14" i="159"/>
  <c r="X14" i="159"/>
  <c r="W14" i="159"/>
  <c r="V14" i="159"/>
  <c r="U14" i="159"/>
  <c r="T14" i="159"/>
  <c r="S14" i="159"/>
  <c r="R14" i="159"/>
  <c r="Q14" i="159"/>
  <c r="P14" i="159"/>
  <c r="O14" i="159"/>
  <c r="N14" i="159"/>
  <c r="M14" i="159"/>
  <c r="L14" i="159"/>
  <c r="K14" i="159"/>
  <c r="H14" i="159"/>
  <c r="G14" i="159"/>
  <c r="F14" i="159"/>
  <c r="E14" i="159"/>
  <c r="B14" i="159"/>
  <c r="AE13" i="159"/>
  <c r="AD13" i="159"/>
  <c r="AC13" i="159"/>
  <c r="AB13" i="159"/>
  <c r="AA13" i="159"/>
  <c r="Z13" i="159"/>
  <c r="Y13" i="159"/>
  <c r="X13" i="159"/>
  <c r="W13" i="159"/>
  <c r="V13" i="159"/>
  <c r="U13" i="159"/>
  <c r="T13" i="159"/>
  <c r="S13" i="159"/>
  <c r="R13" i="159"/>
  <c r="Q13" i="159"/>
  <c r="P13" i="159"/>
  <c r="O13" i="159"/>
  <c r="N13" i="159"/>
  <c r="M13" i="159"/>
  <c r="L13" i="159"/>
  <c r="K13" i="159"/>
  <c r="H13" i="159"/>
  <c r="G13" i="159"/>
  <c r="F13" i="159"/>
  <c r="E13" i="159"/>
  <c r="B13" i="159"/>
  <c r="AE12" i="159"/>
  <c r="AD12" i="159"/>
  <c r="AB12" i="159" s="1"/>
  <c r="AC12" i="159"/>
  <c r="AA12" i="159"/>
  <c r="Z12" i="159"/>
  <c r="Y12" i="159"/>
  <c r="Y11" i="159" s="1"/>
  <c r="X12" i="159"/>
  <c r="W12" i="159"/>
  <c r="V12" i="159"/>
  <c r="U12" i="159"/>
  <c r="T12" i="159"/>
  <c r="S12" i="159"/>
  <c r="R12" i="159"/>
  <c r="Q12" i="159"/>
  <c r="P12" i="159"/>
  <c r="M12" i="159"/>
  <c r="L12" i="159"/>
  <c r="K12" i="159"/>
  <c r="H12" i="159"/>
  <c r="G12" i="159"/>
  <c r="F12" i="159"/>
  <c r="E12" i="159"/>
  <c r="B12" i="159"/>
  <c r="B11" i="159"/>
  <c r="B10" i="159"/>
  <c r="I9" i="159"/>
  <c r="V8" i="159"/>
  <c r="U8" i="159"/>
  <c r="T8" i="159"/>
  <c r="S8" i="159"/>
  <c r="R8" i="159"/>
  <c r="Q8" i="159"/>
  <c r="P8" i="159"/>
  <c r="O8" i="159"/>
  <c r="N8" i="159"/>
  <c r="M8" i="159"/>
  <c r="L8" i="159"/>
  <c r="AA6" i="159"/>
  <c r="AB53" i="159" l="1"/>
  <c r="AB18" i="159"/>
  <c r="D57" i="159"/>
  <c r="J117" i="159"/>
  <c r="H11" i="159"/>
  <c r="AB19" i="159"/>
  <c r="J22" i="159"/>
  <c r="D24" i="159"/>
  <c r="C24" i="159" s="1"/>
  <c r="D33" i="159"/>
  <c r="D34" i="159"/>
  <c r="C34" i="159" s="1"/>
  <c r="AB35" i="159"/>
  <c r="J38" i="159"/>
  <c r="U48" i="159"/>
  <c r="D53" i="159"/>
  <c r="T56" i="159"/>
  <c r="J79" i="159"/>
  <c r="C79" i="159" s="1"/>
  <c r="J105" i="159"/>
  <c r="J108" i="159"/>
  <c r="D23" i="159"/>
  <c r="U11" i="159"/>
  <c r="AB34" i="159"/>
  <c r="J30" i="159"/>
  <c r="G41" i="159"/>
  <c r="S56" i="159"/>
  <c r="L60" i="159"/>
  <c r="X60" i="159"/>
  <c r="D64" i="159"/>
  <c r="J104" i="159"/>
  <c r="R11" i="159"/>
  <c r="AB20" i="159"/>
  <c r="D54" i="159"/>
  <c r="H56" i="159"/>
  <c r="Y60" i="159"/>
  <c r="AE60" i="159"/>
  <c r="J29" i="159"/>
  <c r="H48" i="159"/>
  <c r="D99" i="159"/>
  <c r="Z11" i="159"/>
  <c r="J118" i="159"/>
  <c r="D32" i="159"/>
  <c r="S11" i="159"/>
  <c r="J51" i="159"/>
  <c r="L56" i="159"/>
  <c r="D67" i="159"/>
  <c r="D98" i="159"/>
  <c r="R56" i="159"/>
  <c r="D13" i="159"/>
  <c r="AB31" i="159"/>
  <c r="AB68" i="159"/>
  <c r="D16" i="159"/>
  <c r="D14" i="159"/>
  <c r="D21" i="159"/>
  <c r="C21" i="159" s="1"/>
  <c r="AB23" i="159"/>
  <c r="AB39" i="159"/>
  <c r="O56" i="159"/>
  <c r="AC60" i="159"/>
  <c r="Q60" i="159"/>
  <c r="AA60" i="159"/>
  <c r="J14" i="159"/>
  <c r="C14" i="159" s="1"/>
  <c r="R42" i="159"/>
  <c r="R41" i="159" s="1"/>
  <c r="W11" i="159"/>
  <c r="Q11" i="159"/>
  <c r="J19" i="159"/>
  <c r="D22" i="159"/>
  <c r="D29" i="159"/>
  <c r="D38" i="159"/>
  <c r="C38" i="159" s="1"/>
  <c r="D47" i="159"/>
  <c r="D42" i="159" s="1"/>
  <c r="J55" i="159"/>
  <c r="C55" i="159" s="1"/>
  <c r="W60" i="159"/>
  <c r="AB69" i="159"/>
  <c r="D95" i="159"/>
  <c r="D118" i="159"/>
  <c r="S60" i="159"/>
  <c r="J107" i="159"/>
  <c r="AA11" i="159"/>
  <c r="J27" i="159"/>
  <c r="C27" i="159" s="1"/>
  <c r="D30" i="159"/>
  <c r="AB33" i="159"/>
  <c r="AD42" i="159"/>
  <c r="AB49" i="159"/>
  <c r="AB48" i="159" s="1"/>
  <c r="AB52" i="159"/>
  <c r="AD56" i="159"/>
  <c r="P56" i="159"/>
  <c r="D107" i="159"/>
  <c r="D108" i="159"/>
  <c r="J111" i="159"/>
  <c r="D56" i="159"/>
  <c r="C22" i="159"/>
  <c r="D12" i="159"/>
  <c r="E11" i="159"/>
  <c r="AE11" i="159"/>
  <c r="K60" i="159"/>
  <c r="F11" i="159"/>
  <c r="P11" i="159"/>
  <c r="X11" i="159"/>
  <c r="D31" i="159"/>
  <c r="AC42" i="159"/>
  <c r="AC41" i="159" s="1"/>
  <c r="S42" i="159"/>
  <c r="Q42" i="159"/>
  <c r="P48" i="159"/>
  <c r="P41" i="159" s="1"/>
  <c r="O48" i="159"/>
  <c r="N48" i="159"/>
  <c r="N41" i="159" s="1"/>
  <c r="V48" i="159"/>
  <c r="V41" i="159" s="1"/>
  <c r="D77" i="159"/>
  <c r="G11" i="159"/>
  <c r="C19" i="159"/>
  <c r="J20" i="159"/>
  <c r="D28" i="159"/>
  <c r="J33" i="159"/>
  <c r="D39" i="159"/>
  <c r="AB42" i="159"/>
  <c r="H42" i="159"/>
  <c r="D45" i="159"/>
  <c r="F48" i="159"/>
  <c r="D51" i="159"/>
  <c r="E48" i="159"/>
  <c r="E41" i="159" s="1"/>
  <c r="J53" i="159"/>
  <c r="C53" i="159" s="1"/>
  <c r="D61" i="159"/>
  <c r="M42" i="159"/>
  <c r="U42" i="159"/>
  <c r="U41" i="159" s="1"/>
  <c r="C46" i="159"/>
  <c r="J54" i="159"/>
  <c r="C54" i="159" s="1"/>
  <c r="P60" i="159"/>
  <c r="AB63" i="159"/>
  <c r="AD60" i="159"/>
  <c r="D66" i="159"/>
  <c r="F60" i="159"/>
  <c r="AB57" i="159"/>
  <c r="AB56" i="159" s="1"/>
  <c r="AC56" i="159"/>
  <c r="AC11" i="159"/>
  <c r="D20" i="159"/>
  <c r="D26" i="159"/>
  <c r="D37" i="159"/>
  <c r="C37" i="159" s="1"/>
  <c r="O42" i="159"/>
  <c r="J44" i="159"/>
  <c r="C44" i="159" s="1"/>
  <c r="J45" i="159"/>
  <c r="K48" i="159"/>
  <c r="S48" i="159"/>
  <c r="H60" i="159"/>
  <c r="R60" i="159"/>
  <c r="Z60" i="159"/>
  <c r="J13" i="159"/>
  <c r="C13" i="159" s="1"/>
  <c r="J31" i="159"/>
  <c r="J35" i="159"/>
  <c r="C35" i="159" s="1"/>
  <c r="J40" i="159"/>
  <c r="C40" i="159" s="1"/>
  <c r="F42" i="159"/>
  <c r="F41" i="159" s="1"/>
  <c r="D49" i="159"/>
  <c r="L48" i="159"/>
  <c r="L41" i="159" s="1"/>
  <c r="F56" i="159"/>
  <c r="C117" i="159"/>
  <c r="M11" i="159"/>
  <c r="V11" i="159"/>
  <c r="K56" i="159"/>
  <c r="AB60" i="159"/>
  <c r="AD48" i="159"/>
  <c r="AD41" i="159" s="1"/>
  <c r="K42" i="159"/>
  <c r="C33" i="159" l="1"/>
  <c r="C51" i="159"/>
  <c r="O41" i="159"/>
  <c r="K41" i="159"/>
  <c r="H41" i="159"/>
  <c r="D48" i="159"/>
  <c r="D41" i="159" s="1"/>
  <c r="S41" i="159"/>
  <c r="D11" i="159"/>
  <c r="C45" i="159"/>
  <c r="D60" i="159"/>
  <c r="C20" i="159"/>
  <c r="AB41" i="159"/>
  <c r="C31" i="159"/>
  <c r="N15" i="11"/>
  <c r="N15" i="160" l="1"/>
  <c r="N15" i="161"/>
  <c r="N15" i="159"/>
  <c r="T43" i="11"/>
  <c r="T15" i="11"/>
  <c r="L15" i="11"/>
  <c r="T43" i="160" l="1"/>
  <c r="T43" i="161"/>
  <c r="T43" i="159"/>
  <c r="L15" i="160"/>
  <c r="L15" i="161"/>
  <c r="L15" i="159"/>
  <c r="T15" i="161"/>
  <c r="T15" i="160"/>
  <c r="T15" i="159"/>
  <c r="AE48" i="1"/>
  <c r="G48" i="170" s="1"/>
  <c r="H48" i="170" s="1"/>
  <c r="J43" i="159" l="1"/>
  <c r="J43" i="161"/>
  <c r="J43" i="160"/>
  <c r="Y59" i="1"/>
  <c r="J35" i="66"/>
  <c r="O35" i="66" s="1"/>
  <c r="T35" i="66" s="1"/>
  <c r="W35" i="66" s="1"/>
  <c r="I35" i="66"/>
  <c r="N35" i="66" s="1"/>
  <c r="T34" i="66"/>
  <c r="W34" i="66" s="1"/>
  <c r="F34" i="66"/>
  <c r="I34" i="66" s="1"/>
  <c r="N34" i="66" s="1"/>
  <c r="T33" i="66"/>
  <c r="W33" i="66" s="1"/>
  <c r="K33" i="66"/>
  <c r="F33" i="66"/>
  <c r="I33" i="66" s="1"/>
  <c r="N33" i="66" s="1"/>
  <c r="O32" i="66"/>
  <c r="J32" i="66"/>
  <c r="N31" i="66"/>
  <c r="J31" i="66"/>
  <c r="F31" i="66" s="1"/>
  <c r="O30" i="66"/>
  <c r="T30" i="66" s="1"/>
  <c r="W30" i="66" s="1"/>
  <c r="N30" i="66"/>
  <c r="I30" i="66"/>
  <c r="F30" i="66" s="1"/>
  <c r="J29" i="66"/>
  <c r="O29" i="66" s="1"/>
  <c r="T29" i="66" s="1"/>
  <c r="W29" i="66" s="1"/>
  <c r="I29" i="66"/>
  <c r="N29" i="66" s="1"/>
  <c r="K29" i="66" s="1"/>
  <c r="O28" i="66"/>
  <c r="T28" i="66" s="1"/>
  <c r="W28" i="66" s="1"/>
  <c r="I28" i="66"/>
  <c r="N28" i="66" s="1"/>
  <c r="J27" i="66"/>
  <c r="O27" i="66" s="1"/>
  <c r="T27" i="66" s="1"/>
  <c r="W27" i="66" s="1"/>
  <c r="I27" i="66"/>
  <c r="F27" i="66" s="1"/>
  <c r="H27" i="66" s="1"/>
  <c r="J26" i="66"/>
  <c r="O26" i="66" s="1"/>
  <c r="T26" i="66" s="1"/>
  <c r="W26" i="66" s="1"/>
  <c r="I26" i="66"/>
  <c r="J25" i="66"/>
  <c r="O25" i="66" s="1"/>
  <c r="T25" i="66" s="1"/>
  <c r="W25" i="66" s="1"/>
  <c r="I25" i="66"/>
  <c r="N25" i="66" s="1"/>
  <c r="J24" i="66"/>
  <c r="O24" i="66" s="1"/>
  <c r="T24" i="66" s="1"/>
  <c r="W24" i="66" s="1"/>
  <c r="I24" i="66"/>
  <c r="J23" i="66"/>
  <c r="O23" i="66" s="1"/>
  <c r="T23" i="66" s="1"/>
  <c r="W23" i="66" s="1"/>
  <c r="I23" i="66"/>
  <c r="N23" i="66" s="1"/>
  <c r="J22" i="66"/>
  <c r="O22" i="66" s="1"/>
  <c r="T22" i="66" s="1"/>
  <c r="W22" i="66" s="1"/>
  <c r="I22" i="66"/>
  <c r="N22" i="66" s="1"/>
  <c r="O21" i="66"/>
  <c r="T21" i="66" s="1"/>
  <c r="W21" i="66" s="1"/>
  <c r="J21" i="66"/>
  <c r="I21" i="66"/>
  <c r="N21" i="66" s="1"/>
  <c r="J20" i="66"/>
  <c r="I20" i="66"/>
  <c r="N20" i="66" s="1"/>
  <c r="S20" i="66" s="1"/>
  <c r="V20" i="66" s="1"/>
  <c r="J19" i="66"/>
  <c r="O19" i="66" s="1"/>
  <c r="T19" i="66" s="1"/>
  <c r="W19" i="66" s="1"/>
  <c r="I19" i="66"/>
  <c r="N19" i="66" s="1"/>
  <c r="N18" i="66"/>
  <c r="J18" i="66"/>
  <c r="O18" i="66" s="1"/>
  <c r="T18" i="66" s="1"/>
  <c r="W18" i="66" s="1"/>
  <c r="I18" i="66"/>
  <c r="O16" i="66"/>
  <c r="T16" i="66" s="1"/>
  <c r="W16" i="66" s="1"/>
  <c r="J16" i="66"/>
  <c r="I16" i="66"/>
  <c r="N16" i="66" s="1"/>
  <c r="S16" i="66" s="1"/>
  <c r="V16" i="66" s="1"/>
  <c r="F16" i="66"/>
  <c r="J15" i="66"/>
  <c r="O15" i="66" s="1"/>
  <c r="I15" i="66"/>
  <c r="N15" i="66" s="1"/>
  <c r="O13" i="66"/>
  <c r="N13" i="66"/>
  <c r="K13" i="66" s="1"/>
  <c r="J13" i="66"/>
  <c r="F13" i="66" s="1"/>
  <c r="I13" i="66"/>
  <c r="O12" i="66"/>
  <c r="N12" i="66"/>
  <c r="J12" i="66"/>
  <c r="I12" i="66"/>
  <c r="O11" i="66"/>
  <c r="N11" i="66"/>
  <c r="J11" i="66"/>
  <c r="I11" i="66"/>
  <c r="J10" i="66"/>
  <c r="O10" i="66" s="1"/>
  <c r="T10" i="66" s="1"/>
  <c r="W10" i="66" s="1"/>
  <c r="I10" i="66"/>
  <c r="F10" i="66" s="1"/>
  <c r="S21" i="66" l="1"/>
  <c r="V21" i="66" s="1"/>
  <c r="K21" i="66"/>
  <c r="T32" i="66"/>
  <c r="W32" i="66" s="1"/>
  <c r="N10" i="66"/>
  <c r="S10" i="66" s="1"/>
  <c r="F18" i="66"/>
  <c r="F21" i="66"/>
  <c r="F29" i="66"/>
  <c r="P29" i="66" s="1"/>
  <c r="F26" i="66"/>
  <c r="H26" i="66" s="1"/>
  <c r="F24" i="66"/>
  <c r="K18" i="66"/>
  <c r="T13" i="66"/>
  <c r="W13" i="66" s="1"/>
  <c r="C43" i="161"/>
  <c r="C43" i="159"/>
  <c r="K12" i="66"/>
  <c r="J17" i="66"/>
  <c r="J14" i="66" s="1"/>
  <c r="F23" i="66"/>
  <c r="C43" i="160"/>
  <c r="P33" i="66"/>
  <c r="U33" i="66" s="1"/>
  <c r="I9" i="66"/>
  <c r="S11" i="66"/>
  <c r="V11" i="66" s="1"/>
  <c r="T11" i="66"/>
  <c r="W11" i="66" s="1"/>
  <c r="P13" i="66"/>
  <c r="F12" i="66"/>
  <c r="F32" i="66"/>
  <c r="H32" i="66" s="1"/>
  <c r="K30" i="66"/>
  <c r="P30" i="66" s="1"/>
  <c r="O9" i="66"/>
  <c r="T12" i="66"/>
  <c r="W12" i="66" s="1"/>
  <c r="K23" i="66"/>
  <c r="S23" i="66"/>
  <c r="V23" i="66" s="1"/>
  <c r="V10" i="66"/>
  <c r="S34" i="66"/>
  <c r="V34" i="66" s="1"/>
  <c r="K34" i="66"/>
  <c r="P34" i="66" s="1"/>
  <c r="S15" i="66"/>
  <c r="V15" i="66" s="1"/>
  <c r="K15" i="66"/>
  <c r="K28" i="66"/>
  <c r="S28" i="66"/>
  <c r="V28" i="66" s="1"/>
  <c r="K19" i="66"/>
  <c r="S19" i="66"/>
  <c r="V19" i="66" s="1"/>
  <c r="H18" i="66"/>
  <c r="M18" i="66"/>
  <c r="P18" i="66"/>
  <c r="K22" i="66"/>
  <c r="S22" i="66"/>
  <c r="V22" i="66" s="1"/>
  <c r="K35" i="66"/>
  <c r="P35" i="66" s="1"/>
  <c r="S35" i="66"/>
  <c r="V35" i="66" s="1"/>
  <c r="S25" i="66"/>
  <c r="V25" i="66" s="1"/>
  <c r="K25" i="66"/>
  <c r="S33" i="66"/>
  <c r="V33" i="66" s="1"/>
  <c r="N32" i="66"/>
  <c r="H10" i="66"/>
  <c r="H16" i="66"/>
  <c r="F19" i="66"/>
  <c r="F22" i="66"/>
  <c r="N24" i="66"/>
  <c r="N17" i="66" s="1"/>
  <c r="S17" i="66" s="1"/>
  <c r="V17" i="66" s="1"/>
  <c r="S30" i="66"/>
  <c r="V30" i="66" s="1"/>
  <c r="N9" i="66"/>
  <c r="J9" i="66"/>
  <c r="F11" i="66"/>
  <c r="O20" i="66"/>
  <c r="O31" i="66"/>
  <c r="T31" i="66" s="1"/>
  <c r="W31" i="66" s="1"/>
  <c r="S13" i="66"/>
  <c r="V13" i="66" s="1"/>
  <c r="K10" i="66"/>
  <c r="S12" i="66"/>
  <c r="V12" i="66" s="1"/>
  <c r="T15" i="66"/>
  <c r="W15" i="66" s="1"/>
  <c r="I17" i="66"/>
  <c r="I14" i="66" s="1"/>
  <c r="F20" i="66"/>
  <c r="H20" i="66" s="1"/>
  <c r="F25" i="66"/>
  <c r="N26" i="66"/>
  <c r="N27" i="66"/>
  <c r="S29" i="66"/>
  <c r="V29" i="66" s="1"/>
  <c r="F35" i="66"/>
  <c r="K16" i="66"/>
  <c r="S18" i="66"/>
  <c r="V18" i="66" s="1"/>
  <c r="K11" i="66"/>
  <c r="F15" i="66"/>
  <c r="F28" i="66"/>
  <c r="I32" i="66"/>
  <c r="S31" i="66"/>
  <c r="V31" i="66" s="1"/>
  <c r="R33" i="66" l="1"/>
  <c r="W9" i="66"/>
  <c r="I8" i="66"/>
  <c r="I7" i="66" s="1"/>
  <c r="U29" i="66"/>
  <c r="R29" i="66"/>
  <c r="P12" i="66"/>
  <c r="U12" i="66" s="1"/>
  <c r="F17" i="66"/>
  <c r="H17" i="66" s="1"/>
  <c r="P21" i="66"/>
  <c r="J8" i="66"/>
  <c r="J7" i="66" s="1"/>
  <c r="P23" i="66"/>
  <c r="U23" i="66" s="1"/>
  <c r="P28" i="66"/>
  <c r="R28" i="66" s="1"/>
  <c r="S32" i="66"/>
  <c r="V32" i="66" s="1"/>
  <c r="S9" i="66"/>
  <c r="T9" i="66"/>
  <c r="V9" i="66"/>
  <c r="F9" i="66"/>
  <c r="H11" i="66"/>
  <c r="U35" i="66"/>
  <c r="R35" i="66"/>
  <c r="U34" i="66"/>
  <c r="R34" i="66"/>
  <c r="P16" i="66"/>
  <c r="M16" i="66"/>
  <c r="K32" i="66"/>
  <c r="U30" i="66"/>
  <c r="M10" i="66"/>
  <c r="K9" i="66"/>
  <c r="P10" i="66"/>
  <c r="P25" i="66"/>
  <c r="M25" i="66"/>
  <c r="P15" i="66"/>
  <c r="M15" i="66"/>
  <c r="S27" i="66"/>
  <c r="V27" i="66" s="1"/>
  <c r="K27" i="66"/>
  <c r="S24" i="66"/>
  <c r="V24" i="66" s="1"/>
  <c r="K24" i="66"/>
  <c r="P24" i="66" s="1"/>
  <c r="P22" i="66"/>
  <c r="K31" i="66"/>
  <c r="P31" i="66" s="1"/>
  <c r="K26" i="66"/>
  <c r="S26" i="66"/>
  <c r="V26" i="66" s="1"/>
  <c r="R18" i="66"/>
  <c r="U18" i="66"/>
  <c r="N14" i="66"/>
  <c r="S14" i="66" s="1"/>
  <c r="V14" i="66" s="1"/>
  <c r="F14" i="66"/>
  <c r="H15" i="66"/>
  <c r="H25" i="66"/>
  <c r="O17" i="66"/>
  <c r="K20" i="66"/>
  <c r="T20" i="66"/>
  <c r="W20" i="66" s="1"/>
  <c r="H19" i="66"/>
  <c r="M11" i="66"/>
  <c r="P11" i="66"/>
  <c r="P19" i="66"/>
  <c r="M19" i="66"/>
  <c r="R12" i="66" l="1"/>
  <c r="R21" i="66"/>
  <c r="U21" i="66"/>
  <c r="U28" i="66"/>
  <c r="R23" i="66"/>
  <c r="U10" i="66"/>
  <c r="P9" i="66"/>
  <c r="R10" i="66"/>
  <c r="R19" i="66"/>
  <c r="U19" i="66"/>
  <c r="R24" i="66"/>
  <c r="U24" i="66"/>
  <c r="M9" i="66"/>
  <c r="M32" i="66"/>
  <c r="P32" i="66"/>
  <c r="R11" i="66"/>
  <c r="U11" i="66"/>
  <c r="T17" i="66"/>
  <c r="W17" i="66" s="1"/>
  <c r="O14" i="66"/>
  <c r="U22" i="66"/>
  <c r="R22" i="66"/>
  <c r="N8" i="66"/>
  <c r="P26" i="66"/>
  <c r="M26" i="66"/>
  <c r="P27" i="66"/>
  <c r="M27" i="66"/>
  <c r="U15" i="66"/>
  <c r="R15" i="66"/>
  <c r="R16" i="66"/>
  <c r="U16" i="66"/>
  <c r="U31" i="66"/>
  <c r="R31" i="66"/>
  <c r="U25" i="66"/>
  <c r="R25" i="66"/>
  <c r="P20" i="66"/>
  <c r="M20" i="66"/>
  <c r="K17" i="66"/>
  <c r="H14" i="66"/>
  <c r="H9" i="66"/>
  <c r="F8" i="66"/>
  <c r="T14" i="66" l="1"/>
  <c r="W14" i="66" s="1"/>
  <c r="O8" i="66"/>
  <c r="F7" i="66"/>
  <c r="G8" i="66" s="1"/>
  <c r="H8" i="66"/>
  <c r="M17" i="66"/>
  <c r="P17" i="66"/>
  <c r="K14" i="66"/>
  <c r="R27" i="66"/>
  <c r="U27" i="66"/>
  <c r="S8" i="66"/>
  <c r="V8" i="66" s="1"/>
  <c r="N7" i="66"/>
  <c r="S7" i="66" s="1"/>
  <c r="V7" i="66" s="1"/>
  <c r="R9" i="66"/>
  <c r="U32" i="66"/>
  <c r="R32" i="66"/>
  <c r="R20" i="66"/>
  <c r="U20" i="66"/>
  <c r="U26" i="66"/>
  <c r="R26" i="66"/>
  <c r="U9" i="66"/>
  <c r="P14" i="66" l="1"/>
  <c r="M14" i="66"/>
  <c r="K8" i="66"/>
  <c r="H7" i="66"/>
  <c r="G7" i="66"/>
  <c r="G10" i="66"/>
  <c r="G16" i="66"/>
  <c r="G30" i="66"/>
  <c r="G19" i="66"/>
  <c r="G11" i="66"/>
  <c r="G15" i="66"/>
  <c r="G25" i="66"/>
  <c r="G14" i="66"/>
  <c r="G9" i="66"/>
  <c r="R17" i="66"/>
  <c r="U17" i="66"/>
  <c r="O7" i="66"/>
  <c r="T7" i="66" s="1"/>
  <c r="W7" i="66" s="1"/>
  <c r="T8" i="66"/>
  <c r="W8" i="66" s="1"/>
  <c r="K7" i="66" l="1"/>
  <c r="L8" i="66" s="1"/>
  <c r="P8" i="66"/>
  <c r="M8" i="66"/>
  <c r="U14" i="66"/>
  <c r="R14" i="66"/>
  <c r="R8" i="66" l="1"/>
  <c r="U8" i="66"/>
  <c r="P7" i="66"/>
  <c r="Q8" i="66" s="1"/>
  <c r="L7" i="66"/>
  <c r="M7" i="66"/>
  <c r="L30" i="66"/>
  <c r="L16" i="66"/>
  <c r="L25" i="66"/>
  <c r="L15" i="66"/>
  <c r="L19" i="66"/>
  <c r="L11" i="66"/>
  <c r="L10" i="66"/>
  <c r="L9" i="66"/>
  <c r="L14" i="66"/>
  <c r="U7" i="66" l="1"/>
  <c r="Q7" i="66"/>
  <c r="R7" i="66"/>
  <c r="Q33" i="66"/>
  <c r="Q21" i="66"/>
  <c r="Q29" i="66"/>
  <c r="Q34" i="66"/>
  <c r="Q12" i="66"/>
  <c r="Q28" i="66"/>
  <c r="Q30" i="66"/>
  <c r="Q35" i="66"/>
  <c r="Q18" i="66"/>
  <c r="Q23" i="66"/>
  <c r="Q24" i="66"/>
  <c r="Q11" i="66"/>
  <c r="Q16" i="66"/>
  <c r="Q22" i="66"/>
  <c r="Q15" i="66"/>
  <c r="Q19" i="66"/>
  <c r="Q10" i="66"/>
  <c r="Q31" i="66"/>
  <c r="Q25" i="66"/>
  <c r="Q32" i="66"/>
  <c r="Q27" i="66"/>
  <c r="Q20" i="66"/>
  <c r="Q26" i="66"/>
  <c r="Q9" i="66"/>
  <c r="Q17" i="66"/>
  <c r="Q14" i="66"/>
  <c r="V59" i="65" l="1"/>
  <c r="AA59" i="65" s="1"/>
  <c r="S59" i="65"/>
  <c r="Y59" i="65" s="1"/>
  <c r="AD59" i="65" s="1"/>
  <c r="L59" i="65"/>
  <c r="R59" i="65" s="1"/>
  <c r="H59" i="65"/>
  <c r="X58" i="65"/>
  <c r="AC58" i="65" s="1"/>
  <c r="V58" i="65"/>
  <c r="AA58" i="65" s="1"/>
  <c r="S58" i="65"/>
  <c r="M58" i="65"/>
  <c r="H58" i="65" s="1"/>
  <c r="K58" i="65" s="1"/>
  <c r="Y57" i="65"/>
  <c r="AD57" i="65" s="1"/>
  <c r="V57" i="65"/>
  <c r="AA57" i="65" s="1"/>
  <c r="H57" i="65"/>
  <c r="N57" i="65" s="1"/>
  <c r="AD56" i="65"/>
  <c r="Y56" i="65"/>
  <c r="V56" i="65"/>
  <c r="AA56" i="65" s="1"/>
  <c r="H56" i="65"/>
  <c r="Y55" i="65"/>
  <c r="AD55" i="65" s="1"/>
  <c r="V55" i="65"/>
  <c r="AA55" i="65" s="1"/>
  <c r="K55" i="65"/>
  <c r="H55" i="65"/>
  <c r="Y54" i="65"/>
  <c r="AD54" i="65" s="1"/>
  <c r="V54" i="65"/>
  <c r="AA54" i="65" s="1"/>
  <c r="Y53" i="65"/>
  <c r="AD53" i="65" s="1"/>
  <c r="V53" i="65"/>
  <c r="AA53" i="65" s="1"/>
  <c r="H53" i="65"/>
  <c r="N53" i="65" s="1"/>
  <c r="T53" i="65" s="1"/>
  <c r="U53" i="65" s="1"/>
  <c r="S52" i="65"/>
  <c r="P52" i="65"/>
  <c r="M52" i="65"/>
  <c r="J52" i="65"/>
  <c r="AD51" i="65"/>
  <c r="Y51" i="65"/>
  <c r="X51" i="65"/>
  <c r="AC51" i="65" s="1"/>
  <c r="Q51" i="65"/>
  <c r="N51" i="65"/>
  <c r="T51" i="65" s="1"/>
  <c r="U51" i="65" s="1"/>
  <c r="K51" i="65"/>
  <c r="H51" i="65"/>
  <c r="J51" i="65" s="1"/>
  <c r="Y50" i="65"/>
  <c r="AD50" i="65" s="1"/>
  <c r="X50" i="65"/>
  <c r="AC50" i="65" s="1"/>
  <c r="Q50" i="65"/>
  <c r="Q49" i="65" s="1"/>
  <c r="N50" i="65"/>
  <c r="K50" i="65"/>
  <c r="H50" i="65"/>
  <c r="J50" i="65" s="1"/>
  <c r="J49" i="65" s="1"/>
  <c r="S49" i="65"/>
  <c r="R49" i="65"/>
  <c r="N49" i="65"/>
  <c r="O49" i="65" s="1"/>
  <c r="M49" i="65"/>
  <c r="Y49" i="65" s="1"/>
  <c r="AD49" i="65" s="1"/>
  <c r="L49" i="65"/>
  <c r="H49" i="65"/>
  <c r="I49" i="65" s="1"/>
  <c r="AA48" i="65"/>
  <c r="Y48" i="65"/>
  <c r="AD48" i="65" s="1"/>
  <c r="V48" i="65"/>
  <c r="T48" i="65"/>
  <c r="Z48" i="65" s="1"/>
  <c r="R48" i="65"/>
  <c r="Q48" i="65"/>
  <c r="W48" i="65" s="1"/>
  <c r="AB48" i="65" s="1"/>
  <c r="L48" i="65"/>
  <c r="K48" i="65"/>
  <c r="I48" i="65"/>
  <c r="Y47" i="65"/>
  <c r="AD47" i="65" s="1"/>
  <c r="U47" i="65"/>
  <c r="T47" i="65"/>
  <c r="Z47" i="65" s="1"/>
  <c r="S47" i="65"/>
  <c r="P47" i="65"/>
  <c r="Q47" i="65" s="1"/>
  <c r="O47" i="65"/>
  <c r="M47" i="65"/>
  <c r="J47" i="65"/>
  <c r="K47" i="65" s="1"/>
  <c r="L47" i="65" s="1"/>
  <c r="I47" i="65"/>
  <c r="V46" i="65"/>
  <c r="N46" i="65"/>
  <c r="O46" i="65" s="1"/>
  <c r="K46" i="65"/>
  <c r="L46" i="65" s="1"/>
  <c r="I46" i="65"/>
  <c r="AD45" i="65"/>
  <c r="Y45" i="65"/>
  <c r="P45" i="65"/>
  <c r="V45" i="65" s="1"/>
  <c r="AA45" i="65" s="1"/>
  <c r="J45" i="65"/>
  <c r="H45" i="65"/>
  <c r="Y44" i="65"/>
  <c r="AD44" i="65" s="1"/>
  <c r="U44" i="65"/>
  <c r="T44" i="65"/>
  <c r="Z44" i="65" s="1"/>
  <c r="P44" i="65"/>
  <c r="O44" i="65"/>
  <c r="J44" i="65"/>
  <c r="K44" i="65" s="1"/>
  <c r="L44" i="65" s="1"/>
  <c r="I44" i="65"/>
  <c r="Y43" i="65"/>
  <c r="AD43" i="65" s="1"/>
  <c r="V43" i="65"/>
  <c r="AA43" i="65" s="1"/>
  <c r="T43" i="65"/>
  <c r="U43" i="65" s="1"/>
  <c r="Q43" i="65"/>
  <c r="O43" i="65"/>
  <c r="K43" i="65"/>
  <c r="L43" i="65" s="1"/>
  <c r="I43" i="65"/>
  <c r="Y42" i="65"/>
  <c r="AD42" i="65" s="1"/>
  <c r="V42" i="65"/>
  <c r="AA42" i="65" s="1"/>
  <c r="Q42" i="65"/>
  <c r="R42" i="65" s="1"/>
  <c r="H42" i="65"/>
  <c r="T42" i="65" s="1"/>
  <c r="Z42" i="65" s="1"/>
  <c r="T41" i="65"/>
  <c r="U41" i="65" s="1"/>
  <c r="P41" i="65"/>
  <c r="Q41" i="65" s="1"/>
  <c r="O41" i="65"/>
  <c r="M41" i="65"/>
  <c r="K41" i="65"/>
  <c r="J41" i="65"/>
  <c r="I41" i="65"/>
  <c r="T40" i="65"/>
  <c r="Z40" i="65" s="1"/>
  <c r="R40" i="65"/>
  <c r="X40" i="65" s="1"/>
  <c r="AC40" i="65" s="1"/>
  <c r="Q40" i="65"/>
  <c r="P40" i="65"/>
  <c r="V40" i="65" s="1"/>
  <c r="AA40" i="65" s="1"/>
  <c r="O40" i="65"/>
  <c r="M40" i="65"/>
  <c r="J40" i="65"/>
  <c r="K40" i="65" s="1"/>
  <c r="I40" i="65"/>
  <c r="Y39" i="65"/>
  <c r="AD39" i="65" s="1"/>
  <c r="V39" i="65"/>
  <c r="AA39" i="65" s="1"/>
  <c r="T39" i="65"/>
  <c r="U39" i="65" s="1"/>
  <c r="Q39" i="65"/>
  <c r="R39" i="65" s="1"/>
  <c r="O39" i="65"/>
  <c r="K39" i="65"/>
  <c r="L39" i="65" s="1"/>
  <c r="I39" i="65"/>
  <c r="AD38" i="65"/>
  <c r="Y38" i="65"/>
  <c r="T38" i="65"/>
  <c r="U38" i="65" s="1"/>
  <c r="P38" i="65"/>
  <c r="V38" i="65" s="1"/>
  <c r="AA38" i="65" s="1"/>
  <c r="O38" i="65"/>
  <c r="J38" i="65"/>
  <c r="K38" i="65" s="1"/>
  <c r="L38" i="65" s="1"/>
  <c r="I38" i="65"/>
  <c r="Y37" i="65"/>
  <c r="AD37" i="65" s="1"/>
  <c r="T37" i="65"/>
  <c r="Z37" i="65" s="1"/>
  <c r="P37" i="65"/>
  <c r="O37" i="65"/>
  <c r="J37" i="65"/>
  <c r="K37" i="65" s="1"/>
  <c r="L37" i="65" s="1"/>
  <c r="I37" i="65"/>
  <c r="T36" i="65"/>
  <c r="U36" i="65" s="1"/>
  <c r="S36" i="65"/>
  <c r="Y36" i="65" s="1"/>
  <c r="AD36" i="65" s="1"/>
  <c r="R36" i="65"/>
  <c r="X36" i="65" s="1"/>
  <c r="AC36" i="65" s="1"/>
  <c r="P36" i="65"/>
  <c r="Q36" i="65" s="1"/>
  <c r="W36" i="65" s="1"/>
  <c r="AB36" i="65" s="1"/>
  <c r="O36" i="65"/>
  <c r="M36" i="65"/>
  <c r="K36" i="65"/>
  <c r="L36" i="65" s="1"/>
  <c r="J36" i="65"/>
  <c r="I36" i="65"/>
  <c r="T35" i="65"/>
  <c r="Z35" i="65" s="1"/>
  <c r="S35" i="65"/>
  <c r="P35" i="65"/>
  <c r="M35" i="65"/>
  <c r="Y35" i="65" s="1"/>
  <c r="AD35" i="65" s="1"/>
  <c r="J35" i="65"/>
  <c r="K35" i="65" s="1"/>
  <c r="L35" i="65" s="1"/>
  <c r="T34" i="65"/>
  <c r="Z34" i="65" s="1"/>
  <c r="S34" i="65"/>
  <c r="Y34" i="65" s="1"/>
  <c r="AD34" i="65" s="1"/>
  <c r="P34" i="65"/>
  <c r="V34" i="65" s="1"/>
  <c r="AA34" i="65" s="1"/>
  <c r="O34" i="65"/>
  <c r="M34" i="65"/>
  <c r="J34" i="65"/>
  <c r="K34" i="65" s="1"/>
  <c r="L34" i="65" s="1"/>
  <c r="I34" i="65"/>
  <c r="T33" i="65"/>
  <c r="Z33" i="65" s="1"/>
  <c r="S33" i="65"/>
  <c r="P33" i="65"/>
  <c r="V33" i="65" s="1"/>
  <c r="AA33" i="65" s="1"/>
  <c r="M33" i="65"/>
  <c r="K33" i="65"/>
  <c r="L33" i="65" s="1"/>
  <c r="J33" i="65"/>
  <c r="Z32" i="65"/>
  <c r="Y32" i="65"/>
  <c r="AD32" i="65" s="1"/>
  <c r="T32" i="65"/>
  <c r="U32" i="65" s="1"/>
  <c r="P32" i="65"/>
  <c r="V32" i="65" s="1"/>
  <c r="AA32" i="65" s="1"/>
  <c r="J32" i="65"/>
  <c r="K32" i="65" s="1"/>
  <c r="L32" i="65" s="1"/>
  <c r="Y31" i="65"/>
  <c r="AD31" i="65" s="1"/>
  <c r="T31" i="65"/>
  <c r="Z31" i="65" s="1"/>
  <c r="P31" i="65"/>
  <c r="Q31" i="65" s="1"/>
  <c r="J31" i="65"/>
  <c r="K31" i="65" s="1"/>
  <c r="L31" i="65" s="1"/>
  <c r="T30" i="65"/>
  <c r="U30" i="65" s="1"/>
  <c r="S30" i="65"/>
  <c r="Y30" i="65" s="1"/>
  <c r="AD30" i="65" s="1"/>
  <c r="P30" i="65"/>
  <c r="Q30" i="65" s="1"/>
  <c r="M30" i="65"/>
  <c r="J30" i="65"/>
  <c r="T29" i="65"/>
  <c r="Z29" i="65" s="1"/>
  <c r="S29" i="65"/>
  <c r="S28" i="65" s="1"/>
  <c r="P29" i="65"/>
  <c r="V29" i="65" s="1"/>
  <c r="AA29" i="65" s="1"/>
  <c r="M29" i="65"/>
  <c r="K29" i="65"/>
  <c r="J29" i="65"/>
  <c r="N28" i="65"/>
  <c r="T28" i="65" s="1"/>
  <c r="Z28" i="65" s="1"/>
  <c r="I28" i="65"/>
  <c r="H28" i="65"/>
  <c r="AD27" i="65"/>
  <c r="Z27" i="65"/>
  <c r="Y27" i="65"/>
  <c r="X27" i="65"/>
  <c r="AC27" i="65" s="1"/>
  <c r="W27" i="65"/>
  <c r="AB27" i="65" s="1"/>
  <c r="V27" i="65"/>
  <c r="AA27" i="65" s="1"/>
  <c r="T27" i="65"/>
  <c r="Y26" i="65"/>
  <c r="AD26" i="65" s="1"/>
  <c r="T26" i="65"/>
  <c r="Z26" i="65" s="1"/>
  <c r="P26" i="65"/>
  <c r="Q26" i="65" s="1"/>
  <c r="J26" i="65"/>
  <c r="K26" i="65" s="1"/>
  <c r="L26" i="65" s="1"/>
  <c r="AD25" i="65"/>
  <c r="Y25" i="65"/>
  <c r="T25" i="65"/>
  <c r="Z25" i="65" s="1"/>
  <c r="Q25" i="65"/>
  <c r="P25" i="65"/>
  <c r="V25" i="65" s="1"/>
  <c r="AA25" i="65" s="1"/>
  <c r="J25" i="65"/>
  <c r="K25" i="65" s="1"/>
  <c r="L25" i="65" s="1"/>
  <c r="Y24" i="65"/>
  <c r="AD24" i="65" s="1"/>
  <c r="T24" i="65"/>
  <c r="Z24" i="65" s="1"/>
  <c r="P24" i="65"/>
  <c r="J24" i="65"/>
  <c r="K24" i="65" s="1"/>
  <c r="L24" i="65" s="1"/>
  <c r="Y23" i="65"/>
  <c r="AD23" i="65" s="1"/>
  <c r="V23" i="65"/>
  <c r="AA23" i="65" s="1"/>
  <c r="N23" i="65"/>
  <c r="O23" i="65" s="1"/>
  <c r="H23" i="65"/>
  <c r="I23" i="65" s="1"/>
  <c r="Y22" i="65"/>
  <c r="AD22" i="65" s="1"/>
  <c r="T22" i="65"/>
  <c r="Z22" i="65" s="1"/>
  <c r="P22" i="65"/>
  <c r="V22" i="65" s="1"/>
  <c r="AA22" i="65" s="1"/>
  <c r="L22" i="65"/>
  <c r="J22" i="65"/>
  <c r="K22" i="65" s="1"/>
  <c r="Z21" i="65"/>
  <c r="Y21" i="65"/>
  <c r="AD21" i="65" s="1"/>
  <c r="U21" i="65"/>
  <c r="T21" i="65"/>
  <c r="Q21" i="65"/>
  <c r="P21" i="65"/>
  <c r="J21" i="65"/>
  <c r="K21" i="65" s="1"/>
  <c r="L21" i="65" s="1"/>
  <c r="Z20" i="65"/>
  <c r="Y20" i="65"/>
  <c r="AD20" i="65" s="1"/>
  <c r="T20" i="65"/>
  <c r="Q20" i="65"/>
  <c r="R20" i="65" s="1"/>
  <c r="X20" i="65" s="1"/>
  <c r="AC20" i="65" s="1"/>
  <c r="P20" i="65"/>
  <c r="V20" i="65" s="1"/>
  <c r="AA20" i="65" s="1"/>
  <c r="K20" i="65"/>
  <c r="L20" i="65" s="1"/>
  <c r="J20" i="65"/>
  <c r="Y19" i="65"/>
  <c r="AD19" i="65" s="1"/>
  <c r="T19" i="65"/>
  <c r="U19" i="65" s="1"/>
  <c r="Q19" i="65"/>
  <c r="R19" i="65" s="1"/>
  <c r="P19" i="65"/>
  <c r="J19" i="65"/>
  <c r="K19" i="65" s="1"/>
  <c r="Y18" i="65"/>
  <c r="AD18" i="65" s="1"/>
  <c r="T18" i="65"/>
  <c r="Z18" i="65" s="1"/>
  <c r="P18" i="65"/>
  <c r="K18" i="65"/>
  <c r="L18" i="65" s="1"/>
  <c r="J18" i="65"/>
  <c r="Y17" i="65"/>
  <c r="AD17" i="65" s="1"/>
  <c r="V17" i="65"/>
  <c r="AA17" i="65" s="1"/>
  <c r="N17" i="65"/>
  <c r="T17" i="65" s="1"/>
  <c r="K17" i="65"/>
  <c r="H17" i="65"/>
  <c r="L17" i="65" s="1"/>
  <c r="Y16" i="65"/>
  <c r="AD16" i="65" s="1"/>
  <c r="T16" i="65"/>
  <c r="Z16" i="65" s="1"/>
  <c r="Q16" i="65"/>
  <c r="R16" i="65" s="1"/>
  <c r="P16" i="65"/>
  <c r="K16" i="65"/>
  <c r="J16" i="65"/>
  <c r="Y15" i="65"/>
  <c r="AD15" i="65" s="1"/>
  <c r="T15" i="65"/>
  <c r="Z15" i="65" s="1"/>
  <c r="Q15" i="65"/>
  <c r="R15" i="65" s="1"/>
  <c r="P15" i="65"/>
  <c r="J15" i="65"/>
  <c r="K15" i="65" s="1"/>
  <c r="L15" i="65" s="1"/>
  <c r="Y14" i="65"/>
  <c r="AD14" i="65" s="1"/>
  <c r="T14" i="65"/>
  <c r="Z14" i="65" s="1"/>
  <c r="P14" i="65"/>
  <c r="L14" i="65"/>
  <c r="K14" i="65"/>
  <c r="J14" i="65"/>
  <c r="Y13" i="65"/>
  <c r="AD13" i="65" s="1"/>
  <c r="T13" i="65"/>
  <c r="U13" i="65" s="1"/>
  <c r="P13" i="65"/>
  <c r="Q13" i="65" s="1"/>
  <c r="J13" i="65"/>
  <c r="K13" i="65" s="1"/>
  <c r="L13" i="65" s="1"/>
  <c r="Y12" i="65"/>
  <c r="AD12" i="65" s="1"/>
  <c r="T12" i="65"/>
  <c r="Z12" i="65" s="1"/>
  <c r="Q12" i="65"/>
  <c r="R12" i="65" s="1"/>
  <c r="P12" i="65"/>
  <c r="J12" i="65"/>
  <c r="S11" i="65"/>
  <c r="N11" i="65"/>
  <c r="M11" i="65"/>
  <c r="H11" i="65"/>
  <c r="H9" i="65" s="1"/>
  <c r="T57" i="65" l="1"/>
  <c r="Z57" i="65" s="1"/>
  <c r="R57" i="65"/>
  <c r="R47" i="65"/>
  <c r="W47" i="65"/>
  <c r="AB47" i="65" s="1"/>
  <c r="U12" i="65"/>
  <c r="Q29" i="65"/>
  <c r="W29" i="65" s="1"/>
  <c r="AB29" i="65" s="1"/>
  <c r="W50" i="65"/>
  <c r="AB50" i="65" s="1"/>
  <c r="I11" i="65"/>
  <c r="Q22" i="65"/>
  <c r="R22" i="65" s="1"/>
  <c r="X22" i="65" s="1"/>
  <c r="AC22" i="65" s="1"/>
  <c r="V24" i="65"/>
  <c r="AA24" i="65" s="1"/>
  <c r="U29" i="65"/>
  <c r="U31" i="65"/>
  <c r="Q34" i="65"/>
  <c r="Q38" i="65"/>
  <c r="Y52" i="65"/>
  <c r="AD52" i="65" s="1"/>
  <c r="K57" i="65"/>
  <c r="Q33" i="65"/>
  <c r="W33" i="65" s="1"/>
  <c r="AB33" i="65" s="1"/>
  <c r="U40" i="65"/>
  <c r="K42" i="65"/>
  <c r="L42" i="65" s="1"/>
  <c r="V52" i="65"/>
  <c r="AA52" i="65" s="1"/>
  <c r="H54" i="65"/>
  <c r="I54" i="65" s="1"/>
  <c r="L57" i="65"/>
  <c r="U24" i="65"/>
  <c r="Z39" i="65"/>
  <c r="X49" i="65"/>
  <c r="AC49" i="65" s="1"/>
  <c r="T11" i="65"/>
  <c r="O11" i="65"/>
  <c r="O17" i="65"/>
  <c r="V21" i="65"/>
  <c r="AA21" i="65" s="1"/>
  <c r="V26" i="65"/>
  <c r="AA26" i="65" s="1"/>
  <c r="O28" i="65"/>
  <c r="U34" i="65"/>
  <c r="X48" i="65"/>
  <c r="AC48" i="65" s="1"/>
  <c r="N55" i="65"/>
  <c r="T55" i="65" s="1"/>
  <c r="W40" i="65"/>
  <c r="AB40" i="65" s="1"/>
  <c r="Z36" i="65"/>
  <c r="Y11" i="65"/>
  <c r="W21" i="65"/>
  <c r="AB21" i="65" s="1"/>
  <c r="V30" i="65"/>
  <c r="AA30" i="65" s="1"/>
  <c r="P51" i="65"/>
  <c r="V51" i="65" s="1"/>
  <c r="AA51" i="65" s="1"/>
  <c r="J11" i="65"/>
  <c r="U48" i="65"/>
  <c r="W16" i="65"/>
  <c r="AB16" i="65" s="1"/>
  <c r="L29" i="65"/>
  <c r="K49" i="65"/>
  <c r="M28" i="65"/>
  <c r="M9" i="65" s="1"/>
  <c r="M8" i="65" s="1"/>
  <c r="M60" i="65" s="1"/>
  <c r="Y58" i="65"/>
  <c r="AD58" i="65" s="1"/>
  <c r="W13" i="65"/>
  <c r="AB13" i="65" s="1"/>
  <c r="R13" i="65"/>
  <c r="X13" i="65" s="1"/>
  <c r="AC13" i="65" s="1"/>
  <c r="U17" i="65"/>
  <c r="Z17" i="65"/>
  <c r="L19" i="65"/>
  <c r="X19" i="65" s="1"/>
  <c r="AC19" i="65" s="1"/>
  <c r="W19" i="65"/>
  <c r="AB19" i="65" s="1"/>
  <c r="W15" i="65"/>
  <c r="AB15" i="65" s="1"/>
  <c r="X15" i="65"/>
  <c r="AC15" i="65" s="1"/>
  <c r="R31" i="65"/>
  <c r="X31" i="65" s="1"/>
  <c r="AC31" i="65" s="1"/>
  <c r="W31" i="65"/>
  <c r="AB31" i="65" s="1"/>
  <c r="AD11" i="65"/>
  <c r="I9" i="65"/>
  <c r="H8" i="65"/>
  <c r="H10" i="65"/>
  <c r="I10" i="65" s="1"/>
  <c r="U11" i="65"/>
  <c r="Z11" i="65"/>
  <c r="V19" i="65"/>
  <c r="AA19" i="65" s="1"/>
  <c r="R25" i="65"/>
  <c r="X25" i="65" s="1"/>
  <c r="AC25" i="65" s="1"/>
  <c r="W25" i="65"/>
  <c r="AB25" i="65" s="1"/>
  <c r="R29" i="65"/>
  <c r="V31" i="65"/>
  <c r="AA31" i="65" s="1"/>
  <c r="V12" i="65"/>
  <c r="AA12" i="65" s="1"/>
  <c r="V14" i="65"/>
  <c r="AA14" i="65" s="1"/>
  <c r="Q14" i="65"/>
  <c r="Q35" i="65"/>
  <c r="V35" i="65"/>
  <c r="AA35" i="65" s="1"/>
  <c r="W41" i="65"/>
  <c r="AB41" i="65" s="1"/>
  <c r="T49" i="65"/>
  <c r="P11" i="65"/>
  <c r="K12" i="65"/>
  <c r="W12" i="65"/>
  <c r="AB12" i="65" s="1"/>
  <c r="Z13" i="65"/>
  <c r="L16" i="65"/>
  <c r="X16" i="65" s="1"/>
  <c r="AC16" i="65" s="1"/>
  <c r="Q17" i="65"/>
  <c r="U18" i="65"/>
  <c r="R21" i="65"/>
  <c r="X21" i="65" s="1"/>
  <c r="AC21" i="65" s="1"/>
  <c r="L23" i="65"/>
  <c r="K23" i="65" s="1"/>
  <c r="Q24" i="65"/>
  <c r="U25" i="65"/>
  <c r="U28" i="65"/>
  <c r="Q32" i="65"/>
  <c r="R33" i="65"/>
  <c r="X33" i="65" s="1"/>
  <c r="AC33" i="65" s="1"/>
  <c r="U37" i="65"/>
  <c r="X39" i="65"/>
  <c r="AC39" i="65" s="1"/>
  <c r="Q44" i="65"/>
  <c r="V44" i="65"/>
  <c r="AA44" i="65" s="1"/>
  <c r="T50" i="65"/>
  <c r="P50" i="65"/>
  <c r="N56" i="65"/>
  <c r="K56" i="65"/>
  <c r="K54" i="65" s="1"/>
  <c r="Q11" i="65"/>
  <c r="V16" i="65"/>
  <c r="AA16" i="65" s="1"/>
  <c r="K30" i="65"/>
  <c r="J28" i="65"/>
  <c r="V28" i="65" s="1"/>
  <c r="AA28" i="65" s="1"/>
  <c r="Y33" i="65"/>
  <c r="AD33" i="65" s="1"/>
  <c r="Z38" i="65"/>
  <c r="S40" i="65"/>
  <c r="X42" i="65"/>
  <c r="AC42" i="65" s="1"/>
  <c r="Z43" i="65"/>
  <c r="K45" i="65"/>
  <c r="L45" i="65" s="1"/>
  <c r="I45" i="65"/>
  <c r="N45" i="65"/>
  <c r="N9" i="65" s="1"/>
  <c r="Q46" i="65"/>
  <c r="W49" i="65"/>
  <c r="AB49" i="65" s="1"/>
  <c r="Z51" i="65"/>
  <c r="I53" i="65"/>
  <c r="Z53" i="65"/>
  <c r="L56" i="65"/>
  <c r="U14" i="65"/>
  <c r="Z19" i="65"/>
  <c r="Q23" i="65"/>
  <c r="V36" i="65"/>
  <c r="AA36" i="65" s="1"/>
  <c r="V41" i="65"/>
  <c r="AA41" i="65" s="1"/>
  <c r="T46" i="65"/>
  <c r="U46" i="65" s="1"/>
  <c r="V47" i="65"/>
  <c r="AA47" i="65" s="1"/>
  <c r="K53" i="65"/>
  <c r="W26" i="65"/>
  <c r="AB26" i="65" s="1"/>
  <c r="Z30" i="65"/>
  <c r="X47" i="65"/>
  <c r="AC47" i="65" s="1"/>
  <c r="O53" i="65"/>
  <c r="V15" i="65"/>
  <c r="AA15" i="65" s="1"/>
  <c r="I17" i="65"/>
  <c r="T23" i="65"/>
  <c r="R26" i="65"/>
  <c r="X26" i="65" s="1"/>
  <c r="AC26" i="65" s="1"/>
  <c r="Y29" i="65"/>
  <c r="AD29" i="65" s="1"/>
  <c r="W38" i="65"/>
  <c r="AB38" i="65" s="1"/>
  <c r="R38" i="65"/>
  <c r="X38" i="65" s="1"/>
  <c r="AC38" i="65" s="1"/>
  <c r="W39" i="65"/>
  <c r="AB39" i="65" s="1"/>
  <c r="L41" i="65"/>
  <c r="R41" i="65" s="1"/>
  <c r="X41" i="65" s="1"/>
  <c r="AC41" i="65" s="1"/>
  <c r="Z41" i="65"/>
  <c r="W42" i="65"/>
  <c r="AB42" i="65" s="1"/>
  <c r="R43" i="65"/>
  <c r="X43" i="65" s="1"/>
  <c r="AC43" i="65" s="1"/>
  <c r="W43" i="65"/>
  <c r="AB43" i="65" s="1"/>
  <c r="W51" i="65"/>
  <c r="AB51" i="65" s="1"/>
  <c r="Q53" i="65"/>
  <c r="N59" i="65"/>
  <c r="T59" i="65" s="1"/>
  <c r="K59" i="65"/>
  <c r="V13" i="65"/>
  <c r="AA13" i="65" s="1"/>
  <c r="Q18" i="65"/>
  <c r="V18" i="65"/>
  <c r="AA18" i="65" s="1"/>
  <c r="W20" i="65"/>
  <c r="AB20" i="65" s="1"/>
  <c r="R30" i="65"/>
  <c r="Q37" i="65"/>
  <c r="V37" i="65"/>
  <c r="AA37" i="65" s="1"/>
  <c r="Q59" i="65"/>
  <c r="X59" i="65"/>
  <c r="AC59" i="65" s="1"/>
  <c r="L55" i="65"/>
  <c r="N58" i="65"/>
  <c r="Q57" i="65"/>
  <c r="W57" i="65" s="1"/>
  <c r="AB57" i="65" s="1"/>
  <c r="Y28" i="65" l="1"/>
  <c r="AD28" i="65" s="1"/>
  <c r="Q55" i="65"/>
  <c r="M10" i="65"/>
  <c r="L54" i="65"/>
  <c r="W22" i="65"/>
  <c r="AB22" i="65" s="1"/>
  <c r="N54" i="65"/>
  <c r="T54" i="65" s="1"/>
  <c r="H52" i="65"/>
  <c r="I52" i="65" s="1"/>
  <c r="X57" i="65"/>
  <c r="AC57" i="65" s="1"/>
  <c r="W59" i="65"/>
  <c r="AB59" i="65" s="1"/>
  <c r="R34" i="65"/>
  <c r="X34" i="65" s="1"/>
  <c r="AC34" i="65" s="1"/>
  <c r="W34" i="65"/>
  <c r="AB34" i="65" s="1"/>
  <c r="P9" i="65"/>
  <c r="V11" i="65"/>
  <c r="R46" i="65"/>
  <c r="X46" i="65" s="1"/>
  <c r="W46" i="65"/>
  <c r="W18" i="65"/>
  <c r="AB18" i="65" s="1"/>
  <c r="R18" i="65"/>
  <c r="X18" i="65" s="1"/>
  <c r="AC18" i="65" s="1"/>
  <c r="U23" i="65"/>
  <c r="Z23" i="65"/>
  <c r="L53" i="65"/>
  <c r="L52" i="65" s="1"/>
  <c r="K52" i="65"/>
  <c r="O45" i="65"/>
  <c r="T45" i="65"/>
  <c r="Q45" i="65"/>
  <c r="Z55" i="65"/>
  <c r="U55" i="65"/>
  <c r="R32" i="65"/>
  <c r="X32" i="65" s="1"/>
  <c r="AC32" i="65" s="1"/>
  <c r="W32" i="65"/>
  <c r="AB32" i="65" s="1"/>
  <c r="U49" i="65"/>
  <c r="Z49" i="65"/>
  <c r="L30" i="65"/>
  <c r="L28" i="65" s="1"/>
  <c r="W30" i="65"/>
  <c r="AB30" i="65" s="1"/>
  <c r="V50" i="65"/>
  <c r="AA50" i="65" s="1"/>
  <c r="P49" i="65"/>
  <c r="V49" i="65" s="1"/>
  <c r="AA49" i="65" s="1"/>
  <c r="R17" i="65"/>
  <c r="X17" i="65" s="1"/>
  <c r="AC17" i="65" s="1"/>
  <c r="W17" i="65"/>
  <c r="AB17" i="65" s="1"/>
  <c r="X29" i="65"/>
  <c r="AC29" i="65" s="1"/>
  <c r="Z50" i="65"/>
  <c r="U50" i="65"/>
  <c r="K28" i="65"/>
  <c r="S41" i="65"/>
  <c r="Y41" i="65" s="1"/>
  <c r="AD41" i="65" s="1"/>
  <c r="Q28" i="65"/>
  <c r="Z59" i="65"/>
  <c r="U59" i="65"/>
  <c r="N52" i="65"/>
  <c r="Q9" i="65"/>
  <c r="U54" i="65"/>
  <c r="Z54" i="65"/>
  <c r="N10" i="65"/>
  <c r="N8" i="65"/>
  <c r="O9" i="65"/>
  <c r="W37" i="65"/>
  <c r="AB37" i="65" s="1"/>
  <c r="R37" i="65"/>
  <c r="X37" i="65" s="1"/>
  <c r="AC37" i="65" s="1"/>
  <c r="W53" i="65"/>
  <c r="AB53" i="65" s="1"/>
  <c r="R53" i="65"/>
  <c r="W44" i="65"/>
  <c r="AB44" i="65" s="1"/>
  <c r="R44" i="65"/>
  <c r="X44" i="65" s="1"/>
  <c r="AC44" i="65" s="1"/>
  <c r="W24" i="65"/>
  <c r="AB24" i="65" s="1"/>
  <c r="R24" i="65"/>
  <c r="X24" i="65" s="1"/>
  <c r="AC24" i="65" s="1"/>
  <c r="W35" i="65"/>
  <c r="AB35" i="65" s="1"/>
  <c r="R35" i="65"/>
  <c r="X35" i="65" s="1"/>
  <c r="AC35" i="65" s="1"/>
  <c r="H60" i="65"/>
  <c r="I8" i="65"/>
  <c r="T58" i="65"/>
  <c r="Q58" i="65"/>
  <c r="W58" i="65" s="1"/>
  <c r="AB58" i="65" s="1"/>
  <c r="W55" i="65"/>
  <c r="AB55" i="65" s="1"/>
  <c r="R55" i="65"/>
  <c r="Q54" i="65"/>
  <c r="W54" i="65" s="1"/>
  <c r="AB54" i="65" s="1"/>
  <c r="X30" i="65"/>
  <c r="AC30" i="65" s="1"/>
  <c r="R23" i="65"/>
  <c r="X23" i="65" s="1"/>
  <c r="AC23" i="65" s="1"/>
  <c r="W23" i="65"/>
  <c r="AB23" i="65" s="1"/>
  <c r="Y40" i="65"/>
  <c r="T56" i="65"/>
  <c r="Q56" i="65"/>
  <c r="K11" i="65"/>
  <c r="W11" i="65" s="1"/>
  <c r="L12" i="65"/>
  <c r="W14" i="65"/>
  <c r="AB14" i="65" s="1"/>
  <c r="R14" i="65"/>
  <c r="X14" i="65" s="1"/>
  <c r="AC14" i="65" s="1"/>
  <c r="J9" i="65"/>
  <c r="Q52" i="65" l="1"/>
  <c r="W52" i="65" s="1"/>
  <c r="AB52" i="65" s="1"/>
  <c r="AB11" i="65"/>
  <c r="L11" i="65"/>
  <c r="L9" i="65" s="1"/>
  <c r="X12" i="65"/>
  <c r="AC12" i="65" s="1"/>
  <c r="K9" i="65"/>
  <c r="R45" i="65"/>
  <c r="X45" i="65" s="1"/>
  <c r="AC45" i="65" s="1"/>
  <c r="W45" i="65"/>
  <c r="AB45" i="65" s="1"/>
  <c r="X55" i="65"/>
  <c r="AC55" i="65" s="1"/>
  <c r="T52" i="65"/>
  <c r="O52" i="65"/>
  <c r="R28" i="65"/>
  <c r="X28" i="65" s="1"/>
  <c r="AC28" i="65" s="1"/>
  <c r="U45" i="65"/>
  <c r="Z45" i="65"/>
  <c r="Z9" i="65" s="1"/>
  <c r="T9" i="65"/>
  <c r="U9" i="65" s="1"/>
  <c r="Q10" i="65"/>
  <c r="Q8" i="65"/>
  <c r="R56" i="65"/>
  <c r="X56" i="65" s="1"/>
  <c r="AC56" i="65" s="1"/>
  <c r="W56" i="65"/>
  <c r="AB56" i="65" s="1"/>
  <c r="J10" i="65"/>
  <c r="J8" i="65"/>
  <c r="J60" i="65" s="1"/>
  <c r="U56" i="65"/>
  <c r="Z56" i="65"/>
  <c r="X53" i="65"/>
  <c r="AC53" i="65" s="1"/>
  <c r="N60" i="65"/>
  <c r="T60" i="65" s="1"/>
  <c r="O8" i="65"/>
  <c r="T8" i="65"/>
  <c r="AA11" i="65"/>
  <c r="AA9" i="65" s="1"/>
  <c r="V9" i="65"/>
  <c r="R11" i="65"/>
  <c r="AD40" i="65"/>
  <c r="AD9" i="65" s="1"/>
  <c r="Y9" i="65"/>
  <c r="S9" i="65"/>
  <c r="Z58" i="65"/>
  <c r="U58" i="65"/>
  <c r="T10" i="65"/>
  <c r="O10" i="65"/>
  <c r="W28" i="65"/>
  <c r="AB28" i="65" s="1"/>
  <c r="P8" i="65"/>
  <c r="P10" i="65"/>
  <c r="V10" i="65" l="1"/>
  <c r="AA10" i="65" s="1"/>
  <c r="K10" i="65"/>
  <c r="K8" i="65"/>
  <c r="K60" i="65" s="1"/>
  <c r="Z8" i="65"/>
  <c r="U8" i="65"/>
  <c r="L10" i="65"/>
  <c r="L8" i="65"/>
  <c r="L60" i="65" s="1"/>
  <c r="S10" i="65"/>
  <c r="Y10" i="65" s="1"/>
  <c r="AD10" i="65" s="1"/>
  <c r="S8" i="65"/>
  <c r="U60" i="65"/>
  <c r="Z60" i="65"/>
  <c r="Z52" i="65"/>
  <c r="U52" i="65"/>
  <c r="W9" i="65"/>
  <c r="R9" i="65"/>
  <c r="X11" i="65"/>
  <c r="Q60" i="65"/>
  <c r="W8" i="65"/>
  <c r="AB8" i="65" s="1"/>
  <c r="AB9" i="65"/>
  <c r="Z10" i="65"/>
  <c r="U10" i="65"/>
  <c r="P60" i="65"/>
  <c r="V60" i="65" s="1"/>
  <c r="AA60" i="65" s="1"/>
  <c r="V8" i="65"/>
  <c r="AA8" i="65" s="1"/>
  <c r="W10" i="65"/>
  <c r="AB10" i="65" s="1"/>
  <c r="R54" i="65"/>
  <c r="W60" i="65" l="1"/>
  <c r="AB60" i="65" s="1"/>
  <c r="S60" i="65"/>
  <c r="Y60" i="65" s="1"/>
  <c r="AD60" i="65" s="1"/>
  <c r="Y8" i="65"/>
  <c r="AD8" i="65" s="1"/>
  <c r="R8" i="65"/>
  <c r="R10" i="65"/>
  <c r="X10" i="65" s="1"/>
  <c r="AC10" i="65" s="1"/>
  <c r="X54" i="65"/>
  <c r="AC54" i="65" s="1"/>
  <c r="R52" i="65"/>
  <c r="X52" i="65" s="1"/>
  <c r="AC52" i="65" s="1"/>
  <c r="AC11" i="65"/>
  <c r="AC9" i="65" s="1"/>
  <c r="X9" i="65"/>
  <c r="R60" i="65" l="1"/>
  <c r="X60" i="65" s="1"/>
  <c r="AC60" i="65" s="1"/>
  <c r="X8" i="65"/>
  <c r="AC8" i="65" s="1"/>
  <c r="B14" i="71" l="1"/>
  <c r="B9" i="71"/>
  <c r="B10" i="71"/>
  <c r="B8" i="71"/>
  <c r="D31" i="113"/>
  <c r="D32" i="113"/>
  <c r="D33" i="113"/>
  <c r="D34" i="113"/>
  <c r="D35" i="113"/>
  <c r="D36" i="113"/>
  <c r="D30" i="113"/>
  <c r="D27" i="113"/>
  <c r="E27" i="113"/>
  <c r="E18" i="113"/>
  <c r="B43" i="139" l="1"/>
  <c r="B43" i="140" s="1"/>
  <c r="B43" i="141" s="1"/>
  <c r="B43" i="142" s="1"/>
  <c r="B43" i="143" s="1"/>
  <c r="B43" i="144" s="1"/>
  <c r="B43" i="145" s="1"/>
  <c r="B43" i="146" s="1"/>
  <c r="B43" i="147" s="1"/>
  <c r="B43" i="148" s="1"/>
  <c r="B43" i="149" s="1"/>
  <c r="B43" i="150" s="1"/>
  <c r="B44" i="139"/>
  <c r="B44" i="140" s="1"/>
  <c r="B44" i="141" s="1"/>
  <c r="B44" i="142" s="1"/>
  <c r="B44" i="143" s="1"/>
  <c r="B44" i="144" s="1"/>
  <c r="B44" i="145" s="1"/>
  <c r="B44" i="146" s="1"/>
  <c r="B44" i="147" s="1"/>
  <c r="B44" i="148" s="1"/>
  <c r="B44" i="149" s="1"/>
  <c r="B44" i="150" s="1"/>
  <c r="B45" i="139"/>
  <c r="B45" i="140" s="1"/>
  <c r="B45" i="141" s="1"/>
  <c r="B45" i="142" s="1"/>
  <c r="B45" i="143" s="1"/>
  <c r="B45" i="144" s="1"/>
  <c r="B45" i="145" s="1"/>
  <c r="B45" i="146" s="1"/>
  <c r="B45" i="147" s="1"/>
  <c r="B45" i="148" s="1"/>
  <c r="B45" i="149" s="1"/>
  <c r="B45" i="150" s="1"/>
  <c r="B42" i="139"/>
  <c r="B42" i="140" s="1"/>
  <c r="B42" i="141" s="1"/>
  <c r="B42" i="142" s="1"/>
  <c r="B42" i="143" s="1"/>
  <c r="B42" i="144" s="1"/>
  <c r="B42" i="145" s="1"/>
  <c r="B42" i="146" s="1"/>
  <c r="B42" i="147" s="1"/>
  <c r="B42" i="148" s="1"/>
  <c r="B42" i="149" s="1"/>
  <c r="B42" i="150" s="1"/>
  <c r="B132" i="150"/>
  <c r="B131" i="150"/>
  <c r="B130" i="150"/>
  <c r="B129" i="150"/>
  <c r="B128" i="150"/>
  <c r="C126" i="150"/>
  <c r="B127" i="150"/>
  <c r="B126" i="150"/>
  <c r="B125" i="150"/>
  <c r="A119" i="150"/>
  <c r="A118" i="150"/>
  <c r="B132" i="149"/>
  <c r="B131" i="149"/>
  <c r="B130" i="149"/>
  <c r="B129" i="149"/>
  <c r="B128" i="149"/>
  <c r="B127" i="149"/>
  <c r="B126" i="149"/>
  <c r="B125" i="149"/>
  <c r="A119" i="149"/>
  <c r="A118" i="149"/>
  <c r="B132" i="148"/>
  <c r="B131" i="148"/>
  <c r="B130" i="148"/>
  <c r="B129" i="148"/>
  <c r="B128" i="148"/>
  <c r="B127" i="148"/>
  <c r="B126" i="148"/>
  <c r="B125" i="148"/>
  <c r="A119" i="148"/>
  <c r="A118" i="148"/>
  <c r="B132" i="147"/>
  <c r="B131" i="147"/>
  <c r="B130" i="147"/>
  <c r="B129" i="147"/>
  <c r="B128" i="147"/>
  <c r="B127" i="147"/>
  <c r="B126" i="147"/>
  <c r="B125" i="147"/>
  <c r="A119" i="147"/>
  <c r="A118" i="147"/>
  <c r="B132" i="146"/>
  <c r="B131" i="146"/>
  <c r="B130" i="146"/>
  <c r="B129" i="146"/>
  <c r="B128" i="146"/>
  <c r="C126" i="146"/>
  <c r="B127" i="146"/>
  <c r="B126" i="146"/>
  <c r="B125" i="146"/>
  <c r="A119" i="146"/>
  <c r="A118" i="146"/>
  <c r="B132" i="145"/>
  <c r="B131" i="145"/>
  <c r="B130" i="145"/>
  <c r="B129" i="145"/>
  <c r="B128" i="145"/>
  <c r="B127" i="145"/>
  <c r="B126" i="145"/>
  <c r="B125" i="145"/>
  <c r="A119" i="145"/>
  <c r="A118" i="145"/>
  <c r="B132" i="144"/>
  <c r="B131" i="144"/>
  <c r="B130" i="144"/>
  <c r="B129" i="144"/>
  <c r="B128" i="144"/>
  <c r="C126" i="144"/>
  <c r="B127" i="144"/>
  <c r="B126" i="144"/>
  <c r="B125" i="144"/>
  <c r="A119" i="144"/>
  <c r="A118" i="144"/>
  <c r="B132" i="143"/>
  <c r="B131" i="143"/>
  <c r="B130" i="143"/>
  <c r="B129" i="143"/>
  <c r="B128" i="143"/>
  <c r="B127" i="143"/>
  <c r="B126" i="143"/>
  <c r="B125" i="143"/>
  <c r="A119" i="143"/>
  <c r="A118" i="143"/>
  <c r="B132" i="142"/>
  <c r="B131" i="142"/>
  <c r="B130" i="142"/>
  <c r="B129" i="142"/>
  <c r="B128" i="142"/>
  <c r="B127" i="142"/>
  <c r="B126" i="142"/>
  <c r="B125" i="142"/>
  <c r="A119" i="142"/>
  <c r="A118" i="142"/>
  <c r="B132" i="141"/>
  <c r="B131" i="141"/>
  <c r="B130" i="141"/>
  <c r="B129" i="141"/>
  <c r="B128" i="141"/>
  <c r="B127" i="141"/>
  <c r="B126" i="141"/>
  <c r="B125" i="141"/>
  <c r="A119" i="141"/>
  <c r="A118" i="141"/>
  <c r="B132" i="140"/>
  <c r="B131" i="140"/>
  <c r="B130" i="140"/>
  <c r="B129" i="140"/>
  <c r="B128" i="140"/>
  <c r="B127" i="140"/>
  <c r="B126" i="140"/>
  <c r="B125" i="140"/>
  <c r="A119" i="140"/>
  <c r="A118" i="140"/>
  <c r="B126" i="139"/>
  <c r="B127" i="139"/>
  <c r="B128" i="139"/>
  <c r="B129" i="139"/>
  <c r="B130" i="139"/>
  <c r="B131" i="139"/>
  <c r="B132" i="139"/>
  <c r="B125" i="139"/>
  <c r="A119" i="139"/>
  <c r="A118" i="139"/>
  <c r="A54" i="139"/>
  <c r="A54" i="140" s="1"/>
  <c r="A54" i="141" s="1"/>
  <c r="A54" i="142" s="1"/>
  <c r="A54" i="143" s="1"/>
  <c r="A54" i="144" s="1"/>
  <c r="A54" i="145" s="1"/>
  <c r="A54" i="146" s="1"/>
  <c r="A54" i="147" s="1"/>
  <c r="A54" i="148" s="1"/>
  <c r="A54" i="149" s="1"/>
  <c r="A54" i="150" s="1"/>
  <c r="AE30" i="36" l="1"/>
  <c r="AF30" i="36"/>
  <c r="AC30" i="36"/>
  <c r="AD30" i="36"/>
  <c r="Q30" i="36"/>
  <c r="R30" i="36"/>
  <c r="AB61" i="36"/>
  <c r="AB32" i="36"/>
  <c r="AB58" i="36"/>
  <c r="AA59" i="36"/>
  <c r="AB59" i="36"/>
  <c r="AB56" i="36" s="1"/>
  <c r="AB57" i="36"/>
  <c r="AA52" i="36"/>
  <c r="AB52" i="36"/>
  <c r="Y56" i="36"/>
  <c r="P58" i="36"/>
  <c r="O59" i="36"/>
  <c r="P59" i="36"/>
  <c r="P61" i="36"/>
  <c r="P57" i="36"/>
  <c r="O45" i="36"/>
  <c r="P45" i="36"/>
  <c r="M56" i="36"/>
  <c r="I57" i="36"/>
  <c r="I58" i="36"/>
  <c r="I59" i="36"/>
  <c r="H59" i="36"/>
  <c r="F56" i="36"/>
  <c r="I51" i="36"/>
  <c r="I52" i="36"/>
  <c r="H51" i="36"/>
  <c r="H52" i="36"/>
  <c r="G52" i="36" s="1"/>
  <c r="E52" i="36" s="1"/>
  <c r="H50" i="36"/>
  <c r="H45" i="36"/>
  <c r="I45" i="36"/>
  <c r="AA36" i="36"/>
  <c r="Z36" i="36" s="1"/>
  <c r="Y31" i="36"/>
  <c r="Y28" i="36"/>
  <c r="L34" i="36"/>
  <c r="R34" i="36" s="1"/>
  <c r="F31" i="36"/>
  <c r="J31" i="36"/>
  <c r="J28" i="36" s="1"/>
  <c r="K31" i="36"/>
  <c r="M31" i="36"/>
  <c r="N34" i="36"/>
  <c r="M28" i="36"/>
  <c r="K28" i="36"/>
  <c r="G34" i="36"/>
  <c r="E34" i="36" s="1"/>
  <c r="G35" i="36"/>
  <c r="D37" i="36"/>
  <c r="C37" i="36"/>
  <c r="C36" i="36"/>
  <c r="C35" i="36"/>
  <c r="F35" i="36" s="1"/>
  <c r="F34" i="36"/>
  <c r="C33" i="36"/>
  <c r="C32" i="36"/>
  <c r="C29" i="36"/>
  <c r="M27" i="36"/>
  <c r="N21" i="36"/>
  <c r="N27" i="36"/>
  <c r="I47" i="158"/>
  <c r="I46" i="158"/>
  <c r="W33" i="158"/>
  <c r="R33" i="158"/>
  <c r="AI27" i="158"/>
  <c r="AJ27" i="158" s="1"/>
  <c r="Z27" i="158"/>
  <c r="U27" i="158"/>
  <c r="P27" i="158"/>
  <c r="O27" i="158"/>
  <c r="L27" i="158"/>
  <c r="G27" i="158"/>
  <c r="D27" i="158"/>
  <c r="AA27" i="158" s="1"/>
  <c r="AC27" i="158" s="1"/>
  <c r="AI26" i="158"/>
  <c r="AJ26" i="158" s="1"/>
  <c r="S26" i="158"/>
  <c r="Q26" i="158"/>
  <c r="D26" i="158"/>
  <c r="AI25" i="158"/>
  <c r="AJ25" i="158" s="1"/>
  <c r="R25" i="158"/>
  <c r="P25" i="158"/>
  <c r="D25" i="158"/>
  <c r="AI24" i="158"/>
  <c r="AJ24" i="158" s="1"/>
  <c r="Q24" i="158"/>
  <c r="D24" i="158"/>
  <c r="AI23" i="158"/>
  <c r="AJ23" i="158" s="1"/>
  <c r="X23" i="158"/>
  <c r="S23" i="158"/>
  <c r="D23" i="158"/>
  <c r="AI22" i="158"/>
  <c r="AJ22" i="158" s="1"/>
  <c r="S22" i="158"/>
  <c r="X22" i="158" s="1"/>
  <c r="D22" i="158"/>
  <c r="AJ21" i="158"/>
  <c r="AI21" i="158"/>
  <c r="Z21" i="158"/>
  <c r="X21" i="158"/>
  <c r="U21" i="158"/>
  <c r="S21" i="158"/>
  <c r="P21" i="158"/>
  <c r="G21" i="158"/>
  <c r="E21" i="158"/>
  <c r="D21" i="158"/>
  <c r="AI20" i="158"/>
  <c r="AJ20" i="158" s="1"/>
  <c r="R20" i="158"/>
  <c r="Q20" i="158"/>
  <c r="P20" i="158" s="1"/>
  <c r="D20" i="158"/>
  <c r="AI19" i="158"/>
  <c r="AJ19" i="158" s="1"/>
  <c r="I19" i="158"/>
  <c r="D19" i="158"/>
  <c r="AI18" i="158"/>
  <c r="AJ18" i="158" s="1"/>
  <c r="S18" i="158"/>
  <c r="D18" i="158"/>
  <c r="AI17" i="158"/>
  <c r="AJ17" i="158" s="1"/>
  <c r="D17" i="158"/>
  <c r="AI16" i="158"/>
  <c r="AJ16" i="158" s="1"/>
  <c r="D16" i="158"/>
  <c r="AJ15" i="158"/>
  <c r="AI15" i="158"/>
  <c r="R15" i="158"/>
  <c r="P15" i="158" s="1"/>
  <c r="D15" i="158"/>
  <c r="AI14" i="158"/>
  <c r="AJ14" i="158" s="1"/>
  <c r="Z14" i="158"/>
  <c r="U14" i="158"/>
  <c r="P14" i="158"/>
  <c r="L14" i="158"/>
  <c r="G14" i="158"/>
  <c r="E14" i="158"/>
  <c r="D14" i="158"/>
  <c r="AI13" i="158"/>
  <c r="AJ13" i="158" s="1"/>
  <c r="R13" i="158"/>
  <c r="P13" i="158" s="1"/>
  <c r="D13" i="158"/>
  <c r="AI12" i="158"/>
  <c r="AJ12" i="158" s="1"/>
  <c r="R12" i="158"/>
  <c r="Q12" i="158"/>
  <c r="P12" i="158" s="1"/>
  <c r="D12" i="158"/>
  <c r="AJ11" i="158"/>
  <c r="AI11" i="158"/>
  <c r="D11" i="158"/>
  <c r="J10" i="158"/>
  <c r="D10" i="158"/>
  <c r="C10" i="158"/>
  <c r="C8" i="158" s="1"/>
  <c r="C7" i="158" s="1"/>
  <c r="J9" i="158"/>
  <c r="J8" i="158"/>
  <c r="J7" i="158" s="1"/>
  <c r="H54" i="157"/>
  <c r="G54" i="157"/>
  <c r="H53" i="157"/>
  <c r="H52" i="157"/>
  <c r="G52" i="157"/>
  <c r="H50" i="157"/>
  <c r="G50" i="157"/>
  <c r="H48" i="157"/>
  <c r="H47" i="157"/>
  <c r="H46" i="157"/>
  <c r="G43" i="157"/>
  <c r="F43" i="157" s="1"/>
  <c r="B43" i="157"/>
  <c r="B42" i="157"/>
  <c r="H36" i="157"/>
  <c r="G36" i="157"/>
  <c r="G28" i="157"/>
  <c r="H19" i="157"/>
  <c r="D8" i="158" l="1"/>
  <c r="D7" i="158" s="1"/>
  <c r="G51" i="36"/>
  <c r="E51" i="36" s="1"/>
  <c r="N45" i="36"/>
  <c r="L45" i="36" s="1"/>
  <c r="AI10" i="158"/>
  <c r="AJ10" i="158" s="1"/>
  <c r="Z59" i="36"/>
  <c r="X59" i="36" s="1"/>
  <c r="E35" i="36"/>
  <c r="D9" i="158"/>
  <c r="X26" i="158"/>
  <c r="R45" i="36"/>
  <c r="N59" i="36"/>
  <c r="L59" i="36" s="1"/>
  <c r="Z52" i="36"/>
  <c r="X52" i="36" s="1"/>
  <c r="AF52" i="36" s="1"/>
  <c r="G45" i="36"/>
  <c r="E45" i="36" s="1"/>
  <c r="I56" i="36"/>
  <c r="G59" i="36"/>
  <c r="E59" i="36" s="1"/>
  <c r="P56" i="36"/>
  <c r="X36" i="36"/>
  <c r="F28" i="36"/>
  <c r="C31" i="36"/>
  <c r="C28" i="36" s="1"/>
  <c r="AI8" i="158"/>
  <c r="AJ8" i="158" s="1"/>
  <c r="AI7" i="158"/>
  <c r="AJ7" i="158" s="1"/>
  <c r="C9" i="158"/>
  <c r="AI9" i="158" s="1"/>
  <c r="AJ9" i="158" s="1"/>
  <c r="AA14" i="158"/>
  <c r="AC14" i="158" s="1"/>
  <c r="X18" i="158"/>
  <c r="P24" i="158"/>
  <c r="P26" i="158"/>
  <c r="F52" i="157"/>
  <c r="F50" i="157"/>
  <c r="F36" i="157"/>
  <c r="H45" i="157"/>
  <c r="F54" i="157"/>
  <c r="AF59" i="36" l="1"/>
  <c r="AD59" i="36"/>
  <c r="R59" i="36"/>
  <c r="B100" i="56" l="1"/>
  <c r="B101" i="56"/>
  <c r="B87" i="56"/>
  <c r="B88" i="56"/>
  <c r="B91" i="56"/>
  <c r="B92" i="56"/>
  <c r="B93" i="56"/>
  <c r="B94" i="56"/>
  <c r="C94" i="11"/>
  <c r="C93" i="11"/>
  <c r="C92" i="11"/>
  <c r="C91" i="11"/>
  <c r="U11" i="11" l="1"/>
  <c r="A77" i="56" l="1"/>
  <c r="A78" i="56"/>
  <c r="A79" i="56"/>
  <c r="A80" i="56"/>
  <c r="A81" i="56"/>
  <c r="A83" i="56"/>
  <c r="A85" i="56"/>
  <c r="A89" i="56"/>
  <c r="A95" i="56"/>
  <c r="A96" i="56"/>
  <c r="A97" i="56"/>
  <c r="A98" i="56"/>
  <c r="A102" i="56"/>
  <c r="A105" i="56"/>
  <c r="A76" i="56"/>
  <c r="L76" i="56"/>
  <c r="M76" i="56"/>
  <c r="N76" i="56"/>
  <c r="O76" i="56"/>
  <c r="P76" i="56"/>
  <c r="Q76" i="56"/>
  <c r="R76" i="56"/>
  <c r="S76" i="56"/>
  <c r="T76" i="56"/>
  <c r="U76" i="56"/>
  <c r="V76" i="56"/>
  <c r="W76" i="56"/>
  <c r="X76" i="56"/>
  <c r="Y76" i="56"/>
  <c r="Z76" i="56"/>
  <c r="AA76" i="56"/>
  <c r="AB76" i="56"/>
  <c r="AC76" i="56"/>
  <c r="AD76" i="56"/>
  <c r="L77" i="56"/>
  <c r="M77" i="56"/>
  <c r="N77" i="56"/>
  <c r="O77" i="56"/>
  <c r="P77" i="56"/>
  <c r="Q77" i="56"/>
  <c r="R77" i="56"/>
  <c r="S77" i="56"/>
  <c r="T77" i="56"/>
  <c r="U77" i="56"/>
  <c r="V77" i="56"/>
  <c r="W77" i="56"/>
  <c r="X77" i="56"/>
  <c r="Y77" i="56"/>
  <c r="Z77" i="56"/>
  <c r="AA77" i="56"/>
  <c r="AC77" i="56"/>
  <c r="AD77" i="56"/>
  <c r="L78" i="56"/>
  <c r="M78" i="56"/>
  <c r="N78" i="56"/>
  <c r="O78" i="56"/>
  <c r="P78" i="56"/>
  <c r="Q78" i="56"/>
  <c r="R78" i="56"/>
  <c r="S78" i="56"/>
  <c r="T78" i="56"/>
  <c r="U78" i="56"/>
  <c r="V78" i="56"/>
  <c r="W78" i="56"/>
  <c r="X78" i="56"/>
  <c r="Y78" i="56"/>
  <c r="Z78" i="56"/>
  <c r="AA78" i="56"/>
  <c r="AB78" i="56"/>
  <c r="AC78" i="56"/>
  <c r="AD78" i="56"/>
  <c r="L79" i="56"/>
  <c r="M79" i="56"/>
  <c r="N79" i="56"/>
  <c r="O79" i="56"/>
  <c r="P79" i="56"/>
  <c r="Q79" i="56"/>
  <c r="R79" i="56"/>
  <c r="S79" i="56"/>
  <c r="T79" i="56"/>
  <c r="U79" i="56"/>
  <c r="V79" i="56"/>
  <c r="W79" i="56"/>
  <c r="X79" i="56"/>
  <c r="Y79" i="56"/>
  <c r="Z79" i="56"/>
  <c r="AA79" i="56"/>
  <c r="AB79" i="56"/>
  <c r="AC79" i="56"/>
  <c r="AD79" i="56"/>
  <c r="L80" i="56"/>
  <c r="M80" i="56"/>
  <c r="N80" i="56"/>
  <c r="O80" i="56"/>
  <c r="P80" i="56"/>
  <c r="Q80" i="56"/>
  <c r="R80" i="56"/>
  <c r="S80" i="56"/>
  <c r="T80" i="56"/>
  <c r="U80" i="56"/>
  <c r="V80" i="56"/>
  <c r="W80" i="56"/>
  <c r="X80" i="56"/>
  <c r="Y80" i="56"/>
  <c r="Z80" i="56"/>
  <c r="AA80" i="56"/>
  <c r="AB80" i="56"/>
  <c r="AC80" i="56"/>
  <c r="AD80" i="56"/>
  <c r="M81" i="56"/>
  <c r="N81" i="56"/>
  <c r="O81" i="56"/>
  <c r="P81" i="56"/>
  <c r="Q81" i="56"/>
  <c r="R81" i="56"/>
  <c r="S81" i="56"/>
  <c r="T81" i="56"/>
  <c r="U81" i="56"/>
  <c r="V81" i="56"/>
  <c r="W81" i="56"/>
  <c r="X81" i="56"/>
  <c r="Y81" i="56"/>
  <c r="Z81" i="56"/>
  <c r="AA81" i="56"/>
  <c r="AB81" i="56"/>
  <c r="AC81" i="56"/>
  <c r="AD81" i="56"/>
  <c r="M82" i="56"/>
  <c r="N82" i="56"/>
  <c r="O82" i="56"/>
  <c r="P82" i="56"/>
  <c r="Q82" i="56"/>
  <c r="R82" i="56"/>
  <c r="S82" i="56"/>
  <c r="T82" i="56"/>
  <c r="U82" i="56"/>
  <c r="V82" i="56"/>
  <c r="W82" i="56"/>
  <c r="X82" i="56"/>
  <c r="Y82" i="56"/>
  <c r="Z82" i="56"/>
  <c r="AA82" i="56"/>
  <c r="AB82" i="56"/>
  <c r="AC82" i="56"/>
  <c r="AD82" i="56"/>
  <c r="N83" i="56"/>
  <c r="O83" i="56"/>
  <c r="P83" i="56"/>
  <c r="Q83" i="56"/>
  <c r="R83" i="56"/>
  <c r="S83" i="56"/>
  <c r="T83" i="56"/>
  <c r="U83" i="56"/>
  <c r="V83" i="56"/>
  <c r="W83" i="56"/>
  <c r="X83" i="56"/>
  <c r="Y83" i="56"/>
  <c r="Z83" i="56"/>
  <c r="AA83" i="56"/>
  <c r="AB83" i="56"/>
  <c r="AC83" i="56"/>
  <c r="AD83" i="56"/>
  <c r="L84" i="56"/>
  <c r="N84" i="56"/>
  <c r="O84" i="56"/>
  <c r="P84" i="56"/>
  <c r="Q84" i="56"/>
  <c r="R84" i="56"/>
  <c r="S84" i="56"/>
  <c r="T84" i="56"/>
  <c r="U84" i="56"/>
  <c r="V84" i="56"/>
  <c r="W84" i="56"/>
  <c r="X84" i="56"/>
  <c r="Y84" i="56"/>
  <c r="Z84" i="56"/>
  <c r="AA84" i="56"/>
  <c r="AB84" i="56"/>
  <c r="AC84" i="56"/>
  <c r="AD84" i="56"/>
  <c r="L85" i="56"/>
  <c r="M85" i="56"/>
  <c r="T85" i="56"/>
  <c r="V85" i="56"/>
  <c r="L86" i="56"/>
  <c r="M86" i="56"/>
  <c r="O86" i="56"/>
  <c r="P86" i="56"/>
  <c r="Q86" i="56"/>
  <c r="R86" i="56"/>
  <c r="S86" i="56"/>
  <c r="T86" i="56"/>
  <c r="U86" i="56"/>
  <c r="V86" i="56"/>
  <c r="W86" i="56"/>
  <c r="X86" i="56"/>
  <c r="Y86" i="56"/>
  <c r="Z86" i="56"/>
  <c r="AA86" i="56"/>
  <c r="AC86" i="56"/>
  <c r="L89" i="56"/>
  <c r="M89" i="56"/>
  <c r="N89" i="56"/>
  <c r="O89" i="56"/>
  <c r="Q89" i="56"/>
  <c r="R89" i="56"/>
  <c r="S89" i="56"/>
  <c r="T89" i="56"/>
  <c r="U89" i="56"/>
  <c r="V89" i="56"/>
  <c r="W89" i="56"/>
  <c r="X89" i="56"/>
  <c r="Y89" i="56"/>
  <c r="Z89" i="56"/>
  <c r="AA89" i="56"/>
  <c r="AB89" i="56"/>
  <c r="AC89" i="56"/>
  <c r="AD89" i="56"/>
  <c r="L90" i="56"/>
  <c r="M90" i="56"/>
  <c r="N90" i="56"/>
  <c r="O90" i="56"/>
  <c r="Q90" i="56"/>
  <c r="R90" i="56"/>
  <c r="S90" i="56"/>
  <c r="T90" i="56"/>
  <c r="U90" i="56"/>
  <c r="V90" i="56"/>
  <c r="W90" i="56"/>
  <c r="X90" i="56"/>
  <c r="Y90" i="56"/>
  <c r="Z90" i="56"/>
  <c r="AA90" i="56"/>
  <c r="AB90" i="56"/>
  <c r="AC90" i="56"/>
  <c r="AD90" i="56"/>
  <c r="L95" i="56"/>
  <c r="M95" i="56"/>
  <c r="N95" i="56"/>
  <c r="O95" i="56"/>
  <c r="P95" i="56"/>
  <c r="Q95" i="56"/>
  <c r="R95" i="56"/>
  <c r="T95" i="56"/>
  <c r="U95" i="56"/>
  <c r="V95" i="56"/>
  <c r="W95" i="56"/>
  <c r="X95" i="56"/>
  <c r="Y95" i="56"/>
  <c r="Z95" i="56"/>
  <c r="AA95" i="56"/>
  <c r="AB95" i="56"/>
  <c r="AC95" i="56"/>
  <c r="AD95" i="56"/>
  <c r="L96" i="56"/>
  <c r="M96" i="56"/>
  <c r="N96" i="56"/>
  <c r="O96" i="56"/>
  <c r="P96" i="56"/>
  <c r="Q96" i="56"/>
  <c r="R96" i="56"/>
  <c r="T96" i="56"/>
  <c r="U96" i="56"/>
  <c r="V96" i="56"/>
  <c r="W96" i="56"/>
  <c r="X96" i="56"/>
  <c r="Y96" i="56"/>
  <c r="Z96" i="56"/>
  <c r="AA96" i="56"/>
  <c r="AC96" i="56"/>
  <c r="AD96" i="56"/>
  <c r="L97" i="56"/>
  <c r="M97" i="56"/>
  <c r="N97" i="56"/>
  <c r="O97" i="56"/>
  <c r="P97" i="56"/>
  <c r="Q97" i="56"/>
  <c r="R97" i="56"/>
  <c r="T97" i="56"/>
  <c r="U97" i="56"/>
  <c r="V97" i="56"/>
  <c r="W97" i="56"/>
  <c r="X97" i="56"/>
  <c r="Y97" i="56"/>
  <c r="Z97" i="56"/>
  <c r="AA97" i="56"/>
  <c r="AC97" i="56"/>
  <c r="AD97" i="56"/>
  <c r="L98" i="56"/>
  <c r="M98" i="56"/>
  <c r="N98" i="56"/>
  <c r="O98" i="56"/>
  <c r="P98" i="56"/>
  <c r="Q98" i="56"/>
  <c r="R98" i="56"/>
  <c r="S98" i="56"/>
  <c r="U98" i="56"/>
  <c r="V98" i="56"/>
  <c r="W98" i="56"/>
  <c r="X98" i="56"/>
  <c r="Y98" i="56"/>
  <c r="Z98" i="56"/>
  <c r="AA98" i="56"/>
  <c r="AC98" i="56"/>
  <c r="AD98" i="56"/>
  <c r="L99" i="56"/>
  <c r="M99" i="56"/>
  <c r="N99" i="56"/>
  <c r="O99" i="56"/>
  <c r="P99" i="56"/>
  <c r="Q99" i="56"/>
  <c r="R99" i="56"/>
  <c r="S99" i="56"/>
  <c r="U99" i="56"/>
  <c r="V99" i="56"/>
  <c r="W99" i="56"/>
  <c r="X99" i="56"/>
  <c r="Y99" i="56"/>
  <c r="Z99" i="56"/>
  <c r="AA99" i="56"/>
  <c r="AC99" i="56"/>
  <c r="AD99" i="56"/>
  <c r="L102" i="56"/>
  <c r="M102" i="56"/>
  <c r="N102" i="56"/>
  <c r="O102" i="56"/>
  <c r="P102" i="56"/>
  <c r="Q102" i="56"/>
  <c r="R102" i="56"/>
  <c r="S102" i="56"/>
  <c r="T102" i="56"/>
  <c r="U102" i="56"/>
  <c r="W102" i="56"/>
  <c r="X102" i="56"/>
  <c r="Y102" i="56"/>
  <c r="Z102" i="56"/>
  <c r="AA102" i="56"/>
  <c r="AC102" i="56"/>
  <c r="AD102" i="56"/>
  <c r="L103" i="56"/>
  <c r="M103" i="56"/>
  <c r="N103" i="56"/>
  <c r="O103" i="56"/>
  <c r="P103" i="56"/>
  <c r="Q103" i="56"/>
  <c r="R103" i="56"/>
  <c r="S103" i="56"/>
  <c r="T103" i="56"/>
  <c r="U103" i="56"/>
  <c r="W103" i="56"/>
  <c r="X103" i="56"/>
  <c r="Y103" i="56"/>
  <c r="Z103" i="56"/>
  <c r="AA103" i="56"/>
  <c r="AC103" i="56"/>
  <c r="AD103" i="56"/>
  <c r="L104" i="56"/>
  <c r="M104" i="56"/>
  <c r="N104" i="56"/>
  <c r="O104" i="56"/>
  <c r="P104" i="56"/>
  <c r="Q104" i="56"/>
  <c r="R104" i="56"/>
  <c r="S104" i="56"/>
  <c r="T104" i="56"/>
  <c r="U104" i="56"/>
  <c r="V104" i="56"/>
  <c r="W104" i="56"/>
  <c r="X104" i="56"/>
  <c r="Y104" i="56"/>
  <c r="Z104" i="56"/>
  <c r="AA104" i="56"/>
  <c r="AC104" i="56"/>
  <c r="AD104" i="56"/>
  <c r="L105" i="56"/>
  <c r="M105" i="56"/>
  <c r="N105" i="56"/>
  <c r="O105" i="56"/>
  <c r="P105" i="56"/>
  <c r="Q105" i="56"/>
  <c r="R105" i="56"/>
  <c r="S105" i="56"/>
  <c r="T105" i="56"/>
  <c r="U105" i="56"/>
  <c r="V105" i="56"/>
  <c r="W105" i="56"/>
  <c r="X105" i="56"/>
  <c r="Y105" i="56"/>
  <c r="Z105" i="56"/>
  <c r="AA105" i="56"/>
  <c r="AC105" i="56"/>
  <c r="AD105" i="56"/>
  <c r="K79" i="56"/>
  <c r="K81" i="56"/>
  <c r="K82" i="56"/>
  <c r="K84" i="56"/>
  <c r="K85" i="56"/>
  <c r="K86" i="56"/>
  <c r="K89" i="56"/>
  <c r="K90" i="56"/>
  <c r="K95" i="56"/>
  <c r="K96" i="56"/>
  <c r="K97" i="56"/>
  <c r="K98" i="56"/>
  <c r="K99" i="56"/>
  <c r="K102" i="56"/>
  <c r="K103" i="56"/>
  <c r="K104" i="56"/>
  <c r="K105" i="56"/>
  <c r="B104" i="56"/>
  <c r="B105" i="56"/>
  <c r="B103" i="56"/>
  <c r="B78" i="56"/>
  <c r="B79" i="56"/>
  <c r="B80" i="56"/>
  <c r="B81" i="56"/>
  <c r="B82" i="56"/>
  <c r="B83" i="56"/>
  <c r="B84" i="56"/>
  <c r="B85" i="56"/>
  <c r="B86" i="56"/>
  <c r="B89" i="56"/>
  <c r="B90" i="56"/>
  <c r="B95" i="56"/>
  <c r="B96" i="56"/>
  <c r="B97" i="56"/>
  <c r="B98" i="56"/>
  <c r="B99" i="56"/>
  <c r="B102" i="56"/>
  <c r="B77" i="56"/>
  <c r="B76" i="56"/>
  <c r="D104" i="11"/>
  <c r="J104" i="11"/>
  <c r="AB104" i="11"/>
  <c r="AA75" i="11"/>
  <c r="K83" i="11"/>
  <c r="K83" i="56" s="1"/>
  <c r="L83" i="11"/>
  <c r="L83" i="56" s="1"/>
  <c r="E75" i="11"/>
  <c r="F75" i="11"/>
  <c r="G75" i="11"/>
  <c r="H75" i="11"/>
  <c r="I75" i="11"/>
  <c r="O85" i="11"/>
  <c r="P85" i="11"/>
  <c r="Q85" i="11"/>
  <c r="R85" i="11"/>
  <c r="S85" i="11"/>
  <c r="T85" i="11"/>
  <c r="U85" i="11"/>
  <c r="U85" i="56" s="1"/>
  <c r="V85" i="11"/>
  <c r="W85" i="11"/>
  <c r="X85" i="11"/>
  <c r="Y85" i="11"/>
  <c r="Z85" i="11"/>
  <c r="AA85" i="11"/>
  <c r="AC85" i="11"/>
  <c r="AD86" i="11"/>
  <c r="S85" i="160" l="1"/>
  <c r="S85" i="161"/>
  <c r="S85" i="159"/>
  <c r="R85" i="160"/>
  <c r="R85" i="161"/>
  <c r="R85" i="159"/>
  <c r="AB104" i="56"/>
  <c r="AB104" i="160"/>
  <c r="AB104" i="161"/>
  <c r="AB104" i="159"/>
  <c r="Q85" i="160"/>
  <c r="Q85" i="161"/>
  <c r="Q85" i="159"/>
  <c r="AC75" i="11"/>
  <c r="AC85" i="160"/>
  <c r="AC85" i="161"/>
  <c r="AC85" i="159"/>
  <c r="P85" i="160"/>
  <c r="P85" i="161"/>
  <c r="P85" i="159"/>
  <c r="S85" i="56"/>
  <c r="AA85" i="160"/>
  <c r="AA85" i="161"/>
  <c r="AA85" i="159"/>
  <c r="O85" i="161"/>
  <c r="O85" i="160"/>
  <c r="O85" i="159"/>
  <c r="R85" i="56"/>
  <c r="Z75" i="11"/>
  <c r="Z85" i="160"/>
  <c r="Z85" i="161"/>
  <c r="Z85" i="159"/>
  <c r="Q85" i="56"/>
  <c r="H75" i="161"/>
  <c r="H10" i="161" s="1"/>
  <c r="H75" i="160"/>
  <c r="H10" i="160" s="1"/>
  <c r="H75" i="159"/>
  <c r="H10" i="159" s="1"/>
  <c r="AC85" i="56"/>
  <c r="P85" i="56"/>
  <c r="AA85" i="56"/>
  <c r="O85" i="56"/>
  <c r="AD85" i="11"/>
  <c r="AD86" i="160"/>
  <c r="AD86" i="161"/>
  <c r="AD86" i="159"/>
  <c r="Y75" i="11"/>
  <c r="Y85" i="161"/>
  <c r="Y85" i="160"/>
  <c r="Y85" i="159"/>
  <c r="W75" i="11"/>
  <c r="W85" i="160"/>
  <c r="W85" i="161"/>
  <c r="W85" i="159"/>
  <c r="F75" i="161"/>
  <c r="F10" i="161" s="1"/>
  <c r="F75" i="160"/>
  <c r="F10" i="160" s="1"/>
  <c r="F75" i="159"/>
  <c r="Z85" i="56"/>
  <c r="AA75" i="161"/>
  <c r="AA10" i="161" s="1"/>
  <c r="AA9" i="161" s="1"/>
  <c r="AA75" i="160"/>
  <c r="AA10" i="160" s="1"/>
  <c r="AA9" i="160" s="1"/>
  <c r="AA75" i="159"/>
  <c r="AA10" i="159" s="1"/>
  <c r="AA9" i="159" s="1"/>
  <c r="X75" i="11"/>
  <c r="X85" i="161"/>
  <c r="X85" i="160"/>
  <c r="X85" i="159"/>
  <c r="V85" i="160"/>
  <c r="V85" i="161"/>
  <c r="V85" i="159"/>
  <c r="E75" i="160"/>
  <c r="E75" i="161"/>
  <c r="E75" i="159"/>
  <c r="E10" i="159" s="1"/>
  <c r="Y85" i="56"/>
  <c r="G75" i="161"/>
  <c r="G10" i="161" s="1"/>
  <c r="G75" i="160"/>
  <c r="G10" i="160" s="1"/>
  <c r="G75" i="159"/>
  <c r="G10" i="159" s="1"/>
  <c r="U85" i="160"/>
  <c r="U85" i="161"/>
  <c r="U85" i="159"/>
  <c r="L83" i="160"/>
  <c r="L83" i="161"/>
  <c r="L83" i="159"/>
  <c r="X85" i="56"/>
  <c r="T85" i="160"/>
  <c r="T85" i="161"/>
  <c r="T85" i="159"/>
  <c r="K83" i="160"/>
  <c r="K83" i="161"/>
  <c r="K83" i="159"/>
  <c r="W85" i="56"/>
  <c r="J104" i="56"/>
  <c r="J79" i="56"/>
  <c r="C79" i="56" s="1"/>
  <c r="J105" i="56"/>
  <c r="C104" i="11"/>
  <c r="AD85" i="56"/>
  <c r="AD86" i="56"/>
  <c r="AB86" i="11"/>
  <c r="D75" i="159" l="1"/>
  <c r="D10" i="159" s="1"/>
  <c r="F10" i="159"/>
  <c r="Z75" i="161"/>
  <c r="Z10" i="161" s="1"/>
  <c r="Z75" i="160"/>
  <c r="Z10" i="160" s="1"/>
  <c r="Z75" i="159"/>
  <c r="Z10" i="159" s="1"/>
  <c r="D75" i="161"/>
  <c r="D10" i="161" s="1"/>
  <c r="E10" i="161"/>
  <c r="D75" i="160"/>
  <c r="D10" i="160" s="1"/>
  <c r="E10" i="160"/>
  <c r="Y75" i="161"/>
  <c r="Y10" i="161" s="1"/>
  <c r="Y9" i="161" s="1"/>
  <c r="Y75" i="160"/>
  <c r="Y10" i="160" s="1"/>
  <c r="Y9" i="160" s="1"/>
  <c r="Y75" i="159"/>
  <c r="Y10" i="159" s="1"/>
  <c r="Y9" i="159" s="1"/>
  <c r="X75" i="160"/>
  <c r="X10" i="160" s="1"/>
  <c r="X75" i="161"/>
  <c r="X10" i="161" s="1"/>
  <c r="X75" i="159"/>
  <c r="X10" i="159" s="1"/>
  <c r="AC75" i="160"/>
  <c r="AC10" i="160" s="1"/>
  <c r="AC75" i="161"/>
  <c r="AC75" i="159"/>
  <c r="AB86" i="161"/>
  <c r="AB86" i="160"/>
  <c r="AB86" i="159"/>
  <c r="W75" i="160"/>
  <c r="W10" i="160" s="1"/>
  <c r="W75" i="161"/>
  <c r="W10" i="161" s="1"/>
  <c r="W75" i="159"/>
  <c r="W10" i="159" s="1"/>
  <c r="AD75" i="11"/>
  <c r="AD85" i="160"/>
  <c r="AD85" i="161"/>
  <c r="AD85" i="159"/>
  <c r="AB85" i="11"/>
  <c r="AB86" i="56"/>
  <c r="D81" i="11"/>
  <c r="D82" i="11"/>
  <c r="AC10" i="159" l="1"/>
  <c r="AD75" i="160"/>
  <c r="AB75" i="160" s="1"/>
  <c r="AD75" i="161"/>
  <c r="AB75" i="161" s="1"/>
  <c r="AD75" i="159"/>
  <c r="AB75" i="159" s="1"/>
  <c r="AC10" i="161"/>
  <c r="AB85" i="56"/>
  <c r="AB85" i="160"/>
  <c r="AB85" i="161"/>
  <c r="AB85" i="159"/>
  <c r="D80" i="11"/>
  <c r="D79" i="11"/>
  <c r="J79" i="11"/>
  <c r="D78" i="11"/>
  <c r="C79" i="11" l="1"/>
  <c r="AG30" i="155"/>
  <c r="AF30" i="155"/>
  <c r="K28" i="11" l="1"/>
  <c r="K28" i="161" l="1"/>
  <c r="K28" i="160"/>
  <c r="K28" i="159"/>
  <c r="B21" i="7"/>
  <c r="B20" i="7"/>
  <c r="B19" i="7"/>
  <c r="B18" i="7"/>
  <c r="B17" i="7"/>
  <c r="I60" i="56"/>
  <c r="B74" i="56"/>
  <c r="AD60" i="11"/>
  <c r="I60" i="11"/>
  <c r="K60" i="11"/>
  <c r="L60" i="11"/>
  <c r="M60" i="11"/>
  <c r="P60" i="11"/>
  <c r="Q60" i="11"/>
  <c r="R60" i="11"/>
  <c r="S60" i="11"/>
  <c r="T60" i="11"/>
  <c r="U60" i="11"/>
  <c r="W60" i="11"/>
  <c r="X60" i="11"/>
  <c r="Y60" i="11"/>
  <c r="Z60" i="11"/>
  <c r="AA60" i="11"/>
  <c r="AC60" i="11"/>
  <c r="H60" i="11"/>
  <c r="G60" i="11"/>
  <c r="F60" i="11"/>
  <c r="E60" i="11"/>
  <c r="V74" i="11"/>
  <c r="B10" i="53"/>
  <c r="B9" i="53"/>
  <c r="B15" i="51"/>
  <c r="B16" i="51"/>
  <c r="B17" i="51"/>
  <c r="B18" i="51"/>
  <c r="B18" i="123" s="1"/>
  <c r="B14" i="51"/>
  <c r="G8" i="11"/>
  <c r="F8" i="11"/>
  <c r="E8" i="11"/>
  <c r="I8" i="11"/>
  <c r="H8" i="11"/>
  <c r="AA32" i="2"/>
  <c r="F20" i="17"/>
  <c r="E20" i="17"/>
  <c r="G51" i="157" l="1"/>
  <c r="U48" i="158"/>
  <c r="V74" i="56"/>
  <c r="V74" i="160"/>
  <c r="J74" i="160" s="1"/>
  <c r="C74" i="160" s="1"/>
  <c r="V74" i="161"/>
  <c r="J74" i="161" s="1"/>
  <c r="C74" i="161" s="1"/>
  <c r="V74" i="159"/>
  <c r="J74" i="159" s="1"/>
  <c r="C74" i="159" s="1"/>
  <c r="I8" i="159"/>
  <c r="I8" i="161"/>
  <c r="I8" i="160"/>
  <c r="J74" i="11"/>
  <c r="C74" i="11" s="1"/>
  <c r="J74" i="56"/>
  <c r="B28" i="7"/>
  <c r="B44" i="36" s="1"/>
  <c r="B29" i="7"/>
  <c r="V72" i="56"/>
  <c r="V73" i="56"/>
  <c r="J73" i="56" s="1"/>
  <c r="C73" i="56" s="1"/>
  <c r="B73" i="56"/>
  <c r="J73" i="11"/>
  <c r="C73" i="11" s="1"/>
  <c r="Z42" i="40"/>
  <c r="AC42" i="40" s="1"/>
  <c r="Z35" i="40"/>
  <c r="Z33" i="40"/>
  <c r="Z26" i="40"/>
  <c r="Z27" i="40"/>
  <c r="Z20" i="40"/>
  <c r="Z22" i="40"/>
  <c r="Z15" i="40"/>
  <c r="Z16" i="40"/>
  <c r="AE54" i="40"/>
  <c r="B28" i="42"/>
  <c r="B27" i="42"/>
  <c r="J28" i="114"/>
  <c r="M28" i="114" s="1"/>
  <c r="B27" i="114"/>
  <c r="B28" i="114"/>
  <c r="B13" i="41"/>
  <c r="D39" i="30"/>
  <c r="C39" i="30" s="1"/>
  <c r="B39" i="30"/>
  <c r="B38" i="30"/>
  <c r="P28" i="114" l="1"/>
  <c r="O28" i="114" s="1"/>
  <c r="L28" i="114"/>
  <c r="I28" i="114"/>
  <c r="B29" i="8"/>
  <c r="B13" i="43" s="1"/>
  <c r="B45" i="36"/>
  <c r="C74" i="56"/>
  <c r="B28" i="8"/>
  <c r="AV49" i="16"/>
  <c r="P157" i="11" l="1"/>
  <c r="S157" i="11"/>
  <c r="AE19" i="1"/>
  <c r="G20" i="170" s="1"/>
  <c r="I20" i="170" s="1"/>
  <c r="AE21" i="1"/>
  <c r="G22" i="170" s="1"/>
  <c r="I22" i="170" s="1"/>
  <c r="D138" i="11"/>
  <c r="V69" i="11"/>
  <c r="V69" i="160" l="1"/>
  <c r="J69" i="160" s="1"/>
  <c r="C69" i="160" s="1"/>
  <c r="V69" i="161"/>
  <c r="J69" i="161" s="1"/>
  <c r="C69" i="161" s="1"/>
  <c r="V69" i="159"/>
  <c r="J69" i="159" s="1"/>
  <c r="C69" i="159" s="1"/>
  <c r="P11" i="11"/>
  <c r="U150" i="11" l="1"/>
  <c r="V150" i="11"/>
  <c r="Y149" i="11"/>
  <c r="Z149" i="11"/>
  <c r="Y148" i="11"/>
  <c r="Z148" i="11"/>
  <c r="AA148" i="11"/>
  <c r="AA147" i="11" s="1"/>
  <c r="F133" i="11"/>
  <c r="F134" i="11" s="1"/>
  <c r="Y147" i="11" l="1"/>
  <c r="Z147" i="11"/>
  <c r="T27" i="36"/>
  <c r="V26" i="36"/>
  <c r="W25" i="36"/>
  <c r="V24" i="36"/>
  <c r="W20" i="36"/>
  <c r="V20" i="36" s="1"/>
  <c r="W15" i="36"/>
  <c r="W13" i="36"/>
  <c r="W12" i="36"/>
  <c r="V12" i="36"/>
  <c r="U27" i="36" l="1"/>
  <c r="U26" i="36"/>
  <c r="U25" i="36"/>
  <c r="U24" i="36"/>
  <c r="U21" i="36"/>
  <c r="U20" i="36"/>
  <c r="U15" i="36"/>
  <c r="U14" i="36"/>
  <c r="U13" i="36"/>
  <c r="U12" i="36"/>
  <c r="Z27" i="36"/>
  <c r="Z21" i="36"/>
  <c r="Z14" i="36"/>
  <c r="I19" i="36"/>
  <c r="G27" i="36"/>
  <c r="G21" i="36"/>
  <c r="G14" i="36"/>
  <c r="F19" i="156" l="1"/>
  <c r="I19" i="156" s="1"/>
  <c r="F18" i="156"/>
  <c r="G18" i="156" s="1"/>
  <c r="H18" i="156"/>
  <c r="F17" i="156"/>
  <c r="F16" i="156"/>
  <c r="H16" i="156" s="1"/>
  <c r="K16" i="156" s="1"/>
  <c r="F15" i="156"/>
  <c r="F14" i="156"/>
  <c r="I14" i="156" s="1"/>
  <c r="F13" i="156"/>
  <c r="I13" i="156" s="1"/>
  <c r="F12" i="156"/>
  <c r="I12" i="156" s="1"/>
  <c r="F11" i="156"/>
  <c r="I11" i="156" s="1"/>
  <c r="F10" i="156"/>
  <c r="I10" i="156" s="1"/>
  <c r="F9" i="156"/>
  <c r="I9" i="156" s="1"/>
  <c r="I15" i="156"/>
  <c r="I17" i="156"/>
  <c r="F8" i="156"/>
  <c r="I8" i="156" s="1"/>
  <c r="H17" i="156"/>
  <c r="K17" i="156" s="1"/>
  <c r="G17" i="156"/>
  <c r="J17" i="156" s="1"/>
  <c r="H15" i="156"/>
  <c r="G15" i="156"/>
  <c r="H13" i="156"/>
  <c r="K13" i="156" s="1"/>
  <c r="C20" i="156"/>
  <c r="E19" i="156"/>
  <c r="D19" i="156"/>
  <c r="E18" i="156"/>
  <c r="D18" i="156"/>
  <c r="E17" i="156"/>
  <c r="D17" i="156"/>
  <c r="E16" i="156"/>
  <c r="D16" i="156"/>
  <c r="E15" i="156"/>
  <c r="D15" i="156"/>
  <c r="E14" i="156"/>
  <c r="D14" i="156"/>
  <c r="E13" i="156"/>
  <c r="D13" i="156" s="1"/>
  <c r="D9" i="156"/>
  <c r="E9" i="156"/>
  <c r="D10" i="156"/>
  <c r="E10" i="156"/>
  <c r="D11" i="156"/>
  <c r="E11" i="156"/>
  <c r="D12" i="156"/>
  <c r="E12" i="156"/>
  <c r="E8" i="156"/>
  <c r="D8" i="156"/>
  <c r="G9" i="156" l="1"/>
  <c r="J9" i="156" s="1"/>
  <c r="H11" i="156"/>
  <c r="K11" i="156" s="1"/>
  <c r="G11" i="156"/>
  <c r="J11" i="156" s="1"/>
  <c r="G12" i="156"/>
  <c r="J12" i="156" s="1"/>
  <c r="H19" i="156"/>
  <c r="K19" i="156" s="1"/>
  <c r="J15" i="156"/>
  <c r="K18" i="156"/>
  <c r="H9" i="156"/>
  <c r="K9" i="156" s="1"/>
  <c r="H12" i="156"/>
  <c r="K12" i="156" s="1"/>
  <c r="K15" i="156"/>
  <c r="J18" i="156"/>
  <c r="G19" i="156"/>
  <c r="J19" i="156" s="1"/>
  <c r="I18" i="156"/>
  <c r="I16" i="156"/>
  <c r="G16" i="156"/>
  <c r="J16" i="156" s="1"/>
  <c r="G14" i="156"/>
  <c r="J14" i="156" s="1"/>
  <c r="H14" i="156"/>
  <c r="K14" i="156" s="1"/>
  <c r="G13" i="156"/>
  <c r="J13" i="156" s="1"/>
  <c r="G10" i="156"/>
  <c r="J10" i="156" s="1"/>
  <c r="H10" i="156"/>
  <c r="K10" i="156" s="1"/>
  <c r="F20" i="156"/>
  <c r="I20" i="156"/>
  <c r="G8" i="156"/>
  <c r="J8" i="156" s="1"/>
  <c r="H8" i="156"/>
  <c r="D20" i="156"/>
  <c r="E20" i="156"/>
  <c r="AG26" i="155"/>
  <c r="AI26" i="155"/>
  <c r="AG28" i="155"/>
  <c r="H20" i="156" l="1"/>
  <c r="K8" i="156"/>
  <c r="K20" i="156"/>
  <c r="J20" i="156"/>
  <c r="G20" i="156"/>
  <c r="AC24" i="155"/>
  <c r="AD24" i="155" s="1"/>
  <c r="AE24" i="155" s="1"/>
  <c r="AC25" i="155"/>
  <c r="AD25" i="155" s="1"/>
  <c r="AE25" i="155" s="1"/>
  <c r="AF25" i="155" s="1"/>
  <c r="AG25" i="155" s="1"/>
  <c r="AC26" i="155"/>
  <c r="AD26" i="155" s="1"/>
  <c r="AE26" i="155" s="1"/>
  <c r="AB23" i="155"/>
  <c r="AC23" i="155" s="1"/>
  <c r="AB25" i="155"/>
  <c r="Z13" i="155"/>
  <c r="W28" i="155"/>
  <c r="X28" i="155"/>
  <c r="W26" i="155"/>
  <c r="Z21" i="155"/>
  <c r="Y21" i="155"/>
  <c r="X21" i="155"/>
  <c r="X22" i="155"/>
  <c r="Y22" i="155"/>
  <c r="Z22" i="155"/>
  <c r="AA22" i="155"/>
  <c r="AA21" i="155" s="1"/>
  <c r="X31" i="155"/>
  <c r="H31" i="155"/>
  <c r="M31" i="155"/>
  <c r="N31" i="155"/>
  <c r="O31" i="155"/>
  <c r="P31" i="155"/>
  <c r="R31" i="155"/>
  <c r="T31" i="155"/>
  <c r="AB34" i="155"/>
  <c r="AC34" i="155" s="1"/>
  <c r="AD34" i="155" s="1"/>
  <c r="AB33" i="155"/>
  <c r="AA32" i="155"/>
  <c r="AA31" i="155" s="1"/>
  <c r="Z32" i="155"/>
  <c r="Z31" i="155" s="1"/>
  <c r="Y32" i="155"/>
  <c r="Y31" i="155" s="1"/>
  <c r="X32" i="155"/>
  <c r="W32" i="155"/>
  <c r="W31" i="155" s="1"/>
  <c r="T32" i="155"/>
  <c r="S32" i="155"/>
  <c r="S31" i="155" s="1"/>
  <c r="R32" i="155"/>
  <c r="Q32" i="155"/>
  <c r="Q31" i="155" s="1"/>
  <c r="P32" i="155"/>
  <c r="O32" i="155"/>
  <c r="N32" i="155"/>
  <c r="M32" i="155"/>
  <c r="L32" i="155"/>
  <c r="L31" i="155" s="1"/>
  <c r="K32" i="155"/>
  <c r="K31" i="155" s="1"/>
  <c r="J32" i="155"/>
  <c r="J31" i="155" s="1"/>
  <c r="I32" i="155"/>
  <c r="I31" i="155" s="1"/>
  <c r="H32" i="155"/>
  <c r="G32" i="155"/>
  <c r="G31" i="155" s="1"/>
  <c r="F32" i="155"/>
  <c r="F31" i="155" s="1"/>
  <c r="C33" i="155"/>
  <c r="C32" i="155" s="1"/>
  <c r="D33" i="155"/>
  <c r="E33" i="155" s="1"/>
  <c r="E32" i="155" s="1"/>
  <c r="C34" i="155"/>
  <c r="D34" i="155"/>
  <c r="E34" i="155" s="1"/>
  <c r="AB19" i="155"/>
  <c r="AB18" i="155" s="1"/>
  <c r="AF16" i="155"/>
  <c r="AE16" i="155"/>
  <c r="AE15" i="155" s="1"/>
  <c r="AD16" i="155"/>
  <c r="AD15" i="155" s="1"/>
  <c r="AC16" i="155"/>
  <c r="AC15" i="155" s="1"/>
  <c r="AB16" i="155"/>
  <c r="AB15" i="155" s="1"/>
  <c r="AA16" i="155"/>
  <c r="AA15" i="155" s="1"/>
  <c r="Z16" i="155"/>
  <c r="Z15" i="155" s="1"/>
  <c r="AF14" i="155"/>
  <c r="AG14" i="155" s="1"/>
  <c r="AF13" i="155"/>
  <c r="AG13" i="155" s="1"/>
  <c r="AE14" i="155"/>
  <c r="AE13" i="155"/>
  <c r="AD14" i="155"/>
  <c r="AD13" i="155"/>
  <c r="AC14" i="155"/>
  <c r="AC13" i="155"/>
  <c r="AB14" i="155"/>
  <c r="AB13" i="155"/>
  <c r="AA14" i="155"/>
  <c r="AA13" i="155"/>
  <c r="Z14" i="155"/>
  <c r="AF11" i="155"/>
  <c r="AG11" i="155" s="1"/>
  <c r="AF10" i="155"/>
  <c r="AG10" i="155" s="1"/>
  <c r="AE11" i="155"/>
  <c r="AE10" i="155"/>
  <c r="AD11" i="155"/>
  <c r="AD10" i="155"/>
  <c r="AC11" i="155"/>
  <c r="AC10" i="155"/>
  <c r="AB11" i="155"/>
  <c r="AB10" i="155"/>
  <c r="AA11" i="155"/>
  <c r="Z11" i="155"/>
  <c r="AA10" i="155"/>
  <c r="Z10" i="155"/>
  <c r="Y16" i="155"/>
  <c r="Y15" i="155" s="1"/>
  <c r="Y14" i="155"/>
  <c r="Y13" i="155"/>
  <c r="Y11" i="155"/>
  <c r="Y10" i="155"/>
  <c r="Y28" i="155"/>
  <c r="Z28" i="155"/>
  <c r="AA28" i="155"/>
  <c r="AB28" i="155"/>
  <c r="AC28" i="155"/>
  <c r="AD28" i="155"/>
  <c r="AE28" i="155"/>
  <c r="AF28" i="155"/>
  <c r="Y18" i="155"/>
  <c r="Z18" i="155"/>
  <c r="AA18" i="155"/>
  <c r="AD23" i="155" l="1"/>
  <c r="AC22" i="155"/>
  <c r="AC21" i="155" s="1"/>
  <c r="AF24" i="155"/>
  <c r="D32" i="155"/>
  <c r="AB22" i="155"/>
  <c r="AB21" i="155" s="1"/>
  <c r="AG9" i="155"/>
  <c r="AA37" i="155"/>
  <c r="AG12" i="155"/>
  <c r="AF15" i="155"/>
  <c r="AG16" i="155"/>
  <c r="Y37" i="155"/>
  <c r="AB32" i="155"/>
  <c r="AB31" i="155" s="1"/>
  <c r="Z37" i="155"/>
  <c r="AE34" i="155"/>
  <c r="AF34" i="155" s="1"/>
  <c r="AC33" i="155"/>
  <c r="AC9" i="155"/>
  <c r="AD12" i="155"/>
  <c r="AF12" i="155"/>
  <c r="AC19" i="155"/>
  <c r="AE12" i="155"/>
  <c r="AC12" i="155"/>
  <c r="AB12" i="155"/>
  <c r="AA12" i="155"/>
  <c r="Z12" i="155"/>
  <c r="AF9" i="155"/>
  <c r="AE9" i="155"/>
  <c r="AD9" i="155"/>
  <c r="AB9" i="155"/>
  <c r="AA9" i="155"/>
  <c r="Z9" i="155"/>
  <c r="Y12" i="155"/>
  <c r="Y9" i="155"/>
  <c r="AG24" i="155" l="1"/>
  <c r="AE23" i="155"/>
  <c r="AD22" i="155"/>
  <c r="AD21" i="155" s="1"/>
  <c r="AB37" i="155"/>
  <c r="AG15" i="155"/>
  <c r="AG34" i="155"/>
  <c r="AI34" i="155"/>
  <c r="AC18" i="155"/>
  <c r="AC8" i="155" s="1"/>
  <c r="AD19" i="155"/>
  <c r="AC32" i="155"/>
  <c r="AC31" i="155" s="1"/>
  <c r="AD33" i="155"/>
  <c r="Z8" i="155"/>
  <c r="Z7" i="155" s="1"/>
  <c r="AA8" i="155"/>
  <c r="AA7" i="155" s="1"/>
  <c r="AB8" i="155"/>
  <c r="AB7" i="155" s="1"/>
  <c r="Y8" i="155"/>
  <c r="Y7" i="155" s="1"/>
  <c r="AF23" i="155" l="1"/>
  <c r="AE22" i="155"/>
  <c r="AE21" i="155" s="1"/>
  <c r="Z40" i="155"/>
  <c r="Z41" i="155" s="1"/>
  <c r="AC37" i="155"/>
  <c r="AE33" i="155"/>
  <c r="AD32" i="155"/>
  <c r="AD31" i="155" s="1"/>
  <c r="AD18" i="155"/>
  <c r="AD8" i="155" s="1"/>
  <c r="AE19" i="155"/>
  <c r="AC7" i="155"/>
  <c r="AG23" i="155" l="1"/>
  <c r="AG22" i="155" s="1"/>
  <c r="AG21" i="155" s="1"/>
  <c r="AF22" i="155"/>
  <c r="AF21" i="155" s="1"/>
  <c r="AD37" i="155"/>
  <c r="AD7" i="155"/>
  <c r="AE18" i="155"/>
  <c r="AE8" i="155" s="1"/>
  <c r="AF19" i="155"/>
  <c r="AG19" i="155" s="1"/>
  <c r="AE32" i="155"/>
  <c r="AE31" i="155" s="1"/>
  <c r="AF33" i="155"/>
  <c r="AF32" i="155" l="1"/>
  <c r="AF31" i="155" s="1"/>
  <c r="AI33" i="155"/>
  <c r="AI32" i="155" s="1"/>
  <c r="AG33" i="155"/>
  <c r="AG32" i="155" s="1"/>
  <c r="AE37" i="155"/>
  <c r="AG18" i="155"/>
  <c r="AG8" i="155" s="1"/>
  <c r="AF18" i="155"/>
  <c r="AF8" i="155" s="1"/>
  <c r="AF7" i="155" s="1"/>
  <c r="AF37" i="155"/>
  <c r="AE7" i="155"/>
  <c r="AG37" i="155" l="1"/>
  <c r="AG31" i="155"/>
  <c r="AG7" i="155" s="1"/>
  <c r="X18" i="155"/>
  <c r="X15" i="155"/>
  <c r="X12" i="155"/>
  <c r="X9" i="155"/>
  <c r="G27" i="155"/>
  <c r="G23" i="155"/>
  <c r="X8" i="155" l="1"/>
  <c r="X7" i="155" s="1"/>
  <c r="T24" i="155" l="1"/>
  <c r="M27" i="155"/>
  <c r="M23" i="155"/>
  <c r="M25" i="155"/>
  <c r="F18" i="155" l="1"/>
  <c r="D35" i="155"/>
  <c r="D31" i="155" s="1"/>
  <c r="C35" i="155"/>
  <c r="D30" i="155"/>
  <c r="E30" i="155" s="1"/>
  <c r="C30" i="155"/>
  <c r="AI30" i="155" s="1"/>
  <c r="D29" i="155"/>
  <c r="D24" i="155"/>
  <c r="C24" i="155"/>
  <c r="D20" i="155"/>
  <c r="C20" i="155"/>
  <c r="C19" i="155"/>
  <c r="AI19" i="155" s="1"/>
  <c r="AI18" i="155" s="1"/>
  <c r="D17" i="155"/>
  <c r="E17" i="155" s="1"/>
  <c r="C17" i="155"/>
  <c r="R27" i="155"/>
  <c r="S27" i="155" s="1"/>
  <c r="T27" i="155" s="1"/>
  <c r="R25" i="155"/>
  <c r="S25" i="155" s="1"/>
  <c r="T25" i="155" s="1"/>
  <c r="R23" i="155"/>
  <c r="S23" i="155" s="1"/>
  <c r="T23" i="155" s="1"/>
  <c r="P19" i="155"/>
  <c r="Q19" i="155" s="1"/>
  <c r="Q18" i="155" s="1"/>
  <c r="R16" i="155"/>
  <c r="R15" i="155" s="1"/>
  <c r="R14" i="155"/>
  <c r="R13" i="155"/>
  <c r="R11" i="155"/>
  <c r="R10" i="155"/>
  <c r="Q30" i="155"/>
  <c r="Q24" i="155"/>
  <c r="P16" i="155"/>
  <c r="P15" i="155" s="1"/>
  <c r="P14" i="155"/>
  <c r="P13" i="155"/>
  <c r="P11" i="155"/>
  <c r="P10" i="155"/>
  <c r="O29" i="155"/>
  <c r="O28" i="155" s="1"/>
  <c r="O27" i="155"/>
  <c r="O25" i="155"/>
  <c r="L25" i="155"/>
  <c r="N25" i="155" s="1"/>
  <c r="O23" i="155"/>
  <c r="O16" i="155"/>
  <c r="O15" i="155" s="1"/>
  <c r="O14" i="155"/>
  <c r="O13" i="155"/>
  <c r="O11" i="155"/>
  <c r="O10" i="155"/>
  <c r="R29" i="155"/>
  <c r="R28" i="155" s="1"/>
  <c r="T28" i="155"/>
  <c r="S28" i="155"/>
  <c r="T20" i="155"/>
  <c r="R18" i="155"/>
  <c r="P28" i="155"/>
  <c r="Q20" i="155"/>
  <c r="O18" i="155"/>
  <c r="M19" i="155"/>
  <c r="N19" i="155" s="1"/>
  <c r="M16" i="155"/>
  <c r="M14" i="155"/>
  <c r="M13" i="155"/>
  <c r="M11" i="155"/>
  <c r="M10" i="155"/>
  <c r="L29" i="155"/>
  <c r="L27" i="155"/>
  <c r="N27" i="155" s="1"/>
  <c r="L23" i="155"/>
  <c r="N23" i="155" s="1"/>
  <c r="L16" i="155"/>
  <c r="L15" i="155" s="1"/>
  <c r="L14" i="155"/>
  <c r="L13" i="155"/>
  <c r="L11" i="155"/>
  <c r="L10" i="155"/>
  <c r="M28" i="155"/>
  <c r="M22" i="155"/>
  <c r="M21" i="155" s="1"/>
  <c r="N20" i="155"/>
  <c r="L18" i="155"/>
  <c r="K20" i="155"/>
  <c r="J19" i="155"/>
  <c r="J18" i="155" s="1"/>
  <c r="J16" i="155"/>
  <c r="J14" i="155"/>
  <c r="J13" i="155"/>
  <c r="J11" i="155"/>
  <c r="J10" i="155"/>
  <c r="I29" i="155"/>
  <c r="I27" i="155"/>
  <c r="K27" i="155" s="1"/>
  <c r="I25" i="155"/>
  <c r="K25" i="155" s="1"/>
  <c r="I23" i="155"/>
  <c r="K23" i="155" s="1"/>
  <c r="J22" i="155"/>
  <c r="J21" i="155" s="1"/>
  <c r="I16" i="155"/>
  <c r="I15" i="155" s="1"/>
  <c r="I14" i="155"/>
  <c r="I13" i="155"/>
  <c r="I11" i="155"/>
  <c r="I10" i="155"/>
  <c r="J28" i="155"/>
  <c r="I18" i="155"/>
  <c r="H24" i="155"/>
  <c r="G22" i="155"/>
  <c r="G21" i="155" s="1"/>
  <c r="F29" i="155"/>
  <c r="G28" i="155"/>
  <c r="F27" i="155"/>
  <c r="F25" i="155"/>
  <c r="H25" i="155" s="1"/>
  <c r="F23" i="155"/>
  <c r="G16" i="155"/>
  <c r="G14" i="155"/>
  <c r="G13" i="155"/>
  <c r="G11" i="155"/>
  <c r="G10" i="155"/>
  <c r="R12" i="155" l="1"/>
  <c r="E20" i="155"/>
  <c r="E24" i="155"/>
  <c r="N18" i="155"/>
  <c r="AI35" i="155"/>
  <c r="AI31" i="155" s="1"/>
  <c r="C31" i="155"/>
  <c r="W24" i="155"/>
  <c r="AI24" i="155"/>
  <c r="E35" i="155"/>
  <c r="E31" i="155" s="1"/>
  <c r="C18" i="155"/>
  <c r="T22" i="155"/>
  <c r="T21" i="155" s="1"/>
  <c r="F28" i="155"/>
  <c r="C29" i="155"/>
  <c r="AI29" i="155" s="1"/>
  <c r="AI28" i="155" s="1"/>
  <c r="K22" i="155"/>
  <c r="K21" i="155" s="1"/>
  <c r="H23" i="155"/>
  <c r="H22" i="155" s="1"/>
  <c r="F22" i="155"/>
  <c r="F21" i="155" s="1"/>
  <c r="G9" i="155"/>
  <c r="Q14" i="155"/>
  <c r="N22" i="155"/>
  <c r="N21" i="155" s="1"/>
  <c r="K10" i="155"/>
  <c r="K19" i="155"/>
  <c r="K18" i="155" s="1"/>
  <c r="I28" i="155"/>
  <c r="K29" i="155"/>
  <c r="K28" i="155" s="1"/>
  <c r="L28" i="155"/>
  <c r="N29" i="155"/>
  <c r="N28" i="155" s="1"/>
  <c r="O9" i="155"/>
  <c r="C27" i="155"/>
  <c r="K14" i="155"/>
  <c r="H29" i="155"/>
  <c r="H28" i="155" s="1"/>
  <c r="Q11" i="155"/>
  <c r="S22" i="155"/>
  <c r="S21" i="155" s="1"/>
  <c r="K11" i="155"/>
  <c r="N10" i="155"/>
  <c r="C25" i="155"/>
  <c r="AI25" i="155" s="1"/>
  <c r="C23" i="155"/>
  <c r="AI23" i="155" s="1"/>
  <c r="Q29" i="155"/>
  <c r="Q28" i="155" s="1"/>
  <c r="H27" i="155"/>
  <c r="K13" i="155"/>
  <c r="K16" i="155"/>
  <c r="K15" i="155" s="1"/>
  <c r="L9" i="155"/>
  <c r="D28" i="155"/>
  <c r="R22" i="155"/>
  <c r="R21" i="155" s="1"/>
  <c r="P18" i="155"/>
  <c r="R9" i="155"/>
  <c r="R8" i="155" s="1"/>
  <c r="P12" i="155"/>
  <c r="P9" i="155"/>
  <c r="O22" i="155"/>
  <c r="O21" i="155" s="1"/>
  <c r="O12" i="155"/>
  <c r="Q13" i="155"/>
  <c r="Q16" i="155"/>
  <c r="Q15" i="155" s="1"/>
  <c r="Q10" i="155"/>
  <c r="M18" i="155"/>
  <c r="M12" i="155"/>
  <c r="N13" i="155"/>
  <c r="M9" i="155"/>
  <c r="L22" i="155"/>
  <c r="L21" i="155" s="1"/>
  <c r="N16" i="155"/>
  <c r="N15" i="155" s="1"/>
  <c r="N14" i="155"/>
  <c r="L12" i="155"/>
  <c r="N11" i="155"/>
  <c r="M15" i="155"/>
  <c r="J15" i="155"/>
  <c r="J12" i="155"/>
  <c r="J9" i="155"/>
  <c r="I22" i="155"/>
  <c r="I21" i="155" s="1"/>
  <c r="I12" i="155"/>
  <c r="I9" i="155"/>
  <c r="C28" i="155" l="1"/>
  <c r="O8" i="155"/>
  <c r="O7" i="155" s="1"/>
  <c r="W27" i="155"/>
  <c r="AI27" i="155"/>
  <c r="AI22" i="155"/>
  <c r="I8" i="155"/>
  <c r="I7" i="155" s="1"/>
  <c r="Q12" i="155"/>
  <c r="W23" i="155"/>
  <c r="C22" i="155"/>
  <c r="C21" i="155" s="1"/>
  <c r="H21" i="155"/>
  <c r="W25" i="155"/>
  <c r="J8" i="155"/>
  <c r="J7" i="155" s="1"/>
  <c r="K9" i="155"/>
  <c r="K12" i="155"/>
  <c r="L8" i="155"/>
  <c r="L7" i="155" s="1"/>
  <c r="Q9" i="155"/>
  <c r="N9" i="155"/>
  <c r="E29" i="155"/>
  <c r="E28" i="155" s="1"/>
  <c r="R7" i="155"/>
  <c r="M8" i="155"/>
  <c r="M7" i="155" s="1"/>
  <c r="N12" i="155"/>
  <c r="P8" i="155"/>
  <c r="AI21" i="155" l="1"/>
  <c r="W22" i="155"/>
  <c r="W21" i="155" s="1"/>
  <c r="Q8" i="155"/>
  <c r="K8" i="155"/>
  <c r="K7" i="155" s="1"/>
  <c r="N8" i="155"/>
  <c r="N7" i="155" s="1"/>
  <c r="H20" i="155"/>
  <c r="H19" i="155"/>
  <c r="G18" i="155"/>
  <c r="G15" i="155"/>
  <c r="G12" i="155"/>
  <c r="G8" i="155" s="1"/>
  <c r="G7" i="155" s="1"/>
  <c r="F16" i="155"/>
  <c r="F15" i="155" s="1"/>
  <c r="F14" i="155"/>
  <c r="C14" i="155" s="1"/>
  <c r="F13" i="155"/>
  <c r="C13" i="155" s="1"/>
  <c r="F11" i="155"/>
  <c r="F10" i="155"/>
  <c r="W13" i="155" l="1"/>
  <c r="AI13" i="155"/>
  <c r="W14" i="155"/>
  <c r="AI14" i="155"/>
  <c r="H14" i="155"/>
  <c r="F12" i="155"/>
  <c r="C16" i="155"/>
  <c r="AI16" i="155" s="1"/>
  <c r="AI15" i="155" s="1"/>
  <c r="F9" i="155"/>
  <c r="C10" i="155"/>
  <c r="H11" i="155"/>
  <c r="C11" i="155"/>
  <c r="H13" i="155"/>
  <c r="H16" i="155"/>
  <c r="H15" i="155" s="1"/>
  <c r="H10" i="155"/>
  <c r="H18" i="155"/>
  <c r="W12" i="155" l="1"/>
  <c r="W11" i="155"/>
  <c r="AI11" i="155"/>
  <c r="AI10" i="155"/>
  <c r="AI9" i="155" s="1"/>
  <c r="W10" i="155"/>
  <c r="F8" i="155"/>
  <c r="F7" i="155" s="1"/>
  <c r="AI12" i="155"/>
  <c r="C9" i="155"/>
  <c r="C15" i="155"/>
  <c r="W16" i="155"/>
  <c r="W15" i="155" s="1"/>
  <c r="H12" i="155"/>
  <c r="H9" i="155"/>
  <c r="C12" i="155"/>
  <c r="D22" i="31"/>
  <c r="W9" i="155" l="1"/>
  <c r="C8" i="155"/>
  <c r="C7" i="155" s="1"/>
  <c r="AI8" i="155"/>
  <c r="AI7" i="155" s="1"/>
  <c r="H8" i="155"/>
  <c r="H7" i="155" s="1"/>
  <c r="W8" i="155"/>
  <c r="W7" i="155" s="1"/>
  <c r="E6" i="45"/>
  <c r="N21" i="16" s="1"/>
  <c r="I6" i="45"/>
  <c r="E46" i="31"/>
  <c r="D30" i="31"/>
  <c r="E10" i="31"/>
  <c r="D27" i="31"/>
  <c r="D40" i="31" s="1"/>
  <c r="D8" i="31"/>
  <c r="C26" i="31"/>
  <c r="F26" i="31" s="1"/>
  <c r="AB105" i="11"/>
  <c r="AB106" i="11"/>
  <c r="K77" i="11"/>
  <c r="AB105" i="56" l="1"/>
  <c r="AB105" i="161"/>
  <c r="C105" i="161" s="1"/>
  <c r="AB105" i="160"/>
  <c r="C105" i="160" s="1"/>
  <c r="AB105" i="159"/>
  <c r="C105" i="159" s="1"/>
  <c r="K77" i="160"/>
  <c r="J77" i="160" s="1"/>
  <c r="K77" i="161"/>
  <c r="J77" i="161" s="1"/>
  <c r="K77" i="159"/>
  <c r="J77" i="159" s="1"/>
  <c r="K77" i="56"/>
  <c r="X48" i="2"/>
  <c r="S96" i="11"/>
  <c r="N32" i="11"/>
  <c r="K15" i="11"/>
  <c r="T50" i="11"/>
  <c r="T47" i="11"/>
  <c r="L39" i="11"/>
  <c r="K36" i="11"/>
  <c r="T28" i="11"/>
  <c r="N28" i="11"/>
  <c r="L26" i="11"/>
  <c r="N25" i="11"/>
  <c r="T23" i="11"/>
  <c r="T18" i="11"/>
  <c r="T17" i="11"/>
  <c r="N28" i="161" l="1"/>
  <c r="N28" i="160"/>
  <c r="N28" i="159"/>
  <c r="J28" i="159" s="1"/>
  <c r="C28" i="159" s="1"/>
  <c r="T28" i="160"/>
  <c r="T28" i="161"/>
  <c r="T28" i="159"/>
  <c r="K15" i="161"/>
  <c r="K15" i="160"/>
  <c r="K15" i="159"/>
  <c r="T47" i="161"/>
  <c r="T47" i="160"/>
  <c r="T47" i="159"/>
  <c r="J96" i="11"/>
  <c r="S96" i="160"/>
  <c r="J96" i="160" s="1"/>
  <c r="S96" i="161"/>
  <c r="J96" i="161" s="1"/>
  <c r="S96" i="159"/>
  <c r="J96" i="159" s="1"/>
  <c r="S96" i="56"/>
  <c r="J96" i="56" s="1"/>
  <c r="L39" i="161"/>
  <c r="J39" i="161" s="1"/>
  <c r="C39" i="161" s="1"/>
  <c r="L39" i="160"/>
  <c r="J39" i="160" s="1"/>
  <c r="C39" i="160" s="1"/>
  <c r="L39" i="159"/>
  <c r="J39" i="159" s="1"/>
  <c r="C39" i="159" s="1"/>
  <c r="T23" i="161"/>
  <c r="J23" i="161" s="1"/>
  <c r="C23" i="161" s="1"/>
  <c r="T23" i="160"/>
  <c r="J23" i="160" s="1"/>
  <c r="C23" i="160" s="1"/>
  <c r="T23" i="159"/>
  <c r="J23" i="159" s="1"/>
  <c r="C23" i="159" s="1"/>
  <c r="K36" i="160"/>
  <c r="J36" i="160" s="1"/>
  <c r="K36" i="161"/>
  <c r="J36" i="161" s="1"/>
  <c r="K36" i="159"/>
  <c r="J36" i="159" s="1"/>
  <c r="T50" i="160"/>
  <c r="T48" i="160" s="1"/>
  <c r="T50" i="161"/>
  <c r="T48" i="161" s="1"/>
  <c r="T50" i="159"/>
  <c r="T48" i="159" s="1"/>
  <c r="T17" i="161"/>
  <c r="T17" i="160"/>
  <c r="T17" i="159"/>
  <c r="N32" i="161"/>
  <c r="J32" i="161" s="1"/>
  <c r="C32" i="161" s="1"/>
  <c r="N32" i="160"/>
  <c r="J32" i="160" s="1"/>
  <c r="C32" i="160" s="1"/>
  <c r="N32" i="159"/>
  <c r="J32" i="159" s="1"/>
  <c r="C32" i="159" s="1"/>
  <c r="T18" i="160"/>
  <c r="J18" i="160" s="1"/>
  <c r="C18" i="160" s="1"/>
  <c r="T18" i="161"/>
  <c r="J18" i="161" s="1"/>
  <c r="C18" i="161" s="1"/>
  <c r="T18" i="159"/>
  <c r="J18" i="159" s="1"/>
  <c r="C18" i="159" s="1"/>
  <c r="N25" i="161"/>
  <c r="J25" i="161" s="1"/>
  <c r="C25" i="161" s="1"/>
  <c r="N25" i="160"/>
  <c r="J25" i="160" s="1"/>
  <c r="C25" i="160" s="1"/>
  <c r="N25" i="159"/>
  <c r="J25" i="159" s="1"/>
  <c r="C25" i="159" s="1"/>
  <c r="L26" i="161"/>
  <c r="L26" i="160"/>
  <c r="L26" i="159"/>
  <c r="L11" i="11"/>
  <c r="V68" i="11"/>
  <c r="AJ97" i="1"/>
  <c r="AJ96" i="1"/>
  <c r="AJ95" i="1"/>
  <c r="AJ94" i="1"/>
  <c r="AJ93" i="1"/>
  <c r="AI92" i="1"/>
  <c r="V63" i="11"/>
  <c r="J47" i="159" l="1"/>
  <c r="T42" i="159"/>
  <c r="J17" i="159"/>
  <c r="C17" i="159" s="1"/>
  <c r="T11" i="159"/>
  <c r="J47" i="161"/>
  <c r="T42" i="161"/>
  <c r="J17" i="160"/>
  <c r="C17" i="160" s="1"/>
  <c r="T11" i="160"/>
  <c r="V68" i="160"/>
  <c r="J68" i="160" s="1"/>
  <c r="C68" i="160" s="1"/>
  <c r="V68" i="161"/>
  <c r="J68" i="161" s="1"/>
  <c r="C68" i="161" s="1"/>
  <c r="V68" i="159"/>
  <c r="J68" i="159" s="1"/>
  <c r="C68" i="159" s="1"/>
  <c r="J17" i="161"/>
  <c r="C17" i="161" s="1"/>
  <c r="T11" i="161"/>
  <c r="J15" i="159"/>
  <c r="K11" i="159"/>
  <c r="J47" i="160"/>
  <c r="T42" i="160"/>
  <c r="T41" i="160" s="1"/>
  <c r="J26" i="159"/>
  <c r="C26" i="159" s="1"/>
  <c r="L11" i="159"/>
  <c r="J15" i="160"/>
  <c r="K11" i="160"/>
  <c r="T41" i="159"/>
  <c r="J15" i="161"/>
  <c r="K11" i="161"/>
  <c r="J28" i="160"/>
  <c r="C28" i="160" s="1"/>
  <c r="J26" i="160"/>
  <c r="C26" i="160" s="1"/>
  <c r="L11" i="160"/>
  <c r="J26" i="161"/>
  <c r="C26" i="161" s="1"/>
  <c r="L11" i="161"/>
  <c r="T41" i="161"/>
  <c r="J28" i="161"/>
  <c r="C28" i="161" s="1"/>
  <c r="V63" i="160"/>
  <c r="V63" i="161"/>
  <c r="V63" i="159"/>
  <c r="AJ92" i="1"/>
  <c r="A89" i="139"/>
  <c r="A89" i="140" s="1"/>
  <c r="A89" i="141" s="1"/>
  <c r="A89" i="142" s="1"/>
  <c r="A89" i="143" s="1"/>
  <c r="A89" i="144" s="1"/>
  <c r="A89" i="145" s="1"/>
  <c r="A89" i="146" s="1"/>
  <c r="A89" i="147" s="1"/>
  <c r="A89" i="148" s="1"/>
  <c r="A89" i="149" s="1"/>
  <c r="A89" i="150" s="1"/>
  <c r="J63" i="160" l="1"/>
  <c r="C63" i="160" s="1"/>
  <c r="C47" i="161"/>
  <c r="C42" i="161" s="1"/>
  <c r="J42" i="161"/>
  <c r="C47" i="160"/>
  <c r="C42" i="160" s="1"/>
  <c r="J42" i="160"/>
  <c r="J63" i="159"/>
  <c r="C63" i="159" s="1"/>
  <c r="J63" i="161"/>
  <c r="C63" i="161" s="1"/>
  <c r="C47" i="159"/>
  <c r="C42" i="159" s="1"/>
  <c r="J42" i="159"/>
  <c r="A90" i="139"/>
  <c r="A90" i="140" s="1"/>
  <c r="A90" i="141" s="1"/>
  <c r="A90" i="142" s="1"/>
  <c r="A90" i="143" s="1"/>
  <c r="A90" i="144" s="1"/>
  <c r="A90" i="145" s="1"/>
  <c r="A90" i="146" s="1"/>
  <c r="A90" i="147" s="1"/>
  <c r="A90" i="148" s="1"/>
  <c r="A90" i="149" s="1"/>
  <c r="A90" i="150" s="1"/>
  <c r="A88" i="139"/>
  <c r="A88" i="140" s="1"/>
  <c r="A88" i="141" s="1"/>
  <c r="A88" i="142" s="1"/>
  <c r="A88" i="143" s="1"/>
  <c r="A88" i="144" s="1"/>
  <c r="A88" i="145" s="1"/>
  <c r="A88" i="146" s="1"/>
  <c r="A88" i="147" s="1"/>
  <c r="A88" i="148" s="1"/>
  <c r="A88" i="149" s="1"/>
  <c r="A88" i="150" s="1"/>
  <c r="J72" i="56" l="1"/>
  <c r="C72" i="56" s="1"/>
  <c r="B72" i="56"/>
  <c r="J72" i="11"/>
  <c r="C72" i="11" s="1"/>
  <c r="AD29" i="11" l="1"/>
  <c r="AD29" i="160" l="1"/>
  <c r="AB29" i="160" s="1"/>
  <c r="C29" i="160" s="1"/>
  <c r="AD29" i="161"/>
  <c r="AB29" i="161" s="1"/>
  <c r="C29" i="161" s="1"/>
  <c r="AD29" i="159"/>
  <c r="AB29" i="159" s="1"/>
  <c r="C29" i="159" s="1"/>
  <c r="G97" i="1"/>
  <c r="G96" i="1"/>
  <c r="G95" i="1"/>
  <c r="G94" i="1"/>
  <c r="G93" i="1"/>
  <c r="F92" i="1"/>
  <c r="M90" i="1"/>
  <c r="H71" i="1"/>
  <c r="H70" i="1" s="1"/>
  <c r="I71" i="1"/>
  <c r="I70" i="1" s="1"/>
  <c r="J71" i="1"/>
  <c r="J70" i="1" s="1"/>
  <c r="K71" i="1"/>
  <c r="K70" i="1" s="1"/>
  <c r="L71" i="1"/>
  <c r="L90" i="1" s="1"/>
  <c r="M71" i="1"/>
  <c r="M70" i="1" s="1"/>
  <c r="N71" i="1"/>
  <c r="N70" i="1" s="1"/>
  <c r="O71" i="1"/>
  <c r="O70" i="1" s="1"/>
  <c r="P71" i="1"/>
  <c r="P70" i="1" s="1"/>
  <c r="Q71" i="1"/>
  <c r="Q70" i="1" s="1"/>
  <c r="R71" i="1"/>
  <c r="R70" i="1" s="1"/>
  <c r="S71" i="1"/>
  <c r="S70" i="1" s="1"/>
  <c r="K90" i="1" l="1"/>
  <c r="R90" i="1"/>
  <c r="S90" i="1"/>
  <c r="Q90" i="1"/>
  <c r="P90" i="1"/>
  <c r="N90" i="1"/>
  <c r="G92" i="1"/>
  <c r="I90" i="1"/>
  <c r="H90" i="1"/>
  <c r="L70" i="1"/>
  <c r="O90" i="1"/>
  <c r="J90" i="1"/>
  <c r="AE84" i="1"/>
  <c r="AF84" i="1" s="1"/>
  <c r="AE83" i="1"/>
  <c r="AF83" i="1" s="1"/>
  <c r="AE80" i="1"/>
  <c r="AF80" i="1" s="1"/>
  <c r="AG80" i="1" s="1"/>
  <c r="AH83" i="1" l="1"/>
  <c r="AG83" i="1"/>
  <c r="AG84" i="1"/>
  <c r="AH84" i="1"/>
  <c r="AJ84" i="1" s="1"/>
  <c r="AI84" i="1"/>
  <c r="AI80" i="1"/>
  <c r="AJ80" i="1" s="1"/>
  <c r="AI83" i="1"/>
  <c r="AJ83" i="1" s="1"/>
  <c r="AH80" i="1"/>
  <c r="EK31" i="15"/>
  <c r="EK32" i="15" s="1"/>
  <c r="CC31" i="15"/>
  <c r="CC32" i="15" s="1"/>
  <c r="AG32" i="15"/>
  <c r="EW32" i="15"/>
  <c r="DY32" i="15"/>
  <c r="DM32" i="15"/>
  <c r="DA32" i="15"/>
  <c r="CO32" i="15"/>
  <c r="BQ32" i="15"/>
  <c r="BE32" i="15"/>
  <c r="AS32" i="15"/>
  <c r="U32" i="15"/>
  <c r="E36" i="154"/>
  <c r="C36" i="154"/>
  <c r="B36" i="154"/>
  <c r="A36" i="154"/>
  <c r="B35" i="154"/>
  <c r="A35" i="154"/>
  <c r="E34" i="154"/>
  <c r="C34" i="154"/>
  <c r="B34" i="154"/>
  <c r="A34" i="154"/>
  <c r="E33" i="154"/>
  <c r="C33" i="154" s="1"/>
  <c r="B33" i="154"/>
  <c r="A33" i="154"/>
  <c r="E32" i="154"/>
  <c r="C32" i="154" s="1"/>
  <c r="B32" i="154"/>
  <c r="A32" i="154"/>
  <c r="E31" i="154"/>
  <c r="C31" i="154" s="1"/>
  <c r="B31" i="154"/>
  <c r="A31" i="154"/>
  <c r="E30" i="154"/>
  <c r="C30" i="154" s="1"/>
  <c r="B30" i="154"/>
  <c r="A30" i="154"/>
  <c r="D29" i="154"/>
  <c r="B29" i="154"/>
  <c r="E27" i="154"/>
  <c r="C27" i="154" s="1"/>
  <c r="B27" i="154"/>
  <c r="A27" i="154"/>
  <c r="B26" i="154"/>
  <c r="A26" i="154"/>
  <c r="E25" i="154"/>
  <c r="D25" i="154"/>
  <c r="B25" i="154"/>
  <c r="A25" i="154"/>
  <c r="E24" i="154"/>
  <c r="C24" i="154" s="1"/>
  <c r="D24" i="154"/>
  <c r="B24" i="154"/>
  <c r="A24" i="154"/>
  <c r="E23" i="154"/>
  <c r="D23" i="154"/>
  <c r="B23" i="154"/>
  <c r="A23" i="154"/>
  <c r="E22" i="154"/>
  <c r="C22" i="154" s="1"/>
  <c r="D22" i="154"/>
  <c r="B22" i="154"/>
  <c r="A22" i="154"/>
  <c r="D21" i="154"/>
  <c r="B21" i="154"/>
  <c r="A21" i="154"/>
  <c r="B20" i="154"/>
  <c r="A20" i="154"/>
  <c r="B19" i="154"/>
  <c r="A19" i="154"/>
  <c r="B18" i="154"/>
  <c r="A18" i="154"/>
  <c r="E17" i="154"/>
  <c r="D17" i="154"/>
  <c r="C17" i="154" s="1"/>
  <c r="B17" i="154"/>
  <c r="A17" i="154"/>
  <c r="E16" i="154"/>
  <c r="D16" i="154"/>
  <c r="C16" i="154" s="1"/>
  <c r="B16" i="154"/>
  <c r="E15" i="154"/>
  <c r="D15" i="154"/>
  <c r="C15" i="154" s="1"/>
  <c r="B15" i="154"/>
  <c r="A15" i="154"/>
  <c r="B14" i="154"/>
  <c r="E13" i="154"/>
  <c r="B13" i="154"/>
  <c r="A13" i="154"/>
  <c r="B12" i="154"/>
  <c r="A12" i="154"/>
  <c r="C11" i="154"/>
  <c r="B11" i="154"/>
  <c r="B10" i="154"/>
  <c r="E9" i="154"/>
  <c r="C9" i="154" s="1"/>
  <c r="D9" i="154"/>
  <c r="B9" i="154"/>
  <c r="A9" i="154"/>
  <c r="B8" i="154"/>
  <c r="A8" i="154"/>
  <c r="B7" i="154"/>
  <c r="C23" i="154" l="1"/>
  <c r="C25" i="154"/>
  <c r="Y9" i="153"/>
  <c r="X9" i="153"/>
  <c r="W9" i="153"/>
  <c r="V9" i="153"/>
  <c r="U9" i="153"/>
  <c r="T9" i="153"/>
  <c r="S9" i="153"/>
  <c r="R9" i="153"/>
  <c r="Q9" i="153"/>
  <c r="P9" i="153"/>
  <c r="O9" i="153"/>
  <c r="N9" i="153"/>
  <c r="M9" i="153"/>
  <c r="L9" i="153"/>
  <c r="K9" i="153"/>
  <c r="J9" i="153"/>
  <c r="I9" i="153"/>
  <c r="H9" i="153"/>
  <c r="G9" i="153"/>
  <c r="F9" i="153"/>
  <c r="E9" i="153"/>
  <c r="D9" i="153"/>
  <c r="C9" i="153"/>
  <c r="B9" i="153"/>
  <c r="A9" i="153"/>
  <c r="E36" i="152"/>
  <c r="C36" i="152" s="1"/>
  <c r="B36" i="152"/>
  <c r="A36" i="152"/>
  <c r="B35" i="152"/>
  <c r="A35" i="152"/>
  <c r="E34" i="152"/>
  <c r="C34" i="152" s="1"/>
  <c r="B34" i="152"/>
  <c r="A34" i="152"/>
  <c r="E33" i="152"/>
  <c r="C33" i="152" s="1"/>
  <c r="B33" i="152"/>
  <c r="A33" i="152"/>
  <c r="E32" i="152"/>
  <c r="C32" i="152" s="1"/>
  <c r="B32" i="152"/>
  <c r="A32" i="152"/>
  <c r="E31" i="152"/>
  <c r="C31" i="152" s="1"/>
  <c r="B31" i="152"/>
  <c r="A31" i="152"/>
  <c r="E30" i="152"/>
  <c r="C30" i="152" s="1"/>
  <c r="B30" i="152"/>
  <c r="A30" i="152"/>
  <c r="D29" i="152"/>
  <c r="B29" i="152"/>
  <c r="E27" i="152"/>
  <c r="C27" i="152" s="1"/>
  <c r="B27" i="152"/>
  <c r="A27" i="152"/>
  <c r="B26" i="152"/>
  <c r="A26" i="152"/>
  <c r="E25" i="152"/>
  <c r="D25" i="152"/>
  <c r="C25" i="152" s="1"/>
  <c r="B25" i="152"/>
  <c r="A25" i="152"/>
  <c r="E24" i="152"/>
  <c r="D24" i="152"/>
  <c r="B24" i="152"/>
  <c r="A24" i="152"/>
  <c r="E23" i="152"/>
  <c r="D23" i="152"/>
  <c r="B23" i="152"/>
  <c r="A23" i="152"/>
  <c r="E22" i="152"/>
  <c r="D22" i="152"/>
  <c r="B22" i="152"/>
  <c r="A22" i="152"/>
  <c r="D21" i="152"/>
  <c r="B21" i="152"/>
  <c r="A21" i="152"/>
  <c r="B20" i="152"/>
  <c r="A20" i="152"/>
  <c r="B19" i="152"/>
  <c r="A19" i="152"/>
  <c r="B18" i="152"/>
  <c r="A18" i="152"/>
  <c r="E17" i="152"/>
  <c r="D17" i="152"/>
  <c r="B17" i="152"/>
  <c r="A17" i="152"/>
  <c r="E16" i="152"/>
  <c r="D16" i="152"/>
  <c r="C16" i="152" s="1"/>
  <c r="B16" i="152"/>
  <c r="E15" i="152"/>
  <c r="D15" i="152"/>
  <c r="B15" i="152"/>
  <c r="A15" i="152"/>
  <c r="B14" i="152"/>
  <c r="E13" i="152"/>
  <c r="B13" i="152"/>
  <c r="A13" i="152"/>
  <c r="B12" i="152"/>
  <c r="A12" i="152"/>
  <c r="C11" i="152"/>
  <c r="B11" i="152"/>
  <c r="B10" i="152"/>
  <c r="E9" i="152"/>
  <c r="D9" i="152"/>
  <c r="C9" i="152"/>
  <c r="B9" i="152"/>
  <c r="A9" i="152"/>
  <c r="B8" i="152"/>
  <c r="A8" i="152"/>
  <c r="B7" i="152"/>
  <c r="C22" i="152" l="1"/>
  <c r="C15" i="152"/>
  <c r="C23" i="152"/>
  <c r="C24" i="152"/>
  <c r="C17" i="152"/>
  <c r="L8" i="56" l="1"/>
  <c r="M8" i="56"/>
  <c r="N8" i="56"/>
  <c r="O8" i="56"/>
  <c r="P8" i="56"/>
  <c r="Q8" i="56"/>
  <c r="R8" i="56"/>
  <c r="S8" i="56"/>
  <c r="T8" i="56"/>
  <c r="U8" i="56"/>
  <c r="V8" i="56"/>
  <c r="B26" i="49"/>
  <c r="K8" i="11"/>
  <c r="K8" i="161" l="1"/>
  <c r="K8" i="160"/>
  <c r="K8" i="159"/>
  <c r="K8" i="56"/>
  <c r="C40" i="1" l="1"/>
  <c r="C44" i="170" l="1"/>
  <c r="E19" i="158"/>
  <c r="C81" i="1"/>
  <c r="F81" i="1" l="1"/>
  <c r="D81" i="1"/>
  <c r="K19" i="158"/>
  <c r="A92" i="139"/>
  <c r="A92" i="140" s="1"/>
  <c r="A92" i="141" s="1"/>
  <c r="A92" i="142" s="1"/>
  <c r="A92" i="143" s="1"/>
  <c r="A92" i="144" s="1"/>
  <c r="A92" i="145" s="1"/>
  <c r="A92" i="146" s="1"/>
  <c r="A92" i="147" s="1"/>
  <c r="A92" i="148" s="1"/>
  <c r="A92" i="149" s="1"/>
  <c r="A92" i="150" s="1"/>
  <c r="A91" i="139"/>
  <c r="A91" i="140" s="1"/>
  <c r="A91" i="141" s="1"/>
  <c r="A91" i="142" s="1"/>
  <c r="A91" i="143" s="1"/>
  <c r="A91" i="144" s="1"/>
  <c r="A91" i="145" s="1"/>
  <c r="A91" i="146" s="1"/>
  <c r="A91" i="147" s="1"/>
  <c r="A91" i="148" s="1"/>
  <c r="A91" i="149" s="1"/>
  <c r="A91" i="150" s="1"/>
  <c r="D18" i="118"/>
  <c r="C18" i="118" s="1"/>
  <c r="B49" i="118"/>
  <c r="B48" i="118"/>
  <c r="B47" i="118"/>
  <c r="B46" i="118"/>
  <c r="B45" i="118"/>
  <c r="C25" i="116"/>
  <c r="B51" i="116"/>
  <c r="B50" i="116"/>
  <c r="B49" i="116"/>
  <c r="B19" i="116"/>
  <c r="B20" i="116"/>
  <c r="B21" i="116"/>
  <c r="B22" i="116"/>
  <c r="B23" i="116"/>
  <c r="B24" i="116"/>
  <c r="B26" i="116"/>
  <c r="B27" i="116"/>
  <c r="B28" i="116"/>
  <c r="B29" i="116"/>
  <c r="B30" i="116"/>
  <c r="B31" i="116"/>
  <c r="B32" i="116"/>
  <c r="B33" i="116"/>
  <c r="B34" i="116"/>
  <c r="B35" i="116"/>
  <c r="B36" i="116"/>
  <c r="B37" i="116"/>
  <c r="B38" i="116"/>
  <c r="B39" i="116"/>
  <c r="B40" i="116"/>
  <c r="B41" i="116"/>
  <c r="B42" i="116"/>
  <c r="B43" i="116"/>
  <c r="B44" i="116"/>
  <c r="B45" i="116"/>
  <c r="B46" i="116"/>
  <c r="B47" i="116"/>
  <c r="B48" i="116"/>
  <c r="B18" i="116"/>
  <c r="A28" i="115"/>
  <c r="A29" i="115"/>
  <c r="A30" i="115"/>
  <c r="A31" i="115"/>
  <c r="A27" i="115"/>
  <c r="C31" i="71"/>
  <c r="H55" i="23"/>
  <c r="I60" i="23"/>
  <c r="C28" i="71"/>
  <c r="C27" i="71"/>
  <c r="E28" i="71"/>
  <c r="E27" i="71"/>
  <c r="E31" i="71"/>
  <c r="I29" i="71"/>
  <c r="I31" i="71" s="1"/>
  <c r="E38" i="71" l="1"/>
  <c r="G81" i="1"/>
  <c r="E81" i="1"/>
  <c r="E15" i="71"/>
  <c r="D41" i="112"/>
  <c r="B49" i="112"/>
  <c r="B48" i="112"/>
  <c r="B47" i="112"/>
  <c r="B46" i="112"/>
  <c r="B45" i="112"/>
  <c r="E37" i="112"/>
  <c r="E18" i="112"/>
  <c r="D18" i="112"/>
  <c r="A15" i="112"/>
  <c r="A16" i="112"/>
  <c r="A17" i="112"/>
  <c r="A18" i="112"/>
  <c r="A14" i="112"/>
  <c r="B13" i="112"/>
  <c r="B12" i="112"/>
  <c r="B11" i="112"/>
  <c r="B45" i="110"/>
  <c r="B45" i="115" s="1"/>
  <c r="B44" i="110"/>
  <c r="B43" i="110"/>
  <c r="B42" i="110"/>
  <c r="B41" i="110"/>
  <c r="B40" i="110"/>
  <c r="B39" i="110"/>
  <c r="B38" i="110"/>
  <c r="B37" i="110"/>
  <c r="B36" i="110"/>
  <c r="B35" i="110"/>
  <c r="B34" i="110"/>
  <c r="B33" i="110"/>
  <c r="B33" i="115" s="1"/>
  <c r="B32" i="110"/>
  <c r="B32" i="115" s="1"/>
  <c r="B28" i="110"/>
  <c r="B29" i="110"/>
  <c r="B30" i="110"/>
  <c r="B27" i="110"/>
  <c r="B26" i="110"/>
  <c r="B26" i="115" s="1"/>
  <c r="B25" i="110"/>
  <c r="B25" i="115" s="1"/>
  <c r="B24" i="110"/>
  <c r="B24" i="115" s="1"/>
  <c r="B23" i="110"/>
  <c r="B38" i="111" s="1"/>
  <c r="B22" i="110"/>
  <c r="B37" i="111" s="1"/>
  <c r="B21" i="110"/>
  <c r="B36" i="111" s="1"/>
  <c r="B20" i="110"/>
  <c r="B35" i="111" s="1"/>
  <c r="B19" i="110"/>
  <c r="B34" i="111" s="1"/>
  <c r="B18" i="110"/>
  <c r="B33" i="111" s="1"/>
  <c r="B17" i="110"/>
  <c r="B32" i="111" s="1"/>
  <c r="B16" i="110"/>
  <c r="B31" i="111" s="1"/>
  <c r="B15" i="110"/>
  <c r="B14" i="110"/>
  <c r="B13" i="110"/>
  <c r="B12" i="110"/>
  <c r="B11" i="110"/>
  <c r="B10" i="110"/>
  <c r="B9" i="110"/>
  <c r="B14" i="112" l="1"/>
  <c r="B27" i="115"/>
  <c r="B17" i="112"/>
  <c r="B30" i="115"/>
  <c r="B38" i="112"/>
  <c r="B41" i="115"/>
  <c r="B16" i="112"/>
  <c r="B29" i="115"/>
  <c r="B39" i="112"/>
  <c r="B42" i="115"/>
  <c r="B37" i="112"/>
  <c r="B40" i="115"/>
  <c r="B15" i="112"/>
  <c r="B28" i="115"/>
  <c r="B40" i="112"/>
  <c r="B43" i="115"/>
  <c r="B42" i="112"/>
  <c r="B44" i="115"/>
  <c r="B36" i="112"/>
  <c r="B39" i="115"/>
  <c r="B21" i="112"/>
  <c r="B34" i="115"/>
  <c r="B22" i="112"/>
  <c r="B35" i="115"/>
  <c r="B23" i="112"/>
  <c r="B36" i="115"/>
  <c r="B34" i="112"/>
  <c r="B37" i="115"/>
  <c r="B35" i="112"/>
  <c r="B38" i="115"/>
  <c r="C18" i="112"/>
  <c r="AE50" i="1"/>
  <c r="AE51" i="1"/>
  <c r="AE40" i="1"/>
  <c r="AD16" i="11"/>
  <c r="A18" i="55"/>
  <c r="A18" i="113" s="1"/>
  <c r="A15" i="55"/>
  <c r="A15" i="113" s="1"/>
  <c r="B18" i="55"/>
  <c r="B18" i="113" s="1"/>
  <c r="C16" i="14"/>
  <c r="C17" i="14"/>
  <c r="C15" i="14"/>
  <c r="E21" i="14"/>
  <c r="D26" i="14"/>
  <c r="E35" i="14"/>
  <c r="D26" i="171" l="1"/>
  <c r="H26" i="14"/>
  <c r="D26" i="154"/>
  <c r="D26" i="152"/>
  <c r="D26" i="113"/>
  <c r="E21" i="171"/>
  <c r="E20" i="14"/>
  <c r="E35" i="171"/>
  <c r="E35" i="154"/>
  <c r="E35" i="152"/>
  <c r="AD16" i="161"/>
  <c r="AB16" i="161" s="1"/>
  <c r="C16" i="161" s="1"/>
  <c r="AD16" i="160"/>
  <c r="AB16" i="160" s="1"/>
  <c r="C16" i="160" s="1"/>
  <c r="AD16" i="159"/>
  <c r="AB16" i="159" s="1"/>
  <c r="C16" i="159" s="1"/>
  <c r="AE81" i="1"/>
  <c r="G44" i="170"/>
  <c r="S19" i="158"/>
  <c r="E9" i="31"/>
  <c r="D18" i="154"/>
  <c r="C18" i="154" s="1"/>
  <c r="D18" i="152"/>
  <c r="C18" i="152" s="1"/>
  <c r="D18" i="55"/>
  <c r="E21" i="154"/>
  <c r="E21" i="152"/>
  <c r="C18" i="14"/>
  <c r="B64" i="144"/>
  <c r="B64" i="145" s="1"/>
  <c r="B64" i="146" s="1"/>
  <c r="B64" i="147" s="1"/>
  <c r="B64" i="148" s="1"/>
  <c r="B64" i="149" s="1"/>
  <c r="B64" i="150" s="1"/>
  <c r="A85" i="139"/>
  <c r="A85" i="140" s="1"/>
  <c r="A86" i="139"/>
  <c r="A86" i="140" s="1"/>
  <c r="A86" i="141" s="1"/>
  <c r="A86" i="142" s="1"/>
  <c r="A86" i="143" s="1"/>
  <c r="A86" i="144" s="1"/>
  <c r="A86" i="145" s="1"/>
  <c r="A86" i="146" s="1"/>
  <c r="A86" i="147" s="1"/>
  <c r="A86" i="148" s="1"/>
  <c r="A86" i="149" s="1"/>
  <c r="A86" i="150" s="1"/>
  <c r="B64" i="140"/>
  <c r="B64" i="141" s="1"/>
  <c r="B64" i="142" s="1"/>
  <c r="B76" i="139"/>
  <c r="B76" i="140" s="1"/>
  <c r="B76" i="141" s="1"/>
  <c r="B76" i="142" s="1"/>
  <c r="B76" i="143" s="1"/>
  <c r="B76" i="144" s="1"/>
  <c r="B76" i="145" s="1"/>
  <c r="B76" i="146" s="1"/>
  <c r="B76" i="147" s="1"/>
  <c r="B76" i="148" s="1"/>
  <c r="B76" i="149" s="1"/>
  <c r="B76" i="150" s="1"/>
  <c r="B75" i="139"/>
  <c r="B75" i="140" s="1"/>
  <c r="B75" i="141" s="1"/>
  <c r="B75" i="142" s="1"/>
  <c r="B75" i="143" s="1"/>
  <c r="B75" i="144" s="1"/>
  <c r="B75" i="145" s="1"/>
  <c r="B75" i="146" s="1"/>
  <c r="B75" i="147" s="1"/>
  <c r="B75" i="148" s="1"/>
  <c r="B75" i="149" s="1"/>
  <c r="B75" i="150" s="1"/>
  <c r="B74" i="139"/>
  <c r="B74" i="140" s="1"/>
  <c r="B74" i="141" s="1"/>
  <c r="B74" i="142" s="1"/>
  <c r="B74" i="143" s="1"/>
  <c r="B74" i="144" s="1"/>
  <c r="B74" i="145" s="1"/>
  <c r="B74" i="146" s="1"/>
  <c r="B74" i="147" s="1"/>
  <c r="B74" i="148" s="1"/>
  <c r="B74" i="149" s="1"/>
  <c r="B74" i="150" s="1"/>
  <c r="B73" i="139"/>
  <c r="B73" i="140" s="1"/>
  <c r="B73" i="141" s="1"/>
  <c r="B73" i="142" s="1"/>
  <c r="B73" i="143" s="1"/>
  <c r="B73" i="144" s="1"/>
  <c r="B73" i="145" s="1"/>
  <c r="B73" i="146" s="1"/>
  <c r="B73" i="147" s="1"/>
  <c r="B73" i="148" s="1"/>
  <c r="B73" i="149" s="1"/>
  <c r="B73" i="150" s="1"/>
  <c r="B72" i="139"/>
  <c r="B72" i="140" s="1"/>
  <c r="B72" i="141" s="1"/>
  <c r="B72" i="142" s="1"/>
  <c r="B72" i="143" s="1"/>
  <c r="B72" i="144" s="1"/>
  <c r="B72" i="145" s="1"/>
  <c r="B72" i="146" s="1"/>
  <c r="B72" i="147" s="1"/>
  <c r="B72" i="148" s="1"/>
  <c r="B72" i="149" s="1"/>
  <c r="B72" i="150" s="1"/>
  <c r="B71" i="139"/>
  <c r="B71" i="140" s="1"/>
  <c r="B71" i="141" s="1"/>
  <c r="B71" i="142" s="1"/>
  <c r="B71" i="143" s="1"/>
  <c r="B71" i="144" s="1"/>
  <c r="B71" i="145" s="1"/>
  <c r="B71" i="146" s="1"/>
  <c r="B71" i="147" s="1"/>
  <c r="B71" i="148" s="1"/>
  <c r="B71" i="149" s="1"/>
  <c r="B71" i="150" s="1"/>
  <c r="B70" i="139"/>
  <c r="B70" i="140" s="1"/>
  <c r="B70" i="141" s="1"/>
  <c r="B70" i="142" s="1"/>
  <c r="B70" i="143" s="1"/>
  <c r="B70" i="144" s="1"/>
  <c r="B70" i="145" s="1"/>
  <c r="B70" i="146" s="1"/>
  <c r="B70" i="147" s="1"/>
  <c r="B70" i="148" s="1"/>
  <c r="B70" i="149" s="1"/>
  <c r="B70" i="150" s="1"/>
  <c r="B68" i="139"/>
  <c r="B68" i="140" s="1"/>
  <c r="B68" i="141" s="1"/>
  <c r="B68" i="142" s="1"/>
  <c r="B68" i="143" s="1"/>
  <c r="B68" i="144" s="1"/>
  <c r="B68" i="145" s="1"/>
  <c r="B68" i="146" s="1"/>
  <c r="B68" i="147" s="1"/>
  <c r="B68" i="148" s="1"/>
  <c r="B68" i="149" s="1"/>
  <c r="B68" i="150" s="1"/>
  <c r="B69" i="139"/>
  <c r="B69" i="140" s="1"/>
  <c r="B69" i="141" s="1"/>
  <c r="B69" i="142" s="1"/>
  <c r="B69" i="143" s="1"/>
  <c r="B69" i="144" s="1"/>
  <c r="B69" i="145" s="1"/>
  <c r="B69" i="146" s="1"/>
  <c r="B69" i="147" s="1"/>
  <c r="B69" i="148" s="1"/>
  <c r="B69" i="149" s="1"/>
  <c r="B69" i="150" s="1"/>
  <c r="B67" i="139"/>
  <c r="B67" i="140" s="1"/>
  <c r="B67" i="141" s="1"/>
  <c r="B67" i="142" s="1"/>
  <c r="B67" i="143" s="1"/>
  <c r="B67" i="144" s="1"/>
  <c r="B67" i="145" s="1"/>
  <c r="B67" i="146" s="1"/>
  <c r="B67" i="147" s="1"/>
  <c r="B67" i="148" s="1"/>
  <c r="B67" i="149" s="1"/>
  <c r="B67" i="150" s="1"/>
  <c r="B66" i="139"/>
  <c r="B66" i="140" s="1"/>
  <c r="B66" i="141" s="1"/>
  <c r="B66" i="142" s="1"/>
  <c r="B66" i="143" s="1"/>
  <c r="B66" i="144" s="1"/>
  <c r="B66" i="145" s="1"/>
  <c r="B66" i="146" s="1"/>
  <c r="B66" i="147" s="1"/>
  <c r="B66" i="148" s="1"/>
  <c r="B66" i="149" s="1"/>
  <c r="B66" i="150" s="1"/>
  <c r="K12" i="8"/>
  <c r="B65" i="139"/>
  <c r="B65" i="140" s="1"/>
  <c r="B65" i="141" s="1"/>
  <c r="B65" i="142" s="1"/>
  <c r="B65" i="143" s="1"/>
  <c r="B65" i="144" s="1"/>
  <c r="B65" i="145" s="1"/>
  <c r="B65" i="146" s="1"/>
  <c r="B65" i="147" s="1"/>
  <c r="B65" i="148" s="1"/>
  <c r="B65" i="149" s="1"/>
  <c r="B65" i="150" s="1"/>
  <c r="C35" i="171" l="1"/>
  <c r="C29" i="171" s="1"/>
  <c r="E29" i="171"/>
  <c r="X19" i="158"/>
  <c r="AB19" i="158"/>
  <c r="AF81" i="1"/>
  <c r="AG81" i="1" s="1"/>
  <c r="AH81" i="1" s="1"/>
  <c r="AI81" i="1"/>
  <c r="AJ81" i="1" s="1"/>
  <c r="E20" i="171"/>
  <c r="C21" i="171"/>
  <c r="C35" i="154"/>
  <c r="C29" i="154" s="1"/>
  <c r="E29" i="154"/>
  <c r="C35" i="152"/>
  <c r="C29" i="152" s="1"/>
  <c r="E29" i="152"/>
  <c r="D18" i="113"/>
  <c r="C18" i="113" s="1"/>
  <c r="C18" i="55"/>
  <c r="D13" i="154"/>
  <c r="C13" i="154" s="1"/>
  <c r="D13" i="152"/>
  <c r="C13" i="152" s="1"/>
  <c r="D13" i="55"/>
  <c r="C21" i="152"/>
  <c r="E20" i="152"/>
  <c r="C21" i="154"/>
  <c r="E20" i="154"/>
  <c r="A2" i="40" l="1"/>
  <c r="V71" i="56"/>
  <c r="J71" i="56" s="1"/>
  <c r="C71" i="56" s="1"/>
  <c r="B71" i="56"/>
  <c r="J71" i="11"/>
  <c r="C71" i="11" s="1"/>
  <c r="B31" i="48"/>
  <c r="B31" i="110" s="1"/>
  <c r="B43" i="10"/>
  <c r="O8" i="13" s="1"/>
  <c r="CX17" i="16"/>
  <c r="CH17" i="16"/>
  <c r="BZ17" i="16"/>
  <c r="V17" i="16"/>
  <c r="U58" i="11"/>
  <c r="C24" i="49"/>
  <c r="D18" i="51"/>
  <c r="C18" i="51" s="1"/>
  <c r="E18" i="51"/>
  <c r="T14" i="41"/>
  <c r="O14" i="41"/>
  <c r="N14" i="41"/>
  <c r="J28" i="42" s="1"/>
  <c r="B14" i="41"/>
  <c r="H115" i="56"/>
  <c r="I115" i="56"/>
  <c r="I114" i="56"/>
  <c r="B115" i="56"/>
  <c r="I8" i="56"/>
  <c r="Q29" i="8"/>
  <c r="N29" i="8"/>
  <c r="J29" i="8"/>
  <c r="K29" i="8"/>
  <c r="AB45" i="36" s="1"/>
  <c r="Q29" i="7"/>
  <c r="AF14" i="2"/>
  <c r="M29" i="8" s="1"/>
  <c r="K29" i="7"/>
  <c r="J29" i="7"/>
  <c r="I9" i="11"/>
  <c r="Y9" i="11"/>
  <c r="Y153" i="11" s="1"/>
  <c r="AA9" i="11"/>
  <c r="AA153" i="11" s="1"/>
  <c r="D116" i="11"/>
  <c r="D117" i="11"/>
  <c r="D118" i="11"/>
  <c r="D115" i="11"/>
  <c r="C115" i="11" s="1"/>
  <c r="X14" i="2"/>
  <c r="C31" i="48" s="1"/>
  <c r="H51" i="16"/>
  <c r="O8" i="162" l="1"/>
  <c r="O8" i="153"/>
  <c r="U58" i="161"/>
  <c r="J58" i="161" s="1"/>
  <c r="C58" i="161" s="1"/>
  <c r="U58" i="160"/>
  <c r="J58" i="160" s="1"/>
  <c r="C58" i="160" s="1"/>
  <c r="U58" i="159"/>
  <c r="J58" i="159" s="1"/>
  <c r="C58" i="159" s="1"/>
  <c r="I29" i="7"/>
  <c r="E26" i="31" s="1"/>
  <c r="G26" i="31" s="1"/>
  <c r="L29" i="8"/>
  <c r="K14" i="41"/>
  <c r="M29" i="7"/>
  <c r="L29" i="7" s="1"/>
  <c r="B31" i="115"/>
  <c r="B18" i="112"/>
  <c r="AC14" i="2"/>
  <c r="S19" i="155" s="1"/>
  <c r="I29" i="8"/>
  <c r="AA45" i="36"/>
  <c r="Z45" i="36" s="1"/>
  <c r="X45" i="36" s="1"/>
  <c r="D13" i="43"/>
  <c r="C13" i="43" s="1"/>
  <c r="S14" i="41"/>
  <c r="P14" i="41" s="1"/>
  <c r="C31" i="115"/>
  <c r="C31" i="110"/>
  <c r="AK14" i="2"/>
  <c r="T29" i="8"/>
  <c r="I28" i="42"/>
  <c r="M28" i="42"/>
  <c r="D115" i="56"/>
  <c r="C115" i="56" s="1"/>
  <c r="I9" i="56"/>
  <c r="AA109" i="56"/>
  <c r="Y109" i="56"/>
  <c r="X109" i="56"/>
  <c r="Z109" i="11"/>
  <c r="Z9" i="11" l="1"/>
  <c r="Z153" i="11" s="1"/>
  <c r="Z109" i="160"/>
  <c r="Z109" i="161"/>
  <c r="Z109" i="159"/>
  <c r="AD45" i="36"/>
  <c r="AF45" i="36"/>
  <c r="P28" i="42"/>
  <c r="O28" i="42" s="1"/>
  <c r="L28" i="42"/>
  <c r="S18" i="155"/>
  <c r="T19" i="155"/>
  <c r="T18" i="155" s="1"/>
  <c r="D19" i="155"/>
  <c r="X14" i="41"/>
  <c r="U14" i="41" s="1"/>
  <c r="P29" i="8"/>
  <c r="AH14" i="2"/>
  <c r="P29" i="7"/>
  <c r="O29" i="7" s="1"/>
  <c r="Z109" i="56"/>
  <c r="C109" i="56" s="1"/>
  <c r="C109" i="11"/>
  <c r="AO59" i="1"/>
  <c r="C109" i="161" l="1"/>
  <c r="Z9" i="161"/>
  <c r="C109" i="159"/>
  <c r="Z9" i="159"/>
  <c r="C109" i="160"/>
  <c r="Z9" i="160"/>
  <c r="R28" i="42"/>
  <c r="S29" i="8"/>
  <c r="O29" i="8"/>
  <c r="R29" i="8" s="1"/>
  <c r="D18" i="155"/>
  <c r="E19" i="155"/>
  <c r="E18" i="155" s="1"/>
  <c r="S28" i="42"/>
  <c r="B30" i="51"/>
  <c r="B31" i="51"/>
  <c r="B41" i="112" s="1"/>
  <c r="B29" i="51"/>
  <c r="E27" i="51"/>
  <c r="E37" i="118" s="1"/>
  <c r="D39" i="51"/>
  <c r="AC114" i="56"/>
  <c r="D110" i="56"/>
  <c r="C110" i="56" s="1"/>
  <c r="AA6" i="56"/>
  <c r="D106" i="11"/>
  <c r="D108" i="11"/>
  <c r="D110" i="11"/>
  <c r="D107" i="11"/>
  <c r="D77" i="11"/>
  <c r="AE75" i="11"/>
  <c r="E56" i="11"/>
  <c r="F56" i="11"/>
  <c r="G56" i="11"/>
  <c r="H56" i="11"/>
  <c r="K56" i="11"/>
  <c r="L56" i="11"/>
  <c r="M56" i="11"/>
  <c r="N56" i="11"/>
  <c r="O56" i="11"/>
  <c r="P56" i="11"/>
  <c r="Q56" i="11"/>
  <c r="R56" i="11"/>
  <c r="S56" i="11"/>
  <c r="T56" i="11"/>
  <c r="V56" i="11"/>
  <c r="W56" i="11"/>
  <c r="X56" i="11"/>
  <c r="Y56" i="11"/>
  <c r="Z56" i="11"/>
  <c r="AA56" i="11"/>
  <c r="AC56" i="11"/>
  <c r="AD56" i="11"/>
  <c r="E48" i="11"/>
  <c r="F48" i="11"/>
  <c r="G48" i="11"/>
  <c r="H48" i="11"/>
  <c r="K48" i="11"/>
  <c r="L48" i="11"/>
  <c r="P48" i="11"/>
  <c r="R48" i="11"/>
  <c r="S48" i="11"/>
  <c r="U48" i="11"/>
  <c r="V48" i="11"/>
  <c r="W48" i="11"/>
  <c r="X48" i="11"/>
  <c r="Y48" i="11"/>
  <c r="Z48" i="11"/>
  <c r="AA48" i="11"/>
  <c r="AC48" i="11"/>
  <c r="AD48" i="11"/>
  <c r="E42" i="11"/>
  <c r="F42" i="11"/>
  <c r="G42" i="11"/>
  <c r="H42" i="11"/>
  <c r="K42" i="11"/>
  <c r="L42" i="11"/>
  <c r="M42" i="11"/>
  <c r="N42" i="11"/>
  <c r="O42" i="11"/>
  <c r="P42" i="11"/>
  <c r="Q42" i="11"/>
  <c r="R42" i="11"/>
  <c r="S42" i="11"/>
  <c r="T42" i="11"/>
  <c r="U42" i="11"/>
  <c r="V42" i="11"/>
  <c r="W42" i="11"/>
  <c r="X42" i="11"/>
  <c r="Y42" i="11"/>
  <c r="Z42" i="11"/>
  <c r="AA42" i="11"/>
  <c r="AC42" i="11"/>
  <c r="AD42" i="11"/>
  <c r="O61" i="11"/>
  <c r="X31" i="2"/>
  <c r="O60" i="11" l="1"/>
  <c r="O61" i="161"/>
  <c r="O61" i="160"/>
  <c r="O61" i="159"/>
  <c r="D49" i="123"/>
  <c r="D49" i="118"/>
  <c r="D49" i="112"/>
  <c r="I40" i="41"/>
  <c r="AE75" i="161"/>
  <c r="AE10" i="161" s="1"/>
  <c r="AE75" i="160"/>
  <c r="AE10" i="160" s="1"/>
  <c r="AE75" i="159"/>
  <c r="AE10" i="159" s="1"/>
  <c r="G41" i="11"/>
  <c r="Y41" i="11"/>
  <c r="P41" i="11"/>
  <c r="H41" i="11"/>
  <c r="X41" i="11"/>
  <c r="E41" i="11"/>
  <c r="W41" i="11"/>
  <c r="AC41" i="11"/>
  <c r="V41" i="11"/>
  <c r="L41" i="11"/>
  <c r="F41" i="11"/>
  <c r="AD41" i="11"/>
  <c r="U41" i="11"/>
  <c r="AA41" i="11"/>
  <c r="S41" i="11"/>
  <c r="K41" i="11"/>
  <c r="Z41" i="11"/>
  <c r="R41" i="11"/>
  <c r="P90" i="11" l="1"/>
  <c r="P106" i="11"/>
  <c r="O60" i="159"/>
  <c r="J61" i="159"/>
  <c r="O60" i="160"/>
  <c r="J61" i="160"/>
  <c r="O60" i="161"/>
  <c r="J61" i="161"/>
  <c r="L82" i="11"/>
  <c r="L106" i="11"/>
  <c r="J90" i="11"/>
  <c r="C90" i="11" s="1"/>
  <c r="AE54" i="1"/>
  <c r="AE53" i="1" s="1"/>
  <c r="AE58" i="1"/>
  <c r="T142" i="11"/>
  <c r="T150" i="11" s="1"/>
  <c r="T156" i="11" s="1"/>
  <c r="T140" i="11"/>
  <c r="T141" i="11"/>
  <c r="L106" i="161" l="1"/>
  <c r="L106" i="160"/>
  <c r="L106" i="159"/>
  <c r="C61" i="159"/>
  <c r="P106" i="160"/>
  <c r="P106" i="161"/>
  <c r="P106" i="159"/>
  <c r="P90" i="160"/>
  <c r="J90" i="160" s="1"/>
  <c r="C90" i="160" s="1"/>
  <c r="P90" i="161"/>
  <c r="J90" i="161" s="1"/>
  <c r="C90" i="161" s="1"/>
  <c r="P90" i="159"/>
  <c r="J90" i="159" s="1"/>
  <c r="C90" i="159" s="1"/>
  <c r="P90" i="56"/>
  <c r="J90" i="56" s="1"/>
  <c r="C61" i="160"/>
  <c r="L82" i="160"/>
  <c r="J82" i="160" s="1"/>
  <c r="C82" i="160" s="1"/>
  <c r="L82" i="161"/>
  <c r="J82" i="161" s="1"/>
  <c r="C82" i="161" s="1"/>
  <c r="L82" i="159"/>
  <c r="J82" i="159" s="1"/>
  <c r="C82" i="159" s="1"/>
  <c r="L75" i="11"/>
  <c r="L82" i="56"/>
  <c r="J82" i="56" s="1"/>
  <c r="C82" i="56" s="1"/>
  <c r="C61" i="161"/>
  <c r="P89" i="11"/>
  <c r="J82" i="11"/>
  <c r="C82" i="11" s="1"/>
  <c r="L81" i="11"/>
  <c r="S142" i="11"/>
  <c r="S150" i="11" s="1"/>
  <c r="S156" i="11" s="1"/>
  <c r="S141" i="11"/>
  <c r="S140" i="11"/>
  <c r="R142" i="11"/>
  <c r="R150" i="11" s="1"/>
  <c r="R141" i="11"/>
  <c r="R140" i="11"/>
  <c r="Q142" i="11"/>
  <c r="Q150" i="11" s="1"/>
  <c r="Q141" i="11"/>
  <c r="Q140" i="11"/>
  <c r="P142" i="11"/>
  <c r="P150" i="11" s="1"/>
  <c r="P156" i="11" s="1"/>
  <c r="P141" i="11"/>
  <c r="P140" i="11"/>
  <c r="O142" i="11"/>
  <c r="O150" i="11" s="1"/>
  <c r="O156" i="11" s="1"/>
  <c r="O141" i="11"/>
  <c r="O140" i="11"/>
  <c r="N142" i="11"/>
  <c r="N141" i="11"/>
  <c r="N140" i="11"/>
  <c r="M142" i="11"/>
  <c r="M150" i="11" s="1"/>
  <c r="M156" i="11" s="1"/>
  <c r="M141" i="11"/>
  <c r="M140" i="11"/>
  <c r="L142" i="11"/>
  <c r="L150" i="11" s="1"/>
  <c r="L156" i="11" s="1"/>
  <c r="L141" i="11"/>
  <c r="L140" i="11"/>
  <c r="V139" i="11"/>
  <c r="U139" i="11"/>
  <c r="K142" i="11"/>
  <c r="K141" i="11"/>
  <c r="K140" i="11"/>
  <c r="L81" i="161" l="1"/>
  <c r="J81" i="161" s="1"/>
  <c r="C81" i="161" s="1"/>
  <c r="L81" i="160"/>
  <c r="J81" i="160" s="1"/>
  <c r="C81" i="160" s="1"/>
  <c r="L81" i="159"/>
  <c r="J81" i="159" s="1"/>
  <c r="C81" i="159" s="1"/>
  <c r="P89" i="160"/>
  <c r="J89" i="160" s="1"/>
  <c r="C89" i="160" s="1"/>
  <c r="P89" i="161"/>
  <c r="J89" i="161" s="1"/>
  <c r="C89" i="161" s="1"/>
  <c r="P89" i="159"/>
  <c r="J89" i="159" s="1"/>
  <c r="C89" i="159" s="1"/>
  <c r="L75" i="160"/>
  <c r="L10" i="160" s="1"/>
  <c r="L9" i="160" s="1"/>
  <c r="L75" i="161"/>
  <c r="L10" i="161" s="1"/>
  <c r="L9" i="161" s="1"/>
  <c r="L75" i="159"/>
  <c r="L10" i="159" s="1"/>
  <c r="L9" i="159" s="1"/>
  <c r="P75" i="11"/>
  <c r="P89" i="56"/>
  <c r="J89" i="56" s="1"/>
  <c r="C89" i="56" s="1"/>
  <c r="L81" i="56"/>
  <c r="J81" i="56" s="1"/>
  <c r="C81" i="56" s="1"/>
  <c r="J89" i="11"/>
  <c r="C89" i="11" s="1"/>
  <c r="J81" i="11"/>
  <c r="C81" i="11" s="1"/>
  <c r="K139" i="11"/>
  <c r="J142" i="11"/>
  <c r="K150" i="11"/>
  <c r="AH142" i="11"/>
  <c r="N150" i="11"/>
  <c r="N156" i="11" s="1"/>
  <c r="O139" i="11"/>
  <c r="J141" i="11"/>
  <c r="M139" i="11"/>
  <c r="T139" i="11"/>
  <c r="S139" i="11"/>
  <c r="R139" i="11"/>
  <c r="Q139" i="11"/>
  <c r="P139" i="11"/>
  <c r="J140" i="11"/>
  <c r="N139" i="11"/>
  <c r="L139" i="11"/>
  <c r="P75" i="161" l="1"/>
  <c r="P10" i="161" s="1"/>
  <c r="P9" i="161" s="1"/>
  <c r="P75" i="160"/>
  <c r="P10" i="160" s="1"/>
  <c r="P9" i="160" s="1"/>
  <c r="P75" i="159"/>
  <c r="P10" i="159" s="1"/>
  <c r="P9" i="159" s="1"/>
  <c r="K156" i="11"/>
  <c r="J156" i="11" s="1"/>
  <c r="J150" i="11"/>
  <c r="E137" i="11" s="1"/>
  <c r="J139" i="11"/>
  <c r="I36" i="14"/>
  <c r="I35" i="14"/>
  <c r="I38" i="14" l="1"/>
  <c r="I37" i="14"/>
  <c r="N62" i="11"/>
  <c r="AB108" i="11"/>
  <c r="AB110" i="11"/>
  <c r="C110" i="11" s="1"/>
  <c r="AB111" i="11"/>
  <c r="AB112" i="11"/>
  <c r="AB113" i="11"/>
  <c r="AB114" i="11"/>
  <c r="AB117" i="11"/>
  <c r="C117" i="11" s="1"/>
  <c r="AB107" i="11"/>
  <c r="AB96" i="11"/>
  <c r="AB97" i="11"/>
  <c r="AB98" i="11"/>
  <c r="AB99" i="11"/>
  <c r="AB102" i="11"/>
  <c r="AB103" i="11"/>
  <c r="AB77" i="11"/>
  <c r="AB62" i="11"/>
  <c r="AB63" i="11"/>
  <c r="AB64" i="11"/>
  <c r="AB65" i="11"/>
  <c r="AB66" i="11"/>
  <c r="AB67" i="11"/>
  <c r="AB68" i="11"/>
  <c r="AB69" i="11"/>
  <c r="AB70" i="11"/>
  <c r="AB61" i="11"/>
  <c r="AB58" i="11"/>
  <c r="AB59" i="11"/>
  <c r="AB57" i="11"/>
  <c r="AB50" i="11"/>
  <c r="AB51" i="11"/>
  <c r="AB52" i="11"/>
  <c r="AB53" i="11"/>
  <c r="AB49" i="11"/>
  <c r="AB44" i="11"/>
  <c r="AB45" i="11"/>
  <c r="AB46" i="11"/>
  <c r="AB47" i="11"/>
  <c r="AB43" i="11"/>
  <c r="N60" i="11" l="1"/>
  <c r="N62" i="160"/>
  <c r="N62" i="161"/>
  <c r="N62" i="159"/>
  <c r="AB98" i="56"/>
  <c r="AB98" i="161"/>
  <c r="AB98" i="160"/>
  <c r="AB98" i="159"/>
  <c r="AB99" i="56"/>
  <c r="AB99" i="161"/>
  <c r="AB99" i="160"/>
  <c r="AB99" i="159"/>
  <c r="AB97" i="56"/>
  <c r="AB97" i="160"/>
  <c r="AB97" i="161"/>
  <c r="AB97" i="159"/>
  <c r="AB77" i="161"/>
  <c r="C77" i="161" s="1"/>
  <c r="AB77" i="160"/>
  <c r="C77" i="160" s="1"/>
  <c r="AB77" i="159"/>
  <c r="C77" i="159" s="1"/>
  <c r="AB75" i="11"/>
  <c r="AB103" i="56"/>
  <c r="AB103" i="160"/>
  <c r="AB103" i="161"/>
  <c r="AB103" i="159"/>
  <c r="AB102" i="56"/>
  <c r="AB102" i="160"/>
  <c r="AB102" i="161"/>
  <c r="AB102" i="159"/>
  <c r="AB96" i="56"/>
  <c r="AB96" i="161"/>
  <c r="C96" i="161" s="1"/>
  <c r="AB96" i="160"/>
  <c r="C96" i="160" s="1"/>
  <c r="AB96" i="159"/>
  <c r="C96" i="159" s="1"/>
  <c r="AB77" i="56"/>
  <c r="AB60" i="11"/>
  <c r="AB56" i="11"/>
  <c r="AB48" i="11"/>
  <c r="AB42" i="11"/>
  <c r="P6" i="45"/>
  <c r="N6" i="45"/>
  <c r="M6" i="45"/>
  <c r="L6" i="45"/>
  <c r="AV15" i="16"/>
  <c r="BD15" i="16"/>
  <c r="K6" i="45"/>
  <c r="H6" i="45"/>
  <c r="G6" i="45"/>
  <c r="E85" i="45"/>
  <c r="J62" i="159" l="1"/>
  <c r="N60" i="159"/>
  <c r="J62" i="161"/>
  <c r="N60" i="161"/>
  <c r="J62" i="160"/>
  <c r="N60" i="160"/>
  <c r="AB41" i="11"/>
  <c r="C62" i="160" l="1"/>
  <c r="C62" i="161"/>
  <c r="C62" i="159"/>
  <c r="I55" i="23"/>
  <c r="DM24" i="15"/>
  <c r="DA35" i="15"/>
  <c r="CO35" i="15"/>
  <c r="CO34" i="15"/>
  <c r="CC35" i="15"/>
  <c r="BQ35" i="15"/>
  <c r="BQ34" i="15"/>
  <c r="AG35" i="15"/>
  <c r="AG34" i="15"/>
  <c r="AA34" i="2" l="1"/>
  <c r="D37" i="123" s="1"/>
  <c r="C37" i="123" s="1"/>
  <c r="AI59" i="1"/>
  <c r="AD36" i="11"/>
  <c r="AI54" i="1"/>
  <c r="AI53" i="1"/>
  <c r="J15" i="8" l="1"/>
  <c r="AA29" i="36"/>
  <c r="AD36" i="161"/>
  <c r="AB36" i="161" s="1"/>
  <c r="C36" i="161" s="1"/>
  <c r="AD36" i="160"/>
  <c r="AB36" i="160" s="1"/>
  <c r="C36" i="160" s="1"/>
  <c r="AD36" i="159"/>
  <c r="AB36" i="159" s="1"/>
  <c r="C36" i="159" s="1"/>
  <c r="G35" i="157"/>
  <c r="AA35" i="36"/>
  <c r="D37" i="112"/>
  <c r="C37" i="112" s="1"/>
  <c r="G53" i="157"/>
  <c r="F53" i="157" s="1"/>
  <c r="AH54" i="1"/>
  <c r="D136" i="11"/>
  <c r="C45" i="49"/>
  <c r="C46" i="116" s="1"/>
  <c r="D27" i="51"/>
  <c r="J105" i="11"/>
  <c r="J77" i="11"/>
  <c r="C77" i="11" s="1"/>
  <c r="M11" i="11"/>
  <c r="V70" i="56"/>
  <c r="J70" i="56" s="1"/>
  <c r="C70" i="56" s="1"/>
  <c r="B70" i="56"/>
  <c r="J70" i="11"/>
  <c r="C70" i="11" s="1"/>
  <c r="C27" i="51" l="1"/>
  <c r="D37" i="118"/>
  <c r="C37" i="118" s="1"/>
  <c r="B9" i="55"/>
  <c r="B9" i="113" s="1"/>
  <c r="E9" i="55"/>
  <c r="D9" i="55"/>
  <c r="D9" i="113" s="1"/>
  <c r="D15" i="55"/>
  <c r="D15" i="113" s="1"/>
  <c r="D26" i="55"/>
  <c r="C9" i="14"/>
  <c r="D20" i="14"/>
  <c r="AE14" i="1"/>
  <c r="G15" i="170" s="1"/>
  <c r="I15" i="170" s="1"/>
  <c r="AE12" i="1"/>
  <c r="G13" i="170" s="1"/>
  <c r="I13" i="170" s="1"/>
  <c r="AE41" i="1"/>
  <c r="AE49" i="1"/>
  <c r="H20" i="14" l="1"/>
  <c r="H27" i="14" s="1"/>
  <c r="D20" i="171"/>
  <c r="AE82" i="1"/>
  <c r="G45" i="170"/>
  <c r="S20" i="158"/>
  <c r="AE88" i="1"/>
  <c r="AF88" i="1" s="1"/>
  <c r="AF49" i="1"/>
  <c r="S27" i="158"/>
  <c r="D20" i="154"/>
  <c r="D20" i="152"/>
  <c r="D19" i="14"/>
  <c r="AA29" i="2"/>
  <c r="X27" i="158" l="1"/>
  <c r="Y27" i="158"/>
  <c r="AF82" i="1"/>
  <c r="AI82" i="1"/>
  <c r="D19" i="171"/>
  <c r="D12" i="171" s="1"/>
  <c r="D8" i="171" s="1"/>
  <c r="D7" i="171" s="1"/>
  <c r="C20" i="171"/>
  <c r="X20" i="158"/>
  <c r="AH88" i="1"/>
  <c r="AG88" i="1"/>
  <c r="G48" i="157"/>
  <c r="F48" i="157" s="1"/>
  <c r="X29" i="2"/>
  <c r="G19" i="14"/>
  <c r="I19" i="14"/>
  <c r="D19" i="152"/>
  <c r="D12" i="152" s="1"/>
  <c r="D8" i="152" s="1"/>
  <c r="D7" i="152" s="1"/>
  <c r="C20" i="152"/>
  <c r="D19" i="154"/>
  <c r="D12" i="154" s="1"/>
  <c r="D8" i="154" s="1"/>
  <c r="D7" i="154" s="1"/>
  <c r="C20" i="154"/>
  <c r="EK35" i="15"/>
  <c r="EK34" i="15"/>
  <c r="O48" i="11"/>
  <c r="O41" i="11" s="1"/>
  <c r="Q52" i="11"/>
  <c r="Q50" i="11"/>
  <c r="M50" i="11"/>
  <c r="T48" i="11"/>
  <c r="T41" i="11" s="1"/>
  <c r="Q49" i="11"/>
  <c r="AG82" i="1" l="1"/>
  <c r="AH82" i="1"/>
  <c r="AJ82" i="1" s="1"/>
  <c r="Q49" i="159"/>
  <c r="J49" i="159" s="1"/>
  <c r="C49" i="159" s="1"/>
  <c r="Q49" i="161"/>
  <c r="Q49" i="160"/>
  <c r="Q50" i="159"/>
  <c r="Q50" i="161"/>
  <c r="Q50" i="160"/>
  <c r="M50" i="159"/>
  <c r="M50" i="160"/>
  <c r="M50" i="161"/>
  <c r="Q52" i="159"/>
  <c r="J52" i="159" s="1"/>
  <c r="C52" i="159" s="1"/>
  <c r="Q52" i="160"/>
  <c r="J52" i="160" s="1"/>
  <c r="C52" i="160" s="1"/>
  <c r="Q52" i="161"/>
  <c r="J52" i="161" s="1"/>
  <c r="C52" i="161" s="1"/>
  <c r="M48" i="11"/>
  <c r="M41" i="11" s="1"/>
  <c r="N48" i="11"/>
  <c r="N41" i="11" s="1"/>
  <c r="Q48" i="11"/>
  <c r="Q41" i="11" s="1"/>
  <c r="J50" i="159" l="1"/>
  <c r="Q48" i="159"/>
  <c r="Q41" i="159" s="1"/>
  <c r="M48" i="159"/>
  <c r="M41" i="159" s="1"/>
  <c r="M48" i="161"/>
  <c r="M41" i="161" s="1"/>
  <c r="J50" i="161"/>
  <c r="C50" i="161" s="1"/>
  <c r="J50" i="160"/>
  <c r="M48" i="160"/>
  <c r="M41" i="160" s="1"/>
  <c r="Q48" i="160"/>
  <c r="Q41" i="160" s="1"/>
  <c r="J49" i="160"/>
  <c r="C49" i="160" s="1"/>
  <c r="J49" i="161"/>
  <c r="Q48" i="161"/>
  <c r="Q41" i="161" s="1"/>
  <c r="J48" i="159"/>
  <c r="J41" i="159" s="1"/>
  <c r="C50" i="159"/>
  <c r="C48" i="159" s="1"/>
  <c r="C41" i="159" s="1"/>
  <c r="M84" i="11"/>
  <c r="M106" i="11"/>
  <c r="K11" i="11"/>
  <c r="D29" i="55"/>
  <c r="M84" i="56" l="1"/>
  <c r="J84" i="56" s="1"/>
  <c r="C84" i="56" s="1"/>
  <c r="C49" i="161"/>
  <c r="C48" i="161" s="1"/>
  <c r="C41" i="161" s="1"/>
  <c r="J48" i="161"/>
  <c r="J41" i="161" s="1"/>
  <c r="M106" i="159"/>
  <c r="M106" i="160"/>
  <c r="M106" i="161"/>
  <c r="M84" i="159"/>
  <c r="J84" i="159" s="1"/>
  <c r="C84" i="159" s="1"/>
  <c r="M84" i="161"/>
  <c r="J84" i="161" s="1"/>
  <c r="C84" i="161" s="1"/>
  <c r="M84" i="160"/>
  <c r="J84" i="160" s="1"/>
  <c r="C84" i="160" s="1"/>
  <c r="J48" i="160"/>
  <c r="J41" i="160" s="1"/>
  <c r="C50" i="160"/>
  <c r="C48" i="160" s="1"/>
  <c r="C41" i="160" s="1"/>
  <c r="M83" i="11"/>
  <c r="J84" i="11"/>
  <c r="C84" i="11" s="1"/>
  <c r="B12" i="43"/>
  <c r="B11" i="43"/>
  <c r="B10" i="43"/>
  <c r="B9" i="43"/>
  <c r="J20" i="8"/>
  <c r="AE18" i="1"/>
  <c r="G19" i="170" s="1"/>
  <c r="AE38" i="1"/>
  <c r="AE79" i="1" l="1"/>
  <c r="G38" i="170"/>
  <c r="S17" i="158"/>
  <c r="M83" i="161"/>
  <c r="J83" i="161" s="1"/>
  <c r="C83" i="161" s="1"/>
  <c r="M83" i="160"/>
  <c r="J83" i="160" s="1"/>
  <c r="C83" i="160" s="1"/>
  <c r="M75" i="11"/>
  <c r="M83" i="159"/>
  <c r="J83" i="159" s="1"/>
  <c r="C83" i="159" s="1"/>
  <c r="M83" i="56"/>
  <c r="J83" i="56" s="1"/>
  <c r="C83" i="56" s="1"/>
  <c r="J83" i="11"/>
  <c r="C83" i="11" s="1"/>
  <c r="P25" i="45"/>
  <c r="N25" i="45"/>
  <c r="M25" i="45"/>
  <c r="F25" i="45"/>
  <c r="E25" i="45"/>
  <c r="O25" i="45"/>
  <c r="J25" i="45"/>
  <c r="L25" i="45"/>
  <c r="O6" i="45"/>
  <c r="K25" i="45"/>
  <c r="K43" i="45"/>
  <c r="I25" i="45"/>
  <c r="H25" i="45"/>
  <c r="G25" i="45"/>
  <c r="G44" i="45"/>
  <c r="X17" i="158" l="1"/>
  <c r="AF79" i="1"/>
  <c r="AI79" i="1"/>
  <c r="AJ79" i="1" s="1"/>
  <c r="M75" i="159"/>
  <c r="M10" i="159" s="1"/>
  <c r="M9" i="159" s="1"/>
  <c r="M75" i="160"/>
  <c r="M10" i="160" s="1"/>
  <c r="M9" i="160" s="1"/>
  <c r="M75" i="161"/>
  <c r="M10" i="161" s="1"/>
  <c r="M9" i="161" s="1"/>
  <c r="BC21" i="15"/>
  <c r="AC22" i="15"/>
  <c r="AE20" i="15"/>
  <c r="AE19" i="15"/>
  <c r="S19" i="15"/>
  <c r="S13" i="15"/>
  <c r="AG79" i="1" l="1"/>
  <c r="AH79" i="1"/>
  <c r="CC13" i="15"/>
  <c r="CA22" i="15"/>
  <c r="CA13" i="15"/>
  <c r="BO13" i="15"/>
  <c r="BE34" i="15" l="1"/>
  <c r="BE35" i="15"/>
  <c r="EK29" i="15"/>
  <c r="CY29" i="16"/>
  <c r="EW29" i="15"/>
  <c r="J6" i="45" l="1"/>
  <c r="AU29" i="16" l="1"/>
  <c r="BQ13" i="15"/>
  <c r="CC29" i="15" l="1"/>
  <c r="DM19" i="15" l="1"/>
  <c r="DK19" i="15"/>
  <c r="DW29" i="15"/>
  <c r="DW19" i="15"/>
  <c r="EK26" i="15"/>
  <c r="EI32" i="15"/>
  <c r="EI25" i="15"/>
  <c r="CO36" i="15"/>
  <c r="CO12" i="15"/>
  <c r="CM13" i="15"/>
  <c r="CM12" i="15"/>
  <c r="BO19" i="15"/>
  <c r="EU19" i="15"/>
  <c r="EW22" i="15"/>
  <c r="EW13" i="15"/>
  <c r="EW12" i="15"/>
  <c r="BQ29" i="15"/>
  <c r="U29" i="15"/>
  <c r="U34" i="15"/>
  <c r="U28" i="15"/>
  <c r="U25" i="15"/>
  <c r="U24" i="15"/>
  <c r="U26" i="15" l="1"/>
  <c r="U22" i="15"/>
  <c r="U20" i="15"/>
  <c r="U19" i="15"/>
  <c r="U13" i="15"/>
  <c r="U36" i="15"/>
  <c r="AG36" i="15"/>
  <c r="AG19" i="15"/>
  <c r="AG12" i="15"/>
  <c r="W29" i="16" l="1"/>
  <c r="CH21" i="16" l="1"/>
  <c r="CP17" i="16" l="1"/>
  <c r="BR17" i="16"/>
  <c r="BJ17" i="16"/>
  <c r="BB17" i="16"/>
  <c r="AT17" i="16"/>
  <c r="AL17" i="16"/>
  <c r="AD17" i="16"/>
  <c r="N17" i="16"/>
  <c r="E27" i="55" l="1"/>
  <c r="E26" i="14"/>
  <c r="F22" i="16"/>
  <c r="F32" i="16"/>
  <c r="H32" i="16" s="1"/>
  <c r="P22" i="16"/>
  <c r="E9" i="45"/>
  <c r="E20" i="45"/>
  <c r="F9" i="45"/>
  <c r="X32" i="16"/>
  <c r="V21" i="16"/>
  <c r="CA29" i="16"/>
  <c r="AN32" i="16"/>
  <c r="H20" i="45"/>
  <c r="H9" i="45"/>
  <c r="AL21" i="16"/>
  <c r="I20" i="45"/>
  <c r="I9" i="45"/>
  <c r="AV32" i="16"/>
  <c r="AT21" i="16"/>
  <c r="BJ21" i="16"/>
  <c r="K20" i="45"/>
  <c r="K9" i="45"/>
  <c r="BL32" i="16"/>
  <c r="P20" i="45"/>
  <c r="P9" i="45"/>
  <c r="CX21" i="16"/>
  <c r="N9" i="45"/>
  <c r="N20" i="45"/>
  <c r="M20" i="45"/>
  <c r="M9" i="45"/>
  <c r="BZ21" i="16"/>
  <c r="E26" i="171" l="1"/>
  <c r="K78" i="11"/>
  <c r="G26" i="14"/>
  <c r="E26" i="154"/>
  <c r="E26" i="152"/>
  <c r="E26" i="113"/>
  <c r="AD15" i="11"/>
  <c r="E19" i="14"/>
  <c r="E26" i="55"/>
  <c r="C26" i="55" s="1"/>
  <c r="H22" i="16"/>
  <c r="BR21" i="16"/>
  <c r="AD15" i="159" l="1"/>
  <c r="AB15" i="159" s="1"/>
  <c r="C15" i="159" s="1"/>
  <c r="AD15" i="160"/>
  <c r="AB15" i="160" s="1"/>
  <c r="C15" i="160" s="1"/>
  <c r="AD15" i="161"/>
  <c r="AB15" i="161" s="1"/>
  <c r="C15" i="161" s="1"/>
  <c r="C26" i="152"/>
  <c r="C19" i="152" s="1"/>
  <c r="C12" i="152" s="1"/>
  <c r="C8" i="152" s="1"/>
  <c r="C7" i="152" s="1"/>
  <c r="E19" i="152"/>
  <c r="E12" i="152" s="1"/>
  <c r="E8" i="152" s="1"/>
  <c r="E7" i="152" s="1"/>
  <c r="C26" i="154"/>
  <c r="C19" i="154" s="1"/>
  <c r="C12" i="154" s="1"/>
  <c r="C8" i="154" s="1"/>
  <c r="C7" i="154" s="1"/>
  <c r="E19" i="154"/>
  <c r="E12" i="154" s="1"/>
  <c r="E8" i="154" s="1"/>
  <c r="E7" i="154" s="1"/>
  <c r="C26" i="171"/>
  <c r="C19" i="171" s="1"/>
  <c r="C12" i="171" s="1"/>
  <c r="C8" i="171" s="1"/>
  <c r="C7" i="171" s="1"/>
  <c r="E19" i="171"/>
  <c r="E12" i="171" s="1"/>
  <c r="E8" i="171" s="1"/>
  <c r="E7" i="171" s="1"/>
  <c r="K78" i="159"/>
  <c r="J78" i="159" s="1"/>
  <c r="C78" i="159" s="1"/>
  <c r="K78" i="161"/>
  <c r="J78" i="161" s="1"/>
  <c r="C78" i="161" s="1"/>
  <c r="J78" i="11"/>
  <c r="C78" i="11" s="1"/>
  <c r="K78" i="160"/>
  <c r="J78" i="160" s="1"/>
  <c r="C78" i="160" s="1"/>
  <c r="K78" i="56"/>
  <c r="J78" i="56" s="1"/>
  <c r="C78" i="56" s="1"/>
  <c r="K106" i="11"/>
  <c r="K80" i="11"/>
  <c r="O20" i="45"/>
  <c r="O9" i="45"/>
  <c r="CP21" i="16"/>
  <c r="CR22" i="16"/>
  <c r="CU18" i="47"/>
  <c r="C132" i="144" s="1"/>
  <c r="CU17" i="47"/>
  <c r="CU15" i="47"/>
  <c r="CU14" i="47"/>
  <c r="CS13" i="47"/>
  <c r="CU13" i="47" s="1"/>
  <c r="K106" i="161" l="1"/>
  <c r="K106" i="160"/>
  <c r="K106" i="159"/>
  <c r="K80" i="160"/>
  <c r="J80" i="160" s="1"/>
  <c r="C80" i="160" s="1"/>
  <c r="K80" i="159"/>
  <c r="J80" i="159" s="1"/>
  <c r="C80" i="159" s="1"/>
  <c r="K80" i="161"/>
  <c r="J80" i="161" s="1"/>
  <c r="C80" i="161" s="1"/>
  <c r="K80" i="56"/>
  <c r="J80" i="56" s="1"/>
  <c r="C80" i="56" s="1"/>
  <c r="C131" i="144"/>
  <c r="C130" i="144" s="1"/>
  <c r="C125" i="144" s="1"/>
  <c r="K75" i="11"/>
  <c r="J20" i="45"/>
  <c r="J9" i="45"/>
  <c r="BD22" i="16"/>
  <c r="BB21" i="16"/>
  <c r="K75" i="161" l="1"/>
  <c r="K10" i="161" s="1"/>
  <c r="K9" i="161" s="1"/>
  <c r="K75" i="160"/>
  <c r="K10" i="160" s="1"/>
  <c r="K9" i="160" s="1"/>
  <c r="K75" i="159"/>
  <c r="K10" i="159" s="1"/>
  <c r="K9" i="159" s="1"/>
  <c r="K76" i="11"/>
  <c r="L20" i="45"/>
  <c r="L9" i="45"/>
  <c r="BE18" i="47"/>
  <c r="BE17" i="47"/>
  <c r="C131" i="141" s="1"/>
  <c r="C130" i="141" s="1"/>
  <c r="BE15" i="47"/>
  <c r="C129" i="141" s="1"/>
  <c r="BE14" i="47"/>
  <c r="C128" i="141" s="1"/>
  <c r="BE13" i="47"/>
  <c r="C127" i="141" s="1"/>
  <c r="C126" i="141" s="1"/>
  <c r="C125" i="141" s="1"/>
  <c r="AF22" i="16"/>
  <c r="AF32" i="16"/>
  <c r="AE29" i="16"/>
  <c r="G20" i="45"/>
  <c r="G9" i="45"/>
  <c r="AD21" i="16"/>
  <c r="K76" i="161" l="1"/>
  <c r="J76" i="161" s="1"/>
  <c r="C76" i="161" s="1"/>
  <c r="K76" i="159"/>
  <c r="J76" i="159" s="1"/>
  <c r="C76" i="159" s="1"/>
  <c r="K76" i="160"/>
  <c r="J76" i="160" s="1"/>
  <c r="C76" i="160" s="1"/>
  <c r="K76" i="56"/>
  <c r="J76" i="56" s="1"/>
  <c r="C76" i="56" s="1"/>
  <c r="D32" i="21"/>
  <c r="D26" i="21"/>
  <c r="D40" i="21"/>
  <c r="AK12" i="15" l="1"/>
  <c r="AJ41" i="10"/>
  <c r="U41" i="10"/>
  <c r="R41" i="10"/>
  <c r="T41" i="10" s="1"/>
  <c r="B19" i="53"/>
  <c r="B78" i="138" s="1"/>
  <c r="B78" i="139" s="1"/>
  <c r="B78" i="140" s="1"/>
  <c r="B78" i="141" s="1"/>
  <c r="B78" i="142" s="1"/>
  <c r="B78" i="143" s="1"/>
  <c r="B78" i="144" s="1"/>
  <c r="B78" i="145" s="1"/>
  <c r="B78" i="146" s="1"/>
  <c r="B78" i="147" s="1"/>
  <c r="B78" i="148" s="1"/>
  <c r="B78" i="149" s="1"/>
  <c r="B78" i="150" s="1"/>
  <c r="B20" i="53"/>
  <c r="B79" i="138" s="1"/>
  <c r="B79" i="139" s="1"/>
  <c r="B79" i="140" s="1"/>
  <c r="B79" i="141" s="1"/>
  <c r="B79" i="142" s="1"/>
  <c r="B79" i="143" s="1"/>
  <c r="B79" i="144" s="1"/>
  <c r="B79" i="145" s="1"/>
  <c r="B79" i="146" s="1"/>
  <c r="B79" i="147" s="1"/>
  <c r="B79" i="148" s="1"/>
  <c r="B79" i="149" s="1"/>
  <c r="B79" i="150" s="1"/>
  <c r="B21" i="53"/>
  <c r="B80" i="138" s="1"/>
  <c r="B80" i="139" s="1"/>
  <c r="B80" i="140" s="1"/>
  <c r="B80" i="141" s="1"/>
  <c r="B80" i="142" s="1"/>
  <c r="B80" i="143" s="1"/>
  <c r="B80" i="144" s="1"/>
  <c r="B80" i="145" s="1"/>
  <c r="B80" i="146" s="1"/>
  <c r="B80" i="147" s="1"/>
  <c r="B80" i="148" s="1"/>
  <c r="B80" i="149" s="1"/>
  <c r="B80" i="150" s="1"/>
  <c r="B22" i="53"/>
  <c r="B81" i="138" s="1"/>
  <c r="B81" i="139" s="1"/>
  <c r="B81" i="140" s="1"/>
  <c r="B81" i="141" s="1"/>
  <c r="B81" i="142" s="1"/>
  <c r="B81" i="143" s="1"/>
  <c r="B81" i="144" s="1"/>
  <c r="B81" i="145" s="1"/>
  <c r="B81" i="146" s="1"/>
  <c r="B81" i="147" s="1"/>
  <c r="B81" i="148" s="1"/>
  <c r="B81" i="149" s="1"/>
  <c r="B81" i="150" s="1"/>
  <c r="B18" i="53"/>
  <c r="B77" i="138" s="1"/>
  <c r="B77" i="139" s="1"/>
  <c r="B77" i="140" s="1"/>
  <c r="B77" i="141" s="1"/>
  <c r="B77" i="142" s="1"/>
  <c r="B77" i="143" s="1"/>
  <c r="B77" i="144" s="1"/>
  <c r="B77" i="145" s="1"/>
  <c r="B77" i="146" s="1"/>
  <c r="B77" i="147" s="1"/>
  <c r="B77" i="148" s="1"/>
  <c r="B77" i="149" s="1"/>
  <c r="B77" i="150" s="1"/>
  <c r="M14" i="162" l="1"/>
  <c r="M14" i="153"/>
  <c r="U59" i="11"/>
  <c r="AT70" i="15"/>
  <c r="AJ58" i="15"/>
  <c r="F50" i="35"/>
  <c r="DM35" i="15"/>
  <c r="DM34" i="15"/>
  <c r="O12" i="11"/>
  <c r="N12" i="11"/>
  <c r="N11" i="11" l="1"/>
  <c r="N12" i="161"/>
  <c r="N12" i="160"/>
  <c r="N12" i="159"/>
  <c r="U59" i="161"/>
  <c r="U59" i="160"/>
  <c r="J59" i="160" s="1"/>
  <c r="C59" i="160" s="1"/>
  <c r="U59" i="159"/>
  <c r="J59" i="159" s="1"/>
  <c r="C59" i="159" s="1"/>
  <c r="O12" i="161"/>
  <c r="O11" i="161" s="1"/>
  <c r="O12" i="160"/>
  <c r="O11" i="160" s="1"/>
  <c r="O12" i="159"/>
  <c r="O11" i="159" s="1"/>
  <c r="N86" i="11"/>
  <c r="N106" i="11"/>
  <c r="J12" i="11"/>
  <c r="O11" i="11"/>
  <c r="A46" i="138"/>
  <c r="A46" i="150" s="1"/>
  <c r="N11" i="159" l="1"/>
  <c r="J12" i="159"/>
  <c r="J59" i="161"/>
  <c r="C59" i="161" s="1"/>
  <c r="N11" i="160"/>
  <c r="J12" i="160"/>
  <c r="J12" i="161"/>
  <c r="N11" i="161"/>
  <c r="O106" i="11"/>
  <c r="O88" i="11"/>
  <c r="N106" i="161"/>
  <c r="N106" i="160"/>
  <c r="N106" i="159"/>
  <c r="N86" i="56"/>
  <c r="J86" i="56" s="1"/>
  <c r="C86" i="56" s="1"/>
  <c r="N86" i="160"/>
  <c r="J86" i="160" s="1"/>
  <c r="C86" i="160" s="1"/>
  <c r="N86" i="161"/>
  <c r="J86" i="161" s="1"/>
  <c r="C86" i="161" s="1"/>
  <c r="N86" i="159"/>
  <c r="J86" i="159" s="1"/>
  <c r="C86" i="159" s="1"/>
  <c r="N85" i="11"/>
  <c r="J86" i="11"/>
  <c r="C86" i="11" s="1"/>
  <c r="A46" i="139"/>
  <c r="A46" i="143"/>
  <c r="A46" i="147"/>
  <c r="A46" i="140"/>
  <c r="A46" i="144"/>
  <c r="A46" i="148"/>
  <c r="A46" i="141"/>
  <c r="A46" i="145"/>
  <c r="A46" i="149"/>
  <c r="A46" i="142"/>
  <c r="A46" i="146"/>
  <c r="D16" i="12"/>
  <c r="C9" i="54"/>
  <c r="D9" i="54"/>
  <c r="E9" i="54"/>
  <c r="F9" i="54"/>
  <c r="G9" i="54"/>
  <c r="H9" i="54"/>
  <c r="I9" i="54"/>
  <c r="J9" i="54"/>
  <c r="K9" i="54"/>
  <c r="L9" i="54"/>
  <c r="M9" i="54"/>
  <c r="N9" i="54"/>
  <c r="O9" i="54"/>
  <c r="P9" i="54"/>
  <c r="Q9" i="54"/>
  <c r="R9" i="54"/>
  <c r="S9" i="54"/>
  <c r="T9" i="54"/>
  <c r="U9" i="54"/>
  <c r="V9" i="54"/>
  <c r="W9" i="54"/>
  <c r="X9" i="54"/>
  <c r="Y9" i="54"/>
  <c r="B9" i="54"/>
  <c r="A9" i="54"/>
  <c r="O8" i="54"/>
  <c r="C12" i="160" l="1"/>
  <c r="J11" i="160"/>
  <c r="O88" i="56"/>
  <c r="O88" i="160"/>
  <c r="O88" i="161"/>
  <c r="O88" i="159"/>
  <c r="J88" i="11"/>
  <c r="C88" i="11" s="1"/>
  <c r="O87" i="11"/>
  <c r="O106" i="160"/>
  <c r="O106" i="161"/>
  <c r="O106" i="159"/>
  <c r="J11" i="161"/>
  <c r="C12" i="161"/>
  <c r="C12" i="159"/>
  <c r="J11" i="159"/>
  <c r="N85" i="161"/>
  <c r="J85" i="161" s="1"/>
  <c r="C85" i="161" s="1"/>
  <c r="N85" i="160"/>
  <c r="J85" i="160" s="1"/>
  <c r="C85" i="160" s="1"/>
  <c r="N85" i="159"/>
  <c r="J85" i="159" s="1"/>
  <c r="C85" i="159" s="1"/>
  <c r="N75" i="11"/>
  <c r="J85" i="11"/>
  <c r="C85" i="11" s="1"/>
  <c r="N85" i="56"/>
  <c r="J85" i="56" s="1"/>
  <c r="C85" i="56" s="1"/>
  <c r="B40" i="52"/>
  <c r="B41" i="52"/>
  <c r="B42" i="52"/>
  <c r="B43" i="52"/>
  <c r="B46" i="138" s="1"/>
  <c r="B39" i="52"/>
  <c r="CZ17" i="16"/>
  <c r="AM43" i="10" s="1"/>
  <c r="AO43" i="10" s="1"/>
  <c r="CR17" i="16"/>
  <c r="AJ43" i="10" s="1"/>
  <c r="AL43" i="10" s="1"/>
  <c r="CJ17" i="16"/>
  <c r="CB17" i="16"/>
  <c r="AD43" i="10" s="1"/>
  <c r="AF43" i="10" s="1"/>
  <c r="BT17" i="16"/>
  <c r="AA43" i="10" s="1"/>
  <c r="AC43" i="10" s="1"/>
  <c r="BL17" i="16"/>
  <c r="X43" i="10" s="1"/>
  <c r="Z43" i="10" s="1"/>
  <c r="BD17" i="16"/>
  <c r="U43" i="10" s="1"/>
  <c r="W43" i="10" s="1"/>
  <c r="AV17" i="16"/>
  <c r="R43" i="10" s="1"/>
  <c r="T43" i="10" s="1"/>
  <c r="AN17" i="16"/>
  <c r="O43" i="10" s="1"/>
  <c r="Q43" i="10" s="1"/>
  <c r="AF17" i="16"/>
  <c r="L43" i="10" s="1"/>
  <c r="L43" i="52" s="1"/>
  <c r="N43" i="52" s="1"/>
  <c r="X17" i="16"/>
  <c r="I43" i="10" s="1"/>
  <c r="K43" i="10" s="1"/>
  <c r="P17" i="16"/>
  <c r="J18" i="15"/>
  <c r="I18" i="15"/>
  <c r="H18" i="15"/>
  <c r="G18" i="15"/>
  <c r="F18" i="15"/>
  <c r="C19" i="15"/>
  <c r="D18" i="15"/>
  <c r="O87" i="159" l="1"/>
  <c r="J87" i="159" s="1"/>
  <c r="C87" i="159" s="1"/>
  <c r="J88" i="159"/>
  <c r="C88" i="159" s="1"/>
  <c r="O15" i="162"/>
  <c r="O15" i="153"/>
  <c r="O87" i="161"/>
  <c r="J87" i="161" s="1"/>
  <c r="C87" i="161" s="1"/>
  <c r="J88" i="161"/>
  <c r="C88" i="161" s="1"/>
  <c r="O16" i="162"/>
  <c r="O16" i="153"/>
  <c r="O17" i="162"/>
  <c r="O17" i="153"/>
  <c r="O18" i="162"/>
  <c r="O18" i="153"/>
  <c r="O87" i="56"/>
  <c r="J87" i="56" s="1"/>
  <c r="C87" i="56" s="1"/>
  <c r="J88" i="56"/>
  <c r="C88" i="56" s="1"/>
  <c r="O20" i="162"/>
  <c r="O20" i="153"/>
  <c r="O14" i="162"/>
  <c r="O14" i="153"/>
  <c r="O21" i="162"/>
  <c r="O21" i="153"/>
  <c r="O11" i="162"/>
  <c r="O11" i="153"/>
  <c r="B46" i="139"/>
  <c r="B46" i="140" s="1"/>
  <c r="B46" i="141" s="1"/>
  <c r="B46" i="142" s="1"/>
  <c r="B46" i="143" s="1"/>
  <c r="B46" i="144" s="1"/>
  <c r="B46" i="145" s="1"/>
  <c r="B46" i="146" s="1"/>
  <c r="B46" i="147" s="1"/>
  <c r="B46" i="148" s="1"/>
  <c r="B46" i="149" s="1"/>
  <c r="B46" i="150" s="1"/>
  <c r="H6" i="129"/>
  <c r="J87" i="11"/>
  <c r="C87" i="11" s="1"/>
  <c r="O75" i="11"/>
  <c r="J88" i="160"/>
  <c r="C88" i="160" s="1"/>
  <c r="O87" i="160"/>
  <c r="J87" i="160" s="1"/>
  <c r="C87" i="160" s="1"/>
  <c r="O13" i="162"/>
  <c r="O13" i="153"/>
  <c r="N75" i="161"/>
  <c r="N10" i="161" s="1"/>
  <c r="N9" i="161" s="1"/>
  <c r="N75" i="160"/>
  <c r="N10" i="160" s="1"/>
  <c r="N9" i="160" s="1"/>
  <c r="N75" i="159"/>
  <c r="N10" i="159" s="1"/>
  <c r="N9" i="159" s="1"/>
  <c r="K18" i="15"/>
  <c r="AG43" i="10"/>
  <c r="AI43" i="10" s="1"/>
  <c r="F43" i="10"/>
  <c r="H43" i="10" s="1"/>
  <c r="AM43" i="52"/>
  <c r="AO43" i="52" s="1"/>
  <c r="X43" i="52"/>
  <c r="Z43" i="52" s="1"/>
  <c r="U43" i="52"/>
  <c r="W43" i="52" s="1"/>
  <c r="C46" i="143"/>
  <c r="O14" i="54"/>
  <c r="H12" i="129" s="1"/>
  <c r="O14" i="13"/>
  <c r="AG43" i="52"/>
  <c r="AI43" i="52" s="1"/>
  <c r="O43" i="52"/>
  <c r="Q43" i="52" s="1"/>
  <c r="O21" i="54"/>
  <c r="H19" i="129" s="1"/>
  <c r="C46" i="150"/>
  <c r="O21" i="13"/>
  <c r="C46" i="144"/>
  <c r="O15" i="54"/>
  <c r="H13" i="129" s="1"/>
  <c r="O15" i="13"/>
  <c r="AD43" i="52"/>
  <c r="AF43" i="52" s="1"/>
  <c r="O11" i="54"/>
  <c r="H9" i="129" s="1"/>
  <c r="C46" i="140"/>
  <c r="O11" i="13"/>
  <c r="C43" i="10"/>
  <c r="N43" i="10"/>
  <c r="O13" i="54"/>
  <c r="H11" i="129" s="1"/>
  <c r="C46" i="142"/>
  <c r="O13" i="13"/>
  <c r="R43" i="52"/>
  <c r="T43" i="52" s="1"/>
  <c r="C46" i="145"/>
  <c r="O16" i="54"/>
  <c r="H14" i="129" s="1"/>
  <c r="O16" i="13"/>
  <c r="AA43" i="52"/>
  <c r="AC43" i="52" s="1"/>
  <c r="I43" i="52"/>
  <c r="K43" i="52" s="1"/>
  <c r="O18" i="54"/>
  <c r="H16" i="129" s="1"/>
  <c r="C46" i="147"/>
  <c r="O18" i="13"/>
  <c r="O19" i="13"/>
  <c r="C46" i="149"/>
  <c r="O20" i="54"/>
  <c r="H18" i="129" s="1"/>
  <c r="O20" i="13"/>
  <c r="AJ43" i="52"/>
  <c r="AL43" i="52" s="1"/>
  <c r="O17" i="54"/>
  <c r="H15" i="129" s="1"/>
  <c r="C46" i="146"/>
  <c r="O17" i="13"/>
  <c r="L18" i="15"/>
  <c r="EU35" i="15"/>
  <c r="EU34" i="15"/>
  <c r="EU36" i="15" s="1"/>
  <c r="ES36" i="15"/>
  <c r="ES34" i="15"/>
  <c r="ES32" i="15"/>
  <c r="ES29" i="15"/>
  <c r="EU25" i="15"/>
  <c r="EU24" i="15"/>
  <c r="EU26" i="15" s="1"/>
  <c r="ES26" i="15"/>
  <c r="ES19" i="15"/>
  <c r="EI35" i="15"/>
  <c r="EG34" i="15"/>
  <c r="EI34" i="15" s="1"/>
  <c r="EI36" i="15" s="1"/>
  <c r="EG31" i="15"/>
  <c r="EG32" i="15" s="1"/>
  <c r="EG29" i="15"/>
  <c r="EG28" i="15"/>
  <c r="EI24" i="15"/>
  <c r="EI26" i="15" s="1"/>
  <c r="EG26" i="15"/>
  <c r="EG18" i="15"/>
  <c r="EG19" i="15"/>
  <c r="DY35" i="15"/>
  <c r="DY34" i="15"/>
  <c r="DY19" i="15"/>
  <c r="DY29" i="15"/>
  <c r="DY36" i="15"/>
  <c r="DW25" i="15"/>
  <c r="DU36" i="15"/>
  <c r="DW35" i="15"/>
  <c r="DW34" i="15"/>
  <c r="DW36" i="15" s="1"/>
  <c r="DU34" i="15"/>
  <c r="DU32" i="15"/>
  <c r="DU29" i="15"/>
  <c r="DU26" i="15"/>
  <c r="DU24" i="15"/>
  <c r="DW24" i="15" s="1"/>
  <c r="DW26" i="15" s="1"/>
  <c r="DU19" i="15"/>
  <c r="DM36" i="15"/>
  <c r="DM29" i="15"/>
  <c r="DK29" i="15"/>
  <c r="DM26" i="15"/>
  <c r="DK35" i="15"/>
  <c r="DI34" i="15"/>
  <c r="DK34" i="15" s="1"/>
  <c r="DK36" i="15" s="1"/>
  <c r="DI32" i="15"/>
  <c r="DI29" i="15"/>
  <c r="DK25" i="15"/>
  <c r="DK24" i="15"/>
  <c r="DI26" i="15"/>
  <c r="DI18" i="15"/>
  <c r="DI19" i="15"/>
  <c r="DA34" i="15"/>
  <c r="CY25" i="15"/>
  <c r="CY35" i="15"/>
  <c r="CY34" i="15"/>
  <c r="CW36" i="15"/>
  <c r="CW34" i="15"/>
  <c r="CW32" i="15"/>
  <c r="CW29" i="15"/>
  <c r="CW28" i="15"/>
  <c r="DA24" i="15"/>
  <c r="CW26" i="15"/>
  <c r="CY24" i="15"/>
  <c r="CW20" i="15"/>
  <c r="CW18" i="15"/>
  <c r="CW19" i="15" s="1"/>
  <c r="CW13" i="15"/>
  <c r="CW12" i="15"/>
  <c r="CK35" i="15"/>
  <c r="CM35" i="15" s="1"/>
  <c r="CM34" i="15"/>
  <c r="CK34" i="15"/>
  <c r="CK36" i="15" s="1"/>
  <c r="CK32" i="15"/>
  <c r="CK28" i="15"/>
  <c r="CK29" i="15" s="1"/>
  <c r="CM24" i="15"/>
  <c r="CK26" i="15"/>
  <c r="CM25" i="15"/>
  <c r="CK24" i="15"/>
  <c r="CK20" i="15"/>
  <c r="CK18" i="15"/>
  <c r="CK19" i="15"/>
  <c r="CC34" i="15"/>
  <c r="CC36" i="15" s="1"/>
  <c r="CA35" i="15"/>
  <c r="CA34" i="15"/>
  <c r="BY36" i="15"/>
  <c r="BY35" i="15"/>
  <c r="BY34" i="15"/>
  <c r="BY32" i="15"/>
  <c r="BY29" i="15"/>
  <c r="BY28" i="15"/>
  <c r="BY26" i="15"/>
  <c r="CA25" i="15"/>
  <c r="CA24" i="15"/>
  <c r="BY20" i="15"/>
  <c r="BY18" i="15"/>
  <c r="BY19" i="15" s="1"/>
  <c r="BY12" i="15"/>
  <c r="BM36" i="15"/>
  <c r="BO34" i="15"/>
  <c r="BM32" i="15"/>
  <c r="BM28" i="15"/>
  <c r="BM29" i="15"/>
  <c r="BM25" i="15"/>
  <c r="BO25" i="15" s="1"/>
  <c r="BM24" i="15"/>
  <c r="BM26" i="15" s="1"/>
  <c r="BM20" i="15"/>
  <c r="BM19" i="15"/>
  <c r="BM12" i="15"/>
  <c r="BC35" i="15"/>
  <c r="BC34" i="15"/>
  <c r="BA34" i="15"/>
  <c r="BA36" i="15" s="1"/>
  <c r="BA32" i="15"/>
  <c r="BA28" i="15"/>
  <c r="BA29" i="15" s="1"/>
  <c r="BC25" i="15"/>
  <c r="BA24" i="15"/>
  <c r="BC24" i="15" s="1"/>
  <c r="BA26" i="15"/>
  <c r="BA18" i="15"/>
  <c r="BA19" i="15"/>
  <c r="AQ35" i="15"/>
  <c r="AQ34" i="15"/>
  <c r="AO34" i="15"/>
  <c r="AO36" i="15"/>
  <c r="AO32" i="15"/>
  <c r="AO28" i="15"/>
  <c r="AO29" i="15" s="1"/>
  <c r="AQ25" i="15"/>
  <c r="AQ24" i="15"/>
  <c r="AO26" i="15"/>
  <c r="AO20" i="15"/>
  <c r="AO19" i="15"/>
  <c r="AE35" i="15"/>
  <c r="AE34" i="15"/>
  <c r="AC36" i="15"/>
  <c r="AC32" i="15"/>
  <c r="AC28" i="15"/>
  <c r="AC29" i="15" s="1"/>
  <c r="AG25" i="15"/>
  <c r="AG24" i="15"/>
  <c r="AE25" i="15"/>
  <c r="AE24" i="15"/>
  <c r="AC26" i="15"/>
  <c r="AC20" i="15"/>
  <c r="AC18" i="15"/>
  <c r="AC19" i="15" s="1"/>
  <c r="S35" i="15"/>
  <c r="Q35" i="15"/>
  <c r="Q34" i="15"/>
  <c r="S34" i="15" s="1"/>
  <c r="Q32" i="15"/>
  <c r="Q29" i="15"/>
  <c r="Q27" i="15" s="1"/>
  <c r="S25" i="15"/>
  <c r="Q24" i="15"/>
  <c r="Q26" i="15" s="1"/>
  <c r="Q18" i="15"/>
  <c r="E18" i="15" s="1"/>
  <c r="Q12" i="15"/>
  <c r="CC19" i="15"/>
  <c r="CA29" i="15"/>
  <c r="CA19" i="15"/>
  <c r="C46" i="139" l="1"/>
  <c r="O10" i="162"/>
  <c r="O10" i="153"/>
  <c r="BO24" i="15"/>
  <c r="DK26" i="15"/>
  <c r="O19" i="54"/>
  <c r="H17" i="129" s="1"/>
  <c r="O19" i="162"/>
  <c r="O19" i="153"/>
  <c r="S24" i="15"/>
  <c r="CM36" i="15"/>
  <c r="O75" i="160"/>
  <c r="O10" i="160" s="1"/>
  <c r="O9" i="160" s="1"/>
  <c r="O75" i="161"/>
  <c r="O10" i="161" s="1"/>
  <c r="O9" i="161" s="1"/>
  <c r="O75" i="159"/>
  <c r="O10" i="159" s="1"/>
  <c r="O9" i="159" s="1"/>
  <c r="O12" i="162"/>
  <c r="O12" i="153"/>
  <c r="Q36" i="15"/>
  <c r="DI36" i="15"/>
  <c r="EG36" i="15"/>
  <c r="Q19" i="15"/>
  <c r="AE36" i="15"/>
  <c r="C46" i="148"/>
  <c r="E43" i="10"/>
  <c r="E19" i="15"/>
  <c r="F43" i="52"/>
  <c r="H43" i="52" s="1"/>
  <c r="E43" i="52" s="1"/>
  <c r="O10" i="13"/>
  <c r="O10" i="54"/>
  <c r="H8" i="129" s="1"/>
  <c r="O12" i="54"/>
  <c r="H10" i="129" s="1"/>
  <c r="C46" i="141"/>
  <c r="O12" i="13"/>
  <c r="CA26" i="15"/>
  <c r="O22" i="153" l="1"/>
  <c r="O22" i="162"/>
  <c r="C46" i="138"/>
  <c r="H20" i="129"/>
  <c r="C43" i="52"/>
  <c r="O22" i="13"/>
  <c r="O22" i="54"/>
  <c r="BQ36" i="15"/>
  <c r="BQ26" i="15"/>
  <c r="BQ19" i="15"/>
  <c r="BO29" i="15"/>
  <c r="BE36" i="15"/>
  <c r="BE29" i="15"/>
  <c r="BE19" i="15"/>
  <c r="BC29" i="15"/>
  <c r="BC20" i="15"/>
  <c r="BC19" i="15"/>
  <c r="AS29" i="15"/>
  <c r="AS26" i="15"/>
  <c r="AS19" i="15"/>
  <c r="AQ29" i="15"/>
  <c r="AQ26" i="15"/>
  <c r="AQ19" i="15"/>
  <c r="AG29" i="15"/>
  <c r="I27" i="10" s="1"/>
  <c r="AG26" i="15"/>
  <c r="AG17" i="15"/>
  <c r="AE29" i="15"/>
  <c r="S29" i="15"/>
  <c r="F67" i="45"/>
  <c r="F66" i="45" s="1"/>
  <c r="G67" i="45"/>
  <c r="G66" i="45" s="1"/>
  <c r="H67" i="45"/>
  <c r="H66" i="45" s="1"/>
  <c r="I67" i="45"/>
  <c r="I66" i="45" s="1"/>
  <c r="J67" i="45"/>
  <c r="J66" i="45" s="1"/>
  <c r="K67" i="45"/>
  <c r="K66" i="45" s="1"/>
  <c r="L67" i="45"/>
  <c r="L66" i="45" s="1"/>
  <c r="M67" i="45"/>
  <c r="M66" i="45" s="1"/>
  <c r="N67" i="45"/>
  <c r="N66" i="45" s="1"/>
  <c r="O67" i="45"/>
  <c r="O66" i="45" s="1"/>
  <c r="P67" i="45"/>
  <c r="P66" i="45" s="1"/>
  <c r="E67" i="45"/>
  <c r="F64" i="45"/>
  <c r="G64" i="45"/>
  <c r="H64" i="45"/>
  <c r="I64" i="45"/>
  <c r="J64" i="45"/>
  <c r="K64" i="45"/>
  <c r="L64" i="45"/>
  <c r="M64" i="45"/>
  <c r="N64" i="45"/>
  <c r="O64" i="45"/>
  <c r="P64" i="45"/>
  <c r="F65" i="45"/>
  <c r="G65" i="45"/>
  <c r="H65" i="45"/>
  <c r="I65" i="45"/>
  <c r="J65" i="45"/>
  <c r="K65" i="45"/>
  <c r="L65" i="45"/>
  <c r="M65" i="45"/>
  <c r="N65" i="45"/>
  <c r="O65" i="45"/>
  <c r="P65" i="45"/>
  <c r="E65" i="45"/>
  <c r="E64" i="45"/>
  <c r="F61" i="45"/>
  <c r="F60" i="45" s="1"/>
  <c r="G61" i="45"/>
  <c r="G60" i="45" s="1"/>
  <c r="H61" i="45"/>
  <c r="H60" i="45" s="1"/>
  <c r="I61" i="45"/>
  <c r="I60" i="45" s="1"/>
  <c r="J61" i="45"/>
  <c r="J60" i="45" s="1"/>
  <c r="K61" i="45"/>
  <c r="K60" i="45" s="1"/>
  <c r="L61" i="45"/>
  <c r="L60" i="45" s="1"/>
  <c r="M61" i="45"/>
  <c r="M60" i="45" s="1"/>
  <c r="N61" i="45"/>
  <c r="N60" i="45" s="1"/>
  <c r="O61" i="45"/>
  <c r="O60" i="45" s="1"/>
  <c r="P61" i="45"/>
  <c r="P60" i="45" s="1"/>
  <c r="E61" i="45"/>
  <c r="E60" i="45" s="1"/>
  <c r="F58" i="45"/>
  <c r="G58" i="45"/>
  <c r="H58" i="45"/>
  <c r="I58" i="45"/>
  <c r="J58" i="45"/>
  <c r="K58" i="45"/>
  <c r="L58" i="45"/>
  <c r="M58" i="45"/>
  <c r="N58" i="45"/>
  <c r="O58" i="45"/>
  <c r="P58" i="45"/>
  <c r="F59" i="45"/>
  <c r="G59" i="45"/>
  <c r="H59" i="45"/>
  <c r="I59" i="45"/>
  <c r="J59" i="45"/>
  <c r="K59" i="45"/>
  <c r="L59" i="45"/>
  <c r="M59" i="45"/>
  <c r="N59" i="45"/>
  <c r="O59" i="45"/>
  <c r="P59" i="45"/>
  <c r="E59" i="45"/>
  <c r="E58" i="45"/>
  <c r="F56" i="45"/>
  <c r="G56" i="45"/>
  <c r="H56" i="45"/>
  <c r="I56" i="45"/>
  <c r="J56" i="45"/>
  <c r="K56" i="45"/>
  <c r="L56" i="45"/>
  <c r="M56" i="45"/>
  <c r="N56" i="45"/>
  <c r="O56" i="45"/>
  <c r="P56" i="45"/>
  <c r="E56" i="45"/>
  <c r="F55" i="45"/>
  <c r="G55" i="45"/>
  <c r="H55" i="45"/>
  <c r="I55" i="45"/>
  <c r="J55" i="45"/>
  <c r="K55" i="45"/>
  <c r="L55" i="45"/>
  <c r="M55" i="45"/>
  <c r="N55" i="45"/>
  <c r="O55" i="45"/>
  <c r="P55" i="45"/>
  <c r="E55" i="45"/>
  <c r="F54" i="45"/>
  <c r="G54" i="45"/>
  <c r="H54" i="45"/>
  <c r="I54" i="45"/>
  <c r="J54" i="45"/>
  <c r="BC29" i="16" s="1"/>
  <c r="K54" i="45"/>
  <c r="BK29" i="16" s="1"/>
  <c r="L54" i="45"/>
  <c r="BS29" i="16" s="1"/>
  <c r="M54" i="45"/>
  <c r="N54" i="45"/>
  <c r="CI29" i="16" s="1"/>
  <c r="O54" i="45"/>
  <c r="P54" i="45"/>
  <c r="O52" i="45" l="1"/>
  <c r="G52" i="45"/>
  <c r="O63" i="45"/>
  <c r="N57" i="45"/>
  <c r="F57" i="45"/>
  <c r="E63" i="45"/>
  <c r="E57" i="45"/>
  <c r="F63" i="45"/>
  <c r="M63" i="45"/>
  <c r="O53" i="45"/>
  <c r="G53" i="45"/>
  <c r="L63" i="45"/>
  <c r="J52" i="45"/>
  <c r="E52" i="45"/>
  <c r="J57" i="45"/>
  <c r="M57" i="45"/>
  <c r="P52" i="45"/>
  <c r="H52" i="45"/>
  <c r="L53" i="45"/>
  <c r="N52" i="45"/>
  <c r="F52" i="45"/>
  <c r="J53" i="45"/>
  <c r="M52" i="45"/>
  <c r="E54" i="45"/>
  <c r="O29" i="16" s="1"/>
  <c r="I53" i="45"/>
  <c r="N53" i="45"/>
  <c r="F53" i="45"/>
  <c r="I52" i="45"/>
  <c r="D67" i="45"/>
  <c r="D66" i="45" s="1"/>
  <c r="K53" i="45"/>
  <c r="K57" i="45"/>
  <c r="L52" i="45"/>
  <c r="P53" i="45"/>
  <c r="H53" i="45"/>
  <c r="M53" i="45"/>
  <c r="P57" i="45"/>
  <c r="H57" i="45"/>
  <c r="P63" i="45"/>
  <c r="H63" i="45"/>
  <c r="E66" i="45"/>
  <c r="K52" i="45"/>
  <c r="L57" i="45"/>
  <c r="O57" i="45"/>
  <c r="O51" i="45" s="1"/>
  <c r="O49" i="45" s="1"/>
  <c r="G57" i="45"/>
  <c r="E53" i="45"/>
  <c r="K63" i="45"/>
  <c r="AM29" i="16"/>
  <c r="D58" i="45"/>
  <c r="D59" i="45"/>
  <c r="I57" i="45"/>
  <c r="D61" i="45"/>
  <c r="D60" i="45" s="1"/>
  <c r="D55" i="45"/>
  <c r="J63" i="45"/>
  <c r="D56" i="45"/>
  <c r="N63" i="45"/>
  <c r="D65" i="45"/>
  <c r="I63" i="45"/>
  <c r="G63" i="45"/>
  <c r="D64" i="45"/>
  <c r="L51" i="45" l="1"/>
  <c r="L49" i="45" s="1"/>
  <c r="F51" i="45"/>
  <c r="F49" i="45" s="1"/>
  <c r="N51" i="45"/>
  <c r="N49" i="45" s="1"/>
  <c r="I51" i="45"/>
  <c r="I49" i="45" s="1"/>
  <c r="M51" i="45"/>
  <c r="M49" i="45" s="1"/>
  <c r="P51" i="45"/>
  <c r="P49" i="45" s="1"/>
  <c r="G51" i="45"/>
  <c r="G49" i="45" s="1"/>
  <c r="J51" i="45"/>
  <c r="J49" i="45" s="1"/>
  <c r="H51" i="45"/>
  <c r="H49" i="45" s="1"/>
  <c r="K51" i="45"/>
  <c r="K49" i="45" s="1"/>
  <c r="D53" i="45"/>
  <c r="E51" i="45"/>
  <c r="E49" i="45" s="1"/>
  <c r="D54" i="45"/>
  <c r="D52" i="45"/>
  <c r="D57" i="45"/>
  <c r="D63" i="45"/>
  <c r="F46" i="45"/>
  <c r="G46" i="45"/>
  <c r="H46" i="45"/>
  <c r="I46" i="45"/>
  <c r="J46" i="45"/>
  <c r="K46" i="45"/>
  <c r="L46" i="45"/>
  <c r="M46" i="45"/>
  <c r="N46" i="45"/>
  <c r="O46" i="45"/>
  <c r="P46" i="45"/>
  <c r="E46" i="45"/>
  <c r="AQ49" i="1"/>
  <c r="AK45" i="1"/>
  <c r="AK44" i="1"/>
  <c r="AK32" i="1"/>
  <c r="AK12" i="1"/>
  <c r="D46" i="45" l="1"/>
  <c r="D51" i="45"/>
  <c r="D49" i="45" s="1"/>
  <c r="AK14" i="1"/>
  <c r="AK13" i="1"/>
  <c r="AK31" i="1"/>
  <c r="AK38" i="1"/>
  <c r="AK25" i="1"/>
  <c r="AQ48" i="1"/>
  <c r="Z48" i="40" s="1"/>
  <c r="AQ45" i="1"/>
  <c r="Z45" i="40" s="1"/>
  <c r="AQ44" i="1"/>
  <c r="Z44" i="40" s="1"/>
  <c r="AQ43" i="1"/>
  <c r="Z43" i="40" s="1"/>
  <c r="AQ41" i="1"/>
  <c r="Z41" i="40" s="1"/>
  <c r="AQ40" i="1"/>
  <c r="Z40" i="40" s="1"/>
  <c r="AQ39" i="1"/>
  <c r="Z39" i="40" s="1"/>
  <c r="AQ38" i="1"/>
  <c r="Z38" i="40" s="1"/>
  <c r="AQ37" i="1"/>
  <c r="Z37" i="40" s="1"/>
  <c r="AQ36" i="1"/>
  <c r="Z36" i="40" s="1"/>
  <c r="AQ34" i="1"/>
  <c r="Z34" i="40" s="1"/>
  <c r="AQ32" i="1"/>
  <c r="AQ31" i="1"/>
  <c r="AQ30" i="1"/>
  <c r="Z30" i="40" s="1"/>
  <c r="AQ29" i="1"/>
  <c r="Z29" i="40" s="1"/>
  <c r="AQ25" i="1"/>
  <c r="Z25" i="40" s="1"/>
  <c r="AQ24" i="1"/>
  <c r="Z24" i="40" s="1"/>
  <c r="AQ21" i="1"/>
  <c r="Z21" i="40" s="1"/>
  <c r="AQ19" i="1"/>
  <c r="Z19" i="40" s="1"/>
  <c r="AQ18" i="1"/>
  <c r="Z18" i="40" s="1"/>
  <c r="AQ14" i="1"/>
  <c r="Z14" i="40" s="1"/>
  <c r="AQ13" i="1"/>
  <c r="Z13" i="40" s="1"/>
  <c r="AQ12" i="1"/>
  <c r="Z12" i="40" s="1"/>
  <c r="AK49" i="1"/>
  <c r="AK48" i="1"/>
  <c r="AK43" i="1"/>
  <c r="AK41" i="1"/>
  <c r="AK40" i="1"/>
  <c r="AK39" i="1"/>
  <c r="AK37" i="1"/>
  <c r="AK34" i="1"/>
  <c r="AK30" i="1"/>
  <c r="AK29" i="1"/>
  <c r="AK24" i="1"/>
  <c r="AK21" i="1"/>
  <c r="AK19" i="1"/>
  <c r="AK18" i="1"/>
  <c r="AU32" i="1" l="1"/>
  <c r="Z32" i="40"/>
  <c r="AU31" i="1"/>
  <c r="Z31" i="40"/>
  <c r="P7" i="45"/>
  <c r="EU16" i="15"/>
  <c r="EU15" i="15"/>
  <c r="EU14" i="15"/>
  <c r="EW15" i="15"/>
  <c r="EW14" i="15"/>
  <c r="EW19" i="15"/>
  <c r="EU29" i="15"/>
  <c r="EK15" i="15"/>
  <c r="EK14" i="15"/>
  <c r="EI16" i="15"/>
  <c r="EI15" i="15"/>
  <c r="EI14" i="15"/>
  <c r="EI13" i="15"/>
  <c r="EI29" i="15"/>
  <c r="EK36" i="15"/>
  <c r="DA36" i="15"/>
  <c r="DA26" i="15"/>
  <c r="DA19" i="15"/>
  <c r="CY19" i="15"/>
  <c r="DA15" i="15"/>
  <c r="DA14" i="15"/>
  <c r="DA13" i="15"/>
  <c r="DA12" i="15"/>
  <c r="CY14" i="15"/>
  <c r="CY15" i="15"/>
  <c r="CY13" i="15"/>
  <c r="CY12" i="15"/>
  <c r="CO15" i="15"/>
  <c r="CO14" i="15"/>
  <c r="CM15" i="15"/>
  <c r="CO13" i="15"/>
  <c r="CO19" i="15"/>
  <c r="CM19" i="15"/>
  <c r="CR20" i="15"/>
  <c r="CN37" i="15"/>
  <c r="G19" i="15" l="1"/>
  <c r="M19" i="15" s="1"/>
  <c r="I19" i="15"/>
  <c r="Q17" i="21"/>
  <c r="P17" i="21"/>
  <c r="O17" i="21"/>
  <c r="N17" i="21"/>
  <c r="M17" i="21"/>
  <c r="L17" i="21"/>
  <c r="K17" i="21"/>
  <c r="J17" i="21"/>
  <c r="E17" i="21" s="1"/>
  <c r="I17" i="21"/>
  <c r="H17" i="21"/>
  <c r="G17" i="21"/>
  <c r="F17" i="21"/>
  <c r="D17" i="21"/>
  <c r="N19" i="15" l="1"/>
  <c r="L19" i="15"/>
  <c r="K19" i="15"/>
  <c r="U57" i="11" l="1"/>
  <c r="V32" i="15"/>
  <c r="BS18" i="47"/>
  <c r="C132" i="142" s="1"/>
  <c r="BN16" i="47"/>
  <c r="CU16" i="47"/>
  <c r="U57" i="160" l="1"/>
  <c r="U57" i="161"/>
  <c r="U57" i="159"/>
  <c r="U56" i="11"/>
  <c r="A58" i="139"/>
  <c r="A58" i="140" s="1"/>
  <c r="A58" i="141" s="1"/>
  <c r="A58" i="142" s="1"/>
  <c r="A58" i="143" s="1"/>
  <c r="A58" i="144" s="1"/>
  <c r="A58" i="145" s="1"/>
  <c r="A58" i="146" s="1"/>
  <c r="A58" i="147" s="1"/>
  <c r="A58" i="148" s="1"/>
  <c r="A58" i="149" s="1"/>
  <c r="A58" i="150" s="1"/>
  <c r="A53" i="139"/>
  <c r="A53" i="140" s="1"/>
  <c r="A53" i="141" s="1"/>
  <c r="A53" i="142" s="1"/>
  <c r="A53" i="143" s="1"/>
  <c r="A53" i="144" s="1"/>
  <c r="A53" i="145" s="1"/>
  <c r="A53" i="146" s="1"/>
  <c r="A53" i="147" s="1"/>
  <c r="A53" i="148" s="1"/>
  <c r="A53" i="149" s="1"/>
  <c r="A53" i="150" s="1"/>
  <c r="A52" i="139"/>
  <c r="A52" i="140" s="1"/>
  <c r="A52" i="141" s="1"/>
  <c r="A52" i="142" s="1"/>
  <c r="A52" i="143" s="1"/>
  <c r="A52" i="144" s="1"/>
  <c r="A52" i="145" s="1"/>
  <c r="A52" i="146" s="1"/>
  <c r="A52" i="147" s="1"/>
  <c r="A52" i="148" s="1"/>
  <c r="A52" i="149" s="1"/>
  <c r="A52" i="150" s="1"/>
  <c r="A51" i="139"/>
  <c r="A51" i="140" s="1"/>
  <c r="A51" i="141" s="1"/>
  <c r="A51" i="142" s="1"/>
  <c r="A51" i="143" s="1"/>
  <c r="A51" i="144" s="1"/>
  <c r="A51" i="145" s="1"/>
  <c r="A51" i="146" s="1"/>
  <c r="A51" i="147" s="1"/>
  <c r="A51" i="148" s="1"/>
  <c r="A51" i="149" s="1"/>
  <c r="A51" i="150" s="1"/>
  <c r="A1" i="139"/>
  <c r="A1" i="140" s="1"/>
  <c r="A1" i="141" s="1"/>
  <c r="A1" i="142" s="1"/>
  <c r="A1" i="143" s="1"/>
  <c r="A1" i="144" s="1"/>
  <c r="A1" i="145" s="1"/>
  <c r="A1" i="146" s="1"/>
  <c r="A1" i="147" s="1"/>
  <c r="A1" i="148" s="1"/>
  <c r="A1" i="149" s="1"/>
  <c r="A1" i="150" s="1"/>
  <c r="AL4" i="52"/>
  <c r="V64" i="11"/>
  <c r="V65" i="11"/>
  <c r="V67" i="11"/>
  <c r="V66" i="11"/>
  <c r="B11" i="56"/>
  <c r="B12" i="56"/>
  <c r="B13" i="56"/>
  <c r="B14" i="56"/>
  <c r="B15" i="56"/>
  <c r="B16" i="56"/>
  <c r="B17" i="56"/>
  <c r="B18" i="56"/>
  <c r="B19" i="56"/>
  <c r="B20" i="56"/>
  <c r="B21" i="56"/>
  <c r="B22" i="56"/>
  <c r="B23" i="56"/>
  <c r="B24" i="56"/>
  <c r="B25" i="56"/>
  <c r="B26" i="56"/>
  <c r="B27" i="56"/>
  <c r="B28" i="56"/>
  <c r="B29" i="56"/>
  <c r="B30" i="56"/>
  <c r="B31" i="56"/>
  <c r="B32" i="56"/>
  <c r="B33" i="56"/>
  <c r="B34" i="56"/>
  <c r="B35" i="56"/>
  <c r="B36" i="56"/>
  <c r="B37" i="56"/>
  <c r="B38" i="56"/>
  <c r="B39" i="56"/>
  <c r="B41" i="56"/>
  <c r="B42" i="56"/>
  <c r="B43" i="56"/>
  <c r="B44" i="56"/>
  <c r="B45" i="56"/>
  <c r="B46" i="56"/>
  <c r="B47" i="56"/>
  <c r="B48" i="56"/>
  <c r="B49" i="56"/>
  <c r="B50" i="56"/>
  <c r="B51" i="56"/>
  <c r="B52" i="56"/>
  <c r="B53" i="56"/>
  <c r="B54" i="56"/>
  <c r="B55" i="56"/>
  <c r="B56" i="56"/>
  <c r="B57" i="56"/>
  <c r="B58" i="56"/>
  <c r="B59" i="56"/>
  <c r="B60" i="56"/>
  <c r="B61" i="56"/>
  <c r="B62" i="56"/>
  <c r="B63" i="56"/>
  <c r="B64" i="56"/>
  <c r="B65" i="56"/>
  <c r="B66" i="56"/>
  <c r="B67" i="56"/>
  <c r="B68" i="56"/>
  <c r="B69" i="56"/>
  <c r="B75" i="56"/>
  <c r="B106" i="56"/>
  <c r="B107" i="56"/>
  <c r="B108" i="56"/>
  <c r="B111" i="56"/>
  <c r="B112" i="56"/>
  <c r="B113" i="56"/>
  <c r="B114" i="56"/>
  <c r="B116" i="56"/>
  <c r="B117" i="56"/>
  <c r="B118" i="56"/>
  <c r="B10" i="56"/>
  <c r="U101" i="11" l="1"/>
  <c r="U106" i="11"/>
  <c r="U56" i="159"/>
  <c r="J57" i="159"/>
  <c r="V66" i="160"/>
  <c r="J66" i="160" s="1"/>
  <c r="C66" i="160" s="1"/>
  <c r="V66" i="161"/>
  <c r="J66" i="161" s="1"/>
  <c r="C66" i="161" s="1"/>
  <c r="V66" i="159"/>
  <c r="J66" i="159" s="1"/>
  <c r="C66" i="159" s="1"/>
  <c r="J57" i="161"/>
  <c r="U56" i="161"/>
  <c r="V67" i="160"/>
  <c r="J67" i="160" s="1"/>
  <c r="C67" i="160" s="1"/>
  <c r="V67" i="161"/>
  <c r="J67" i="161" s="1"/>
  <c r="C67" i="161" s="1"/>
  <c r="V67" i="159"/>
  <c r="J67" i="159" s="1"/>
  <c r="C67" i="159" s="1"/>
  <c r="U56" i="160"/>
  <c r="J57" i="160"/>
  <c r="V65" i="160"/>
  <c r="J65" i="160" s="1"/>
  <c r="C65" i="160" s="1"/>
  <c r="V65" i="161"/>
  <c r="J65" i="161" s="1"/>
  <c r="C65" i="161" s="1"/>
  <c r="V65" i="159"/>
  <c r="J65" i="159" s="1"/>
  <c r="C65" i="159" s="1"/>
  <c r="V64" i="161"/>
  <c r="V64" i="160"/>
  <c r="V64" i="159"/>
  <c r="V60" i="11"/>
  <c r="J59" i="11"/>
  <c r="D105" i="11"/>
  <c r="C105" i="11" s="1"/>
  <c r="D103" i="11"/>
  <c r="D102" i="11"/>
  <c r="D99" i="11"/>
  <c r="D98" i="11"/>
  <c r="D97" i="11"/>
  <c r="D96" i="11"/>
  <c r="C96" i="11" s="1"/>
  <c r="D69" i="11"/>
  <c r="D68" i="11"/>
  <c r="D67" i="11"/>
  <c r="D66" i="11"/>
  <c r="D65" i="11"/>
  <c r="D64" i="11"/>
  <c r="D63" i="11"/>
  <c r="D62" i="11"/>
  <c r="D61" i="11"/>
  <c r="D59" i="11"/>
  <c r="D58" i="11"/>
  <c r="D57" i="11"/>
  <c r="D55" i="11"/>
  <c r="D54" i="11"/>
  <c r="D53" i="11"/>
  <c r="D52" i="11"/>
  <c r="D51" i="11"/>
  <c r="D50" i="11"/>
  <c r="D49" i="11"/>
  <c r="D47" i="11"/>
  <c r="D46" i="11"/>
  <c r="D45" i="11"/>
  <c r="D44" i="11"/>
  <c r="D43" i="11"/>
  <c r="D40" i="11"/>
  <c r="D39" i="11"/>
  <c r="D38" i="11"/>
  <c r="D37" i="11"/>
  <c r="D36" i="11"/>
  <c r="D35" i="11"/>
  <c r="D34" i="11"/>
  <c r="D33" i="11"/>
  <c r="D32" i="11"/>
  <c r="D31" i="11"/>
  <c r="D30" i="11"/>
  <c r="D29" i="11"/>
  <c r="D28" i="11"/>
  <c r="D27" i="11"/>
  <c r="D26" i="11"/>
  <c r="D25" i="11"/>
  <c r="D24" i="11"/>
  <c r="D23" i="11"/>
  <c r="D22" i="11"/>
  <c r="D21" i="11"/>
  <c r="D20" i="11"/>
  <c r="D19" i="11"/>
  <c r="D18" i="11"/>
  <c r="D17" i="11"/>
  <c r="D16" i="11"/>
  <c r="D15" i="11"/>
  <c r="D14" i="11"/>
  <c r="D13" i="11"/>
  <c r="D12" i="11"/>
  <c r="G114" i="56"/>
  <c r="F114" i="56"/>
  <c r="E114" i="56"/>
  <c r="J62" i="11"/>
  <c r="J63" i="11"/>
  <c r="J64" i="11"/>
  <c r="J65" i="11"/>
  <c r="J66" i="11"/>
  <c r="J67" i="11"/>
  <c r="J68" i="11"/>
  <c r="J69" i="11"/>
  <c r="J61" i="11"/>
  <c r="J58" i="11"/>
  <c r="J57" i="11"/>
  <c r="J50" i="11"/>
  <c r="J51" i="11"/>
  <c r="J52" i="11"/>
  <c r="J53" i="11"/>
  <c r="J54" i="11"/>
  <c r="J55" i="11"/>
  <c r="J49" i="11"/>
  <c r="J44" i="11"/>
  <c r="J45" i="11"/>
  <c r="J46" i="11"/>
  <c r="J47" i="11"/>
  <c r="J43" i="11"/>
  <c r="W107" i="11"/>
  <c r="DT18" i="47"/>
  <c r="DT14" i="47"/>
  <c r="DK13" i="47"/>
  <c r="C57" i="161" l="1"/>
  <c r="C56" i="161" s="1"/>
  <c r="J56" i="161"/>
  <c r="J64" i="159"/>
  <c r="V60" i="159"/>
  <c r="C57" i="160"/>
  <c r="C56" i="160" s="1"/>
  <c r="J56" i="160"/>
  <c r="J64" i="160"/>
  <c r="V60" i="160"/>
  <c r="C53" i="11"/>
  <c r="J64" i="161"/>
  <c r="V60" i="161"/>
  <c r="J56" i="159"/>
  <c r="C57" i="159"/>
  <c r="C56" i="159" s="1"/>
  <c r="U106" i="160"/>
  <c r="U106" i="161"/>
  <c r="U106" i="159"/>
  <c r="W107" i="161"/>
  <c r="W107" i="160"/>
  <c r="W107" i="159"/>
  <c r="U101" i="160"/>
  <c r="U101" i="161"/>
  <c r="U101" i="159"/>
  <c r="U101" i="56"/>
  <c r="J101" i="11"/>
  <c r="C101" i="11" s="1"/>
  <c r="U100" i="11"/>
  <c r="D75" i="11"/>
  <c r="C69" i="11"/>
  <c r="D60" i="11"/>
  <c r="J60" i="11"/>
  <c r="C62" i="11"/>
  <c r="D56" i="11"/>
  <c r="W9" i="11"/>
  <c r="C44" i="11"/>
  <c r="C63" i="11"/>
  <c r="C58" i="11"/>
  <c r="C47" i="11"/>
  <c r="C57" i="11"/>
  <c r="J56" i="11"/>
  <c r="D48" i="11"/>
  <c r="C49" i="11"/>
  <c r="J48" i="11"/>
  <c r="C107" i="11"/>
  <c r="D42" i="11"/>
  <c r="C43" i="11"/>
  <c r="J42" i="11"/>
  <c r="C68" i="11"/>
  <c r="C66" i="11"/>
  <c r="C67" i="11"/>
  <c r="C61" i="11"/>
  <c r="C52" i="11"/>
  <c r="C51" i="11"/>
  <c r="C54" i="11"/>
  <c r="C50" i="11"/>
  <c r="C55" i="11"/>
  <c r="C64" i="11"/>
  <c r="C46" i="11"/>
  <c r="C45" i="11"/>
  <c r="C65" i="11"/>
  <c r="C59" i="11"/>
  <c r="C64" i="160" l="1"/>
  <c r="C60" i="160" s="1"/>
  <c r="J60" i="160"/>
  <c r="C107" i="161"/>
  <c r="W9" i="161"/>
  <c r="J100" i="11"/>
  <c r="C100" i="11" s="1"/>
  <c r="U75" i="11"/>
  <c r="C64" i="159"/>
  <c r="C60" i="159" s="1"/>
  <c r="J60" i="159"/>
  <c r="C107" i="159"/>
  <c r="W9" i="159"/>
  <c r="J101" i="159"/>
  <c r="C101" i="159" s="1"/>
  <c r="U100" i="159"/>
  <c r="J100" i="159" s="1"/>
  <c r="C100" i="159" s="1"/>
  <c r="U100" i="161"/>
  <c r="J100" i="161" s="1"/>
  <c r="C100" i="161" s="1"/>
  <c r="J101" i="161"/>
  <c r="C101" i="161" s="1"/>
  <c r="C107" i="160"/>
  <c r="W9" i="160"/>
  <c r="U100" i="56"/>
  <c r="J100" i="56" s="1"/>
  <c r="C100" i="56" s="1"/>
  <c r="J101" i="56"/>
  <c r="C101" i="56" s="1"/>
  <c r="U100" i="160"/>
  <c r="J100" i="160" s="1"/>
  <c r="C100" i="160" s="1"/>
  <c r="J101" i="160"/>
  <c r="C101" i="160" s="1"/>
  <c r="C64" i="161"/>
  <c r="C60" i="161" s="1"/>
  <c r="J60" i="161"/>
  <c r="C60" i="11"/>
  <c r="J41" i="11"/>
  <c r="C56" i="11"/>
  <c r="D41" i="11"/>
  <c r="C48" i="11"/>
  <c r="C42" i="11"/>
  <c r="B33" i="39"/>
  <c r="B34" i="39"/>
  <c r="B32" i="39"/>
  <c r="U10" i="11" l="1"/>
  <c r="U75" i="160"/>
  <c r="U10" i="160" s="1"/>
  <c r="U9" i="160" s="1"/>
  <c r="U75" i="161"/>
  <c r="U10" i="161" s="1"/>
  <c r="U9" i="161" s="1"/>
  <c r="U75" i="159"/>
  <c r="U10" i="159" s="1"/>
  <c r="U9" i="159" s="1"/>
  <c r="C41" i="11"/>
  <c r="B18" i="8"/>
  <c r="B19" i="8"/>
  <c r="B17" i="8"/>
  <c r="B42" i="7"/>
  <c r="B43" i="7"/>
  <c r="B41" i="7"/>
  <c r="B19" i="42"/>
  <c r="B17" i="42"/>
  <c r="B18" i="42"/>
  <c r="B16" i="42"/>
  <c r="B38" i="41"/>
  <c r="B37" i="41"/>
  <c r="B36" i="41"/>
  <c r="B59" i="40"/>
  <c r="B58" i="40"/>
  <c r="B57" i="40"/>
  <c r="B18" i="39" s="1"/>
  <c r="B56" i="40"/>
  <c r="B17" i="39" s="1"/>
  <c r="B55" i="40"/>
  <c r="B16" i="39" s="1"/>
  <c r="B43" i="8" l="1"/>
  <c r="B59" i="36"/>
  <c r="B41" i="42"/>
  <c r="B41" i="114" s="1"/>
  <c r="B58" i="36"/>
  <c r="B40" i="42"/>
  <c r="B40" i="114" s="1"/>
  <c r="B57" i="36"/>
  <c r="B42" i="42"/>
  <c r="B42" i="114" s="1"/>
  <c r="B41" i="8"/>
  <c r="B42" i="8"/>
  <c r="AB194" i="2"/>
  <c r="AA189" i="2"/>
  <c r="AA190" i="2" s="1"/>
  <c r="AB189" i="2"/>
  <c r="AB190" i="2" s="1"/>
  <c r="Y175" i="2"/>
  <c r="Y176" i="2" s="1"/>
  <c r="Z175" i="2"/>
  <c r="Z176" i="2" s="1"/>
  <c r="AB232" i="2"/>
  <c r="AB233" i="2" s="1"/>
  <c r="Z127" i="2"/>
  <c r="AE45" i="1"/>
  <c r="S24" i="158" l="1"/>
  <c r="G50" i="170"/>
  <c r="X24" i="158"/>
  <c r="AE85" i="1"/>
  <c r="J12" i="8"/>
  <c r="J12" i="7"/>
  <c r="AE87" i="1"/>
  <c r="AI87" i="1" l="1"/>
  <c r="AF87" i="1"/>
  <c r="AI85" i="1"/>
  <c r="AF85" i="1"/>
  <c r="C78" i="139"/>
  <c r="C79" i="139"/>
  <c r="C80" i="139"/>
  <c r="C81" i="139"/>
  <c r="C77" i="139"/>
  <c r="C78" i="140"/>
  <c r="C79" i="140"/>
  <c r="C80" i="140"/>
  <c r="C81" i="140"/>
  <c r="C77" i="140"/>
  <c r="C78" i="141"/>
  <c r="C79" i="141"/>
  <c r="C80" i="141"/>
  <c r="C81" i="141"/>
  <c r="C77" i="141"/>
  <c r="C78" i="142"/>
  <c r="C79" i="142"/>
  <c r="C80" i="142"/>
  <c r="C81" i="142"/>
  <c r="C77" i="142"/>
  <c r="C78" i="143"/>
  <c r="C79" i="143"/>
  <c r="C80" i="143"/>
  <c r="C81" i="143"/>
  <c r="C77" i="143"/>
  <c r="C78" i="144"/>
  <c r="C79" i="144"/>
  <c r="C80" i="144"/>
  <c r="C81" i="144"/>
  <c r="C77" i="144"/>
  <c r="C78" i="145"/>
  <c r="C79" i="145"/>
  <c r="C80" i="145"/>
  <c r="C81" i="145"/>
  <c r="C77" i="145"/>
  <c r="C78" i="146"/>
  <c r="C79" i="146"/>
  <c r="C80" i="146"/>
  <c r="C81" i="146"/>
  <c r="C77" i="146"/>
  <c r="C78" i="147"/>
  <c r="C79" i="147"/>
  <c r="C80" i="147"/>
  <c r="C81" i="147"/>
  <c r="C77" i="147"/>
  <c r="C76" i="147" s="1"/>
  <c r="C78" i="148"/>
  <c r="C79" i="148"/>
  <c r="C80" i="148"/>
  <c r="C81" i="148"/>
  <c r="C77" i="148"/>
  <c r="C78" i="150"/>
  <c r="C79" i="150"/>
  <c r="C80" i="150"/>
  <c r="C81" i="150"/>
  <c r="C77" i="150"/>
  <c r="C78" i="149"/>
  <c r="C79" i="149"/>
  <c r="C80" i="149"/>
  <c r="C81" i="149"/>
  <c r="C77" i="149"/>
  <c r="C38" i="149"/>
  <c r="C76" i="139" l="1"/>
  <c r="AG87" i="1"/>
  <c r="AH87" i="1"/>
  <c r="AJ87" i="1" s="1"/>
  <c r="AH85" i="1"/>
  <c r="AJ85" i="1" s="1"/>
  <c r="AG85" i="1"/>
  <c r="C76" i="148"/>
  <c r="C76" i="145"/>
  <c r="C76" i="142"/>
  <c r="C76" i="149"/>
  <c r="C76" i="146"/>
  <c r="C76" i="144"/>
  <c r="C76" i="143"/>
  <c r="C76" i="141"/>
  <c r="C76" i="140"/>
  <c r="C81" i="138"/>
  <c r="C80" i="138"/>
  <c r="C79" i="138"/>
  <c r="C78" i="138"/>
  <c r="C77" i="138"/>
  <c r="C76" i="150"/>
  <c r="C76" i="138" l="1"/>
  <c r="C38" i="150"/>
  <c r="A59" i="139" l="1"/>
  <c r="A4" i="139"/>
  <c r="A4" i="140" s="1"/>
  <c r="A4" i="141" s="1"/>
  <c r="A61" i="141" s="1"/>
  <c r="A2" i="139"/>
  <c r="A2" i="140" s="1"/>
  <c r="A2" i="141" s="1"/>
  <c r="C64" i="150"/>
  <c r="C63" i="150"/>
  <c r="C123" i="150" s="1"/>
  <c r="A60" i="150"/>
  <c r="A120" i="150" s="1"/>
  <c r="C64" i="149"/>
  <c r="C63" i="149"/>
  <c r="C123" i="149" s="1"/>
  <c r="A60" i="149"/>
  <c r="A120" i="149" s="1"/>
  <c r="C64" i="148"/>
  <c r="C63" i="148"/>
  <c r="C123" i="148" s="1"/>
  <c r="A60" i="148"/>
  <c r="A120" i="148" s="1"/>
  <c r="C64" i="147"/>
  <c r="C63" i="147"/>
  <c r="C123" i="147" s="1"/>
  <c r="A60" i="147"/>
  <c r="A120" i="147" s="1"/>
  <c r="C64" i="146"/>
  <c r="C63" i="146"/>
  <c r="C123" i="146" s="1"/>
  <c r="A60" i="146"/>
  <c r="A120" i="146" s="1"/>
  <c r="C64" i="145"/>
  <c r="C63" i="145"/>
  <c r="C123" i="145" s="1"/>
  <c r="A60" i="145"/>
  <c r="A120" i="145" s="1"/>
  <c r="C64" i="144"/>
  <c r="C63" i="144"/>
  <c r="C123" i="144" s="1"/>
  <c r="A60" i="144"/>
  <c r="A120" i="144" s="1"/>
  <c r="C64" i="143"/>
  <c r="C63" i="143"/>
  <c r="C123" i="143" s="1"/>
  <c r="A60" i="143"/>
  <c r="A120" i="143" s="1"/>
  <c r="C64" i="142"/>
  <c r="C63" i="142"/>
  <c r="C123" i="142" s="1"/>
  <c r="A60" i="142"/>
  <c r="A120" i="142" s="1"/>
  <c r="C64" i="141"/>
  <c r="C63" i="141"/>
  <c r="C123" i="141" s="1"/>
  <c r="A60" i="141"/>
  <c r="A120" i="141" s="1"/>
  <c r="C64" i="140"/>
  <c r="C63" i="140"/>
  <c r="C123" i="140" s="1"/>
  <c r="A60" i="140"/>
  <c r="A120" i="140" s="1"/>
  <c r="C64" i="139"/>
  <c r="C63" i="139"/>
  <c r="C123" i="139" s="1"/>
  <c r="A60" i="139"/>
  <c r="A120" i="139" s="1"/>
  <c r="C63" i="138"/>
  <c r="C123" i="138" s="1"/>
  <c r="C64" i="138"/>
  <c r="A61" i="138"/>
  <c r="A121" i="138" s="1"/>
  <c r="A60" i="138"/>
  <c r="A120" i="138" s="1"/>
  <c r="A121" i="142" l="1"/>
  <c r="A121" i="139"/>
  <c r="A121" i="150"/>
  <c r="A121" i="147"/>
  <c r="A121" i="149"/>
  <c r="A121" i="144"/>
  <c r="A121" i="148"/>
  <c r="A121" i="145"/>
  <c r="A121" i="143"/>
  <c r="A121" i="146"/>
  <c r="A121" i="140"/>
  <c r="A121" i="141"/>
  <c r="A61" i="139"/>
  <c r="A59" i="140"/>
  <c r="A59" i="141" s="1"/>
  <c r="A59" i="142" s="1"/>
  <c r="A59" i="143" s="1"/>
  <c r="A59" i="144" s="1"/>
  <c r="A59" i="145" s="1"/>
  <c r="A59" i="146" s="1"/>
  <c r="A59" i="147" s="1"/>
  <c r="A59" i="148" s="1"/>
  <c r="A59" i="149" s="1"/>
  <c r="A59" i="150" s="1"/>
  <c r="A61" i="140"/>
  <c r="A4" i="142"/>
  <c r="A4" i="143" s="1"/>
  <c r="A61" i="143" s="1"/>
  <c r="A2" i="142"/>
  <c r="A2" i="143" s="1"/>
  <c r="A2" i="144" s="1"/>
  <c r="A2" i="145" s="1"/>
  <c r="A2" i="146" s="1"/>
  <c r="A2" i="147" s="1"/>
  <c r="A2" i="148" s="1"/>
  <c r="A2" i="149" s="1"/>
  <c r="A2" i="150" s="1"/>
  <c r="A4" i="144" l="1"/>
  <c r="A61" i="144" s="1"/>
  <c r="A61" i="142"/>
  <c r="A4" i="145" l="1"/>
  <c r="A4" i="146" s="1"/>
  <c r="A61" i="146" s="1"/>
  <c r="X1" i="52"/>
  <c r="F9" i="46"/>
  <c r="N8" i="13"/>
  <c r="M8" i="13"/>
  <c r="AL41" i="10"/>
  <c r="W41" i="10"/>
  <c r="C44" i="143"/>
  <c r="C44" i="144" l="1"/>
  <c r="M15" i="162"/>
  <c r="M15" i="153"/>
  <c r="N8" i="54"/>
  <c r="N8" i="162"/>
  <c r="N8" i="153"/>
  <c r="M8" i="54"/>
  <c r="M8" i="162"/>
  <c r="M8" i="153"/>
  <c r="C44" i="149"/>
  <c r="M20" i="162"/>
  <c r="M20" i="153"/>
  <c r="M20" i="54"/>
  <c r="F18" i="129" s="1"/>
  <c r="M20" i="13"/>
  <c r="M15" i="54"/>
  <c r="F13" i="129" s="1"/>
  <c r="M15" i="13"/>
  <c r="M14" i="13"/>
  <c r="M14" i="54"/>
  <c r="F12" i="129" s="1"/>
  <c r="A4" i="147"/>
  <c r="A4" i="148" s="1"/>
  <c r="A61" i="148" s="1"/>
  <c r="A61" i="145"/>
  <c r="T6" i="16"/>
  <c r="AB6" i="16" s="1"/>
  <c r="AJ6" i="16" s="1"/>
  <c r="AR6" i="16" s="1"/>
  <c r="AZ6" i="16" s="1"/>
  <c r="BH6" i="16" s="1"/>
  <c r="BP6" i="16" s="1"/>
  <c r="BX6" i="16" s="1"/>
  <c r="CF6" i="16" s="1"/>
  <c r="CN6" i="16" s="1"/>
  <c r="CV6" i="16" s="1"/>
  <c r="U6" i="16"/>
  <c r="AC6" i="16" s="1"/>
  <c r="AK6" i="16" s="1"/>
  <c r="AS6" i="16" s="1"/>
  <c r="BA6" i="16" s="1"/>
  <c r="BI6" i="16" s="1"/>
  <c r="BQ6" i="16" s="1"/>
  <c r="BY6" i="16" s="1"/>
  <c r="CG6" i="16" s="1"/>
  <c r="CO6" i="16" s="1"/>
  <c r="CW6" i="16" s="1"/>
  <c r="S6" i="16"/>
  <c r="AA6" i="16" s="1"/>
  <c r="AI6" i="16" s="1"/>
  <c r="AQ6" i="16" s="1"/>
  <c r="AY6" i="16" s="1"/>
  <c r="BG6" i="16" s="1"/>
  <c r="BO6" i="16" s="1"/>
  <c r="BW6" i="16" s="1"/>
  <c r="CE6" i="16" s="1"/>
  <c r="CM6" i="16" s="1"/>
  <c r="CU6" i="16" s="1"/>
  <c r="Q5" i="16"/>
  <c r="P6" i="16"/>
  <c r="X6" i="16" s="1"/>
  <c r="AF6" i="16" s="1"/>
  <c r="AN6" i="16" s="1"/>
  <c r="AV6" i="16" s="1"/>
  <c r="BD6" i="16" s="1"/>
  <c r="BL6" i="16" s="1"/>
  <c r="BT6" i="16" s="1"/>
  <c r="CB6" i="16" s="1"/>
  <c r="CJ6" i="16" s="1"/>
  <c r="CR6" i="16" s="1"/>
  <c r="CZ6" i="16" s="1"/>
  <c r="O6" i="16"/>
  <c r="W6" i="16" s="1"/>
  <c r="AE6" i="16" s="1"/>
  <c r="AM6" i="16" s="1"/>
  <c r="AU6" i="16" s="1"/>
  <c r="BC6" i="16" s="1"/>
  <c r="BK6" i="16" s="1"/>
  <c r="BS6" i="16" s="1"/>
  <c r="CA6" i="16" s="1"/>
  <c r="CI6" i="16" s="1"/>
  <c r="CQ6" i="16" s="1"/>
  <c r="CY6" i="16" s="1"/>
  <c r="N6" i="16"/>
  <c r="V6" i="16" s="1"/>
  <c r="AD6" i="16" s="1"/>
  <c r="AL6" i="16" s="1"/>
  <c r="AT6" i="16" s="1"/>
  <c r="BB6" i="16" s="1"/>
  <c r="BJ6" i="16" s="1"/>
  <c r="BR6" i="16" s="1"/>
  <c r="BZ6" i="16" s="1"/>
  <c r="CH6" i="16" s="1"/>
  <c r="CP6" i="16" s="1"/>
  <c r="CX6" i="16" s="1"/>
  <c r="M6" i="16"/>
  <c r="L6" i="16"/>
  <c r="K6" i="16"/>
  <c r="N5" i="16"/>
  <c r="U41" i="52"/>
  <c r="W41" i="52" s="1"/>
  <c r="AJ41" i="52"/>
  <c r="AL41" i="52" s="1"/>
  <c r="R41" i="52"/>
  <c r="T41" i="52" s="1"/>
  <c r="GB11" i="47"/>
  <c r="GB10" i="47" s="1"/>
  <c r="FU11" i="47"/>
  <c r="FU10" i="47" s="1"/>
  <c r="GB12" i="47"/>
  <c r="FZ12" i="47"/>
  <c r="FY12" i="47"/>
  <c r="FX12" i="47"/>
  <c r="FV12" i="47"/>
  <c r="FU12" i="47"/>
  <c r="FT12" i="47"/>
  <c r="FP12" i="47"/>
  <c r="FN12" i="47"/>
  <c r="FL12" i="47"/>
  <c r="FK12" i="47"/>
  <c r="FH12" i="47"/>
  <c r="FG12" i="47"/>
  <c r="FF12" i="47"/>
  <c r="FC12" i="47"/>
  <c r="FB12" i="47"/>
  <c r="FA12" i="47"/>
  <c r="EZ12" i="47"/>
  <c r="EX12" i="47"/>
  <c r="EW12" i="47"/>
  <c r="EV12" i="47"/>
  <c r="ET12" i="47"/>
  <c r="ES12" i="47"/>
  <c r="ER12" i="47"/>
  <c r="EO12" i="47"/>
  <c r="EN12" i="47"/>
  <c r="EL12" i="47"/>
  <c r="EJ12" i="47"/>
  <c r="EI12" i="47"/>
  <c r="EF12" i="47"/>
  <c r="EE12" i="47"/>
  <c r="ED12" i="47"/>
  <c r="EC12" i="47"/>
  <c r="EA12" i="47"/>
  <c r="DZ12" i="47"/>
  <c r="DY12" i="47"/>
  <c r="DX12" i="47"/>
  <c r="DV12" i="47"/>
  <c r="DU12" i="47"/>
  <c r="DT12" i="47"/>
  <c r="DR12" i="47"/>
  <c r="DQ12" i="47"/>
  <c r="DP12" i="47"/>
  <c r="DO12" i="47"/>
  <c r="DL12" i="47"/>
  <c r="DK12" i="47"/>
  <c r="DJ12" i="47"/>
  <c r="DH12" i="47"/>
  <c r="DF12" i="47"/>
  <c r="DF11" i="47" s="1"/>
  <c r="DF10" i="47" s="1"/>
  <c r="DD12" i="47"/>
  <c r="DC12" i="47"/>
  <c r="CX12" i="47"/>
  <c r="CX11" i="47" s="1"/>
  <c r="CX10" i="47" s="1"/>
  <c r="CV12" i="47"/>
  <c r="CU12" i="47"/>
  <c r="J83" i="45" s="1"/>
  <c r="CT12" i="47"/>
  <c r="CS12" i="47"/>
  <c r="CR12" i="47"/>
  <c r="CP12" i="47"/>
  <c r="CP11" i="47" s="1"/>
  <c r="CP10" i="47" s="1"/>
  <c r="CO12" i="47"/>
  <c r="CN12" i="47"/>
  <c r="CK12" i="47"/>
  <c r="CJ12" i="47"/>
  <c r="CI12" i="47"/>
  <c r="CH12" i="47"/>
  <c r="CH11" i="47" s="1"/>
  <c r="CH10" i="47" s="1"/>
  <c r="CF12" i="47"/>
  <c r="CE12" i="47"/>
  <c r="CB12" i="47"/>
  <c r="CA12" i="47"/>
  <c r="BZ12" i="47"/>
  <c r="BW12" i="47"/>
  <c r="BV12" i="47"/>
  <c r="BU12" i="47"/>
  <c r="BT12" i="47"/>
  <c r="BR12" i="47"/>
  <c r="BR11" i="47" s="1"/>
  <c r="BR10" i="47" s="1"/>
  <c r="BQ12" i="47"/>
  <c r="BP12" i="47"/>
  <c r="BM12" i="47"/>
  <c r="BI12" i="47"/>
  <c r="BH12" i="47"/>
  <c r="BG12" i="47"/>
  <c r="BF12" i="47"/>
  <c r="BE12" i="47"/>
  <c r="G83" i="45" s="1"/>
  <c r="BD12" i="47"/>
  <c r="BC12" i="47"/>
  <c r="AZ12" i="47"/>
  <c r="AY12" i="47"/>
  <c r="AX12" i="47"/>
  <c r="AV12" i="47"/>
  <c r="AU12" i="47"/>
  <c r="AT12" i="47"/>
  <c r="AS12" i="47"/>
  <c r="AR12" i="47"/>
  <c r="AQ12" i="47"/>
  <c r="F83" i="45" s="1"/>
  <c r="AP12" i="47"/>
  <c r="AO12" i="47"/>
  <c r="AL12" i="47"/>
  <c r="AK12" i="47"/>
  <c r="AJ12" i="47"/>
  <c r="AI12" i="47"/>
  <c r="AG12" i="47"/>
  <c r="AF12" i="47"/>
  <c r="AE12" i="47"/>
  <c r="AD12" i="47"/>
  <c r="AA12" i="47"/>
  <c r="Z12" i="47"/>
  <c r="Z11" i="47" s="1"/>
  <c r="Z10" i="47" s="1"/>
  <c r="X12" i="47"/>
  <c r="W12" i="47"/>
  <c r="W11" i="47" s="1"/>
  <c r="W10" i="47" s="1"/>
  <c r="V12" i="47"/>
  <c r="U12" i="47"/>
  <c r="S12" i="47"/>
  <c r="R12" i="47"/>
  <c r="Q12" i="47"/>
  <c r="P12" i="47"/>
  <c r="GB16" i="47"/>
  <c r="FZ16" i="47"/>
  <c r="FZ11" i="47" s="1"/>
  <c r="FZ10" i="47" s="1"/>
  <c r="FY16" i="47"/>
  <c r="FY11" i="47" s="1"/>
  <c r="FY10" i="47" s="1"/>
  <c r="FX16" i="47"/>
  <c r="FV16" i="47"/>
  <c r="FV11" i="47" s="1"/>
  <c r="FV10" i="47" s="1"/>
  <c r="FU16" i="47"/>
  <c r="FT16" i="47"/>
  <c r="FS16" i="47"/>
  <c r="FP16" i="47"/>
  <c r="FP11" i="47" s="1"/>
  <c r="FP10" i="47" s="1"/>
  <c r="FN16" i="47"/>
  <c r="FM16" i="47"/>
  <c r="FL16" i="47"/>
  <c r="FK16" i="47"/>
  <c r="FK11" i="47" s="1"/>
  <c r="FK10" i="47" s="1"/>
  <c r="FH16" i="47"/>
  <c r="FG16" i="47"/>
  <c r="FG11" i="47" s="1"/>
  <c r="FG10" i="47" s="1"/>
  <c r="FF16" i="47"/>
  <c r="FF11" i="47" s="1"/>
  <c r="FF10" i="47" s="1"/>
  <c r="FC16" i="47"/>
  <c r="FC11" i="47" s="1"/>
  <c r="FC10" i="47" s="1"/>
  <c r="FB16" i="47"/>
  <c r="FA16" i="47"/>
  <c r="EZ16" i="47"/>
  <c r="EX16" i="47"/>
  <c r="EX11" i="47" s="1"/>
  <c r="EX10" i="47" s="1"/>
  <c r="EW16" i="47"/>
  <c r="EW11" i="47" s="1"/>
  <c r="EW10" i="47" s="1"/>
  <c r="ET16" i="47"/>
  <c r="ET11" i="47" s="1"/>
  <c r="ET10" i="47" s="1"/>
  <c r="ES16" i="47"/>
  <c r="ES11" i="47" s="1"/>
  <c r="ES10" i="47" s="1"/>
  <c r="ER16" i="47"/>
  <c r="ER11" i="47" s="1"/>
  <c r="ER10" i="47" s="1"/>
  <c r="EO16" i="47"/>
  <c r="EN16" i="47"/>
  <c r="EL16" i="47"/>
  <c r="EL11" i="47" s="1"/>
  <c r="EL10" i="47" s="1"/>
  <c r="EJ16" i="47"/>
  <c r="EJ11" i="47" s="1"/>
  <c r="EJ10" i="47" s="1"/>
  <c r="EH16" i="47"/>
  <c r="EF16" i="47"/>
  <c r="EF11" i="47" s="1"/>
  <c r="EF10" i="47" s="1"/>
  <c r="EE16" i="47"/>
  <c r="EE11" i="47" s="1"/>
  <c r="EE10" i="47" s="1"/>
  <c r="ED16" i="47"/>
  <c r="EC16" i="47"/>
  <c r="EA16" i="47"/>
  <c r="EA11" i="47" s="1"/>
  <c r="EA10" i="47" s="1"/>
  <c r="DZ16" i="47"/>
  <c r="DZ11" i="47" s="1"/>
  <c r="DZ10" i="47" s="1"/>
  <c r="DX16" i="47"/>
  <c r="DV16" i="47"/>
  <c r="DV11" i="47" s="1"/>
  <c r="DV10" i="47" s="1"/>
  <c r="DU16" i="47"/>
  <c r="DU11" i="47" s="1"/>
  <c r="DU10" i="47" s="1"/>
  <c r="DT16" i="47"/>
  <c r="DR16" i="47"/>
  <c r="DQ16" i="47"/>
  <c r="DO16" i="47"/>
  <c r="DO11" i="47" s="1"/>
  <c r="DO10" i="47" s="1"/>
  <c r="DL16" i="47"/>
  <c r="DJ16" i="47"/>
  <c r="DJ11" i="47" s="1"/>
  <c r="DJ10" i="47" s="1"/>
  <c r="DH16" i="47"/>
  <c r="DH11" i="47" s="1"/>
  <c r="DH10" i="47" s="1"/>
  <c r="DF16" i="47"/>
  <c r="DD16" i="47"/>
  <c r="DC16" i="47"/>
  <c r="DC11" i="47" s="1"/>
  <c r="DC10" i="47" s="1"/>
  <c r="CZ16" i="47"/>
  <c r="CY16" i="47"/>
  <c r="CX16" i="47"/>
  <c r="CV16" i="47"/>
  <c r="CV11" i="47" s="1"/>
  <c r="CV10" i="47" s="1"/>
  <c r="CT16" i="47"/>
  <c r="CS16" i="47"/>
  <c r="CR16" i="47"/>
  <c r="CP16" i="47"/>
  <c r="CO16" i="47"/>
  <c r="CO11" i="47" s="1"/>
  <c r="CO10" i="47" s="1"/>
  <c r="CK16" i="47"/>
  <c r="CK11" i="47" s="1"/>
  <c r="CK10" i="47" s="1"/>
  <c r="CJ16" i="47"/>
  <c r="CJ11" i="47" s="1"/>
  <c r="CJ10" i="47" s="1"/>
  <c r="CH16" i="47"/>
  <c r="CF16" i="47"/>
  <c r="CE16" i="47"/>
  <c r="CE11" i="47" s="1"/>
  <c r="CE10" i="47" s="1"/>
  <c r="CD16" i="47"/>
  <c r="CB16" i="47"/>
  <c r="CB11" i="47" s="1"/>
  <c r="CB10" i="47" s="1"/>
  <c r="CA16" i="47"/>
  <c r="CA11" i="47" s="1"/>
  <c r="CA10" i="47" s="1"/>
  <c r="BW16" i="47"/>
  <c r="BW11" i="47" s="1"/>
  <c r="BW10" i="47" s="1"/>
  <c r="BU16" i="47"/>
  <c r="BT16" i="47"/>
  <c r="BR16" i="47"/>
  <c r="BQ16" i="47"/>
  <c r="BQ11" i="47" s="1"/>
  <c r="BQ10" i="47" s="1"/>
  <c r="BP16" i="47"/>
  <c r="BM16" i="47"/>
  <c r="BK16" i="47"/>
  <c r="BI16" i="47"/>
  <c r="BH16" i="47"/>
  <c r="BG16" i="47"/>
  <c r="BF16" i="47"/>
  <c r="BD16" i="47"/>
  <c r="BC16" i="47"/>
  <c r="AZ16" i="47"/>
  <c r="AY16" i="47"/>
  <c r="AY11" i="47" s="1"/>
  <c r="AY10" i="47" s="1"/>
  <c r="AX16" i="47"/>
  <c r="AW16" i="47"/>
  <c r="AU16" i="47"/>
  <c r="AT16" i="47"/>
  <c r="AS16" i="47"/>
  <c r="AR16" i="47"/>
  <c r="AP16" i="47"/>
  <c r="AN16" i="47"/>
  <c r="AL16" i="47"/>
  <c r="AK16" i="47"/>
  <c r="AI16" i="47"/>
  <c r="AG16" i="47"/>
  <c r="AF16" i="47"/>
  <c r="AE16" i="47"/>
  <c r="AD16" i="47"/>
  <c r="AA16" i="47"/>
  <c r="Z16" i="47"/>
  <c r="X16" i="47"/>
  <c r="W16" i="47"/>
  <c r="V16" i="47"/>
  <c r="U16" i="47"/>
  <c r="S16" i="47"/>
  <c r="R16" i="47"/>
  <c r="Q16" i="47"/>
  <c r="J16" i="47"/>
  <c r="P18" i="47"/>
  <c r="P16" i="47" s="1"/>
  <c r="J18" i="47"/>
  <c r="I18" i="47"/>
  <c r="D18" i="47"/>
  <c r="P17" i="47"/>
  <c r="L17" i="47"/>
  <c r="J17" i="47"/>
  <c r="I17" i="47"/>
  <c r="G17" i="47"/>
  <c r="P15" i="47"/>
  <c r="M15" i="47"/>
  <c r="L15" i="47"/>
  <c r="J15" i="47"/>
  <c r="I15" i="47"/>
  <c r="H15" i="47"/>
  <c r="G15" i="47"/>
  <c r="E15" i="47"/>
  <c r="D15" i="47"/>
  <c r="P14" i="47"/>
  <c r="L14" i="47"/>
  <c r="J14" i="47"/>
  <c r="I14" i="47"/>
  <c r="E14" i="47"/>
  <c r="D14" i="47"/>
  <c r="P13" i="47"/>
  <c r="M13" i="47"/>
  <c r="J13" i="47"/>
  <c r="J12" i="47" s="1"/>
  <c r="I13" i="47"/>
  <c r="I12" i="47" s="1"/>
  <c r="D13" i="47"/>
  <c r="D12" i="47" s="1"/>
  <c r="FQ17" i="47"/>
  <c r="FQ16" i="47" s="1"/>
  <c r="FQ15" i="47"/>
  <c r="FQ13" i="47"/>
  <c r="FR13" i="47" s="1"/>
  <c r="FO18" i="47"/>
  <c r="FO17" i="47"/>
  <c r="FO16" i="47" s="1"/>
  <c r="FO11" i="47" s="1"/>
  <c r="FO10" i="47" s="1"/>
  <c r="FO15" i="47"/>
  <c r="C15" i="47" s="1"/>
  <c r="FO14" i="47"/>
  <c r="C14" i="47" s="1"/>
  <c r="FO13" i="47"/>
  <c r="FO12" i="47" s="1"/>
  <c r="FS13" i="47"/>
  <c r="FS12" i="47" s="1"/>
  <c r="GA18" i="47"/>
  <c r="C132" i="150" s="1"/>
  <c r="GA17" i="47"/>
  <c r="C131" i="150" s="1"/>
  <c r="C130" i="150" s="1"/>
  <c r="C125" i="150" s="1"/>
  <c r="GA15" i="47"/>
  <c r="GA14" i="47"/>
  <c r="GA13" i="47"/>
  <c r="GA12" i="47" s="1"/>
  <c r="FX13" i="47"/>
  <c r="FR18" i="47"/>
  <c r="FW18" i="47" s="1"/>
  <c r="FR17" i="47"/>
  <c r="FW17" i="47" s="1"/>
  <c r="FR15" i="47"/>
  <c r="FW15" i="47" s="1"/>
  <c r="FR14" i="47"/>
  <c r="FW14" i="47" s="1"/>
  <c r="FE18" i="47"/>
  <c r="FE16" i="47" s="1"/>
  <c r="FE14" i="47"/>
  <c r="G14" i="47" s="1"/>
  <c r="FE13" i="47"/>
  <c r="FE12" i="47" s="1"/>
  <c r="FE11" i="47" s="1"/>
  <c r="FE10" i="47" s="1"/>
  <c r="FM18" i="47"/>
  <c r="FJ18" i="47"/>
  <c r="FJ16" i="47" s="1"/>
  <c r="FM17" i="47"/>
  <c r="C131" i="149" s="1"/>
  <c r="C130" i="149" s="1"/>
  <c r="FM15" i="47"/>
  <c r="C129" i="149" s="1"/>
  <c r="FM14" i="47"/>
  <c r="FM13" i="47"/>
  <c r="C127" i="149" s="1"/>
  <c r="C126" i="149" s="1"/>
  <c r="C125" i="149" s="1"/>
  <c r="FJ13" i="47"/>
  <c r="FJ12" i="47" s="1"/>
  <c r="FD18" i="47"/>
  <c r="FI18" i="47" s="1"/>
  <c r="FI16" i="47" s="1"/>
  <c r="FD17" i="47"/>
  <c r="FI17" i="47" s="1"/>
  <c r="FD15" i="47"/>
  <c r="FI15" i="47" s="1"/>
  <c r="FD14" i="47"/>
  <c r="FI14" i="47" s="1"/>
  <c r="EO13" i="47"/>
  <c r="EM18" i="47"/>
  <c r="EM17" i="47"/>
  <c r="EM16" i="47" s="1"/>
  <c r="EM13" i="47"/>
  <c r="EM12" i="47" s="1"/>
  <c r="EQ18" i="47"/>
  <c r="EQ16" i="47" s="1"/>
  <c r="EQ11" i="47" s="1"/>
  <c r="EQ10" i="47" s="1"/>
  <c r="EQ13" i="47"/>
  <c r="EQ12" i="47" s="1"/>
  <c r="EY18" i="47"/>
  <c r="EV18" i="47"/>
  <c r="EV16" i="47" s="1"/>
  <c r="EV11" i="47" s="1"/>
  <c r="EV10" i="47" s="1"/>
  <c r="EY17" i="47"/>
  <c r="C131" i="148" s="1"/>
  <c r="EY15" i="47"/>
  <c r="EY14" i="47"/>
  <c r="EY19" i="47" s="1"/>
  <c r="N47" i="45" s="1"/>
  <c r="N48" i="45" s="1"/>
  <c r="EY13" i="47"/>
  <c r="C127" i="148" s="1"/>
  <c r="C126" i="148" s="1"/>
  <c r="EV13" i="47"/>
  <c r="EP18" i="47"/>
  <c r="EU18" i="47" s="1"/>
  <c r="EP17" i="47"/>
  <c r="EP15" i="47"/>
  <c r="EU15" i="47" s="1"/>
  <c r="EP14" i="47"/>
  <c r="EP13" i="47"/>
  <c r="EU13" i="47" s="1"/>
  <c r="DY17" i="47"/>
  <c r="DY16" i="47" s="1"/>
  <c r="DY11" i="47" s="1"/>
  <c r="DY10" i="47" s="1"/>
  <c r="EI18" i="47"/>
  <c r="EK18" i="47" s="1"/>
  <c r="EH18" i="47"/>
  <c r="EK17" i="47"/>
  <c r="EK15" i="47"/>
  <c r="EK14" i="47"/>
  <c r="EK13" i="47"/>
  <c r="EH13" i="47"/>
  <c r="EH12" i="47" s="1"/>
  <c r="EC18" i="47"/>
  <c r="EC13" i="47"/>
  <c r="EB18" i="47"/>
  <c r="EB17" i="47"/>
  <c r="EG17" i="47" s="1"/>
  <c r="EB15" i="47"/>
  <c r="EG15" i="47" s="1"/>
  <c r="EB14" i="47"/>
  <c r="EG14" i="47" s="1"/>
  <c r="EB13" i="47"/>
  <c r="DM18" i="47"/>
  <c r="DM16" i="47" s="1"/>
  <c r="DM13" i="47"/>
  <c r="DM12" i="47" s="1"/>
  <c r="DK18" i="47"/>
  <c r="C18" i="47" s="1"/>
  <c r="DK17" i="47"/>
  <c r="DK16" i="47" s="1"/>
  <c r="DK11" i="47" s="1"/>
  <c r="DK10" i="47" s="1"/>
  <c r="DW18" i="47"/>
  <c r="DW17" i="47"/>
  <c r="DW16" i="47" s="1"/>
  <c r="DW14" i="47"/>
  <c r="DW13" i="47"/>
  <c r="DW12" i="47" s="1"/>
  <c r="L83" i="45" s="1"/>
  <c r="DP18" i="47"/>
  <c r="DP16" i="47" s="1"/>
  <c r="DP11" i="47" s="1"/>
  <c r="DP10" i="47" s="1"/>
  <c r="DP14" i="47"/>
  <c r="DI13" i="47"/>
  <c r="C127" i="145" s="1"/>
  <c r="DN18" i="47"/>
  <c r="DN16" i="47" s="1"/>
  <c r="DN17" i="47"/>
  <c r="DS17" i="47" s="1"/>
  <c r="DN15" i="47"/>
  <c r="DS15" i="47" s="1"/>
  <c r="DN14" i="47"/>
  <c r="CZ15" i="47"/>
  <c r="DE15" i="47" s="1"/>
  <c r="CY13" i="47"/>
  <c r="E13" i="47" s="1"/>
  <c r="E12" i="47" s="1"/>
  <c r="CW17" i="47"/>
  <c r="CW16" i="47" s="1"/>
  <c r="CW13" i="47"/>
  <c r="C13" i="47" s="1"/>
  <c r="DF18" i="47"/>
  <c r="DG18" i="47" s="1"/>
  <c r="DI18" i="47" s="1"/>
  <c r="DI19" i="47" s="1"/>
  <c r="K47" i="45" s="1"/>
  <c r="K48" i="45" s="1"/>
  <c r="DG17" i="47"/>
  <c r="M17" i="47" s="1"/>
  <c r="DI15" i="47"/>
  <c r="C129" i="145" s="1"/>
  <c r="DG14" i="47"/>
  <c r="DG12" i="47" s="1"/>
  <c r="DF13" i="47"/>
  <c r="DA18" i="47"/>
  <c r="DA16" i="47" s="1"/>
  <c r="DB17" i="47"/>
  <c r="DB14" i="47"/>
  <c r="H14" i="47" s="1"/>
  <c r="H12" i="47" s="1"/>
  <c r="DA13" i="47"/>
  <c r="DA12" i="47" s="1"/>
  <c r="CZ18" i="47"/>
  <c r="CZ17" i="47"/>
  <c r="CZ14" i="47"/>
  <c r="DE14" i="47" s="1"/>
  <c r="CZ13" i="47"/>
  <c r="DE13" i="47" s="1"/>
  <c r="DE12" i="47" s="1"/>
  <c r="CG17" i="47"/>
  <c r="C131" i="143" s="1"/>
  <c r="C130" i="143" s="1"/>
  <c r="CR18" i="47"/>
  <c r="CR13" i="47"/>
  <c r="CI17" i="47"/>
  <c r="CI16" i="47" s="1"/>
  <c r="CI11" i="47" s="1"/>
  <c r="CI10" i="47" s="1"/>
  <c r="CM18" i="47"/>
  <c r="CM16" i="47" s="1"/>
  <c r="CN17" i="47"/>
  <c r="CN13" i="47"/>
  <c r="CM13" i="47"/>
  <c r="CM12" i="47" s="1"/>
  <c r="CL18" i="47"/>
  <c r="CL16" i="47" s="1"/>
  <c r="CL17" i="47"/>
  <c r="CL15" i="47"/>
  <c r="CQ15" i="47" s="1"/>
  <c r="CL14" i="47"/>
  <c r="CQ14" i="47" s="1"/>
  <c r="CL13" i="47"/>
  <c r="CL12" i="47" s="1"/>
  <c r="CG18" i="47"/>
  <c r="CG19" i="47" s="1"/>
  <c r="I47" i="45" s="1"/>
  <c r="I48" i="45" s="1"/>
  <c r="CD18" i="47"/>
  <c r="CG15" i="47"/>
  <c r="C129" i="143" s="1"/>
  <c r="CG14" i="47"/>
  <c r="C128" i="143" s="1"/>
  <c r="CG13" i="47"/>
  <c r="C127" i="143" s="1"/>
  <c r="CD13" i="47"/>
  <c r="CD12" i="47" s="1"/>
  <c r="BY18" i="47"/>
  <c r="BZ18" i="47" s="1"/>
  <c r="BZ16" i="47" s="1"/>
  <c r="BZ11" i="47" s="1"/>
  <c r="BZ10" i="47" s="1"/>
  <c r="BY13" i="47"/>
  <c r="BY12" i="47" s="1"/>
  <c r="BV17" i="47"/>
  <c r="BV16" i="47" s="1"/>
  <c r="BV11" i="47" s="1"/>
  <c r="BV10" i="47" s="1"/>
  <c r="BX18" i="47"/>
  <c r="BX17" i="47"/>
  <c r="BX15" i="47"/>
  <c r="CC15" i="47" s="1"/>
  <c r="BX14" i="47"/>
  <c r="CC14" i="47" s="1"/>
  <c r="BX13" i="47"/>
  <c r="BX12" i="47" s="1"/>
  <c r="BS13" i="47"/>
  <c r="C127" i="142" s="1"/>
  <c r="C126" i="142" s="1"/>
  <c r="BS17" i="47"/>
  <c r="C131" i="142" s="1"/>
  <c r="C130" i="142" s="1"/>
  <c r="BS15" i="47"/>
  <c r="BS14" i="47"/>
  <c r="BP13" i="47"/>
  <c r="BN13" i="47"/>
  <c r="BK18" i="47"/>
  <c r="G18" i="47" s="1"/>
  <c r="G16" i="47" s="1"/>
  <c r="BL13" i="47"/>
  <c r="BL12" i="47" s="1"/>
  <c r="BK13" i="47"/>
  <c r="BK12" i="47" s="1"/>
  <c r="BJ18" i="47"/>
  <c r="BJ17" i="47"/>
  <c r="BJ15" i="47"/>
  <c r="BO15" i="47" s="1"/>
  <c r="BJ14" i="47"/>
  <c r="BO14" i="47" s="1"/>
  <c r="BJ13" i="47"/>
  <c r="BE16" i="47"/>
  <c r="BB18" i="47"/>
  <c r="L18" i="47" s="1"/>
  <c r="BB13" i="47"/>
  <c r="BB12" i="47" s="1"/>
  <c r="AW13" i="47"/>
  <c r="G13" i="47" s="1"/>
  <c r="G12" i="47" s="1"/>
  <c r="AV18" i="47"/>
  <c r="AV17" i="47"/>
  <c r="AV15" i="47"/>
  <c r="BA15" i="47" s="1"/>
  <c r="AV14" i="47"/>
  <c r="BA14" i="47" s="1"/>
  <c r="AV13" i="47"/>
  <c r="BA13" i="47" s="1"/>
  <c r="AQ18" i="47"/>
  <c r="AQ16" i="47" s="1"/>
  <c r="AQ11" i="47" s="1"/>
  <c r="AO17" i="47"/>
  <c r="AQ17" i="47" s="1"/>
  <c r="AQ15" i="47"/>
  <c r="C129" i="140" s="1"/>
  <c r="AQ14" i="47"/>
  <c r="C128" i="140" s="1"/>
  <c r="AN14" i="47"/>
  <c r="AQ13" i="47"/>
  <c r="C127" i="140" s="1"/>
  <c r="C126" i="140" s="1"/>
  <c r="AN13" i="47"/>
  <c r="AN12" i="47" s="1"/>
  <c r="AM13" i="47"/>
  <c r="AJ18" i="47"/>
  <c r="AJ16" i="47" s="1"/>
  <c r="AJ17" i="47"/>
  <c r="H17" i="47" s="1"/>
  <c r="AJ13" i="47"/>
  <c r="H13" i="47" s="1"/>
  <c r="AF17" i="47"/>
  <c r="D17" i="47" s="1"/>
  <c r="D16" i="47" s="1"/>
  <c r="AH17" i="47"/>
  <c r="AH14" i="47"/>
  <c r="AH13" i="47"/>
  <c r="AG17" i="47"/>
  <c r="E17" i="47" s="1"/>
  <c r="CM11" i="47" l="1"/>
  <c r="CM10" i="47" s="1"/>
  <c r="DA11" i="47"/>
  <c r="DA10" i="47" s="1"/>
  <c r="DM11" i="47"/>
  <c r="DM10" i="47" s="1"/>
  <c r="FW13" i="47"/>
  <c r="FW12" i="47" s="1"/>
  <c r="FR12" i="47"/>
  <c r="P83" i="45"/>
  <c r="GA19" i="47"/>
  <c r="P47" i="45" s="1"/>
  <c r="P48" i="45" s="1"/>
  <c r="C12" i="47"/>
  <c r="FQ11" i="47"/>
  <c r="FQ10" i="47" s="1"/>
  <c r="DW11" i="47"/>
  <c r="EM11" i="47"/>
  <c r="EM10" i="47" s="1"/>
  <c r="FJ11" i="47"/>
  <c r="FJ10" i="47" s="1"/>
  <c r="EY16" i="47"/>
  <c r="C132" i="148"/>
  <c r="C132" i="138" s="1"/>
  <c r="L13" i="47"/>
  <c r="L12" i="47" s="1"/>
  <c r="CD11" i="47"/>
  <c r="CD10" i="47" s="1"/>
  <c r="AW12" i="47"/>
  <c r="AW11" i="47" s="1"/>
  <c r="AW10" i="47" s="1"/>
  <c r="BJ12" i="47"/>
  <c r="EP12" i="47"/>
  <c r="DG16" i="47"/>
  <c r="DG11" i="47" s="1"/>
  <c r="DG10" i="47" s="1"/>
  <c r="FL11" i="47"/>
  <c r="FL10" i="47" s="1"/>
  <c r="CG12" i="47"/>
  <c r="I83" i="45" s="1"/>
  <c r="BL18" i="47"/>
  <c r="BO13" i="47"/>
  <c r="BO12" i="47" s="1"/>
  <c r="EB16" i="47"/>
  <c r="EB11" i="47" s="1"/>
  <c r="EB10" i="47" s="1"/>
  <c r="FW16" i="47"/>
  <c r="FW11" i="47" s="1"/>
  <c r="FW10" i="47" s="1"/>
  <c r="M14" i="47"/>
  <c r="AI11" i="47"/>
  <c r="AI10" i="47" s="1"/>
  <c r="BP11" i="47"/>
  <c r="BP10" i="47" s="1"/>
  <c r="CT11" i="47"/>
  <c r="CT10" i="47" s="1"/>
  <c r="FA11" i="47"/>
  <c r="FA10" i="47" s="1"/>
  <c r="FN11" i="47"/>
  <c r="FN10" i="47" s="1"/>
  <c r="X11" i="47"/>
  <c r="X10" i="47" s="1"/>
  <c r="EB12" i="47"/>
  <c r="CS11" i="47"/>
  <c r="CS10" i="47" s="1"/>
  <c r="CL11" i="47"/>
  <c r="CL10" i="47" s="1"/>
  <c r="CF11" i="47"/>
  <c r="CF10" i="47" s="1"/>
  <c r="DX11" i="47"/>
  <c r="DX10" i="47" s="1"/>
  <c r="EN11" i="47"/>
  <c r="EN10" i="47" s="1"/>
  <c r="FB11" i="47"/>
  <c r="FB10" i="47" s="1"/>
  <c r="AV16" i="47"/>
  <c r="AV11" i="47" s="1"/>
  <c r="AV10" i="47" s="1"/>
  <c r="CR11" i="47"/>
  <c r="CR10" i="47" s="1"/>
  <c r="FM12" i="47"/>
  <c r="O83" i="45" s="1"/>
  <c r="EZ11" i="47"/>
  <c r="EZ10" i="47" s="1"/>
  <c r="BS19" i="47"/>
  <c r="H47" i="45" s="1"/>
  <c r="H48" i="45" s="1"/>
  <c r="C131" i="146"/>
  <c r="C130" i="146" s="1"/>
  <c r="C125" i="146" s="1"/>
  <c r="C17" i="47"/>
  <c r="C16" i="47" s="1"/>
  <c r="BB16" i="47"/>
  <c r="EO11" i="47"/>
  <c r="EO10" i="47" s="1"/>
  <c r="BM11" i="47"/>
  <c r="BM10" i="47" s="1"/>
  <c r="CW12" i="47"/>
  <c r="CW11" i="47" s="1"/>
  <c r="CW10" i="47" s="1"/>
  <c r="FQ12" i="47"/>
  <c r="FM11" i="47"/>
  <c r="C126" i="143"/>
  <c r="C125" i="143" s="1"/>
  <c r="DW19" i="47"/>
  <c r="L47" i="45" s="1"/>
  <c r="L48" i="45" s="1"/>
  <c r="FM19" i="47"/>
  <c r="O47" i="45" s="1"/>
  <c r="O48" i="45" s="1"/>
  <c r="BS16" i="47"/>
  <c r="DL11" i="47"/>
  <c r="DL10" i="47" s="1"/>
  <c r="FD16" i="47"/>
  <c r="AO11" i="47"/>
  <c r="AO10" i="47" s="1"/>
  <c r="BN12" i="47"/>
  <c r="BN11" i="47" s="1"/>
  <c r="BN10" i="47" s="1"/>
  <c r="GA16" i="47"/>
  <c r="GA11" i="47" s="1"/>
  <c r="C131" i="140"/>
  <c r="C130" i="140" s="1"/>
  <c r="C125" i="140" s="1"/>
  <c r="C125" i="142"/>
  <c r="CQ17" i="47"/>
  <c r="C127" i="147"/>
  <c r="C126" i="147" s="1"/>
  <c r="C125" i="147" s="1"/>
  <c r="E18" i="47"/>
  <c r="E16" i="47" s="1"/>
  <c r="AO16" i="47"/>
  <c r="BT11" i="47"/>
  <c r="BT10" i="47" s="1"/>
  <c r="FS11" i="47"/>
  <c r="FS10" i="47" s="1"/>
  <c r="AP11" i="47"/>
  <c r="AP10" i="47" s="1"/>
  <c r="CY12" i="47"/>
  <c r="CY11" i="47" s="1"/>
  <c r="CY10" i="47" s="1"/>
  <c r="EH11" i="47"/>
  <c r="EH10" i="47" s="1"/>
  <c r="EC11" i="47"/>
  <c r="EC10" i="47" s="1"/>
  <c r="CZ11" i="47"/>
  <c r="CZ10" i="47" s="1"/>
  <c r="FT11" i="47"/>
  <c r="FT10" i="47" s="1"/>
  <c r="CZ12" i="47"/>
  <c r="BA12" i="47"/>
  <c r="BJ16" i="47"/>
  <c r="BO17" i="47"/>
  <c r="DB18" i="47"/>
  <c r="DB16" i="47" s="1"/>
  <c r="ED11" i="47"/>
  <c r="ED10" i="47" s="1"/>
  <c r="EK12" i="47"/>
  <c r="M83" i="45" s="1"/>
  <c r="L16" i="47"/>
  <c r="L11" i="47" s="1"/>
  <c r="L10" i="47" s="1"/>
  <c r="BX16" i="47"/>
  <c r="BX11" i="47" s="1"/>
  <c r="BX10" i="47" s="1"/>
  <c r="AQ10" i="47"/>
  <c r="F82" i="45"/>
  <c r="C131" i="147"/>
  <c r="C130" i="147" s="1"/>
  <c r="CN16" i="47"/>
  <c r="CN11" i="47" s="1"/>
  <c r="CN10" i="47" s="1"/>
  <c r="DQ11" i="47"/>
  <c r="DQ10" i="47" s="1"/>
  <c r="FH11" i="47"/>
  <c r="FH10" i="47" s="1"/>
  <c r="AG11" i="47"/>
  <c r="AG10" i="47" s="1"/>
  <c r="BF11" i="47"/>
  <c r="BF10" i="47" s="1"/>
  <c r="DB12" i="47"/>
  <c r="BU11" i="47"/>
  <c r="BU10" i="47" s="1"/>
  <c r="C130" i="148"/>
  <c r="C125" i="148" s="1"/>
  <c r="BY16" i="47"/>
  <c r="BY11" i="47" s="1"/>
  <c r="BY10" i="47" s="1"/>
  <c r="DD11" i="47"/>
  <c r="DD10" i="47" s="1"/>
  <c r="DR11" i="47"/>
  <c r="DR10" i="47" s="1"/>
  <c r="FX11" i="47"/>
  <c r="FX10" i="47" s="1"/>
  <c r="BG11" i="47"/>
  <c r="BG10" i="47" s="1"/>
  <c r="BS12" i="47"/>
  <c r="H83" i="45" s="1"/>
  <c r="EY12" i="47"/>
  <c r="N83" i="45" s="1"/>
  <c r="M12" i="47"/>
  <c r="CU19" i="47"/>
  <c r="J47" i="45" s="1"/>
  <c r="J48" i="45" s="1"/>
  <c r="AX11" i="47"/>
  <c r="AX10" i="47" s="1"/>
  <c r="I16" i="47"/>
  <c r="I11" i="47" s="1"/>
  <c r="I10" i="47" s="1"/>
  <c r="EK16" i="47"/>
  <c r="EK11" i="47" s="1"/>
  <c r="EK19" i="47"/>
  <c r="M47" i="45" s="1"/>
  <c r="M48" i="45" s="1"/>
  <c r="H18" i="47"/>
  <c r="H16" i="47" s="1"/>
  <c r="H11" i="47" s="1"/>
  <c r="H10" i="47" s="1"/>
  <c r="P11" i="47"/>
  <c r="P10" i="47" s="1"/>
  <c r="EP16" i="47"/>
  <c r="G11" i="47"/>
  <c r="G10" i="47" s="1"/>
  <c r="Q11" i="47"/>
  <c r="Q10" i="47" s="1"/>
  <c r="AA11" i="47"/>
  <c r="AA10" i="47" s="1"/>
  <c r="AJ11" i="47"/>
  <c r="AJ10" i="47" s="1"/>
  <c r="AR11" i="47"/>
  <c r="AR10" i="47" s="1"/>
  <c r="AZ11" i="47"/>
  <c r="AZ10" i="47" s="1"/>
  <c r="BH11" i="47"/>
  <c r="BH10" i="47" s="1"/>
  <c r="DT11" i="47"/>
  <c r="DT10" i="47" s="1"/>
  <c r="BE19" i="47"/>
  <c r="BE11" i="47"/>
  <c r="CU11" i="47"/>
  <c r="EI16" i="47"/>
  <c r="EI11" i="47" s="1"/>
  <c r="EI10" i="47" s="1"/>
  <c r="R11" i="47"/>
  <c r="R10" i="47" s="1"/>
  <c r="AK11" i="47"/>
  <c r="AK10" i="47" s="1"/>
  <c r="AS11" i="47"/>
  <c r="AS10" i="47" s="1"/>
  <c r="BI11" i="47"/>
  <c r="BI10" i="47" s="1"/>
  <c r="AQ19" i="47"/>
  <c r="F47" i="45" s="1"/>
  <c r="F48" i="45" s="1"/>
  <c r="E11" i="47"/>
  <c r="E10" i="47" s="1"/>
  <c r="S11" i="47"/>
  <c r="S10" i="47" s="1"/>
  <c r="AD11" i="47"/>
  <c r="AD10" i="47" s="1"/>
  <c r="AL11" i="47"/>
  <c r="AL10" i="47" s="1"/>
  <c r="AT11" i="47"/>
  <c r="AT10" i="47" s="1"/>
  <c r="BB11" i="47"/>
  <c r="BB10" i="47" s="1"/>
  <c r="CG16" i="47"/>
  <c r="CG11" i="47" s="1"/>
  <c r="J11" i="47"/>
  <c r="J10" i="47" s="1"/>
  <c r="U11" i="47"/>
  <c r="U10" i="47" s="1"/>
  <c r="AE11" i="47"/>
  <c r="AE10" i="47" s="1"/>
  <c r="AU11" i="47"/>
  <c r="AU10" i="47" s="1"/>
  <c r="BC11" i="47"/>
  <c r="BC10" i="47" s="1"/>
  <c r="BK11" i="47"/>
  <c r="BK10" i="47" s="1"/>
  <c r="M18" i="47"/>
  <c r="M16" i="47" s="1"/>
  <c r="M11" i="47" s="1"/>
  <c r="M10" i="47" s="1"/>
  <c r="FR16" i="47"/>
  <c r="FR11" i="47" s="1"/>
  <c r="FR10" i="47" s="1"/>
  <c r="V11" i="47"/>
  <c r="V10" i="47" s="1"/>
  <c r="AF11" i="47"/>
  <c r="AF10" i="47" s="1"/>
  <c r="AN11" i="47"/>
  <c r="AN10" i="47" s="1"/>
  <c r="BD11" i="47"/>
  <c r="BD10" i="47" s="1"/>
  <c r="D11" i="47"/>
  <c r="D10" i="47" s="1"/>
  <c r="A4" i="149"/>
  <c r="A61" i="149" s="1"/>
  <c r="A61" i="147"/>
  <c r="FD13" i="47"/>
  <c r="FD12" i="47" s="1"/>
  <c r="EU17" i="47"/>
  <c r="EU16" i="47" s="1"/>
  <c r="EU14" i="47"/>
  <c r="EU12" i="47" s="1"/>
  <c r="EG18" i="47"/>
  <c r="EG16" i="47" s="1"/>
  <c r="EG13" i="47"/>
  <c r="EG12" i="47" s="1"/>
  <c r="DS14" i="47"/>
  <c r="DS18" i="47"/>
  <c r="DS16" i="47" s="1"/>
  <c r="DN13" i="47"/>
  <c r="DN12" i="47" s="1"/>
  <c r="DN11" i="47" s="1"/>
  <c r="DN10" i="47" s="1"/>
  <c r="DI14" i="47"/>
  <c r="C128" i="145" s="1"/>
  <c r="C126" i="145" s="1"/>
  <c r="DI17" i="47"/>
  <c r="DE18" i="47"/>
  <c r="DE16" i="47" s="1"/>
  <c r="DE11" i="47" s="1"/>
  <c r="DE10" i="47" s="1"/>
  <c r="DE17" i="47"/>
  <c r="CQ13" i="47"/>
  <c r="CQ12" i="47" s="1"/>
  <c r="CQ18" i="47"/>
  <c r="CC13" i="47"/>
  <c r="CC12" i="47" s="1"/>
  <c r="CC17" i="47"/>
  <c r="BA18" i="47"/>
  <c r="BA17" i="47"/>
  <c r="C11" i="47" l="1"/>
  <c r="C10" i="47" s="1"/>
  <c r="FM10" i="47"/>
  <c r="O82" i="45"/>
  <c r="GA10" i="47"/>
  <c r="P82" i="45"/>
  <c r="DI12" i="47"/>
  <c r="K83" i="45" s="1"/>
  <c r="CG10" i="47"/>
  <c r="I82" i="45"/>
  <c r="EP11" i="47"/>
  <c r="EP10" i="47" s="1"/>
  <c r="DB11" i="47"/>
  <c r="DB10" i="47" s="1"/>
  <c r="FD11" i="47"/>
  <c r="FD10" i="47" s="1"/>
  <c r="EY11" i="47"/>
  <c r="V16" i="16"/>
  <c r="X16" i="16" s="1"/>
  <c r="I42" i="10" s="1"/>
  <c r="AQ20" i="47"/>
  <c r="AQ21" i="47" s="1"/>
  <c r="BJ11" i="47"/>
  <c r="BJ10" i="47" s="1"/>
  <c r="BS11" i="47"/>
  <c r="BO18" i="47"/>
  <c r="BO16" i="47" s="1"/>
  <c r="BO11" i="47" s="1"/>
  <c r="BO10" i="47" s="1"/>
  <c r="BL16" i="47"/>
  <c r="BL11" i="47" s="1"/>
  <c r="BL10" i="47" s="1"/>
  <c r="EG11" i="47"/>
  <c r="EG10" i="47" s="1"/>
  <c r="C131" i="145"/>
  <c r="C130" i="145" s="1"/>
  <c r="C125" i="145" s="1"/>
  <c r="DI16" i="47"/>
  <c r="DI11" i="47" s="1"/>
  <c r="DW10" i="47"/>
  <c r="L82" i="45"/>
  <c r="EU11" i="47"/>
  <c r="EU10" i="47" s="1"/>
  <c r="CQ16" i="47"/>
  <c r="CQ11" i="47" s="1"/>
  <c r="CQ10" i="47" s="1"/>
  <c r="EK10" i="47"/>
  <c r="M82" i="45"/>
  <c r="CU10" i="47"/>
  <c r="J82" i="45"/>
  <c r="G47" i="45"/>
  <c r="BE10" i="47"/>
  <c r="G82" i="45"/>
  <c r="BA16" i="47"/>
  <c r="BA11" i="47" s="1"/>
  <c r="BA10" i="47" s="1"/>
  <c r="A4" i="150"/>
  <c r="A61" i="150" s="1"/>
  <c r="FI13" i="47"/>
  <c r="FI12" i="47" s="1"/>
  <c r="FI11" i="47" s="1"/>
  <c r="FI10" i="47" s="1"/>
  <c r="DS13" i="47"/>
  <c r="DS12" i="47" s="1"/>
  <c r="DS11" i="47" s="1"/>
  <c r="DS10" i="47" s="1"/>
  <c r="CC18" i="47"/>
  <c r="CC16" i="47" s="1"/>
  <c r="CC11" i="47" s="1"/>
  <c r="CC10" i="47" s="1"/>
  <c r="DI10" i="47" l="1"/>
  <c r="K82" i="45"/>
  <c r="CX16" i="16"/>
  <c r="CZ16" i="16" s="1"/>
  <c r="AM42" i="10" s="1"/>
  <c r="GA20" i="47"/>
  <c r="GA21" i="47" s="1"/>
  <c r="K42" i="10"/>
  <c r="I42" i="52"/>
  <c r="K42" i="52" s="1"/>
  <c r="AT16" i="16"/>
  <c r="AV16" i="16" s="1"/>
  <c r="R42" i="10" s="1"/>
  <c r="CG20" i="47"/>
  <c r="CG21" i="47" s="1"/>
  <c r="EY10" i="47"/>
  <c r="N82" i="45"/>
  <c r="CP16" i="16"/>
  <c r="CR16" i="16" s="1"/>
  <c r="AJ42" i="10" s="1"/>
  <c r="FM20" i="47"/>
  <c r="FM21" i="47" s="1"/>
  <c r="BS10" i="47"/>
  <c r="H82" i="45"/>
  <c r="BR16" i="16"/>
  <c r="BT16" i="16" s="1"/>
  <c r="AA42" i="10" s="1"/>
  <c r="DW20" i="47"/>
  <c r="DW21" i="47" s="1"/>
  <c r="BZ16" i="16"/>
  <c r="EK20" i="47"/>
  <c r="EK21" i="47" s="1"/>
  <c r="BB16" i="16"/>
  <c r="BD16" i="16" s="1"/>
  <c r="U42" i="10" s="1"/>
  <c r="CU20" i="47"/>
  <c r="CU21" i="47" s="1"/>
  <c r="G48" i="45"/>
  <c r="AD16" i="16"/>
  <c r="AF16" i="16" s="1"/>
  <c r="L42" i="10" s="1"/>
  <c r="BE20" i="47"/>
  <c r="BE21" i="47" s="1"/>
  <c r="AH18" i="47"/>
  <c r="AH15" i="47"/>
  <c r="AM14" i="47"/>
  <c r="AB18" i="47"/>
  <c r="AB17" i="47"/>
  <c r="AB15" i="47"/>
  <c r="AB14" i="47"/>
  <c r="AB13" i="47"/>
  <c r="AM15" i="47" l="1"/>
  <c r="AH12" i="47"/>
  <c r="C45" i="140"/>
  <c r="E125" i="140" s="1"/>
  <c r="N11" i="162"/>
  <c r="N11" i="153"/>
  <c r="N11" i="13"/>
  <c r="N11" i="54"/>
  <c r="G9" i="129" s="1"/>
  <c r="N14" i="47"/>
  <c r="AC14" i="47"/>
  <c r="AC15" i="47"/>
  <c r="C129" i="139" s="1"/>
  <c r="C129" i="138" s="1"/>
  <c r="N15" i="47"/>
  <c r="AC17" i="47"/>
  <c r="N17" i="47"/>
  <c r="CH16" i="16"/>
  <c r="CJ16" i="16" s="1"/>
  <c r="AG42" i="10" s="1"/>
  <c r="EY20" i="47"/>
  <c r="EY21" i="47" s="1"/>
  <c r="AL42" i="10"/>
  <c r="AJ42" i="52"/>
  <c r="AL42" i="52" s="1"/>
  <c r="AM12" i="47"/>
  <c r="AM42" i="52"/>
  <c r="AO42" i="52" s="1"/>
  <c r="AO42" i="10"/>
  <c r="AC13" i="47"/>
  <c r="AB12" i="47"/>
  <c r="N13" i="47"/>
  <c r="R42" i="52"/>
  <c r="T42" i="52" s="1"/>
  <c r="T42" i="10"/>
  <c r="AA42" i="52"/>
  <c r="AC42" i="52" s="1"/>
  <c r="AC42" i="10"/>
  <c r="AL16" i="16"/>
  <c r="AN16" i="16" s="1"/>
  <c r="O42" i="10" s="1"/>
  <c r="BS20" i="47"/>
  <c r="BS21" i="47" s="1"/>
  <c r="BJ16" i="16"/>
  <c r="BL16" i="16" s="1"/>
  <c r="X42" i="10" s="1"/>
  <c r="DI20" i="47"/>
  <c r="DI21" i="47" s="1"/>
  <c r="CB16" i="16"/>
  <c r="AD42" i="10" s="1"/>
  <c r="W42" i="10"/>
  <c r="U42" i="52"/>
  <c r="W42" i="52" s="1"/>
  <c r="N42" i="10"/>
  <c r="L42" i="52"/>
  <c r="N42" i="52" s="1"/>
  <c r="AC18" i="47"/>
  <c r="AB16" i="47"/>
  <c r="N18" i="47"/>
  <c r="N16" i="47" s="1"/>
  <c r="AM18" i="47"/>
  <c r="AH16" i="47"/>
  <c r="AH11" i="47" s="1"/>
  <c r="AH10" i="47" s="1"/>
  <c r="AM17" i="47"/>
  <c r="C127" i="139" l="1"/>
  <c r="O13" i="47"/>
  <c r="N12" i="47"/>
  <c r="AC12" i="47"/>
  <c r="E83" i="45" s="1"/>
  <c r="D83" i="45" s="1"/>
  <c r="Q42" i="10"/>
  <c r="O42" i="52"/>
  <c r="Q42" i="52" s="1"/>
  <c r="O15" i="47"/>
  <c r="O12" i="47" s="1"/>
  <c r="N15" i="162"/>
  <c r="N15" i="153"/>
  <c r="AM16" i="47"/>
  <c r="AM11" i="47" s="1"/>
  <c r="AM10" i="47" s="1"/>
  <c r="AB11" i="47"/>
  <c r="AB10" i="47" s="1"/>
  <c r="AI42" i="10"/>
  <c r="AG42" i="52"/>
  <c r="AI42" i="52" s="1"/>
  <c r="X42" i="52"/>
  <c r="Z42" i="52" s="1"/>
  <c r="Z42" i="10"/>
  <c r="N20" i="162"/>
  <c r="N20" i="153"/>
  <c r="C45" i="149"/>
  <c r="E125" i="149" s="1"/>
  <c r="N20" i="13"/>
  <c r="N20" i="54"/>
  <c r="G18" i="129" s="1"/>
  <c r="C128" i="139"/>
  <c r="C128" i="138" s="1"/>
  <c r="O14" i="47"/>
  <c r="N21" i="162"/>
  <c r="N21" i="153"/>
  <c r="N21" i="54"/>
  <c r="G19" i="129" s="1"/>
  <c r="N21" i="13"/>
  <c r="C45" i="150"/>
  <c r="E125" i="150" s="1"/>
  <c r="N11" i="47"/>
  <c r="N10" i="47" s="1"/>
  <c r="N17" i="162"/>
  <c r="N17" i="153"/>
  <c r="C45" i="146"/>
  <c r="E125" i="146" s="1"/>
  <c r="N17" i="13"/>
  <c r="N17" i="54"/>
  <c r="G15" i="129" s="1"/>
  <c r="N14" i="162"/>
  <c r="N14" i="153"/>
  <c r="C45" i="143"/>
  <c r="E125" i="143" s="1"/>
  <c r="N14" i="54"/>
  <c r="G12" i="129" s="1"/>
  <c r="N14" i="13"/>
  <c r="N12" i="162"/>
  <c r="N12" i="153"/>
  <c r="C131" i="139"/>
  <c r="O17" i="47"/>
  <c r="AF42" i="10"/>
  <c r="AD42" i="52"/>
  <c r="AF42" i="52" s="1"/>
  <c r="N15" i="13"/>
  <c r="N15" i="54"/>
  <c r="G13" i="129" s="1"/>
  <c r="C45" i="144"/>
  <c r="E125" i="144" s="1"/>
  <c r="N12" i="54"/>
  <c r="G10" i="129" s="1"/>
  <c r="N12" i="13"/>
  <c r="C45" i="141"/>
  <c r="E125" i="141" s="1"/>
  <c r="O18" i="47"/>
  <c r="O16" i="47" s="1"/>
  <c r="O11" i="47" s="1"/>
  <c r="O10" i="47" s="1"/>
  <c r="AC16" i="47"/>
  <c r="AC11" i="47" s="1"/>
  <c r="E82" i="45" s="1"/>
  <c r="D82" i="45" s="1"/>
  <c r="AC19" i="47"/>
  <c r="T18" i="47"/>
  <c r="T17" i="47"/>
  <c r="F17" i="47" s="1"/>
  <c r="T15" i="47"/>
  <c r="T14" i="47"/>
  <c r="T13" i="47"/>
  <c r="Y13" i="47" s="1"/>
  <c r="P23" i="45"/>
  <c r="CY28" i="16" s="1"/>
  <c r="CY30" i="16" s="1"/>
  <c r="O23" i="45"/>
  <c r="CQ28" i="16" s="1"/>
  <c r="CQ30" i="16" s="1"/>
  <c r="N23" i="45"/>
  <c r="CI28" i="16" s="1"/>
  <c r="CI30" i="16" s="1"/>
  <c r="M23" i="45"/>
  <c r="CA28" i="16" s="1"/>
  <c r="CA30" i="16" s="1"/>
  <c r="K23" i="45"/>
  <c r="BK28" i="16" s="1"/>
  <c r="BK30" i="16" s="1"/>
  <c r="J23" i="45"/>
  <c r="BC28" i="16" s="1"/>
  <c r="BC30" i="16" s="1"/>
  <c r="H23" i="45"/>
  <c r="AM28" i="16" s="1"/>
  <c r="AM30" i="16" s="1"/>
  <c r="F23" i="45"/>
  <c r="W28" i="16" s="1"/>
  <c r="E23" i="45"/>
  <c r="O28" i="16" s="1"/>
  <c r="O30" i="16" s="1"/>
  <c r="D25" i="45"/>
  <c r="AB206" i="2" s="1"/>
  <c r="Z206" i="2" s="1"/>
  <c r="G23" i="45"/>
  <c r="L23" i="45"/>
  <c r="BS28" i="16" s="1"/>
  <c r="I23" i="45"/>
  <c r="AU28" i="16" s="1"/>
  <c r="AU30" i="16" s="1"/>
  <c r="N16" i="162" l="1"/>
  <c r="N16" i="153"/>
  <c r="C45" i="145"/>
  <c r="E125" i="145" s="1"/>
  <c r="N16" i="54"/>
  <c r="G14" i="129" s="1"/>
  <c r="N16" i="13"/>
  <c r="C45" i="142"/>
  <c r="E125" i="142" s="1"/>
  <c r="N13" i="162"/>
  <c r="N13" i="153"/>
  <c r="N13" i="13"/>
  <c r="N13" i="54"/>
  <c r="G11" i="129" s="1"/>
  <c r="N18" i="162"/>
  <c r="N18" i="153"/>
  <c r="C45" i="148"/>
  <c r="E125" i="148" s="1"/>
  <c r="N19" i="162"/>
  <c r="N19" i="153"/>
  <c r="N19" i="54"/>
  <c r="G17" i="129" s="1"/>
  <c r="N19" i="13"/>
  <c r="E47" i="45"/>
  <c r="O19" i="47"/>
  <c r="C130" i="139"/>
  <c r="C131" i="138"/>
  <c r="C130" i="138" s="1"/>
  <c r="C127" i="138"/>
  <c r="C126" i="138" s="1"/>
  <c r="C125" i="138" s="1"/>
  <c r="C126" i="139"/>
  <c r="C125" i="139" s="1"/>
  <c r="AE28" i="16"/>
  <c r="AE30" i="16" s="1"/>
  <c r="F44" i="45"/>
  <c r="N18" i="13"/>
  <c r="N18" i="54"/>
  <c r="G16" i="129" s="1"/>
  <c r="C45" i="147"/>
  <c r="E125" i="147" s="1"/>
  <c r="BS30" i="16"/>
  <c r="O20" i="47"/>
  <c r="O21" i="47" s="1"/>
  <c r="N16" i="16"/>
  <c r="AC10" i="47"/>
  <c r="AC20" i="47" s="1"/>
  <c r="AC21" i="47" s="1"/>
  <c r="Y18" i="47"/>
  <c r="T16" i="47"/>
  <c r="F18" i="47"/>
  <c r="F16" i="47" s="1"/>
  <c r="F13" i="47"/>
  <c r="T12" i="47"/>
  <c r="T11" i="47" s="1"/>
  <c r="T10" i="47" s="1"/>
  <c r="Y14" i="47"/>
  <c r="K14" i="47" s="1"/>
  <c r="F14" i="47"/>
  <c r="Y15" i="47"/>
  <c r="K15" i="47" s="1"/>
  <c r="F15" i="47"/>
  <c r="Y17" i="47"/>
  <c r="K17" i="47" s="1"/>
  <c r="W30" i="16"/>
  <c r="D23" i="45"/>
  <c r="Y12" i="47" l="1"/>
  <c r="E48" i="45"/>
  <c r="D47" i="45"/>
  <c r="D48" i="45" s="1"/>
  <c r="P16" i="16"/>
  <c r="K18" i="47"/>
  <c r="K16" i="47" s="1"/>
  <c r="Y16" i="47"/>
  <c r="F12" i="47"/>
  <c r="F11" i="47" s="1"/>
  <c r="F10" i="47" s="1"/>
  <c r="Y11" i="47"/>
  <c r="Y10" i="47" s="1"/>
  <c r="K13" i="47"/>
  <c r="K12" i="47" s="1"/>
  <c r="G30" i="16"/>
  <c r="K11" i="47" l="1"/>
  <c r="K10" i="47" s="1"/>
  <c r="F42" i="10"/>
  <c r="E34" i="45"/>
  <c r="H42" i="10" l="1"/>
  <c r="F42" i="52"/>
  <c r="C42" i="10"/>
  <c r="N10" i="162" l="1"/>
  <c r="N22" i="162" s="1"/>
  <c r="N10" i="153"/>
  <c r="N22" i="153" s="1"/>
  <c r="H42" i="52"/>
  <c r="E42" i="52" s="1"/>
  <c r="C42" i="52"/>
  <c r="C45" i="139"/>
  <c r="E42" i="10"/>
  <c r="N10" i="13"/>
  <c r="N22" i="13" s="1"/>
  <c r="N10" i="54"/>
  <c r="T48" i="1"/>
  <c r="T45" i="1"/>
  <c r="T44" i="1"/>
  <c r="T43" i="1"/>
  <c r="T40" i="1"/>
  <c r="T41" i="1"/>
  <c r="T37" i="1"/>
  <c r="T34" i="1"/>
  <c r="T33" i="1"/>
  <c r="E34" i="170" s="1"/>
  <c r="T32" i="1"/>
  <c r="E33" i="170" s="1"/>
  <c r="T31" i="1"/>
  <c r="E32" i="170" s="1"/>
  <c r="T30" i="1"/>
  <c r="E31" i="170" s="1"/>
  <c r="T29" i="1"/>
  <c r="E30" i="170" s="1"/>
  <c r="E50" i="170" l="1"/>
  <c r="I50" i="170" s="1"/>
  <c r="L24" i="158"/>
  <c r="E49" i="170"/>
  <c r="L23" i="158"/>
  <c r="E9" i="46"/>
  <c r="E48" i="170"/>
  <c r="L26" i="158"/>
  <c r="E37" i="170"/>
  <c r="L16" i="158"/>
  <c r="N22" i="54"/>
  <c r="G8" i="129"/>
  <c r="G20" i="129" s="1"/>
  <c r="E35" i="170"/>
  <c r="L13" i="158"/>
  <c r="E45" i="170"/>
  <c r="I45" i="170" s="1"/>
  <c r="L20" i="158"/>
  <c r="E44" i="170"/>
  <c r="I44" i="170" s="1"/>
  <c r="L19" i="158"/>
  <c r="AF43" i="1"/>
  <c r="E46" i="170"/>
  <c r="I46" i="170" s="1"/>
  <c r="L22" i="158"/>
  <c r="C45" i="138"/>
  <c r="E125" i="138" s="1"/>
  <c r="E125" i="139"/>
  <c r="AA19" i="158" l="1"/>
  <c r="AC19" i="158" s="1"/>
  <c r="Z19" i="158"/>
  <c r="M19" i="158"/>
  <c r="Y19" i="158"/>
  <c r="I48" i="170"/>
  <c r="F48" i="170"/>
  <c r="J48" i="170" s="1"/>
  <c r="Z23" i="158"/>
  <c r="AA23" i="158"/>
  <c r="AC23" i="158" s="1"/>
  <c r="Z20" i="158"/>
  <c r="AA20" i="158"/>
  <c r="AC20" i="158" s="1"/>
  <c r="Y20" i="158"/>
  <c r="I49" i="170"/>
  <c r="F49" i="170"/>
  <c r="Z22" i="158"/>
  <c r="Y22" i="158"/>
  <c r="AA22" i="158"/>
  <c r="AC22" i="158" s="1"/>
  <c r="AA24" i="158"/>
  <c r="AC24" i="158" s="1"/>
  <c r="Z24" i="158"/>
  <c r="AA16" i="158"/>
  <c r="AC16" i="158" s="1"/>
  <c r="Z16" i="158"/>
  <c r="Z26" i="158"/>
  <c r="AA26" i="158"/>
  <c r="AC26" i="158" s="1"/>
  <c r="Y26" i="158"/>
  <c r="Z13" i="158"/>
  <c r="AA13" i="158"/>
  <c r="AC13" i="158" s="1"/>
  <c r="C44" i="86"/>
  <c r="C38" i="86"/>
  <c r="C39" i="86"/>
  <c r="C37" i="86"/>
  <c r="C35" i="86"/>
  <c r="E42" i="123"/>
  <c r="D42" i="123"/>
  <c r="C41" i="123"/>
  <c r="E38" i="123"/>
  <c r="D36" i="123"/>
  <c r="E34" i="123"/>
  <c r="D34" i="123"/>
  <c r="E26" i="123"/>
  <c r="E22" i="123"/>
  <c r="A5" i="85"/>
  <c r="A5" i="170" s="1"/>
  <c r="A5" i="123" s="1"/>
  <c r="A5" i="86" s="1"/>
  <c r="A2" i="160" s="1"/>
  <c r="C29" i="85"/>
  <c r="A2" i="161" l="1"/>
  <c r="A2" i="90" s="1"/>
  <c r="C42" i="123"/>
  <c r="C34" i="123"/>
  <c r="A2" i="162" l="1"/>
  <c r="A2" i="129" s="1"/>
  <c r="A2" i="171" s="1"/>
  <c r="A30" i="90"/>
  <c r="E24" i="84"/>
  <c r="C32" i="84"/>
  <c r="C35" i="84"/>
  <c r="C26" i="84"/>
  <c r="C24" i="84"/>
  <c r="D27" i="36" l="1"/>
  <c r="D26" i="36"/>
  <c r="D25" i="36"/>
  <c r="D24" i="36"/>
  <c r="D23" i="36"/>
  <c r="D22" i="36"/>
  <c r="D21" i="36"/>
  <c r="D20" i="36"/>
  <c r="D19" i="36"/>
  <c r="D18" i="36"/>
  <c r="D17" i="36"/>
  <c r="D16" i="36"/>
  <c r="D15" i="36"/>
  <c r="D14" i="36"/>
  <c r="D13" i="36"/>
  <c r="D12" i="36"/>
  <c r="D11" i="36"/>
  <c r="D10" i="36"/>
  <c r="F7" i="30"/>
  <c r="G7" i="30" s="1"/>
  <c r="X27" i="36"/>
  <c r="X26" i="36"/>
  <c r="X24" i="36"/>
  <c r="X23" i="36"/>
  <c r="X22" i="36"/>
  <c r="X21" i="36"/>
  <c r="X20" i="36"/>
  <c r="X19" i="36"/>
  <c r="X18" i="36"/>
  <c r="X17" i="36"/>
  <c r="L27" i="36"/>
  <c r="L26" i="36"/>
  <c r="L24" i="36"/>
  <c r="L23" i="36"/>
  <c r="L22" i="36"/>
  <c r="E21" i="36"/>
  <c r="L20" i="36"/>
  <c r="L19" i="36"/>
  <c r="E19" i="36"/>
  <c r="E14" i="36"/>
  <c r="L16" i="36"/>
  <c r="L14" i="36"/>
  <c r="R14" i="36" s="1"/>
  <c r="L13" i="36"/>
  <c r="E42" i="118"/>
  <c r="D42" i="118"/>
  <c r="C41" i="118"/>
  <c r="E38" i="118"/>
  <c r="D36" i="118"/>
  <c r="E34" i="118"/>
  <c r="D34" i="118"/>
  <c r="E26" i="118"/>
  <c r="E22" i="118"/>
  <c r="B37" i="117"/>
  <c r="C29" i="117"/>
  <c r="C28" i="117"/>
  <c r="C27" i="117"/>
  <c r="C26" i="117"/>
  <c r="C25" i="117"/>
  <c r="C23" i="117"/>
  <c r="C22" i="117"/>
  <c r="C21" i="117"/>
  <c r="C20" i="117"/>
  <c r="C19" i="117"/>
  <c r="A5" i="116"/>
  <c r="A5" i="117" s="1"/>
  <c r="A5" i="118" s="1"/>
  <c r="C48" i="116"/>
  <c r="C45" i="116"/>
  <c r="C43" i="116"/>
  <c r="C41" i="116"/>
  <c r="C39" i="116"/>
  <c r="C17" i="116"/>
  <c r="C16" i="116"/>
  <c r="C14" i="115"/>
  <c r="C13" i="115"/>
  <c r="C12" i="115"/>
  <c r="G49" i="114"/>
  <c r="T44" i="114"/>
  <c r="Q43" i="114"/>
  <c r="P43" i="114"/>
  <c r="N43" i="114"/>
  <c r="M43" i="114"/>
  <c r="K43" i="114"/>
  <c r="J43" i="114"/>
  <c r="E43" i="114"/>
  <c r="S42" i="114"/>
  <c r="R42" i="114" s="1"/>
  <c r="O42" i="114"/>
  <c r="L42" i="114"/>
  <c r="F42" i="114"/>
  <c r="N39" i="114"/>
  <c r="K39" i="114"/>
  <c r="H39" i="114"/>
  <c r="E39" i="114"/>
  <c r="Q38" i="114"/>
  <c r="N38" i="114"/>
  <c r="K38" i="114"/>
  <c r="E38" i="114"/>
  <c r="K36" i="114"/>
  <c r="J36" i="114"/>
  <c r="E36" i="114"/>
  <c r="Q35" i="114"/>
  <c r="P35" i="114"/>
  <c r="N35" i="114"/>
  <c r="M35" i="114"/>
  <c r="G35" i="114"/>
  <c r="J34" i="114"/>
  <c r="P33" i="114"/>
  <c r="N33" i="114"/>
  <c r="K33" i="114"/>
  <c r="J33" i="114"/>
  <c r="E33" i="114"/>
  <c r="C33" i="114" s="1"/>
  <c r="Q31" i="114"/>
  <c r="K31" i="114"/>
  <c r="E31" i="114"/>
  <c r="K27" i="114"/>
  <c r="H27" i="114"/>
  <c r="E27" i="114"/>
  <c r="K26" i="114"/>
  <c r="E26" i="114"/>
  <c r="U20" i="114"/>
  <c r="Q20" i="114"/>
  <c r="N20" i="114"/>
  <c r="K20" i="114"/>
  <c r="J20" i="114"/>
  <c r="E20" i="114"/>
  <c r="J19" i="114"/>
  <c r="E19" i="114"/>
  <c r="T18" i="114"/>
  <c r="F18" i="114"/>
  <c r="T17" i="114"/>
  <c r="E15" i="114"/>
  <c r="H16" i="114" s="1"/>
  <c r="K14" i="114"/>
  <c r="N14" i="114" s="1"/>
  <c r="E14" i="114"/>
  <c r="Q11" i="114"/>
  <c r="N11" i="114"/>
  <c r="K11" i="114"/>
  <c r="H11" i="114"/>
  <c r="E11" i="114"/>
  <c r="Q10" i="114"/>
  <c r="N10" i="114"/>
  <c r="K10" i="114"/>
  <c r="E10" i="114"/>
  <c r="E9" i="114"/>
  <c r="AC27" i="36" l="1"/>
  <c r="AD27" i="36"/>
  <c r="A2" i="159"/>
  <c r="A2" i="152" s="1"/>
  <c r="A2" i="153" s="1"/>
  <c r="A2" i="81" s="1"/>
  <c r="A3" i="82" s="1"/>
  <c r="A2" i="154" s="1"/>
  <c r="R19" i="36"/>
  <c r="AD19" i="36"/>
  <c r="AE19" i="36"/>
  <c r="AF19" i="36"/>
  <c r="AC19" i="36"/>
  <c r="AC20" i="36"/>
  <c r="AD20" i="36"/>
  <c r="AF21" i="36"/>
  <c r="AE21" i="36"/>
  <c r="AC22" i="36"/>
  <c r="AD22" i="36"/>
  <c r="C42" i="118"/>
  <c r="AC23" i="36"/>
  <c r="AD23" i="36"/>
  <c r="AC24" i="36"/>
  <c r="AD24" i="36"/>
  <c r="AC26" i="36"/>
  <c r="AD26" i="36"/>
  <c r="L43" i="114"/>
  <c r="I20" i="114"/>
  <c r="T10" i="114"/>
  <c r="C34" i="118"/>
  <c r="O43" i="114"/>
  <c r="L35" i="114"/>
  <c r="T43" i="114"/>
  <c r="S35" i="114"/>
  <c r="T35" i="114"/>
  <c r="T38" i="114"/>
  <c r="I43" i="114"/>
  <c r="S43" i="114"/>
  <c r="R43" i="114" s="1"/>
  <c r="O35" i="114"/>
  <c r="T11" i="114"/>
  <c r="E13" i="114"/>
  <c r="H14" i="114"/>
  <c r="I36" i="114"/>
  <c r="Q14" i="114"/>
  <c r="T20" i="114"/>
  <c r="H15" i="114"/>
  <c r="I33" i="114"/>
  <c r="D22" i="71"/>
  <c r="E13" i="55"/>
  <c r="C33" i="113"/>
  <c r="D29" i="113"/>
  <c r="B29" i="113"/>
  <c r="C27" i="113"/>
  <c r="C26" i="113"/>
  <c r="E25" i="113"/>
  <c r="D25" i="113"/>
  <c r="B25" i="113"/>
  <c r="A25" i="113"/>
  <c r="E24" i="113"/>
  <c r="D24" i="113"/>
  <c r="B24" i="113"/>
  <c r="A24" i="113"/>
  <c r="E23" i="113"/>
  <c r="D23" i="113"/>
  <c r="B23" i="113"/>
  <c r="A23" i="113"/>
  <c r="E22" i="113"/>
  <c r="D22" i="113"/>
  <c r="B22" i="113"/>
  <c r="A22" i="113"/>
  <c r="E21" i="113"/>
  <c r="D21" i="113"/>
  <c r="B21" i="113"/>
  <c r="A21" i="113"/>
  <c r="B16" i="113"/>
  <c r="B14" i="113"/>
  <c r="C11" i="113"/>
  <c r="B11" i="113"/>
  <c r="B10" i="113"/>
  <c r="C9" i="113"/>
  <c r="E26" i="112"/>
  <c r="E42" i="112"/>
  <c r="D42" i="112"/>
  <c r="C41" i="112"/>
  <c r="E38" i="112"/>
  <c r="D36" i="112"/>
  <c r="E34" i="112"/>
  <c r="D34" i="112"/>
  <c r="E22" i="112"/>
  <c r="A5" i="111"/>
  <c r="A5" i="112" s="1"/>
  <c r="A2" i="113" s="1"/>
  <c r="A2" i="71" s="1"/>
  <c r="C29" i="111"/>
  <c r="C28" i="111"/>
  <c r="C27" i="111"/>
  <c r="C26" i="111"/>
  <c r="C25" i="111"/>
  <c r="C23" i="111"/>
  <c r="C22" i="111"/>
  <c r="C21" i="111"/>
  <c r="C20" i="111"/>
  <c r="C19" i="111"/>
  <c r="C14" i="110"/>
  <c r="C13" i="110"/>
  <c r="C12" i="110"/>
  <c r="E75" i="56"/>
  <c r="F75" i="56"/>
  <c r="G75" i="56"/>
  <c r="H75" i="56"/>
  <c r="E77" i="56"/>
  <c r="F77" i="56"/>
  <c r="G77" i="56"/>
  <c r="H77" i="56"/>
  <c r="E90" i="56"/>
  <c r="F90" i="56"/>
  <c r="G90" i="56"/>
  <c r="H90" i="56"/>
  <c r="E95" i="56"/>
  <c r="F95" i="56"/>
  <c r="G95" i="56"/>
  <c r="H95" i="56"/>
  <c r="E96" i="56"/>
  <c r="F96" i="56"/>
  <c r="G96" i="56"/>
  <c r="H96" i="56"/>
  <c r="E97" i="56"/>
  <c r="F97" i="56"/>
  <c r="G97" i="56"/>
  <c r="H97" i="56"/>
  <c r="E98" i="56"/>
  <c r="F98" i="56"/>
  <c r="G98" i="56"/>
  <c r="H98" i="56"/>
  <c r="E99" i="56"/>
  <c r="F99" i="56"/>
  <c r="G99" i="56"/>
  <c r="H99" i="56"/>
  <c r="E102" i="56"/>
  <c r="F102" i="56"/>
  <c r="G102" i="56"/>
  <c r="H102" i="56"/>
  <c r="E105" i="56"/>
  <c r="F105" i="56"/>
  <c r="G105" i="56"/>
  <c r="H105" i="56"/>
  <c r="E106" i="56"/>
  <c r="F106" i="56"/>
  <c r="G106" i="56"/>
  <c r="H106" i="56"/>
  <c r="E107" i="56"/>
  <c r="F107" i="56"/>
  <c r="G107" i="56"/>
  <c r="H107" i="56"/>
  <c r="E108" i="56"/>
  <c r="F108" i="56"/>
  <c r="G108" i="56"/>
  <c r="H108" i="56"/>
  <c r="F111" i="56"/>
  <c r="G111" i="56"/>
  <c r="H111" i="56"/>
  <c r="E112" i="56"/>
  <c r="G112" i="56"/>
  <c r="H112" i="56"/>
  <c r="E113" i="56"/>
  <c r="F113" i="56"/>
  <c r="H113" i="56"/>
  <c r="E116" i="56"/>
  <c r="F116" i="56"/>
  <c r="G116" i="56"/>
  <c r="H116" i="56"/>
  <c r="E117" i="56"/>
  <c r="F117" i="56"/>
  <c r="G117" i="56"/>
  <c r="H117" i="56"/>
  <c r="E118" i="56"/>
  <c r="F118" i="56"/>
  <c r="G118" i="56"/>
  <c r="H118" i="56"/>
  <c r="E64" i="56"/>
  <c r="F64" i="56"/>
  <c r="G64" i="56"/>
  <c r="H64" i="56"/>
  <c r="E65" i="56"/>
  <c r="F65" i="56"/>
  <c r="G65" i="56"/>
  <c r="H65" i="56"/>
  <c r="E66" i="56"/>
  <c r="F66" i="56"/>
  <c r="G66" i="56"/>
  <c r="H66" i="56"/>
  <c r="E67" i="56"/>
  <c r="F67" i="56"/>
  <c r="G67" i="56"/>
  <c r="H67" i="56"/>
  <c r="E68" i="56"/>
  <c r="F68" i="56"/>
  <c r="G68" i="56"/>
  <c r="H68" i="56"/>
  <c r="E69" i="56"/>
  <c r="F69" i="56"/>
  <c r="G69" i="56"/>
  <c r="H69" i="56"/>
  <c r="H63" i="56"/>
  <c r="G63" i="56"/>
  <c r="F63" i="56"/>
  <c r="E63" i="56"/>
  <c r="H62" i="56"/>
  <c r="G62" i="56"/>
  <c r="F62" i="56"/>
  <c r="E62" i="56"/>
  <c r="H61" i="56"/>
  <c r="G61" i="56"/>
  <c r="F61" i="56"/>
  <c r="E61" i="56"/>
  <c r="E59" i="56"/>
  <c r="F59" i="56"/>
  <c r="G59" i="56"/>
  <c r="H59" i="56"/>
  <c r="H58" i="56"/>
  <c r="G58" i="56"/>
  <c r="F58" i="56"/>
  <c r="E58" i="56"/>
  <c r="H57" i="56"/>
  <c r="G57" i="56"/>
  <c r="F57" i="56"/>
  <c r="E57" i="56"/>
  <c r="H55" i="56"/>
  <c r="G55" i="56"/>
  <c r="F55" i="56"/>
  <c r="E55" i="56"/>
  <c r="H54" i="56"/>
  <c r="G54" i="56"/>
  <c r="F54" i="56"/>
  <c r="E54" i="56"/>
  <c r="H53" i="56"/>
  <c r="G53" i="56"/>
  <c r="F53" i="56"/>
  <c r="E53" i="56"/>
  <c r="H52" i="56"/>
  <c r="G52" i="56"/>
  <c r="F52" i="56"/>
  <c r="E52" i="56"/>
  <c r="H51" i="56"/>
  <c r="G51" i="56"/>
  <c r="F51" i="56"/>
  <c r="E51" i="56"/>
  <c r="H50" i="56"/>
  <c r="G50" i="56"/>
  <c r="F50" i="56"/>
  <c r="E50" i="56"/>
  <c r="H49" i="56"/>
  <c r="G49" i="56"/>
  <c r="F49" i="56"/>
  <c r="E49" i="56"/>
  <c r="E44" i="56"/>
  <c r="F44" i="56"/>
  <c r="G44" i="56"/>
  <c r="H44" i="56"/>
  <c r="E45" i="56"/>
  <c r="F45" i="56"/>
  <c r="G45" i="56"/>
  <c r="H45" i="56"/>
  <c r="E46" i="56"/>
  <c r="F46" i="56"/>
  <c r="G46" i="56"/>
  <c r="H46" i="56"/>
  <c r="E47" i="56"/>
  <c r="F47" i="56"/>
  <c r="G47" i="56"/>
  <c r="H47" i="56"/>
  <c r="H43" i="56"/>
  <c r="G43" i="56"/>
  <c r="F43" i="56"/>
  <c r="E43" i="56"/>
  <c r="E13" i="56"/>
  <c r="F13" i="56"/>
  <c r="G13" i="56"/>
  <c r="H13" i="56"/>
  <c r="E14" i="56"/>
  <c r="F14" i="56"/>
  <c r="G14" i="56"/>
  <c r="H14" i="56"/>
  <c r="E15" i="56"/>
  <c r="F15" i="56"/>
  <c r="G15" i="56"/>
  <c r="H15" i="56"/>
  <c r="E16" i="56"/>
  <c r="F16" i="56"/>
  <c r="G16" i="56"/>
  <c r="H16" i="56"/>
  <c r="E17" i="56"/>
  <c r="F17" i="56"/>
  <c r="G17" i="56"/>
  <c r="H17" i="56"/>
  <c r="E18" i="56"/>
  <c r="F18" i="56"/>
  <c r="G18" i="56"/>
  <c r="H18" i="56"/>
  <c r="E19" i="56"/>
  <c r="F19" i="56"/>
  <c r="G19" i="56"/>
  <c r="H19" i="56"/>
  <c r="E20" i="56"/>
  <c r="F20" i="56"/>
  <c r="G20" i="56"/>
  <c r="H20" i="56"/>
  <c r="E21" i="56"/>
  <c r="F21" i="56"/>
  <c r="G21" i="56"/>
  <c r="H21" i="56"/>
  <c r="E22" i="56"/>
  <c r="F22" i="56"/>
  <c r="G22" i="56"/>
  <c r="H22" i="56"/>
  <c r="E23" i="56"/>
  <c r="F23" i="56"/>
  <c r="G23" i="56"/>
  <c r="H23" i="56"/>
  <c r="E24" i="56"/>
  <c r="F24" i="56"/>
  <c r="G24" i="56"/>
  <c r="H24" i="56"/>
  <c r="E25" i="56"/>
  <c r="F25" i="56"/>
  <c r="G25" i="56"/>
  <c r="H25" i="56"/>
  <c r="E26" i="56"/>
  <c r="F26" i="56"/>
  <c r="G26" i="56"/>
  <c r="H26" i="56"/>
  <c r="E27" i="56"/>
  <c r="F27" i="56"/>
  <c r="G27" i="56"/>
  <c r="H27" i="56"/>
  <c r="E28" i="56"/>
  <c r="F28" i="56"/>
  <c r="G28" i="56"/>
  <c r="H28" i="56"/>
  <c r="E29" i="56"/>
  <c r="F29" i="56"/>
  <c r="G29" i="56"/>
  <c r="H29" i="56"/>
  <c r="E30" i="56"/>
  <c r="F30" i="56"/>
  <c r="G30" i="56"/>
  <c r="H30" i="56"/>
  <c r="E31" i="56"/>
  <c r="F31" i="56"/>
  <c r="G31" i="56"/>
  <c r="H31" i="56"/>
  <c r="E32" i="56"/>
  <c r="F32" i="56"/>
  <c r="G32" i="56"/>
  <c r="H32" i="56"/>
  <c r="E33" i="56"/>
  <c r="F33" i="56"/>
  <c r="G33" i="56"/>
  <c r="H33" i="56"/>
  <c r="E34" i="56"/>
  <c r="F34" i="56"/>
  <c r="G34" i="56"/>
  <c r="H34" i="56"/>
  <c r="E35" i="56"/>
  <c r="F35" i="56"/>
  <c r="G35" i="56"/>
  <c r="H35" i="56"/>
  <c r="E36" i="56"/>
  <c r="F36" i="56"/>
  <c r="G36" i="56"/>
  <c r="H36" i="56"/>
  <c r="E37" i="56"/>
  <c r="F37" i="56"/>
  <c r="G37" i="56"/>
  <c r="H37" i="56"/>
  <c r="E38" i="56"/>
  <c r="F38" i="56"/>
  <c r="G38" i="56"/>
  <c r="H38" i="56"/>
  <c r="E39" i="56"/>
  <c r="F39" i="56"/>
  <c r="G39" i="56"/>
  <c r="H39" i="56"/>
  <c r="E40" i="56"/>
  <c r="F40" i="56"/>
  <c r="G40" i="56"/>
  <c r="H40" i="56"/>
  <c r="F12" i="56"/>
  <c r="G12" i="56"/>
  <c r="H12" i="56"/>
  <c r="E12" i="56"/>
  <c r="W75" i="56"/>
  <c r="X75" i="56"/>
  <c r="Y75" i="56"/>
  <c r="Z75" i="56"/>
  <c r="AA75" i="56"/>
  <c r="AC75" i="56"/>
  <c r="AD75" i="56"/>
  <c r="AE75" i="56"/>
  <c r="W106" i="56"/>
  <c r="X106" i="56"/>
  <c r="Y106" i="56"/>
  <c r="Z106" i="56"/>
  <c r="AA106" i="56"/>
  <c r="AC106" i="56"/>
  <c r="AD106" i="56"/>
  <c r="AE106" i="56"/>
  <c r="K107" i="56"/>
  <c r="L107" i="56"/>
  <c r="M107" i="56"/>
  <c r="N107" i="56"/>
  <c r="O107" i="56"/>
  <c r="P107" i="56"/>
  <c r="Q107" i="56"/>
  <c r="R107" i="56"/>
  <c r="S107" i="56"/>
  <c r="T107" i="56"/>
  <c r="U107" i="56"/>
  <c r="V107" i="56"/>
  <c r="W107" i="56"/>
  <c r="X107" i="56"/>
  <c r="Y107" i="56"/>
  <c r="Z107" i="56"/>
  <c r="AA107" i="56"/>
  <c r="AC107" i="56"/>
  <c r="AD107" i="56"/>
  <c r="AE107" i="56"/>
  <c r="K108" i="56"/>
  <c r="L108" i="56"/>
  <c r="M108" i="56"/>
  <c r="N108" i="56"/>
  <c r="O108" i="56"/>
  <c r="P108" i="56"/>
  <c r="Q108" i="56"/>
  <c r="R108" i="56"/>
  <c r="S108" i="56"/>
  <c r="T108" i="56"/>
  <c r="U108" i="56"/>
  <c r="V108" i="56"/>
  <c r="W108" i="56"/>
  <c r="Y108" i="56"/>
  <c r="Z108" i="56"/>
  <c r="AA108" i="56"/>
  <c r="AC108" i="56"/>
  <c r="AD108" i="56"/>
  <c r="AE108" i="56"/>
  <c r="K111" i="56"/>
  <c r="L111" i="56"/>
  <c r="M111" i="56"/>
  <c r="N111" i="56"/>
  <c r="O111" i="56"/>
  <c r="P111" i="56"/>
  <c r="Q111" i="56"/>
  <c r="R111" i="56"/>
  <c r="S111" i="56"/>
  <c r="T111" i="56"/>
  <c r="U111" i="56"/>
  <c r="V111" i="56"/>
  <c r="W111" i="56"/>
  <c r="X111" i="56"/>
  <c r="Y111" i="56"/>
  <c r="Z111" i="56"/>
  <c r="AA111" i="56"/>
  <c r="AC111" i="56"/>
  <c r="AD111" i="56"/>
  <c r="AE111" i="56"/>
  <c r="K112" i="56"/>
  <c r="L112" i="56"/>
  <c r="M112" i="56"/>
  <c r="N112" i="56"/>
  <c r="O112" i="56"/>
  <c r="P112" i="56"/>
  <c r="Q112" i="56"/>
  <c r="R112" i="56"/>
  <c r="S112" i="56"/>
  <c r="T112" i="56"/>
  <c r="U112" i="56"/>
  <c r="V112" i="56"/>
  <c r="W112" i="56"/>
  <c r="X112" i="56"/>
  <c r="Y112" i="56"/>
  <c r="Z112" i="56"/>
  <c r="AA112" i="56"/>
  <c r="AC112" i="56"/>
  <c r="AD112" i="56"/>
  <c r="AE112" i="56"/>
  <c r="K113" i="56"/>
  <c r="L113" i="56"/>
  <c r="M113" i="56"/>
  <c r="N113" i="56"/>
  <c r="O113" i="56"/>
  <c r="P113" i="56"/>
  <c r="Q113" i="56"/>
  <c r="R113" i="56"/>
  <c r="S113" i="56"/>
  <c r="T113" i="56"/>
  <c r="U113" i="56"/>
  <c r="V113" i="56"/>
  <c r="W113" i="56"/>
  <c r="X113" i="56"/>
  <c r="Y113" i="56"/>
  <c r="Z113" i="56"/>
  <c r="AA113" i="56"/>
  <c r="AC113" i="56"/>
  <c r="AD113" i="56"/>
  <c r="AE113" i="56"/>
  <c r="K116" i="56"/>
  <c r="L116" i="56"/>
  <c r="M116" i="56"/>
  <c r="N116" i="56"/>
  <c r="O116" i="56"/>
  <c r="P116" i="56"/>
  <c r="Q116" i="56"/>
  <c r="R116" i="56"/>
  <c r="S116" i="56"/>
  <c r="T116" i="56"/>
  <c r="U116" i="56"/>
  <c r="V116" i="56"/>
  <c r="W116" i="56"/>
  <c r="X116" i="56"/>
  <c r="Y116" i="56"/>
  <c r="Z116" i="56"/>
  <c r="AA116" i="56"/>
  <c r="AD116" i="56"/>
  <c r="AE116" i="56"/>
  <c r="K117" i="56"/>
  <c r="L117" i="56"/>
  <c r="M117" i="56"/>
  <c r="N117" i="56"/>
  <c r="O117" i="56"/>
  <c r="P117" i="56"/>
  <c r="Q117" i="56"/>
  <c r="R117" i="56"/>
  <c r="S117" i="56"/>
  <c r="T117" i="56"/>
  <c r="U117" i="56"/>
  <c r="V117" i="56"/>
  <c r="W117" i="56"/>
  <c r="X117" i="56"/>
  <c r="Y117" i="56"/>
  <c r="Z117" i="56"/>
  <c r="AA117" i="56"/>
  <c r="AC117" i="56"/>
  <c r="AD117" i="56"/>
  <c r="AE117" i="56"/>
  <c r="K118" i="56"/>
  <c r="L118" i="56"/>
  <c r="M118" i="56"/>
  <c r="N118" i="56"/>
  <c r="O118" i="56"/>
  <c r="P118" i="56"/>
  <c r="Q118" i="56"/>
  <c r="R118" i="56"/>
  <c r="S118" i="56"/>
  <c r="T118" i="56"/>
  <c r="U118" i="56"/>
  <c r="V118" i="56"/>
  <c r="W118" i="56"/>
  <c r="X118" i="56"/>
  <c r="Y118" i="56"/>
  <c r="Z118" i="56"/>
  <c r="AA118" i="56"/>
  <c r="AC118" i="56"/>
  <c r="AD118" i="56"/>
  <c r="AE105" i="56"/>
  <c r="AE102" i="56"/>
  <c r="AE99" i="56"/>
  <c r="AE98" i="56"/>
  <c r="AE97" i="56"/>
  <c r="AE96" i="56"/>
  <c r="AE95" i="56"/>
  <c r="AE90" i="56"/>
  <c r="AE77" i="56"/>
  <c r="K64" i="56"/>
  <c r="L64" i="56"/>
  <c r="M64" i="56"/>
  <c r="N64" i="56"/>
  <c r="O64" i="56"/>
  <c r="P64" i="56"/>
  <c r="Q64" i="56"/>
  <c r="R64" i="56"/>
  <c r="S64" i="56"/>
  <c r="T64" i="56"/>
  <c r="U64" i="56"/>
  <c r="V64" i="56"/>
  <c r="W64" i="56"/>
  <c r="X64" i="56"/>
  <c r="Y64" i="56"/>
  <c r="Z64" i="56"/>
  <c r="AA64" i="56"/>
  <c r="AC64" i="56"/>
  <c r="AD64" i="56"/>
  <c r="AE64" i="56"/>
  <c r="K65" i="56"/>
  <c r="L65" i="56"/>
  <c r="M65" i="56"/>
  <c r="N65" i="56"/>
  <c r="O65" i="56"/>
  <c r="P65" i="56"/>
  <c r="Q65" i="56"/>
  <c r="R65" i="56"/>
  <c r="S65" i="56"/>
  <c r="T65" i="56"/>
  <c r="U65" i="56"/>
  <c r="V65" i="56"/>
  <c r="W65" i="56"/>
  <c r="X65" i="56"/>
  <c r="Y65" i="56"/>
  <c r="Z65" i="56"/>
  <c r="AA65" i="56"/>
  <c r="AC65" i="56"/>
  <c r="AD65" i="56"/>
  <c r="AE65" i="56"/>
  <c r="K66" i="56"/>
  <c r="L66" i="56"/>
  <c r="M66" i="56"/>
  <c r="N66" i="56"/>
  <c r="O66" i="56"/>
  <c r="P66" i="56"/>
  <c r="Q66" i="56"/>
  <c r="R66" i="56"/>
  <c r="S66" i="56"/>
  <c r="T66" i="56"/>
  <c r="U66" i="56"/>
  <c r="V66" i="56"/>
  <c r="W66" i="56"/>
  <c r="X66" i="56"/>
  <c r="Y66" i="56"/>
  <c r="Z66" i="56"/>
  <c r="AA66" i="56"/>
  <c r="AC66" i="56"/>
  <c r="AD66" i="56"/>
  <c r="AE66" i="56"/>
  <c r="K67" i="56"/>
  <c r="L67" i="56"/>
  <c r="M67" i="56"/>
  <c r="N67" i="56"/>
  <c r="O67" i="56"/>
  <c r="P67" i="56"/>
  <c r="Q67" i="56"/>
  <c r="R67" i="56"/>
  <c r="S67" i="56"/>
  <c r="T67" i="56"/>
  <c r="U67" i="56"/>
  <c r="V67" i="56"/>
  <c r="W67" i="56"/>
  <c r="X67" i="56"/>
  <c r="Y67" i="56"/>
  <c r="Z67" i="56"/>
  <c r="AA67" i="56"/>
  <c r="AC67" i="56"/>
  <c r="AD67" i="56"/>
  <c r="AE67" i="56"/>
  <c r="K68" i="56"/>
  <c r="L68" i="56"/>
  <c r="M68" i="56"/>
  <c r="N68" i="56"/>
  <c r="O68" i="56"/>
  <c r="P68" i="56"/>
  <c r="Q68" i="56"/>
  <c r="R68" i="56"/>
  <c r="S68" i="56"/>
  <c r="T68" i="56"/>
  <c r="U68" i="56"/>
  <c r="V68" i="56"/>
  <c r="W68" i="56"/>
  <c r="X68" i="56"/>
  <c r="Y68" i="56"/>
  <c r="Z68" i="56"/>
  <c r="AA68" i="56"/>
  <c r="AC68" i="56"/>
  <c r="AD68" i="56"/>
  <c r="AE68" i="56"/>
  <c r="K69" i="56"/>
  <c r="L69" i="56"/>
  <c r="M69" i="56"/>
  <c r="N69" i="56"/>
  <c r="O69" i="56"/>
  <c r="P69" i="56"/>
  <c r="Q69" i="56"/>
  <c r="R69" i="56"/>
  <c r="S69" i="56"/>
  <c r="T69" i="56"/>
  <c r="U69" i="56"/>
  <c r="V69" i="56"/>
  <c r="W69" i="56"/>
  <c r="X69" i="56"/>
  <c r="Y69" i="56"/>
  <c r="Z69" i="56"/>
  <c r="AA69" i="56"/>
  <c r="AC69" i="56"/>
  <c r="AD69" i="56"/>
  <c r="AE69" i="56"/>
  <c r="AE63" i="56"/>
  <c r="AD63" i="56"/>
  <c r="AC63" i="56"/>
  <c r="AA63" i="56"/>
  <c r="Z63" i="56"/>
  <c r="Y63" i="56"/>
  <c r="X63" i="56"/>
  <c r="W63" i="56"/>
  <c r="V63" i="56"/>
  <c r="U63" i="56"/>
  <c r="T63" i="56"/>
  <c r="S63" i="56"/>
  <c r="R63" i="56"/>
  <c r="Q63" i="56"/>
  <c r="P63" i="56"/>
  <c r="O63" i="56"/>
  <c r="N63" i="56"/>
  <c r="M63" i="56"/>
  <c r="L63" i="56"/>
  <c r="K63" i="56"/>
  <c r="AE62" i="56"/>
  <c r="AD62" i="56"/>
  <c r="AC62" i="56"/>
  <c r="AA62" i="56"/>
  <c r="Z62" i="56"/>
  <c r="Y62" i="56"/>
  <c r="X62" i="56"/>
  <c r="W62" i="56"/>
  <c r="V62" i="56"/>
  <c r="U62" i="56"/>
  <c r="T62" i="56"/>
  <c r="S62" i="56"/>
  <c r="R62" i="56"/>
  <c r="Q62" i="56"/>
  <c r="P62" i="56"/>
  <c r="O62" i="56"/>
  <c r="N62" i="56"/>
  <c r="M62" i="56"/>
  <c r="L62" i="56"/>
  <c r="K62" i="56"/>
  <c r="AE61" i="56"/>
  <c r="AD61" i="56"/>
  <c r="AC61" i="56"/>
  <c r="AA61" i="56"/>
  <c r="Z61" i="56"/>
  <c r="Y61" i="56"/>
  <c r="X61" i="56"/>
  <c r="W61" i="56"/>
  <c r="V61" i="56"/>
  <c r="U61" i="56"/>
  <c r="T61" i="56"/>
  <c r="S61" i="56"/>
  <c r="R61" i="56"/>
  <c r="Q61" i="56"/>
  <c r="P61" i="56"/>
  <c r="O61" i="56"/>
  <c r="N61" i="56"/>
  <c r="M61" i="56"/>
  <c r="L61" i="56"/>
  <c r="K61" i="56"/>
  <c r="K58" i="56"/>
  <c r="L58" i="56"/>
  <c r="M58" i="56"/>
  <c r="N58" i="56"/>
  <c r="O58" i="56"/>
  <c r="P58" i="56"/>
  <c r="Q58" i="56"/>
  <c r="R58" i="56"/>
  <c r="S58" i="56"/>
  <c r="T58" i="56"/>
  <c r="U58" i="56"/>
  <c r="V58" i="56"/>
  <c r="W58" i="56"/>
  <c r="X58" i="56"/>
  <c r="Y58" i="56"/>
  <c r="Z58" i="56"/>
  <c r="AA58" i="56"/>
  <c r="AC58" i="56"/>
  <c r="AD58" i="56"/>
  <c r="AE58" i="56"/>
  <c r="K59" i="56"/>
  <c r="L59" i="56"/>
  <c r="M59" i="56"/>
  <c r="N59" i="56"/>
  <c r="O59" i="56"/>
  <c r="P59" i="56"/>
  <c r="Q59" i="56"/>
  <c r="R59" i="56"/>
  <c r="S59" i="56"/>
  <c r="T59" i="56"/>
  <c r="U59" i="56"/>
  <c r="V59" i="56"/>
  <c r="W59" i="56"/>
  <c r="X59" i="56"/>
  <c r="Y59" i="56"/>
  <c r="Z59" i="56"/>
  <c r="AA59" i="56"/>
  <c r="AC59" i="56"/>
  <c r="AD59" i="56"/>
  <c r="AE59" i="56"/>
  <c r="AE57" i="56"/>
  <c r="AD57" i="56"/>
  <c r="AC57" i="56"/>
  <c r="AA57" i="56"/>
  <c r="Z57" i="56"/>
  <c r="Y57" i="56"/>
  <c r="X57" i="56"/>
  <c r="W57" i="56"/>
  <c r="V57" i="56"/>
  <c r="U57" i="56"/>
  <c r="T57" i="56"/>
  <c r="S57" i="56"/>
  <c r="R57" i="56"/>
  <c r="Q57" i="56"/>
  <c r="P57" i="56"/>
  <c r="O57" i="56"/>
  <c r="N57" i="56"/>
  <c r="M57" i="56"/>
  <c r="L57" i="56"/>
  <c r="K57" i="56"/>
  <c r="K50" i="56"/>
  <c r="L50" i="56"/>
  <c r="M50" i="56"/>
  <c r="N50" i="56"/>
  <c r="O50" i="56"/>
  <c r="P50" i="56"/>
  <c r="Q50" i="56"/>
  <c r="R50" i="56"/>
  <c r="S50" i="56"/>
  <c r="T50" i="56"/>
  <c r="U50" i="56"/>
  <c r="V50" i="56"/>
  <c r="W50" i="56"/>
  <c r="X50" i="56"/>
  <c r="Y50" i="56"/>
  <c r="Z50" i="56"/>
  <c r="AA50" i="56"/>
  <c r="AC50" i="56"/>
  <c r="AD50" i="56"/>
  <c r="AE50" i="56"/>
  <c r="K51" i="56"/>
  <c r="L51" i="56"/>
  <c r="M51" i="56"/>
  <c r="N51" i="56"/>
  <c r="O51" i="56"/>
  <c r="P51" i="56"/>
  <c r="Q51" i="56"/>
  <c r="R51" i="56"/>
  <c r="S51" i="56"/>
  <c r="T51" i="56"/>
  <c r="U51" i="56"/>
  <c r="V51" i="56"/>
  <c r="W51" i="56"/>
  <c r="X51" i="56"/>
  <c r="Y51" i="56"/>
  <c r="Z51" i="56"/>
  <c r="AA51" i="56"/>
  <c r="AC51" i="56"/>
  <c r="AD51" i="56"/>
  <c r="AE51" i="56"/>
  <c r="K52" i="56"/>
  <c r="L52" i="56"/>
  <c r="M52" i="56"/>
  <c r="N52" i="56"/>
  <c r="O52" i="56"/>
  <c r="P52" i="56"/>
  <c r="Q52" i="56"/>
  <c r="R52" i="56"/>
  <c r="S52" i="56"/>
  <c r="T52" i="56"/>
  <c r="U52" i="56"/>
  <c r="V52" i="56"/>
  <c r="W52" i="56"/>
  <c r="X52" i="56"/>
  <c r="Y52" i="56"/>
  <c r="Z52" i="56"/>
  <c r="AA52" i="56"/>
  <c r="AC52" i="56"/>
  <c r="AD52" i="56"/>
  <c r="AE52" i="56"/>
  <c r="K53" i="56"/>
  <c r="L53" i="56"/>
  <c r="M53" i="56"/>
  <c r="N53" i="56"/>
  <c r="O53" i="56"/>
  <c r="P53" i="56"/>
  <c r="Q53" i="56"/>
  <c r="R53" i="56"/>
  <c r="S53" i="56"/>
  <c r="T53" i="56"/>
  <c r="U53" i="56"/>
  <c r="V53" i="56"/>
  <c r="W53" i="56"/>
  <c r="X53" i="56"/>
  <c r="Y53" i="56"/>
  <c r="Z53" i="56"/>
  <c r="AA53" i="56"/>
  <c r="AC53" i="56"/>
  <c r="AD53" i="56"/>
  <c r="AE53" i="56"/>
  <c r="K54" i="56"/>
  <c r="L54" i="56"/>
  <c r="M54" i="56"/>
  <c r="N54" i="56"/>
  <c r="O54" i="56"/>
  <c r="P54" i="56"/>
  <c r="Q54" i="56"/>
  <c r="R54" i="56"/>
  <c r="S54" i="56"/>
  <c r="T54" i="56"/>
  <c r="U54" i="56"/>
  <c r="V54" i="56"/>
  <c r="W54" i="56"/>
  <c r="X54" i="56"/>
  <c r="Y54" i="56"/>
  <c r="Z54" i="56"/>
  <c r="AA54" i="56"/>
  <c r="AC54" i="56"/>
  <c r="AD54" i="56"/>
  <c r="AE54" i="56"/>
  <c r="K55" i="56"/>
  <c r="L55" i="56"/>
  <c r="M55" i="56"/>
  <c r="N55" i="56"/>
  <c r="O55" i="56"/>
  <c r="P55" i="56"/>
  <c r="Q55" i="56"/>
  <c r="R55" i="56"/>
  <c r="S55" i="56"/>
  <c r="T55" i="56"/>
  <c r="U55" i="56"/>
  <c r="V55" i="56"/>
  <c r="W55" i="56"/>
  <c r="X55" i="56"/>
  <c r="Y55" i="56"/>
  <c r="Z55" i="56"/>
  <c r="AA55" i="56"/>
  <c r="AC55" i="56"/>
  <c r="AD55" i="56"/>
  <c r="AE55" i="56"/>
  <c r="AE49" i="56"/>
  <c r="AD49" i="56"/>
  <c r="AC49" i="56"/>
  <c r="AA49" i="56"/>
  <c r="Z49" i="56"/>
  <c r="Y49" i="56"/>
  <c r="X49" i="56"/>
  <c r="W49" i="56"/>
  <c r="V49" i="56"/>
  <c r="U49" i="56"/>
  <c r="T49" i="56"/>
  <c r="S49" i="56"/>
  <c r="R49" i="56"/>
  <c r="Q49" i="56"/>
  <c r="P49" i="56"/>
  <c r="O49" i="56"/>
  <c r="N49" i="56"/>
  <c r="M49" i="56"/>
  <c r="L49" i="56"/>
  <c r="K49" i="56"/>
  <c r="AE47" i="56"/>
  <c r="AD47" i="56"/>
  <c r="AC47" i="56"/>
  <c r="AA47" i="56"/>
  <c r="Z47" i="56"/>
  <c r="Y47" i="56"/>
  <c r="X47" i="56"/>
  <c r="W47" i="56"/>
  <c r="V47" i="56"/>
  <c r="U47" i="56"/>
  <c r="T47" i="56"/>
  <c r="S47" i="56"/>
  <c r="R47" i="56"/>
  <c r="Q47" i="56"/>
  <c r="P47" i="56"/>
  <c r="O47" i="56"/>
  <c r="N47" i="56"/>
  <c r="M47" i="56"/>
  <c r="L47" i="56"/>
  <c r="K47" i="56"/>
  <c r="AE46" i="56"/>
  <c r="AD46" i="56"/>
  <c r="AC46" i="56"/>
  <c r="AA46" i="56"/>
  <c r="Z46" i="56"/>
  <c r="Y46" i="56"/>
  <c r="X46" i="56"/>
  <c r="W46" i="56"/>
  <c r="V46" i="56"/>
  <c r="U46" i="56"/>
  <c r="T46" i="56"/>
  <c r="S46" i="56"/>
  <c r="R46" i="56"/>
  <c r="Q46" i="56"/>
  <c r="P46" i="56"/>
  <c r="O46" i="56"/>
  <c r="N46" i="56"/>
  <c r="M46" i="56"/>
  <c r="L46" i="56"/>
  <c r="K46" i="56"/>
  <c r="AE45" i="56"/>
  <c r="AD45" i="56"/>
  <c r="AC45" i="56"/>
  <c r="AA45" i="56"/>
  <c r="Z45" i="56"/>
  <c r="Y45" i="56"/>
  <c r="X45" i="56"/>
  <c r="W45" i="56"/>
  <c r="V45" i="56"/>
  <c r="U45" i="56"/>
  <c r="T45" i="56"/>
  <c r="S45" i="56"/>
  <c r="R45" i="56"/>
  <c r="Q45" i="56"/>
  <c r="P45" i="56"/>
  <c r="O45" i="56"/>
  <c r="N45" i="56"/>
  <c r="M45" i="56"/>
  <c r="L45" i="56"/>
  <c r="K45" i="56"/>
  <c r="AE44" i="56"/>
  <c r="AD44" i="56"/>
  <c r="AC44" i="56"/>
  <c r="AA44" i="56"/>
  <c r="Z44" i="56"/>
  <c r="Y44" i="56"/>
  <c r="X44" i="56"/>
  <c r="W44" i="56"/>
  <c r="V44" i="56"/>
  <c r="U44" i="56"/>
  <c r="T44" i="56"/>
  <c r="S44" i="56"/>
  <c r="R44" i="56"/>
  <c r="Q44" i="56"/>
  <c r="P44" i="56"/>
  <c r="O44" i="56"/>
  <c r="N44" i="56"/>
  <c r="M44" i="56"/>
  <c r="L44" i="56"/>
  <c r="K44" i="56"/>
  <c r="AE43" i="56"/>
  <c r="AD43" i="56"/>
  <c r="AC43" i="56"/>
  <c r="AA43" i="56"/>
  <c r="Z43" i="56"/>
  <c r="Y43" i="56"/>
  <c r="X43" i="56"/>
  <c r="W43" i="56"/>
  <c r="V43" i="56"/>
  <c r="U43" i="56"/>
  <c r="T43" i="56"/>
  <c r="S43" i="56"/>
  <c r="R43" i="56"/>
  <c r="Q43" i="56"/>
  <c r="P43" i="56"/>
  <c r="O43" i="56"/>
  <c r="N43" i="56"/>
  <c r="M43" i="56"/>
  <c r="L43" i="56"/>
  <c r="K43" i="56"/>
  <c r="AC13" i="56"/>
  <c r="AD13" i="56"/>
  <c r="AE13" i="56"/>
  <c r="AC14" i="56"/>
  <c r="AD14" i="56"/>
  <c r="AE14" i="56"/>
  <c r="AC15" i="56"/>
  <c r="AE15" i="56"/>
  <c r="AC16" i="56"/>
  <c r="AD16" i="56"/>
  <c r="AE16" i="56"/>
  <c r="AC17" i="56"/>
  <c r="AD17" i="56"/>
  <c r="AE17" i="56"/>
  <c r="AC18" i="56"/>
  <c r="AD18" i="56"/>
  <c r="AE18" i="56"/>
  <c r="AC19" i="56"/>
  <c r="AD19" i="56"/>
  <c r="AE19" i="56"/>
  <c r="AC20" i="56"/>
  <c r="AD20" i="56"/>
  <c r="AE20" i="56"/>
  <c r="AC21" i="56"/>
  <c r="AD21" i="56"/>
  <c r="AE21" i="56"/>
  <c r="AC22" i="56"/>
  <c r="AD22" i="56"/>
  <c r="AE22" i="56"/>
  <c r="AC23" i="56"/>
  <c r="AD23" i="56"/>
  <c r="AE23" i="56"/>
  <c r="AC24" i="56"/>
  <c r="AD24" i="56"/>
  <c r="AE24" i="56"/>
  <c r="AC25" i="56"/>
  <c r="AD25" i="56"/>
  <c r="AE25" i="56"/>
  <c r="AC26" i="56"/>
  <c r="AD26" i="56"/>
  <c r="AE26" i="56"/>
  <c r="AC27" i="56"/>
  <c r="AD27" i="56"/>
  <c r="AE27" i="56"/>
  <c r="AC28" i="56"/>
  <c r="AD28" i="56"/>
  <c r="AE28" i="56"/>
  <c r="AC29" i="56"/>
  <c r="AD29" i="56"/>
  <c r="AE29" i="56"/>
  <c r="AC30" i="56"/>
  <c r="AE30" i="56"/>
  <c r="AC31" i="56"/>
  <c r="AD31" i="56"/>
  <c r="AE31" i="56"/>
  <c r="AC32" i="56"/>
  <c r="AD32" i="56"/>
  <c r="AE32" i="56"/>
  <c r="AC33" i="56"/>
  <c r="AD33" i="56"/>
  <c r="AE33" i="56"/>
  <c r="AC34" i="56"/>
  <c r="AD34" i="56"/>
  <c r="AE34" i="56"/>
  <c r="AC35" i="56"/>
  <c r="AD35" i="56"/>
  <c r="AE35" i="56"/>
  <c r="AC36" i="56"/>
  <c r="AD36" i="56"/>
  <c r="AE36" i="56"/>
  <c r="AC37" i="56"/>
  <c r="AD37" i="56"/>
  <c r="AE37" i="56"/>
  <c r="AC38" i="56"/>
  <c r="AD38" i="56"/>
  <c r="AE38" i="56"/>
  <c r="AC39" i="56"/>
  <c r="AD39" i="56"/>
  <c r="AE39" i="56"/>
  <c r="AC40" i="56"/>
  <c r="AD40" i="56"/>
  <c r="AE40" i="56"/>
  <c r="K13" i="56"/>
  <c r="L13" i="56"/>
  <c r="M13" i="56"/>
  <c r="N13" i="56"/>
  <c r="O13" i="56"/>
  <c r="P13" i="56"/>
  <c r="Q13" i="56"/>
  <c r="R13" i="56"/>
  <c r="S13" i="56"/>
  <c r="T13" i="56"/>
  <c r="U13" i="56"/>
  <c r="V13" i="56"/>
  <c r="W13" i="56"/>
  <c r="X13" i="56"/>
  <c r="Y13" i="56"/>
  <c r="Z13" i="56"/>
  <c r="AA13" i="56"/>
  <c r="K14" i="56"/>
  <c r="L14" i="56"/>
  <c r="M14" i="56"/>
  <c r="N14" i="56"/>
  <c r="O14" i="56"/>
  <c r="P14" i="56"/>
  <c r="Q14" i="56"/>
  <c r="R14" i="56"/>
  <c r="S14" i="56"/>
  <c r="T14" i="56"/>
  <c r="U14" i="56"/>
  <c r="V14" i="56"/>
  <c r="W14" i="56"/>
  <c r="X14" i="56"/>
  <c r="Y14" i="56"/>
  <c r="Z14" i="56"/>
  <c r="AA14" i="56"/>
  <c r="K15" i="56"/>
  <c r="L15" i="56"/>
  <c r="M15" i="56"/>
  <c r="N15" i="56"/>
  <c r="O15" i="56"/>
  <c r="P15" i="56"/>
  <c r="Q15" i="56"/>
  <c r="R15" i="56"/>
  <c r="S15" i="56"/>
  <c r="T15" i="56"/>
  <c r="U15" i="56"/>
  <c r="V15" i="56"/>
  <c r="W15" i="56"/>
  <c r="X15" i="56"/>
  <c r="Y15" i="56"/>
  <c r="Z15" i="56"/>
  <c r="AA15" i="56"/>
  <c r="K16" i="56"/>
  <c r="L16" i="56"/>
  <c r="M16" i="56"/>
  <c r="N16" i="56"/>
  <c r="O16" i="56"/>
  <c r="P16" i="56"/>
  <c r="Q16" i="56"/>
  <c r="R16" i="56"/>
  <c r="S16" i="56"/>
  <c r="T16" i="56"/>
  <c r="U16" i="56"/>
  <c r="V16" i="56"/>
  <c r="W16" i="56"/>
  <c r="X16" i="56"/>
  <c r="Y16" i="56"/>
  <c r="Z16" i="56"/>
  <c r="AA16" i="56"/>
  <c r="K17" i="56"/>
  <c r="L17" i="56"/>
  <c r="M17" i="56"/>
  <c r="N17" i="56"/>
  <c r="O17" i="56"/>
  <c r="P17" i="56"/>
  <c r="Q17" i="56"/>
  <c r="R17" i="56"/>
  <c r="S17" i="56"/>
  <c r="T17" i="56"/>
  <c r="U17" i="56"/>
  <c r="V17" i="56"/>
  <c r="W17" i="56"/>
  <c r="X17" i="56"/>
  <c r="Y17" i="56"/>
  <c r="Z17" i="56"/>
  <c r="AA17" i="56"/>
  <c r="K18" i="56"/>
  <c r="L18" i="56"/>
  <c r="M18" i="56"/>
  <c r="N18" i="56"/>
  <c r="O18" i="56"/>
  <c r="P18" i="56"/>
  <c r="Q18" i="56"/>
  <c r="R18" i="56"/>
  <c r="S18" i="56"/>
  <c r="T18" i="56"/>
  <c r="U18" i="56"/>
  <c r="V18" i="56"/>
  <c r="W18" i="56"/>
  <c r="X18" i="56"/>
  <c r="Y18" i="56"/>
  <c r="Z18" i="56"/>
  <c r="AA18" i="56"/>
  <c r="K19" i="56"/>
  <c r="L19" i="56"/>
  <c r="M19" i="56"/>
  <c r="N19" i="56"/>
  <c r="O19" i="56"/>
  <c r="P19" i="56"/>
  <c r="Q19" i="56"/>
  <c r="R19" i="56"/>
  <c r="S19" i="56"/>
  <c r="T19" i="56"/>
  <c r="U19" i="56"/>
  <c r="V19" i="56"/>
  <c r="W19" i="56"/>
  <c r="X19" i="56"/>
  <c r="Y19" i="56"/>
  <c r="Z19" i="56"/>
  <c r="AA19" i="56"/>
  <c r="K20" i="56"/>
  <c r="L20" i="56"/>
  <c r="M20" i="56"/>
  <c r="N20" i="56"/>
  <c r="O20" i="56"/>
  <c r="P20" i="56"/>
  <c r="Q20" i="56"/>
  <c r="R20" i="56"/>
  <c r="S20" i="56"/>
  <c r="T20" i="56"/>
  <c r="U20" i="56"/>
  <c r="V20" i="56"/>
  <c r="W20" i="56"/>
  <c r="X20" i="56"/>
  <c r="Y20" i="56"/>
  <c r="Z20" i="56"/>
  <c r="AA20" i="56"/>
  <c r="K21" i="56"/>
  <c r="L21" i="56"/>
  <c r="M21" i="56"/>
  <c r="N21" i="56"/>
  <c r="O21" i="56"/>
  <c r="P21" i="56"/>
  <c r="Q21" i="56"/>
  <c r="R21" i="56"/>
  <c r="S21" i="56"/>
  <c r="T21" i="56"/>
  <c r="U21" i="56"/>
  <c r="V21" i="56"/>
  <c r="W21" i="56"/>
  <c r="X21" i="56"/>
  <c r="Y21" i="56"/>
  <c r="Z21" i="56"/>
  <c r="AA21" i="56"/>
  <c r="K22" i="56"/>
  <c r="L22" i="56"/>
  <c r="M22" i="56"/>
  <c r="N22" i="56"/>
  <c r="O22" i="56"/>
  <c r="P22" i="56"/>
  <c r="Q22" i="56"/>
  <c r="R22" i="56"/>
  <c r="S22" i="56"/>
  <c r="T22" i="56"/>
  <c r="U22" i="56"/>
  <c r="V22" i="56"/>
  <c r="W22" i="56"/>
  <c r="X22" i="56"/>
  <c r="Y22" i="56"/>
  <c r="Z22" i="56"/>
  <c r="AA22" i="56"/>
  <c r="K23" i="56"/>
  <c r="L23" i="56"/>
  <c r="M23" i="56"/>
  <c r="N23" i="56"/>
  <c r="O23" i="56"/>
  <c r="P23" i="56"/>
  <c r="Q23" i="56"/>
  <c r="R23" i="56"/>
  <c r="S23" i="56"/>
  <c r="T23" i="56"/>
  <c r="U23" i="56"/>
  <c r="V23" i="56"/>
  <c r="W23" i="56"/>
  <c r="X23" i="56"/>
  <c r="Y23" i="56"/>
  <c r="Z23" i="56"/>
  <c r="AA23" i="56"/>
  <c r="K24" i="56"/>
  <c r="L24" i="56"/>
  <c r="M24" i="56"/>
  <c r="N24" i="56"/>
  <c r="O24" i="56"/>
  <c r="P24" i="56"/>
  <c r="Q24" i="56"/>
  <c r="R24" i="56"/>
  <c r="S24" i="56"/>
  <c r="T24" i="56"/>
  <c r="U24" i="56"/>
  <c r="V24" i="56"/>
  <c r="W24" i="56"/>
  <c r="X24" i="56"/>
  <c r="Y24" i="56"/>
  <c r="Z24" i="56"/>
  <c r="AA24" i="56"/>
  <c r="K25" i="56"/>
  <c r="L25" i="56"/>
  <c r="M25" i="56"/>
  <c r="N25" i="56"/>
  <c r="O25" i="56"/>
  <c r="P25" i="56"/>
  <c r="Q25" i="56"/>
  <c r="R25" i="56"/>
  <c r="S25" i="56"/>
  <c r="T25" i="56"/>
  <c r="U25" i="56"/>
  <c r="V25" i="56"/>
  <c r="W25" i="56"/>
  <c r="X25" i="56"/>
  <c r="Y25" i="56"/>
  <c r="Z25" i="56"/>
  <c r="AA25" i="56"/>
  <c r="K26" i="56"/>
  <c r="L26" i="56"/>
  <c r="M26" i="56"/>
  <c r="N26" i="56"/>
  <c r="O26" i="56"/>
  <c r="P26" i="56"/>
  <c r="Q26" i="56"/>
  <c r="R26" i="56"/>
  <c r="S26" i="56"/>
  <c r="T26" i="56"/>
  <c r="U26" i="56"/>
  <c r="V26" i="56"/>
  <c r="W26" i="56"/>
  <c r="X26" i="56"/>
  <c r="Y26" i="56"/>
  <c r="Z26" i="56"/>
  <c r="AA26" i="56"/>
  <c r="K27" i="56"/>
  <c r="L27" i="56"/>
  <c r="M27" i="56"/>
  <c r="N27" i="56"/>
  <c r="O27" i="56"/>
  <c r="P27" i="56"/>
  <c r="Q27" i="56"/>
  <c r="R27" i="56"/>
  <c r="S27" i="56"/>
  <c r="T27" i="56"/>
  <c r="U27" i="56"/>
  <c r="V27" i="56"/>
  <c r="W27" i="56"/>
  <c r="X27" i="56"/>
  <c r="Y27" i="56"/>
  <c r="Z27" i="56"/>
  <c r="AA27" i="56"/>
  <c r="K28" i="56"/>
  <c r="L28" i="56"/>
  <c r="M28" i="56"/>
  <c r="N28" i="56"/>
  <c r="O28" i="56"/>
  <c r="P28" i="56"/>
  <c r="Q28" i="56"/>
  <c r="R28" i="56"/>
  <c r="S28" i="56"/>
  <c r="T28" i="56"/>
  <c r="U28" i="56"/>
  <c r="V28" i="56"/>
  <c r="W28" i="56"/>
  <c r="X28" i="56"/>
  <c r="Y28" i="56"/>
  <c r="Z28" i="56"/>
  <c r="AA28" i="56"/>
  <c r="K29" i="56"/>
  <c r="L29" i="56"/>
  <c r="M29" i="56"/>
  <c r="N29" i="56"/>
  <c r="O29" i="56"/>
  <c r="P29" i="56"/>
  <c r="Q29" i="56"/>
  <c r="R29" i="56"/>
  <c r="S29" i="56"/>
  <c r="T29" i="56"/>
  <c r="U29" i="56"/>
  <c r="V29" i="56"/>
  <c r="W29" i="56"/>
  <c r="X29" i="56"/>
  <c r="Y29" i="56"/>
  <c r="Z29" i="56"/>
  <c r="AA29" i="56"/>
  <c r="K30" i="56"/>
  <c r="L30" i="56"/>
  <c r="M30" i="56"/>
  <c r="N30" i="56"/>
  <c r="O30" i="56"/>
  <c r="P30" i="56"/>
  <c r="Q30" i="56"/>
  <c r="R30" i="56"/>
  <c r="S30" i="56"/>
  <c r="T30" i="56"/>
  <c r="U30" i="56"/>
  <c r="V30" i="56"/>
  <c r="W30" i="56"/>
  <c r="X30" i="56"/>
  <c r="Y30" i="56"/>
  <c r="Z30" i="56"/>
  <c r="AA30" i="56"/>
  <c r="K31" i="56"/>
  <c r="L31" i="56"/>
  <c r="M31" i="56"/>
  <c r="N31" i="56"/>
  <c r="O31" i="56"/>
  <c r="P31" i="56"/>
  <c r="Q31" i="56"/>
  <c r="R31" i="56"/>
  <c r="S31" i="56"/>
  <c r="T31" i="56"/>
  <c r="U31" i="56"/>
  <c r="V31" i="56"/>
  <c r="W31" i="56"/>
  <c r="X31" i="56"/>
  <c r="Y31" i="56"/>
  <c r="Z31" i="56"/>
  <c r="AA31" i="56"/>
  <c r="K32" i="56"/>
  <c r="L32" i="56"/>
  <c r="M32" i="56"/>
  <c r="N32" i="56"/>
  <c r="O32" i="56"/>
  <c r="P32" i="56"/>
  <c r="Q32" i="56"/>
  <c r="R32" i="56"/>
  <c r="S32" i="56"/>
  <c r="T32" i="56"/>
  <c r="U32" i="56"/>
  <c r="V32" i="56"/>
  <c r="W32" i="56"/>
  <c r="X32" i="56"/>
  <c r="Y32" i="56"/>
  <c r="Z32" i="56"/>
  <c r="AA32" i="56"/>
  <c r="K33" i="56"/>
  <c r="L33" i="56"/>
  <c r="M33" i="56"/>
  <c r="N33" i="56"/>
  <c r="O33" i="56"/>
  <c r="P33" i="56"/>
  <c r="Q33" i="56"/>
  <c r="R33" i="56"/>
  <c r="S33" i="56"/>
  <c r="T33" i="56"/>
  <c r="U33" i="56"/>
  <c r="V33" i="56"/>
  <c r="W33" i="56"/>
  <c r="X33" i="56"/>
  <c r="Y33" i="56"/>
  <c r="Z33" i="56"/>
  <c r="AA33" i="56"/>
  <c r="K34" i="56"/>
  <c r="L34" i="56"/>
  <c r="M34" i="56"/>
  <c r="N34" i="56"/>
  <c r="O34" i="56"/>
  <c r="P34" i="56"/>
  <c r="Q34" i="56"/>
  <c r="R34" i="56"/>
  <c r="S34" i="56"/>
  <c r="T34" i="56"/>
  <c r="U34" i="56"/>
  <c r="V34" i="56"/>
  <c r="W34" i="56"/>
  <c r="X34" i="56"/>
  <c r="Y34" i="56"/>
  <c r="Z34" i="56"/>
  <c r="AA34" i="56"/>
  <c r="K35" i="56"/>
  <c r="L35" i="56"/>
  <c r="M35" i="56"/>
  <c r="N35" i="56"/>
  <c r="O35" i="56"/>
  <c r="P35" i="56"/>
  <c r="Q35" i="56"/>
  <c r="R35" i="56"/>
  <c r="S35" i="56"/>
  <c r="T35" i="56"/>
  <c r="U35" i="56"/>
  <c r="V35" i="56"/>
  <c r="W35" i="56"/>
  <c r="X35" i="56"/>
  <c r="Y35" i="56"/>
  <c r="Z35" i="56"/>
  <c r="AA35" i="56"/>
  <c r="K36" i="56"/>
  <c r="L36" i="56"/>
  <c r="M36" i="56"/>
  <c r="N36" i="56"/>
  <c r="O36" i="56"/>
  <c r="P36" i="56"/>
  <c r="Q36" i="56"/>
  <c r="R36" i="56"/>
  <c r="S36" i="56"/>
  <c r="T36" i="56"/>
  <c r="U36" i="56"/>
  <c r="V36" i="56"/>
  <c r="W36" i="56"/>
  <c r="X36" i="56"/>
  <c r="Y36" i="56"/>
  <c r="Z36" i="56"/>
  <c r="AA36" i="56"/>
  <c r="K37" i="56"/>
  <c r="L37" i="56"/>
  <c r="M37" i="56"/>
  <c r="N37" i="56"/>
  <c r="O37" i="56"/>
  <c r="P37" i="56"/>
  <c r="Q37" i="56"/>
  <c r="R37" i="56"/>
  <c r="S37" i="56"/>
  <c r="T37" i="56"/>
  <c r="U37" i="56"/>
  <c r="V37" i="56"/>
  <c r="W37" i="56"/>
  <c r="X37" i="56"/>
  <c r="Y37" i="56"/>
  <c r="Z37" i="56"/>
  <c r="AA37" i="56"/>
  <c r="K38" i="56"/>
  <c r="L38" i="56"/>
  <c r="M38" i="56"/>
  <c r="N38" i="56"/>
  <c r="O38" i="56"/>
  <c r="P38" i="56"/>
  <c r="Q38" i="56"/>
  <c r="R38" i="56"/>
  <c r="S38" i="56"/>
  <c r="T38" i="56"/>
  <c r="U38" i="56"/>
  <c r="V38" i="56"/>
  <c r="W38" i="56"/>
  <c r="X38" i="56"/>
  <c r="Y38" i="56"/>
  <c r="Z38" i="56"/>
  <c r="AA38" i="56"/>
  <c r="K39" i="56"/>
  <c r="L39" i="56"/>
  <c r="M39" i="56"/>
  <c r="N39" i="56"/>
  <c r="O39" i="56"/>
  <c r="P39" i="56"/>
  <c r="Q39" i="56"/>
  <c r="R39" i="56"/>
  <c r="S39" i="56"/>
  <c r="T39" i="56"/>
  <c r="U39" i="56"/>
  <c r="V39" i="56"/>
  <c r="W39" i="56"/>
  <c r="X39" i="56"/>
  <c r="Y39" i="56"/>
  <c r="Z39" i="56"/>
  <c r="AA39" i="56"/>
  <c r="K40" i="56"/>
  <c r="L40" i="56"/>
  <c r="M40" i="56"/>
  <c r="N40" i="56"/>
  <c r="O40" i="56"/>
  <c r="P40" i="56"/>
  <c r="Q40" i="56"/>
  <c r="R40" i="56"/>
  <c r="S40" i="56"/>
  <c r="T40" i="56"/>
  <c r="U40" i="56"/>
  <c r="V40" i="56"/>
  <c r="W40" i="56"/>
  <c r="X40" i="56"/>
  <c r="Y40" i="56"/>
  <c r="Z40" i="56"/>
  <c r="AA40" i="56"/>
  <c r="AD12" i="56"/>
  <c r="AE12" i="56"/>
  <c r="AC12" i="56"/>
  <c r="W12" i="56"/>
  <c r="X12" i="56"/>
  <c r="Y12" i="56"/>
  <c r="Z12" i="56"/>
  <c r="AA12" i="56"/>
  <c r="M12" i="56"/>
  <c r="N12" i="56"/>
  <c r="O12" i="56"/>
  <c r="P12" i="56"/>
  <c r="Q12" i="56"/>
  <c r="R12" i="56"/>
  <c r="S12" i="56"/>
  <c r="T12" i="56"/>
  <c r="U12" i="56"/>
  <c r="V12" i="56"/>
  <c r="L12" i="56"/>
  <c r="K12" i="56"/>
  <c r="A43" i="56"/>
  <c r="A44" i="56" s="1"/>
  <c r="A45" i="56" s="1"/>
  <c r="A46" i="56" s="1"/>
  <c r="A47" i="56" s="1"/>
  <c r="E23" i="55"/>
  <c r="D22" i="55"/>
  <c r="E22" i="55"/>
  <c r="D23" i="55"/>
  <c r="D24" i="55"/>
  <c r="E24" i="55"/>
  <c r="D25" i="55"/>
  <c r="E25" i="55"/>
  <c r="E21" i="55"/>
  <c r="D21" i="55"/>
  <c r="C27" i="14"/>
  <c r="C26" i="14"/>
  <c r="C25" i="14"/>
  <c r="C24" i="14"/>
  <c r="C22" i="14"/>
  <c r="C21" i="14"/>
  <c r="D29" i="14"/>
  <c r="D12" i="14" s="1"/>
  <c r="E29" i="14"/>
  <c r="C36" i="14"/>
  <c r="C35" i="14"/>
  <c r="E34" i="55"/>
  <c r="E34" i="113" s="1"/>
  <c r="C34" i="113" s="1"/>
  <c r="E35" i="55"/>
  <c r="E36" i="55"/>
  <c r="E31" i="55"/>
  <c r="E31" i="113" s="1"/>
  <c r="C31" i="113" s="1"/>
  <c r="E32" i="55"/>
  <c r="E32" i="113" s="1"/>
  <c r="C32" i="113" s="1"/>
  <c r="E33" i="55"/>
  <c r="E33" i="113" s="1"/>
  <c r="E30" i="55"/>
  <c r="E30" i="113" s="1"/>
  <c r="C30" i="113" s="1"/>
  <c r="B29" i="55"/>
  <c r="B22" i="55"/>
  <c r="B23" i="55"/>
  <c r="B24" i="55"/>
  <c r="B25" i="55"/>
  <c r="B26" i="55"/>
  <c r="B26" i="113" s="1"/>
  <c r="B27" i="55"/>
  <c r="B27" i="113" s="1"/>
  <c r="B21" i="55"/>
  <c r="B31" i="55"/>
  <c r="B31" i="113" s="1"/>
  <c r="B32" i="55"/>
  <c r="B32" i="113" s="1"/>
  <c r="B33" i="55"/>
  <c r="B33" i="113" s="1"/>
  <c r="B34" i="55"/>
  <c r="B34" i="113" s="1"/>
  <c r="B35" i="55"/>
  <c r="B35" i="113" s="1"/>
  <c r="B36" i="55"/>
  <c r="B36" i="113" s="1"/>
  <c r="B30" i="55"/>
  <c r="B30" i="113" s="1"/>
  <c r="A31" i="55"/>
  <c r="A31" i="113" s="1"/>
  <c r="A32" i="55"/>
  <c r="A32" i="113" s="1"/>
  <c r="A33" i="55"/>
  <c r="A33" i="113" s="1"/>
  <c r="A34" i="55"/>
  <c r="A34" i="113" s="1"/>
  <c r="A35" i="55"/>
  <c r="A35" i="113" s="1"/>
  <c r="A36" i="55"/>
  <c r="A36" i="113" s="1"/>
  <c r="A30" i="55"/>
  <c r="A30" i="113" s="1"/>
  <c r="A21" i="55"/>
  <c r="A22" i="55"/>
  <c r="A23" i="55"/>
  <c r="A24" i="55"/>
  <c r="A25" i="55"/>
  <c r="A26" i="55"/>
  <c r="A26" i="113" s="1"/>
  <c r="A27" i="55"/>
  <c r="A27" i="113" s="1"/>
  <c r="A20" i="55"/>
  <c r="A20" i="113" s="1"/>
  <c r="B20" i="55"/>
  <c r="B20" i="113" s="1"/>
  <c r="B19" i="55"/>
  <c r="B19" i="113" s="1"/>
  <c r="A19" i="55"/>
  <c r="A19" i="113" s="1"/>
  <c r="E17" i="55"/>
  <c r="E17" i="113" s="1"/>
  <c r="D17" i="55"/>
  <c r="D17" i="113" s="1"/>
  <c r="D13" i="113" s="1"/>
  <c r="C13" i="113" s="1"/>
  <c r="B17" i="55"/>
  <c r="B17" i="113" s="1"/>
  <c r="A17" i="55"/>
  <c r="A17" i="113" s="1"/>
  <c r="D16" i="55"/>
  <c r="D16" i="113" s="1"/>
  <c r="E16" i="55"/>
  <c r="E16" i="113" s="1"/>
  <c r="E15" i="55"/>
  <c r="E15" i="113" s="1"/>
  <c r="B16" i="55"/>
  <c r="B15" i="55"/>
  <c r="B15" i="113" s="1"/>
  <c r="B14" i="55"/>
  <c r="B13" i="55"/>
  <c r="B13" i="113" s="1"/>
  <c r="A13" i="55"/>
  <c r="A13" i="113" s="1"/>
  <c r="B12" i="55"/>
  <c r="B12" i="113" s="1"/>
  <c r="A12" i="55"/>
  <c r="A12" i="113" s="1"/>
  <c r="B11" i="55"/>
  <c r="B10" i="55"/>
  <c r="A9" i="55"/>
  <c r="A9" i="113" s="1"/>
  <c r="B8" i="55"/>
  <c r="B8" i="113" s="1"/>
  <c r="A8" i="55"/>
  <c r="A8" i="113" s="1"/>
  <c r="B7" i="55"/>
  <c r="B7" i="113" s="1"/>
  <c r="C23" i="113" l="1"/>
  <c r="C17" i="113"/>
  <c r="C36" i="55"/>
  <c r="E36" i="113"/>
  <c r="C36" i="113" s="1"/>
  <c r="C35" i="55"/>
  <c r="E35" i="113"/>
  <c r="C35" i="113" s="1"/>
  <c r="C24" i="113"/>
  <c r="G60" i="56"/>
  <c r="L60" i="56"/>
  <c r="T60" i="56"/>
  <c r="AC60" i="56"/>
  <c r="H60" i="56"/>
  <c r="R60" i="56"/>
  <c r="Z60" i="56"/>
  <c r="K60" i="56"/>
  <c r="M60" i="56"/>
  <c r="U60" i="56"/>
  <c r="AD60" i="56"/>
  <c r="S60" i="56"/>
  <c r="N60" i="56"/>
  <c r="V60" i="56"/>
  <c r="AE60" i="56"/>
  <c r="O60" i="56"/>
  <c r="W60" i="56"/>
  <c r="AA60" i="56"/>
  <c r="P60" i="56"/>
  <c r="X60" i="56"/>
  <c r="E60" i="56"/>
  <c r="Q60" i="56"/>
  <c r="Y60" i="56"/>
  <c r="F60" i="56"/>
  <c r="C16" i="113"/>
  <c r="C22" i="113"/>
  <c r="D8" i="14"/>
  <c r="D7" i="14" s="1"/>
  <c r="F12" i="14"/>
  <c r="C15" i="113"/>
  <c r="C25" i="113"/>
  <c r="D20" i="113"/>
  <c r="D19" i="113" s="1"/>
  <c r="E20" i="113"/>
  <c r="E19" i="113" s="1"/>
  <c r="D20" i="55"/>
  <c r="D19" i="55" s="1"/>
  <c r="D12" i="55" s="1"/>
  <c r="C21" i="113"/>
  <c r="E29" i="55"/>
  <c r="D116" i="56"/>
  <c r="D117" i="56"/>
  <c r="AB25" i="56"/>
  <c r="AB36" i="56"/>
  <c r="AB43" i="56"/>
  <c r="AB45" i="56"/>
  <c r="AB51" i="56"/>
  <c r="AB35" i="56"/>
  <c r="AB32" i="56"/>
  <c r="AB26" i="56"/>
  <c r="AB16" i="56"/>
  <c r="AB44" i="56"/>
  <c r="AB46" i="56"/>
  <c r="AB64" i="56"/>
  <c r="L56" i="56"/>
  <c r="AB66" i="56"/>
  <c r="M42" i="56"/>
  <c r="U42" i="56"/>
  <c r="AB61" i="56"/>
  <c r="AB75" i="56"/>
  <c r="F11" i="56"/>
  <c r="AB34" i="56"/>
  <c r="AB18" i="56"/>
  <c r="K56" i="56"/>
  <c r="S56" i="56"/>
  <c r="AB17" i="56"/>
  <c r="N42" i="56"/>
  <c r="V42" i="56"/>
  <c r="AE42" i="56"/>
  <c r="AB37" i="56"/>
  <c r="AB29" i="56"/>
  <c r="AB21" i="56"/>
  <c r="AB108" i="56"/>
  <c r="AB28" i="56"/>
  <c r="AB20" i="56"/>
  <c r="AD56" i="56"/>
  <c r="K11" i="56"/>
  <c r="J69" i="56"/>
  <c r="D39" i="56"/>
  <c r="D68" i="56"/>
  <c r="P56" i="56"/>
  <c r="AB33" i="56"/>
  <c r="AB69" i="56"/>
  <c r="AB67" i="56"/>
  <c r="E29" i="113"/>
  <c r="C29" i="113"/>
  <c r="E20" i="55"/>
  <c r="E19" i="55" s="1"/>
  <c r="AB39" i="56"/>
  <c r="AB23" i="56"/>
  <c r="AB47" i="56"/>
  <c r="AB57" i="56"/>
  <c r="AB62" i="56"/>
  <c r="AB31" i="56"/>
  <c r="W11" i="56"/>
  <c r="AB38" i="56"/>
  <c r="H42" i="56"/>
  <c r="D45" i="56"/>
  <c r="D53" i="56"/>
  <c r="D58" i="56"/>
  <c r="D61" i="56"/>
  <c r="D63" i="56"/>
  <c r="D66" i="56"/>
  <c r="D98" i="56"/>
  <c r="L42" i="56"/>
  <c r="T42" i="56"/>
  <c r="M56" i="56"/>
  <c r="D107" i="56"/>
  <c r="D99" i="56"/>
  <c r="D97" i="56"/>
  <c r="D95" i="56"/>
  <c r="D23" i="56"/>
  <c r="AB55" i="56"/>
  <c r="AB58" i="56"/>
  <c r="D64" i="56"/>
  <c r="AB27" i="56"/>
  <c r="AB19" i="56"/>
  <c r="AB107" i="56"/>
  <c r="D118" i="56"/>
  <c r="C13" i="55"/>
  <c r="D102" i="56"/>
  <c r="X11" i="56"/>
  <c r="R42" i="56"/>
  <c r="AB106" i="56"/>
  <c r="D47" i="56"/>
  <c r="D77" i="56"/>
  <c r="D96" i="56"/>
  <c r="AE11" i="56"/>
  <c r="AB40" i="56"/>
  <c r="AB24" i="56"/>
  <c r="E42" i="56"/>
  <c r="AE48" i="56"/>
  <c r="D75" i="56"/>
  <c r="D106" i="56"/>
  <c r="AC42" i="56"/>
  <c r="AA11" i="56"/>
  <c r="O42" i="56"/>
  <c r="G56" i="56"/>
  <c r="D108" i="56"/>
  <c r="Z11" i="56"/>
  <c r="H56" i="56"/>
  <c r="AC11" i="56"/>
  <c r="D90" i="56"/>
  <c r="Y11" i="56"/>
  <c r="D35" i="56"/>
  <c r="D33" i="56"/>
  <c r="D31" i="56"/>
  <c r="D29" i="56"/>
  <c r="D27" i="56"/>
  <c r="D25" i="56"/>
  <c r="D19" i="56"/>
  <c r="D17" i="56"/>
  <c r="D15" i="56"/>
  <c r="D13" i="56"/>
  <c r="D49" i="56"/>
  <c r="D55" i="56"/>
  <c r="D54" i="56"/>
  <c r="L48" i="56"/>
  <c r="J49" i="56"/>
  <c r="V48" i="56"/>
  <c r="R48" i="56"/>
  <c r="J68" i="56"/>
  <c r="U56" i="56"/>
  <c r="J40" i="56"/>
  <c r="AB49" i="56"/>
  <c r="J54" i="56"/>
  <c r="J53" i="56"/>
  <c r="O56" i="56"/>
  <c r="AE56" i="56"/>
  <c r="V56" i="56"/>
  <c r="J59" i="56"/>
  <c r="J58" i="56"/>
  <c r="J111" i="56"/>
  <c r="D43" i="56"/>
  <c r="F56" i="56"/>
  <c r="J118" i="56"/>
  <c r="E11" i="56"/>
  <c r="D37" i="56"/>
  <c r="D21" i="56"/>
  <c r="H11" i="56"/>
  <c r="D69" i="56"/>
  <c r="D67" i="56"/>
  <c r="D65" i="56"/>
  <c r="AD42" i="56"/>
  <c r="AB111" i="56"/>
  <c r="J12" i="56"/>
  <c r="AB53" i="56"/>
  <c r="J64" i="56"/>
  <c r="J77" i="56"/>
  <c r="J44" i="56"/>
  <c r="J66" i="56"/>
  <c r="J67" i="56"/>
  <c r="AB65" i="56"/>
  <c r="AB118" i="56"/>
  <c r="D40" i="56"/>
  <c r="D38" i="56"/>
  <c r="D36" i="56"/>
  <c r="D34" i="56"/>
  <c r="D32" i="56"/>
  <c r="D30" i="56"/>
  <c r="D28" i="56"/>
  <c r="D26" i="56"/>
  <c r="D24" i="56"/>
  <c r="D22" i="56"/>
  <c r="D20" i="56"/>
  <c r="D18" i="56"/>
  <c r="D16" i="56"/>
  <c r="D50" i="56"/>
  <c r="D52" i="56"/>
  <c r="D57" i="56"/>
  <c r="D59" i="56"/>
  <c r="N56" i="56"/>
  <c r="J65" i="56"/>
  <c r="J43" i="56"/>
  <c r="N48" i="56"/>
  <c r="K42" i="56"/>
  <c r="S42" i="56"/>
  <c r="AD48" i="56"/>
  <c r="J61" i="56"/>
  <c r="AB68" i="56"/>
  <c r="G42" i="56"/>
  <c r="D51" i="56"/>
  <c r="D105" i="56"/>
  <c r="J55" i="56"/>
  <c r="J112" i="56"/>
  <c r="J108" i="56"/>
  <c r="J107" i="56"/>
  <c r="G11" i="56"/>
  <c r="F48" i="56"/>
  <c r="AB22" i="56"/>
  <c r="AB14" i="56"/>
  <c r="J45" i="56"/>
  <c r="O48" i="56"/>
  <c r="T48" i="56"/>
  <c r="J51" i="56"/>
  <c r="J113" i="56"/>
  <c r="AB112" i="56"/>
  <c r="L11" i="56"/>
  <c r="O11" i="56"/>
  <c r="J39" i="56"/>
  <c r="J38" i="56"/>
  <c r="J37" i="56"/>
  <c r="J36" i="56"/>
  <c r="J35" i="56"/>
  <c r="J34" i="56"/>
  <c r="J33" i="56"/>
  <c r="J32" i="56"/>
  <c r="J31" i="56"/>
  <c r="J30" i="56"/>
  <c r="J29" i="56"/>
  <c r="J28" i="56"/>
  <c r="J27" i="56"/>
  <c r="J26" i="56"/>
  <c r="J25" i="56"/>
  <c r="J24" i="56"/>
  <c r="J23" i="56"/>
  <c r="J22" i="56"/>
  <c r="J21" i="56"/>
  <c r="R11" i="56"/>
  <c r="S11" i="56"/>
  <c r="J18" i="56"/>
  <c r="J17" i="56"/>
  <c r="J16" i="56"/>
  <c r="J15" i="56"/>
  <c r="J14" i="56"/>
  <c r="Q11" i="56"/>
  <c r="J117" i="56"/>
  <c r="J116" i="56"/>
  <c r="E56" i="56"/>
  <c r="D62" i="56"/>
  <c r="AB13" i="56"/>
  <c r="AB12" i="56"/>
  <c r="J46" i="56"/>
  <c r="J47" i="56"/>
  <c r="AB54" i="56"/>
  <c r="AB52" i="56"/>
  <c r="U48" i="56"/>
  <c r="J50" i="56"/>
  <c r="AB117" i="56"/>
  <c r="S48" i="56"/>
  <c r="J52" i="56"/>
  <c r="AC48" i="56"/>
  <c r="Q56" i="56"/>
  <c r="AC56" i="56"/>
  <c r="T56" i="56"/>
  <c r="AB63" i="56"/>
  <c r="AB113" i="56"/>
  <c r="D12" i="56"/>
  <c r="D46" i="56"/>
  <c r="D44" i="56"/>
  <c r="R35" i="114"/>
  <c r="J62" i="56"/>
  <c r="T14" i="114"/>
  <c r="H13" i="114"/>
  <c r="D44" i="114"/>
  <c r="C34" i="112"/>
  <c r="C42" i="112"/>
  <c r="G48" i="56"/>
  <c r="E48" i="56"/>
  <c r="H48" i="56"/>
  <c r="F42" i="56"/>
  <c r="D14" i="56"/>
  <c r="J63" i="56"/>
  <c r="R56" i="56"/>
  <c r="AB59" i="56"/>
  <c r="J57" i="56"/>
  <c r="M48" i="56"/>
  <c r="K48" i="56"/>
  <c r="P48" i="56"/>
  <c r="Q48" i="56"/>
  <c r="AB50" i="56"/>
  <c r="P42" i="56"/>
  <c r="Q42" i="56"/>
  <c r="P11" i="56"/>
  <c r="J13" i="56"/>
  <c r="V11" i="56"/>
  <c r="N11" i="56"/>
  <c r="U11" i="56"/>
  <c r="M11" i="56"/>
  <c r="J20" i="56"/>
  <c r="T11" i="56"/>
  <c r="J19" i="56"/>
  <c r="C23" i="14"/>
  <c r="G20" i="14"/>
  <c r="G27" i="14" s="1"/>
  <c r="I27" i="14" s="1"/>
  <c r="C15" i="55"/>
  <c r="C16" i="55"/>
  <c r="C17" i="55"/>
  <c r="E12" i="113" l="1"/>
  <c r="E8" i="113" s="1"/>
  <c r="E7" i="113" s="1"/>
  <c r="D12" i="113"/>
  <c r="D8" i="113" s="1"/>
  <c r="D7" i="113" s="1"/>
  <c r="C20" i="113"/>
  <c r="C77" i="56"/>
  <c r="D60" i="56"/>
  <c r="J60" i="56"/>
  <c r="AB60" i="56"/>
  <c r="E12" i="55"/>
  <c r="AA36" i="2"/>
  <c r="G46" i="157" s="1"/>
  <c r="G7" i="14"/>
  <c r="G9" i="14" s="1"/>
  <c r="E12" i="14"/>
  <c r="E8" i="14" s="1"/>
  <c r="E7" i="14" s="1"/>
  <c r="AE57" i="1" s="1"/>
  <c r="AD30" i="11"/>
  <c r="C20" i="14"/>
  <c r="C19" i="14" s="1"/>
  <c r="P25" i="155" s="1"/>
  <c r="C19" i="113"/>
  <c r="C12" i="113" s="1"/>
  <c r="C8" i="113" s="1"/>
  <c r="C7" i="113" s="1"/>
  <c r="AE56" i="1"/>
  <c r="AC116" i="11"/>
  <c r="C107" i="56"/>
  <c r="V41" i="56"/>
  <c r="AA10" i="56"/>
  <c r="AA9" i="56" s="1"/>
  <c r="Y10" i="56"/>
  <c r="Y9" i="56" s="1"/>
  <c r="C68" i="56"/>
  <c r="X10" i="56"/>
  <c r="C45" i="56"/>
  <c r="C117" i="56"/>
  <c r="C40" i="56"/>
  <c r="C35" i="56"/>
  <c r="C59" i="56"/>
  <c r="C24" i="56"/>
  <c r="C17" i="56"/>
  <c r="AB42" i="56"/>
  <c r="C14" i="56"/>
  <c r="C62" i="56"/>
  <c r="C57" i="56"/>
  <c r="C26" i="56"/>
  <c r="C65" i="56"/>
  <c r="C90" i="56"/>
  <c r="U41" i="56"/>
  <c r="C28" i="56"/>
  <c r="C25" i="56"/>
  <c r="C66" i="56"/>
  <c r="C50" i="56"/>
  <c r="AC41" i="56"/>
  <c r="AC10" i="56" s="1"/>
  <c r="H41" i="56"/>
  <c r="H10" i="56" s="1"/>
  <c r="N41" i="56"/>
  <c r="C52" i="56"/>
  <c r="J11" i="56"/>
  <c r="C67" i="56"/>
  <c r="C43" i="56"/>
  <c r="C54" i="56"/>
  <c r="C19" i="56"/>
  <c r="C23" i="56"/>
  <c r="C39" i="56"/>
  <c r="C51" i="56"/>
  <c r="C44" i="56"/>
  <c r="C46" i="56"/>
  <c r="C16" i="56"/>
  <c r="C32" i="56"/>
  <c r="C27" i="56"/>
  <c r="C47" i="56"/>
  <c r="C63" i="56"/>
  <c r="AB56" i="56"/>
  <c r="C12" i="56"/>
  <c r="C18" i="56"/>
  <c r="C34" i="56"/>
  <c r="C21" i="56"/>
  <c r="C55" i="56"/>
  <c r="C29" i="56"/>
  <c r="C61" i="56"/>
  <c r="T41" i="56"/>
  <c r="C69" i="56"/>
  <c r="C20" i="56"/>
  <c r="C36" i="56"/>
  <c r="C37" i="56"/>
  <c r="C49" i="56"/>
  <c r="C31" i="56"/>
  <c r="C64" i="56"/>
  <c r="C58" i="56"/>
  <c r="M41" i="56"/>
  <c r="C105" i="56"/>
  <c r="C22" i="56"/>
  <c r="C38" i="56"/>
  <c r="L41" i="56"/>
  <c r="C13" i="56"/>
  <c r="C33" i="56"/>
  <c r="C53" i="56"/>
  <c r="AE41" i="56"/>
  <c r="AE10" i="56" s="1"/>
  <c r="R41" i="56"/>
  <c r="S41" i="56"/>
  <c r="W10" i="56"/>
  <c r="W9" i="56" s="1"/>
  <c r="Z10" i="56"/>
  <c r="Z9" i="56" s="1"/>
  <c r="O41" i="56"/>
  <c r="J42" i="56"/>
  <c r="F41" i="56"/>
  <c r="F10" i="56" s="1"/>
  <c r="AD41" i="56"/>
  <c r="E41" i="56"/>
  <c r="E10" i="56" s="1"/>
  <c r="D48" i="56"/>
  <c r="Q41" i="56"/>
  <c r="J56" i="56"/>
  <c r="AB48" i="56"/>
  <c r="D11" i="56"/>
  <c r="D56" i="56"/>
  <c r="G41" i="56"/>
  <c r="G10" i="56" s="1"/>
  <c r="K41" i="56"/>
  <c r="J48" i="56"/>
  <c r="D42" i="56"/>
  <c r="C44" i="114"/>
  <c r="G44" i="114"/>
  <c r="P41" i="56"/>
  <c r="C20" i="55"/>
  <c r="C13" i="14"/>
  <c r="P23" i="155" s="1"/>
  <c r="AD30" i="160" l="1"/>
  <c r="AD30" i="161"/>
  <c r="AD30" i="159"/>
  <c r="AC116" i="160"/>
  <c r="AC116" i="161"/>
  <c r="AC116" i="159"/>
  <c r="AK56" i="1"/>
  <c r="AE55" i="1"/>
  <c r="Q23" i="155"/>
  <c r="D23" i="155"/>
  <c r="E23" i="155" s="1"/>
  <c r="F46" i="157"/>
  <c r="C60" i="56"/>
  <c r="D25" i="155"/>
  <c r="P22" i="155"/>
  <c r="Q25" i="155"/>
  <c r="P27" i="155"/>
  <c r="AA37" i="2"/>
  <c r="G47" i="157" s="1"/>
  <c r="F47" i="157" s="1"/>
  <c r="C7" i="14"/>
  <c r="AD30" i="56"/>
  <c r="AB30" i="56" s="1"/>
  <c r="C30" i="56" s="1"/>
  <c r="AC116" i="56"/>
  <c r="AB116" i="56" s="1"/>
  <c r="C116" i="56" s="1"/>
  <c r="AB116" i="11"/>
  <c r="C116" i="11" s="1"/>
  <c r="AD15" i="56"/>
  <c r="AB41" i="56"/>
  <c r="D41" i="56"/>
  <c r="D10" i="56" s="1"/>
  <c r="J41" i="56"/>
  <c r="C42" i="56"/>
  <c r="C48" i="56"/>
  <c r="C56" i="56"/>
  <c r="F44" i="114"/>
  <c r="G45" i="157" l="1"/>
  <c r="F45" i="157"/>
  <c r="AB30" i="159"/>
  <c r="AD11" i="159"/>
  <c r="AD10" i="159" s="1"/>
  <c r="AD9" i="159" s="1"/>
  <c r="AB30" i="161"/>
  <c r="AD11" i="161"/>
  <c r="AD10" i="161" s="1"/>
  <c r="AD9" i="161" s="1"/>
  <c r="AB30" i="160"/>
  <c r="AD11" i="160"/>
  <c r="AD10" i="160" s="1"/>
  <c r="AD9" i="160" s="1"/>
  <c r="AB116" i="159"/>
  <c r="AC9" i="159"/>
  <c r="AB116" i="161"/>
  <c r="AC9" i="161"/>
  <c r="AB116" i="160"/>
  <c r="AC9" i="160"/>
  <c r="Q22" i="155"/>
  <c r="D27" i="155"/>
  <c r="E27" i="155" s="1"/>
  <c r="Q27" i="155"/>
  <c r="P21" i="155"/>
  <c r="P7" i="155" s="1"/>
  <c r="E25" i="155"/>
  <c r="E22" i="155" s="1"/>
  <c r="D22" i="155"/>
  <c r="AC9" i="56"/>
  <c r="AB15" i="56"/>
  <c r="AD11" i="56"/>
  <c r="AD10" i="56" s="1"/>
  <c r="AD9" i="56" s="1"/>
  <c r="C41" i="56"/>
  <c r="D19" i="53"/>
  <c r="E19" i="53"/>
  <c r="F19" i="53"/>
  <c r="G19" i="53"/>
  <c r="H19" i="53"/>
  <c r="I19" i="53"/>
  <c r="J19" i="53"/>
  <c r="K19" i="53"/>
  <c r="L19" i="53"/>
  <c r="M19" i="53"/>
  <c r="N19" i="53"/>
  <c r="O19" i="53"/>
  <c r="D20" i="53"/>
  <c r="E20" i="53"/>
  <c r="F20" i="53"/>
  <c r="G20" i="53"/>
  <c r="H20" i="53"/>
  <c r="I20" i="53"/>
  <c r="J20" i="53"/>
  <c r="K20" i="53"/>
  <c r="L20" i="53"/>
  <c r="M20" i="53"/>
  <c r="N20" i="53"/>
  <c r="O20" i="53"/>
  <c r="D21" i="53"/>
  <c r="E21" i="53"/>
  <c r="F21" i="53"/>
  <c r="G21" i="53"/>
  <c r="H21" i="53"/>
  <c r="I21" i="53"/>
  <c r="J21" i="53"/>
  <c r="K21" i="53"/>
  <c r="L21" i="53"/>
  <c r="M21" i="53"/>
  <c r="N21" i="53"/>
  <c r="O21" i="53"/>
  <c r="D22" i="53"/>
  <c r="E22" i="53"/>
  <c r="F22" i="53"/>
  <c r="G22" i="53"/>
  <c r="H22" i="53"/>
  <c r="I22" i="53"/>
  <c r="J22" i="53"/>
  <c r="K22" i="53"/>
  <c r="L22" i="53"/>
  <c r="M22" i="53"/>
  <c r="N22" i="53"/>
  <c r="O22" i="53"/>
  <c r="E18" i="53"/>
  <c r="F18" i="53"/>
  <c r="G18" i="53"/>
  <c r="H18" i="53"/>
  <c r="I18" i="53"/>
  <c r="J18" i="53"/>
  <c r="K18" i="53"/>
  <c r="L18" i="53"/>
  <c r="M18" i="53"/>
  <c r="N18" i="53"/>
  <c r="O18" i="53"/>
  <c r="D18" i="53"/>
  <c r="D26" i="51"/>
  <c r="B37" i="50"/>
  <c r="C28" i="50"/>
  <c r="C27" i="50"/>
  <c r="C26" i="50"/>
  <c r="C25" i="50"/>
  <c r="C23" i="50"/>
  <c r="C22" i="50"/>
  <c r="C21" i="50"/>
  <c r="C20" i="50"/>
  <c r="C19" i="50"/>
  <c r="C44" i="49"/>
  <c r="C40" i="49"/>
  <c r="C38" i="49"/>
  <c r="C47" i="49"/>
  <c r="C42" i="49"/>
  <c r="C16" i="49"/>
  <c r="C15" i="49"/>
  <c r="A4" i="49"/>
  <c r="A5" i="50" s="1"/>
  <c r="A5" i="51" s="1"/>
  <c r="C14" i="48"/>
  <c r="C13" i="48"/>
  <c r="C12" i="48"/>
  <c r="D21" i="155" l="1"/>
  <c r="E21" i="155"/>
  <c r="C30" i="160"/>
  <c r="AB11" i="160"/>
  <c r="C30" i="161"/>
  <c r="AB11" i="161"/>
  <c r="C30" i="159"/>
  <c r="AB11" i="159"/>
  <c r="C116" i="160"/>
  <c r="Q21" i="155"/>
  <c r="Q7" i="155" s="1"/>
  <c r="C116" i="161"/>
  <c r="C116" i="159"/>
  <c r="H17" i="53"/>
  <c r="D17" i="53"/>
  <c r="C18" i="53"/>
  <c r="C21" i="53"/>
  <c r="L17" i="53"/>
  <c r="C20" i="53"/>
  <c r="F17" i="53"/>
  <c r="J17" i="53"/>
  <c r="M17" i="53"/>
  <c r="C19" i="53"/>
  <c r="C22" i="53"/>
  <c r="C15" i="56"/>
  <c r="AB11" i="56"/>
  <c r="E17" i="53"/>
  <c r="N17" i="53"/>
  <c r="A2" i="53"/>
  <c r="A2" i="54" s="1"/>
  <c r="A2" i="55" s="1"/>
  <c r="A2" i="56" s="1"/>
  <c r="C2" i="52"/>
  <c r="X2" i="52" s="1"/>
  <c r="I17" i="53"/>
  <c r="K17" i="53"/>
  <c r="O17" i="53"/>
  <c r="G17" i="53"/>
  <c r="AB10" i="161" l="1"/>
  <c r="AB9" i="161" s="1"/>
  <c r="C11" i="161"/>
  <c r="AB10" i="160"/>
  <c r="AB9" i="160" s="1"/>
  <c r="C11" i="160"/>
  <c r="AB10" i="159"/>
  <c r="AB9" i="159" s="1"/>
  <c r="C11" i="159"/>
  <c r="C11" i="56"/>
  <c r="AB10" i="56"/>
  <c r="AB9" i="56" s="1"/>
  <c r="C17" i="53"/>
  <c r="D39" i="21"/>
  <c r="D35" i="84" l="1"/>
  <c r="E34" i="71"/>
  <c r="E32" i="71" s="1"/>
  <c r="C34" i="71"/>
  <c r="D32" i="71"/>
  <c r="C32" i="71"/>
  <c r="E29" i="71"/>
  <c r="C29" i="71"/>
  <c r="E25" i="71"/>
  <c r="C25" i="71"/>
  <c r="D25" i="71"/>
  <c r="E24" i="71"/>
  <c r="E22" i="71" s="1"/>
  <c r="C24" i="71"/>
  <c r="G22" i="85" l="1"/>
  <c r="C20" i="71"/>
  <c r="E20" i="71"/>
  <c r="T25" i="25" l="1"/>
  <c r="O25" i="25"/>
  <c r="U25" i="25" s="1"/>
  <c r="N25" i="25"/>
  <c r="T24" i="25"/>
  <c r="T23" i="25" s="1"/>
  <c r="O24" i="25"/>
  <c r="U24" i="25" s="1"/>
  <c r="N24" i="25"/>
  <c r="S23" i="25"/>
  <c r="R23" i="25"/>
  <c r="Q23" i="25"/>
  <c r="Q8" i="25" s="1"/>
  <c r="P23" i="25"/>
  <c r="P8" i="25" s="1"/>
  <c r="M23" i="25"/>
  <c r="M8" i="25" s="1"/>
  <c r="L23" i="25"/>
  <c r="K23" i="25"/>
  <c r="J23" i="25"/>
  <c r="I23" i="25"/>
  <c r="H23" i="25"/>
  <c r="G23" i="25"/>
  <c r="G8" i="25" s="1"/>
  <c r="F23" i="25"/>
  <c r="E23" i="25"/>
  <c r="D23" i="25"/>
  <c r="C23" i="25"/>
  <c r="U22" i="25"/>
  <c r="T22" i="25"/>
  <c r="O22" i="25"/>
  <c r="N22" i="25"/>
  <c r="T21" i="25"/>
  <c r="O21" i="25"/>
  <c r="U21" i="25" s="1"/>
  <c r="N21" i="25"/>
  <c r="T20" i="25"/>
  <c r="O20" i="25"/>
  <c r="U20" i="25" s="1"/>
  <c r="N20" i="25"/>
  <c r="T19" i="25"/>
  <c r="O19" i="25"/>
  <c r="U19" i="25" s="1"/>
  <c r="N19" i="25"/>
  <c r="H19" i="25"/>
  <c r="T18" i="25"/>
  <c r="O18" i="25"/>
  <c r="U18" i="25" s="1"/>
  <c r="N18" i="25"/>
  <c r="H18" i="25"/>
  <c r="T17" i="25"/>
  <c r="O17" i="25"/>
  <c r="U17" i="25" s="1"/>
  <c r="N17" i="25"/>
  <c r="H17" i="25"/>
  <c r="T16" i="25"/>
  <c r="O16" i="25"/>
  <c r="U16" i="25" s="1"/>
  <c r="N16" i="25"/>
  <c r="H16" i="25"/>
  <c r="T15" i="25"/>
  <c r="O15" i="25"/>
  <c r="U15" i="25" s="1"/>
  <c r="N15" i="25"/>
  <c r="H15" i="25"/>
  <c r="T14" i="25"/>
  <c r="O14" i="25"/>
  <c r="U14" i="25" s="1"/>
  <c r="N14" i="25"/>
  <c r="H14" i="25"/>
  <c r="U13" i="25"/>
  <c r="T13" i="25"/>
  <c r="O13" i="25"/>
  <c r="N13" i="25"/>
  <c r="H13" i="25"/>
  <c r="T12" i="25"/>
  <c r="O12" i="25"/>
  <c r="U12" i="25" s="1"/>
  <c r="N12" i="25"/>
  <c r="H12" i="25"/>
  <c r="T11" i="25"/>
  <c r="O11" i="25"/>
  <c r="U11" i="25" s="1"/>
  <c r="N11" i="25"/>
  <c r="H11" i="25"/>
  <c r="T10" i="25"/>
  <c r="K10" i="25"/>
  <c r="J10" i="25"/>
  <c r="N10" i="25" s="1"/>
  <c r="H10" i="25"/>
  <c r="T9" i="25"/>
  <c r="O9" i="25"/>
  <c r="U9" i="25" s="1"/>
  <c r="N9" i="25"/>
  <c r="F9" i="25"/>
  <c r="H9" i="25" s="1"/>
  <c r="S8" i="25"/>
  <c r="R8" i="25"/>
  <c r="L8" i="25"/>
  <c r="K8" i="25"/>
  <c r="J8" i="25"/>
  <c r="I8" i="25"/>
  <c r="E8" i="25"/>
  <c r="D8" i="25"/>
  <c r="C8" i="25"/>
  <c r="T8" i="25" l="1"/>
  <c r="N23" i="25"/>
  <c r="H8" i="25"/>
  <c r="O10" i="25"/>
  <c r="U10" i="25" s="1"/>
  <c r="F8" i="25"/>
  <c r="U23" i="25"/>
  <c r="U8" i="25" s="1"/>
  <c r="N8" i="25"/>
  <c r="O23" i="25"/>
  <c r="O8" i="25" s="1"/>
  <c r="CU31" i="16" l="1"/>
  <c r="CU29" i="16"/>
  <c r="CU25" i="16"/>
  <c r="CX14" i="16"/>
  <c r="CZ14" i="16" s="1"/>
  <c r="AM40" i="10" s="1"/>
  <c r="CX13" i="16"/>
  <c r="CZ13" i="16" s="1"/>
  <c r="AM39" i="10" s="1"/>
  <c r="CU11" i="16"/>
  <c r="CX11" i="16" s="1"/>
  <c r="AM37" i="10" s="1"/>
  <c r="CP14" i="16"/>
  <c r="CR14" i="16" s="1"/>
  <c r="AJ40" i="10" s="1"/>
  <c r="CP13" i="16"/>
  <c r="CR13" i="16" s="1"/>
  <c r="AJ39" i="10" s="1"/>
  <c r="AJ38" i="10" s="1"/>
  <c r="CP11" i="16"/>
  <c r="AJ37" i="10" s="1"/>
  <c r="CM33" i="16"/>
  <c r="CM31" i="16"/>
  <c r="CM29" i="16"/>
  <c r="CM25" i="16"/>
  <c r="CM11" i="16"/>
  <c r="CE31" i="16"/>
  <c r="CE29" i="16"/>
  <c r="CE25" i="16"/>
  <c r="CH14" i="16"/>
  <c r="CJ14" i="16" s="1"/>
  <c r="AG40" i="10" s="1"/>
  <c r="CH13" i="16"/>
  <c r="CJ13" i="16" s="1"/>
  <c r="AG39" i="10" s="1"/>
  <c r="CE11" i="16"/>
  <c r="CH11" i="16" s="1"/>
  <c r="AG37" i="10" s="1"/>
  <c r="BZ11" i="16"/>
  <c r="AD37" i="10" s="1"/>
  <c r="BW31" i="16"/>
  <c r="BW29" i="16"/>
  <c r="BW25" i="16"/>
  <c r="BR14" i="16"/>
  <c r="BT14" i="16" s="1"/>
  <c r="AA40" i="10" s="1"/>
  <c r="BR13" i="16"/>
  <c r="BT13" i="16" s="1"/>
  <c r="AA39" i="10" s="1"/>
  <c r="BO31" i="16"/>
  <c r="BO29" i="16"/>
  <c r="BO25" i="16"/>
  <c r="BO11" i="16"/>
  <c r="BR11" i="16" s="1"/>
  <c r="AA37" i="10" s="1"/>
  <c r="BJ14" i="16"/>
  <c r="BL14" i="16" s="1"/>
  <c r="X40" i="10" s="1"/>
  <c r="BJ13" i="16"/>
  <c r="BL13" i="16" s="1"/>
  <c r="X39" i="10" s="1"/>
  <c r="BG31" i="16"/>
  <c r="BG29" i="16"/>
  <c r="BG25" i="16"/>
  <c r="BG13" i="16"/>
  <c r="BG11" i="16"/>
  <c r="BB14" i="16"/>
  <c r="BD14" i="16" s="1"/>
  <c r="U40" i="10" s="1"/>
  <c r="BB13" i="16"/>
  <c r="BD13" i="16" s="1"/>
  <c r="U39" i="10" s="1"/>
  <c r="U38" i="10" s="1"/>
  <c r="BB11" i="16"/>
  <c r="U37" i="10" s="1"/>
  <c r="AY33" i="16"/>
  <c r="AY31" i="16"/>
  <c r="AY29" i="16"/>
  <c r="AY25" i="16"/>
  <c r="AT14" i="16"/>
  <c r="AV14" i="16" s="1"/>
  <c r="R40" i="10" s="1"/>
  <c r="AT13" i="16"/>
  <c r="AV13" i="16" s="1"/>
  <c r="R39" i="10" s="1"/>
  <c r="R38" i="10" s="1"/>
  <c r="AQ31" i="16"/>
  <c r="AQ29" i="16"/>
  <c r="AQ25" i="16"/>
  <c r="AQ11" i="16"/>
  <c r="AT11" i="16" s="1"/>
  <c r="R37" i="10" s="1"/>
  <c r="AI31" i="16" l="1"/>
  <c r="AI29" i="16"/>
  <c r="AI25" i="16"/>
  <c r="AL14" i="16"/>
  <c r="AN14" i="16" s="1"/>
  <c r="O40" i="10" s="1"/>
  <c r="AL13" i="16"/>
  <c r="AN13" i="16" s="1"/>
  <c r="O39" i="10" s="1"/>
  <c r="AL11" i="16"/>
  <c r="O37" i="10" s="1"/>
  <c r="AA31" i="16"/>
  <c r="AA29" i="16"/>
  <c r="AA25" i="16"/>
  <c r="AT58" i="15" s="1"/>
  <c r="AD11" i="16"/>
  <c r="L37" i="10" s="1"/>
  <c r="AD14" i="16"/>
  <c r="AF14" i="16" s="1"/>
  <c r="L40" i="10" s="1"/>
  <c r="AD13" i="16"/>
  <c r="AF13" i="16" s="1"/>
  <c r="L39" i="10" s="1"/>
  <c r="S29" i="16"/>
  <c r="U29" i="16" s="1"/>
  <c r="S31" i="16"/>
  <c r="S25" i="16"/>
  <c r="V14" i="16"/>
  <c r="X14" i="16" s="1"/>
  <c r="I40" i="10" s="1"/>
  <c r="V13" i="16"/>
  <c r="X13" i="16" s="1"/>
  <c r="I39" i="10" s="1"/>
  <c r="V11" i="16"/>
  <c r="I37" i="10" s="1"/>
  <c r="N10" i="16"/>
  <c r="K31" i="16"/>
  <c r="K25" i="16"/>
  <c r="K12" i="16"/>
  <c r="M14" i="16"/>
  <c r="N14" i="16" s="1"/>
  <c r="P14" i="16" s="1"/>
  <c r="F40" i="10" s="1"/>
  <c r="K1" i="16"/>
  <c r="S1" i="16" s="1"/>
  <c r="AA1" i="16" s="1"/>
  <c r="AI1" i="16" s="1"/>
  <c r="AQ1" i="16" s="1"/>
  <c r="AY1" i="16" s="1"/>
  <c r="BG1" i="16" s="1"/>
  <c r="BO1" i="16" s="1"/>
  <c r="BW1" i="16" s="1"/>
  <c r="CE1" i="16" s="1"/>
  <c r="CM1" i="16" s="1"/>
  <c r="CU1" i="16" s="1"/>
  <c r="AG5" i="16"/>
  <c r="AO5" i="16" s="1"/>
  <c r="AW5" i="16" s="1"/>
  <c r="BE5" i="16" s="1"/>
  <c r="BM5" i="16" s="1"/>
  <c r="BU5" i="16" s="1"/>
  <c r="CC5" i="16" s="1"/>
  <c r="CK5" i="16" s="1"/>
  <c r="CS5" i="16" s="1"/>
  <c r="DA5" i="16" s="1"/>
  <c r="AD5" i="16"/>
  <c r="AL5" i="16" s="1"/>
  <c r="AT5" i="16" s="1"/>
  <c r="BB5" i="16" s="1"/>
  <c r="BJ5" i="16" s="1"/>
  <c r="BR5" i="16" s="1"/>
  <c r="BZ5" i="16" s="1"/>
  <c r="CH5" i="16" s="1"/>
  <c r="CP5" i="16" s="1"/>
  <c r="CX5" i="16" s="1"/>
  <c r="Y5" i="16"/>
  <c r="V5" i="16"/>
  <c r="R5" i="16"/>
  <c r="Z5" i="16" s="1"/>
  <c r="AH5" i="16" s="1"/>
  <c r="AP5" i="16" s="1"/>
  <c r="AX5" i="16" s="1"/>
  <c r="BF5" i="16" s="1"/>
  <c r="BN5" i="16" s="1"/>
  <c r="BV5" i="16" s="1"/>
  <c r="CD5" i="16" s="1"/>
  <c r="CL5" i="16" s="1"/>
  <c r="CT5" i="16" s="1"/>
  <c r="DB5" i="16" s="1"/>
  <c r="K5" i="16"/>
  <c r="S5" i="16" s="1"/>
  <c r="AA5" i="16" s="1"/>
  <c r="AI5" i="16" s="1"/>
  <c r="AQ5" i="16" s="1"/>
  <c r="AY5" i="16" s="1"/>
  <c r="BG5" i="16" s="1"/>
  <c r="BO5" i="16" s="1"/>
  <c r="BW5" i="16" s="1"/>
  <c r="CE5" i="16" s="1"/>
  <c r="CM5" i="16" s="1"/>
  <c r="CU5" i="16" s="1"/>
  <c r="N27" i="16" l="1"/>
  <c r="AM33" i="10"/>
  <c r="C34" i="150" s="1"/>
  <c r="AM35" i="10"/>
  <c r="C36" i="150" s="1"/>
  <c r="AM32" i="10"/>
  <c r="C33" i="150" s="1"/>
  <c r="AM30" i="10"/>
  <c r="C31" i="150" s="1"/>
  <c r="AM29" i="10"/>
  <c r="C30" i="150" s="1"/>
  <c r="AM27" i="10"/>
  <c r="C28" i="150" s="1"/>
  <c r="AM26" i="10"/>
  <c r="C27" i="150" s="1"/>
  <c r="AM23" i="10"/>
  <c r="C24" i="150" s="1"/>
  <c r="AM17" i="10"/>
  <c r="C18" i="150" s="1"/>
  <c r="AM18" i="10"/>
  <c r="C19" i="150" s="1"/>
  <c r="AM19" i="10"/>
  <c r="C20" i="150" s="1"/>
  <c r="AM20" i="10"/>
  <c r="C21" i="150" s="1"/>
  <c r="AM16" i="10"/>
  <c r="C17" i="150" s="1"/>
  <c r="AM11" i="10"/>
  <c r="C12" i="150" s="1"/>
  <c r="AM12" i="10"/>
  <c r="C13" i="150" s="1"/>
  <c r="AM13" i="10"/>
  <c r="C14" i="150" s="1"/>
  <c r="AM14" i="10"/>
  <c r="C15" i="150" s="1"/>
  <c r="AM10" i="10"/>
  <c r="C11" i="150" s="1"/>
  <c r="AJ33" i="10"/>
  <c r="C34" i="149" s="1"/>
  <c r="AJ34" i="10"/>
  <c r="C35" i="149" s="1"/>
  <c r="AJ35" i="10"/>
  <c r="C36" i="149" s="1"/>
  <c r="AJ32" i="10"/>
  <c r="C33" i="149" s="1"/>
  <c r="AJ30" i="10"/>
  <c r="C31" i="149" s="1"/>
  <c r="AJ29" i="10"/>
  <c r="C30" i="149" s="1"/>
  <c r="AJ27" i="10"/>
  <c r="C28" i="149" s="1"/>
  <c r="AJ26" i="10"/>
  <c r="C27" i="149" s="1"/>
  <c r="AJ23" i="10"/>
  <c r="C24" i="149" s="1"/>
  <c r="AJ24" i="10"/>
  <c r="C25" i="149" s="1"/>
  <c r="AJ22" i="10"/>
  <c r="C23" i="149" s="1"/>
  <c r="AJ17" i="10"/>
  <c r="C18" i="149" s="1"/>
  <c r="AJ18" i="10"/>
  <c r="C19" i="149" s="1"/>
  <c r="AJ19" i="10"/>
  <c r="C20" i="149" s="1"/>
  <c r="AJ20" i="10"/>
  <c r="C21" i="149" s="1"/>
  <c r="AJ16" i="10"/>
  <c r="C17" i="149" s="1"/>
  <c r="AJ11" i="10"/>
  <c r="C12" i="149" s="1"/>
  <c r="AJ12" i="10"/>
  <c r="C13" i="149" s="1"/>
  <c r="AJ13" i="10"/>
  <c r="C14" i="149" s="1"/>
  <c r="AJ14" i="10"/>
  <c r="C15" i="149" s="1"/>
  <c r="AJ10" i="10"/>
  <c r="C11" i="149" s="1"/>
  <c r="AG33" i="10"/>
  <c r="C34" i="148" s="1"/>
  <c r="AG34" i="10"/>
  <c r="C35" i="148" s="1"/>
  <c r="AG35" i="10"/>
  <c r="C36" i="148" s="1"/>
  <c r="AG32" i="10"/>
  <c r="C33" i="148" s="1"/>
  <c r="AG30" i="10"/>
  <c r="C31" i="148" s="1"/>
  <c r="AG29" i="10"/>
  <c r="C30" i="148" s="1"/>
  <c r="AG27" i="10"/>
  <c r="C28" i="148" s="1"/>
  <c r="AG26" i="10"/>
  <c r="C27" i="148" s="1"/>
  <c r="AG23" i="10"/>
  <c r="C24" i="148" s="1"/>
  <c r="AG17" i="10"/>
  <c r="C18" i="148" s="1"/>
  <c r="AG18" i="10"/>
  <c r="C19" i="148" s="1"/>
  <c r="AG19" i="10"/>
  <c r="C20" i="148" s="1"/>
  <c r="AG20" i="10"/>
  <c r="C21" i="148" s="1"/>
  <c r="AG16" i="10"/>
  <c r="C17" i="148" s="1"/>
  <c r="AG11" i="10"/>
  <c r="C12" i="148" s="1"/>
  <c r="AG12" i="10"/>
  <c r="C13" i="148" s="1"/>
  <c r="AG13" i="10"/>
  <c r="C14" i="148" s="1"/>
  <c r="AG14" i="10"/>
  <c r="C15" i="148" s="1"/>
  <c r="AG10" i="10"/>
  <c r="C11" i="148" s="1"/>
  <c r="AD33" i="10"/>
  <c r="C34" i="147" s="1"/>
  <c r="AD34" i="10"/>
  <c r="C35" i="147" s="1"/>
  <c r="AD35" i="10"/>
  <c r="C36" i="147" s="1"/>
  <c r="AD32" i="10"/>
  <c r="C33" i="147" s="1"/>
  <c r="AD30" i="10"/>
  <c r="C31" i="147" s="1"/>
  <c r="AD29" i="10"/>
  <c r="C30" i="147" s="1"/>
  <c r="AD27" i="10"/>
  <c r="C28" i="147" s="1"/>
  <c r="AD26" i="10"/>
  <c r="C27" i="147" s="1"/>
  <c r="AD23" i="10"/>
  <c r="C24" i="147" s="1"/>
  <c r="AD24" i="10"/>
  <c r="C25" i="147" s="1"/>
  <c r="AD22" i="10"/>
  <c r="C23" i="147" s="1"/>
  <c r="AD18" i="10"/>
  <c r="C19" i="147" s="1"/>
  <c r="AD19" i="10"/>
  <c r="C20" i="147" s="1"/>
  <c r="AD20" i="10"/>
  <c r="C21" i="147" s="1"/>
  <c r="AD17" i="10"/>
  <c r="C18" i="147" s="1"/>
  <c r="AD16" i="10"/>
  <c r="C17" i="147" s="1"/>
  <c r="AD11" i="10"/>
  <c r="C12" i="147" s="1"/>
  <c r="AD12" i="10"/>
  <c r="C13" i="147" s="1"/>
  <c r="AD13" i="10"/>
  <c r="C14" i="147" s="1"/>
  <c r="AD14" i="10"/>
  <c r="C15" i="147" s="1"/>
  <c r="AD10" i="10"/>
  <c r="C11" i="147" s="1"/>
  <c r="AA33" i="10"/>
  <c r="C34" i="146" s="1"/>
  <c r="AA34" i="10"/>
  <c r="C35" i="146" s="1"/>
  <c r="AA35" i="10"/>
  <c r="C36" i="146" s="1"/>
  <c r="AA32" i="10"/>
  <c r="C33" i="146" s="1"/>
  <c r="AA30" i="10"/>
  <c r="C31" i="146" s="1"/>
  <c r="AA29" i="10"/>
  <c r="C30" i="146" s="1"/>
  <c r="AA27" i="10"/>
  <c r="C28" i="146" s="1"/>
  <c r="AA26" i="10"/>
  <c r="C27" i="146" s="1"/>
  <c r="AA23" i="10"/>
  <c r="C24" i="146" s="1"/>
  <c r="AA24" i="10"/>
  <c r="C25" i="146" s="1"/>
  <c r="AA22" i="10"/>
  <c r="C23" i="146" s="1"/>
  <c r="AA18" i="10"/>
  <c r="C19" i="146" s="1"/>
  <c r="AA19" i="10"/>
  <c r="C20" i="146" s="1"/>
  <c r="AA20" i="10"/>
  <c r="C21" i="146" s="1"/>
  <c r="AA17" i="10"/>
  <c r="C18" i="146" s="1"/>
  <c r="AA16" i="10"/>
  <c r="C17" i="146" s="1"/>
  <c r="AA11" i="10"/>
  <c r="C12" i="146" s="1"/>
  <c r="AA12" i="10"/>
  <c r="C13" i="146" s="1"/>
  <c r="AA13" i="10"/>
  <c r="C14" i="146" s="1"/>
  <c r="AA14" i="10"/>
  <c r="C15" i="146" s="1"/>
  <c r="AA10" i="10"/>
  <c r="C11" i="146" s="1"/>
  <c r="X33" i="10"/>
  <c r="C34" i="145" s="1"/>
  <c r="X34" i="10"/>
  <c r="C35" i="145" s="1"/>
  <c r="X35" i="10"/>
  <c r="C36" i="145" s="1"/>
  <c r="X32" i="10"/>
  <c r="C33" i="145" s="1"/>
  <c r="X30" i="10"/>
  <c r="C31" i="145" s="1"/>
  <c r="X29" i="10"/>
  <c r="C30" i="145" s="1"/>
  <c r="X27" i="10"/>
  <c r="C28" i="145" s="1"/>
  <c r="C26" i="145" s="1"/>
  <c r="X26" i="10"/>
  <c r="C27" i="145" s="1"/>
  <c r="X23" i="10"/>
  <c r="C24" i="145" s="1"/>
  <c r="X22" i="10"/>
  <c r="C23" i="145" s="1"/>
  <c r="X17" i="10"/>
  <c r="C18" i="145" s="1"/>
  <c r="X18" i="10"/>
  <c r="C19" i="145" s="1"/>
  <c r="X19" i="10"/>
  <c r="C20" i="145" s="1"/>
  <c r="X20" i="10"/>
  <c r="C21" i="145" s="1"/>
  <c r="X16" i="10"/>
  <c r="C17" i="145" s="1"/>
  <c r="X11" i="10"/>
  <c r="C12" i="145" s="1"/>
  <c r="X12" i="10"/>
  <c r="C13" i="145" s="1"/>
  <c r="X13" i="10"/>
  <c r="C14" i="145" s="1"/>
  <c r="X14" i="10"/>
  <c r="C15" i="145" s="1"/>
  <c r="X10" i="10"/>
  <c r="C11" i="145" s="1"/>
  <c r="U33" i="10"/>
  <c r="C34" i="144" s="1"/>
  <c r="U34" i="10"/>
  <c r="C35" i="144" s="1"/>
  <c r="U35" i="10"/>
  <c r="C36" i="144" s="1"/>
  <c r="U32" i="10"/>
  <c r="C33" i="144" s="1"/>
  <c r="U27" i="10"/>
  <c r="C28" i="144" s="1"/>
  <c r="U26" i="10"/>
  <c r="C27" i="144" s="1"/>
  <c r="U23" i="10"/>
  <c r="C24" i="144" s="1"/>
  <c r="U22" i="10"/>
  <c r="C23" i="144" s="1"/>
  <c r="U18" i="10"/>
  <c r="C19" i="144" s="1"/>
  <c r="U19" i="10"/>
  <c r="C20" i="144" s="1"/>
  <c r="U20" i="10"/>
  <c r="C21" i="144" s="1"/>
  <c r="U17" i="10"/>
  <c r="C18" i="144" s="1"/>
  <c r="U16" i="10"/>
  <c r="C17" i="144" s="1"/>
  <c r="U11" i="10"/>
  <c r="C12" i="144" s="1"/>
  <c r="U12" i="10"/>
  <c r="C13" i="144" s="1"/>
  <c r="U13" i="10"/>
  <c r="C14" i="144" s="1"/>
  <c r="U14" i="10"/>
  <c r="C15" i="144" s="1"/>
  <c r="U10" i="10"/>
  <c r="C11" i="144" s="1"/>
  <c r="C29" i="149" l="1"/>
  <c r="C22" i="149"/>
  <c r="C29" i="148"/>
  <c r="C29" i="146"/>
  <c r="C26" i="148"/>
  <c r="C16" i="148"/>
  <c r="C32" i="147"/>
  <c r="C29" i="147"/>
  <c r="C26" i="147"/>
  <c r="C22" i="147"/>
  <c r="C16" i="147"/>
  <c r="C32" i="144"/>
  <c r="C10" i="144"/>
  <c r="C26" i="150"/>
  <c r="C10" i="149"/>
  <c r="C26" i="149"/>
  <c r="C32" i="149"/>
  <c r="C32" i="146"/>
  <c r="C29" i="145"/>
  <c r="C16" i="145"/>
  <c r="C10" i="146"/>
  <c r="C16" i="150"/>
  <c r="C22" i="146"/>
  <c r="C10" i="148"/>
  <c r="C16" i="144"/>
  <c r="C26" i="144"/>
  <c r="C10" i="145"/>
  <c r="C32" i="148"/>
  <c r="C29" i="150"/>
  <c r="C32" i="145"/>
  <c r="C16" i="149"/>
  <c r="C10" i="150"/>
  <c r="C16" i="146"/>
  <c r="C26" i="146"/>
  <c r="C10" i="147"/>
  <c r="R34" i="10"/>
  <c r="C35" i="143" s="1"/>
  <c r="R35" i="10"/>
  <c r="C36" i="143" s="1"/>
  <c r="R33" i="10"/>
  <c r="C34" i="143" s="1"/>
  <c r="R32" i="10"/>
  <c r="C33" i="143" s="1"/>
  <c r="R30" i="10"/>
  <c r="C31" i="143" s="1"/>
  <c r="R29" i="10"/>
  <c r="C30" i="143" s="1"/>
  <c r="R27" i="10"/>
  <c r="C28" i="143" s="1"/>
  <c r="R26" i="10"/>
  <c r="C27" i="143" s="1"/>
  <c r="R23" i="10"/>
  <c r="C24" i="143" s="1"/>
  <c r="R24" i="10"/>
  <c r="C25" i="143" s="1"/>
  <c r="R22" i="10"/>
  <c r="C23" i="143" s="1"/>
  <c r="R17" i="10"/>
  <c r="C18" i="143" s="1"/>
  <c r="R18" i="10"/>
  <c r="C19" i="143" s="1"/>
  <c r="R19" i="10"/>
  <c r="C20" i="143" s="1"/>
  <c r="R20" i="10"/>
  <c r="C21" i="143" s="1"/>
  <c r="R16" i="10"/>
  <c r="C17" i="143" s="1"/>
  <c r="R11" i="10"/>
  <c r="C12" i="143" s="1"/>
  <c r="R12" i="10"/>
  <c r="C13" i="143" s="1"/>
  <c r="R13" i="10"/>
  <c r="C14" i="143" s="1"/>
  <c r="R14" i="10"/>
  <c r="C15" i="143" s="1"/>
  <c r="R10" i="10"/>
  <c r="C11" i="143" s="1"/>
  <c r="O33" i="10"/>
  <c r="C34" i="142" s="1"/>
  <c r="O34" i="10"/>
  <c r="C35" i="142" s="1"/>
  <c r="O35" i="10"/>
  <c r="C36" i="142" s="1"/>
  <c r="O32" i="10"/>
  <c r="C33" i="142" s="1"/>
  <c r="O30" i="10"/>
  <c r="C31" i="142" s="1"/>
  <c r="O29" i="10"/>
  <c r="C30" i="142" s="1"/>
  <c r="O27" i="10"/>
  <c r="C28" i="142" s="1"/>
  <c r="O26" i="10"/>
  <c r="C27" i="142" s="1"/>
  <c r="O23" i="10"/>
  <c r="C24" i="142" s="1"/>
  <c r="O24" i="10"/>
  <c r="C25" i="142" s="1"/>
  <c r="O22" i="10"/>
  <c r="C23" i="142" s="1"/>
  <c r="O18" i="10"/>
  <c r="C19" i="142" s="1"/>
  <c r="O19" i="10"/>
  <c r="C20" i="142" s="1"/>
  <c r="O20" i="10"/>
  <c r="C21" i="142" s="1"/>
  <c r="O17" i="10"/>
  <c r="C18" i="142" s="1"/>
  <c r="O16" i="10"/>
  <c r="C17" i="142" s="1"/>
  <c r="O11" i="10"/>
  <c r="C12" i="142" s="1"/>
  <c r="O12" i="10"/>
  <c r="C13" i="142" s="1"/>
  <c r="O13" i="10"/>
  <c r="C14" i="142" s="1"/>
  <c r="O14" i="10"/>
  <c r="C15" i="142" s="1"/>
  <c r="O10" i="10"/>
  <c r="C11" i="142" s="1"/>
  <c r="L33" i="10"/>
  <c r="C34" i="141" s="1"/>
  <c r="L34" i="10"/>
  <c r="C35" i="141" s="1"/>
  <c r="L35" i="10"/>
  <c r="C36" i="141" s="1"/>
  <c r="L32" i="10"/>
  <c r="C33" i="141" s="1"/>
  <c r="L30" i="10"/>
  <c r="C31" i="141" s="1"/>
  <c r="L29" i="10"/>
  <c r="C30" i="141" s="1"/>
  <c r="L27" i="10"/>
  <c r="C28" i="141" s="1"/>
  <c r="L26" i="10"/>
  <c r="C27" i="141" s="1"/>
  <c r="L23" i="10"/>
  <c r="C24" i="141" s="1"/>
  <c r="L24" i="10"/>
  <c r="C25" i="141" s="1"/>
  <c r="L22" i="10"/>
  <c r="C23" i="141" s="1"/>
  <c r="L18" i="10"/>
  <c r="C19" i="141" s="1"/>
  <c r="L19" i="10"/>
  <c r="C20" i="141" s="1"/>
  <c r="L20" i="10"/>
  <c r="C21" i="141" s="1"/>
  <c r="L17" i="10"/>
  <c r="C18" i="141" s="1"/>
  <c r="L16" i="10"/>
  <c r="C17" i="141" s="1"/>
  <c r="L11" i="10"/>
  <c r="C12" i="141" s="1"/>
  <c r="L12" i="10"/>
  <c r="C13" i="141" s="1"/>
  <c r="L13" i="10"/>
  <c r="C14" i="141" s="1"/>
  <c r="L14" i="10"/>
  <c r="C15" i="141" s="1"/>
  <c r="L10" i="10"/>
  <c r="C11" i="141" s="1"/>
  <c r="I33" i="10"/>
  <c r="C34" i="140" s="1"/>
  <c r="I34" i="10"/>
  <c r="C35" i="140" s="1"/>
  <c r="I35" i="10"/>
  <c r="C36" i="140" s="1"/>
  <c r="I32" i="10"/>
  <c r="C33" i="140" s="1"/>
  <c r="I30" i="10"/>
  <c r="C31" i="140" s="1"/>
  <c r="I29" i="10"/>
  <c r="C30" i="140" s="1"/>
  <c r="I23" i="10"/>
  <c r="C24" i="140" s="1"/>
  <c r="I24" i="10"/>
  <c r="C25" i="140" s="1"/>
  <c r="I22" i="10"/>
  <c r="C23" i="140" s="1"/>
  <c r="I19" i="10"/>
  <c r="C20" i="140" s="1"/>
  <c r="I20" i="10"/>
  <c r="C21" i="140" s="1"/>
  <c r="I18" i="10"/>
  <c r="C19" i="140" s="1"/>
  <c r="I17" i="10"/>
  <c r="C18" i="140" s="1"/>
  <c r="I16" i="10"/>
  <c r="C17" i="140" s="1"/>
  <c r="I11" i="10"/>
  <c r="C12" i="140" s="1"/>
  <c r="I12" i="10"/>
  <c r="C13" i="140" s="1"/>
  <c r="I13" i="10"/>
  <c r="C14" i="140" s="1"/>
  <c r="I14" i="10"/>
  <c r="I10" i="10"/>
  <c r="C11" i="140" s="1"/>
  <c r="F33" i="10"/>
  <c r="C34" i="139" s="1"/>
  <c r="F34" i="10"/>
  <c r="C35" i="139" s="1"/>
  <c r="F35" i="10"/>
  <c r="C36" i="139" s="1"/>
  <c r="F32" i="10"/>
  <c r="C33" i="139" s="1"/>
  <c r="F30" i="10"/>
  <c r="C31" i="139" s="1"/>
  <c r="F29" i="10"/>
  <c r="C30" i="139" s="1"/>
  <c r="F27" i="10"/>
  <c r="C28" i="139" s="1"/>
  <c r="F26" i="10"/>
  <c r="C27" i="139" s="1"/>
  <c r="F23" i="10"/>
  <c r="C24" i="139" s="1"/>
  <c r="F24" i="10"/>
  <c r="F22" i="10"/>
  <c r="C23" i="139" s="1"/>
  <c r="F19" i="10"/>
  <c r="C20" i="139" s="1"/>
  <c r="F20" i="10"/>
  <c r="C21" i="139" s="1"/>
  <c r="F18" i="10"/>
  <c r="C19" i="139" s="1"/>
  <c r="F17" i="10"/>
  <c r="C18" i="139" s="1"/>
  <c r="F16" i="10"/>
  <c r="C17" i="139" s="1"/>
  <c r="F11" i="10"/>
  <c r="C12" i="139" s="1"/>
  <c r="F12" i="10"/>
  <c r="C13" i="139" s="1"/>
  <c r="F13" i="10"/>
  <c r="C14" i="139" s="1"/>
  <c r="F14" i="10"/>
  <c r="C15" i="139" s="1"/>
  <c r="F10" i="10"/>
  <c r="C11" i="139" s="1"/>
  <c r="AY34" i="15"/>
  <c r="AY36" i="15" s="1"/>
  <c r="AZ36" i="15" s="1"/>
  <c r="AZ33" i="15" s="1"/>
  <c r="BE26" i="15"/>
  <c r="AY26" i="15"/>
  <c r="AS36" i="15"/>
  <c r="AM36" i="15"/>
  <c r="AS23" i="15"/>
  <c r="AM26" i="15"/>
  <c r="AT3" i="15"/>
  <c r="BF3" i="15" s="1"/>
  <c r="AA36" i="15"/>
  <c r="AB36" i="15" s="1"/>
  <c r="AB33" i="15" s="1"/>
  <c r="AA26" i="15"/>
  <c r="AA23" i="15" s="1"/>
  <c r="AH3" i="15"/>
  <c r="AH29" i="15" s="1"/>
  <c r="O36" i="15"/>
  <c r="P36" i="15" s="1"/>
  <c r="P33" i="15" s="1"/>
  <c r="V26" i="15"/>
  <c r="V23" i="15" s="1"/>
  <c r="O26" i="15"/>
  <c r="P26" i="15" s="1"/>
  <c r="P23" i="15" s="1"/>
  <c r="Y37" i="15"/>
  <c r="W37" i="15"/>
  <c r="V37" i="15"/>
  <c r="T37" i="15"/>
  <c r="R37" i="15"/>
  <c r="P37" i="15"/>
  <c r="R36" i="15"/>
  <c r="R33" i="15" s="1"/>
  <c r="Z35" i="15"/>
  <c r="Q33" i="15"/>
  <c r="R32" i="15"/>
  <c r="P32" i="15"/>
  <c r="S31" i="15"/>
  <c r="S32" i="15" s="1"/>
  <c r="V30" i="15"/>
  <c r="U30" i="15"/>
  <c r="R30" i="15"/>
  <c r="Q30" i="15"/>
  <c r="O30" i="15"/>
  <c r="Y29" i="15"/>
  <c r="W29" i="15"/>
  <c r="V29" i="15"/>
  <c r="V27" i="15" s="1"/>
  <c r="T29" i="15"/>
  <c r="T27" i="15" s="1"/>
  <c r="R29" i="15"/>
  <c r="P29" i="15"/>
  <c r="Z28" i="15"/>
  <c r="Y28" i="15"/>
  <c r="X28" i="15"/>
  <c r="W28" i="15"/>
  <c r="U27" i="15"/>
  <c r="R27" i="15"/>
  <c r="P27" i="15"/>
  <c r="O27" i="15"/>
  <c r="R26" i="15"/>
  <c r="Z25" i="15"/>
  <c r="Y24" i="15"/>
  <c r="X24" i="15"/>
  <c r="W24" i="15"/>
  <c r="U23" i="15"/>
  <c r="R23" i="15"/>
  <c r="Q23" i="15"/>
  <c r="Y22" i="15"/>
  <c r="X22" i="15"/>
  <c r="W22" i="15"/>
  <c r="V22" i="15"/>
  <c r="T22" i="15"/>
  <c r="R22" i="15"/>
  <c r="P22" i="15"/>
  <c r="Y21" i="15"/>
  <c r="W21" i="15"/>
  <c r="V21" i="15"/>
  <c r="T21" i="15"/>
  <c r="R21" i="15"/>
  <c r="P21" i="15"/>
  <c r="Z20" i="15"/>
  <c r="Y20" i="15"/>
  <c r="X20" i="15"/>
  <c r="W20" i="15"/>
  <c r="V20" i="15"/>
  <c r="T20" i="15"/>
  <c r="R20" i="15"/>
  <c r="P20" i="15"/>
  <c r="Z19" i="15"/>
  <c r="Y19" i="15"/>
  <c r="X19" i="15"/>
  <c r="W19" i="15"/>
  <c r="V19" i="15"/>
  <c r="V17" i="15" s="1"/>
  <c r="T19" i="15"/>
  <c r="R19" i="15"/>
  <c r="P19" i="15"/>
  <c r="P17" i="15" s="1"/>
  <c r="X18" i="15"/>
  <c r="W18" i="15"/>
  <c r="O18" i="15"/>
  <c r="U17" i="15"/>
  <c r="S17" i="15"/>
  <c r="Q17" i="15"/>
  <c r="Y16" i="15"/>
  <c r="W16" i="15"/>
  <c r="V16" i="15"/>
  <c r="T16" i="15"/>
  <c r="R16" i="15"/>
  <c r="P16" i="15"/>
  <c r="Y15" i="15"/>
  <c r="W15" i="15"/>
  <c r="Y14" i="15"/>
  <c r="W14" i="15"/>
  <c r="Z13" i="15"/>
  <c r="Y13" i="15"/>
  <c r="X13" i="15"/>
  <c r="W13" i="15"/>
  <c r="V13" i="15"/>
  <c r="T13" i="15"/>
  <c r="R13" i="15"/>
  <c r="P13" i="15"/>
  <c r="Z12" i="15"/>
  <c r="Y12" i="15"/>
  <c r="X12" i="15"/>
  <c r="W12" i="15"/>
  <c r="V12" i="15"/>
  <c r="T12" i="15"/>
  <c r="R12" i="15"/>
  <c r="P12" i="15"/>
  <c r="P11" i="15" s="1"/>
  <c r="U11" i="15"/>
  <c r="S11" i="15"/>
  <c r="Q11" i="15"/>
  <c r="O11" i="15"/>
  <c r="AK37" i="15"/>
  <c r="AI37" i="15"/>
  <c r="AH37" i="15"/>
  <c r="AF37" i="15"/>
  <c r="AD37" i="15"/>
  <c r="AB37" i="15"/>
  <c r="AD36" i="15"/>
  <c r="AD33" i="15" s="1"/>
  <c r="AL35" i="15"/>
  <c r="AC33" i="15"/>
  <c r="AD32" i="15"/>
  <c r="AD30" i="15" s="1"/>
  <c r="AB32" i="15"/>
  <c r="S10" i="16" s="1"/>
  <c r="S27" i="16" s="1"/>
  <c r="AE31" i="15"/>
  <c r="AE32" i="15" s="1"/>
  <c r="AG30" i="15"/>
  <c r="AC30" i="15"/>
  <c r="AB30" i="15"/>
  <c r="AA30" i="15"/>
  <c r="AK29" i="15"/>
  <c r="AJ29" i="15"/>
  <c r="AF29" i="15"/>
  <c r="AF27" i="15" s="1"/>
  <c r="AD29" i="15"/>
  <c r="AD27" i="15" s="1"/>
  <c r="AB29" i="15"/>
  <c r="AL28" i="15"/>
  <c r="AK28" i="15"/>
  <c r="AJ28" i="15"/>
  <c r="AI28" i="15"/>
  <c r="AG27" i="15"/>
  <c r="AC27" i="15"/>
  <c r="AB27" i="15"/>
  <c r="AA27" i="15"/>
  <c r="AD26" i="15"/>
  <c r="AD23" i="15" s="1"/>
  <c r="AL25" i="15"/>
  <c r="AG23" i="15"/>
  <c r="AC23" i="15"/>
  <c r="AK22" i="15"/>
  <c r="AJ22" i="15"/>
  <c r="AI22" i="15"/>
  <c r="AH22" i="15"/>
  <c r="AF22" i="15"/>
  <c r="AD22" i="15"/>
  <c r="AB22" i="15"/>
  <c r="AK21" i="15"/>
  <c r="AI21" i="15"/>
  <c r="AH21" i="15"/>
  <c r="AF21" i="15"/>
  <c r="AD21" i="15"/>
  <c r="AB21" i="15"/>
  <c r="AL20" i="15"/>
  <c r="AK20" i="15"/>
  <c r="AJ20" i="15"/>
  <c r="AI20" i="15"/>
  <c r="AH20" i="15"/>
  <c r="AF20" i="15"/>
  <c r="AD20" i="15"/>
  <c r="AB20" i="15"/>
  <c r="AL19" i="15"/>
  <c r="AK19" i="15"/>
  <c r="AJ19" i="15"/>
  <c r="AI19" i="15"/>
  <c r="AH19" i="15"/>
  <c r="AH17" i="15" s="1"/>
  <c r="AF19" i="15"/>
  <c r="AF17" i="15" s="1"/>
  <c r="AD19" i="15"/>
  <c r="AD17" i="15" s="1"/>
  <c r="AB19" i="15"/>
  <c r="AB17" i="15" s="1"/>
  <c r="AK18" i="15"/>
  <c r="AK17" i="15" s="1"/>
  <c r="AJ18" i="15"/>
  <c r="AI18" i="15"/>
  <c r="AA18" i="15"/>
  <c r="AL18" i="15" s="1"/>
  <c r="AE17" i="15"/>
  <c r="AJ17" i="15" s="1"/>
  <c r="AC17" i="15"/>
  <c r="AA17" i="15"/>
  <c r="AK16" i="15"/>
  <c r="AI16" i="15"/>
  <c r="AF16" i="15"/>
  <c r="AD16" i="15"/>
  <c r="AB16" i="15"/>
  <c r="AK15" i="15"/>
  <c r="AI15" i="15"/>
  <c r="AK14" i="15"/>
  <c r="AI14" i="15"/>
  <c r="AL13" i="15"/>
  <c r="AK13" i="15"/>
  <c r="AJ13" i="15"/>
  <c r="AI13" i="15"/>
  <c r="AH13" i="15"/>
  <c r="AF13" i="15"/>
  <c r="AF11" i="15" s="1"/>
  <c r="AD13" i="15"/>
  <c r="AB13" i="15"/>
  <c r="AL12" i="15"/>
  <c r="AJ12" i="15"/>
  <c r="AI12" i="15"/>
  <c r="AH12" i="15"/>
  <c r="AF12" i="15"/>
  <c r="AD12" i="15"/>
  <c r="AB12" i="15"/>
  <c r="AG11" i="15"/>
  <c r="AE11" i="15"/>
  <c r="AC11" i="15"/>
  <c r="AA11" i="15"/>
  <c r="AW37" i="15"/>
  <c r="AU37" i="15"/>
  <c r="AT37" i="15"/>
  <c r="AR37" i="15"/>
  <c r="AP37" i="15"/>
  <c r="AN37" i="15"/>
  <c r="AP36" i="15"/>
  <c r="AP33" i="15" s="1"/>
  <c r="AN36" i="15"/>
  <c r="AN33" i="15" s="1"/>
  <c r="AW35" i="15"/>
  <c r="AQ36" i="15"/>
  <c r="AO33" i="15"/>
  <c r="AP32" i="15"/>
  <c r="AN32" i="15"/>
  <c r="AA10" i="16" s="1"/>
  <c r="AA27" i="16" s="1"/>
  <c r="AQ31" i="15"/>
  <c r="AU31" i="15" s="1"/>
  <c r="AS30" i="15"/>
  <c r="AP30" i="15"/>
  <c r="AO30" i="15"/>
  <c r="AM30" i="15"/>
  <c r="AV29" i="15"/>
  <c r="AU29" i="15"/>
  <c r="AR29" i="15"/>
  <c r="AR27" i="15" s="1"/>
  <c r="AX29" i="15"/>
  <c r="AP29" i="15"/>
  <c r="AP27" i="15" s="1"/>
  <c r="AN29" i="15"/>
  <c r="AX28" i="15"/>
  <c r="AW28" i="15"/>
  <c r="AV28" i="15"/>
  <c r="AU28" i="15"/>
  <c r="AO27" i="15"/>
  <c r="AS27" i="15"/>
  <c r="AQ27" i="15"/>
  <c r="AN27" i="15"/>
  <c r="AM27" i="15"/>
  <c r="AT26" i="15"/>
  <c r="AT23" i="15" s="1"/>
  <c r="AP26" i="15"/>
  <c r="AP23" i="15" s="1"/>
  <c r="AN26" i="15"/>
  <c r="AN23" i="15" s="1"/>
  <c r="AX25" i="15"/>
  <c r="AW25" i="15"/>
  <c r="AX24" i="15"/>
  <c r="AW24" i="15"/>
  <c r="AV24" i="15"/>
  <c r="AU24" i="15"/>
  <c r="AO23" i="15"/>
  <c r="AM23" i="15"/>
  <c r="AW22" i="15"/>
  <c r="AV22" i="15"/>
  <c r="AU22" i="15"/>
  <c r="AT22" i="15"/>
  <c r="AR22" i="15"/>
  <c r="AP22" i="15"/>
  <c r="AN22" i="15"/>
  <c r="AW21" i="15"/>
  <c r="AU21" i="15"/>
  <c r="AT21" i="15"/>
  <c r="AR21" i="15"/>
  <c r="AP21" i="15"/>
  <c r="AN21" i="15"/>
  <c r="AX20" i="15"/>
  <c r="AW20" i="15"/>
  <c r="AV20" i="15"/>
  <c r="AU20" i="15"/>
  <c r="AT20" i="15"/>
  <c r="AR20" i="15"/>
  <c r="AP20" i="15"/>
  <c r="AN20" i="15"/>
  <c r="AX19" i="15"/>
  <c r="AW19" i="15"/>
  <c r="AV19" i="15"/>
  <c r="AU19" i="15"/>
  <c r="AT19" i="15"/>
  <c r="AT17" i="15" s="1"/>
  <c r="AR19" i="15"/>
  <c r="AR17" i="15" s="1"/>
  <c r="AP19" i="15"/>
  <c r="AP17" i="15" s="1"/>
  <c r="AN19" i="15"/>
  <c r="AN17" i="15" s="1"/>
  <c r="AV18" i="15"/>
  <c r="AU18" i="15"/>
  <c r="AM18" i="15"/>
  <c r="AX18" i="15" s="1"/>
  <c r="AS17" i="15"/>
  <c r="AQ17" i="15"/>
  <c r="AO17" i="15"/>
  <c r="AW16" i="15"/>
  <c r="AU16" i="15"/>
  <c r="AT16" i="15"/>
  <c r="AR16" i="15"/>
  <c r="AP16" i="15"/>
  <c r="AN16" i="15"/>
  <c r="AW15" i="15"/>
  <c r="AU15" i="15"/>
  <c r="AW14" i="15"/>
  <c r="AU14" i="15"/>
  <c r="AX13" i="15"/>
  <c r="AW13" i="15"/>
  <c r="AV13" i="15"/>
  <c r="AU13" i="15"/>
  <c r="AT13" i="15"/>
  <c r="AR13" i="15"/>
  <c r="AP13" i="15"/>
  <c r="AN13" i="15"/>
  <c r="AX12" i="15"/>
  <c r="AW12" i="15"/>
  <c r="AV12" i="15"/>
  <c r="AU12" i="15"/>
  <c r="AT12" i="15"/>
  <c r="AR12" i="15"/>
  <c r="AP12" i="15"/>
  <c r="AN12" i="15"/>
  <c r="AN11" i="15" s="1"/>
  <c r="AS11" i="15"/>
  <c r="AQ11" i="15"/>
  <c r="AO11" i="15"/>
  <c r="AM11" i="15"/>
  <c r="BI37" i="15"/>
  <c r="BG37" i="15"/>
  <c r="BF37" i="15"/>
  <c r="BD37" i="15"/>
  <c r="BB37" i="15"/>
  <c r="AZ37" i="15"/>
  <c r="BB36" i="15"/>
  <c r="BB33" i="15" s="1"/>
  <c r="BH35" i="15"/>
  <c r="BG35" i="15"/>
  <c r="BJ35" i="15"/>
  <c r="BC36" i="15"/>
  <c r="BA33" i="15"/>
  <c r="BB32" i="15"/>
  <c r="BB30" i="15" s="1"/>
  <c r="AZ32" i="15"/>
  <c r="BC31" i="15"/>
  <c r="BC32" i="15" s="1"/>
  <c r="BE30" i="15"/>
  <c r="BA30" i="15"/>
  <c r="AY30" i="15"/>
  <c r="BJ29" i="15"/>
  <c r="BI29" i="15"/>
  <c r="BH29" i="15"/>
  <c r="BD29" i="15"/>
  <c r="BD27" i="15" s="1"/>
  <c r="BB29" i="15"/>
  <c r="BB27" i="15" s="1"/>
  <c r="AZ29" i="15"/>
  <c r="AZ27" i="15" s="1"/>
  <c r="BJ28" i="15"/>
  <c r="BI28" i="15"/>
  <c r="BH28" i="15"/>
  <c r="BG28" i="15"/>
  <c r="BE27" i="15"/>
  <c r="BC27" i="15"/>
  <c r="BA27" i="15"/>
  <c r="AY27" i="15"/>
  <c r="BB26" i="15"/>
  <c r="BB23" i="15" s="1"/>
  <c r="AZ26" i="15"/>
  <c r="AZ23" i="15" s="1"/>
  <c r="BJ25" i="15"/>
  <c r="BI24" i="15"/>
  <c r="BA23" i="15"/>
  <c r="BI22" i="15"/>
  <c r="BH22" i="15"/>
  <c r="BG22" i="15"/>
  <c r="BF22" i="15"/>
  <c r="BD22" i="15"/>
  <c r="BB22" i="15"/>
  <c r="AZ22" i="15"/>
  <c r="BI21" i="15"/>
  <c r="BG21" i="15"/>
  <c r="BF21" i="15"/>
  <c r="BD21" i="15"/>
  <c r="BB21" i="15"/>
  <c r="AZ21" i="15"/>
  <c r="BJ20" i="15"/>
  <c r="BI20" i="15"/>
  <c r="BH20" i="15"/>
  <c r="BG20" i="15"/>
  <c r="BF20" i="15"/>
  <c r="BD20" i="15"/>
  <c r="BB20" i="15"/>
  <c r="AZ20" i="15"/>
  <c r="BJ19" i="15"/>
  <c r="BI19" i="15"/>
  <c r="BH19" i="15"/>
  <c r="BG19" i="15"/>
  <c r="BF19" i="15"/>
  <c r="BF17" i="15" s="1"/>
  <c r="BD19" i="15"/>
  <c r="BD17" i="15" s="1"/>
  <c r="BB19" i="15"/>
  <c r="BB17" i="15" s="1"/>
  <c r="AZ19" i="15"/>
  <c r="AZ17" i="15" s="1"/>
  <c r="BJ18" i="15"/>
  <c r="BI18" i="15"/>
  <c r="BH18" i="15"/>
  <c r="BG18" i="15"/>
  <c r="BE17" i="15"/>
  <c r="BC17" i="15"/>
  <c r="BA17" i="15"/>
  <c r="AY17" i="15"/>
  <c r="BI16" i="15"/>
  <c r="BG16" i="15"/>
  <c r="BF16" i="15"/>
  <c r="BD16" i="15"/>
  <c r="BB16" i="15"/>
  <c r="AZ16" i="15"/>
  <c r="BI15" i="15"/>
  <c r="BG15" i="15"/>
  <c r="BI14" i="15"/>
  <c r="BG14" i="15"/>
  <c r="BJ13" i="15"/>
  <c r="BI13" i="15"/>
  <c r="BH13" i="15"/>
  <c r="BG13" i="15"/>
  <c r="BF13" i="15"/>
  <c r="BD13" i="15"/>
  <c r="BB13" i="15"/>
  <c r="AZ13" i="15"/>
  <c r="BJ12" i="15"/>
  <c r="BI12" i="15"/>
  <c r="BH12" i="15"/>
  <c r="BG12" i="15"/>
  <c r="BF12" i="15"/>
  <c r="BF11" i="15" s="1"/>
  <c r="BD12" i="15"/>
  <c r="BB12" i="15"/>
  <c r="AZ12" i="15"/>
  <c r="AZ11" i="15" s="1"/>
  <c r="BE11" i="15"/>
  <c r="BC11" i="15"/>
  <c r="BA11" i="15"/>
  <c r="AY11" i="15"/>
  <c r="EW36" i="15"/>
  <c r="AM34" i="10" s="1"/>
  <c r="C35" i="150" s="1"/>
  <c r="C32" i="150" s="1"/>
  <c r="EQ36" i="15"/>
  <c r="ER36" i="15" s="1"/>
  <c r="ER33" i="15" s="1"/>
  <c r="EQ26" i="15"/>
  <c r="EQ23" i="15" s="1"/>
  <c r="EE29" i="15"/>
  <c r="EF29" i="15" s="1"/>
  <c r="EF27" i="15" s="1"/>
  <c r="EE26" i="15"/>
  <c r="EE23" i="15" s="1"/>
  <c r="FA37" i="15"/>
  <c r="EY37" i="15"/>
  <c r="EX37" i="15"/>
  <c r="EV37" i="15"/>
  <c r="ET37" i="15"/>
  <c r="ER37" i="15"/>
  <c r="ET36" i="15"/>
  <c r="ET33" i="15" s="1"/>
  <c r="FB35" i="15"/>
  <c r="ES33" i="15"/>
  <c r="FB32" i="15"/>
  <c r="ET32" i="15"/>
  <c r="ET30" i="15" s="1"/>
  <c r="ER32" i="15"/>
  <c r="EU31" i="15"/>
  <c r="FB31" i="15" s="1"/>
  <c r="EW30" i="15"/>
  <c r="ES30" i="15"/>
  <c r="EQ30" i="15"/>
  <c r="EZ29" i="15"/>
  <c r="EY29" i="15"/>
  <c r="FB29" i="15"/>
  <c r="ET29" i="15"/>
  <c r="ET27" i="15" s="1"/>
  <c r="ER29" i="15"/>
  <c r="ER27" i="15" s="1"/>
  <c r="FB28" i="15"/>
  <c r="FA28" i="15"/>
  <c r="EZ28" i="15"/>
  <c r="EY28" i="15"/>
  <c r="EW27" i="15"/>
  <c r="ES27" i="15"/>
  <c r="EQ27" i="15"/>
  <c r="ET26" i="15"/>
  <c r="ET23" i="15" s="1"/>
  <c r="EZ25" i="15"/>
  <c r="FA24" i="15"/>
  <c r="EW24" i="15"/>
  <c r="EQ24" i="15"/>
  <c r="ES23" i="15"/>
  <c r="FA22" i="15"/>
  <c r="EZ22" i="15"/>
  <c r="EY22" i="15"/>
  <c r="EX22" i="15"/>
  <c r="EV22" i="15"/>
  <c r="ET22" i="15"/>
  <c r="ER22" i="15"/>
  <c r="FA21" i="15"/>
  <c r="EY21" i="15"/>
  <c r="EX21" i="15"/>
  <c r="EV21" i="15"/>
  <c r="ET21" i="15"/>
  <c r="ER21" i="15"/>
  <c r="FB20" i="15"/>
  <c r="FA20" i="15"/>
  <c r="EZ20" i="15"/>
  <c r="EY20" i="15"/>
  <c r="EX20" i="15"/>
  <c r="EV20" i="15"/>
  <c r="ET20" i="15"/>
  <c r="ER20" i="15"/>
  <c r="FB19" i="15"/>
  <c r="FA19" i="15"/>
  <c r="EZ19" i="15"/>
  <c r="EY19" i="15"/>
  <c r="EX19" i="15"/>
  <c r="EX17" i="15" s="1"/>
  <c r="EV19" i="15"/>
  <c r="EV17" i="15" s="1"/>
  <c r="ET19" i="15"/>
  <c r="ET17" i="15" s="1"/>
  <c r="ER19" i="15"/>
  <c r="ER17" i="15" s="1"/>
  <c r="EZ18" i="15"/>
  <c r="EY18" i="15"/>
  <c r="EQ18" i="15"/>
  <c r="FB18" i="15" s="1"/>
  <c r="EW17" i="15"/>
  <c r="EU17" i="15"/>
  <c r="ES17" i="15"/>
  <c r="EQ17" i="15"/>
  <c r="FA16" i="15"/>
  <c r="EY16" i="15"/>
  <c r="EX16" i="15"/>
  <c r="ET16" i="15"/>
  <c r="ER16" i="15"/>
  <c r="FA15" i="15"/>
  <c r="EY15" i="15"/>
  <c r="FA14" i="15"/>
  <c r="EY14" i="15"/>
  <c r="FB13" i="15"/>
  <c r="FA13" i="15"/>
  <c r="EZ13" i="15"/>
  <c r="EY13" i="15"/>
  <c r="EX13" i="15"/>
  <c r="EV13" i="15"/>
  <c r="ET13" i="15"/>
  <c r="ER13" i="15"/>
  <c r="FB12" i="15"/>
  <c r="FA12" i="15"/>
  <c r="EZ12" i="15"/>
  <c r="EY12" i="15"/>
  <c r="EX12" i="15"/>
  <c r="EX11" i="15" s="1"/>
  <c r="EV12" i="15"/>
  <c r="EV11" i="15" s="1"/>
  <c r="ET12" i="15"/>
  <c r="ET11" i="15" s="1"/>
  <c r="ER12" i="15"/>
  <c r="ER11" i="15" s="1"/>
  <c r="EW11" i="15"/>
  <c r="EU11" i="15"/>
  <c r="ES11" i="15"/>
  <c r="EQ11" i="15"/>
  <c r="EO37" i="15"/>
  <c r="EM37" i="15"/>
  <c r="EL37" i="15"/>
  <c r="EJ37" i="15"/>
  <c r="EH37" i="15"/>
  <c r="EF37" i="15"/>
  <c r="EH36" i="15"/>
  <c r="EH33" i="15" s="1"/>
  <c r="EE36" i="15"/>
  <c r="EF36" i="15" s="1"/>
  <c r="EF33" i="15" s="1"/>
  <c r="EP35" i="15"/>
  <c r="EO35" i="15"/>
  <c r="EK33" i="15"/>
  <c r="EG33" i="15"/>
  <c r="EH32" i="15"/>
  <c r="EH30" i="15" s="1"/>
  <c r="EF32" i="15"/>
  <c r="EP31" i="15"/>
  <c r="EK30" i="15"/>
  <c r="EG30" i="15"/>
  <c r="EF30" i="15"/>
  <c r="EE30" i="15"/>
  <c r="EP29" i="15"/>
  <c r="EH29" i="15"/>
  <c r="EH27" i="15" s="1"/>
  <c r="EP28" i="15"/>
  <c r="EO28" i="15"/>
  <c r="EN28" i="15"/>
  <c r="EM28" i="15"/>
  <c r="EG27" i="15"/>
  <c r="EK27" i="15"/>
  <c r="EH26" i="15"/>
  <c r="EH23" i="15" s="1"/>
  <c r="EO25" i="15"/>
  <c r="EN25" i="15"/>
  <c r="EM25" i="15"/>
  <c r="EG23" i="15"/>
  <c r="EO22" i="15"/>
  <c r="EN22" i="15"/>
  <c r="EM22" i="15"/>
  <c r="EL22" i="15"/>
  <c r="EJ22" i="15"/>
  <c r="EH22" i="15"/>
  <c r="EF22" i="15"/>
  <c r="EO21" i="15"/>
  <c r="EM21" i="15"/>
  <c r="EL21" i="15"/>
  <c r="EJ21" i="15"/>
  <c r="EH21" i="15"/>
  <c r="EF21" i="15"/>
  <c r="EP20" i="15"/>
  <c r="EO20" i="15"/>
  <c r="EN20" i="15"/>
  <c r="EM20" i="15"/>
  <c r="EL20" i="15"/>
  <c r="EJ20" i="15"/>
  <c r="EH20" i="15"/>
  <c r="EF20" i="15"/>
  <c r="EP19" i="15"/>
  <c r="EO19" i="15"/>
  <c r="EN19" i="15"/>
  <c r="EM19" i="15"/>
  <c r="EL19" i="15"/>
  <c r="EL17" i="15" s="1"/>
  <c r="EJ19" i="15"/>
  <c r="EJ17" i="15" s="1"/>
  <c r="EH19" i="15"/>
  <c r="EH17" i="15" s="1"/>
  <c r="EF19" i="15"/>
  <c r="EF17" i="15" s="1"/>
  <c r="EN18" i="15"/>
  <c r="EM18" i="15"/>
  <c r="EE18" i="15"/>
  <c r="EP18" i="15" s="1"/>
  <c r="EK17" i="15"/>
  <c r="EI17" i="15"/>
  <c r="EG17" i="15"/>
  <c r="EO16" i="15"/>
  <c r="EM16" i="15"/>
  <c r="EL16" i="15"/>
  <c r="EH16" i="15"/>
  <c r="EF16" i="15"/>
  <c r="EO15" i="15"/>
  <c r="EM15" i="15"/>
  <c r="EO14" i="15"/>
  <c r="EM14" i="15"/>
  <c r="EP13" i="15"/>
  <c r="EO13" i="15"/>
  <c r="EN13" i="15"/>
  <c r="EM13" i="15"/>
  <c r="EL13" i="15"/>
  <c r="EJ13" i="15"/>
  <c r="EH13" i="15"/>
  <c r="EF13" i="15"/>
  <c r="EF11" i="15" s="1"/>
  <c r="EP12" i="15"/>
  <c r="EO12" i="15"/>
  <c r="EN12" i="15"/>
  <c r="EM12" i="15"/>
  <c r="EL12" i="15"/>
  <c r="EJ12" i="15"/>
  <c r="EH12" i="15"/>
  <c r="EF12" i="15"/>
  <c r="EK11" i="15"/>
  <c r="EI11" i="15"/>
  <c r="EH11" i="15"/>
  <c r="EG11" i="15"/>
  <c r="EE11" i="15"/>
  <c r="DS36" i="15"/>
  <c r="DT36" i="15" s="1"/>
  <c r="DT33" i="15" s="1"/>
  <c r="DY24" i="15"/>
  <c r="DS26" i="15"/>
  <c r="DS23" i="15" s="1"/>
  <c r="EC37" i="15"/>
  <c r="EA37" i="15"/>
  <c r="DZ37" i="15"/>
  <c r="DX37" i="15"/>
  <c r="DV37" i="15"/>
  <c r="DT37" i="15"/>
  <c r="DV36" i="15"/>
  <c r="DV33" i="15" s="1"/>
  <c r="ED35" i="15"/>
  <c r="EC35" i="15"/>
  <c r="DY33" i="15"/>
  <c r="DU33" i="15"/>
  <c r="DV32" i="15"/>
  <c r="DT32" i="15"/>
  <c r="DW31" i="15"/>
  <c r="DY30" i="15"/>
  <c r="DV30" i="15"/>
  <c r="DU30" i="15"/>
  <c r="DT30" i="15"/>
  <c r="DS30" i="15"/>
  <c r="DX29" i="15"/>
  <c r="DX27" i="15" s="1"/>
  <c r="ED29" i="15"/>
  <c r="DV29" i="15"/>
  <c r="DV27" i="15" s="1"/>
  <c r="DT29" i="15"/>
  <c r="ED28" i="15"/>
  <c r="EC28" i="15"/>
  <c r="EB28" i="15"/>
  <c r="EA28" i="15"/>
  <c r="DY27" i="15"/>
  <c r="DW27" i="15"/>
  <c r="DU27" i="15"/>
  <c r="DT27" i="15"/>
  <c r="DS27" i="15"/>
  <c r="DV26" i="15"/>
  <c r="DV23" i="15" s="1"/>
  <c r="EC25" i="15"/>
  <c r="DS24" i="15"/>
  <c r="DU23" i="15"/>
  <c r="EC22" i="15"/>
  <c r="EB22" i="15"/>
  <c r="EA22" i="15"/>
  <c r="DZ22" i="15"/>
  <c r="DX22" i="15"/>
  <c r="DV22" i="15"/>
  <c r="DT22" i="15"/>
  <c r="EC21" i="15"/>
  <c r="EA21" i="15"/>
  <c r="DZ21" i="15"/>
  <c r="DX21" i="15"/>
  <c r="DV21" i="15"/>
  <c r="DT21" i="15"/>
  <c r="ED20" i="15"/>
  <c r="EC20" i="15"/>
  <c r="EB20" i="15"/>
  <c r="EA20" i="15"/>
  <c r="DZ20" i="15"/>
  <c r="DX20" i="15"/>
  <c r="DV20" i="15"/>
  <c r="DT20" i="15"/>
  <c r="ED19" i="15"/>
  <c r="EC19" i="15"/>
  <c r="EB19" i="15"/>
  <c r="EA19" i="15"/>
  <c r="DZ19" i="15"/>
  <c r="DZ17" i="15" s="1"/>
  <c r="DX19" i="15"/>
  <c r="DX17" i="15" s="1"/>
  <c r="DV19" i="15"/>
  <c r="DV17" i="15" s="1"/>
  <c r="DT19" i="15"/>
  <c r="DT17" i="15" s="1"/>
  <c r="ED18" i="15"/>
  <c r="EC18" i="15"/>
  <c r="EB18" i="15"/>
  <c r="EA18" i="15"/>
  <c r="DS18" i="15"/>
  <c r="DY17" i="15"/>
  <c r="DW17" i="15"/>
  <c r="DU17" i="15"/>
  <c r="DS17" i="15"/>
  <c r="EC16" i="15"/>
  <c r="EA16" i="15"/>
  <c r="DZ16" i="15"/>
  <c r="DX16" i="15"/>
  <c r="DV16" i="15"/>
  <c r="DT16" i="15"/>
  <c r="EC15" i="15"/>
  <c r="EA15" i="15"/>
  <c r="EC14" i="15"/>
  <c r="EA14" i="15"/>
  <c r="ED13" i="15"/>
  <c r="EC13" i="15"/>
  <c r="EB13" i="15"/>
  <c r="EA13" i="15"/>
  <c r="DZ13" i="15"/>
  <c r="DX13" i="15"/>
  <c r="DV13" i="15"/>
  <c r="DT13" i="15"/>
  <c r="ED12" i="15"/>
  <c r="EC12" i="15"/>
  <c r="EB12" i="15"/>
  <c r="EA12" i="15"/>
  <c r="DZ12" i="15"/>
  <c r="DX12" i="15"/>
  <c r="DV12" i="15"/>
  <c r="DT12" i="15"/>
  <c r="DT11" i="15" s="1"/>
  <c r="DY11" i="15"/>
  <c r="DW11" i="15"/>
  <c r="DU11" i="15"/>
  <c r="DS11" i="15"/>
  <c r="DG36" i="15"/>
  <c r="DN26" i="15"/>
  <c r="DN23" i="15" s="1"/>
  <c r="DG24" i="15"/>
  <c r="DG26" i="15" s="1"/>
  <c r="DQ37" i="15"/>
  <c r="DO37" i="15"/>
  <c r="DN37" i="15"/>
  <c r="DL37" i="15"/>
  <c r="DJ37" i="15"/>
  <c r="DH37" i="15"/>
  <c r="DJ36" i="15"/>
  <c r="DJ33" i="15" s="1"/>
  <c r="DH36" i="15"/>
  <c r="DH33" i="15" s="1"/>
  <c r="DQ35" i="15"/>
  <c r="DM33" i="15"/>
  <c r="DJ32" i="15"/>
  <c r="DJ30" i="15" s="1"/>
  <c r="DH32" i="15"/>
  <c r="DK31" i="15"/>
  <c r="DP31" i="15" s="1"/>
  <c r="DM30" i="15"/>
  <c r="DI30" i="15"/>
  <c r="DG30" i="15"/>
  <c r="DQ29" i="15"/>
  <c r="DP29" i="15"/>
  <c r="DO29" i="15"/>
  <c r="DL29" i="15"/>
  <c r="DL27" i="15" s="1"/>
  <c r="DR29" i="15"/>
  <c r="DJ29" i="15"/>
  <c r="DJ27" i="15" s="1"/>
  <c r="DH29" i="15"/>
  <c r="DH27" i="15" s="1"/>
  <c r="DR28" i="15"/>
  <c r="DQ28" i="15"/>
  <c r="DP28" i="15"/>
  <c r="DO28" i="15"/>
  <c r="DM27" i="15"/>
  <c r="DP27" i="15" s="1"/>
  <c r="DK27" i="15"/>
  <c r="DI27" i="15"/>
  <c r="DG27" i="15"/>
  <c r="DJ26" i="15"/>
  <c r="DJ23" i="15" s="1"/>
  <c r="DQ25" i="15"/>
  <c r="DO24" i="15"/>
  <c r="DI23" i="15"/>
  <c r="DQ22" i="15"/>
  <c r="DP22" i="15"/>
  <c r="DO22" i="15"/>
  <c r="DN22" i="15"/>
  <c r="DL22" i="15"/>
  <c r="DJ22" i="15"/>
  <c r="DH22" i="15"/>
  <c r="DQ21" i="15"/>
  <c r="DO21" i="15"/>
  <c r="DN21" i="15"/>
  <c r="DL21" i="15"/>
  <c r="DJ21" i="15"/>
  <c r="DH21" i="15"/>
  <c r="DR20" i="15"/>
  <c r="DQ20" i="15"/>
  <c r="DP20" i="15"/>
  <c r="DO20" i="15"/>
  <c r="DN20" i="15"/>
  <c r="DL20" i="15"/>
  <c r="DJ20" i="15"/>
  <c r="DH20" i="15"/>
  <c r="DR19" i="15"/>
  <c r="DQ19" i="15"/>
  <c r="DP19" i="15"/>
  <c r="DO19" i="15"/>
  <c r="DN19" i="15"/>
  <c r="DL19" i="15"/>
  <c r="DL17" i="15" s="1"/>
  <c r="DJ19" i="15"/>
  <c r="DJ17" i="15" s="1"/>
  <c r="DH19" i="15"/>
  <c r="DH17" i="15" s="1"/>
  <c r="DP18" i="15"/>
  <c r="DO18" i="15"/>
  <c r="DG18" i="15"/>
  <c r="DR18" i="15" s="1"/>
  <c r="DM17" i="15"/>
  <c r="DK17" i="15"/>
  <c r="DI17" i="15"/>
  <c r="DQ16" i="15"/>
  <c r="DO16" i="15"/>
  <c r="DN16" i="15"/>
  <c r="DL16" i="15"/>
  <c r="DJ16" i="15"/>
  <c r="DH16" i="15"/>
  <c r="DQ15" i="15"/>
  <c r="DO15" i="15"/>
  <c r="DQ14" i="15"/>
  <c r="DO14" i="15"/>
  <c r="DR13" i="15"/>
  <c r="DQ13" i="15"/>
  <c r="DP13" i="15"/>
  <c r="DO13" i="15"/>
  <c r="DN13" i="15"/>
  <c r="DL13" i="15"/>
  <c r="DJ13" i="15"/>
  <c r="DH13" i="15"/>
  <c r="DR12" i="15"/>
  <c r="DQ12" i="15"/>
  <c r="DP12" i="15"/>
  <c r="DO12" i="15"/>
  <c r="DN12" i="15"/>
  <c r="DL12" i="15"/>
  <c r="DJ12" i="15"/>
  <c r="DH12" i="15"/>
  <c r="DH11" i="15" s="1"/>
  <c r="DM11" i="15"/>
  <c r="DK11" i="15"/>
  <c r="DQ11" i="15" s="1"/>
  <c r="DI11" i="15"/>
  <c r="DG11" i="15"/>
  <c r="CU36" i="15"/>
  <c r="CV36" i="15" s="1"/>
  <c r="CV33" i="15" s="1"/>
  <c r="CU26" i="15"/>
  <c r="CV26" i="15" s="1"/>
  <c r="CV23" i="15" s="1"/>
  <c r="DE37" i="15"/>
  <c r="DC37" i="15"/>
  <c r="DB37" i="15"/>
  <c r="CZ37" i="15"/>
  <c r="CX37" i="15"/>
  <c r="CV37" i="15"/>
  <c r="CX36" i="15"/>
  <c r="CX33" i="15" s="1"/>
  <c r="DF35" i="15"/>
  <c r="DE35" i="15"/>
  <c r="DA33" i="15"/>
  <c r="CW33" i="15"/>
  <c r="CX32" i="15"/>
  <c r="CX30" i="15" s="1"/>
  <c r="CV32" i="15"/>
  <c r="CY31" i="15"/>
  <c r="DC31" i="15" s="1"/>
  <c r="DA30" i="15"/>
  <c r="CW30" i="15"/>
  <c r="CV30" i="15"/>
  <c r="CU30" i="15"/>
  <c r="DD29" i="15"/>
  <c r="CZ29" i="15"/>
  <c r="CZ27" i="15" s="1"/>
  <c r="DF29" i="15"/>
  <c r="CX29" i="15"/>
  <c r="CX27" i="15" s="1"/>
  <c r="CV29" i="15"/>
  <c r="DF28" i="15"/>
  <c r="DE28" i="15"/>
  <c r="DD28" i="15"/>
  <c r="DC28" i="15"/>
  <c r="DA27" i="15"/>
  <c r="DD27" i="15" s="1"/>
  <c r="CY27" i="15"/>
  <c r="CW27" i="15"/>
  <c r="CV27" i="15"/>
  <c r="CU27" i="15"/>
  <c r="DB26" i="15"/>
  <c r="DB23" i="15" s="1"/>
  <c r="CX26" i="15"/>
  <c r="CX23" i="15" s="1"/>
  <c r="DE25" i="15"/>
  <c r="CY26" i="15"/>
  <c r="CW23" i="15"/>
  <c r="DE22" i="15"/>
  <c r="DD22" i="15"/>
  <c r="DC22" i="15"/>
  <c r="DB22" i="15"/>
  <c r="CZ22" i="15"/>
  <c r="CX22" i="15"/>
  <c r="CV22" i="15"/>
  <c r="DE21" i="15"/>
  <c r="DC21" i="15"/>
  <c r="DB21" i="15"/>
  <c r="CZ21" i="15"/>
  <c r="CX21" i="15"/>
  <c r="CV21" i="15"/>
  <c r="DF20" i="15"/>
  <c r="DE20" i="15"/>
  <c r="DD20" i="15"/>
  <c r="DC20" i="15"/>
  <c r="DB20" i="15"/>
  <c r="CZ20" i="15"/>
  <c r="CX20" i="15"/>
  <c r="CV20" i="15"/>
  <c r="DF19" i="15"/>
  <c r="DE19" i="15"/>
  <c r="DD19" i="15"/>
  <c r="DC19" i="15"/>
  <c r="DB19" i="15"/>
  <c r="DB17" i="15" s="1"/>
  <c r="CZ19" i="15"/>
  <c r="CZ17" i="15" s="1"/>
  <c r="CX19" i="15"/>
  <c r="CV19" i="15"/>
  <c r="CV17" i="15" s="1"/>
  <c r="DD18" i="15"/>
  <c r="DC18" i="15"/>
  <c r="CU18" i="15"/>
  <c r="DF18" i="15" s="1"/>
  <c r="DA17" i="15"/>
  <c r="CY17" i="15"/>
  <c r="CX17" i="15"/>
  <c r="CW17" i="15"/>
  <c r="DE16" i="15"/>
  <c r="DC16" i="15"/>
  <c r="DB16" i="15"/>
  <c r="CZ16" i="15"/>
  <c r="CX16" i="15"/>
  <c r="CV16" i="15"/>
  <c r="DE15" i="15"/>
  <c r="DC15" i="15"/>
  <c r="DE14" i="15"/>
  <c r="DC14" i="15"/>
  <c r="DF13" i="15"/>
  <c r="DE13" i="15"/>
  <c r="DD13" i="15"/>
  <c r="DC13" i="15"/>
  <c r="DB13" i="15"/>
  <c r="CZ13" i="15"/>
  <c r="CX13" i="15"/>
  <c r="CV13" i="15"/>
  <c r="DF12" i="15"/>
  <c r="DE12" i="15"/>
  <c r="DD12" i="15"/>
  <c r="DC12" i="15"/>
  <c r="DB12" i="15"/>
  <c r="CZ12" i="15"/>
  <c r="CZ11" i="15" s="1"/>
  <c r="CX12" i="15"/>
  <c r="CX11" i="15" s="1"/>
  <c r="CV12" i="15"/>
  <c r="DA11" i="15"/>
  <c r="CY11" i="15"/>
  <c r="CW11" i="15"/>
  <c r="CU11" i="15"/>
  <c r="CO33" i="15"/>
  <c r="CI36" i="15"/>
  <c r="CJ36" i="15" s="1"/>
  <c r="CJ33" i="15" s="1"/>
  <c r="CO26" i="15"/>
  <c r="CI26" i="15"/>
  <c r="CJ26" i="15" s="1"/>
  <c r="CJ23" i="15" s="1"/>
  <c r="CS37" i="15"/>
  <c r="CQ37" i="15"/>
  <c r="CP37" i="15"/>
  <c r="CL37" i="15"/>
  <c r="CJ37" i="15"/>
  <c r="CL36" i="15"/>
  <c r="CL33" i="15" s="1"/>
  <c r="CT35" i="15"/>
  <c r="CS35" i="15"/>
  <c r="CQ35" i="15"/>
  <c r="CR35" i="15"/>
  <c r="CQ36" i="15"/>
  <c r="CT32" i="15"/>
  <c r="CL32" i="15"/>
  <c r="CL30" i="15" s="1"/>
  <c r="CJ32" i="15"/>
  <c r="CS31" i="15"/>
  <c r="CQ31" i="15"/>
  <c r="CM31" i="15"/>
  <c r="CT31" i="15" s="1"/>
  <c r="CO30" i="15"/>
  <c r="CK30" i="15"/>
  <c r="CI30" i="15"/>
  <c r="CT29" i="15"/>
  <c r="CS29" i="15"/>
  <c r="CR29" i="15"/>
  <c r="CQ29" i="15"/>
  <c r="CN29" i="15"/>
  <c r="CN27" i="15" s="1"/>
  <c r="CL29" i="15"/>
  <c r="CL27" i="15" s="1"/>
  <c r="CJ29" i="15"/>
  <c r="CT28" i="15"/>
  <c r="CS28" i="15"/>
  <c r="CR28" i="15"/>
  <c r="CQ28" i="15"/>
  <c r="CK27" i="15"/>
  <c r="CO27" i="15"/>
  <c r="CM27" i="15"/>
  <c r="CJ27" i="15"/>
  <c r="CI27" i="15"/>
  <c r="CL26" i="15"/>
  <c r="CL23" i="15" s="1"/>
  <c r="CT25" i="15"/>
  <c r="CS25" i="15"/>
  <c r="CR24" i="15"/>
  <c r="CQ24" i="15"/>
  <c r="CM26" i="15"/>
  <c r="CO23" i="15"/>
  <c r="CK23" i="15"/>
  <c r="CS22" i="15"/>
  <c r="CR22" i="15"/>
  <c r="CQ22" i="15"/>
  <c r="CP22" i="15"/>
  <c r="CN22" i="15"/>
  <c r="CL22" i="15"/>
  <c r="CJ22" i="15"/>
  <c r="CS21" i="15"/>
  <c r="CQ21" i="15"/>
  <c r="CP21" i="15"/>
  <c r="CN21" i="15"/>
  <c r="CL21" i="15"/>
  <c r="CJ21" i="15"/>
  <c r="CT20" i="15"/>
  <c r="CS20" i="15"/>
  <c r="CQ20" i="15"/>
  <c r="CP20" i="15"/>
  <c r="CN20" i="15"/>
  <c r="CL20" i="15"/>
  <c r="CJ20" i="15"/>
  <c r="CT19" i="15"/>
  <c r="CS19" i="15"/>
  <c r="CR19" i="15"/>
  <c r="CQ19" i="15"/>
  <c r="CP19" i="15"/>
  <c r="CP17" i="15" s="1"/>
  <c r="CN19" i="15"/>
  <c r="CN17" i="15" s="1"/>
  <c r="CL19" i="15"/>
  <c r="CL17" i="15" s="1"/>
  <c r="CJ19" i="15"/>
  <c r="CJ17" i="15" s="1"/>
  <c r="CR18" i="15"/>
  <c r="CQ18" i="15"/>
  <c r="CI18" i="15"/>
  <c r="CS18" i="15" s="1"/>
  <c r="CO17" i="15"/>
  <c r="CM17" i="15"/>
  <c r="CK17" i="15"/>
  <c r="CS16" i="15"/>
  <c r="CQ16" i="15"/>
  <c r="CP16" i="15"/>
  <c r="CN16" i="15"/>
  <c r="CL16" i="15"/>
  <c r="CJ16" i="15"/>
  <c r="CS15" i="15"/>
  <c r="CQ15" i="15"/>
  <c r="CS14" i="15"/>
  <c r="CQ14" i="15"/>
  <c r="CT13" i="15"/>
  <c r="CS13" i="15"/>
  <c r="CR13" i="15"/>
  <c r="CQ13" i="15"/>
  <c r="CP13" i="15"/>
  <c r="CN13" i="15"/>
  <c r="CL13" i="15"/>
  <c r="CJ13" i="15"/>
  <c r="CT12" i="15"/>
  <c r="CS12" i="15"/>
  <c r="CR12" i="15"/>
  <c r="CQ12" i="15"/>
  <c r="CP12" i="15"/>
  <c r="CN12" i="15"/>
  <c r="CL12" i="15"/>
  <c r="CJ12" i="15"/>
  <c r="BP13" i="15"/>
  <c r="BW36" i="15"/>
  <c r="CC26" i="15"/>
  <c r="U24" i="10" s="1"/>
  <c r="C25" i="144" s="1"/>
  <c r="C22" i="144" s="1"/>
  <c r="BW26" i="15"/>
  <c r="BW23" i="15" s="1"/>
  <c r="CG37" i="15"/>
  <c r="CE37" i="15"/>
  <c r="CD37" i="15"/>
  <c r="CB37" i="15"/>
  <c r="BZ37" i="15"/>
  <c r="BX37" i="15"/>
  <c r="BZ36" i="15"/>
  <c r="BZ33" i="15" s="1"/>
  <c r="BX36" i="15"/>
  <c r="BX33" i="15" s="1"/>
  <c r="CH35" i="15"/>
  <c r="BZ32" i="15"/>
  <c r="BZ30" i="15" s="1"/>
  <c r="BX32" i="15"/>
  <c r="CA31" i="15"/>
  <c r="BY30" i="15"/>
  <c r="BX30" i="15"/>
  <c r="BW30" i="15"/>
  <c r="CH29" i="15"/>
  <c r="CG29" i="15"/>
  <c r="CF29" i="15"/>
  <c r="CE29" i="15"/>
  <c r="CB29" i="15"/>
  <c r="CB27" i="15" s="1"/>
  <c r="BZ29" i="15"/>
  <c r="BZ27" i="15" s="1"/>
  <c r="BX29" i="15"/>
  <c r="BX27" i="15" s="1"/>
  <c r="CH28" i="15"/>
  <c r="CG28" i="15"/>
  <c r="CF28" i="15"/>
  <c r="CE28" i="15"/>
  <c r="CC27" i="15"/>
  <c r="BY27" i="15"/>
  <c r="BW27" i="15"/>
  <c r="BZ26" i="15"/>
  <c r="BZ23" i="15" s="1"/>
  <c r="CH25" i="15"/>
  <c r="CH24" i="15"/>
  <c r="CG24" i="15"/>
  <c r="CF24" i="15"/>
  <c r="CE24" i="15"/>
  <c r="CC23" i="15"/>
  <c r="BY23" i="15"/>
  <c r="CG22" i="15"/>
  <c r="CF22" i="15"/>
  <c r="CE22" i="15"/>
  <c r="CD22" i="15"/>
  <c r="CB22" i="15"/>
  <c r="BZ22" i="15"/>
  <c r="BX22" i="15"/>
  <c r="CG21" i="15"/>
  <c r="CE21" i="15"/>
  <c r="CD21" i="15"/>
  <c r="CB21" i="15"/>
  <c r="BZ21" i="15"/>
  <c r="BX21" i="15"/>
  <c r="CH20" i="15"/>
  <c r="CG20" i="15"/>
  <c r="CF20" i="15"/>
  <c r="CE20" i="15"/>
  <c r="CD20" i="15"/>
  <c r="CB20" i="15"/>
  <c r="BZ20" i="15"/>
  <c r="BX20" i="15"/>
  <c r="CH19" i="15"/>
  <c r="CG19" i="15"/>
  <c r="CF19" i="15"/>
  <c r="CE19" i="15"/>
  <c r="CD19" i="15"/>
  <c r="CD17" i="15" s="1"/>
  <c r="CB19" i="15"/>
  <c r="CB17" i="15" s="1"/>
  <c r="BZ19" i="15"/>
  <c r="BZ17" i="15" s="1"/>
  <c r="BX19" i="15"/>
  <c r="CF18" i="15"/>
  <c r="CE18" i="15"/>
  <c r="BW18" i="15"/>
  <c r="BW17" i="15" s="1"/>
  <c r="CC17" i="15"/>
  <c r="CA17" i="15"/>
  <c r="BY17" i="15"/>
  <c r="BX17" i="15"/>
  <c r="CG16" i="15"/>
  <c r="CE16" i="15"/>
  <c r="CD16" i="15"/>
  <c r="CB16" i="15"/>
  <c r="BZ16" i="15"/>
  <c r="BX16" i="15"/>
  <c r="CG15" i="15"/>
  <c r="CE15" i="15"/>
  <c r="CG14" i="15"/>
  <c r="CE14" i="15"/>
  <c r="CH13" i="15"/>
  <c r="CG13" i="15"/>
  <c r="CF13" i="15"/>
  <c r="CE13" i="15"/>
  <c r="CD13" i="15"/>
  <c r="CB13" i="15"/>
  <c r="BZ13" i="15"/>
  <c r="BX13" i="15"/>
  <c r="CH12" i="15"/>
  <c r="CG12" i="15"/>
  <c r="CF12" i="15"/>
  <c r="CE12" i="15"/>
  <c r="CD12" i="15"/>
  <c r="CB12" i="15"/>
  <c r="BZ12" i="15"/>
  <c r="BX12" i="15"/>
  <c r="BX11" i="15" s="1"/>
  <c r="CC11" i="15"/>
  <c r="CA11" i="15"/>
  <c r="BY11" i="15"/>
  <c r="BW11" i="15"/>
  <c r="BQ33" i="15"/>
  <c r="BK34" i="15"/>
  <c r="BK36" i="15" s="1"/>
  <c r="BL36" i="15" s="1"/>
  <c r="BL33" i="15" s="1"/>
  <c r="BK26" i="15"/>
  <c r="BU37" i="15"/>
  <c r="BS37" i="15"/>
  <c r="BR37" i="15"/>
  <c r="BP37" i="15"/>
  <c r="BN37" i="15"/>
  <c r="BL37" i="15"/>
  <c r="BN36" i="15"/>
  <c r="BN33" i="15" s="1"/>
  <c r="BO35" i="15"/>
  <c r="BV35" i="15" s="1"/>
  <c r="BM33" i="15"/>
  <c r="BN32" i="15"/>
  <c r="BN30" i="15" s="1"/>
  <c r="BL32" i="15"/>
  <c r="BO31" i="15"/>
  <c r="BQ30" i="15"/>
  <c r="BM30" i="15"/>
  <c r="BK30" i="15"/>
  <c r="BT29" i="15"/>
  <c r="BV29" i="15"/>
  <c r="BN29" i="15"/>
  <c r="BN27" i="15" s="1"/>
  <c r="BL29" i="15"/>
  <c r="BL27" i="15" s="1"/>
  <c r="BV28" i="15"/>
  <c r="BU28" i="15"/>
  <c r="BT28" i="15"/>
  <c r="BS28" i="15"/>
  <c r="BQ27" i="15"/>
  <c r="BM27" i="15"/>
  <c r="BK27" i="15"/>
  <c r="BN26" i="15"/>
  <c r="BL26" i="15"/>
  <c r="BL23" i="15" s="1"/>
  <c r="BU24" i="15"/>
  <c r="BN23" i="15"/>
  <c r="BM23" i="15"/>
  <c r="BV19" i="15"/>
  <c r="BU19" i="15"/>
  <c r="BT19" i="15"/>
  <c r="BS19" i="15"/>
  <c r="BR19" i="15"/>
  <c r="BR17" i="15" s="1"/>
  <c r="BP19" i="15"/>
  <c r="BP17" i="15" s="1"/>
  <c r="BN19" i="15"/>
  <c r="BN17" i="15" s="1"/>
  <c r="BL19" i="15"/>
  <c r="BL17" i="15" s="1"/>
  <c r="BV18" i="15"/>
  <c r="BU18" i="15"/>
  <c r="BT18" i="15"/>
  <c r="BS18" i="15"/>
  <c r="BK18" i="15"/>
  <c r="BQ17" i="15"/>
  <c r="BO17" i="15"/>
  <c r="BM17" i="15"/>
  <c r="BK17" i="15"/>
  <c r="V40" i="15"/>
  <c r="U5" i="15"/>
  <c r="AG5" i="15" s="1"/>
  <c r="AS5" i="15" s="1"/>
  <c r="BE5" i="15" s="1"/>
  <c r="BQ5" i="15" s="1"/>
  <c r="CC5" i="15" s="1"/>
  <c r="CO5" i="15" s="1"/>
  <c r="DA5" i="15" s="1"/>
  <c r="DM5" i="15" s="1"/>
  <c r="DY5" i="15" s="1"/>
  <c r="EK5" i="15" s="1"/>
  <c r="EW5" i="15" s="1"/>
  <c r="AW6" i="15"/>
  <c r="BI6" i="15" s="1"/>
  <c r="BU6" i="15" s="1"/>
  <c r="CG6" i="15" s="1"/>
  <c r="CS6" i="15" s="1"/>
  <c r="DE6" i="15" s="1"/>
  <c r="DQ6" i="15" s="1"/>
  <c r="EC6" i="15" s="1"/>
  <c r="EO6" i="15" s="1"/>
  <c r="FA6" i="15" s="1"/>
  <c r="AU6" i="15"/>
  <c r="BG6" i="15" s="1"/>
  <c r="BS6" i="15" s="1"/>
  <c r="CE6" i="15" s="1"/>
  <c r="CQ6" i="15" s="1"/>
  <c r="DC6" i="15" s="1"/>
  <c r="DO6" i="15" s="1"/>
  <c r="EA6" i="15" s="1"/>
  <c r="EM6" i="15" s="1"/>
  <c r="EY6" i="15" s="1"/>
  <c r="Y6" i="15"/>
  <c r="AK6" i="15" s="1"/>
  <c r="W6" i="15"/>
  <c r="AI6" i="15" s="1"/>
  <c r="S5" i="15"/>
  <c r="AE5" i="15" s="1"/>
  <c r="AQ5" i="15" s="1"/>
  <c r="BC5" i="15" s="1"/>
  <c r="BO5" i="15" s="1"/>
  <c r="CA5" i="15" s="1"/>
  <c r="CM5" i="15" s="1"/>
  <c r="CY5" i="15" s="1"/>
  <c r="DK5" i="15" s="1"/>
  <c r="DW5" i="15" s="1"/>
  <c r="EI5" i="15" s="1"/>
  <c r="EU5" i="15" s="1"/>
  <c r="Q5" i="15"/>
  <c r="AC5" i="15" s="1"/>
  <c r="AO5" i="15" s="1"/>
  <c r="BA5" i="15" s="1"/>
  <c r="BM5" i="15" s="1"/>
  <c r="BY5" i="15" s="1"/>
  <c r="CK5" i="15" s="1"/>
  <c r="CW5" i="15" s="1"/>
  <c r="DI5" i="15" s="1"/>
  <c r="DU5" i="15" s="1"/>
  <c r="EG5" i="15" s="1"/>
  <c r="ES5" i="15" s="1"/>
  <c r="O5" i="15"/>
  <c r="AA5" i="15" s="1"/>
  <c r="AM5" i="15" s="1"/>
  <c r="AY5" i="15" s="1"/>
  <c r="BK5" i="15" s="1"/>
  <c r="BW5" i="15" s="1"/>
  <c r="CI5" i="15" s="1"/>
  <c r="CU5" i="15" s="1"/>
  <c r="DG5" i="15" s="1"/>
  <c r="DS5" i="15" s="1"/>
  <c r="EE5" i="15" s="1"/>
  <c r="EQ5" i="15" s="1"/>
  <c r="F34" i="45"/>
  <c r="P34" i="45"/>
  <c r="O34" i="45"/>
  <c r="N34" i="45"/>
  <c r="M34" i="45"/>
  <c r="L34" i="45"/>
  <c r="K34" i="45"/>
  <c r="J34" i="45"/>
  <c r="I34" i="45"/>
  <c r="H34" i="45"/>
  <c r="G34" i="45"/>
  <c r="D35" i="45"/>
  <c r="E7" i="45"/>
  <c r="BF29" i="15" l="1"/>
  <c r="BR3" i="15"/>
  <c r="CI23" i="15"/>
  <c r="DO31" i="15"/>
  <c r="DY26" i="15"/>
  <c r="AG24" i="10" s="1"/>
  <c r="C25" i="148" s="1"/>
  <c r="AG22" i="10"/>
  <c r="C23" i="148" s="1"/>
  <c r="C22" i="148" s="1"/>
  <c r="EF26" i="15"/>
  <c r="EF23" i="15" s="1"/>
  <c r="ER30" i="15"/>
  <c r="CU27" i="16"/>
  <c r="CU10" i="16"/>
  <c r="AR11" i="15"/>
  <c r="CP26" i="15"/>
  <c r="CP23" i="15" s="1"/>
  <c r="X24" i="10"/>
  <c r="C25" i="145" s="1"/>
  <c r="C22" i="145" s="1"/>
  <c r="BO27" i="16"/>
  <c r="BO10" i="16"/>
  <c r="DG23" i="15"/>
  <c r="DR31" i="15"/>
  <c r="BG31" i="15"/>
  <c r="C29" i="143"/>
  <c r="CM27" i="16"/>
  <c r="CM10" i="16"/>
  <c r="DX11" i="15"/>
  <c r="EW33" i="15"/>
  <c r="BI31" i="15"/>
  <c r="Z18" i="15"/>
  <c r="C18" i="15"/>
  <c r="AT32" i="15"/>
  <c r="AT30" i="15" s="1"/>
  <c r="BG27" i="16"/>
  <c r="BG10" i="16"/>
  <c r="BL30" i="15"/>
  <c r="AQ27" i="16"/>
  <c r="AQ10" i="16"/>
  <c r="CH31" i="15"/>
  <c r="CA32" i="15"/>
  <c r="CH32" i="15" s="1"/>
  <c r="CJ30" i="15"/>
  <c r="BH31" i="15"/>
  <c r="BV34" i="15"/>
  <c r="CS27" i="15"/>
  <c r="BJ31" i="15"/>
  <c r="AT29" i="15"/>
  <c r="DE18" i="15"/>
  <c r="DR27" i="15"/>
  <c r="DQ27" i="15"/>
  <c r="EC31" i="15"/>
  <c r="DW32" i="15"/>
  <c r="ED32" i="15" s="1"/>
  <c r="FA18" i="15"/>
  <c r="FA17" i="15" s="1"/>
  <c r="AZ30" i="15"/>
  <c r="AI27" i="16"/>
  <c r="AI10" i="16"/>
  <c r="AI31" i="15"/>
  <c r="P30" i="15"/>
  <c r="K10" i="16"/>
  <c r="BW10" i="16"/>
  <c r="BW27" i="16"/>
  <c r="EW26" i="15"/>
  <c r="AM22" i="10"/>
  <c r="C23" i="150" s="1"/>
  <c r="AY10" i="16"/>
  <c r="AY27" i="16"/>
  <c r="ED31" i="15"/>
  <c r="AN30" i="15"/>
  <c r="AN40" i="15" s="1"/>
  <c r="AJ31" i="15"/>
  <c r="O23" i="15"/>
  <c r="BV31" i="15"/>
  <c r="BO32" i="15"/>
  <c r="AX31" i="15"/>
  <c r="AQ32" i="15"/>
  <c r="AX32" i="15" s="1"/>
  <c r="CT26" i="15"/>
  <c r="CR31" i="15"/>
  <c r="DB11" i="15"/>
  <c r="DF27" i="15"/>
  <c r="DH30" i="15"/>
  <c r="CE10" i="16"/>
  <c r="CE27" i="16"/>
  <c r="AD11" i="15"/>
  <c r="DE31" i="15"/>
  <c r="CY32" i="15"/>
  <c r="DF32" i="15" s="1"/>
  <c r="DF31" i="15"/>
  <c r="CG31" i="15"/>
  <c r="CV11" i="15"/>
  <c r="C20" i="138"/>
  <c r="DQ31" i="15"/>
  <c r="DK32" i="15"/>
  <c r="BU17" i="15"/>
  <c r="CQ27" i="15"/>
  <c r="C15" i="140"/>
  <c r="K14" i="10"/>
  <c r="C29" i="140"/>
  <c r="EC17" i="15"/>
  <c r="CD11" i="15"/>
  <c r="CB11" i="15"/>
  <c r="CQ17" i="15"/>
  <c r="CE27" i="15"/>
  <c r="EL11" i="15"/>
  <c r="W27" i="15"/>
  <c r="V11" i="15"/>
  <c r="CF17" i="15"/>
  <c r="AI17" i="15"/>
  <c r="DD17" i="15"/>
  <c r="BV17" i="15"/>
  <c r="AV17" i="15"/>
  <c r="AL17" i="15"/>
  <c r="X17" i="15"/>
  <c r="AH11" i="15"/>
  <c r="BG17" i="15"/>
  <c r="DC17" i="15"/>
  <c r="EY17" i="15"/>
  <c r="DP17" i="15"/>
  <c r="D19" i="15"/>
  <c r="ED17" i="15"/>
  <c r="R17" i="15"/>
  <c r="F19" i="15"/>
  <c r="T17" i="15"/>
  <c r="H19" i="15"/>
  <c r="BS17" i="15"/>
  <c r="FB17" i="15"/>
  <c r="C16" i="140"/>
  <c r="DO17" i="15"/>
  <c r="DN17" i="15"/>
  <c r="J19" i="15"/>
  <c r="DN11" i="15"/>
  <c r="DO11" i="15"/>
  <c r="DL11" i="15"/>
  <c r="C36" i="138"/>
  <c r="C24" i="138"/>
  <c r="C13" i="138"/>
  <c r="C16" i="142"/>
  <c r="C22" i="141"/>
  <c r="C32" i="141"/>
  <c r="C32" i="142"/>
  <c r="C22" i="142"/>
  <c r="C8" i="147"/>
  <c r="C9" i="147" s="1"/>
  <c r="EU33" i="15"/>
  <c r="FA25" i="15"/>
  <c r="FA23" i="15" s="1"/>
  <c r="FB24" i="15"/>
  <c r="EZ24" i="15"/>
  <c r="EO31" i="15"/>
  <c r="EP32" i="15"/>
  <c r="EP25" i="15"/>
  <c r="EA17" i="15"/>
  <c r="C8" i="148"/>
  <c r="C9" i="148" s="1"/>
  <c r="EB27" i="15"/>
  <c r="EB17" i="15"/>
  <c r="EA11" i="15"/>
  <c r="EB25" i="15"/>
  <c r="ED25" i="15"/>
  <c r="DV11" i="15"/>
  <c r="DP35" i="15"/>
  <c r="DR35" i="15"/>
  <c r="DP25" i="15"/>
  <c r="DR25" i="15"/>
  <c r="DP24" i="15"/>
  <c r="DQ24" i="15"/>
  <c r="DJ11" i="15"/>
  <c r="CY36" i="15"/>
  <c r="DC35" i="15"/>
  <c r="DE24" i="15"/>
  <c r="DC24" i="15"/>
  <c r="DF24" i="15"/>
  <c r="DD24" i="15"/>
  <c r="CN26" i="15"/>
  <c r="CN23" i="15" s="1"/>
  <c r="CQ26" i="15"/>
  <c r="CS24" i="15"/>
  <c r="CS23" i="15" s="1"/>
  <c r="CT24" i="15"/>
  <c r="CA36" i="15"/>
  <c r="CE35" i="15"/>
  <c r="BZ11" i="15"/>
  <c r="C32" i="143"/>
  <c r="C34" i="138"/>
  <c r="BU34" i="15"/>
  <c r="BT34" i="15"/>
  <c r="BO36" i="15"/>
  <c r="BV24" i="15"/>
  <c r="BO26" i="15"/>
  <c r="BT26" i="15" s="1"/>
  <c r="BH34" i="15"/>
  <c r="BG25" i="15"/>
  <c r="BH25" i="15"/>
  <c r="BH24" i="15"/>
  <c r="BC26" i="15"/>
  <c r="BC23" i="15" s="1"/>
  <c r="BJ24" i="15"/>
  <c r="BB11" i="15"/>
  <c r="AX35" i="15"/>
  <c r="AW23" i="15"/>
  <c r="AP11" i="15"/>
  <c r="AE33" i="15"/>
  <c r="AI24" i="15"/>
  <c r="AE26" i="15"/>
  <c r="AJ24" i="15"/>
  <c r="AK24" i="15"/>
  <c r="AL24" i="15"/>
  <c r="S36" i="15"/>
  <c r="R11" i="15"/>
  <c r="CF11" i="15"/>
  <c r="CG11" i="15"/>
  <c r="C26" i="143"/>
  <c r="C16" i="143"/>
  <c r="C14" i="138"/>
  <c r="BT17" i="15"/>
  <c r="C26" i="142"/>
  <c r="BH27" i="15"/>
  <c r="BH17" i="15"/>
  <c r="BJ17" i="15"/>
  <c r="BD11" i="15"/>
  <c r="BH11" i="15"/>
  <c r="AD27" i="16"/>
  <c r="AD10" i="16"/>
  <c r="C29" i="141"/>
  <c r="C26" i="141"/>
  <c r="C16" i="141"/>
  <c r="AT11" i="15"/>
  <c r="AV27" i="15"/>
  <c r="AU17" i="15"/>
  <c r="C35" i="138"/>
  <c r="C22" i="140"/>
  <c r="C21" i="138"/>
  <c r="C19" i="138"/>
  <c r="C18" i="138"/>
  <c r="C15" i="138"/>
  <c r="C12" i="138"/>
  <c r="C10" i="140"/>
  <c r="AK27" i="15"/>
  <c r="AJ11" i="15"/>
  <c r="C29" i="139"/>
  <c r="C26" i="139"/>
  <c r="C16" i="139"/>
  <c r="Y27" i="15"/>
  <c r="T11" i="15"/>
  <c r="X11" i="15"/>
  <c r="Z11" i="15"/>
  <c r="EZ11" i="15"/>
  <c r="EZ17" i="15"/>
  <c r="EY27" i="15"/>
  <c r="C8" i="149"/>
  <c r="C9" i="149" s="1"/>
  <c r="EN11" i="15"/>
  <c r="EM11" i="15"/>
  <c r="EP11" i="15"/>
  <c r="EJ11" i="15"/>
  <c r="EN17" i="15"/>
  <c r="C8" i="146"/>
  <c r="C9" i="146" s="1"/>
  <c r="DF11" i="15"/>
  <c r="DC11" i="15"/>
  <c r="CR17" i="15"/>
  <c r="C10" i="142"/>
  <c r="C10" i="139"/>
  <c r="C32" i="139"/>
  <c r="C33" i="138"/>
  <c r="C17" i="138"/>
  <c r="C23" i="138"/>
  <c r="C10" i="143"/>
  <c r="C11" i="138"/>
  <c r="C8" i="145"/>
  <c r="C9" i="145" s="1"/>
  <c r="H24" i="10"/>
  <c r="C25" i="139"/>
  <c r="C10" i="141"/>
  <c r="C32" i="140"/>
  <c r="C29" i="142"/>
  <c r="C22" i="143"/>
  <c r="BI27" i="15"/>
  <c r="BJ27" i="15"/>
  <c r="AY23" i="15"/>
  <c r="BI17" i="15"/>
  <c r="BI11" i="15"/>
  <c r="BF27" i="15"/>
  <c r="BF32" i="15"/>
  <c r="CD3" i="15"/>
  <c r="AT27" i="15"/>
  <c r="AM33" i="15"/>
  <c r="AU27" i="15"/>
  <c r="AX27" i="15"/>
  <c r="AW11" i="15"/>
  <c r="AB26" i="15"/>
  <c r="AB23" i="15" s="1"/>
  <c r="AB11" i="15"/>
  <c r="AK11" i="15"/>
  <c r="AH27" i="15"/>
  <c r="AH32" i="15"/>
  <c r="O33" i="15"/>
  <c r="W17" i="15"/>
  <c r="Y11" i="15"/>
  <c r="X34" i="15"/>
  <c r="Y34" i="15"/>
  <c r="Z34" i="15"/>
  <c r="Z32" i="15"/>
  <c r="Y32" i="15"/>
  <c r="X32" i="15"/>
  <c r="W32" i="15"/>
  <c r="T32" i="15"/>
  <c r="S30" i="15"/>
  <c r="Z30" i="15" s="1"/>
  <c r="W34" i="15"/>
  <c r="Z24" i="15"/>
  <c r="X29" i="15"/>
  <c r="W31" i="15"/>
  <c r="Y18" i="15"/>
  <c r="Y17" i="15" s="1"/>
  <c r="S26" i="15"/>
  <c r="X31" i="15"/>
  <c r="O17" i="15"/>
  <c r="Z17" i="15" s="1"/>
  <c r="W25" i="15"/>
  <c r="W23" i="15" s="1"/>
  <c r="Z29" i="15"/>
  <c r="Y31" i="15"/>
  <c r="W35" i="15"/>
  <c r="X25" i="15"/>
  <c r="Z31" i="15"/>
  <c r="X35" i="15"/>
  <c r="W11" i="15"/>
  <c r="Y25" i="15"/>
  <c r="Y23" i="15" s="1"/>
  <c r="Y35" i="15"/>
  <c r="S27" i="15"/>
  <c r="Z27" i="15" s="1"/>
  <c r="AH36" i="15"/>
  <c r="AH33" i="15" s="1"/>
  <c r="AG33" i="15"/>
  <c r="AL32" i="15"/>
  <c r="AK32" i="15"/>
  <c r="AJ32" i="15"/>
  <c r="AI32" i="15"/>
  <c r="AI30" i="15" s="1"/>
  <c r="AF32" i="15"/>
  <c r="AE30" i="15"/>
  <c r="AL30" i="15" s="1"/>
  <c r="AJ27" i="15"/>
  <c r="AJ34" i="15"/>
  <c r="AI34" i="15"/>
  <c r="AL34" i="15"/>
  <c r="AK34" i="15"/>
  <c r="AL11" i="15"/>
  <c r="AI29" i="15"/>
  <c r="AI27" i="15" s="1"/>
  <c r="AI25" i="15"/>
  <c r="AL29" i="15"/>
  <c r="AK31" i="15"/>
  <c r="AI35" i="15"/>
  <c r="AJ25" i="15"/>
  <c r="AL31" i="15"/>
  <c r="AJ35" i="15"/>
  <c r="AI11" i="15"/>
  <c r="AK25" i="15"/>
  <c r="AK23" i="15" s="1"/>
  <c r="AH26" i="15"/>
  <c r="AH23" i="15" s="1"/>
  <c r="AK35" i="15"/>
  <c r="AE27" i="15"/>
  <c r="AL27" i="15" s="1"/>
  <c r="AA33" i="15"/>
  <c r="AV34" i="15"/>
  <c r="AU34" i="15"/>
  <c r="AX34" i="15"/>
  <c r="AQ33" i="15"/>
  <c r="AW34" i="15"/>
  <c r="AW33" i="15" s="1"/>
  <c r="AT36" i="15"/>
  <c r="AT33" i="15" s="1"/>
  <c r="AS33" i="15"/>
  <c r="AX11" i="15"/>
  <c r="AQ30" i="15"/>
  <c r="AX30" i="15" s="1"/>
  <c r="AR32" i="15"/>
  <c r="AW18" i="15"/>
  <c r="AW17" i="15" s="1"/>
  <c r="AW29" i="15"/>
  <c r="AW27" i="15" s="1"/>
  <c r="AV31" i="15"/>
  <c r="AU32" i="15"/>
  <c r="AU30" i="15" s="1"/>
  <c r="AM17" i="15"/>
  <c r="AX17" i="15" s="1"/>
  <c r="AU25" i="15"/>
  <c r="AU23" i="15" s="1"/>
  <c r="AW31" i="15"/>
  <c r="AV32" i="15"/>
  <c r="AU35" i="15"/>
  <c r="AV25" i="15"/>
  <c r="AW32" i="15"/>
  <c r="AV35" i="15"/>
  <c r="AU11" i="15"/>
  <c r="AV11" i="15"/>
  <c r="BJ32" i="15"/>
  <c r="BH32" i="15"/>
  <c r="BG32" i="15"/>
  <c r="BG30" i="15" s="1"/>
  <c r="BD32" i="15"/>
  <c r="BC30" i="15"/>
  <c r="BJ30" i="15" s="1"/>
  <c r="BI32" i="15"/>
  <c r="BI30" i="15"/>
  <c r="BD36" i="15"/>
  <c r="BD33" i="15" s="1"/>
  <c r="BJ36" i="15"/>
  <c r="BI36" i="15"/>
  <c r="BJ11" i="15"/>
  <c r="BG29" i="15"/>
  <c r="BG27" i="15" s="1"/>
  <c r="BI34" i="15"/>
  <c r="BJ34" i="15"/>
  <c r="BG26" i="15"/>
  <c r="BC33" i="15"/>
  <c r="BG11" i="15"/>
  <c r="BI25" i="15"/>
  <c r="BI23" i="15" s="1"/>
  <c r="BF26" i="15"/>
  <c r="BF23" i="15" s="1"/>
  <c r="BI35" i="15"/>
  <c r="BG24" i="15"/>
  <c r="AY33" i="15"/>
  <c r="BG34" i="15"/>
  <c r="BG33" i="15" s="1"/>
  <c r="BE23" i="15"/>
  <c r="FA11" i="15"/>
  <c r="EE27" i="15"/>
  <c r="EM17" i="15"/>
  <c r="EO11" i="15"/>
  <c r="EZ27" i="15"/>
  <c r="EZ34" i="15"/>
  <c r="EY34" i="15"/>
  <c r="FB34" i="15"/>
  <c r="FA34" i="15"/>
  <c r="ER26" i="15"/>
  <c r="ER23" i="15" s="1"/>
  <c r="EV32" i="15"/>
  <c r="FB11" i="15"/>
  <c r="EY24" i="15"/>
  <c r="FB25" i="15"/>
  <c r="EU27" i="15"/>
  <c r="FB27" i="15" s="1"/>
  <c r="EV29" i="15"/>
  <c r="EV27" i="15" s="1"/>
  <c r="EQ33" i="15"/>
  <c r="EY31" i="15"/>
  <c r="EY35" i="15"/>
  <c r="FA29" i="15"/>
  <c r="FA27" i="15" s="1"/>
  <c r="EZ31" i="15"/>
  <c r="EY32" i="15"/>
  <c r="EZ35" i="15"/>
  <c r="EY11" i="15"/>
  <c r="EY25" i="15"/>
  <c r="FA31" i="15"/>
  <c r="EZ32" i="15"/>
  <c r="FA35" i="15"/>
  <c r="EX36" i="15"/>
  <c r="EX33" i="15" s="1"/>
  <c r="FA32" i="15"/>
  <c r="EU30" i="15"/>
  <c r="EL26" i="15"/>
  <c r="EL23" i="15" s="1"/>
  <c r="EK23" i="15"/>
  <c r="EN34" i="15"/>
  <c r="EM34" i="15"/>
  <c r="EP34" i="15"/>
  <c r="EO34" i="15"/>
  <c r="EO33" i="15" s="1"/>
  <c r="EM36" i="15"/>
  <c r="EM24" i="15"/>
  <c r="EM23" i="15" s="1"/>
  <c r="EI27" i="15"/>
  <c r="EJ29" i="15"/>
  <c r="EJ27" i="15" s="1"/>
  <c r="EO18" i="15"/>
  <c r="EO17" i="15" s="1"/>
  <c r="EO24" i="15"/>
  <c r="EO23" i="15" s="1"/>
  <c r="EI30" i="15"/>
  <c r="EJ32" i="15"/>
  <c r="EE17" i="15"/>
  <c r="EP17" i="15" s="1"/>
  <c r="EP24" i="15"/>
  <c r="EN29" i="15"/>
  <c r="EM31" i="15"/>
  <c r="EM35" i="15"/>
  <c r="EO29" i="15"/>
  <c r="EO27" i="15" s="1"/>
  <c r="EN31" i="15"/>
  <c r="EM32" i="15"/>
  <c r="EN35" i="15"/>
  <c r="EE33" i="15"/>
  <c r="EN24" i="15"/>
  <c r="EM29" i="15"/>
  <c r="EM27" i="15" s="1"/>
  <c r="EN32" i="15"/>
  <c r="EL36" i="15"/>
  <c r="EL33" i="15" s="1"/>
  <c r="EO32" i="15"/>
  <c r="EO30" i="15" s="1"/>
  <c r="DS33" i="15"/>
  <c r="ED27" i="15"/>
  <c r="DZ11" i="15"/>
  <c r="EC11" i="15"/>
  <c r="EB34" i="15"/>
  <c r="ED34" i="15"/>
  <c r="EC34" i="15"/>
  <c r="EC33" i="15" s="1"/>
  <c r="EA34" i="15"/>
  <c r="ED11" i="15"/>
  <c r="EA24" i="15"/>
  <c r="EC24" i="15"/>
  <c r="EC23" i="15" s="1"/>
  <c r="DT26" i="15"/>
  <c r="DT23" i="15" s="1"/>
  <c r="EA29" i="15"/>
  <c r="EA27" i="15" s="1"/>
  <c r="ED24" i="15"/>
  <c r="EB29" i="15"/>
  <c r="EA31" i="15"/>
  <c r="EA35" i="15"/>
  <c r="EB24" i="15"/>
  <c r="EA26" i="15"/>
  <c r="EC29" i="15"/>
  <c r="EC27" i="15" s="1"/>
  <c r="EB31" i="15"/>
  <c r="EB35" i="15"/>
  <c r="EA25" i="15"/>
  <c r="DZ36" i="15"/>
  <c r="DZ33" i="15" s="1"/>
  <c r="EB11" i="15"/>
  <c r="DY23" i="15"/>
  <c r="DG33" i="15"/>
  <c r="DO27" i="15"/>
  <c r="DR24" i="15"/>
  <c r="DP11" i="15"/>
  <c r="DR11" i="15"/>
  <c r="DQ23" i="15"/>
  <c r="DP34" i="15"/>
  <c r="DO34" i="15"/>
  <c r="DR34" i="15"/>
  <c r="DQ34" i="15"/>
  <c r="DQ33" i="15" s="1"/>
  <c r="DK33" i="15"/>
  <c r="DM23" i="15"/>
  <c r="DH26" i="15"/>
  <c r="DH23" i="15" s="1"/>
  <c r="DK30" i="15"/>
  <c r="DR30" i="15" s="1"/>
  <c r="DL32" i="15"/>
  <c r="DI33" i="15"/>
  <c r="DO35" i="15"/>
  <c r="DQ18" i="15"/>
  <c r="DQ17" i="15" s="1"/>
  <c r="DP26" i="15"/>
  <c r="DO32" i="15"/>
  <c r="DO30" i="15" s="1"/>
  <c r="DO26" i="15"/>
  <c r="DG17" i="15"/>
  <c r="DR17" i="15" s="1"/>
  <c r="DO25" i="15"/>
  <c r="DO23" i="15" s="1"/>
  <c r="DP32" i="15"/>
  <c r="DN36" i="15"/>
  <c r="DN33" i="15" s="1"/>
  <c r="CU33" i="15"/>
  <c r="CU23" i="15"/>
  <c r="DE17" i="15"/>
  <c r="DE11" i="15"/>
  <c r="DD36" i="15"/>
  <c r="DE23" i="15"/>
  <c r="DD34" i="15"/>
  <c r="DC34" i="15"/>
  <c r="DC33" i="15" s="1"/>
  <c r="CY33" i="15"/>
  <c r="DF34" i="15"/>
  <c r="DE34" i="15"/>
  <c r="DE33" i="15" s="1"/>
  <c r="DD11" i="15"/>
  <c r="DF25" i="15"/>
  <c r="DD25" i="15"/>
  <c r="DA23" i="15"/>
  <c r="DC29" i="15"/>
  <c r="DC27" i="15" s="1"/>
  <c r="CY30" i="15"/>
  <c r="DF30" i="15" s="1"/>
  <c r="CZ32" i="15"/>
  <c r="DE29" i="15"/>
  <c r="DE27" i="15" s="1"/>
  <c r="DD31" i="15"/>
  <c r="DC32" i="15"/>
  <c r="DC30" i="15" s="1"/>
  <c r="DD35" i="15"/>
  <c r="CU17" i="15"/>
  <c r="DF17" i="15" s="1"/>
  <c r="DC25" i="15"/>
  <c r="DC23" i="15" s="1"/>
  <c r="DD32" i="15"/>
  <c r="DB36" i="15"/>
  <c r="DB33" i="15" s="1"/>
  <c r="DE32" i="15"/>
  <c r="DE30" i="15" s="1"/>
  <c r="DC26" i="15"/>
  <c r="CY23" i="15"/>
  <c r="DF23" i="15" s="1"/>
  <c r="CI33" i="15"/>
  <c r="CT27" i="15"/>
  <c r="CS17" i="15"/>
  <c r="CR34" i="15"/>
  <c r="CQ34" i="15"/>
  <c r="CQ33" i="15" s="1"/>
  <c r="CT34" i="15"/>
  <c r="CS34" i="15"/>
  <c r="CS33" i="15" s="1"/>
  <c r="CR26" i="15"/>
  <c r="CS26" i="15"/>
  <c r="CM30" i="15"/>
  <c r="CT30" i="15" s="1"/>
  <c r="CN32" i="15"/>
  <c r="CK33" i="15"/>
  <c r="CI17" i="15"/>
  <c r="CT17" i="15" s="1"/>
  <c r="CT18" i="15"/>
  <c r="CQ25" i="15"/>
  <c r="CQ23" i="15" s="1"/>
  <c r="CR27" i="15"/>
  <c r="CR32" i="15"/>
  <c r="CP36" i="15"/>
  <c r="CP33" i="15" s="1"/>
  <c r="CR25" i="15"/>
  <c r="CS32" i="15"/>
  <c r="CS30" i="15" s="1"/>
  <c r="CQ32" i="15"/>
  <c r="CQ30" i="15" s="1"/>
  <c r="CM23" i="15"/>
  <c r="CT23" i="15" s="1"/>
  <c r="BW33" i="15"/>
  <c r="CG27" i="15"/>
  <c r="CE17" i="15"/>
  <c r="CH11" i="15"/>
  <c r="CD29" i="15"/>
  <c r="CF34" i="15"/>
  <c r="CH34" i="15"/>
  <c r="CG34" i="15"/>
  <c r="CE26" i="15"/>
  <c r="CE34" i="15"/>
  <c r="CH17" i="15"/>
  <c r="BX26" i="15"/>
  <c r="BX23" i="15" s="1"/>
  <c r="CA30" i="15"/>
  <c r="CH30" i="15" s="1"/>
  <c r="CB32" i="15"/>
  <c r="BY33" i="15"/>
  <c r="CH18" i="15"/>
  <c r="CE25" i="15"/>
  <c r="CE23" i="15" s="1"/>
  <c r="CF25" i="15"/>
  <c r="CG32" i="15"/>
  <c r="CG30" i="15" s="1"/>
  <c r="CF35" i="15"/>
  <c r="CE11" i="15"/>
  <c r="CA23" i="15"/>
  <c r="CH23" i="15" s="1"/>
  <c r="CG25" i="15"/>
  <c r="CG23" i="15" s="1"/>
  <c r="CD26" i="15"/>
  <c r="CD23" i="15" s="1"/>
  <c r="CG35" i="15"/>
  <c r="CG18" i="15"/>
  <c r="CG17" i="15" s="1"/>
  <c r="CA27" i="15"/>
  <c r="CH27" i="15" s="1"/>
  <c r="BK33" i="15"/>
  <c r="BK23" i="15"/>
  <c r="BS31" i="15"/>
  <c r="BT31" i="15"/>
  <c r="BS35" i="15"/>
  <c r="BU31" i="15"/>
  <c r="BT35" i="15"/>
  <c r="BO30" i="15"/>
  <c r="BU35" i="15"/>
  <c r="BU33" i="15" s="1"/>
  <c r="BR36" i="15"/>
  <c r="BR33" i="15" s="1"/>
  <c r="BU32" i="15"/>
  <c r="BS34" i="15"/>
  <c r="BS36" i="15"/>
  <c r="BP32" i="15"/>
  <c r="BO27" i="15"/>
  <c r="BV27" i="15" s="1"/>
  <c r="BP29" i="15"/>
  <c r="BP27" i="15" s="1"/>
  <c r="BS29" i="15"/>
  <c r="BS27" i="15" s="1"/>
  <c r="BU29" i="15"/>
  <c r="BU27" i="15" s="1"/>
  <c r="BT25" i="15"/>
  <c r="BS25" i="15"/>
  <c r="BU25" i="15"/>
  <c r="BU23" i="15" s="1"/>
  <c r="BR26" i="15"/>
  <c r="BR23" i="15" s="1"/>
  <c r="BS24" i="15"/>
  <c r="BV25" i="15"/>
  <c r="BQ23" i="15"/>
  <c r="BT24" i="15"/>
  <c r="D34" i="45"/>
  <c r="G10" i="17"/>
  <c r="D10" i="17" s="1"/>
  <c r="D36" i="45"/>
  <c r="EC32" i="15" l="1"/>
  <c r="EC30" i="15" s="1"/>
  <c r="BS26" i="15"/>
  <c r="CH36" i="15"/>
  <c r="CG36" i="15"/>
  <c r="CF36" i="15"/>
  <c r="DQ32" i="15"/>
  <c r="DQ30" i="15" s="1"/>
  <c r="DR32" i="15"/>
  <c r="EB32" i="15"/>
  <c r="DX32" i="15"/>
  <c r="AX33" i="15"/>
  <c r="DW30" i="15"/>
  <c r="ED30" i="15" s="1"/>
  <c r="BS32" i="15"/>
  <c r="BT32" i="15"/>
  <c r="BV32" i="15"/>
  <c r="K27" i="16"/>
  <c r="Q10" i="16"/>
  <c r="R10" i="16"/>
  <c r="DZ26" i="15"/>
  <c r="DZ23" i="15" s="1"/>
  <c r="EW23" i="15"/>
  <c r="EX26" i="15"/>
  <c r="EX23" i="15" s="1"/>
  <c r="AM24" i="10"/>
  <c r="C25" i="150" s="1"/>
  <c r="C25" i="138" s="1"/>
  <c r="C22" i="138" s="1"/>
  <c r="BO23" i="15"/>
  <c r="EA32" i="15"/>
  <c r="Y30" i="15"/>
  <c r="EY26" i="15"/>
  <c r="M18" i="15"/>
  <c r="N18" i="15"/>
  <c r="BS30" i="15"/>
  <c r="BU26" i="15"/>
  <c r="BR29" i="15"/>
  <c r="BR27" i="15" s="1"/>
  <c r="BR32" i="15"/>
  <c r="BP26" i="15"/>
  <c r="BP23" i="15" s="1"/>
  <c r="BV26" i="15"/>
  <c r="S33" i="15"/>
  <c r="W36" i="15"/>
  <c r="BJ23" i="15"/>
  <c r="CE33" i="15"/>
  <c r="C8" i="141"/>
  <c r="C9" i="141" s="1"/>
  <c r="EY33" i="15"/>
  <c r="EA30" i="15"/>
  <c r="DX30" i="15"/>
  <c r="CG27" i="16"/>
  <c r="CG10" i="16"/>
  <c r="DL30" i="15"/>
  <c r="BY10" i="16"/>
  <c r="BY27" i="16"/>
  <c r="BT23" i="15"/>
  <c r="BG23" i="15"/>
  <c r="AJ36" i="15"/>
  <c r="AJ33" i="15"/>
  <c r="AI23" i="15"/>
  <c r="CB30" i="15"/>
  <c r="BA10" i="16"/>
  <c r="BA27" i="16"/>
  <c r="BP30" i="15"/>
  <c r="AS10" i="16"/>
  <c r="AS27" i="16"/>
  <c r="BU30" i="15"/>
  <c r="BT27" i="15"/>
  <c r="BF30" i="15"/>
  <c r="AL10" i="16"/>
  <c r="AL27" i="16"/>
  <c r="BI33" i="15"/>
  <c r="BD30" i="15"/>
  <c r="AK10" i="16"/>
  <c r="AK27" i="16"/>
  <c r="BH23" i="15"/>
  <c r="C16" i="138"/>
  <c r="AR30" i="15"/>
  <c r="AC10" i="16"/>
  <c r="AC27" i="16"/>
  <c r="C32" i="138"/>
  <c r="V27" i="16"/>
  <c r="V10" i="16"/>
  <c r="C10" i="138"/>
  <c r="AJ30" i="15"/>
  <c r="AF30" i="15"/>
  <c r="U27" i="16"/>
  <c r="U10" i="16"/>
  <c r="AK30" i="15"/>
  <c r="T30" i="15"/>
  <c r="T40" i="15" s="1"/>
  <c r="M27" i="16"/>
  <c r="M10" i="16"/>
  <c r="EV30" i="15"/>
  <c r="CW10" i="16"/>
  <c r="CW27" i="16"/>
  <c r="EM30" i="15"/>
  <c r="EJ30" i="15"/>
  <c r="CO27" i="16"/>
  <c r="CO10" i="16"/>
  <c r="CZ30" i="15"/>
  <c r="BQ27" i="16"/>
  <c r="BQ10" i="16"/>
  <c r="CN30" i="15"/>
  <c r="BI27" i="16"/>
  <c r="BI10" i="16"/>
  <c r="C8" i="143"/>
  <c r="C9" i="143" s="1"/>
  <c r="C8" i="142"/>
  <c r="C9" i="142" s="1"/>
  <c r="C22" i="139"/>
  <c r="C8" i="139" s="1"/>
  <c r="C9" i="139" s="1"/>
  <c r="CP3" i="15"/>
  <c r="CP32" i="15" s="1"/>
  <c r="AU33" i="15"/>
  <c r="AL33" i="15"/>
  <c r="AH30" i="15"/>
  <c r="AH40" i="15" s="1"/>
  <c r="Z33" i="15"/>
  <c r="W30" i="15"/>
  <c r="T36" i="15"/>
  <c r="T33" i="15" s="1"/>
  <c r="Z36" i="15"/>
  <c r="Y36" i="15"/>
  <c r="Y33" i="15"/>
  <c r="X26" i="15"/>
  <c r="T26" i="15"/>
  <c r="T23" i="15" s="1"/>
  <c r="Y26" i="15"/>
  <c r="Z26" i="15"/>
  <c r="S23" i="15"/>
  <c r="X30" i="15"/>
  <c r="X36" i="15"/>
  <c r="V36" i="15"/>
  <c r="V33" i="15" s="1"/>
  <c r="U33" i="15"/>
  <c r="X33" i="15" s="1"/>
  <c r="W26" i="15"/>
  <c r="X27" i="15"/>
  <c r="W33" i="15"/>
  <c r="AJ26" i="15"/>
  <c r="AF26" i="15"/>
  <c r="AF23" i="15" s="1"/>
  <c r="AL26" i="15"/>
  <c r="AK26" i="15"/>
  <c r="AI26" i="15"/>
  <c r="AK33" i="15"/>
  <c r="AF36" i="15"/>
  <c r="AF33" i="15" s="1"/>
  <c r="AL36" i="15"/>
  <c r="AK36" i="15"/>
  <c r="AE23" i="15"/>
  <c r="AI33" i="15"/>
  <c r="AI36" i="15"/>
  <c r="AR36" i="15"/>
  <c r="AR33" i="15" s="1"/>
  <c r="AX36" i="15"/>
  <c r="AW36" i="15"/>
  <c r="AV33" i="15"/>
  <c r="AV26" i="15"/>
  <c r="AU26" i="15"/>
  <c r="AX26" i="15"/>
  <c r="AR26" i="15"/>
  <c r="AR23" i="15" s="1"/>
  <c r="AW26" i="15"/>
  <c r="AU36" i="15"/>
  <c r="AV36" i="15"/>
  <c r="AW30" i="15"/>
  <c r="AQ23" i="15"/>
  <c r="AV30" i="15"/>
  <c r="BH36" i="15"/>
  <c r="BE33" i="15"/>
  <c r="BG36" i="15"/>
  <c r="BF36" i="15"/>
  <c r="BF33" i="15" s="1"/>
  <c r="BF9" i="15" s="1"/>
  <c r="BJ33" i="15"/>
  <c r="BD26" i="15"/>
  <c r="BD23" i="15" s="1"/>
  <c r="BJ26" i="15"/>
  <c r="BI26" i="15"/>
  <c r="BH30" i="15"/>
  <c r="BH26" i="15"/>
  <c r="EY30" i="15"/>
  <c r="FA30" i="15"/>
  <c r="EP27" i="15"/>
  <c r="EZ33" i="15"/>
  <c r="FB33" i="15"/>
  <c r="EU23" i="15"/>
  <c r="FB23" i="15" s="1"/>
  <c r="EZ30" i="15"/>
  <c r="FB30" i="15"/>
  <c r="EV26" i="15"/>
  <c r="EV23" i="15" s="1"/>
  <c r="FA26" i="15"/>
  <c r="FB26" i="15"/>
  <c r="FA33" i="15"/>
  <c r="EZ26" i="15"/>
  <c r="EZ36" i="15"/>
  <c r="EV36" i="15"/>
  <c r="EV33" i="15" s="1"/>
  <c r="FA36" i="15"/>
  <c r="FB36" i="15"/>
  <c r="EY23" i="15"/>
  <c r="EY36" i="15"/>
  <c r="EJ26" i="15"/>
  <c r="EJ23" i="15" s="1"/>
  <c r="EP26" i="15"/>
  <c r="EO26" i="15"/>
  <c r="EM26" i="15"/>
  <c r="EN26" i="15"/>
  <c r="EI33" i="15"/>
  <c r="EN30" i="15"/>
  <c r="EP30" i="15"/>
  <c r="EI23" i="15"/>
  <c r="EP23" i="15" s="1"/>
  <c r="EJ36" i="15"/>
  <c r="EJ33" i="15" s="1"/>
  <c r="EP36" i="15"/>
  <c r="EO36" i="15"/>
  <c r="EN27" i="15"/>
  <c r="EM33" i="15"/>
  <c r="EN36" i="15"/>
  <c r="EA33" i="15"/>
  <c r="EA23" i="15"/>
  <c r="DX36" i="15"/>
  <c r="DX33" i="15" s="1"/>
  <c r="ED36" i="15"/>
  <c r="EC36" i="15"/>
  <c r="DW33" i="15"/>
  <c r="EA36" i="15"/>
  <c r="DX26" i="15"/>
  <c r="DX23" i="15" s="1"/>
  <c r="ED26" i="15"/>
  <c r="EC26" i="15"/>
  <c r="EB30" i="15"/>
  <c r="EB26" i="15"/>
  <c r="EB36" i="15"/>
  <c r="DW23" i="15"/>
  <c r="ED23" i="15" s="1"/>
  <c r="DO33" i="15"/>
  <c r="DR33" i="15"/>
  <c r="DP33" i="15"/>
  <c r="DO36" i="15"/>
  <c r="DL36" i="15"/>
  <c r="DL33" i="15" s="1"/>
  <c r="DQ36" i="15"/>
  <c r="DR36" i="15"/>
  <c r="DL26" i="15"/>
  <c r="DL23" i="15" s="1"/>
  <c r="DR26" i="15"/>
  <c r="DQ26" i="15"/>
  <c r="DK23" i="15"/>
  <c r="DR23" i="15" s="1"/>
  <c r="DP30" i="15"/>
  <c r="DP36" i="15"/>
  <c r="DF33" i="15"/>
  <c r="DD33" i="15"/>
  <c r="DD30" i="15"/>
  <c r="CZ26" i="15"/>
  <c r="CZ23" i="15" s="1"/>
  <c r="DF26" i="15"/>
  <c r="DE26" i="15"/>
  <c r="DD26" i="15"/>
  <c r="DD23" i="15"/>
  <c r="DC36" i="15"/>
  <c r="CZ36" i="15"/>
  <c r="CZ33" i="15" s="1"/>
  <c r="DF36" i="15"/>
  <c r="DE36" i="15"/>
  <c r="CN36" i="15"/>
  <c r="CN33" i="15" s="1"/>
  <c r="CS36" i="15"/>
  <c r="CT36" i="15"/>
  <c r="CM33" i="15"/>
  <c r="CR23" i="15"/>
  <c r="CR36" i="15"/>
  <c r="CR30" i="15"/>
  <c r="CD27" i="15"/>
  <c r="CG33" i="15"/>
  <c r="CF27" i="15"/>
  <c r="CB36" i="15"/>
  <c r="CB33" i="15" s="1"/>
  <c r="CE36" i="15"/>
  <c r="CD36" i="15"/>
  <c r="CD33" i="15" s="1"/>
  <c r="CC33" i="15"/>
  <c r="CA33" i="15"/>
  <c r="CH33" i="15" s="1"/>
  <c r="CF26" i="15"/>
  <c r="CB26" i="15"/>
  <c r="CB23" i="15" s="1"/>
  <c r="CH26" i="15"/>
  <c r="CG26" i="15"/>
  <c r="CF23" i="15"/>
  <c r="BS33" i="15"/>
  <c r="BV23" i="15"/>
  <c r="BO33" i="15"/>
  <c r="BU36" i="15"/>
  <c r="BP36" i="15"/>
  <c r="BP33" i="15" s="1"/>
  <c r="BV36" i="15"/>
  <c r="BT30" i="15"/>
  <c r="BV30" i="15"/>
  <c r="BT36" i="15"/>
  <c r="BS23" i="15"/>
  <c r="BR30" i="15" l="1"/>
  <c r="BR40" i="15" s="1"/>
  <c r="AT27" i="16"/>
  <c r="AT10" i="16"/>
  <c r="C22" i="150"/>
  <c r="C8" i="150" s="1"/>
  <c r="C9" i="150" s="1"/>
  <c r="BH33" i="15"/>
  <c r="I33" i="15"/>
  <c r="BF10" i="15"/>
  <c r="AL9" i="16"/>
  <c r="Y10" i="16"/>
  <c r="Z10" i="16"/>
  <c r="EZ23" i="15"/>
  <c r="EN23" i="15"/>
  <c r="CP29" i="15"/>
  <c r="DB3" i="15"/>
  <c r="Z23" i="15"/>
  <c r="X23" i="15"/>
  <c r="AL23" i="15"/>
  <c r="AJ23" i="15"/>
  <c r="AX23" i="15"/>
  <c r="AV23" i="15"/>
  <c r="EP33" i="15"/>
  <c r="EN33" i="15"/>
  <c r="EB33" i="15"/>
  <c r="ED33" i="15"/>
  <c r="EB23" i="15"/>
  <c r="DP23" i="15"/>
  <c r="CT33" i="15"/>
  <c r="CR33" i="15"/>
  <c r="CF33" i="15"/>
  <c r="BT33" i="15"/>
  <c r="BV33" i="15"/>
  <c r="AM40" i="52"/>
  <c r="AM39" i="52"/>
  <c r="AM33" i="52"/>
  <c r="AM34" i="52"/>
  <c r="AM35" i="52"/>
  <c r="AM32" i="52"/>
  <c r="AM30" i="52"/>
  <c r="AM29" i="52"/>
  <c r="AM27" i="52"/>
  <c r="AM26" i="52"/>
  <c r="AM23" i="52"/>
  <c r="AM24" i="52"/>
  <c r="AM22" i="52"/>
  <c r="AM18" i="52"/>
  <c r="AM19" i="52"/>
  <c r="AM20" i="52"/>
  <c r="AM17" i="52"/>
  <c r="AM16" i="52"/>
  <c r="AM11" i="52"/>
  <c r="AM12" i="52"/>
  <c r="AM13" i="52"/>
  <c r="AM14" i="52"/>
  <c r="AM10" i="52"/>
  <c r="AJ40" i="52"/>
  <c r="AJ39" i="52"/>
  <c r="AJ33" i="52"/>
  <c r="AJ34" i="52"/>
  <c r="AJ35" i="52"/>
  <c r="AJ32" i="52"/>
  <c r="AJ30" i="52"/>
  <c r="AJ29" i="52"/>
  <c r="AJ27" i="52"/>
  <c r="AJ26" i="52"/>
  <c r="AJ23" i="52"/>
  <c r="AJ24" i="52"/>
  <c r="AJ22" i="52"/>
  <c r="AJ18" i="52"/>
  <c r="AJ19" i="52"/>
  <c r="AJ20" i="52"/>
  <c r="AJ17" i="52"/>
  <c r="AJ16" i="52"/>
  <c r="AJ11" i="52"/>
  <c r="AJ12" i="52"/>
  <c r="AJ13" i="52"/>
  <c r="AJ14" i="52"/>
  <c r="AJ10" i="52"/>
  <c r="AG40" i="52"/>
  <c r="AG39" i="52"/>
  <c r="AG33" i="52"/>
  <c r="AG34" i="52"/>
  <c r="AG35" i="52"/>
  <c r="AG32" i="52"/>
  <c r="AG30" i="52"/>
  <c r="AG29" i="52"/>
  <c r="AG27" i="52"/>
  <c r="AG26" i="52"/>
  <c r="AG23" i="52"/>
  <c r="AG24" i="52"/>
  <c r="AG22" i="52"/>
  <c r="AG18" i="52"/>
  <c r="AG19" i="52"/>
  <c r="AG20" i="52"/>
  <c r="AG17" i="52"/>
  <c r="AG16" i="52"/>
  <c r="AG11" i="52"/>
  <c r="AG12" i="52"/>
  <c r="AG13" i="52"/>
  <c r="AG14" i="52"/>
  <c r="AG10" i="52"/>
  <c r="AJ38" i="52" l="1"/>
  <c r="BJ10" i="16"/>
  <c r="BJ27" i="16"/>
  <c r="AJ15" i="52"/>
  <c r="AG15" i="52"/>
  <c r="AM15" i="52"/>
  <c r="CP30" i="15"/>
  <c r="DB32" i="15"/>
  <c r="DB29" i="15"/>
  <c r="DN3" i="15"/>
  <c r="CP27" i="15"/>
  <c r="AD33" i="52"/>
  <c r="AD34" i="52"/>
  <c r="AD35" i="52"/>
  <c r="AD32" i="52"/>
  <c r="AD30" i="52"/>
  <c r="AD29" i="52"/>
  <c r="AD27" i="52"/>
  <c r="AD26" i="52"/>
  <c r="AD23" i="52"/>
  <c r="AD24" i="52"/>
  <c r="AD22" i="52"/>
  <c r="AD17" i="52"/>
  <c r="AF17" i="52" s="1"/>
  <c r="AF15" i="52" s="1"/>
  <c r="AD18" i="52"/>
  <c r="AD19" i="52"/>
  <c r="AD20" i="52"/>
  <c r="AD16" i="52"/>
  <c r="AD11" i="52"/>
  <c r="AD12" i="52"/>
  <c r="AD13" i="52"/>
  <c r="AD14" i="52"/>
  <c r="AD10" i="52"/>
  <c r="AA40" i="52"/>
  <c r="AA39" i="52"/>
  <c r="AA33" i="52"/>
  <c r="AA34" i="52"/>
  <c r="AA35" i="52"/>
  <c r="AA32" i="52"/>
  <c r="AA30" i="52"/>
  <c r="AA29" i="52"/>
  <c r="AA27" i="52"/>
  <c r="AA26" i="52"/>
  <c r="AA23" i="52"/>
  <c r="AA24" i="52"/>
  <c r="AA22" i="52"/>
  <c r="AA18" i="52"/>
  <c r="AA19" i="52"/>
  <c r="AA20" i="52"/>
  <c r="AA17" i="52"/>
  <c r="AC17" i="52" s="1"/>
  <c r="AC15" i="52" s="1"/>
  <c r="AA16" i="52"/>
  <c r="AA11" i="52"/>
  <c r="AA12" i="52"/>
  <c r="AA13" i="52"/>
  <c r="AA14" i="52"/>
  <c r="AA10" i="52"/>
  <c r="X40" i="52"/>
  <c r="X39" i="52"/>
  <c r="X33" i="52"/>
  <c r="X34" i="52"/>
  <c r="X35" i="52"/>
  <c r="X32" i="52"/>
  <c r="X30" i="52"/>
  <c r="X29" i="52"/>
  <c r="X27" i="52"/>
  <c r="X26" i="52"/>
  <c r="X23" i="52"/>
  <c r="X24" i="52"/>
  <c r="X22" i="52"/>
  <c r="X18" i="52"/>
  <c r="X19" i="52"/>
  <c r="X20" i="52"/>
  <c r="X17" i="52"/>
  <c r="X16" i="52"/>
  <c r="X11" i="52"/>
  <c r="X12" i="52"/>
  <c r="X13" i="52"/>
  <c r="X14" i="52"/>
  <c r="X10" i="52"/>
  <c r="U40" i="52"/>
  <c r="U39" i="52"/>
  <c r="U38" i="52" s="1"/>
  <c r="U33" i="52"/>
  <c r="U34" i="52"/>
  <c r="U35" i="52"/>
  <c r="U32" i="52"/>
  <c r="U27" i="52"/>
  <c r="U26" i="52"/>
  <c r="U23" i="52"/>
  <c r="U24" i="52"/>
  <c r="U22" i="52"/>
  <c r="U20" i="52"/>
  <c r="U19" i="52"/>
  <c r="U18" i="52"/>
  <c r="U17" i="52"/>
  <c r="U16" i="52"/>
  <c r="U11" i="52"/>
  <c r="U12" i="52"/>
  <c r="U13" i="52"/>
  <c r="U14" i="52"/>
  <c r="U10" i="52"/>
  <c r="J30" i="10"/>
  <c r="M30" i="10" s="1"/>
  <c r="P30" i="10" s="1"/>
  <c r="S30" i="10" s="1"/>
  <c r="V30" i="10" s="1"/>
  <c r="Y30" i="10" s="1"/>
  <c r="AB30" i="10" s="1"/>
  <c r="AE30" i="10" s="1"/>
  <c r="AH30" i="10" s="1"/>
  <c r="AK30" i="10" s="1"/>
  <c r="AN30" i="10" s="1"/>
  <c r="J27" i="10"/>
  <c r="M27" i="10" s="1"/>
  <c r="P27" i="10" s="1"/>
  <c r="S27" i="10" s="1"/>
  <c r="V27" i="10" s="1"/>
  <c r="Y27" i="10" s="1"/>
  <c r="AB27" i="10" s="1"/>
  <c r="AE27" i="10" s="1"/>
  <c r="AH27" i="10" s="1"/>
  <c r="AK27" i="10" s="1"/>
  <c r="AN27" i="10" s="1"/>
  <c r="G30" i="52"/>
  <c r="J30" i="52" s="1"/>
  <c r="M30" i="52" s="1"/>
  <c r="P30" i="52" s="1"/>
  <c r="S30" i="52" s="1"/>
  <c r="V30" i="52" s="1"/>
  <c r="Y30" i="52" s="1"/>
  <c r="AB30" i="52" s="1"/>
  <c r="AE30" i="52" s="1"/>
  <c r="AH30" i="52" s="1"/>
  <c r="AK30" i="52" s="1"/>
  <c r="AN30" i="52" s="1"/>
  <c r="G27" i="52"/>
  <c r="J27" i="52" s="1"/>
  <c r="M27" i="52" s="1"/>
  <c r="P27" i="52" s="1"/>
  <c r="S27" i="52" s="1"/>
  <c r="V27" i="52" s="1"/>
  <c r="Y27" i="52" s="1"/>
  <c r="AB27" i="52" s="1"/>
  <c r="AE27" i="52" s="1"/>
  <c r="AH27" i="52" s="1"/>
  <c r="R40" i="52"/>
  <c r="R39" i="52"/>
  <c r="R33" i="52"/>
  <c r="R34" i="52"/>
  <c r="R35" i="52"/>
  <c r="R32" i="52"/>
  <c r="R30" i="52"/>
  <c r="R29" i="52"/>
  <c r="R27" i="52"/>
  <c r="R26" i="52"/>
  <c r="R23" i="52"/>
  <c r="R24" i="52"/>
  <c r="R22" i="52"/>
  <c r="R18" i="52"/>
  <c r="R19" i="52"/>
  <c r="R20" i="52"/>
  <c r="R17" i="52"/>
  <c r="T17" i="52" s="1"/>
  <c r="T15" i="52" s="1"/>
  <c r="R16" i="52"/>
  <c r="R11" i="52"/>
  <c r="R12" i="52"/>
  <c r="R13" i="52"/>
  <c r="R14" i="52"/>
  <c r="R10" i="52"/>
  <c r="O40" i="52"/>
  <c r="O39" i="52"/>
  <c r="O33" i="52"/>
  <c r="O34" i="52"/>
  <c r="O35" i="52"/>
  <c r="O32" i="52"/>
  <c r="O30" i="52"/>
  <c r="O29" i="52"/>
  <c r="O27" i="52"/>
  <c r="O26" i="52"/>
  <c r="O23" i="52"/>
  <c r="O24" i="52"/>
  <c r="O22" i="52"/>
  <c r="O18" i="52"/>
  <c r="O19" i="52"/>
  <c r="O20" i="52"/>
  <c r="O17" i="52"/>
  <c r="O15" i="52" s="1"/>
  <c r="O11" i="52"/>
  <c r="O12" i="52"/>
  <c r="O13" i="52"/>
  <c r="O14" i="52"/>
  <c r="O10" i="52"/>
  <c r="Q10" i="52" s="1"/>
  <c r="L40" i="52"/>
  <c r="L39" i="52"/>
  <c r="L17" i="52"/>
  <c r="N17" i="52" s="1"/>
  <c r="N15" i="52" s="1"/>
  <c r="L16" i="52"/>
  <c r="I40" i="52"/>
  <c r="I39" i="52"/>
  <c r="I17" i="52"/>
  <c r="I15" i="52" s="1"/>
  <c r="F40" i="52"/>
  <c r="F17" i="52"/>
  <c r="F16" i="52"/>
  <c r="H17" i="10"/>
  <c r="H15" i="10" s="1"/>
  <c r="AO17" i="52"/>
  <c r="AO15" i="52" s="1"/>
  <c r="AL17" i="52"/>
  <c r="AL15" i="52" s="1"/>
  <c r="AI17" i="52"/>
  <c r="AI15" i="52" s="1"/>
  <c r="E16" i="52"/>
  <c r="D16" i="52" s="1"/>
  <c r="F15" i="10"/>
  <c r="C17" i="10"/>
  <c r="AM15" i="10"/>
  <c r="AJ15" i="10"/>
  <c r="AG15" i="10"/>
  <c r="AD15" i="10"/>
  <c r="AA15" i="10"/>
  <c r="AO17" i="10"/>
  <c r="AO15" i="10" s="1"/>
  <c r="AL17" i="10"/>
  <c r="AL15" i="10" s="1"/>
  <c r="AI17" i="10"/>
  <c r="AI15" i="10" s="1"/>
  <c r="AF17" i="10"/>
  <c r="AF15" i="10" s="1"/>
  <c r="AC17" i="10"/>
  <c r="AC15" i="10" s="1"/>
  <c r="X15" i="10"/>
  <c r="Z17" i="10"/>
  <c r="Z15" i="10" s="1"/>
  <c r="U15" i="10"/>
  <c r="W17" i="10"/>
  <c r="W15" i="10" s="1"/>
  <c r="R15" i="10"/>
  <c r="T17" i="10"/>
  <c r="T15" i="10" s="1"/>
  <c r="O15" i="10"/>
  <c r="Q17" i="10"/>
  <c r="Q15" i="10" s="1"/>
  <c r="L15" i="10"/>
  <c r="N17" i="10"/>
  <c r="N15" i="10" s="1"/>
  <c r="K17" i="10"/>
  <c r="K15" i="10" s="1"/>
  <c r="I15" i="10"/>
  <c r="E16" i="10"/>
  <c r="D16" i="10" s="1"/>
  <c r="C16" i="10"/>
  <c r="R38" i="52" l="1"/>
  <c r="BR27" i="16"/>
  <c r="BR10" i="16"/>
  <c r="F15" i="52"/>
  <c r="K17" i="52"/>
  <c r="K15" i="52" s="1"/>
  <c r="AK27" i="52"/>
  <c r="AN27" i="52" s="1"/>
  <c r="AI27" i="52"/>
  <c r="X15" i="52"/>
  <c r="U15" i="52"/>
  <c r="AA15" i="52"/>
  <c r="Z17" i="52"/>
  <c r="Z15" i="52" s="1"/>
  <c r="R15" i="52"/>
  <c r="Q17" i="52"/>
  <c r="Q15" i="52" s="1"/>
  <c r="L15" i="52"/>
  <c r="C15" i="10"/>
  <c r="DN32" i="15"/>
  <c r="DN29" i="15"/>
  <c r="DZ3" i="15"/>
  <c r="DB27" i="15"/>
  <c r="DB30" i="15"/>
  <c r="AD15" i="52"/>
  <c r="W17" i="52"/>
  <c r="W15" i="52" s="1"/>
  <c r="C17" i="52"/>
  <c r="C16" i="52"/>
  <c r="H17" i="52"/>
  <c r="E17" i="10"/>
  <c r="BZ27" i="16" l="1"/>
  <c r="BZ10" i="16"/>
  <c r="DZ32" i="15"/>
  <c r="DZ29" i="15"/>
  <c r="EL3" i="15"/>
  <c r="DN27" i="15"/>
  <c r="DN30" i="15"/>
  <c r="C15" i="52"/>
  <c r="E17" i="52"/>
  <c r="H15" i="52"/>
  <c r="E15" i="10"/>
  <c r="D17" i="10"/>
  <c r="D15" i="10" l="1"/>
  <c r="AJ37" i="1"/>
  <c r="CH10" i="16"/>
  <c r="CH27" i="16"/>
  <c r="EL32" i="15"/>
  <c r="EX3" i="15"/>
  <c r="EL29" i="15"/>
  <c r="DZ27" i="15"/>
  <c r="DZ30" i="15"/>
  <c r="D17" i="52"/>
  <c r="E15" i="52"/>
  <c r="T39" i="1"/>
  <c r="T36" i="1"/>
  <c r="W16" i="158" l="1"/>
  <c r="R16" i="158" s="1"/>
  <c r="AB16" i="36"/>
  <c r="W16" i="36" s="1"/>
  <c r="E41" i="170"/>
  <c r="L18" i="158"/>
  <c r="E36" i="170"/>
  <c r="L15" i="158"/>
  <c r="L15" i="36"/>
  <c r="L18" i="36"/>
  <c r="CP10" i="16"/>
  <c r="CP27" i="16"/>
  <c r="EX29" i="15"/>
  <c r="EX32" i="15"/>
  <c r="EL27" i="15"/>
  <c r="EL30" i="15"/>
  <c r="Z15" i="158" l="1"/>
  <c r="AA15" i="158"/>
  <c r="AC15" i="158" s="1"/>
  <c r="Z18" i="158"/>
  <c r="Y18" i="158"/>
  <c r="AA18" i="158"/>
  <c r="AC18" i="158" s="1"/>
  <c r="AD18" i="36"/>
  <c r="AC18" i="36"/>
  <c r="I41" i="170"/>
  <c r="CX10" i="16"/>
  <c r="CX27" i="16"/>
  <c r="EX30" i="15"/>
  <c r="EX27" i="15"/>
  <c r="A2" i="2"/>
  <c r="A2" i="7" s="1"/>
  <c r="A2" i="8" s="1"/>
  <c r="A2" i="11" s="1"/>
  <c r="A2" i="12" s="1"/>
  <c r="A2" i="13" l="1"/>
  <c r="A2" i="14" s="1"/>
  <c r="A2" i="156"/>
  <c r="D38" i="21"/>
  <c r="F18" i="57" l="1"/>
  <c r="A1" i="22" l="1"/>
  <c r="I8" i="62" l="1"/>
  <c r="H8" i="62"/>
  <c r="G8" i="62"/>
  <c r="F8" i="62"/>
  <c r="C9" i="57"/>
  <c r="G29" i="57"/>
  <c r="G28" i="57"/>
  <c r="G9" i="57" s="1"/>
  <c r="G27" i="57"/>
  <c r="G26" i="57"/>
  <c r="F25" i="57"/>
  <c r="F24" i="57"/>
  <c r="F23" i="57"/>
  <c r="F22" i="57"/>
  <c r="F21" i="57"/>
  <c r="F20" i="57"/>
  <c r="F19" i="57"/>
  <c r="F9" i="57" s="1"/>
  <c r="D30" i="57"/>
  <c r="C30" i="57"/>
  <c r="G30" i="57" s="1"/>
  <c r="D29" i="57"/>
  <c r="D9" i="57" s="1"/>
  <c r="E17" i="57"/>
  <c r="E16" i="57"/>
  <c r="E15" i="57"/>
  <c r="E14" i="57"/>
  <c r="E13" i="57"/>
  <c r="E12" i="57"/>
  <c r="E11" i="57"/>
  <c r="E10" i="57"/>
  <c r="E9" i="57" s="1"/>
  <c r="C36" i="23" l="1"/>
  <c r="D36" i="23"/>
  <c r="D35" i="23" s="1"/>
  <c r="E36" i="23"/>
  <c r="E35" i="23" s="1"/>
  <c r="F36" i="23"/>
  <c r="F35" i="23" s="1"/>
  <c r="L47" i="23"/>
  <c r="C53" i="23"/>
  <c r="C45" i="23" s="1"/>
  <c r="C46" i="23" s="1"/>
  <c r="D53" i="23"/>
  <c r="E53" i="23"/>
  <c r="F53" i="23"/>
  <c r="C47" i="23"/>
  <c r="D47" i="23"/>
  <c r="E47" i="23"/>
  <c r="F47" i="23"/>
  <c r="D45" i="23"/>
  <c r="D46" i="23" s="1"/>
  <c r="E45" i="23"/>
  <c r="E46" i="23" s="1"/>
  <c r="C39" i="23"/>
  <c r="C35" i="23" s="1"/>
  <c r="D39" i="23"/>
  <c r="E39" i="23"/>
  <c r="F39" i="23"/>
  <c r="C30" i="23"/>
  <c r="D30" i="23"/>
  <c r="E30" i="23"/>
  <c r="F30" i="23"/>
  <c r="D21" i="23"/>
  <c r="D20" i="23" s="1"/>
  <c r="E21" i="23"/>
  <c r="E20" i="23" s="1"/>
  <c r="C22" i="23"/>
  <c r="C21" i="23" s="1"/>
  <c r="C20" i="23" s="1"/>
  <c r="D22" i="23"/>
  <c r="E22" i="23"/>
  <c r="F22" i="23"/>
  <c r="F21" i="23" s="1"/>
  <c r="F20" i="23" s="1"/>
  <c r="C12" i="23"/>
  <c r="D12" i="23"/>
  <c r="E12" i="23"/>
  <c r="F12" i="23"/>
  <c r="F10" i="23" s="1"/>
  <c r="F11" i="23" s="1"/>
  <c r="C10" i="23"/>
  <c r="C11" i="23" s="1"/>
  <c r="D10" i="23"/>
  <c r="D11" i="23" s="1"/>
  <c r="E10" i="23"/>
  <c r="E11" i="23" s="1"/>
  <c r="F45" i="23" l="1"/>
  <c r="F46" i="23" s="1"/>
  <c r="K50" i="23"/>
  <c r="K47" i="23" s="1"/>
  <c r="L43" i="23"/>
  <c r="K43" i="23"/>
  <c r="L39" i="23"/>
  <c r="K39" i="23"/>
  <c r="L25" i="23"/>
  <c r="L22" i="23" s="1"/>
  <c r="L32" i="23" s="1"/>
  <c r="K25" i="23"/>
  <c r="K22" i="23" s="1"/>
  <c r="K32" i="23" s="1"/>
  <c r="I22" i="23"/>
  <c r="I32" i="23" s="1"/>
  <c r="L15" i="23"/>
  <c r="L12" i="23" s="1"/>
  <c r="K15" i="23"/>
  <c r="K12" i="23"/>
  <c r="I47" i="23"/>
  <c r="I50" i="23"/>
  <c r="L36" i="23"/>
  <c r="K36" i="23"/>
  <c r="L35" i="23"/>
  <c r="K35" i="23"/>
  <c r="I43" i="23"/>
  <c r="I39" i="23" s="1"/>
  <c r="G36" i="23"/>
  <c r="H36" i="23"/>
  <c r="I36" i="23"/>
  <c r="I35" i="23" s="1"/>
  <c r="I25" i="23"/>
  <c r="I23" i="23"/>
  <c r="I15" i="23"/>
  <c r="I13" i="23"/>
  <c r="I12" i="23" s="1"/>
  <c r="H50" i="23"/>
  <c r="H47" i="23" s="1"/>
  <c r="G50" i="23"/>
  <c r="G47" i="23" s="1"/>
  <c r="G45" i="23" s="1"/>
  <c r="G53" i="23"/>
  <c r="G57" i="23" s="1"/>
  <c r="H35" i="23"/>
  <c r="H28" i="23"/>
  <c r="G22" i="23"/>
  <c r="G32" i="23" s="1"/>
  <c r="G30" i="23" s="1"/>
  <c r="H25" i="23"/>
  <c r="H24" i="23"/>
  <c r="H22" i="23" s="1"/>
  <c r="G39" i="23"/>
  <c r="H39" i="23"/>
  <c r="G12" i="23"/>
  <c r="G10" i="23" s="1"/>
  <c r="H15" i="23"/>
  <c r="H14" i="23"/>
  <c r="H12" i="23" s="1"/>
  <c r="H10" i="23" s="1"/>
  <c r="H9" i="23"/>
  <c r="G9" i="23"/>
  <c r="F57" i="23"/>
  <c r="E57" i="23"/>
  <c r="H32" i="23" l="1"/>
  <c r="H30" i="23" s="1"/>
  <c r="H53" i="23"/>
  <c r="I28" i="23"/>
  <c r="H33" i="23"/>
  <c r="G35" i="23"/>
  <c r="I21" i="23"/>
  <c r="I20" i="23" s="1"/>
  <c r="G21" i="23"/>
  <c r="G20" i="23" s="1"/>
  <c r="H21" i="23"/>
  <c r="H20" i="23" s="1"/>
  <c r="I33" i="23" l="1"/>
  <c r="I30" i="23" s="1"/>
  <c r="K28" i="23"/>
  <c r="I18" i="23"/>
  <c r="I53" i="23" s="1"/>
  <c r="H57" i="23"/>
  <c r="H45" i="23"/>
  <c r="I10" i="23"/>
  <c r="K33" i="23" l="1"/>
  <c r="K30" i="23" s="1"/>
  <c r="L28" i="23"/>
  <c r="K21" i="23"/>
  <c r="K20" i="23" s="1"/>
  <c r="I57" i="23"/>
  <c r="K18" i="23"/>
  <c r="I45" i="23"/>
  <c r="L33" i="23" l="1"/>
  <c r="L30" i="23" s="1"/>
  <c r="L21" i="23"/>
  <c r="L20" i="23" s="1"/>
  <c r="K10" i="23"/>
  <c r="K53" i="23"/>
  <c r="AG21" i="2"/>
  <c r="AL21" i="2" s="1"/>
  <c r="AG19" i="2"/>
  <c r="N31" i="114" l="1"/>
  <c r="T31" i="114" s="1"/>
  <c r="AL19" i="2"/>
  <c r="L18" i="23"/>
  <c r="K55" i="23"/>
  <c r="K57" i="23" s="1"/>
  <c r="K45" i="23"/>
  <c r="M19" i="114"/>
  <c r="S57" i="40"/>
  <c r="AA160" i="2"/>
  <c r="AA159" i="2"/>
  <c r="AA161" i="2"/>
  <c r="K18" i="42" l="1"/>
  <c r="S54" i="40"/>
  <c r="L10" i="23"/>
  <c r="L53" i="23"/>
  <c r="L55" i="23" l="1"/>
  <c r="L57" i="23" s="1"/>
  <c r="L45" i="23"/>
  <c r="E50" i="30" l="1"/>
  <c r="D50" i="30"/>
  <c r="E49" i="30"/>
  <c r="D48" i="30"/>
  <c r="C48" i="30" s="1"/>
  <c r="E48" i="30"/>
  <c r="D47" i="30"/>
  <c r="E46" i="30"/>
  <c r="D46" i="30"/>
  <c r="E44" i="30"/>
  <c r="E42" i="30"/>
  <c r="E43" i="30"/>
  <c r="E32" i="30"/>
  <c r="D32" i="30"/>
  <c r="D31" i="30"/>
  <c r="D24" i="30"/>
  <c r="E15" i="30"/>
  <c r="T47" i="1"/>
  <c r="E47" i="170" l="1"/>
  <c r="L25" i="158"/>
  <c r="L25" i="36"/>
  <c r="T42" i="1"/>
  <c r="T38" i="1"/>
  <c r="T18" i="1"/>
  <c r="E19" i="170" s="1"/>
  <c r="I19" i="170" s="1"/>
  <c r="Z25" i="158" l="1"/>
  <c r="AA25" i="158"/>
  <c r="AC25" i="158" s="1"/>
  <c r="E38" i="170"/>
  <c r="L17" i="158"/>
  <c r="L21" i="36"/>
  <c r="L21" i="158"/>
  <c r="F47" i="170"/>
  <c r="L17" i="36"/>
  <c r="AA162" i="2"/>
  <c r="AA172" i="2"/>
  <c r="AB171" i="2"/>
  <c r="AA171" i="2"/>
  <c r="AB170" i="2"/>
  <c r="AA170" i="2"/>
  <c r="AA168" i="2"/>
  <c r="AB163" i="2"/>
  <c r="AA163" i="2"/>
  <c r="T163" i="2"/>
  <c r="S163" i="2"/>
  <c r="AB162" i="2"/>
  <c r="T162" i="2"/>
  <c r="S162" i="2"/>
  <c r="S161" i="2"/>
  <c r="P161" i="2" s="1"/>
  <c r="S160" i="2"/>
  <c r="P160" i="2" s="1"/>
  <c r="S159" i="2"/>
  <c r="P159" i="2" s="1"/>
  <c r="AB158" i="2"/>
  <c r="AA158" i="2"/>
  <c r="T158" i="2"/>
  <c r="S158" i="2"/>
  <c r="AA157" i="2"/>
  <c r="S157" i="2"/>
  <c r="P157" i="2" s="1"/>
  <c r="AB156" i="2"/>
  <c r="AA156" i="2"/>
  <c r="T156" i="2"/>
  <c r="S156" i="2"/>
  <c r="AB155" i="2"/>
  <c r="AA155" i="2"/>
  <c r="T155" i="2"/>
  <c r="S155" i="2"/>
  <c r="AA21" i="158" l="1"/>
  <c r="AC21" i="158" s="1"/>
  <c r="R21" i="36"/>
  <c r="AC21" i="36"/>
  <c r="AD21" i="36"/>
  <c r="Z17" i="158"/>
  <c r="AA17" i="158"/>
  <c r="AC17" i="158" s="1"/>
  <c r="Y17" i="158"/>
  <c r="I38" i="170"/>
  <c r="AC17" i="36"/>
  <c r="AD17" i="36"/>
  <c r="AB164" i="2"/>
  <c r="AB207" i="2" s="1"/>
  <c r="P158" i="2"/>
  <c r="AA217" i="2"/>
  <c r="AA164" i="2"/>
  <c r="AA207" i="2" s="1"/>
  <c r="P162" i="2"/>
  <c r="S164" i="2"/>
  <c r="T164" i="2"/>
  <c r="AA169" i="2"/>
  <c r="P163" i="2"/>
  <c r="P156" i="2"/>
  <c r="P155" i="2"/>
  <c r="Z207" i="2" l="1"/>
  <c r="AB178" i="2"/>
  <c r="AA178" i="2"/>
  <c r="P164" i="2"/>
  <c r="Z19" i="20" l="1"/>
  <c r="L16" i="20"/>
  <c r="M16" i="20"/>
  <c r="P16" i="20"/>
  <c r="L17" i="20"/>
  <c r="M17" i="20"/>
  <c r="W14" i="20"/>
  <c r="V14" i="20"/>
  <c r="X14" i="20"/>
  <c r="Y14" i="20"/>
  <c r="N12" i="20"/>
  <c r="N17" i="20" s="1"/>
  <c r="N10" i="20"/>
  <c r="N9" i="20"/>
  <c r="O12" i="20"/>
  <c r="O17" i="20" s="1"/>
  <c r="O11" i="20"/>
  <c r="P12" i="20"/>
  <c r="P17" i="20" s="1"/>
  <c r="P11" i="20"/>
  <c r="Z9" i="20"/>
  <c r="U10" i="20"/>
  <c r="U8" i="20" s="1"/>
  <c r="U12" i="20"/>
  <c r="U17" i="20" s="1"/>
  <c r="U11" i="20"/>
  <c r="U16" i="20" s="1"/>
  <c r="V12" i="20"/>
  <c r="V17" i="20" s="1"/>
  <c r="V10" i="20"/>
  <c r="V8" i="20" s="1"/>
  <c r="V11" i="20"/>
  <c r="V16" i="20" s="1"/>
  <c r="AA35" i="19"/>
  <c r="AA41" i="19"/>
  <c r="Q12" i="20" l="1"/>
  <c r="Y41" i="19"/>
  <c r="G19" i="61" l="1"/>
  <c r="G20" i="61"/>
  <c r="H35" i="61"/>
  <c r="G34" i="61"/>
  <c r="H33" i="61"/>
  <c r="G33" i="61"/>
  <c r="G31" i="61" s="1"/>
  <c r="G32" i="61"/>
  <c r="H32" i="61" s="1"/>
  <c r="H30" i="61"/>
  <c r="H29" i="61"/>
  <c r="G29" i="61"/>
  <c r="H28" i="61"/>
  <c r="G28" i="61"/>
  <c r="H27" i="61"/>
  <c r="G17" i="61"/>
  <c r="H17" i="61" s="1"/>
  <c r="G18" i="61"/>
  <c r="H18" i="61" s="1"/>
  <c r="G16" i="61"/>
  <c r="G15" i="61" s="1"/>
  <c r="J35" i="61"/>
  <c r="J30" i="61"/>
  <c r="J23" i="61"/>
  <c r="H16" i="61" l="1"/>
  <c r="H15" i="61" s="1"/>
  <c r="AA34" i="19"/>
  <c r="AA30" i="19"/>
  <c r="AA29" i="19"/>
  <c r="AA28" i="19"/>
  <c r="AA27" i="19"/>
  <c r="AA26" i="19"/>
  <c r="AA25" i="19"/>
  <c r="AA23" i="19"/>
  <c r="AA24" i="19"/>
  <c r="AA22" i="19"/>
  <c r="AA21" i="19"/>
  <c r="AA19" i="19"/>
  <c r="AA18" i="19"/>
  <c r="AA17" i="19"/>
  <c r="AA16" i="19"/>
  <c r="AA14" i="19"/>
  <c r="AA13" i="19"/>
  <c r="AA12" i="19"/>
  <c r="I30" i="61"/>
  <c r="I29" i="61"/>
  <c r="I28" i="61"/>
  <c r="I27" i="61"/>
  <c r="I26" i="61"/>
  <c r="J25" i="61"/>
  <c r="I25" i="61"/>
  <c r="J24" i="61"/>
  <c r="I33" i="61"/>
  <c r="I32" i="61"/>
  <c r="I31" i="61" s="1"/>
  <c r="J12" i="61"/>
  <c r="I10" i="61"/>
  <c r="J10" i="61"/>
  <c r="H7" i="61"/>
  <c r="G7" i="61"/>
  <c r="I7" i="61"/>
  <c r="AF40" i="19"/>
  <c r="W12" i="20" s="1"/>
  <c r="W17" i="20" s="1"/>
  <c r="AG40" i="19"/>
  <c r="AJ36" i="19"/>
  <c r="AK36" i="19"/>
  <c r="AL36" i="19"/>
  <c r="AM36" i="19"/>
  <c r="AN36" i="19"/>
  <c r="AP36" i="19"/>
  <c r="AQ36" i="19"/>
  <c r="AR36" i="19"/>
  <c r="AS36" i="19"/>
  <c r="AT36" i="19"/>
  <c r="Z36" i="19"/>
  <c r="AA39" i="19"/>
  <c r="AA38" i="19" s="1"/>
  <c r="Y40" i="19"/>
  <c r="H34" i="61" s="1"/>
  <c r="H31" i="61" s="1"/>
  <c r="Y37" i="19"/>
  <c r="Y36" i="19" s="1"/>
  <c r="S35" i="19"/>
  <c r="X36" i="19"/>
  <c r="X37" i="19"/>
  <c r="AF37" i="18"/>
  <c r="H19" i="61" s="1"/>
  <c r="AF38" i="18"/>
  <c r="H20" i="61" s="1"/>
  <c r="S41" i="19"/>
  <c r="S39" i="19"/>
  <c r="R38" i="19"/>
  <c r="P10" i="20" s="1"/>
  <c r="U15" i="20" s="1"/>
  <c r="R37" i="19"/>
  <c r="T36" i="19"/>
  <c r="Q35" i="19"/>
  <c r="AA36" i="19" l="1"/>
  <c r="J32" i="61"/>
  <c r="J33" i="61"/>
  <c r="R36" i="19"/>
  <c r="P9" i="20"/>
  <c r="S37" i="19"/>
  <c r="S38" i="19"/>
  <c r="AA15" i="19"/>
  <c r="J31" i="61"/>
  <c r="S36" i="19"/>
  <c r="P8" i="20" l="1"/>
  <c r="U14" i="20"/>
  <c r="Q41" i="19"/>
  <c r="Q39" i="19"/>
  <c r="W34" i="18"/>
  <c r="W33" i="18" s="1"/>
  <c r="W32" i="18"/>
  <c r="X32" i="18" s="1"/>
  <c r="P38" i="19"/>
  <c r="O10" i="20" s="1"/>
  <c r="P37" i="19"/>
  <c r="O41" i="19"/>
  <c r="O35" i="19"/>
  <c r="O40" i="19"/>
  <c r="O38" i="19"/>
  <c r="O37" i="19"/>
  <c r="AH37" i="60"/>
  <c r="AI37" i="60"/>
  <c r="AH38" i="60"/>
  <c r="AI38" i="60"/>
  <c r="AH30" i="60"/>
  <c r="AH32" i="60"/>
  <c r="AI32" i="60"/>
  <c r="AI33" i="60"/>
  <c r="AC37" i="60"/>
  <c r="AD37" i="60"/>
  <c r="AC38" i="60"/>
  <c r="AD38" i="60"/>
  <c r="AD30" i="60"/>
  <c r="AC32" i="60"/>
  <c r="AD32" i="60"/>
  <c r="AD33" i="60"/>
  <c r="Y36" i="60"/>
  <c r="X37" i="60"/>
  <c r="Y37" i="60"/>
  <c r="X38" i="60"/>
  <c r="Y38" i="60"/>
  <c r="Y35" i="60"/>
  <c r="Y28" i="60"/>
  <c r="X30" i="60"/>
  <c r="Y30" i="60"/>
  <c r="X32" i="60"/>
  <c r="Y32" i="60"/>
  <c r="Y33" i="60"/>
  <c r="S37" i="60"/>
  <c r="T37" i="60"/>
  <c r="S32" i="60"/>
  <c r="T13" i="60"/>
  <c r="O36" i="60"/>
  <c r="N37" i="60"/>
  <c r="O37" i="60"/>
  <c r="O38" i="60"/>
  <c r="O35" i="60"/>
  <c r="O20" i="60"/>
  <c r="O28" i="60"/>
  <c r="N30" i="60"/>
  <c r="O30" i="60"/>
  <c r="N31" i="60"/>
  <c r="O31" i="60"/>
  <c r="N32" i="60"/>
  <c r="O32" i="60"/>
  <c r="O33" i="60"/>
  <c r="O18" i="60"/>
  <c r="O12" i="60"/>
  <c r="O13" i="60"/>
  <c r="V37" i="18"/>
  <c r="N39" i="19"/>
  <c r="N11" i="20" s="1"/>
  <c r="N36" i="19"/>
  <c r="N20" i="19"/>
  <c r="N16" i="19" s="1"/>
  <c r="N10" i="19" s="1"/>
  <c r="N8" i="19" s="1"/>
  <c r="N11" i="19"/>
  <c r="M36" i="19"/>
  <c r="L36" i="19"/>
  <c r="H36" i="19"/>
  <c r="G36" i="19"/>
  <c r="F36" i="19"/>
  <c r="E36" i="19"/>
  <c r="D36" i="19"/>
  <c r="C36" i="19"/>
  <c r="V38" i="18"/>
  <c r="V35" i="18"/>
  <c r="U35" i="18"/>
  <c r="V34" i="18"/>
  <c r="U34" i="18"/>
  <c r="V36" i="18"/>
  <c r="U32" i="18"/>
  <c r="V32" i="18" s="1"/>
  <c r="Z37" i="18"/>
  <c r="AA33" i="18"/>
  <c r="AB33" i="18"/>
  <c r="X38" i="18"/>
  <c r="X37" i="18"/>
  <c r="X36" i="18"/>
  <c r="X35" i="18"/>
  <c r="Z36" i="18"/>
  <c r="AF36" i="18"/>
  <c r="AF35" i="18"/>
  <c r="AF34" i="18"/>
  <c r="Y35" i="18"/>
  <c r="Z35" i="18" s="1"/>
  <c r="Y34" i="18"/>
  <c r="Y33" i="18" s="1"/>
  <c r="Y32" i="18"/>
  <c r="Z32" i="18"/>
  <c r="AF32" i="18"/>
  <c r="AE33" i="18"/>
  <c r="AE31" i="18" s="1"/>
  <c r="AQ56" i="59"/>
  <c r="AQ57" i="59"/>
  <c r="AQ59" i="59"/>
  <c r="AQ55" i="59"/>
  <c r="AL59" i="59"/>
  <c r="AZ38" i="18" s="1"/>
  <c r="AL50" i="59"/>
  <c r="AL35" i="59"/>
  <c r="AZ15" i="18" s="1"/>
  <c r="AL36" i="59"/>
  <c r="AZ16" i="18" s="1"/>
  <c r="AL37" i="59"/>
  <c r="AZ17" i="18" s="1"/>
  <c r="AL38" i="59"/>
  <c r="AZ18" i="18" s="1"/>
  <c r="AL39" i="59"/>
  <c r="AZ19" i="18" s="1"/>
  <c r="AL40" i="59"/>
  <c r="AZ20" i="18" s="1"/>
  <c r="AL41" i="59"/>
  <c r="AZ21" i="18" s="1"/>
  <c r="AL42" i="59"/>
  <c r="AZ22" i="18" s="1"/>
  <c r="AL43" i="59"/>
  <c r="AZ23" i="18" s="1"/>
  <c r="AL44" i="59"/>
  <c r="AZ24" i="18" s="1"/>
  <c r="AL46" i="59"/>
  <c r="AL48" i="59"/>
  <c r="AZ27" i="18" s="1"/>
  <c r="AL34" i="59"/>
  <c r="AZ14" i="18" s="1"/>
  <c r="AL30" i="59"/>
  <c r="AL31" i="59"/>
  <c r="AL32" i="59"/>
  <c r="AL33" i="59"/>
  <c r="AL29" i="59"/>
  <c r="AL25" i="59"/>
  <c r="AL26" i="59"/>
  <c r="AL27" i="59"/>
  <c r="AL24" i="59"/>
  <c r="AL19" i="59"/>
  <c r="AL20" i="59"/>
  <c r="AL21" i="59"/>
  <c r="AL22" i="59"/>
  <c r="AL18" i="59"/>
  <c r="AL13" i="59"/>
  <c r="AL14" i="59"/>
  <c r="AL15" i="59"/>
  <c r="AL16" i="59"/>
  <c r="AL12" i="59"/>
  <c r="AK55" i="59"/>
  <c r="AK56" i="59"/>
  <c r="AK57" i="59"/>
  <c r="AK59" i="59"/>
  <c r="AF59" i="59"/>
  <c r="O20" i="61" s="1"/>
  <c r="AF50" i="59"/>
  <c r="AF35" i="59"/>
  <c r="AR15" i="18" s="1"/>
  <c r="AF36" i="59"/>
  <c r="AR16" i="18" s="1"/>
  <c r="AF37" i="59"/>
  <c r="AR17" i="18" s="1"/>
  <c r="AF38" i="59"/>
  <c r="AR18" i="18" s="1"/>
  <c r="AF39" i="59"/>
  <c r="AR19" i="18" s="1"/>
  <c r="AF40" i="59"/>
  <c r="AR20" i="18" s="1"/>
  <c r="AF41" i="59"/>
  <c r="AR21" i="18" s="1"/>
  <c r="AF42" i="59"/>
  <c r="AR22" i="18" s="1"/>
  <c r="AF43" i="59"/>
  <c r="AR23" i="18" s="1"/>
  <c r="AF44" i="59"/>
  <c r="AR24" i="18" s="1"/>
  <c r="AF46" i="59"/>
  <c r="AF47" i="59"/>
  <c r="AR26" i="18" s="1"/>
  <c r="AF48" i="59"/>
  <c r="AR27" i="18" s="1"/>
  <c r="AF34" i="59"/>
  <c r="AR14" i="18" s="1"/>
  <c r="AF30" i="59"/>
  <c r="AF31" i="59"/>
  <c r="AF32" i="59"/>
  <c r="AF33" i="59"/>
  <c r="AF29" i="59"/>
  <c r="AF25" i="59"/>
  <c r="AF26" i="59"/>
  <c r="AF27" i="59"/>
  <c r="AF24" i="59"/>
  <c r="AF19" i="59"/>
  <c r="AF20" i="59"/>
  <c r="AF21" i="59"/>
  <c r="AF22" i="59"/>
  <c r="AF18" i="59"/>
  <c r="AF13" i="59"/>
  <c r="AF14" i="59"/>
  <c r="AF12" i="59"/>
  <c r="AE56" i="59"/>
  <c r="AE57" i="59"/>
  <c r="AD58" i="59"/>
  <c r="AD59" i="59"/>
  <c r="AE59" i="59"/>
  <c r="AE55" i="59"/>
  <c r="Z50" i="59"/>
  <c r="Z38" i="59"/>
  <c r="AQ18" i="18" s="1"/>
  <c r="Z39" i="59"/>
  <c r="AQ19" i="18" s="1"/>
  <c r="Z40" i="59"/>
  <c r="AQ20" i="18" s="1"/>
  <c r="Z41" i="59"/>
  <c r="AQ21" i="18" s="1"/>
  <c r="Z42" i="59"/>
  <c r="AQ22" i="18" s="1"/>
  <c r="Z43" i="59"/>
  <c r="AQ23" i="18" s="1"/>
  <c r="Z44" i="59"/>
  <c r="AQ24" i="18" s="1"/>
  <c r="Z45" i="59"/>
  <c r="AQ25" i="18" s="1"/>
  <c r="Z46" i="59"/>
  <c r="Z48" i="59"/>
  <c r="AQ27" i="18" s="1"/>
  <c r="Z25" i="59"/>
  <c r="Z24" i="59"/>
  <c r="Z19" i="59"/>
  <c r="Z21" i="59"/>
  <c r="Z18" i="59"/>
  <c r="Z13" i="59"/>
  <c r="Z14" i="59"/>
  <c r="Z15" i="59"/>
  <c r="Z16" i="59"/>
  <c r="Z12" i="59"/>
  <c r="AO36" i="18"/>
  <c r="L18" i="61" s="1"/>
  <c r="M18" i="61" s="1"/>
  <c r="AO38" i="18"/>
  <c r="L20" i="61" s="1"/>
  <c r="T58" i="59"/>
  <c r="AP37" i="18" s="1"/>
  <c r="M19" i="61" s="1"/>
  <c r="T50" i="59"/>
  <c r="T49" i="59" s="1"/>
  <c r="AP28" i="18" s="1"/>
  <c r="M7" i="61" s="1"/>
  <c r="T47" i="59"/>
  <c r="AP26" i="18" s="1"/>
  <c r="T48" i="59"/>
  <c r="AP27" i="18" s="1"/>
  <c r="T39" i="59"/>
  <c r="AP19" i="18" s="1"/>
  <c r="T40" i="59"/>
  <c r="AP20" i="18" s="1"/>
  <c r="T41" i="59"/>
  <c r="AP21" i="18" s="1"/>
  <c r="T42" i="59"/>
  <c r="AP22" i="18" s="1"/>
  <c r="T43" i="59"/>
  <c r="AP23" i="18" s="1"/>
  <c r="T44" i="59"/>
  <c r="AP24" i="18" s="1"/>
  <c r="T45" i="59"/>
  <c r="AP25" i="18" s="1"/>
  <c r="T34" i="59"/>
  <c r="AP14" i="18" s="1"/>
  <c r="T35" i="59"/>
  <c r="AP15" i="18" s="1"/>
  <c r="T36" i="59"/>
  <c r="AP16" i="18" s="1"/>
  <c r="T37" i="59"/>
  <c r="AP17" i="18" s="1"/>
  <c r="T38" i="59"/>
  <c r="AP18" i="18" s="1"/>
  <c r="T30" i="59"/>
  <c r="T31" i="59"/>
  <c r="T32" i="59"/>
  <c r="T33" i="59"/>
  <c r="T29" i="59"/>
  <c r="T25" i="59"/>
  <c r="T27" i="59"/>
  <c r="T24" i="59"/>
  <c r="T19" i="59"/>
  <c r="T21" i="59"/>
  <c r="T18" i="59"/>
  <c r="T13" i="59"/>
  <c r="T14" i="59"/>
  <c r="T15" i="59"/>
  <c r="T12" i="59"/>
  <c r="Q11" i="20" l="1"/>
  <c r="N16" i="20"/>
  <c r="O16" i="20"/>
  <c r="N8" i="20"/>
  <c r="P36" i="19"/>
  <c r="O9" i="20"/>
  <c r="U30" i="60"/>
  <c r="N27" i="61" s="1"/>
  <c r="Z34" i="18"/>
  <c r="Z33" i="18" s="1"/>
  <c r="Z31" i="18" s="1"/>
  <c r="Q37" i="19"/>
  <c r="Q36" i="19" s="1"/>
  <c r="Q38" i="19"/>
  <c r="O39" i="19"/>
  <c r="O36" i="19" s="1"/>
  <c r="K32" i="60"/>
  <c r="U38" i="60"/>
  <c r="AC59" i="59"/>
  <c r="N20" i="61" s="1"/>
  <c r="Z37" i="60"/>
  <c r="AI40" i="19" s="1"/>
  <c r="Y12" i="20" s="1"/>
  <c r="K31" i="60"/>
  <c r="L28" i="61" s="1"/>
  <c r="AR38" i="18"/>
  <c r="U32" i="60"/>
  <c r="N29" i="61" s="1"/>
  <c r="AE32" i="60"/>
  <c r="Q29" i="61" s="1"/>
  <c r="Z38" i="60"/>
  <c r="AI41" i="19" s="1"/>
  <c r="AE37" i="60"/>
  <c r="AO40" i="19" s="1"/>
  <c r="AD12" i="20" s="1"/>
  <c r="U37" i="60"/>
  <c r="AH40" i="19" s="1"/>
  <c r="X12" i="20" s="1"/>
  <c r="Z32" i="60"/>
  <c r="O29" i="61" s="1"/>
  <c r="AE38" i="60"/>
  <c r="Q35" i="61" s="1"/>
  <c r="Y35" i="59"/>
  <c r="K30" i="60"/>
  <c r="L27" i="61" s="1"/>
  <c r="O34" i="61"/>
  <c r="AF32" i="19"/>
  <c r="AH41" i="19"/>
  <c r="N35" i="61"/>
  <c r="L29" i="61"/>
  <c r="AF34" i="19"/>
  <c r="AH32" i="19"/>
  <c r="X34" i="18"/>
  <c r="X33" i="18" s="1"/>
  <c r="I36" i="19"/>
  <c r="K36" i="19" s="1"/>
  <c r="AF33" i="18"/>
  <c r="M43" i="59"/>
  <c r="J43" i="59"/>
  <c r="M39" i="59"/>
  <c r="J39" i="59"/>
  <c r="K39" i="59" s="1"/>
  <c r="M37" i="59"/>
  <c r="AH22" i="18"/>
  <c r="AH21" i="18"/>
  <c r="AH20" i="18"/>
  <c r="AH19" i="18"/>
  <c r="AH18" i="18"/>
  <c r="AH17" i="18"/>
  <c r="AH16" i="18"/>
  <c r="AH15" i="18"/>
  <c r="AH14" i="18"/>
  <c r="H55" i="59"/>
  <c r="AH34" i="18" s="1"/>
  <c r="AH33" i="18" s="1"/>
  <c r="H53" i="59"/>
  <c r="K53" i="59" s="1"/>
  <c r="L53" i="59" s="1"/>
  <c r="H49" i="59"/>
  <c r="AH28" i="18" s="1"/>
  <c r="J7" i="61" s="1"/>
  <c r="H48" i="59"/>
  <c r="AH27" i="18" s="1"/>
  <c r="H47" i="59"/>
  <c r="AH26" i="18" s="1"/>
  <c r="H45" i="59"/>
  <c r="AH25" i="18" s="1"/>
  <c r="H44" i="59"/>
  <c r="AH24" i="18" s="1"/>
  <c r="H43" i="59"/>
  <c r="AH23" i="18" s="1"/>
  <c r="AG36" i="18"/>
  <c r="I18" i="61" s="1"/>
  <c r="J18" i="61" s="1"/>
  <c r="AG35" i="18"/>
  <c r="I17" i="61" s="1"/>
  <c r="J17" i="61" s="1"/>
  <c r="AG34" i="18"/>
  <c r="I16" i="61" s="1"/>
  <c r="AG32" i="18"/>
  <c r="I14" i="61" s="1"/>
  <c r="V33" i="18"/>
  <c r="V31" i="18" s="1"/>
  <c r="U33" i="18"/>
  <c r="BO39" i="18"/>
  <c r="BN39" i="18"/>
  <c r="BM39" i="18"/>
  <c r="BL39" i="18"/>
  <c r="BJ39" i="18"/>
  <c r="BI39" i="18"/>
  <c r="BH39" i="18"/>
  <c r="BG39" i="18"/>
  <c r="BF39" i="18"/>
  <c r="BD39" i="18"/>
  <c r="BC39" i="18"/>
  <c r="BB39" i="18"/>
  <c r="BA39" i="18"/>
  <c r="AX39" i="18"/>
  <c r="AW39" i="18"/>
  <c r="AV39" i="18"/>
  <c r="AU39" i="18"/>
  <c r="AT39" i="18"/>
  <c r="AN39" i="18"/>
  <c r="AL39" i="18"/>
  <c r="AK39" i="18"/>
  <c r="AJ39" i="18"/>
  <c r="AI39" i="18"/>
  <c r="AD39" i="18"/>
  <c r="AC39" i="18"/>
  <c r="AB39" i="18"/>
  <c r="T39" i="18"/>
  <c r="S39" i="18"/>
  <c r="R39" i="18"/>
  <c r="Q39" i="18"/>
  <c r="P39" i="18"/>
  <c r="N39" i="18"/>
  <c r="M39" i="18"/>
  <c r="L39" i="18"/>
  <c r="K39" i="18"/>
  <c r="J39" i="18"/>
  <c r="H39" i="18"/>
  <c r="G39" i="18"/>
  <c r="F39" i="18"/>
  <c r="E39" i="18"/>
  <c r="D39" i="18"/>
  <c r="C39" i="18"/>
  <c r="BM38" i="18"/>
  <c r="BG38" i="18"/>
  <c r="BA38" i="18"/>
  <c r="AU38" i="18"/>
  <c r="AI38" i="18"/>
  <c r="AL38" i="18"/>
  <c r="AC38" i="18"/>
  <c r="T38" i="18"/>
  <c r="Q38" i="18"/>
  <c r="N38" i="18" s="1"/>
  <c r="E38" i="18"/>
  <c r="C38" i="18" s="1"/>
  <c r="H38" i="18" s="1"/>
  <c r="K38" i="18" s="1"/>
  <c r="L38" i="18" s="1"/>
  <c r="BM37" i="18"/>
  <c r="BG37" i="18"/>
  <c r="BA37" i="18"/>
  <c r="AU37" i="18"/>
  <c r="AI37" i="18"/>
  <c r="AC37" i="18"/>
  <c r="T37" i="18"/>
  <c r="R37" i="18"/>
  <c r="Q37" i="18" s="1"/>
  <c r="N37" i="18" s="1"/>
  <c r="M37" i="18"/>
  <c r="L37" i="18"/>
  <c r="E37" i="18"/>
  <c r="C37" i="18"/>
  <c r="N35" i="18"/>
  <c r="R35" i="18" s="1"/>
  <c r="Q35" i="18" s="1"/>
  <c r="K35" i="18"/>
  <c r="L35" i="18" s="1"/>
  <c r="H35" i="18"/>
  <c r="F35" i="18"/>
  <c r="F33" i="18" s="1"/>
  <c r="N34" i="18"/>
  <c r="R34" i="18" s="1"/>
  <c r="H34" i="18"/>
  <c r="H33" i="18" s="1"/>
  <c r="F34" i="18"/>
  <c r="E34" i="18" s="1"/>
  <c r="BO33" i="18"/>
  <c r="BO31" i="18" s="1"/>
  <c r="BL33" i="18"/>
  <c r="BL31" i="18" s="1"/>
  <c r="BI33" i="18"/>
  <c r="BI31" i="18" s="1"/>
  <c r="BF33" i="18"/>
  <c r="BF31" i="18" s="1"/>
  <c r="BC33" i="18"/>
  <c r="BC31" i="18" s="1"/>
  <c r="AW33" i="18"/>
  <c r="AW31" i="18" s="1"/>
  <c r="AT33" i="18"/>
  <c r="AT31" i="18" s="1"/>
  <c r="AN33" i="18"/>
  <c r="AN31" i="18" s="1"/>
  <c r="AK33" i="18"/>
  <c r="AK31" i="18" s="1"/>
  <c r="AB31" i="18"/>
  <c r="Y31" i="18"/>
  <c r="S33" i="18"/>
  <c r="P33" i="18"/>
  <c r="M33" i="18"/>
  <c r="J33" i="18"/>
  <c r="G33" i="18"/>
  <c r="G31" i="18" s="1"/>
  <c r="D33" i="18"/>
  <c r="D31" i="18" s="1"/>
  <c r="C33" i="18"/>
  <c r="C31" i="18" s="1"/>
  <c r="BJ32" i="18"/>
  <c r="BM32" i="18" s="1"/>
  <c r="BD32" i="18"/>
  <c r="AX32" i="18"/>
  <c r="BA32" i="18" s="1"/>
  <c r="BB32" i="18" s="1"/>
  <c r="AL32" i="18"/>
  <c r="AI32" i="18"/>
  <c r="AC32" i="18"/>
  <c r="AD32" i="18" s="1"/>
  <c r="R32" i="18"/>
  <c r="Q32" i="18" s="1"/>
  <c r="H32" i="18"/>
  <c r="K32" i="18" s="1"/>
  <c r="F32" i="18"/>
  <c r="E32" i="18" s="1"/>
  <c r="S31" i="18"/>
  <c r="P31" i="18"/>
  <c r="M31" i="18"/>
  <c r="J31" i="18"/>
  <c r="P47" i="61"/>
  <c r="P46" i="61"/>
  <c r="P45" i="61"/>
  <c r="P44" i="61"/>
  <c r="P43" i="61"/>
  <c r="P42" i="61"/>
  <c r="P41" i="61"/>
  <c r="P40" i="61"/>
  <c r="P39" i="61"/>
  <c r="P38" i="61"/>
  <c r="P37" i="61"/>
  <c r="P36" i="61"/>
  <c r="U35" i="61"/>
  <c r="T35" i="61"/>
  <c r="S35" i="61"/>
  <c r="R35" i="61"/>
  <c r="I35" i="61"/>
  <c r="F35" i="61"/>
  <c r="E35" i="61"/>
  <c r="D35" i="61"/>
  <c r="C35" i="61"/>
  <c r="U31" i="61"/>
  <c r="T31" i="61"/>
  <c r="S31" i="61"/>
  <c r="R31" i="61"/>
  <c r="F31" i="61"/>
  <c r="E31" i="61"/>
  <c r="D31" i="61"/>
  <c r="C31" i="61"/>
  <c r="U30" i="61"/>
  <c r="T30" i="61"/>
  <c r="S30" i="61"/>
  <c r="R30" i="61"/>
  <c r="F30" i="61"/>
  <c r="D30" i="61"/>
  <c r="C30" i="61"/>
  <c r="K28" i="61"/>
  <c r="U27" i="61"/>
  <c r="T27" i="61"/>
  <c r="S27" i="61"/>
  <c r="R27" i="61"/>
  <c r="J27" i="61"/>
  <c r="F27" i="61"/>
  <c r="D27" i="61"/>
  <c r="C27" i="61"/>
  <c r="U26" i="61"/>
  <c r="T26" i="61"/>
  <c r="S26" i="61"/>
  <c r="R26" i="61"/>
  <c r="J26" i="61"/>
  <c r="F26" i="61"/>
  <c r="C26" i="61"/>
  <c r="U25" i="61"/>
  <c r="T25" i="61"/>
  <c r="S25" i="61"/>
  <c r="R25" i="61"/>
  <c r="F25" i="61"/>
  <c r="D25" i="61"/>
  <c r="C25" i="61"/>
  <c r="U24" i="61"/>
  <c r="T24" i="61"/>
  <c r="S24" i="61"/>
  <c r="R24" i="61"/>
  <c r="F24" i="61"/>
  <c r="D24" i="61"/>
  <c r="C24" i="61"/>
  <c r="U23" i="61"/>
  <c r="T23" i="61"/>
  <c r="S23" i="61"/>
  <c r="R23" i="61"/>
  <c r="F23" i="61"/>
  <c r="D23" i="61"/>
  <c r="C23" i="61"/>
  <c r="E22" i="61"/>
  <c r="U20" i="61"/>
  <c r="T20" i="61"/>
  <c r="S20" i="61"/>
  <c r="R20" i="61"/>
  <c r="F20" i="61"/>
  <c r="E20" i="61"/>
  <c r="D20" i="61"/>
  <c r="C20" i="61"/>
  <c r="U19" i="61"/>
  <c r="T19" i="61"/>
  <c r="S19" i="61"/>
  <c r="R19" i="61"/>
  <c r="C19" i="61"/>
  <c r="U15" i="61"/>
  <c r="T15" i="61"/>
  <c r="S15" i="61"/>
  <c r="R15" i="61"/>
  <c r="F15" i="61"/>
  <c r="D15" i="61"/>
  <c r="C15" i="61"/>
  <c r="U14" i="61"/>
  <c r="T14" i="61"/>
  <c r="S14" i="61"/>
  <c r="R14" i="61"/>
  <c r="J14" i="61"/>
  <c r="H14" i="61"/>
  <c r="H13" i="61" s="1"/>
  <c r="G14" i="61"/>
  <c r="F14" i="61"/>
  <c r="D14" i="61"/>
  <c r="C14" i="61"/>
  <c r="E13" i="61"/>
  <c r="U12" i="61"/>
  <c r="T12" i="61"/>
  <c r="S12" i="61"/>
  <c r="R12" i="61"/>
  <c r="I12" i="61"/>
  <c r="H12" i="61"/>
  <c r="G12" i="61"/>
  <c r="F12" i="61"/>
  <c r="U10" i="61"/>
  <c r="T10" i="61"/>
  <c r="S10" i="61"/>
  <c r="R10" i="61"/>
  <c r="H10" i="61"/>
  <c r="G10" i="61"/>
  <c r="F10" i="61"/>
  <c r="E10" i="61"/>
  <c r="D10" i="61"/>
  <c r="C10" i="61"/>
  <c r="U7" i="61"/>
  <c r="T7" i="61"/>
  <c r="S7" i="61"/>
  <c r="R7" i="61"/>
  <c r="F7" i="61"/>
  <c r="E7" i="61"/>
  <c r="D7" i="61"/>
  <c r="C7" i="61"/>
  <c r="U6" i="61"/>
  <c r="T6" i="61"/>
  <c r="S6" i="61"/>
  <c r="R6" i="61"/>
  <c r="F6" i="61"/>
  <c r="E6" i="61"/>
  <c r="D6" i="61"/>
  <c r="C6" i="61"/>
  <c r="K129" i="60"/>
  <c r="K122" i="60"/>
  <c r="K120" i="60"/>
  <c r="W118" i="60"/>
  <c r="X118" i="60" s="1"/>
  <c r="U118" i="60"/>
  <c r="W117" i="60"/>
  <c r="X117" i="60" s="1"/>
  <c r="U117" i="60"/>
  <c r="K116" i="60"/>
  <c r="C116" i="60"/>
  <c r="W115" i="60"/>
  <c r="X115" i="60" s="1"/>
  <c r="U115" i="60"/>
  <c r="W114" i="60"/>
  <c r="X114" i="60" s="1"/>
  <c r="U114" i="60"/>
  <c r="W113" i="60"/>
  <c r="X113" i="60" s="1"/>
  <c r="U113" i="60"/>
  <c r="U112" i="60"/>
  <c r="U111" i="60"/>
  <c r="U110" i="60"/>
  <c r="U109" i="60"/>
  <c r="N109" i="60"/>
  <c r="W109" i="60" s="1"/>
  <c r="K108" i="60"/>
  <c r="C108" i="60"/>
  <c r="C107" i="60" s="1"/>
  <c r="N106" i="60"/>
  <c r="K103" i="60"/>
  <c r="N100" i="60"/>
  <c r="U99" i="60"/>
  <c r="K98" i="60"/>
  <c r="U97" i="60"/>
  <c r="N96" i="60"/>
  <c r="U96" i="60" s="1"/>
  <c r="N93" i="60"/>
  <c r="N92" i="60"/>
  <c r="N89" i="60"/>
  <c r="N86" i="60"/>
  <c r="N84" i="60"/>
  <c r="N81" i="60"/>
  <c r="N80" i="60"/>
  <c r="K80" i="60"/>
  <c r="K82" i="60" s="1"/>
  <c r="N79" i="60"/>
  <c r="K76" i="60"/>
  <c r="T73" i="60"/>
  <c r="S73" i="60"/>
  <c r="C69" i="60"/>
  <c r="K64" i="60"/>
  <c r="K60" i="60"/>
  <c r="K67" i="60" s="1"/>
  <c r="Y53" i="60"/>
  <c r="X53" i="60"/>
  <c r="AY52" i="60"/>
  <c r="AT52" i="60"/>
  <c r="AO52" i="60"/>
  <c r="AJ52" i="60"/>
  <c r="AI52" i="60"/>
  <c r="AH52" i="60"/>
  <c r="AE52" i="60"/>
  <c r="Z52" i="60"/>
  <c r="W52" i="60"/>
  <c r="W54" i="60" s="1"/>
  <c r="V52" i="60"/>
  <c r="V54" i="60" s="1"/>
  <c r="O49" i="60"/>
  <c r="N49" i="60"/>
  <c r="R47" i="60"/>
  <c r="R46" i="60" s="1"/>
  <c r="Q47" i="60"/>
  <c r="Q46" i="60" s="1"/>
  <c r="O47" i="60"/>
  <c r="BC44" i="60"/>
  <c r="BB44" i="60"/>
  <c r="AX44" i="60"/>
  <c r="AW44" i="60"/>
  <c r="AS44" i="60"/>
  <c r="AR44" i="60"/>
  <c r="AN44" i="60"/>
  <c r="AM44" i="60"/>
  <c r="AI44" i="60"/>
  <c r="AH44" i="60"/>
  <c r="AD44" i="60"/>
  <c r="AC44" i="60"/>
  <c r="Y44" i="60"/>
  <c r="X44" i="60"/>
  <c r="T44" i="60"/>
  <c r="S44" i="60"/>
  <c r="O44" i="60"/>
  <c r="N44" i="60"/>
  <c r="U40" i="60"/>
  <c r="S40" i="60"/>
  <c r="I39" i="60"/>
  <c r="BB38" i="60"/>
  <c r="AY38" i="60" s="1"/>
  <c r="AW38" i="60"/>
  <c r="AT38" i="60" s="1"/>
  <c r="AR38" i="60"/>
  <c r="AO38" i="60" s="1"/>
  <c r="AM38" i="60"/>
  <c r="AJ38" i="60" s="1"/>
  <c r="J38" i="60"/>
  <c r="I38" i="60"/>
  <c r="C38" i="60"/>
  <c r="J36" i="60"/>
  <c r="I36" i="60"/>
  <c r="F36" i="60" s="1"/>
  <c r="C36" i="60"/>
  <c r="AY35" i="60"/>
  <c r="BB35" i="60" s="1"/>
  <c r="AT35" i="60"/>
  <c r="AW35" i="60" s="1"/>
  <c r="AO35" i="60"/>
  <c r="AJ35" i="60"/>
  <c r="AM35" i="60" s="1"/>
  <c r="J35" i="60"/>
  <c r="I35" i="60"/>
  <c r="F35" i="60" s="1"/>
  <c r="F34" i="60" s="1"/>
  <c r="C35" i="60"/>
  <c r="BC34" i="60"/>
  <c r="AX34" i="60"/>
  <c r="AS34" i="60"/>
  <c r="AN34" i="60"/>
  <c r="Y34" i="60"/>
  <c r="O34" i="60"/>
  <c r="J34" i="60"/>
  <c r="I34" i="60"/>
  <c r="E34" i="60"/>
  <c r="D34" i="60"/>
  <c r="C34" i="60" s="1"/>
  <c r="BB33" i="60"/>
  <c r="AY33" i="60" s="1"/>
  <c r="AW33" i="60"/>
  <c r="AT33" i="60" s="1"/>
  <c r="AR33" i="60"/>
  <c r="AO33" i="60" s="1"/>
  <c r="AM33" i="60"/>
  <c r="AJ33" i="60" s="1"/>
  <c r="J33" i="60"/>
  <c r="I33" i="60"/>
  <c r="F33" i="60" s="1"/>
  <c r="C33" i="60"/>
  <c r="Y51" i="60"/>
  <c r="X51" i="60"/>
  <c r="J30" i="60"/>
  <c r="I30" i="60"/>
  <c r="C30" i="60"/>
  <c r="K29" i="60"/>
  <c r="F29" i="60"/>
  <c r="C29" i="60"/>
  <c r="J28" i="60"/>
  <c r="I28" i="60"/>
  <c r="C28" i="60"/>
  <c r="J27" i="60"/>
  <c r="I27" i="60"/>
  <c r="F27" i="60"/>
  <c r="C27" i="60"/>
  <c r="J26" i="60"/>
  <c r="I26" i="60"/>
  <c r="C26" i="60"/>
  <c r="J25" i="60"/>
  <c r="I25" i="60"/>
  <c r="C25" i="60"/>
  <c r="J24" i="60"/>
  <c r="I24" i="60"/>
  <c r="F24" i="60"/>
  <c r="C24" i="60"/>
  <c r="J23" i="60"/>
  <c r="I23" i="60"/>
  <c r="C23" i="60"/>
  <c r="J22" i="60"/>
  <c r="I22" i="60"/>
  <c r="F22" i="60"/>
  <c r="C22" i="60"/>
  <c r="J21" i="60"/>
  <c r="I21" i="60"/>
  <c r="F21" i="60" s="1"/>
  <c r="H21" i="60" s="1"/>
  <c r="C21" i="60"/>
  <c r="J20" i="60"/>
  <c r="I20" i="60"/>
  <c r="C20" i="60"/>
  <c r="K19" i="60"/>
  <c r="AF17" i="19" s="1"/>
  <c r="J19" i="60"/>
  <c r="F19" i="60" s="1"/>
  <c r="I19" i="60"/>
  <c r="C19" i="60"/>
  <c r="M19" i="60" s="1"/>
  <c r="J18" i="60"/>
  <c r="I18" i="60"/>
  <c r="C18" i="60"/>
  <c r="E17" i="60"/>
  <c r="D17" i="60"/>
  <c r="D14" i="60" s="1"/>
  <c r="J16" i="60"/>
  <c r="I16" i="60"/>
  <c r="C16" i="60"/>
  <c r="J15" i="60"/>
  <c r="I15" i="60"/>
  <c r="C15" i="60"/>
  <c r="E14" i="60"/>
  <c r="BC13" i="60"/>
  <c r="BB13" i="60"/>
  <c r="AX13" i="60"/>
  <c r="AW13" i="60"/>
  <c r="AS13" i="60"/>
  <c r="AO13" i="60" s="1"/>
  <c r="AR13" i="60"/>
  <c r="AN13" i="60"/>
  <c r="AM13" i="60"/>
  <c r="I13" i="60"/>
  <c r="F13" i="60" s="1"/>
  <c r="C13" i="60"/>
  <c r="BC12" i="60"/>
  <c r="BB12" i="60"/>
  <c r="AY12" i="60" s="1"/>
  <c r="AX12" i="60"/>
  <c r="AW12" i="60"/>
  <c r="AS12" i="60"/>
  <c r="AR12" i="60"/>
  <c r="AN12" i="60"/>
  <c r="AM12" i="60"/>
  <c r="J12" i="60"/>
  <c r="I12" i="60"/>
  <c r="C12" i="60"/>
  <c r="C9" i="60" s="1"/>
  <c r="BC11" i="60"/>
  <c r="BB11" i="60"/>
  <c r="AX11" i="60"/>
  <c r="AW11" i="60"/>
  <c r="AS11" i="60"/>
  <c r="AR11" i="60"/>
  <c r="AN11" i="60"/>
  <c r="AM11" i="60"/>
  <c r="J11" i="60"/>
  <c r="I11" i="60"/>
  <c r="C11" i="60"/>
  <c r="J10" i="60"/>
  <c r="F10" i="60" s="1"/>
  <c r="I10" i="60"/>
  <c r="C10" i="60"/>
  <c r="E9" i="60"/>
  <c r="D9" i="60"/>
  <c r="E8" i="60"/>
  <c r="E7" i="60"/>
  <c r="AY3" i="60"/>
  <c r="AT3" i="60"/>
  <c r="AO3" i="60"/>
  <c r="AJ3" i="60"/>
  <c r="AE3" i="60"/>
  <c r="Z3" i="60"/>
  <c r="U3" i="60"/>
  <c r="P3" i="60"/>
  <c r="N105" i="59"/>
  <c r="N106" i="59" s="1"/>
  <c r="N104" i="59"/>
  <c r="Q94" i="59"/>
  <c r="N86" i="59"/>
  <c r="N87" i="59" s="1"/>
  <c r="Q81" i="59"/>
  <c r="N80" i="59"/>
  <c r="H80" i="59"/>
  <c r="N79" i="59"/>
  <c r="H75" i="59"/>
  <c r="Q74" i="59"/>
  <c r="H73" i="59"/>
  <c r="H72" i="59"/>
  <c r="AQ67" i="59"/>
  <c r="AP67" i="59"/>
  <c r="AO67" i="59"/>
  <c r="P66" i="59"/>
  <c r="AD65" i="59"/>
  <c r="AC65" i="59"/>
  <c r="BM59" i="59"/>
  <c r="BG59" i="59"/>
  <c r="BA59" i="59"/>
  <c r="AU59" i="59"/>
  <c r="AR59" i="59"/>
  <c r="AX59" i="59" s="1"/>
  <c r="BD59" i="59" s="1"/>
  <c r="BJ59" i="59" s="1"/>
  <c r="Q59" i="59"/>
  <c r="N59" i="59" s="1"/>
  <c r="E59" i="59"/>
  <c r="C59" i="59" s="1"/>
  <c r="H59" i="59" s="1"/>
  <c r="K59" i="59" s="1"/>
  <c r="L59" i="59" s="1"/>
  <c r="BM58" i="59"/>
  <c r="BG58" i="59"/>
  <c r="BA58" i="59"/>
  <c r="AU58" i="59"/>
  <c r="R58" i="59"/>
  <c r="M58" i="59"/>
  <c r="L58" i="59"/>
  <c r="E58" i="59"/>
  <c r="C58" i="59"/>
  <c r="AG37" i="18" s="1"/>
  <c r="N56" i="59"/>
  <c r="K56" i="59"/>
  <c r="L56" i="59" s="1"/>
  <c r="F56" i="59"/>
  <c r="N55" i="59"/>
  <c r="F55" i="59"/>
  <c r="E55" i="59" s="1"/>
  <c r="BO54" i="59"/>
  <c r="BL54" i="59"/>
  <c r="BI54" i="59"/>
  <c r="BI52" i="59" s="1"/>
  <c r="BF54" i="59"/>
  <c r="BF52" i="59" s="1"/>
  <c r="BC54" i="59"/>
  <c r="AZ54" i="59"/>
  <c r="AZ52" i="59" s="1"/>
  <c r="AW54" i="59"/>
  <c r="AT54" i="59"/>
  <c r="AQ54" i="59"/>
  <c r="AQ52" i="59" s="1"/>
  <c r="AN54" i="59"/>
  <c r="AN52" i="59" s="1"/>
  <c r="AK54" i="59"/>
  <c r="AK52" i="59" s="1"/>
  <c r="AH54" i="59"/>
  <c r="AH52" i="59" s="1"/>
  <c r="AE54" i="59"/>
  <c r="AE52" i="59" s="1"/>
  <c r="AB54" i="59"/>
  <c r="AB52" i="59" s="1"/>
  <c r="V54" i="59"/>
  <c r="S54" i="59"/>
  <c r="S52" i="59" s="1"/>
  <c r="P54" i="59"/>
  <c r="M54" i="59"/>
  <c r="J54" i="59"/>
  <c r="J52" i="59" s="1"/>
  <c r="G54" i="59"/>
  <c r="D54" i="59"/>
  <c r="C54" i="59"/>
  <c r="R53" i="59"/>
  <c r="X53" i="59" s="1"/>
  <c r="F53" i="59"/>
  <c r="E53" i="59" s="1"/>
  <c r="BO52" i="59"/>
  <c r="BL52" i="59"/>
  <c r="BC52" i="59"/>
  <c r="AW52" i="59"/>
  <c r="AT52" i="59"/>
  <c r="V52" i="59"/>
  <c r="P52" i="59"/>
  <c r="M52" i="59"/>
  <c r="G52" i="59"/>
  <c r="G51" i="59" s="1"/>
  <c r="G49" i="59" s="1"/>
  <c r="D52" i="59"/>
  <c r="C52" i="59"/>
  <c r="N51" i="59"/>
  <c r="N49" i="59" s="1"/>
  <c r="P49" i="59" s="1"/>
  <c r="H51" i="59"/>
  <c r="D51" i="59"/>
  <c r="Z49" i="59"/>
  <c r="N50" i="59"/>
  <c r="P50" i="59" s="1"/>
  <c r="H50" i="59"/>
  <c r="J50" i="59" s="1"/>
  <c r="D50" i="59"/>
  <c r="BO49" i="59"/>
  <c r="BN49" i="59"/>
  <c r="BM49" i="59"/>
  <c r="BI49" i="59"/>
  <c r="BH49" i="59"/>
  <c r="BG49" i="59"/>
  <c r="BC49" i="59"/>
  <c r="BB49" i="59"/>
  <c r="BA49" i="59"/>
  <c r="AW49" i="59"/>
  <c r="AV49" i="59"/>
  <c r="AU49" i="59"/>
  <c r="AQ49" i="59"/>
  <c r="AP49" i="59"/>
  <c r="AO49" i="59"/>
  <c r="F49" i="59"/>
  <c r="E49" i="59"/>
  <c r="C49" i="59"/>
  <c r="BJ48" i="59"/>
  <c r="BD48" i="59"/>
  <c r="AX48" i="59"/>
  <c r="AR48" i="59"/>
  <c r="R48" i="59"/>
  <c r="Q48" i="59" s="1"/>
  <c r="O48" i="59"/>
  <c r="L48" i="59"/>
  <c r="K48" i="59"/>
  <c r="I48" i="59"/>
  <c r="F48" i="59"/>
  <c r="E48" i="59" s="1"/>
  <c r="BL47" i="59"/>
  <c r="BJ47" i="59"/>
  <c r="BO47" i="59" s="1"/>
  <c r="BF47" i="59"/>
  <c r="BD47" i="59"/>
  <c r="BI47" i="59" s="1"/>
  <c r="AZ47" i="59"/>
  <c r="AX47" i="59"/>
  <c r="BA47" i="59" s="1"/>
  <c r="AT47" i="59"/>
  <c r="AR47" i="59"/>
  <c r="AN47" i="59"/>
  <c r="AH47" i="59"/>
  <c r="AI47" i="59" s="1"/>
  <c r="AB47" i="59"/>
  <c r="V47" i="59"/>
  <c r="P47" i="59"/>
  <c r="N47" i="59"/>
  <c r="S47" i="59" s="1"/>
  <c r="J47" i="59"/>
  <c r="G47" i="59"/>
  <c r="E47" i="59" s="1"/>
  <c r="BM46" i="59"/>
  <c r="BN46" i="59" s="1"/>
  <c r="BK46" i="59"/>
  <c r="BG46" i="59"/>
  <c r="BH46" i="59" s="1"/>
  <c r="BE46" i="59"/>
  <c r="BA46" i="59"/>
  <c r="BB46" i="59" s="1"/>
  <c r="AY46" i="59"/>
  <c r="AU46" i="59"/>
  <c r="AV46" i="59" s="1"/>
  <c r="AS46" i="59"/>
  <c r="AO46" i="59"/>
  <c r="AP46" i="59" s="1"/>
  <c r="AC46" i="59"/>
  <c r="AD46" i="59" s="1"/>
  <c r="Q46" i="59"/>
  <c r="R46" i="59" s="1"/>
  <c r="K46" i="59"/>
  <c r="L46" i="59" s="1"/>
  <c r="F46" i="59"/>
  <c r="E46" i="59"/>
  <c r="BJ45" i="59"/>
  <c r="BM45" i="59" s="1"/>
  <c r="BN45" i="59" s="1"/>
  <c r="BD45" i="59"/>
  <c r="BG45" i="59" s="1"/>
  <c r="BH45" i="59" s="1"/>
  <c r="AX45" i="59"/>
  <c r="BA45" i="59" s="1"/>
  <c r="BB45" i="59" s="1"/>
  <c r="AR45" i="59"/>
  <c r="AC45" i="59"/>
  <c r="AD45" i="59" s="1"/>
  <c r="AA45" i="59"/>
  <c r="W45" i="59"/>
  <c r="X45" i="59" s="1"/>
  <c r="Q45" i="59"/>
  <c r="R45" i="59" s="1"/>
  <c r="N45" i="59"/>
  <c r="U45" i="59" s="1"/>
  <c r="C45" i="59"/>
  <c r="E45" i="59" s="1"/>
  <c r="F45" i="59" s="1"/>
  <c r="BJ44" i="59"/>
  <c r="BD44" i="59"/>
  <c r="AX44" i="59"/>
  <c r="AR44" i="59"/>
  <c r="Q44" i="59"/>
  <c r="R44" i="59" s="1"/>
  <c r="E44" i="59"/>
  <c r="F44" i="59" s="1"/>
  <c r="BJ43" i="59"/>
  <c r="BD43" i="59"/>
  <c r="AX43" i="59"/>
  <c r="AR43" i="59"/>
  <c r="AG43" i="59"/>
  <c r="AA43" i="59"/>
  <c r="S43" i="59"/>
  <c r="P43" i="59"/>
  <c r="Q43" i="59" s="1"/>
  <c r="E43" i="59"/>
  <c r="F43" i="59" s="1"/>
  <c r="AH42" i="59"/>
  <c r="AI42" i="59" s="1"/>
  <c r="AJ42" i="59" s="1"/>
  <c r="AB42" i="59"/>
  <c r="AC42" i="59" s="1"/>
  <c r="AD42" i="59" s="1"/>
  <c r="AA42" i="59"/>
  <c r="V42" i="59"/>
  <c r="W42" i="59" s="1"/>
  <c r="X42" i="59" s="1"/>
  <c r="U42" i="59"/>
  <c r="P42" i="59"/>
  <c r="Q42" i="59" s="1"/>
  <c r="R42" i="59" s="1"/>
  <c r="K42" i="59"/>
  <c r="L42" i="59" s="1"/>
  <c r="BJ41" i="59"/>
  <c r="BO41" i="59" s="1"/>
  <c r="BD41" i="59"/>
  <c r="AX41" i="59"/>
  <c r="BA41" i="59" s="1"/>
  <c r="AR41" i="59"/>
  <c r="AW41" i="59" s="1"/>
  <c r="AO41" i="59"/>
  <c r="AE41" i="59"/>
  <c r="AC41" i="59"/>
  <c r="S41" i="59"/>
  <c r="Q41" i="59"/>
  <c r="O41" i="59"/>
  <c r="M41" i="59"/>
  <c r="K41" i="59"/>
  <c r="I41" i="59"/>
  <c r="F41" i="59"/>
  <c r="E41" i="59"/>
  <c r="BL40" i="59"/>
  <c r="BJ40" i="59"/>
  <c r="BF40" i="59"/>
  <c r="BD40" i="59"/>
  <c r="AZ40" i="59"/>
  <c r="AX40" i="59"/>
  <c r="AT40" i="59"/>
  <c r="AR40" i="59"/>
  <c r="AU40" i="59" s="1"/>
  <c r="AN40" i="59"/>
  <c r="AH40" i="59"/>
  <c r="AI40" i="59" s="1"/>
  <c r="AB40" i="59"/>
  <c r="AC40" i="59" s="1"/>
  <c r="V40" i="59"/>
  <c r="S40" i="59"/>
  <c r="N40" i="59"/>
  <c r="Q40" i="59" s="1"/>
  <c r="J40" i="59"/>
  <c r="K40" i="59" s="1"/>
  <c r="L40" i="59" s="1"/>
  <c r="I40" i="59"/>
  <c r="F40" i="59"/>
  <c r="E40" i="59" s="1"/>
  <c r="BJ39" i="59"/>
  <c r="BD39" i="59"/>
  <c r="AX39" i="59"/>
  <c r="AR39" i="59"/>
  <c r="AS39" i="59" s="1"/>
  <c r="AA39" i="59"/>
  <c r="U39" i="59"/>
  <c r="S39" i="59"/>
  <c r="P39" i="59"/>
  <c r="O39" i="59"/>
  <c r="I39" i="59"/>
  <c r="F39" i="59"/>
  <c r="E39" i="59"/>
  <c r="BJ38" i="59"/>
  <c r="BL38" i="59" s="1"/>
  <c r="BM38" i="59" s="1"/>
  <c r="BN38" i="59" s="1"/>
  <c r="BD38" i="59"/>
  <c r="AX38" i="59"/>
  <c r="AR38" i="59"/>
  <c r="AT38" i="59" s="1"/>
  <c r="AA38" i="59"/>
  <c r="U38" i="59"/>
  <c r="P38" i="59"/>
  <c r="Q38" i="59" s="1"/>
  <c r="O38" i="59"/>
  <c r="J38" i="59"/>
  <c r="K38" i="59" s="1"/>
  <c r="L38" i="59" s="1"/>
  <c r="I38" i="59"/>
  <c r="D38" i="59"/>
  <c r="E38" i="59" s="1"/>
  <c r="F38" i="59" s="1"/>
  <c r="BJ37" i="59"/>
  <c r="BM37" i="59" s="1"/>
  <c r="BD37" i="59"/>
  <c r="BG37" i="59" s="1"/>
  <c r="AX37" i="59"/>
  <c r="AR37" i="59"/>
  <c r="AU37" i="59" s="1"/>
  <c r="AO37" i="59"/>
  <c r="AH37" i="59"/>
  <c r="AB37" i="59"/>
  <c r="V37" i="59"/>
  <c r="U37" i="59"/>
  <c r="S37" i="59"/>
  <c r="P37" i="59"/>
  <c r="Q37" i="59" s="1"/>
  <c r="O37" i="59"/>
  <c r="J37" i="59"/>
  <c r="K37" i="59" s="1"/>
  <c r="I37" i="59"/>
  <c r="E37" i="59"/>
  <c r="F37" i="59" s="1"/>
  <c r="BJ36" i="59"/>
  <c r="BD36" i="59"/>
  <c r="AX36" i="59"/>
  <c r="BA36" i="59" s="1"/>
  <c r="BB36" i="59" s="1"/>
  <c r="AR36" i="59"/>
  <c r="AO36" i="59"/>
  <c r="AP36" i="59" s="1"/>
  <c r="AH36" i="59"/>
  <c r="AB36" i="59"/>
  <c r="V36" i="59"/>
  <c r="W36" i="59" s="1"/>
  <c r="P36" i="59"/>
  <c r="N36" i="59"/>
  <c r="N75" i="59" s="1"/>
  <c r="M36" i="59"/>
  <c r="J36" i="59"/>
  <c r="K36" i="59" s="1"/>
  <c r="I36" i="59"/>
  <c r="E36" i="59"/>
  <c r="G36" i="59" s="1"/>
  <c r="AH35" i="59"/>
  <c r="AI35" i="59" s="1"/>
  <c r="AJ35" i="59" s="1"/>
  <c r="AB35" i="59"/>
  <c r="V35" i="59"/>
  <c r="W35" i="59" s="1"/>
  <c r="U35" i="59"/>
  <c r="P35" i="59"/>
  <c r="N35" i="59"/>
  <c r="Q35" i="59" s="1"/>
  <c r="R35" i="59" s="1"/>
  <c r="M35" i="59"/>
  <c r="K35" i="59"/>
  <c r="L35" i="59" s="1"/>
  <c r="J35" i="59"/>
  <c r="E35" i="59"/>
  <c r="G35" i="59" s="1"/>
  <c r="BJ34" i="59"/>
  <c r="BM34" i="59" s="1"/>
  <c r="BD34" i="59"/>
  <c r="BI34" i="59" s="1"/>
  <c r="AX34" i="59"/>
  <c r="BC34" i="59" s="1"/>
  <c r="AR34" i="59"/>
  <c r="AU34" i="59" s="1"/>
  <c r="AV34" i="59" s="1"/>
  <c r="AO34" i="59"/>
  <c r="AP34" i="59" s="1"/>
  <c r="AH34" i="59"/>
  <c r="AB34" i="59"/>
  <c r="V34" i="59"/>
  <c r="P34" i="59"/>
  <c r="N34" i="59"/>
  <c r="O34" i="59" s="1"/>
  <c r="M34" i="59"/>
  <c r="K34" i="59"/>
  <c r="L34" i="59" s="1"/>
  <c r="J34" i="59"/>
  <c r="I34" i="59"/>
  <c r="E34" i="59"/>
  <c r="G34" i="59" s="1"/>
  <c r="Y33" i="59"/>
  <c r="W33" i="59"/>
  <c r="N33" i="59"/>
  <c r="S33" i="59" s="1"/>
  <c r="M33" i="59"/>
  <c r="K33" i="59"/>
  <c r="L33" i="59" s="1"/>
  <c r="G33" i="59"/>
  <c r="E33" i="59"/>
  <c r="F33" i="59" s="1"/>
  <c r="BJ32" i="59"/>
  <c r="BM32" i="59" s="1"/>
  <c r="BN32" i="59" s="1"/>
  <c r="BD32" i="59"/>
  <c r="BG32" i="59" s="1"/>
  <c r="BH32" i="59" s="1"/>
  <c r="AX32" i="59"/>
  <c r="BA32" i="59" s="1"/>
  <c r="BB32" i="59" s="1"/>
  <c r="AR32" i="59"/>
  <c r="AU32" i="59" s="1"/>
  <c r="AV32" i="59" s="1"/>
  <c r="AO32" i="59"/>
  <c r="AP32" i="59" s="1"/>
  <c r="W32" i="59"/>
  <c r="X32" i="59" s="1"/>
  <c r="N32" i="59"/>
  <c r="Q32" i="59" s="1"/>
  <c r="R32" i="59" s="1"/>
  <c r="K32" i="59"/>
  <c r="L32" i="59" s="1"/>
  <c r="E32" i="59"/>
  <c r="F32" i="59" s="1"/>
  <c r="BJ31" i="59"/>
  <c r="BD31" i="59"/>
  <c r="BG31" i="59" s="1"/>
  <c r="BH31" i="59" s="1"/>
  <c r="AX31" i="59"/>
  <c r="BA31" i="59" s="1"/>
  <c r="BB31" i="59" s="1"/>
  <c r="AR31" i="59"/>
  <c r="AU31" i="59" s="1"/>
  <c r="AV31" i="59" s="1"/>
  <c r="AO31" i="59"/>
  <c r="AP31" i="59" s="1"/>
  <c r="W31" i="59"/>
  <c r="X31" i="59" s="1"/>
  <c r="N31" i="59"/>
  <c r="Q31" i="59" s="1"/>
  <c r="R31" i="59" s="1"/>
  <c r="K31" i="59"/>
  <c r="L31" i="59" s="1"/>
  <c r="E31" i="59"/>
  <c r="F31" i="59" s="1"/>
  <c r="BJ30" i="59"/>
  <c r="BO30" i="59" s="1"/>
  <c r="BD30" i="59"/>
  <c r="BG30" i="59" s="1"/>
  <c r="AX30" i="59"/>
  <c r="BC30" i="59" s="1"/>
  <c r="AR30" i="59"/>
  <c r="AO30" i="59"/>
  <c r="AQ30" i="59"/>
  <c r="N30" i="59"/>
  <c r="Q30" i="59" s="1"/>
  <c r="M30" i="59"/>
  <c r="M28" i="59" s="1"/>
  <c r="J30" i="59"/>
  <c r="G30" i="59"/>
  <c r="E30" i="59"/>
  <c r="F30" i="59" s="1"/>
  <c r="BJ29" i="59"/>
  <c r="BM29" i="59" s="1"/>
  <c r="BD29" i="59"/>
  <c r="BI29" i="59" s="1"/>
  <c r="AX29" i="59"/>
  <c r="BC29" i="59" s="1"/>
  <c r="AR29" i="59"/>
  <c r="AW29" i="59" s="1"/>
  <c r="AO29" i="59"/>
  <c r="W29" i="59"/>
  <c r="Y29" i="59"/>
  <c r="N29" i="59"/>
  <c r="U29" i="59" s="1"/>
  <c r="M29" i="59"/>
  <c r="J29" i="59"/>
  <c r="K29" i="59" s="1"/>
  <c r="L29" i="59" s="1"/>
  <c r="G29" i="59"/>
  <c r="G28" i="59" s="1"/>
  <c r="E29" i="59"/>
  <c r="BL28" i="59"/>
  <c r="BF28" i="59"/>
  <c r="AZ28" i="59"/>
  <c r="AT28" i="59"/>
  <c r="AN28" i="59"/>
  <c r="AH28" i="59"/>
  <c r="AB28" i="59"/>
  <c r="V28" i="59"/>
  <c r="P28" i="59"/>
  <c r="H28" i="59"/>
  <c r="D28" i="59"/>
  <c r="C28" i="59"/>
  <c r="BM27" i="59"/>
  <c r="BG27" i="59"/>
  <c r="BA27" i="59"/>
  <c r="AU27" i="59"/>
  <c r="AO27" i="59"/>
  <c r="AI27" i="59"/>
  <c r="AJ27" i="59" s="1"/>
  <c r="W27" i="59"/>
  <c r="X27" i="59" s="1"/>
  <c r="U27" i="59"/>
  <c r="Q27" i="59"/>
  <c r="R27" i="59" s="1"/>
  <c r="K27" i="59"/>
  <c r="L27" i="59" s="1"/>
  <c r="E27" i="59"/>
  <c r="F27" i="59" s="1"/>
  <c r="BM26" i="59"/>
  <c r="BG26" i="59"/>
  <c r="BA26" i="59"/>
  <c r="AU26" i="59"/>
  <c r="AO26" i="59"/>
  <c r="AI26" i="59"/>
  <c r="AJ26" i="59" s="1"/>
  <c r="Q26" i="59"/>
  <c r="R26" i="59" s="1"/>
  <c r="K26" i="59"/>
  <c r="L26" i="59" s="1"/>
  <c r="F26" i="59"/>
  <c r="E26" i="59"/>
  <c r="BJ25" i="59"/>
  <c r="BN25" i="59" s="1"/>
  <c r="BD25" i="59"/>
  <c r="BH25" i="59" s="1"/>
  <c r="AX25" i="59"/>
  <c r="BB25" i="59" s="1"/>
  <c r="AR25" i="59"/>
  <c r="AU25" i="59" s="1"/>
  <c r="AO25" i="59"/>
  <c r="U25" i="59"/>
  <c r="Q25" i="59"/>
  <c r="R25" i="59" s="1"/>
  <c r="J25" i="59"/>
  <c r="K25" i="59" s="1"/>
  <c r="L25" i="59" s="1"/>
  <c r="E25" i="59"/>
  <c r="F25" i="59" s="1"/>
  <c r="BJ24" i="59"/>
  <c r="BN24" i="59" s="1"/>
  <c r="BD24" i="59"/>
  <c r="BH24" i="59" s="1"/>
  <c r="AX24" i="59"/>
  <c r="BA24" i="59" s="1"/>
  <c r="AR24" i="59"/>
  <c r="AU24" i="59" s="1"/>
  <c r="AP24" i="59"/>
  <c r="U24" i="59"/>
  <c r="Q24" i="59"/>
  <c r="Q23" i="59" s="1"/>
  <c r="J24" i="59"/>
  <c r="K24" i="59" s="1"/>
  <c r="E24" i="59"/>
  <c r="F24" i="59" s="1"/>
  <c r="BO23" i="59"/>
  <c r="BL23" i="59"/>
  <c r="BI23" i="59"/>
  <c r="BF23" i="59"/>
  <c r="BC23" i="59"/>
  <c r="AZ23" i="59"/>
  <c r="AW23" i="59"/>
  <c r="AT23" i="59"/>
  <c r="AQ23" i="59"/>
  <c r="AN23" i="59"/>
  <c r="AK23" i="59"/>
  <c r="AH23" i="59"/>
  <c r="AE23" i="59"/>
  <c r="AB23" i="59"/>
  <c r="Y23" i="59"/>
  <c r="V23" i="59"/>
  <c r="S23" i="59"/>
  <c r="P23" i="59"/>
  <c r="O23" i="59"/>
  <c r="N23" i="59"/>
  <c r="M23" i="59"/>
  <c r="H23" i="59"/>
  <c r="I23" i="59" s="1"/>
  <c r="G23" i="59"/>
  <c r="E23" i="59"/>
  <c r="D23" i="59"/>
  <c r="C23" i="59"/>
  <c r="AI22" i="59"/>
  <c r="AJ22" i="59" s="1"/>
  <c r="R22" i="59"/>
  <c r="Q22" i="59"/>
  <c r="K22" i="59"/>
  <c r="L22" i="59" s="1"/>
  <c r="E22" i="59"/>
  <c r="F22" i="59" s="1"/>
  <c r="BJ21" i="59"/>
  <c r="BN21" i="59" s="1"/>
  <c r="BD21" i="59"/>
  <c r="AX21" i="59"/>
  <c r="BB21" i="59" s="1"/>
  <c r="AR21" i="59"/>
  <c r="AV21" i="59" s="1"/>
  <c r="AP21" i="59"/>
  <c r="AC21" i="59"/>
  <c r="AD21" i="59" s="1"/>
  <c r="U21" i="59"/>
  <c r="W21" i="59"/>
  <c r="X21" i="59" s="1"/>
  <c r="Q21" i="59"/>
  <c r="R21" i="59" s="1"/>
  <c r="K21" i="59"/>
  <c r="L21" i="59" s="1"/>
  <c r="F21" i="59"/>
  <c r="E21" i="59"/>
  <c r="BN20" i="59"/>
  <c r="BM20" i="59"/>
  <c r="BH20" i="59"/>
  <c r="BG20" i="59"/>
  <c r="BB20" i="59"/>
  <c r="BA20" i="59"/>
  <c r="AV20" i="59"/>
  <c r="AU20" i="59"/>
  <c r="AP20" i="59"/>
  <c r="AO20" i="59"/>
  <c r="AI20" i="59"/>
  <c r="AJ20" i="59" s="1"/>
  <c r="Q20" i="59"/>
  <c r="R20" i="59" s="1"/>
  <c r="K20" i="59"/>
  <c r="L20" i="59" s="1"/>
  <c r="E20" i="59"/>
  <c r="F20" i="59" s="1"/>
  <c r="BJ19" i="59"/>
  <c r="BN19" i="59" s="1"/>
  <c r="BD19" i="59"/>
  <c r="BH19" i="59" s="1"/>
  <c r="AX19" i="59"/>
  <c r="BB19" i="59" s="1"/>
  <c r="AR19" i="59"/>
  <c r="AV19" i="59" s="1"/>
  <c r="AP19" i="59"/>
  <c r="AC19" i="59"/>
  <c r="AD19" i="59" s="1"/>
  <c r="W19" i="59"/>
  <c r="X19" i="59" s="1"/>
  <c r="Q19" i="59"/>
  <c r="R19" i="59" s="1"/>
  <c r="K19" i="59"/>
  <c r="L19" i="59" s="1"/>
  <c r="E19" i="59"/>
  <c r="F19" i="59" s="1"/>
  <c r="BJ18" i="59"/>
  <c r="BM18" i="59" s="1"/>
  <c r="BD18" i="59"/>
  <c r="BH18" i="59" s="1"/>
  <c r="AX18" i="59"/>
  <c r="BB18" i="59" s="1"/>
  <c r="AR18" i="59"/>
  <c r="AP18" i="59"/>
  <c r="AO18" i="59"/>
  <c r="AI18" i="59"/>
  <c r="AC18" i="59"/>
  <c r="W18" i="59"/>
  <c r="R18" i="59"/>
  <c r="Q18" i="59"/>
  <c r="K18" i="59"/>
  <c r="L18" i="59" s="1"/>
  <c r="C18" i="59"/>
  <c r="E18" i="59" s="1"/>
  <c r="BO17" i="59"/>
  <c r="BL17" i="59"/>
  <c r="BI17" i="59"/>
  <c r="BF17" i="59"/>
  <c r="BC17" i="59"/>
  <c r="AZ17" i="59"/>
  <c r="AW17" i="59"/>
  <c r="AT17" i="59"/>
  <c r="AQ17" i="59"/>
  <c r="AN17" i="59"/>
  <c r="AL17" i="59"/>
  <c r="AZ11" i="18" s="1"/>
  <c r="AK17" i="59"/>
  <c r="AH17" i="59"/>
  <c r="AE17" i="59"/>
  <c r="AB17" i="59"/>
  <c r="Y17" i="59"/>
  <c r="V17" i="59"/>
  <c r="S17" i="59"/>
  <c r="P17" i="59"/>
  <c r="N17" i="59"/>
  <c r="M17" i="59"/>
  <c r="J17" i="59"/>
  <c r="H17" i="59"/>
  <c r="I17" i="59" s="1"/>
  <c r="G17" i="59"/>
  <c r="D17" i="59"/>
  <c r="C17" i="59"/>
  <c r="AJ16" i="59"/>
  <c r="Q16" i="59"/>
  <c r="P16" i="59"/>
  <c r="J16" i="59"/>
  <c r="K16" i="59" s="1"/>
  <c r="L16" i="59" s="1"/>
  <c r="D16" i="59"/>
  <c r="E16" i="59" s="1"/>
  <c r="BM15" i="59"/>
  <c r="BG15" i="59"/>
  <c r="BA15" i="59"/>
  <c r="AU15" i="59"/>
  <c r="AO15" i="59"/>
  <c r="AC15" i="59"/>
  <c r="AD15" i="59" s="1"/>
  <c r="W15" i="59"/>
  <c r="X15" i="59" s="1"/>
  <c r="U15" i="59"/>
  <c r="R15" i="59"/>
  <c r="Q15" i="59"/>
  <c r="K15" i="59"/>
  <c r="L15" i="59" s="1"/>
  <c r="F15" i="59"/>
  <c r="E15" i="59"/>
  <c r="BJ14" i="59"/>
  <c r="BN14" i="59" s="1"/>
  <c r="BD14" i="59"/>
  <c r="BH14" i="59" s="1"/>
  <c r="AX14" i="59"/>
  <c r="BB14" i="59" s="1"/>
  <c r="AR14" i="59"/>
  <c r="AV14" i="59" s="1"/>
  <c r="AP14" i="59"/>
  <c r="W14" i="59"/>
  <c r="X14" i="59" s="1"/>
  <c r="Q14" i="59"/>
  <c r="R14" i="59" s="1"/>
  <c r="K14" i="59"/>
  <c r="E14" i="59"/>
  <c r="F14" i="59" s="1"/>
  <c r="BJ13" i="59"/>
  <c r="BN13" i="59" s="1"/>
  <c r="BD13" i="59"/>
  <c r="AX13" i="59"/>
  <c r="BA13" i="59" s="1"/>
  <c r="AR13" i="59"/>
  <c r="AV13" i="59" s="1"/>
  <c r="AP13" i="59"/>
  <c r="AO13" i="59"/>
  <c r="AC13" i="59"/>
  <c r="AD13" i="59" s="1"/>
  <c r="AI13" i="59"/>
  <c r="AJ13" i="59" s="1"/>
  <c r="Q13" i="59"/>
  <c r="R13" i="59" s="1"/>
  <c r="K13" i="59"/>
  <c r="L13" i="59" s="1"/>
  <c r="E13" i="59"/>
  <c r="F13" i="59" s="1"/>
  <c r="BJ12" i="59"/>
  <c r="BN12" i="59" s="1"/>
  <c r="BD12" i="59"/>
  <c r="BH12" i="59" s="1"/>
  <c r="AX12" i="59"/>
  <c r="BB12" i="59" s="1"/>
  <c r="AR12" i="59"/>
  <c r="AV12" i="59" s="1"/>
  <c r="AP12" i="59"/>
  <c r="W12" i="59"/>
  <c r="U12" i="59"/>
  <c r="Q12" i="59"/>
  <c r="R12" i="59" s="1"/>
  <c r="K12" i="59"/>
  <c r="L12" i="59" s="1"/>
  <c r="E12" i="59"/>
  <c r="F12" i="59" s="1"/>
  <c r="C12" i="59"/>
  <c r="BO11" i="59"/>
  <c r="BL11" i="59"/>
  <c r="BI11" i="59"/>
  <c r="BF11" i="59"/>
  <c r="BC11" i="59"/>
  <c r="AZ11" i="59"/>
  <c r="AW11" i="59"/>
  <c r="AT11" i="59"/>
  <c r="AQ11" i="59"/>
  <c r="AN11" i="59"/>
  <c r="AK11" i="59"/>
  <c r="AH11" i="59"/>
  <c r="AE11" i="59"/>
  <c r="AB11" i="59"/>
  <c r="Y11" i="59"/>
  <c r="V11" i="59"/>
  <c r="S11" i="59"/>
  <c r="Q11" i="59"/>
  <c r="P11" i="59"/>
  <c r="N11" i="59"/>
  <c r="M11" i="59"/>
  <c r="H11" i="59"/>
  <c r="I11" i="59" s="1"/>
  <c r="G11" i="59"/>
  <c r="C11" i="59"/>
  <c r="H3" i="59"/>
  <c r="I19" i="61" l="1"/>
  <c r="J19" i="61" s="1"/>
  <c r="K19" i="61" s="1"/>
  <c r="AH37" i="18"/>
  <c r="R24" i="59"/>
  <c r="P51" i="59"/>
  <c r="J16" i="61"/>
  <c r="J15" i="61" s="1"/>
  <c r="I15" i="61"/>
  <c r="I13" i="61" s="1"/>
  <c r="P9" i="59"/>
  <c r="P10" i="59" s="1"/>
  <c r="C9" i="59"/>
  <c r="D49" i="59"/>
  <c r="R17" i="59"/>
  <c r="L73" i="59"/>
  <c r="D8" i="60"/>
  <c r="D7" i="60" s="1"/>
  <c r="AG38" i="18"/>
  <c r="O8" i="20"/>
  <c r="Q9" i="20"/>
  <c r="AC9" i="20" s="1"/>
  <c r="Q19" i="20"/>
  <c r="AC19" i="20" s="1"/>
  <c r="P14" i="20"/>
  <c r="AG33" i="18"/>
  <c r="E28" i="59"/>
  <c r="G9" i="59"/>
  <c r="G10" i="59" s="1"/>
  <c r="J9" i="61"/>
  <c r="AH32" i="18"/>
  <c r="AH31" i="18" s="1"/>
  <c r="I28" i="59"/>
  <c r="H15" i="60"/>
  <c r="AF31" i="19"/>
  <c r="L26" i="61"/>
  <c r="H37" i="18"/>
  <c r="K37" i="18" s="1"/>
  <c r="AH10" i="18"/>
  <c r="AF33" i="19"/>
  <c r="Q34" i="61"/>
  <c r="J23" i="59"/>
  <c r="H58" i="59"/>
  <c r="K58" i="59" s="1"/>
  <c r="F15" i="60"/>
  <c r="F26" i="60"/>
  <c r="AH11" i="18"/>
  <c r="AH12" i="18"/>
  <c r="AH34" i="19"/>
  <c r="R23" i="59"/>
  <c r="L36" i="59"/>
  <c r="L41" i="59"/>
  <c r="F12" i="60"/>
  <c r="H12" i="60" s="1"/>
  <c r="AH13" i="18"/>
  <c r="H9" i="61"/>
  <c r="AT11" i="60"/>
  <c r="Z59" i="59"/>
  <c r="AQ38" i="18" s="1"/>
  <c r="O35" i="61"/>
  <c r="K45" i="59"/>
  <c r="L45" i="59" s="1"/>
  <c r="AX38" i="18"/>
  <c r="BD38" i="18" s="1"/>
  <c r="BJ38" i="18" s="1"/>
  <c r="I47" i="59"/>
  <c r="K47" i="59"/>
  <c r="O45" i="59"/>
  <c r="M47" i="59"/>
  <c r="M9" i="59" s="1"/>
  <c r="M8" i="59" s="1"/>
  <c r="D13" i="61"/>
  <c r="X35" i="59"/>
  <c r="AO12" i="60"/>
  <c r="U53" i="60"/>
  <c r="F11" i="60"/>
  <c r="H11" i="60" s="1"/>
  <c r="F38" i="60"/>
  <c r="AO34" i="19"/>
  <c r="L39" i="59"/>
  <c r="O43" i="59"/>
  <c r="I43" i="59"/>
  <c r="U43" i="59"/>
  <c r="F108" i="60"/>
  <c r="K44" i="59"/>
  <c r="L44" i="59" s="1"/>
  <c r="O44" i="59"/>
  <c r="AS40" i="59"/>
  <c r="J9" i="60"/>
  <c r="AJ12" i="60"/>
  <c r="AO11" i="60"/>
  <c r="AV11" i="60" s="1"/>
  <c r="R13" i="61"/>
  <c r="AY40" i="59"/>
  <c r="AY43" i="59"/>
  <c r="BK39" i="59"/>
  <c r="BB28" i="59"/>
  <c r="BN18" i="59"/>
  <c r="BN17" i="59" s="1"/>
  <c r="BD28" i="59"/>
  <c r="AY41" i="59"/>
  <c r="AU21" i="59"/>
  <c r="F30" i="60"/>
  <c r="AR17" i="59"/>
  <c r="AS17" i="59" s="1"/>
  <c r="Q33" i="59"/>
  <c r="R33" i="59" s="1"/>
  <c r="K43" i="59"/>
  <c r="L43" i="59" s="1"/>
  <c r="AU29" i="59"/>
  <c r="N7" i="61"/>
  <c r="AQ28" i="18"/>
  <c r="AI34" i="19"/>
  <c r="N34" i="61"/>
  <c r="P34" i="61" s="1"/>
  <c r="AO41" i="19"/>
  <c r="X33" i="59"/>
  <c r="Z22" i="20"/>
  <c r="AC22" i="20" s="1"/>
  <c r="Z12" i="20"/>
  <c r="AC12" i="20" s="1"/>
  <c r="X17" i="20"/>
  <c r="Y17" i="20"/>
  <c r="F5" i="61"/>
  <c r="Q58" i="59"/>
  <c r="N58" i="59" s="1"/>
  <c r="U58" i="59" s="1"/>
  <c r="AO37" i="18"/>
  <c r="L19" i="61" s="1"/>
  <c r="BJ11" i="59"/>
  <c r="BG18" i="59"/>
  <c r="AV24" i="59"/>
  <c r="AR11" i="59"/>
  <c r="AS41" i="59"/>
  <c r="BD17" i="59"/>
  <c r="AX23" i="59"/>
  <c r="BJ28" i="59"/>
  <c r="BN11" i="59"/>
  <c r="Q29" i="59"/>
  <c r="L12" i="61" s="1"/>
  <c r="AU41" i="59"/>
  <c r="AV41" i="59" s="1"/>
  <c r="N33" i="18"/>
  <c r="BK36" i="59"/>
  <c r="R40" i="59"/>
  <c r="R41" i="59"/>
  <c r="AY45" i="59"/>
  <c r="AJ11" i="60"/>
  <c r="T5" i="61"/>
  <c r="C13" i="61"/>
  <c r="AU23" i="59"/>
  <c r="H11" i="61"/>
  <c r="T13" i="61"/>
  <c r="G13" i="61"/>
  <c r="F11" i="61"/>
  <c r="K14" i="61"/>
  <c r="S5" i="61"/>
  <c r="K12" i="61"/>
  <c r="S13" i="61"/>
  <c r="V35" i="61"/>
  <c r="E21" i="61"/>
  <c r="J22" i="61"/>
  <c r="D5" i="61"/>
  <c r="R9" i="61"/>
  <c r="R8" i="61" s="1"/>
  <c r="T9" i="61"/>
  <c r="K15" i="61"/>
  <c r="F22" i="61"/>
  <c r="F21" i="61" s="1"/>
  <c r="J11" i="61"/>
  <c r="K35" i="61"/>
  <c r="R5" i="61"/>
  <c r="E49" i="61"/>
  <c r="E50" i="61" s="1"/>
  <c r="C5" i="61"/>
  <c r="F13" i="61"/>
  <c r="T22" i="61"/>
  <c r="T21" i="61" s="1"/>
  <c r="C11" i="61"/>
  <c r="U22" i="61"/>
  <c r="U57" i="61" s="1"/>
  <c r="C22" i="61"/>
  <c r="C21" i="61" s="1"/>
  <c r="R22" i="61"/>
  <c r="R21" i="61" s="1"/>
  <c r="D22" i="61"/>
  <c r="D21" i="61" s="1"/>
  <c r="U5" i="61"/>
  <c r="E5" i="61"/>
  <c r="J13" i="61"/>
  <c r="H8" i="61"/>
  <c r="E11" i="61"/>
  <c r="U13" i="61"/>
  <c r="K30" i="61"/>
  <c r="K31" i="61"/>
  <c r="C48" i="61"/>
  <c r="G11" i="61"/>
  <c r="D9" i="61"/>
  <c r="I11" i="61"/>
  <c r="S11" i="61"/>
  <c r="S22" i="61"/>
  <c r="S21" i="61" s="1"/>
  <c r="C9" i="61"/>
  <c r="C8" i="61" s="1"/>
  <c r="S9" i="61"/>
  <c r="S8" i="61" s="1"/>
  <c r="R11" i="61"/>
  <c r="K7" i="61"/>
  <c r="E9" i="61"/>
  <c r="E8" i="61" s="1"/>
  <c r="U9" i="61"/>
  <c r="U8" i="61" s="1"/>
  <c r="U11" i="61"/>
  <c r="K27" i="61"/>
  <c r="K49" i="60"/>
  <c r="W116" i="60"/>
  <c r="X116" i="60" s="1"/>
  <c r="L37" i="59"/>
  <c r="O11" i="59"/>
  <c r="J11" i="59"/>
  <c r="AG31" i="18"/>
  <c r="K33" i="18"/>
  <c r="L33" i="18" s="1"/>
  <c r="H31" i="18"/>
  <c r="I31" i="18" s="1"/>
  <c r="Q34" i="18"/>
  <c r="Q33" i="18" s="1"/>
  <c r="Q31" i="18" s="1"/>
  <c r="R33" i="18"/>
  <c r="R31" i="18" s="1"/>
  <c r="N32" i="18"/>
  <c r="AL34" i="18"/>
  <c r="AF31" i="18"/>
  <c r="AI34" i="18"/>
  <c r="BN32" i="18"/>
  <c r="AJ32" i="18"/>
  <c r="AC35" i="18"/>
  <c r="AD35" i="18" s="1"/>
  <c r="F31" i="18"/>
  <c r="E35" i="18"/>
  <c r="E33" i="18" s="1"/>
  <c r="E31" i="18" s="1"/>
  <c r="L32" i="18"/>
  <c r="BG32" i="18"/>
  <c r="K34" i="18"/>
  <c r="L34" i="18" s="1"/>
  <c r="T35" i="18"/>
  <c r="AC34" i="18"/>
  <c r="AY11" i="60"/>
  <c r="BA11" i="60" s="1"/>
  <c r="I9" i="60"/>
  <c r="AT12" i="60"/>
  <c r="AY13" i="60"/>
  <c r="AJ13" i="60"/>
  <c r="C17" i="60"/>
  <c r="C14" i="60" s="1"/>
  <c r="F23" i="60"/>
  <c r="H23" i="60" s="1"/>
  <c r="H22" i="60"/>
  <c r="H26" i="60"/>
  <c r="J17" i="60"/>
  <c r="J14" i="60" s="1"/>
  <c r="I51" i="60"/>
  <c r="AT13" i="60"/>
  <c r="H29" i="60"/>
  <c r="W30" i="60"/>
  <c r="F20" i="60"/>
  <c r="H20" i="60" s="1"/>
  <c r="AG38" i="59"/>
  <c r="AG40" i="59"/>
  <c r="BC41" i="59"/>
  <c r="BB41" i="59" s="1"/>
  <c r="BE45" i="59"/>
  <c r="O47" i="59"/>
  <c r="BK47" i="59"/>
  <c r="L17" i="59"/>
  <c r="BK37" i="59"/>
  <c r="BB13" i="59"/>
  <c r="BB11" i="59" s="1"/>
  <c r="Z11" i="59"/>
  <c r="AQ10" i="18" s="1"/>
  <c r="BG14" i="59"/>
  <c r="AP17" i="59"/>
  <c r="BM19" i="59"/>
  <c r="AO21" i="59"/>
  <c r="BD23" i="59"/>
  <c r="F23" i="59"/>
  <c r="BG24" i="59"/>
  <c r="AV25" i="59"/>
  <c r="BO29" i="59"/>
  <c r="BO28" i="59" s="1"/>
  <c r="BM30" i="59"/>
  <c r="AV28" i="59"/>
  <c r="U34" i="59"/>
  <c r="U36" i="59"/>
  <c r="R39" i="59"/>
  <c r="Q39" i="59" s="1"/>
  <c r="AY39" i="59"/>
  <c r="BA40" i="59"/>
  <c r="U41" i="59"/>
  <c r="BM41" i="59"/>
  <c r="BN41" i="59" s="1"/>
  <c r="R43" i="59"/>
  <c r="AU45" i="59"/>
  <c r="AV45" i="59" s="1"/>
  <c r="BK45" i="59"/>
  <c r="AK47" i="59"/>
  <c r="BE40" i="59"/>
  <c r="W41" i="59"/>
  <c r="U13" i="59"/>
  <c r="AU14" i="59"/>
  <c r="AI21" i="59"/>
  <c r="AJ21" i="59" s="1"/>
  <c r="BA21" i="59"/>
  <c r="BB24" i="59"/>
  <c r="BB23" i="59" s="1"/>
  <c r="AP25" i="59"/>
  <c r="AP23" i="59" s="1"/>
  <c r="AO28" i="59"/>
  <c r="BI30" i="59"/>
  <c r="BI28" i="59" s="1"/>
  <c r="S34" i="59"/>
  <c r="Q36" i="59"/>
  <c r="R37" i="59"/>
  <c r="AP11" i="59"/>
  <c r="BB17" i="59"/>
  <c r="BM25" i="59"/>
  <c r="AL28" i="59"/>
  <c r="AZ13" i="18" s="1"/>
  <c r="BM36" i="59"/>
  <c r="BN36" i="59" s="1"/>
  <c r="AX17" i="59"/>
  <c r="AS34" i="59"/>
  <c r="BA12" i="59"/>
  <c r="AO14" i="59"/>
  <c r="AU19" i="59"/>
  <c r="BM24" i="59"/>
  <c r="W25" i="59"/>
  <c r="X25" i="59" s="1"/>
  <c r="BA25" i="59"/>
  <c r="BA23" i="59" s="1"/>
  <c r="N28" i="59"/>
  <c r="N9" i="59" s="1"/>
  <c r="N94" i="59" s="1"/>
  <c r="S29" i="59"/>
  <c r="U33" i="59"/>
  <c r="Y34" i="59"/>
  <c r="Y36" i="59"/>
  <c r="X36" i="59" s="1"/>
  <c r="AY36" i="59"/>
  <c r="W37" i="59"/>
  <c r="V38" i="59"/>
  <c r="W38" i="59" s="1"/>
  <c r="X38" i="59" s="1"/>
  <c r="BE43" i="59"/>
  <c r="BG12" i="59"/>
  <c r="K11" i="59"/>
  <c r="BG25" i="59"/>
  <c r="BG29" i="59"/>
  <c r="BG28" i="59" s="1"/>
  <c r="BM31" i="59"/>
  <c r="BN31" i="59" s="1"/>
  <c r="BN28" i="59" s="1"/>
  <c r="Q34" i="59"/>
  <c r="BA34" i="59"/>
  <c r="BB34" i="59" s="1"/>
  <c r="W13" i="59"/>
  <c r="X13" i="59" s="1"/>
  <c r="BG19" i="59"/>
  <c r="W24" i="59"/>
  <c r="AX11" i="59"/>
  <c r="K17" i="59"/>
  <c r="AI19" i="59"/>
  <c r="AJ19" i="59" s="1"/>
  <c r="AC24" i="59"/>
  <c r="AQ29" i="59"/>
  <c r="AQ28" i="59" s="1"/>
  <c r="BG34" i="59"/>
  <c r="BH34" i="59" s="1"/>
  <c r="BD11" i="59"/>
  <c r="AR23" i="59"/>
  <c r="BN23" i="59"/>
  <c r="BJ17" i="59"/>
  <c r="BJ23" i="59"/>
  <c r="AM36" i="59"/>
  <c r="BG40" i="59"/>
  <c r="AA41" i="59"/>
  <c r="D11" i="61"/>
  <c r="T11" i="61"/>
  <c r="E57" i="61"/>
  <c r="F9" i="61"/>
  <c r="G9" i="61"/>
  <c r="K10" i="61"/>
  <c r="T49" i="61"/>
  <c r="T50" i="61" s="1"/>
  <c r="I9" i="61"/>
  <c r="H10" i="60"/>
  <c r="AR35" i="60"/>
  <c r="F18" i="60"/>
  <c r="I17" i="60"/>
  <c r="I14" i="60" s="1"/>
  <c r="F16" i="60"/>
  <c r="H19" i="60"/>
  <c r="H27" i="60"/>
  <c r="K107" i="60"/>
  <c r="U108" i="60"/>
  <c r="F28" i="60"/>
  <c r="H34" i="60"/>
  <c r="H24" i="60"/>
  <c r="Y49" i="60"/>
  <c r="F25" i="60"/>
  <c r="U51" i="60"/>
  <c r="U116" i="60"/>
  <c r="M29" i="60"/>
  <c r="AV11" i="59"/>
  <c r="R11" i="59"/>
  <c r="F18" i="59"/>
  <c r="F17" i="59" s="1"/>
  <c r="E17" i="59"/>
  <c r="AJ18" i="59"/>
  <c r="AI12" i="59"/>
  <c r="X18" i="59"/>
  <c r="F16" i="59"/>
  <c r="F11" i="59" s="1"/>
  <c r="E11" i="59"/>
  <c r="E9" i="59" s="1"/>
  <c r="BK43" i="59"/>
  <c r="R56" i="59"/>
  <c r="AO35" i="18" s="1"/>
  <c r="L17" i="61" s="1"/>
  <c r="M17" i="61" s="1"/>
  <c r="N54" i="59"/>
  <c r="G8" i="59"/>
  <c r="G60" i="59" s="1"/>
  <c r="D11" i="59"/>
  <c r="D9" i="59" s="1"/>
  <c r="O17" i="59"/>
  <c r="AI37" i="59"/>
  <c r="AM37" i="59"/>
  <c r="BK38" i="59"/>
  <c r="BF38" i="59"/>
  <c r="BE38" i="59"/>
  <c r="BE48" i="59"/>
  <c r="BH48" i="59"/>
  <c r="BG48" i="59" s="1"/>
  <c r="K23" i="59"/>
  <c r="L24" i="59"/>
  <c r="L23" i="59" s="1"/>
  <c r="H9" i="59"/>
  <c r="AL11" i="59"/>
  <c r="AZ10" i="18" s="1"/>
  <c r="X12" i="59"/>
  <c r="AO12" i="59"/>
  <c r="BG13" i="59"/>
  <c r="L14" i="59"/>
  <c r="L11" i="59" s="1"/>
  <c r="AC14" i="59"/>
  <c r="AD14" i="59" s="1"/>
  <c r="Q17" i="59"/>
  <c r="AD18" i="59"/>
  <c r="AU18" i="59"/>
  <c r="AU36" i="59"/>
  <c r="AV36" i="59" s="1"/>
  <c r="AS36" i="59"/>
  <c r="Q86" i="59"/>
  <c r="R38" i="59"/>
  <c r="W40" i="59"/>
  <c r="U40" i="59"/>
  <c r="W53" i="59"/>
  <c r="BH13" i="59"/>
  <c r="BH11" i="59" s="1"/>
  <c r="AV18" i="59"/>
  <c r="AV17" i="59" s="1"/>
  <c r="AI25" i="59"/>
  <c r="AJ25" i="59" s="1"/>
  <c r="AC25" i="59"/>
  <c r="AD25" i="59" s="1"/>
  <c r="F29" i="59"/>
  <c r="F28" i="59" s="1"/>
  <c r="AP28" i="59"/>
  <c r="N88" i="59"/>
  <c r="N89" i="59" s="1"/>
  <c r="N90" i="59" s="1"/>
  <c r="AC12" i="59"/>
  <c r="AU13" i="59"/>
  <c r="AI14" i="59"/>
  <c r="AJ14" i="59" s="1"/>
  <c r="BM14" i="59"/>
  <c r="U19" i="59"/>
  <c r="BA19" i="59"/>
  <c r="AB49" i="59"/>
  <c r="AC49" i="59" s="1"/>
  <c r="AD49" i="59" s="1"/>
  <c r="AA49" i="59"/>
  <c r="BH21" i="59"/>
  <c r="BH17" i="59" s="1"/>
  <c r="BG21" i="59"/>
  <c r="AU12" i="59"/>
  <c r="BM13" i="59"/>
  <c r="U18" i="59"/>
  <c r="BA18" i="59"/>
  <c r="X29" i="59"/>
  <c r="BC28" i="59"/>
  <c r="BE37" i="59"/>
  <c r="BA37" i="59"/>
  <c r="AY37" i="59"/>
  <c r="AU38" i="59"/>
  <c r="AV38" i="59" s="1"/>
  <c r="AU44" i="59"/>
  <c r="AV44" i="59" s="1"/>
  <c r="AS44" i="59"/>
  <c r="AU47" i="59"/>
  <c r="AW47" i="59"/>
  <c r="BM12" i="59"/>
  <c r="U14" i="59"/>
  <c r="BA14" i="59"/>
  <c r="AO19" i="59"/>
  <c r="BH23" i="59"/>
  <c r="AK29" i="59"/>
  <c r="AI29" i="59"/>
  <c r="J28" i="59"/>
  <c r="J9" i="59" s="1"/>
  <c r="K30" i="59"/>
  <c r="AR28" i="59"/>
  <c r="AW30" i="59"/>
  <c r="AW28" i="59" s="1"/>
  <c r="AU30" i="59"/>
  <c r="AM34" i="59"/>
  <c r="BG36" i="59"/>
  <c r="BH36" i="59" s="1"/>
  <c r="BE36" i="59"/>
  <c r="T28" i="59"/>
  <c r="AP13" i="18" s="1"/>
  <c r="Y30" i="59"/>
  <c r="Y28" i="59" s="1"/>
  <c r="W30" i="59"/>
  <c r="W28" i="59" s="1"/>
  <c r="U30" i="59"/>
  <c r="AO24" i="59"/>
  <c r="AO23" i="59" s="1"/>
  <c r="AL23" i="59"/>
  <c r="AZ12" i="18" s="1"/>
  <c r="BH28" i="59"/>
  <c r="AI41" i="59"/>
  <c r="AG41" i="59"/>
  <c r="AK41" i="59"/>
  <c r="S30" i="59"/>
  <c r="R30" i="59" s="1"/>
  <c r="BE34" i="59"/>
  <c r="BO34" i="59"/>
  <c r="BN34" i="59" s="1"/>
  <c r="AS38" i="59"/>
  <c r="AA40" i="59"/>
  <c r="AO44" i="59"/>
  <c r="AP44" i="59" s="1"/>
  <c r="AM44" i="59"/>
  <c r="BB48" i="59"/>
  <c r="BA48" i="59" s="1"/>
  <c r="AY48" i="59"/>
  <c r="Q49" i="59"/>
  <c r="R49" i="59" s="1"/>
  <c r="N73" i="59"/>
  <c r="S36" i="59"/>
  <c r="AB38" i="59"/>
  <c r="AO40" i="59"/>
  <c r="U47" i="59"/>
  <c r="W47" i="59"/>
  <c r="BN48" i="59"/>
  <c r="BM48" i="59" s="1"/>
  <c r="BK48" i="59"/>
  <c r="W34" i="59"/>
  <c r="AY34" i="59"/>
  <c r="AM38" i="59"/>
  <c r="BE39" i="59"/>
  <c r="AM40" i="59"/>
  <c r="W44" i="59"/>
  <c r="X44" i="59" s="1"/>
  <c r="U44" i="59"/>
  <c r="BA44" i="59"/>
  <c r="BB44" i="59" s="1"/>
  <c r="AY44" i="59"/>
  <c r="U48" i="59"/>
  <c r="X48" i="59"/>
  <c r="N77" i="59"/>
  <c r="AM41" i="59"/>
  <c r="BG44" i="59"/>
  <c r="BH44" i="59" s="1"/>
  <c r="BE44" i="59"/>
  <c r="Y47" i="59"/>
  <c r="AY47" i="59"/>
  <c r="AD48" i="59"/>
  <c r="AC48" i="59" s="1"/>
  <c r="AA48" i="59"/>
  <c r="O51" i="59"/>
  <c r="J51" i="59"/>
  <c r="BM21" i="59"/>
  <c r="AX28" i="59"/>
  <c r="BA30" i="59"/>
  <c r="U31" i="59"/>
  <c r="U32" i="59"/>
  <c r="BK34" i="59"/>
  <c r="AS37" i="59"/>
  <c r="AY38" i="59"/>
  <c r="O40" i="59"/>
  <c r="BM40" i="59"/>
  <c r="BG41" i="59"/>
  <c r="BE41" i="59"/>
  <c r="BK41" i="59"/>
  <c r="AS43" i="59"/>
  <c r="AC44" i="59"/>
  <c r="AD44" i="59" s="1"/>
  <c r="AA44" i="59"/>
  <c r="AG48" i="59"/>
  <c r="AJ48" i="59"/>
  <c r="AI48" i="59" s="1"/>
  <c r="U50" i="59"/>
  <c r="V50" i="59"/>
  <c r="U51" i="59"/>
  <c r="V51" i="59"/>
  <c r="BA29" i="59"/>
  <c r="O36" i="59"/>
  <c r="AZ38" i="59"/>
  <c r="BK40" i="59"/>
  <c r="AD41" i="59"/>
  <c r="BI41" i="59"/>
  <c r="AM43" i="59"/>
  <c r="AI44" i="59"/>
  <c r="AJ44" i="59" s="1"/>
  <c r="AG44" i="59"/>
  <c r="BM44" i="59"/>
  <c r="BN44" i="59" s="1"/>
  <c r="BK44" i="59"/>
  <c r="X73" i="59"/>
  <c r="AP48" i="59"/>
  <c r="AO48" i="59" s="1"/>
  <c r="AM48" i="59"/>
  <c r="K55" i="59"/>
  <c r="L55" i="59" s="1"/>
  <c r="H54" i="59"/>
  <c r="AS48" i="59"/>
  <c r="AV48" i="59"/>
  <c r="AU48" i="59" s="1"/>
  <c r="AB50" i="59"/>
  <c r="AB51" i="59"/>
  <c r="AA51" i="59"/>
  <c r="R67" i="59"/>
  <c r="Q53" i="59"/>
  <c r="F54" i="59"/>
  <c r="F52" i="59" s="1"/>
  <c r="E56" i="59"/>
  <c r="E54" i="59" s="1"/>
  <c r="E52" i="59" s="1"/>
  <c r="O49" i="59"/>
  <c r="AQ41" i="59"/>
  <c r="AP41" i="59" s="1"/>
  <c r="BC47" i="59"/>
  <c r="R55" i="59"/>
  <c r="AO34" i="18" s="1"/>
  <c r="L16" i="61" s="1"/>
  <c r="Q47" i="59"/>
  <c r="BM47" i="59"/>
  <c r="BE47" i="59"/>
  <c r="BG47" i="59"/>
  <c r="C77" i="60" l="1"/>
  <c r="C8" i="60"/>
  <c r="C7" i="60" s="1"/>
  <c r="P8" i="59"/>
  <c r="L31" i="18"/>
  <c r="K31" i="18"/>
  <c r="C10" i="59"/>
  <c r="C8" i="59"/>
  <c r="I20" i="61"/>
  <c r="AH38" i="18"/>
  <c r="J20" i="61" s="1"/>
  <c r="AC33" i="18"/>
  <c r="AC31" i="18" s="1"/>
  <c r="J8" i="60"/>
  <c r="J7" i="60" s="1"/>
  <c r="N31" i="18"/>
  <c r="F9" i="60"/>
  <c r="H9" i="60" s="1"/>
  <c r="BK17" i="59"/>
  <c r="BD9" i="59"/>
  <c r="BD10" i="59" s="1"/>
  <c r="AQ12" i="60"/>
  <c r="AV12" i="60"/>
  <c r="R29" i="59"/>
  <c r="R28" i="59" s="1"/>
  <c r="Q28" i="59"/>
  <c r="Q9" i="59" s="1"/>
  <c r="BE23" i="59"/>
  <c r="BK28" i="59"/>
  <c r="AQ11" i="60"/>
  <c r="AY23" i="59"/>
  <c r="BK23" i="59"/>
  <c r="AU28" i="59"/>
  <c r="AU17" i="59"/>
  <c r="BA11" i="59"/>
  <c r="T57" i="61"/>
  <c r="BG11" i="59"/>
  <c r="F57" i="61"/>
  <c r="BJ9" i="59"/>
  <c r="AY17" i="59"/>
  <c r="BK11" i="59"/>
  <c r="S49" i="61"/>
  <c r="S50" i="61" s="1"/>
  <c r="T52" i="61"/>
  <c r="BG17" i="59"/>
  <c r="AY11" i="59"/>
  <c r="BM17" i="59"/>
  <c r="X11" i="59"/>
  <c r="X34" i="59"/>
  <c r="AA17" i="20"/>
  <c r="AI17" i="59"/>
  <c r="AO11" i="59"/>
  <c r="O28" i="59"/>
  <c r="N91" i="59"/>
  <c r="N71" i="59"/>
  <c r="N84" i="59" s="1"/>
  <c r="N69" i="59"/>
  <c r="BE17" i="59"/>
  <c r="BM28" i="59"/>
  <c r="T8" i="61"/>
  <c r="BA12" i="60"/>
  <c r="M16" i="61"/>
  <c r="L15" i="61"/>
  <c r="AV23" i="59"/>
  <c r="K11" i="61"/>
  <c r="J21" i="61"/>
  <c r="BG23" i="59"/>
  <c r="J49" i="61"/>
  <c r="J50" i="61" s="1"/>
  <c r="J52" i="61"/>
  <c r="K13" i="61"/>
  <c r="D57" i="61"/>
  <c r="D49" i="61"/>
  <c r="D50" i="61" s="1"/>
  <c r="R52" i="61"/>
  <c r="F49" i="61"/>
  <c r="F50" i="61" s="1"/>
  <c r="J57" i="61"/>
  <c r="U49" i="61"/>
  <c r="U50" i="61" s="1"/>
  <c r="U52" i="61"/>
  <c r="W24" i="61"/>
  <c r="W23" i="61"/>
  <c r="U21" i="61"/>
  <c r="E51" i="61"/>
  <c r="E52" i="61"/>
  <c r="S57" i="61"/>
  <c r="C52" i="61"/>
  <c r="R49" i="61"/>
  <c r="R50" i="61" s="1"/>
  <c r="C49" i="61"/>
  <c r="C50" i="61" s="1"/>
  <c r="R57" i="61"/>
  <c r="C57" i="61"/>
  <c r="D52" i="61"/>
  <c r="D8" i="61"/>
  <c r="S52" i="61"/>
  <c r="AS28" i="59"/>
  <c r="AO17" i="59"/>
  <c r="AJ17" i="59"/>
  <c r="AF23" i="59"/>
  <c r="AR12" i="18" s="1"/>
  <c r="M10" i="59"/>
  <c r="M69" i="59" s="1"/>
  <c r="U28" i="59"/>
  <c r="AD34" i="18"/>
  <c r="AJ34" i="18"/>
  <c r="AL35" i="18"/>
  <c r="AL33" i="18" s="1"/>
  <c r="AL31" i="18" s="1"/>
  <c r="AI35" i="18"/>
  <c r="AJ35" i="18" s="1"/>
  <c r="X31" i="18"/>
  <c r="BH32" i="18"/>
  <c r="AO33" i="18"/>
  <c r="I8" i="60"/>
  <c r="I7" i="60" s="1"/>
  <c r="X24" i="59"/>
  <c r="R36" i="59"/>
  <c r="X30" i="59"/>
  <c r="X28" i="59" s="1"/>
  <c r="BM23" i="59"/>
  <c r="W11" i="59"/>
  <c r="AU11" i="59"/>
  <c r="F9" i="59"/>
  <c r="F8" i="59" s="1"/>
  <c r="F60" i="59" s="1"/>
  <c r="AF17" i="59"/>
  <c r="AR11" i="18" s="1"/>
  <c r="BE11" i="59"/>
  <c r="R34" i="59"/>
  <c r="BH41" i="59"/>
  <c r="N8" i="59"/>
  <c r="N10" i="59"/>
  <c r="N97" i="59" s="1"/>
  <c r="G8" i="61"/>
  <c r="F8" i="61"/>
  <c r="F52" i="61"/>
  <c r="I8" i="61"/>
  <c r="K9" i="61"/>
  <c r="H28" i="60"/>
  <c r="H25" i="60"/>
  <c r="H16" i="60"/>
  <c r="AM30" i="60"/>
  <c r="H18" i="60"/>
  <c r="F17" i="60"/>
  <c r="AD24" i="59"/>
  <c r="T53" i="59"/>
  <c r="W48" i="59"/>
  <c r="X70" i="59"/>
  <c r="K28" i="59"/>
  <c r="K9" i="59" s="1"/>
  <c r="L30" i="59"/>
  <c r="L28" i="59" s="1"/>
  <c r="L9" i="59" s="1"/>
  <c r="S28" i="59"/>
  <c r="S9" i="59" s="1"/>
  <c r="AJ12" i="59"/>
  <c r="N53" i="59"/>
  <c r="AO32" i="18" s="1"/>
  <c r="V49" i="59"/>
  <c r="W49" i="59" s="1"/>
  <c r="X49" i="59" s="1"/>
  <c r="U49" i="59"/>
  <c r="J10" i="59"/>
  <c r="D10" i="59"/>
  <c r="D8" i="59"/>
  <c r="D60" i="59" s="1"/>
  <c r="E8" i="59"/>
  <c r="E60" i="59" s="1"/>
  <c r="E10" i="59"/>
  <c r="AI31" i="59"/>
  <c r="AJ31" i="59" s="1"/>
  <c r="P60" i="59"/>
  <c r="P67" i="59"/>
  <c r="H52" i="59"/>
  <c r="I52" i="59" s="1"/>
  <c r="K54" i="59"/>
  <c r="BA28" i="59"/>
  <c r="AY28" i="59"/>
  <c r="BE28" i="59"/>
  <c r="AX9" i="59"/>
  <c r="AR9" i="59"/>
  <c r="AG39" i="59"/>
  <c r="AM39" i="59"/>
  <c r="AI34" i="59"/>
  <c r="AK34" i="59"/>
  <c r="AS11" i="59"/>
  <c r="AL51" i="59"/>
  <c r="AH51" i="59"/>
  <c r="AG51" i="59"/>
  <c r="AJ41" i="59"/>
  <c r="AS23" i="59"/>
  <c r="AJ29" i="59"/>
  <c r="AD12" i="59"/>
  <c r="AD11" i="59" s="1"/>
  <c r="AC11" i="59"/>
  <c r="R54" i="59"/>
  <c r="R52" i="59" s="1"/>
  <c r="Q55" i="59"/>
  <c r="J49" i="59"/>
  <c r="K49" i="59" s="1"/>
  <c r="L49" i="59" s="1"/>
  <c r="I49" i="59"/>
  <c r="BM11" i="59"/>
  <c r="BA17" i="59"/>
  <c r="AK36" i="59"/>
  <c r="AI36" i="59"/>
  <c r="Q87" i="59"/>
  <c r="H76" i="59"/>
  <c r="H10" i="59"/>
  <c r="I9" i="59"/>
  <c r="H8" i="59"/>
  <c r="O9" i="59"/>
  <c r="BG38" i="59"/>
  <c r="BH38" i="59" s="1"/>
  <c r="Q56" i="59"/>
  <c r="AM46" i="59"/>
  <c r="AI46" i="59"/>
  <c r="AJ46" i="59" s="1"/>
  <c r="AF49" i="59"/>
  <c r="AH50" i="59"/>
  <c r="AI32" i="59"/>
  <c r="AJ32" i="59" s="1"/>
  <c r="BA38" i="59"/>
  <c r="BB38" i="59" s="1"/>
  <c r="AC38" i="59"/>
  <c r="AD38" i="59" s="1"/>
  <c r="M60" i="59"/>
  <c r="K20" i="61" l="1"/>
  <c r="J8" i="61"/>
  <c r="K8" i="61" s="1"/>
  <c r="C60" i="59"/>
  <c r="I65" i="59"/>
  <c r="F10" i="59"/>
  <c r="AD33" i="18"/>
  <c r="AD31" i="18" s="1"/>
  <c r="L14" i="61"/>
  <c r="L13" i="61" s="1"/>
  <c r="AP32" i="18"/>
  <c r="M14" i="61" s="1"/>
  <c r="AO31" i="18"/>
  <c r="BE9" i="59"/>
  <c r="BK9" i="59"/>
  <c r="BJ10" i="59"/>
  <c r="BK10" i="59" s="1"/>
  <c r="H60" i="59"/>
  <c r="O7" i="61"/>
  <c r="P7" i="61" s="1"/>
  <c r="AR28" i="18"/>
  <c r="R9" i="59"/>
  <c r="R10" i="59" s="1"/>
  <c r="M15" i="61"/>
  <c r="AJ33" i="18"/>
  <c r="AJ31" i="18" s="1"/>
  <c r="AI33" i="18"/>
  <c r="AI31" i="18" s="1"/>
  <c r="AI24" i="59"/>
  <c r="T34" i="18"/>
  <c r="AM23" i="59"/>
  <c r="N67" i="59"/>
  <c r="P77" i="59"/>
  <c r="AM17" i="59"/>
  <c r="AR30" i="60"/>
  <c r="H17" i="60"/>
  <c r="F14" i="60"/>
  <c r="K10" i="59"/>
  <c r="K69" i="59" s="1"/>
  <c r="K8" i="59"/>
  <c r="I8" i="59"/>
  <c r="O8" i="59"/>
  <c r="AJ36" i="59"/>
  <c r="L54" i="59"/>
  <c r="L52" i="59" s="1"/>
  <c r="K52" i="59"/>
  <c r="J8" i="59"/>
  <c r="J60" i="59" s="1"/>
  <c r="U53" i="59"/>
  <c r="H68" i="59"/>
  <c r="I10" i="59"/>
  <c r="O10" i="59"/>
  <c r="AR10" i="59"/>
  <c r="AR53" i="59"/>
  <c r="Z53" i="59"/>
  <c r="AQ32" i="18" s="1"/>
  <c r="N52" i="59"/>
  <c r="AX53" i="59"/>
  <c r="BJ53" i="59"/>
  <c r="BD53" i="59"/>
  <c r="L10" i="59"/>
  <c r="L69" i="59" s="1"/>
  <c r="L8" i="59"/>
  <c r="Q54" i="59"/>
  <c r="Q52" i="59" s="1"/>
  <c r="AX10" i="59"/>
  <c r="BE10" i="59" s="1"/>
  <c r="AY9" i="59"/>
  <c r="Q10" i="59"/>
  <c r="Q8" i="59"/>
  <c r="L10" i="61" s="1"/>
  <c r="AK33" i="59"/>
  <c r="AI33" i="59"/>
  <c r="AK30" i="59"/>
  <c r="AI30" i="59"/>
  <c r="AF28" i="59"/>
  <c r="AR13" i="18" s="1"/>
  <c r="S10" i="59"/>
  <c r="S8" i="59"/>
  <c r="Q88" i="59"/>
  <c r="Q89" i="59" s="1"/>
  <c r="Q90" i="59" s="1"/>
  <c r="AJ34" i="59"/>
  <c r="AR50" i="59"/>
  <c r="AN50" i="59"/>
  <c r="AL49" i="59"/>
  <c r="AG49" i="59"/>
  <c r="AH49" i="59"/>
  <c r="AI49" i="59" s="1"/>
  <c r="AJ49" i="59" s="1"/>
  <c r="AN51" i="59"/>
  <c r="AR51" i="59"/>
  <c r="R8" i="59" l="1"/>
  <c r="AM49" i="59"/>
  <c r="Q7" i="61"/>
  <c r="AZ28" i="18"/>
  <c r="AJ24" i="59"/>
  <c r="AJ23" i="59" s="1"/>
  <c r="AI23" i="59"/>
  <c r="M13" i="61"/>
  <c r="L9" i="61"/>
  <c r="L11" i="61"/>
  <c r="AY10" i="59"/>
  <c r="AK28" i="59"/>
  <c r="AN49" i="59"/>
  <c r="T33" i="18"/>
  <c r="AJ33" i="59"/>
  <c r="AW30" i="60"/>
  <c r="H14" i="60"/>
  <c r="F8" i="60"/>
  <c r="AT50" i="59"/>
  <c r="AR49" i="59"/>
  <c r="AX50" i="59"/>
  <c r="AM28" i="59"/>
  <c r="BG53" i="59"/>
  <c r="S71" i="59"/>
  <c r="S65" i="59"/>
  <c r="S60" i="59"/>
  <c r="AJ30" i="59"/>
  <c r="AI28" i="59"/>
  <c r="BM53" i="59"/>
  <c r="BA53" i="59"/>
  <c r="K60" i="59"/>
  <c r="K66" i="59" s="1"/>
  <c r="K67" i="59"/>
  <c r="K71" i="59"/>
  <c r="K68" i="59"/>
  <c r="H2" i="59"/>
  <c r="M71" i="59"/>
  <c r="R71" i="59"/>
  <c r="R65" i="59"/>
  <c r="R60" i="59"/>
  <c r="N82" i="59"/>
  <c r="N60" i="59"/>
  <c r="AX51" i="59"/>
  <c r="AT51" i="59"/>
  <c r="Q96" i="59"/>
  <c r="Q60" i="59"/>
  <c r="Q70" i="59"/>
  <c r="Q71" i="59" s="1"/>
  <c r="Q78" i="59"/>
  <c r="Q67" i="59"/>
  <c r="Q69" i="59"/>
  <c r="Q103" i="59"/>
  <c r="Q104" i="59" s="1"/>
  <c r="L60" i="59"/>
  <c r="L71" i="59"/>
  <c r="AC53" i="59"/>
  <c r="N14" i="61" s="1"/>
  <c r="AU53" i="59"/>
  <c r="V7" i="61" l="1"/>
  <c r="L8" i="61"/>
  <c r="AJ28" i="59"/>
  <c r="R70" i="59"/>
  <c r="F50" i="60"/>
  <c r="F7" i="60"/>
  <c r="H8" i="60"/>
  <c r="BB30" i="60"/>
  <c r="AS49" i="59"/>
  <c r="AR8" i="59"/>
  <c r="AT49" i="59"/>
  <c r="AV53" i="59"/>
  <c r="AD53" i="59"/>
  <c r="BN53" i="59"/>
  <c r="AZ51" i="59"/>
  <c r="BD51" i="59"/>
  <c r="BH53" i="59"/>
  <c r="BB53" i="59"/>
  <c r="AX49" i="59"/>
  <c r="BD50" i="59"/>
  <c r="AZ50" i="59"/>
  <c r="AZ49" i="59" l="1"/>
  <c r="G27" i="60"/>
  <c r="G21" i="60"/>
  <c r="G29" i="60"/>
  <c r="G23" i="60"/>
  <c r="H7" i="60"/>
  <c r="G22" i="60"/>
  <c r="G7" i="60"/>
  <c r="G10" i="60"/>
  <c r="G26" i="60"/>
  <c r="G24" i="60"/>
  <c r="G11" i="60"/>
  <c r="G19" i="60"/>
  <c r="G34" i="60"/>
  <c r="G15" i="60"/>
  <c r="G12" i="60"/>
  <c r="G20" i="60"/>
  <c r="G9" i="60"/>
  <c r="G16" i="60"/>
  <c r="G18" i="60"/>
  <c r="G28" i="60"/>
  <c r="G25" i="60"/>
  <c r="G17" i="60"/>
  <c r="G14" i="60"/>
  <c r="G8" i="60"/>
  <c r="AY49" i="59"/>
  <c r="AX8" i="59"/>
  <c r="BF50" i="59"/>
  <c r="BJ50" i="59"/>
  <c r="BD49" i="59"/>
  <c r="BJ51" i="59"/>
  <c r="BL51" i="59" s="1"/>
  <c r="BF51" i="59"/>
  <c r="BF49" i="59" l="1"/>
  <c r="AY8" i="59"/>
  <c r="BL50" i="59"/>
  <c r="BL49" i="59" s="1"/>
  <c r="BJ49" i="59"/>
  <c r="BE49" i="59"/>
  <c r="BD8" i="59"/>
  <c r="BK49" i="59" l="1"/>
  <c r="BJ8" i="59"/>
  <c r="BE8" i="59"/>
  <c r="BK8" i="59" l="1"/>
  <c r="F139" i="19" l="1"/>
  <c r="T44" i="42"/>
  <c r="Q20" i="42"/>
  <c r="Q16" i="42"/>
  <c r="Q17" i="42"/>
  <c r="Q18" i="42"/>
  <c r="Q14" i="42"/>
  <c r="Q11" i="42"/>
  <c r="Q10" i="42"/>
  <c r="N39" i="42"/>
  <c r="N20" i="42"/>
  <c r="N16" i="42"/>
  <c r="N17" i="42"/>
  <c r="N18" i="42"/>
  <c r="N14" i="42"/>
  <c r="N11" i="42"/>
  <c r="N10" i="42"/>
  <c r="K39" i="42"/>
  <c r="K20" i="42"/>
  <c r="T20" i="42" s="1"/>
  <c r="K16" i="42"/>
  <c r="T16" i="42" s="1"/>
  <c r="K17" i="42"/>
  <c r="K14" i="42"/>
  <c r="K11" i="42"/>
  <c r="K10" i="42"/>
  <c r="H39" i="42"/>
  <c r="H20" i="42"/>
  <c r="H16" i="42"/>
  <c r="H17" i="42"/>
  <c r="H18" i="42"/>
  <c r="H15" i="42" s="1"/>
  <c r="G18" i="42"/>
  <c r="H11" i="42"/>
  <c r="H10" i="42"/>
  <c r="E20" i="42"/>
  <c r="E16" i="42"/>
  <c r="E15" i="42" s="1"/>
  <c r="E17" i="42"/>
  <c r="E18" i="42"/>
  <c r="E14" i="42"/>
  <c r="E11" i="42"/>
  <c r="E10" i="42"/>
  <c r="H36" i="39"/>
  <c r="H37" i="39"/>
  <c r="H38" i="39"/>
  <c r="H39" i="39"/>
  <c r="H40" i="39"/>
  <c r="H41" i="39"/>
  <c r="H42" i="39"/>
  <c r="H43" i="39"/>
  <c r="H44" i="39"/>
  <c r="H45" i="39"/>
  <c r="H46" i="39"/>
  <c r="E34" i="39"/>
  <c r="D34" i="39"/>
  <c r="C34" i="39"/>
  <c r="X38" i="41"/>
  <c r="Y38" i="41"/>
  <c r="Q42" i="42" s="1"/>
  <c r="X39" i="41"/>
  <c r="P43" i="42" s="1"/>
  <c r="Y39" i="41"/>
  <c r="Q43" i="42" s="1"/>
  <c r="X31" i="41"/>
  <c r="P33" i="42" s="1"/>
  <c r="X33" i="41"/>
  <c r="P35" i="42" s="1"/>
  <c r="Y33" i="41"/>
  <c r="Q35" i="42" s="1"/>
  <c r="Y34" i="41"/>
  <c r="Q38" i="42" s="1"/>
  <c r="S38" i="41"/>
  <c r="T38" i="41"/>
  <c r="S39" i="41"/>
  <c r="M43" i="42" s="1"/>
  <c r="T39" i="41"/>
  <c r="T31" i="41"/>
  <c r="N33" i="42" s="1"/>
  <c r="S33" i="41"/>
  <c r="M35" i="42" s="1"/>
  <c r="T33" i="41"/>
  <c r="N35" i="42" s="1"/>
  <c r="T34" i="41"/>
  <c r="N38" i="42" s="1"/>
  <c r="O37" i="41"/>
  <c r="N38" i="41"/>
  <c r="J42" i="42" s="1"/>
  <c r="O38" i="41"/>
  <c r="N39" i="41"/>
  <c r="J43" i="42" s="1"/>
  <c r="O39" i="41"/>
  <c r="O36" i="41"/>
  <c r="O34" i="41"/>
  <c r="K38" i="42" s="1"/>
  <c r="O33" i="41"/>
  <c r="K35" i="42" s="1"/>
  <c r="N33" i="41"/>
  <c r="O31" i="41"/>
  <c r="K33" i="42" s="1"/>
  <c r="N31" i="41"/>
  <c r="J33" i="42" s="1"/>
  <c r="O29" i="41"/>
  <c r="K36" i="42" s="1"/>
  <c r="J38" i="41"/>
  <c r="I38" i="41"/>
  <c r="G42" i="42" s="1"/>
  <c r="F42" i="42" s="1"/>
  <c r="I33" i="41"/>
  <c r="G35" i="42" s="1"/>
  <c r="J13" i="41"/>
  <c r="H27" i="42" s="1"/>
  <c r="E39" i="41"/>
  <c r="E38" i="41"/>
  <c r="E42" i="42" s="1"/>
  <c r="E37" i="41"/>
  <c r="E41" i="42" s="1"/>
  <c r="E36" i="41"/>
  <c r="E40" i="42" s="1"/>
  <c r="D38" i="41"/>
  <c r="D42" i="42" s="1"/>
  <c r="E34" i="41"/>
  <c r="E38" i="42" s="1"/>
  <c r="E33" i="41"/>
  <c r="E32" i="41"/>
  <c r="E31" i="41"/>
  <c r="E29" i="41"/>
  <c r="E36" i="42" s="1"/>
  <c r="E21" i="41"/>
  <c r="E19" i="41"/>
  <c r="D31" i="41"/>
  <c r="D32" i="41"/>
  <c r="D33" i="41"/>
  <c r="C33" i="41" s="1"/>
  <c r="E12" i="41"/>
  <c r="E26" i="42" s="1"/>
  <c r="E13" i="41"/>
  <c r="E27" i="42" s="1"/>
  <c r="AU21" i="1"/>
  <c r="AC14" i="40"/>
  <c r="AM49" i="1"/>
  <c r="AO60" i="1"/>
  <c r="Z49" i="40"/>
  <c r="G7" i="39" s="1"/>
  <c r="T48" i="40"/>
  <c r="T49" i="40"/>
  <c r="F7" i="39" s="1"/>
  <c r="T47" i="40"/>
  <c r="T46" i="40"/>
  <c r="T35" i="40"/>
  <c r="T36" i="40"/>
  <c r="T37" i="40"/>
  <c r="T38" i="40"/>
  <c r="T39" i="40"/>
  <c r="T40" i="40"/>
  <c r="T41" i="40"/>
  <c r="T42" i="40"/>
  <c r="T43" i="40"/>
  <c r="T44" i="40"/>
  <c r="T34" i="40"/>
  <c r="AC30" i="40"/>
  <c r="AC31" i="40"/>
  <c r="AC29" i="40"/>
  <c r="T30" i="40"/>
  <c r="T31" i="40"/>
  <c r="T32" i="40"/>
  <c r="T33" i="40"/>
  <c r="T29" i="40"/>
  <c r="AC25" i="40"/>
  <c r="AC26" i="40"/>
  <c r="AC27" i="40"/>
  <c r="AC24" i="40"/>
  <c r="T25" i="40"/>
  <c r="T26" i="40"/>
  <c r="T27" i="40"/>
  <c r="T24" i="40"/>
  <c r="AC19" i="40"/>
  <c r="AC20" i="40"/>
  <c r="AC21" i="40"/>
  <c r="AC22" i="40"/>
  <c r="T19" i="40"/>
  <c r="T20" i="40"/>
  <c r="T21" i="40"/>
  <c r="T22" i="40"/>
  <c r="AC18" i="40"/>
  <c r="T18" i="40"/>
  <c r="AC13" i="40"/>
  <c r="AC15" i="40"/>
  <c r="AD15" i="40" s="1"/>
  <c r="AC16" i="40"/>
  <c r="AC12" i="40"/>
  <c r="T13" i="40"/>
  <c r="T14" i="40"/>
  <c r="T12" i="40"/>
  <c r="R59" i="40"/>
  <c r="J20" i="42" s="1"/>
  <c r="R58" i="40"/>
  <c r="J19" i="42" s="1"/>
  <c r="N57" i="40"/>
  <c r="N49" i="40"/>
  <c r="E7" i="39" s="1"/>
  <c r="N48" i="40"/>
  <c r="N46" i="40"/>
  <c r="N45" i="40"/>
  <c r="N44" i="40"/>
  <c r="N43" i="40"/>
  <c r="N42" i="40"/>
  <c r="N41" i="40"/>
  <c r="N40" i="40"/>
  <c r="N39" i="40"/>
  <c r="N38" i="40"/>
  <c r="N25" i="40"/>
  <c r="N24" i="40"/>
  <c r="N19" i="40"/>
  <c r="N21" i="40"/>
  <c r="N18" i="40"/>
  <c r="N13" i="40"/>
  <c r="N14" i="40"/>
  <c r="N15" i="40"/>
  <c r="N16" i="40"/>
  <c r="N12" i="40"/>
  <c r="Y35" i="1"/>
  <c r="P14" i="36" s="1"/>
  <c r="N14" i="36" s="1"/>
  <c r="H51" i="40"/>
  <c r="H50" i="40"/>
  <c r="H48" i="40"/>
  <c r="H47" i="40"/>
  <c r="H45" i="40"/>
  <c r="H44" i="40"/>
  <c r="H43" i="40"/>
  <c r="H42" i="40"/>
  <c r="H41" i="40"/>
  <c r="H40" i="40"/>
  <c r="H39" i="40"/>
  <c r="H38" i="40"/>
  <c r="J38" i="40" s="1"/>
  <c r="H37" i="40"/>
  <c r="H36" i="40"/>
  <c r="H35" i="40"/>
  <c r="H34" i="40"/>
  <c r="H30" i="40"/>
  <c r="H31" i="40"/>
  <c r="H32" i="40"/>
  <c r="H33" i="40"/>
  <c r="H29" i="40"/>
  <c r="H25" i="40"/>
  <c r="H27" i="40"/>
  <c r="H24" i="40"/>
  <c r="H19" i="40"/>
  <c r="H21" i="40"/>
  <c r="H18" i="40"/>
  <c r="H13" i="40"/>
  <c r="H14" i="40"/>
  <c r="H15" i="40"/>
  <c r="H12" i="40"/>
  <c r="G40" i="40"/>
  <c r="E9" i="42" s="1"/>
  <c r="G58" i="40"/>
  <c r="E19" i="42" s="1"/>
  <c r="C57" i="40"/>
  <c r="C18" i="39" s="1"/>
  <c r="C46" i="40"/>
  <c r="C42" i="40"/>
  <c r="C40" i="40"/>
  <c r="C35" i="40"/>
  <c r="C25" i="40"/>
  <c r="C26" i="40"/>
  <c r="C27" i="40"/>
  <c r="C24" i="40"/>
  <c r="C19" i="40"/>
  <c r="C20" i="40"/>
  <c r="C21" i="40"/>
  <c r="C22" i="40"/>
  <c r="C18" i="40"/>
  <c r="C13" i="40"/>
  <c r="C14" i="40"/>
  <c r="C15" i="40"/>
  <c r="C16" i="40"/>
  <c r="C12" i="40"/>
  <c r="E12" i="40" s="1"/>
  <c r="F12" i="40" s="1"/>
  <c r="E13" i="42" l="1"/>
  <c r="K15" i="42"/>
  <c r="AC11" i="40"/>
  <c r="AC23" i="40"/>
  <c r="T11" i="42"/>
  <c r="T17" i="42"/>
  <c r="Q15" i="42"/>
  <c r="N15" i="42"/>
  <c r="T10" i="42"/>
  <c r="AJ59" i="59"/>
  <c r="AI59" i="59" s="1"/>
  <c r="M20" i="114"/>
  <c r="L7" i="39"/>
  <c r="T18" i="42"/>
  <c r="K7" i="39"/>
  <c r="I20" i="42"/>
  <c r="X59" i="40"/>
  <c r="M20" i="42" s="1"/>
  <c r="L20" i="42" s="1"/>
  <c r="E18" i="39"/>
  <c r="U38" i="41"/>
  <c r="G34" i="39" s="1"/>
  <c r="P38" i="41"/>
  <c r="F34" i="39" s="1"/>
  <c r="H34" i="39" s="1"/>
  <c r="K33" i="41"/>
  <c r="E27" i="39" s="1"/>
  <c r="C32" i="41"/>
  <c r="H7" i="39"/>
  <c r="T35" i="42"/>
  <c r="L35" i="42"/>
  <c r="J35" i="42"/>
  <c r="S35" i="42" s="1"/>
  <c r="P33" i="41"/>
  <c r="F27" i="39" s="1"/>
  <c r="M42" i="42"/>
  <c r="L42" i="42" s="1"/>
  <c r="S43" i="42"/>
  <c r="T38" i="42"/>
  <c r="T42" i="42"/>
  <c r="I42" i="42"/>
  <c r="E39" i="42"/>
  <c r="O35" i="42"/>
  <c r="O43" i="42"/>
  <c r="U33" i="41"/>
  <c r="G27" i="39" s="1"/>
  <c r="P42" i="42"/>
  <c r="K31" i="41"/>
  <c r="E25" i="39" s="1"/>
  <c r="F18" i="42"/>
  <c r="C42" i="42"/>
  <c r="H49" i="40"/>
  <c r="D7" i="39" s="1"/>
  <c r="C38" i="2"/>
  <c r="E35" i="2"/>
  <c r="G35" i="2"/>
  <c r="H35" i="2"/>
  <c r="J35" i="2"/>
  <c r="L35" i="2"/>
  <c r="M35" i="2"/>
  <c r="O35" i="2"/>
  <c r="C27" i="39"/>
  <c r="C25" i="39"/>
  <c r="T15" i="42" l="1"/>
  <c r="S42" i="42"/>
  <c r="L20" i="114"/>
  <c r="H27" i="39"/>
  <c r="I35" i="42"/>
  <c r="O42" i="42"/>
  <c r="R42" i="42" s="1"/>
  <c r="R35" i="42"/>
  <c r="G46" i="24" l="1"/>
  <c r="E8" i="24"/>
  <c r="L8" i="24"/>
  <c r="K8" i="24"/>
  <c r="E29" i="21"/>
  <c r="C29" i="21" s="1"/>
  <c r="E30" i="21"/>
  <c r="E28" i="21"/>
  <c r="D37" i="21"/>
  <c r="D36" i="21"/>
  <c r="D28" i="21"/>
  <c r="D35" i="21"/>
  <c r="D34" i="21"/>
  <c r="D33" i="21"/>
  <c r="E33" i="21"/>
  <c r="E34" i="21"/>
  <c r="E35" i="21"/>
  <c r="E36" i="21"/>
  <c r="E37" i="21"/>
  <c r="E38" i="21"/>
  <c r="C38" i="21" s="1"/>
  <c r="E39" i="21"/>
  <c r="C39" i="21" s="1"/>
  <c r="E40" i="21"/>
  <c r="C40" i="21" s="1"/>
  <c r="E41" i="21"/>
  <c r="C41" i="21" s="1"/>
  <c r="E42" i="21"/>
  <c r="C42" i="21" s="1"/>
  <c r="E43" i="21"/>
  <c r="C43" i="21" s="1"/>
  <c r="E44" i="21"/>
  <c r="C44" i="21" s="1"/>
  <c r="E32" i="21"/>
  <c r="F27" i="21"/>
  <c r="F46" i="21" s="1"/>
  <c r="G27" i="21"/>
  <c r="G46" i="21" s="1"/>
  <c r="H27" i="21"/>
  <c r="H46" i="21" s="1"/>
  <c r="I27" i="21"/>
  <c r="I46" i="21" s="1"/>
  <c r="J27" i="21"/>
  <c r="J46" i="21" s="1"/>
  <c r="K27" i="21"/>
  <c r="K46" i="21" s="1"/>
  <c r="L27" i="21"/>
  <c r="L46" i="21" s="1"/>
  <c r="M27" i="21"/>
  <c r="M46" i="21" s="1"/>
  <c r="N27" i="21"/>
  <c r="N46" i="21" s="1"/>
  <c r="O27" i="21"/>
  <c r="O46" i="21" s="1"/>
  <c r="P27" i="21"/>
  <c r="P46" i="21" s="1"/>
  <c r="Q27" i="21"/>
  <c r="Q46" i="21" s="1"/>
  <c r="C30" i="21"/>
  <c r="E26" i="21"/>
  <c r="D31" i="21" l="1"/>
  <c r="D27" i="21" s="1"/>
  <c r="D46" i="21" s="1"/>
  <c r="C28" i="21"/>
  <c r="C33" i="21"/>
  <c r="C34" i="21"/>
  <c r="C35" i="21"/>
  <c r="E46" i="21"/>
  <c r="E31" i="21"/>
  <c r="E27" i="21" s="1"/>
  <c r="C36" i="21"/>
  <c r="C37" i="21"/>
  <c r="C32" i="21"/>
  <c r="C26" i="21"/>
  <c r="C46" i="21" l="1"/>
  <c r="C27" i="21"/>
  <c r="C31" i="21"/>
  <c r="D8" i="21" l="1"/>
  <c r="E11" i="21"/>
  <c r="C11" i="21" s="1"/>
  <c r="E12" i="21"/>
  <c r="C12" i="21" s="1"/>
  <c r="E13" i="21"/>
  <c r="C13" i="21" s="1"/>
  <c r="E14" i="21"/>
  <c r="C14" i="21" s="1"/>
  <c r="E15" i="21"/>
  <c r="C15" i="21" s="1"/>
  <c r="E16" i="21"/>
  <c r="C16" i="21" s="1"/>
  <c r="C17" i="21"/>
  <c r="E18" i="21"/>
  <c r="C18" i="21" s="1"/>
  <c r="E19" i="21"/>
  <c r="C19" i="21" s="1"/>
  <c r="E20" i="21"/>
  <c r="C20" i="21" s="1"/>
  <c r="E21" i="21"/>
  <c r="C21" i="21" s="1"/>
  <c r="E22" i="21"/>
  <c r="E23" i="21"/>
  <c r="E10" i="21"/>
  <c r="E7" i="21"/>
  <c r="C7" i="21" s="1"/>
  <c r="F8" i="21"/>
  <c r="F9" i="21" s="1"/>
  <c r="G8" i="21"/>
  <c r="G9" i="21" s="1"/>
  <c r="H8" i="21"/>
  <c r="H9" i="21" s="1"/>
  <c r="I8" i="21"/>
  <c r="I9" i="21" s="1"/>
  <c r="J8" i="21"/>
  <c r="J9" i="21" s="1"/>
  <c r="K8" i="21"/>
  <c r="K9" i="21" s="1"/>
  <c r="L8" i="21"/>
  <c r="L9" i="21" s="1"/>
  <c r="M8" i="21"/>
  <c r="M9" i="21" s="1"/>
  <c r="N8" i="21"/>
  <c r="N9" i="21" s="1"/>
  <c r="O8" i="21"/>
  <c r="O9" i="21" s="1"/>
  <c r="P8" i="21"/>
  <c r="P9" i="21" s="1"/>
  <c r="Q8" i="21"/>
  <c r="Q9" i="21" s="1"/>
  <c r="M24" i="21" l="1"/>
  <c r="L24" i="21"/>
  <c r="C10" i="21"/>
  <c r="E8" i="21"/>
  <c r="E9" i="21" s="1"/>
  <c r="D9" i="21"/>
  <c r="D24" i="21"/>
  <c r="K24" i="21"/>
  <c r="J24" i="21"/>
  <c r="Q24" i="21"/>
  <c r="I24" i="21"/>
  <c r="P24" i="21"/>
  <c r="O24" i="21"/>
  <c r="N24" i="21"/>
  <c r="H24" i="21"/>
  <c r="G24" i="21"/>
  <c r="F24" i="21"/>
  <c r="C8" i="21" l="1"/>
  <c r="C9" i="21" s="1"/>
  <c r="E24" i="21"/>
  <c r="C24" i="21" s="1"/>
  <c r="E32" i="51" l="1"/>
  <c r="D32" i="51"/>
  <c r="C31" i="51"/>
  <c r="E28" i="51"/>
  <c r="E24" i="51"/>
  <c r="D11" i="11" l="1"/>
  <c r="D10" i="11" s="1"/>
  <c r="E11" i="11"/>
  <c r="E10" i="11" s="1"/>
  <c r="F11" i="11"/>
  <c r="F10" i="11" s="1"/>
  <c r="G11" i="11"/>
  <c r="G10" i="11" s="1"/>
  <c r="H11" i="11"/>
  <c r="H10" i="11" s="1"/>
  <c r="K106" i="56" l="1"/>
  <c r="M106" i="56"/>
  <c r="C37" i="49"/>
  <c r="C38" i="116"/>
  <c r="C40" i="116" s="1"/>
  <c r="A43" i="11"/>
  <c r="A44" i="11" s="1"/>
  <c r="A45" i="11" s="1"/>
  <c r="A46" i="11" s="1"/>
  <c r="A47" i="11" s="1"/>
  <c r="AB40" i="11"/>
  <c r="AB39" i="11"/>
  <c r="AB38" i="11"/>
  <c r="AB37" i="11"/>
  <c r="AB36" i="11"/>
  <c r="AB35" i="11"/>
  <c r="AB34" i="11"/>
  <c r="AB33" i="11"/>
  <c r="AB32" i="11"/>
  <c r="AB31" i="11"/>
  <c r="AB30" i="11"/>
  <c r="AB29" i="11"/>
  <c r="AB28" i="11"/>
  <c r="AB27" i="11"/>
  <c r="AB26" i="11"/>
  <c r="AB25" i="11"/>
  <c r="AB24" i="11"/>
  <c r="AB23" i="11"/>
  <c r="AB22" i="11"/>
  <c r="AB21" i="11"/>
  <c r="AB20" i="11"/>
  <c r="AB19" i="11"/>
  <c r="AB18" i="11"/>
  <c r="AB17" i="11"/>
  <c r="AB16" i="11"/>
  <c r="AB15" i="11"/>
  <c r="AB14" i="11"/>
  <c r="AB13" i="11"/>
  <c r="AB12" i="11"/>
  <c r="C12" i="11" s="1"/>
  <c r="J40" i="11"/>
  <c r="J39" i="11"/>
  <c r="J38" i="11"/>
  <c r="J37" i="11"/>
  <c r="J36" i="11"/>
  <c r="J35" i="11"/>
  <c r="J34" i="11"/>
  <c r="J33" i="11"/>
  <c r="J32" i="11"/>
  <c r="J31" i="11"/>
  <c r="J30" i="11"/>
  <c r="J29" i="11"/>
  <c r="J28" i="11"/>
  <c r="J27" i="11"/>
  <c r="J26" i="11"/>
  <c r="J25" i="11"/>
  <c r="J24" i="11"/>
  <c r="J23" i="11"/>
  <c r="J22" i="11"/>
  <c r="J21" i="11"/>
  <c r="J20" i="11"/>
  <c r="J19" i="11"/>
  <c r="J18" i="11"/>
  <c r="J17" i="11"/>
  <c r="J16" i="11"/>
  <c r="J15" i="11"/>
  <c r="J14" i="11"/>
  <c r="J13" i="11"/>
  <c r="AD11" i="11"/>
  <c r="AD10" i="11" s="1"/>
  <c r="AD9" i="11" s="1"/>
  <c r="AC11" i="11"/>
  <c r="AC10" i="11" s="1"/>
  <c r="AC9" i="11" s="1"/>
  <c r="V11" i="11"/>
  <c r="T11" i="11"/>
  <c r="S11" i="11"/>
  <c r="S97" i="11" s="1"/>
  <c r="R11" i="11"/>
  <c r="Q11" i="11"/>
  <c r="Q92" i="11" l="1"/>
  <c r="Q106" i="11"/>
  <c r="R106" i="11"/>
  <c r="R94" i="11"/>
  <c r="V103" i="11"/>
  <c r="V106" i="11"/>
  <c r="S106" i="11"/>
  <c r="S97" i="161"/>
  <c r="J97" i="161" s="1"/>
  <c r="C97" i="161" s="1"/>
  <c r="S97" i="160"/>
  <c r="J97" i="160" s="1"/>
  <c r="C97" i="160" s="1"/>
  <c r="S97" i="159"/>
  <c r="J97" i="159" s="1"/>
  <c r="C97" i="159" s="1"/>
  <c r="S97" i="56"/>
  <c r="J97" i="56" s="1"/>
  <c r="T99" i="11"/>
  <c r="T106" i="11"/>
  <c r="V102" i="11"/>
  <c r="J103" i="11"/>
  <c r="C103" i="11" s="1"/>
  <c r="C18" i="11"/>
  <c r="C34" i="11"/>
  <c r="C26" i="11"/>
  <c r="C17" i="11"/>
  <c r="C25" i="11"/>
  <c r="C33" i="11"/>
  <c r="C19" i="11"/>
  <c r="C27" i="11"/>
  <c r="C35" i="11"/>
  <c r="C20" i="11"/>
  <c r="C28" i="11"/>
  <c r="C36" i="11"/>
  <c r="C21" i="11"/>
  <c r="C29" i="11"/>
  <c r="C37" i="11"/>
  <c r="C14" i="11"/>
  <c r="C22" i="11"/>
  <c r="C30" i="11"/>
  <c r="C38" i="11"/>
  <c r="C15" i="11"/>
  <c r="C23" i="11"/>
  <c r="C31" i="11"/>
  <c r="C39" i="11"/>
  <c r="C16" i="11"/>
  <c r="C32" i="11"/>
  <c r="C40" i="11"/>
  <c r="J11" i="11"/>
  <c r="C13" i="11"/>
  <c r="C24" i="11"/>
  <c r="L106" i="56"/>
  <c r="M10" i="11"/>
  <c r="M9" i="11" s="1"/>
  <c r="M75" i="56"/>
  <c r="M10" i="56" s="1"/>
  <c r="M9" i="56" s="1"/>
  <c r="AB11" i="11"/>
  <c r="AB10" i="11" s="1"/>
  <c r="AB9" i="11" s="1"/>
  <c r="C34" i="55"/>
  <c r="C33" i="55"/>
  <c r="C32" i="55"/>
  <c r="C31" i="55"/>
  <c r="C30" i="55"/>
  <c r="C27" i="55"/>
  <c r="C19" i="55" s="1"/>
  <c r="C25" i="55"/>
  <c r="C24" i="55"/>
  <c r="C23" i="55"/>
  <c r="C22" i="55"/>
  <c r="C21" i="55"/>
  <c r="D8" i="55"/>
  <c r="D7" i="55" s="1"/>
  <c r="C11" i="55"/>
  <c r="C9" i="55"/>
  <c r="C8" i="53"/>
  <c r="AO40" i="52"/>
  <c r="AL40" i="52"/>
  <c r="AI40" i="52"/>
  <c r="AC40" i="52"/>
  <c r="Z40" i="52"/>
  <c r="W40" i="52"/>
  <c r="T40" i="52"/>
  <c r="Q40" i="52"/>
  <c r="N40" i="52"/>
  <c r="K40" i="52"/>
  <c r="H40" i="52"/>
  <c r="AO39" i="52"/>
  <c r="AL39" i="52"/>
  <c r="AI39" i="52"/>
  <c r="AC39" i="52"/>
  <c r="Z39" i="52"/>
  <c r="W39" i="52"/>
  <c r="W38" i="52" s="1"/>
  <c r="T39" i="52"/>
  <c r="Q39" i="52"/>
  <c r="N39" i="52"/>
  <c r="K39" i="52"/>
  <c r="AO35" i="52"/>
  <c r="AL35" i="52"/>
  <c r="AI35" i="52"/>
  <c r="AF35" i="52"/>
  <c r="AC35" i="52"/>
  <c r="Z35" i="52"/>
  <c r="W35" i="52"/>
  <c r="T35" i="52"/>
  <c r="Q35" i="52"/>
  <c r="D35" i="52"/>
  <c r="AO34" i="52"/>
  <c r="AL34" i="52"/>
  <c r="AI34" i="52"/>
  <c r="AF34" i="52"/>
  <c r="AC34" i="52"/>
  <c r="Z34" i="52"/>
  <c r="W34" i="52"/>
  <c r="T34" i="52"/>
  <c r="Q34" i="52"/>
  <c r="D34" i="52"/>
  <c r="AL33" i="52"/>
  <c r="AI33" i="52"/>
  <c r="AF33" i="52"/>
  <c r="Z33" i="52"/>
  <c r="W33" i="52"/>
  <c r="T33" i="52"/>
  <c r="Q33" i="52"/>
  <c r="D33" i="52"/>
  <c r="AO32" i="52"/>
  <c r="AL32" i="52"/>
  <c r="AI32" i="52"/>
  <c r="AF32" i="52"/>
  <c r="AC32" i="52"/>
  <c r="Z32" i="52"/>
  <c r="W32" i="52"/>
  <c r="T32" i="52"/>
  <c r="Q32" i="52"/>
  <c r="D32" i="52"/>
  <c r="AL30" i="52"/>
  <c r="AI30" i="52"/>
  <c r="AF30" i="52"/>
  <c r="T30" i="52"/>
  <c r="D30" i="52"/>
  <c r="AO29" i="52"/>
  <c r="AI29" i="52"/>
  <c r="AC29" i="52"/>
  <c r="Z29" i="52"/>
  <c r="Q29" i="52"/>
  <c r="D29" i="52"/>
  <c r="AL27" i="52"/>
  <c r="AF27" i="52"/>
  <c r="Z27" i="52"/>
  <c r="Z25" i="52" s="1"/>
  <c r="W27" i="52"/>
  <c r="W25" i="52" s="1"/>
  <c r="T27" i="52"/>
  <c r="T25" i="52" s="1"/>
  <c r="Q27" i="52"/>
  <c r="D27" i="52"/>
  <c r="AO26" i="52"/>
  <c r="AL26" i="52"/>
  <c r="AI26" i="52"/>
  <c r="Q26" i="52"/>
  <c r="D26" i="52"/>
  <c r="AO24" i="52"/>
  <c r="AL24" i="52"/>
  <c r="AF24" i="52"/>
  <c r="AC24" i="52"/>
  <c r="Z24" i="52"/>
  <c r="W24" i="52"/>
  <c r="T24" i="52"/>
  <c r="D24" i="52"/>
  <c r="AL23" i="52"/>
  <c r="AI23" i="52"/>
  <c r="AF23" i="52"/>
  <c r="Z23" i="52"/>
  <c r="W23" i="52"/>
  <c r="T23" i="52"/>
  <c r="D23" i="52"/>
  <c r="AO22" i="52"/>
  <c r="AL22" i="52"/>
  <c r="AI22" i="52"/>
  <c r="AC22" i="52"/>
  <c r="Z22" i="52"/>
  <c r="W22" i="52"/>
  <c r="T22" i="52"/>
  <c r="Q22" i="52"/>
  <c r="D22" i="52"/>
  <c r="AO20" i="52"/>
  <c r="AL20" i="52"/>
  <c r="AI20" i="52"/>
  <c r="AF20" i="52"/>
  <c r="AC20" i="52"/>
  <c r="Z20" i="52"/>
  <c r="W20" i="52"/>
  <c r="T20" i="52"/>
  <c r="Q20" i="52"/>
  <c r="D20" i="52"/>
  <c r="AO19" i="52"/>
  <c r="AL19" i="52"/>
  <c r="AI19" i="52"/>
  <c r="AF19" i="52"/>
  <c r="AC19" i="52"/>
  <c r="Z19" i="52"/>
  <c r="W19" i="52"/>
  <c r="T19" i="52"/>
  <c r="Q19" i="52"/>
  <c r="D19" i="52"/>
  <c r="AO18" i="52"/>
  <c r="AL18" i="52"/>
  <c r="AI18" i="52"/>
  <c r="AF18" i="52"/>
  <c r="AC18" i="52"/>
  <c r="Z18" i="52"/>
  <c r="W18" i="52"/>
  <c r="T18" i="52"/>
  <c r="Q18" i="52"/>
  <c r="D18" i="52"/>
  <c r="D15" i="52"/>
  <c r="AO14" i="52"/>
  <c r="AL14" i="52"/>
  <c r="AI14" i="52"/>
  <c r="AF14" i="52"/>
  <c r="AC14" i="52"/>
  <c r="Z14" i="52"/>
  <c r="W14" i="52"/>
  <c r="T14" i="52"/>
  <c r="Q14" i="52"/>
  <c r="AO13" i="52"/>
  <c r="AL13" i="52"/>
  <c r="AI13" i="52"/>
  <c r="AF13" i="52"/>
  <c r="AC13" i="52"/>
  <c r="Z13" i="52"/>
  <c r="W13" i="52"/>
  <c r="T13" i="52"/>
  <c r="Q13" i="52"/>
  <c r="D13" i="52"/>
  <c r="AO12" i="52"/>
  <c r="AL12" i="52"/>
  <c r="AI12" i="52"/>
  <c r="AF12" i="52"/>
  <c r="AC12" i="52"/>
  <c r="Z12" i="52"/>
  <c r="W12" i="52"/>
  <c r="T12" i="52"/>
  <c r="Q12" i="52"/>
  <c r="D12" i="52"/>
  <c r="AO11" i="52"/>
  <c r="AL11" i="52"/>
  <c r="AI11" i="52"/>
  <c r="AF11" i="52"/>
  <c r="AC11" i="52"/>
  <c r="Z11" i="52"/>
  <c r="W11" i="52"/>
  <c r="T11" i="52"/>
  <c r="Q11" i="52"/>
  <c r="D11" i="52"/>
  <c r="AO10" i="52"/>
  <c r="AL10" i="52"/>
  <c r="AF10" i="52"/>
  <c r="AC10" i="52"/>
  <c r="Z10" i="52"/>
  <c r="T10" i="52"/>
  <c r="D10" i="52"/>
  <c r="E22" i="51"/>
  <c r="C29" i="50"/>
  <c r="E14" i="46"/>
  <c r="E12" i="46"/>
  <c r="E10" i="46"/>
  <c r="E15" i="46" s="1"/>
  <c r="T38" i="52" l="1"/>
  <c r="V106" i="160"/>
  <c r="V106" i="161"/>
  <c r="V106" i="159"/>
  <c r="V103" i="161"/>
  <c r="J103" i="161" s="1"/>
  <c r="C103" i="161" s="1"/>
  <c r="V103" i="160"/>
  <c r="J103" i="160" s="1"/>
  <c r="C103" i="160" s="1"/>
  <c r="V103" i="159"/>
  <c r="J103" i="159" s="1"/>
  <c r="C103" i="159" s="1"/>
  <c r="V103" i="56"/>
  <c r="J103" i="56" s="1"/>
  <c r="C103" i="56" s="1"/>
  <c r="R94" i="161"/>
  <c r="R94" i="160"/>
  <c r="R94" i="159"/>
  <c r="R94" i="56"/>
  <c r="R93" i="11"/>
  <c r="R75" i="11" s="1"/>
  <c r="R106" i="161"/>
  <c r="R106" i="160"/>
  <c r="R106" i="159"/>
  <c r="S106" i="160"/>
  <c r="S106" i="161"/>
  <c r="S106" i="159"/>
  <c r="Q106" i="159"/>
  <c r="Q106" i="161"/>
  <c r="Q106" i="160"/>
  <c r="Q92" i="160"/>
  <c r="Q91" i="11"/>
  <c r="Q75" i="11" s="1"/>
  <c r="Q92" i="56"/>
  <c r="Q92" i="159"/>
  <c r="Q92" i="161"/>
  <c r="V102" i="161"/>
  <c r="J102" i="161" s="1"/>
  <c r="C102" i="161" s="1"/>
  <c r="V102" i="160"/>
  <c r="J102" i="160" s="1"/>
  <c r="C102" i="160" s="1"/>
  <c r="V102" i="159"/>
  <c r="J102" i="159" s="1"/>
  <c r="C102" i="159" s="1"/>
  <c r="T106" i="160"/>
  <c r="J106" i="160" s="1"/>
  <c r="C106" i="160" s="1"/>
  <c r="T106" i="161"/>
  <c r="J106" i="161" s="1"/>
  <c r="C106" i="161" s="1"/>
  <c r="T106" i="159"/>
  <c r="T99" i="56"/>
  <c r="J99" i="56" s="1"/>
  <c r="C99" i="56" s="1"/>
  <c r="T99" i="160"/>
  <c r="J99" i="160" s="1"/>
  <c r="C99" i="160" s="1"/>
  <c r="T99" i="161"/>
  <c r="J99" i="161" s="1"/>
  <c r="C99" i="161" s="1"/>
  <c r="T99" i="159"/>
  <c r="J99" i="159" s="1"/>
  <c r="C99" i="159" s="1"/>
  <c r="V75" i="11"/>
  <c r="V102" i="56"/>
  <c r="J102" i="56" s="1"/>
  <c r="C102" i="56" s="1"/>
  <c r="S95" i="11"/>
  <c r="J97" i="11"/>
  <c r="C97" i="11" s="1"/>
  <c r="J102" i="11"/>
  <c r="C102" i="11" s="1"/>
  <c r="T98" i="11"/>
  <c r="J99" i="11"/>
  <c r="C99" i="11" s="1"/>
  <c r="C97" i="56"/>
  <c r="M161" i="11"/>
  <c r="M162" i="11" s="1"/>
  <c r="U9" i="11"/>
  <c r="U161" i="11" s="1"/>
  <c r="U162" i="11" s="1"/>
  <c r="C11" i="11"/>
  <c r="N106" i="56"/>
  <c r="U106" i="56"/>
  <c r="R106" i="56"/>
  <c r="AA19" i="2"/>
  <c r="Q106" i="56"/>
  <c r="P106" i="56"/>
  <c r="S106" i="56"/>
  <c r="C29" i="55"/>
  <c r="C12" i="55" s="1"/>
  <c r="AL38" i="52"/>
  <c r="AD28" i="52"/>
  <c r="AI28" i="52"/>
  <c r="R25" i="52"/>
  <c r="AJ28" i="52"/>
  <c r="R28" i="52"/>
  <c r="AD25" i="52"/>
  <c r="O21" i="52"/>
  <c r="AI25" i="52"/>
  <c r="AA28" i="52"/>
  <c r="AA25" i="52"/>
  <c r="AL31" i="52"/>
  <c r="X25" i="52"/>
  <c r="O28" i="52"/>
  <c r="AM28" i="52"/>
  <c r="AM25" i="52"/>
  <c r="X28" i="52"/>
  <c r="C32" i="51"/>
  <c r="AL25" i="52"/>
  <c r="AC9" i="52"/>
  <c r="AC27" i="52"/>
  <c r="AC25" i="52" s="1"/>
  <c r="AF29" i="52"/>
  <c r="AF28" i="52" s="1"/>
  <c r="Z30" i="52"/>
  <c r="Z28" i="52" s="1"/>
  <c r="AM31" i="52"/>
  <c r="X9" i="52"/>
  <c r="U9" i="52"/>
  <c r="AJ21" i="52"/>
  <c r="AD21" i="52"/>
  <c r="W21" i="52"/>
  <c r="AJ25" i="52"/>
  <c r="AL29" i="52"/>
  <c r="AL28" i="52" s="1"/>
  <c r="AD31" i="52"/>
  <c r="AA31" i="52"/>
  <c r="AL21" i="52"/>
  <c r="Q31" i="52"/>
  <c r="AG9" i="52"/>
  <c r="AF26" i="52"/>
  <c r="AF25" i="52" s="1"/>
  <c r="AO30" i="52"/>
  <c r="AO28" i="52" s="1"/>
  <c r="AG21" i="52"/>
  <c r="AO33" i="52"/>
  <c r="AO31" i="52" s="1"/>
  <c r="C39" i="49"/>
  <c r="AF9" i="52"/>
  <c r="R21" i="52"/>
  <c r="AF22" i="52"/>
  <c r="AF21" i="52" s="1"/>
  <c r="AM21" i="52"/>
  <c r="U21" i="52"/>
  <c r="U25" i="52"/>
  <c r="Q30" i="52"/>
  <c r="Q28" i="52" s="1"/>
  <c r="AC33" i="52"/>
  <c r="AC31" i="52" s="1"/>
  <c r="T21" i="52"/>
  <c r="T31" i="52"/>
  <c r="AI31" i="52"/>
  <c r="AA21" i="52"/>
  <c r="AO27" i="52"/>
  <c r="AO25" i="52" s="1"/>
  <c r="W31" i="52"/>
  <c r="O31" i="52"/>
  <c r="T29" i="52"/>
  <c r="AJ9" i="52"/>
  <c r="X21" i="52"/>
  <c r="AI24" i="52"/>
  <c r="AI21" i="52" s="1"/>
  <c r="Q25" i="52"/>
  <c r="AC30" i="52"/>
  <c r="AC28" i="52" s="1"/>
  <c r="R31" i="52"/>
  <c r="Z31" i="52"/>
  <c r="E8" i="55"/>
  <c r="E7" i="55" s="1"/>
  <c r="AL9" i="52"/>
  <c r="AO9" i="52"/>
  <c r="T9" i="52"/>
  <c r="Q9" i="52"/>
  <c r="Z21" i="52"/>
  <c r="Z9" i="52"/>
  <c r="AF31" i="52"/>
  <c r="Q24" i="52"/>
  <c r="O9" i="52"/>
  <c r="AA9" i="52"/>
  <c r="AM9" i="52"/>
  <c r="W10" i="52"/>
  <c r="W9" i="52" s="1"/>
  <c r="AI10" i="52"/>
  <c r="AI9" i="52" s="1"/>
  <c r="O25" i="52"/>
  <c r="AG28" i="52"/>
  <c r="U31" i="52"/>
  <c r="AG31" i="52"/>
  <c r="R9" i="52"/>
  <c r="AD9" i="52"/>
  <c r="X31" i="52"/>
  <c r="AJ31" i="52"/>
  <c r="Q23" i="52"/>
  <c r="AC23" i="52"/>
  <c r="AC21" i="52" s="1"/>
  <c r="AO23" i="52"/>
  <c r="AO21" i="52" s="1"/>
  <c r="AG25" i="52"/>
  <c r="E13" i="46"/>
  <c r="F10" i="46"/>
  <c r="X19" i="2" l="1"/>
  <c r="S95" i="160"/>
  <c r="J95" i="160" s="1"/>
  <c r="C95" i="160" s="1"/>
  <c r="S95" i="161"/>
  <c r="J95" i="161" s="1"/>
  <c r="C95" i="161" s="1"/>
  <c r="S95" i="159"/>
  <c r="J95" i="159" s="1"/>
  <c r="C95" i="159" s="1"/>
  <c r="R75" i="160"/>
  <c r="R10" i="160" s="1"/>
  <c r="R9" i="160" s="1"/>
  <c r="R75" i="161"/>
  <c r="R10" i="161" s="1"/>
  <c r="R9" i="161" s="1"/>
  <c r="R75" i="159"/>
  <c r="R10" i="159" s="1"/>
  <c r="R9" i="159" s="1"/>
  <c r="Q91" i="161"/>
  <c r="J91" i="161" s="1"/>
  <c r="C91" i="161" s="1"/>
  <c r="J92" i="161"/>
  <c r="C92" i="161" s="1"/>
  <c r="J94" i="159"/>
  <c r="C94" i="159" s="1"/>
  <c r="R93" i="159"/>
  <c r="J93" i="159" s="1"/>
  <c r="C93" i="159" s="1"/>
  <c r="J92" i="159"/>
  <c r="C92" i="159" s="1"/>
  <c r="Q91" i="159"/>
  <c r="J91" i="159" s="1"/>
  <c r="C91" i="159" s="1"/>
  <c r="J94" i="160"/>
  <c r="C94" i="160" s="1"/>
  <c r="R93" i="160"/>
  <c r="J93" i="160" s="1"/>
  <c r="C93" i="160" s="1"/>
  <c r="J92" i="56"/>
  <c r="C92" i="56" s="1"/>
  <c r="Q91" i="56"/>
  <c r="J91" i="56" s="1"/>
  <c r="C91" i="56" s="1"/>
  <c r="J94" i="161"/>
  <c r="C94" i="161" s="1"/>
  <c r="R93" i="161"/>
  <c r="J93" i="161" s="1"/>
  <c r="C93" i="161" s="1"/>
  <c r="Q75" i="159"/>
  <c r="Q10" i="159" s="1"/>
  <c r="Q9" i="159" s="1"/>
  <c r="Q75" i="161"/>
  <c r="Q10" i="161" s="1"/>
  <c r="Q9" i="161" s="1"/>
  <c r="Q75" i="160"/>
  <c r="Q10" i="160" s="1"/>
  <c r="Q9" i="160" s="1"/>
  <c r="J106" i="159"/>
  <c r="C106" i="159" s="1"/>
  <c r="J92" i="160"/>
  <c r="C92" i="160" s="1"/>
  <c r="Q91" i="160"/>
  <c r="J91" i="160" s="1"/>
  <c r="C91" i="160" s="1"/>
  <c r="V75" i="160"/>
  <c r="V10" i="160" s="1"/>
  <c r="V9" i="160" s="1"/>
  <c r="V75" i="161"/>
  <c r="V10" i="161" s="1"/>
  <c r="V9" i="161" s="1"/>
  <c r="V75" i="159"/>
  <c r="V10" i="159" s="1"/>
  <c r="V9" i="159" s="1"/>
  <c r="R93" i="56"/>
  <c r="J93" i="56" s="1"/>
  <c r="C93" i="56" s="1"/>
  <c r="J94" i="56"/>
  <c r="C94" i="56" s="1"/>
  <c r="T98" i="56"/>
  <c r="J98" i="56" s="1"/>
  <c r="C98" i="56" s="1"/>
  <c r="T98" i="161"/>
  <c r="J98" i="161" s="1"/>
  <c r="C98" i="161" s="1"/>
  <c r="T98" i="160"/>
  <c r="J98" i="160" s="1"/>
  <c r="C98" i="160" s="1"/>
  <c r="T98" i="159"/>
  <c r="J98" i="159" s="1"/>
  <c r="C98" i="159" s="1"/>
  <c r="V75" i="56"/>
  <c r="V10" i="56" s="1"/>
  <c r="V9" i="56" s="1"/>
  <c r="V10" i="11"/>
  <c r="V9" i="11" s="1"/>
  <c r="V161" i="11" s="1"/>
  <c r="V162" i="11" s="1"/>
  <c r="S75" i="11"/>
  <c r="S95" i="56"/>
  <c r="J95" i="56" s="1"/>
  <c r="C95" i="56" s="1"/>
  <c r="T75" i="11"/>
  <c r="J98" i="11"/>
  <c r="C98" i="11" s="1"/>
  <c r="C96" i="56"/>
  <c r="J106" i="11"/>
  <c r="C106" i="11" s="1"/>
  <c r="V106" i="56"/>
  <c r="J95" i="11"/>
  <c r="C95" i="11" s="1"/>
  <c r="N10" i="11"/>
  <c r="N9" i="11" s="1"/>
  <c r="N75" i="56"/>
  <c r="N10" i="56" s="1"/>
  <c r="N9" i="56" s="1"/>
  <c r="U75" i="56"/>
  <c r="U10" i="56" s="1"/>
  <c r="U9" i="56" s="1"/>
  <c r="P10" i="11"/>
  <c r="P9" i="11" s="1"/>
  <c r="P75" i="56"/>
  <c r="P10" i="56" s="1"/>
  <c r="P9" i="56" s="1"/>
  <c r="S75" i="56"/>
  <c r="S10" i="56" s="1"/>
  <c r="S9" i="56" s="1"/>
  <c r="Q10" i="11"/>
  <c r="Q9" i="11" s="1"/>
  <c r="Q75" i="56"/>
  <c r="Q10" i="56" s="1"/>
  <c r="Q9" i="56" s="1"/>
  <c r="R10" i="11"/>
  <c r="R9" i="11" s="1"/>
  <c r="R75" i="56"/>
  <c r="R10" i="56" s="1"/>
  <c r="R9" i="56" s="1"/>
  <c r="C8" i="55"/>
  <c r="C7" i="55" s="1"/>
  <c r="AD7" i="52"/>
  <c r="AD8" i="52" s="1"/>
  <c r="Q21" i="52"/>
  <c r="X7" i="52"/>
  <c r="X8" i="52" s="1"/>
  <c r="AG7" i="52"/>
  <c r="AG8" i="52" s="1"/>
  <c r="AM7" i="52"/>
  <c r="AM8" i="52" s="1"/>
  <c r="T28" i="52"/>
  <c r="T7" i="52" s="1"/>
  <c r="T8" i="52" s="1"/>
  <c r="R7" i="52"/>
  <c r="R8" i="52" s="1"/>
  <c r="AA7" i="52"/>
  <c r="AA8" i="52" s="1"/>
  <c r="AF7" i="52"/>
  <c r="AF8" i="52" s="1"/>
  <c r="AI7" i="52"/>
  <c r="AI8" i="52" s="1"/>
  <c r="AO7" i="52"/>
  <c r="AO8" i="52" s="1"/>
  <c r="AC7" i="52"/>
  <c r="AJ7" i="52"/>
  <c r="AJ8" i="52" s="1"/>
  <c r="AL7" i="52"/>
  <c r="AL8" i="52" s="1"/>
  <c r="Z7" i="52"/>
  <c r="Q7" i="52"/>
  <c r="O7" i="52"/>
  <c r="O8" i="52" s="1"/>
  <c r="S75" i="160" l="1"/>
  <c r="S10" i="160" s="1"/>
  <c r="S9" i="160" s="1"/>
  <c r="S75" i="161"/>
  <c r="S10" i="161" s="1"/>
  <c r="S9" i="161" s="1"/>
  <c r="S75" i="159"/>
  <c r="S10" i="159" s="1"/>
  <c r="S9" i="159" s="1"/>
  <c r="T75" i="161"/>
  <c r="T75" i="160"/>
  <c r="T75" i="159"/>
  <c r="T10" i="11"/>
  <c r="T9" i="11" s="1"/>
  <c r="J75" i="11"/>
  <c r="S10" i="11"/>
  <c r="S9" i="11" s="1"/>
  <c r="S161" i="11" s="1"/>
  <c r="S162" i="11" s="1"/>
  <c r="T75" i="56"/>
  <c r="T10" i="56" s="1"/>
  <c r="T9" i="56" s="1"/>
  <c r="T106" i="56"/>
  <c r="T161" i="11"/>
  <c r="T162" i="11" s="1"/>
  <c r="N161" i="11"/>
  <c r="N162" i="11" s="1"/>
  <c r="AA20" i="2"/>
  <c r="H52" i="16" s="1"/>
  <c r="H53" i="16" s="1"/>
  <c r="R161" i="11"/>
  <c r="R162" i="11" s="1"/>
  <c r="Q161" i="11"/>
  <c r="Q162" i="11" s="1"/>
  <c r="P161" i="11"/>
  <c r="P162" i="11" s="1"/>
  <c r="AA24" i="2"/>
  <c r="AA23" i="2"/>
  <c r="AA26" i="2"/>
  <c r="AA27" i="2"/>
  <c r="AA28" i="2"/>
  <c r="AC46" i="52"/>
  <c r="AF46" i="52"/>
  <c r="AO46" i="52"/>
  <c r="AI46" i="52"/>
  <c r="AL46" i="52"/>
  <c r="T46" i="52"/>
  <c r="AC8" i="52"/>
  <c r="Q46" i="52"/>
  <c r="Q8" i="52"/>
  <c r="Z8" i="52"/>
  <c r="Z46" i="52"/>
  <c r="T10" i="159" l="1"/>
  <c r="T9" i="159" s="1"/>
  <c r="J75" i="159"/>
  <c r="J75" i="160"/>
  <c r="T10" i="160"/>
  <c r="T9" i="160" s="1"/>
  <c r="J75" i="161"/>
  <c r="T10" i="161"/>
  <c r="T9" i="161" s="1"/>
  <c r="AA25" i="2"/>
  <c r="AA22" i="2"/>
  <c r="D42" i="45"/>
  <c r="D41" i="45"/>
  <c r="D40" i="45"/>
  <c r="D39" i="45"/>
  <c r="D38" i="45"/>
  <c r="D30" i="45"/>
  <c r="D29" i="45"/>
  <c r="D27" i="45"/>
  <c r="D26" i="45"/>
  <c r="D24" i="45"/>
  <c r="D22" i="45"/>
  <c r="D21" i="45"/>
  <c r="D20" i="45"/>
  <c r="AB173" i="2" s="1"/>
  <c r="AB169" i="2" s="1"/>
  <c r="D18" i="45"/>
  <c r="D16" i="45"/>
  <c r="D15" i="45"/>
  <c r="O7" i="45"/>
  <c r="M7" i="45"/>
  <c r="L7" i="45"/>
  <c r="K7" i="45"/>
  <c r="J7" i="45"/>
  <c r="I7" i="45"/>
  <c r="H7" i="45"/>
  <c r="G7" i="45"/>
  <c r="D11" i="45"/>
  <c r="D10" i="45"/>
  <c r="D9" i="45"/>
  <c r="D8" i="45"/>
  <c r="N7" i="45"/>
  <c r="F7" i="45"/>
  <c r="D6" i="45"/>
  <c r="AB168" i="2" s="1"/>
  <c r="H19" i="44"/>
  <c r="G19" i="44"/>
  <c r="F19" i="44"/>
  <c r="D19" i="44"/>
  <c r="H18" i="44"/>
  <c r="G18" i="44"/>
  <c r="F18" i="44"/>
  <c r="D18" i="44"/>
  <c r="H17" i="44"/>
  <c r="G17" i="44"/>
  <c r="F17" i="44"/>
  <c r="D17" i="44"/>
  <c r="H16" i="44"/>
  <c r="G16" i="44"/>
  <c r="F16" i="44"/>
  <c r="D16" i="44"/>
  <c r="H15" i="44"/>
  <c r="G15" i="44"/>
  <c r="F15" i="44"/>
  <c r="D15" i="44"/>
  <c r="H14" i="44"/>
  <c r="G14" i="44"/>
  <c r="F14" i="44"/>
  <c r="D14" i="44"/>
  <c r="H13" i="44"/>
  <c r="G13" i="44"/>
  <c r="F13" i="44"/>
  <c r="D13" i="44"/>
  <c r="H12" i="44"/>
  <c r="G12" i="44"/>
  <c r="F12" i="44"/>
  <c r="D12" i="44"/>
  <c r="H11" i="44"/>
  <c r="G11" i="44"/>
  <c r="F11" i="44"/>
  <c r="D11" i="44"/>
  <c r="H10" i="44"/>
  <c r="G10" i="44"/>
  <c r="F10" i="44"/>
  <c r="D10" i="44"/>
  <c r="H9" i="44"/>
  <c r="G9" i="44"/>
  <c r="F9" i="44"/>
  <c r="D9" i="44"/>
  <c r="H8" i="44"/>
  <c r="G8" i="44"/>
  <c r="F8" i="44"/>
  <c r="D8" i="44"/>
  <c r="P44" i="42"/>
  <c r="O44" i="42" s="1"/>
  <c r="M44" i="42"/>
  <c r="L44" i="42"/>
  <c r="J44" i="42"/>
  <c r="I44" i="42" s="1"/>
  <c r="R44" i="42" s="1"/>
  <c r="G44" i="42"/>
  <c r="F44" i="42" s="1"/>
  <c r="D44" i="42"/>
  <c r="C44" i="42" s="1"/>
  <c r="N43" i="42"/>
  <c r="L43" i="42" s="1"/>
  <c r="K43" i="42"/>
  <c r="H43" i="42"/>
  <c r="E43" i="42"/>
  <c r="E33" i="42"/>
  <c r="D33" i="42"/>
  <c r="Q31" i="42"/>
  <c r="N31" i="42"/>
  <c r="H31" i="42"/>
  <c r="E31" i="42"/>
  <c r="U20" i="42"/>
  <c r="T14" i="42"/>
  <c r="T13" i="42"/>
  <c r="K121" i="41"/>
  <c r="R110" i="41"/>
  <c r="S110" i="41" s="1"/>
  <c r="P110" i="41"/>
  <c r="R109" i="41"/>
  <c r="S109" i="41" s="1"/>
  <c r="P109" i="41"/>
  <c r="K108" i="41"/>
  <c r="P108" i="41" s="1"/>
  <c r="C108" i="41"/>
  <c r="R107" i="41"/>
  <c r="S107" i="41" s="1"/>
  <c r="P107" i="41"/>
  <c r="R106" i="41"/>
  <c r="S106" i="41" s="1"/>
  <c r="P106" i="41"/>
  <c r="R105" i="41"/>
  <c r="S105" i="41" s="1"/>
  <c r="P105" i="41"/>
  <c r="P104" i="41"/>
  <c r="P103" i="41"/>
  <c r="P102" i="41"/>
  <c r="R101" i="41"/>
  <c r="P101" i="41"/>
  <c r="N101" i="41"/>
  <c r="K100" i="41"/>
  <c r="P100" i="41" s="1"/>
  <c r="C100" i="41"/>
  <c r="C99" i="41" s="1"/>
  <c r="N98" i="41"/>
  <c r="K95" i="41"/>
  <c r="N92" i="41"/>
  <c r="P91" i="41"/>
  <c r="K90" i="41"/>
  <c r="P89" i="41"/>
  <c r="N88" i="41"/>
  <c r="P88" i="41" s="1"/>
  <c r="N85" i="41"/>
  <c r="N84" i="41"/>
  <c r="N81" i="41"/>
  <c r="N78" i="41"/>
  <c r="N76" i="41"/>
  <c r="N73" i="41"/>
  <c r="N72" i="41"/>
  <c r="K72" i="41"/>
  <c r="K74" i="41" s="1"/>
  <c r="N71" i="41"/>
  <c r="K68" i="41"/>
  <c r="C61" i="41"/>
  <c r="K56" i="41"/>
  <c r="K52" i="41"/>
  <c r="K59" i="41" s="1"/>
  <c r="Y41" i="41"/>
  <c r="X41" i="41"/>
  <c r="T41" i="41"/>
  <c r="S41" i="41"/>
  <c r="O41" i="41"/>
  <c r="N41" i="41"/>
  <c r="U39" i="41"/>
  <c r="G35" i="39" s="1"/>
  <c r="P39" i="41"/>
  <c r="F35" i="39" s="1"/>
  <c r="K39" i="41"/>
  <c r="E35" i="39" s="1"/>
  <c r="O35" i="41"/>
  <c r="E35" i="41"/>
  <c r="C31" i="41"/>
  <c r="N101" i="40"/>
  <c r="N100" i="40"/>
  <c r="Q90" i="40"/>
  <c r="N82" i="40"/>
  <c r="N83" i="40" s="1"/>
  <c r="Q77" i="40"/>
  <c r="N76" i="40"/>
  <c r="N75" i="40"/>
  <c r="H71" i="40"/>
  <c r="Q70" i="40"/>
  <c r="H68" i="40"/>
  <c r="P62" i="40"/>
  <c r="W59" i="40"/>
  <c r="T59" i="40" s="1"/>
  <c r="F20" i="39" s="1"/>
  <c r="Q59" i="40"/>
  <c r="AB54" i="40"/>
  <c r="AB52" i="40" s="1"/>
  <c r="Y54" i="40"/>
  <c r="Y52" i="40" s="1"/>
  <c r="V54" i="40"/>
  <c r="V52" i="40" s="1"/>
  <c r="S52" i="40"/>
  <c r="P54" i="40"/>
  <c r="M54" i="40"/>
  <c r="M52" i="40" s="1"/>
  <c r="J54" i="40"/>
  <c r="J52" i="40" s="1"/>
  <c r="G54" i="40"/>
  <c r="G52" i="40" s="1"/>
  <c r="G51" i="40" s="1"/>
  <c r="G49" i="40" s="1"/>
  <c r="D54" i="40"/>
  <c r="D52" i="40" s="1"/>
  <c r="AE52" i="40"/>
  <c r="P52" i="40"/>
  <c r="AB51" i="40"/>
  <c r="AA51" i="40"/>
  <c r="V51" i="40"/>
  <c r="N51" i="40"/>
  <c r="AB50" i="40"/>
  <c r="V50" i="40"/>
  <c r="N50" i="40"/>
  <c r="P50" i="40" s="1"/>
  <c r="AB49" i="40"/>
  <c r="AC49" i="40" s="1"/>
  <c r="AD49" i="40" s="1"/>
  <c r="AA49" i="40"/>
  <c r="F49" i="40"/>
  <c r="E49" i="40"/>
  <c r="R48" i="40"/>
  <c r="O48" i="40"/>
  <c r="L48" i="40"/>
  <c r="G10" i="42" s="1"/>
  <c r="K48" i="40"/>
  <c r="AB47" i="40"/>
  <c r="V47" i="40"/>
  <c r="P47" i="40"/>
  <c r="M47" i="40"/>
  <c r="J47" i="40"/>
  <c r="K47" i="40" s="1"/>
  <c r="P11" i="42"/>
  <c r="Q46" i="40"/>
  <c r="R46" i="40" s="1"/>
  <c r="J11" i="42" s="1"/>
  <c r="E46" i="40"/>
  <c r="F46" i="40" s="1"/>
  <c r="D11" i="42" s="1"/>
  <c r="K45" i="40"/>
  <c r="L45" i="40" s="1"/>
  <c r="AA44" i="40"/>
  <c r="Q44" i="40"/>
  <c r="R44" i="40" s="1"/>
  <c r="O44" i="40"/>
  <c r="K44" i="40"/>
  <c r="L44" i="40" s="1"/>
  <c r="U43" i="40"/>
  <c r="O43" i="40"/>
  <c r="AF42" i="40"/>
  <c r="V42" i="40"/>
  <c r="W42" i="40" s="1"/>
  <c r="X42" i="40" s="1"/>
  <c r="P42" i="40"/>
  <c r="Q42" i="40" s="1"/>
  <c r="R42" i="40" s="1"/>
  <c r="K42" i="40"/>
  <c r="L42" i="40" s="1"/>
  <c r="W41" i="40"/>
  <c r="Q41" i="40"/>
  <c r="O41" i="40"/>
  <c r="K41" i="40"/>
  <c r="AF40" i="40"/>
  <c r="AB40" i="40"/>
  <c r="AC40" i="40" s="1"/>
  <c r="AA40" i="40"/>
  <c r="V40" i="40"/>
  <c r="W40" i="40" s="1"/>
  <c r="U40" i="40"/>
  <c r="O40" i="40"/>
  <c r="N73" i="40"/>
  <c r="J40" i="40"/>
  <c r="K40" i="40" s="1"/>
  <c r="I40" i="40"/>
  <c r="F40" i="40"/>
  <c r="O39" i="40"/>
  <c r="P38" i="40"/>
  <c r="Q38" i="40" s="1"/>
  <c r="O38" i="40"/>
  <c r="K38" i="40"/>
  <c r="L38" i="40" s="1"/>
  <c r="AB37" i="40"/>
  <c r="V37" i="40"/>
  <c r="P37" i="40"/>
  <c r="J37" i="40"/>
  <c r="K37" i="40" s="1"/>
  <c r="AB36" i="40"/>
  <c r="V36" i="40"/>
  <c r="P36" i="40"/>
  <c r="M36" i="40"/>
  <c r="J36" i="40"/>
  <c r="K36" i="40" s="1"/>
  <c r="AF35" i="40"/>
  <c r="AB35" i="40"/>
  <c r="AC35" i="40" s="1"/>
  <c r="V35" i="40"/>
  <c r="W35" i="40" s="1"/>
  <c r="X35" i="40" s="1"/>
  <c r="P35" i="40"/>
  <c r="M35" i="40"/>
  <c r="J35" i="40"/>
  <c r="K35" i="40" s="1"/>
  <c r="E35" i="40"/>
  <c r="G35" i="40" s="1"/>
  <c r="AB34" i="40"/>
  <c r="V34" i="40"/>
  <c r="P34" i="40"/>
  <c r="M34" i="40"/>
  <c r="J34" i="40"/>
  <c r="K34" i="40" s="1"/>
  <c r="M33" i="40"/>
  <c r="K33" i="40"/>
  <c r="K32" i="40"/>
  <c r="L32" i="40" s="1"/>
  <c r="K31" i="40"/>
  <c r="L31" i="40" s="1"/>
  <c r="AE30" i="40"/>
  <c r="M30" i="40"/>
  <c r="J30" i="40"/>
  <c r="K30" i="40" s="1"/>
  <c r="M29" i="40"/>
  <c r="J29" i="40"/>
  <c r="K29" i="40" s="1"/>
  <c r="AB28" i="40"/>
  <c r="V28" i="40"/>
  <c r="P28" i="40"/>
  <c r="H28" i="40"/>
  <c r="D28" i="40"/>
  <c r="AF27" i="40"/>
  <c r="K27" i="40"/>
  <c r="L27" i="40" s="1"/>
  <c r="E27" i="40"/>
  <c r="F27" i="40" s="1"/>
  <c r="W26" i="40"/>
  <c r="X26" i="40" s="1"/>
  <c r="F26" i="40"/>
  <c r="E26" i="40"/>
  <c r="AF25" i="40"/>
  <c r="AD25" i="40"/>
  <c r="Q25" i="40"/>
  <c r="R25" i="40" s="1"/>
  <c r="J25" i="40"/>
  <c r="K25" i="40" s="1"/>
  <c r="L25" i="40" s="1"/>
  <c r="E25" i="40"/>
  <c r="F25" i="40" s="1"/>
  <c r="AF24" i="40"/>
  <c r="W24" i="40"/>
  <c r="Q24" i="40"/>
  <c r="J24" i="40"/>
  <c r="K24" i="40" s="1"/>
  <c r="L24" i="40" s="1"/>
  <c r="E24" i="40"/>
  <c r="F24" i="40" s="1"/>
  <c r="AE23" i="40"/>
  <c r="AB23" i="40"/>
  <c r="Y23" i="40"/>
  <c r="V23" i="40"/>
  <c r="S23" i="40"/>
  <c r="P23" i="40"/>
  <c r="M23" i="40"/>
  <c r="G23" i="40"/>
  <c r="D23" i="40"/>
  <c r="C23" i="40"/>
  <c r="AD22" i="40"/>
  <c r="W22" i="40"/>
  <c r="X22" i="40" s="1"/>
  <c r="E22" i="40"/>
  <c r="F22" i="40" s="1"/>
  <c r="AF21" i="40"/>
  <c r="AD21" i="40"/>
  <c r="Q21" i="40"/>
  <c r="R21" i="40" s="1"/>
  <c r="K21" i="40"/>
  <c r="L21" i="40" s="1"/>
  <c r="E21" i="40"/>
  <c r="F21" i="40" s="1"/>
  <c r="AD20" i="40"/>
  <c r="E20" i="40"/>
  <c r="F20" i="40" s="1"/>
  <c r="AF19" i="40"/>
  <c r="AD19" i="40"/>
  <c r="Q19" i="40"/>
  <c r="R19" i="40" s="1"/>
  <c r="K19" i="40"/>
  <c r="L19" i="40" s="1"/>
  <c r="E19" i="40"/>
  <c r="F19" i="40" s="1"/>
  <c r="AF18" i="40"/>
  <c r="W18" i="40"/>
  <c r="X18" i="40" s="1"/>
  <c r="Q18" i="40"/>
  <c r="K18" i="40"/>
  <c r="L18" i="40" s="1"/>
  <c r="E18" i="40"/>
  <c r="F18" i="40" s="1"/>
  <c r="AE17" i="40"/>
  <c r="AB17" i="40"/>
  <c r="Y17" i="40"/>
  <c r="V17" i="40"/>
  <c r="S17" i="40"/>
  <c r="P17" i="40"/>
  <c r="M17" i="40"/>
  <c r="J17" i="40"/>
  <c r="G17" i="40"/>
  <c r="D17" i="40"/>
  <c r="C17" i="40"/>
  <c r="AD16" i="40"/>
  <c r="P16" i="40"/>
  <c r="P11" i="40" s="1"/>
  <c r="D16" i="40"/>
  <c r="E16" i="40" s="1"/>
  <c r="F16" i="40" s="1"/>
  <c r="AF15" i="40"/>
  <c r="Q15" i="40"/>
  <c r="R15" i="40" s="1"/>
  <c r="K15" i="40"/>
  <c r="L15" i="40" s="1"/>
  <c r="E15" i="40"/>
  <c r="F15" i="40" s="1"/>
  <c r="AF14" i="40"/>
  <c r="W14" i="40"/>
  <c r="X14" i="40" s="1"/>
  <c r="Q14" i="40"/>
  <c r="R14" i="40" s="1"/>
  <c r="K14" i="40"/>
  <c r="L14" i="40" s="1"/>
  <c r="E14" i="40"/>
  <c r="F14" i="40" s="1"/>
  <c r="AF13" i="40"/>
  <c r="W13" i="40"/>
  <c r="X13" i="40" s="1"/>
  <c r="Q13" i="40"/>
  <c r="R13" i="40" s="1"/>
  <c r="K13" i="40"/>
  <c r="L13" i="40" s="1"/>
  <c r="E13" i="40"/>
  <c r="W12" i="40"/>
  <c r="Q12" i="40"/>
  <c r="K12" i="40"/>
  <c r="L12" i="40" s="1"/>
  <c r="AF12" i="40"/>
  <c r="AE11" i="40"/>
  <c r="AB11" i="40"/>
  <c r="Y11" i="40"/>
  <c r="V11" i="40"/>
  <c r="S11" i="40"/>
  <c r="N11" i="40"/>
  <c r="M11" i="40"/>
  <c r="G11" i="40"/>
  <c r="C11" i="40"/>
  <c r="X161" i="38"/>
  <c r="O160" i="38"/>
  <c r="W157" i="38"/>
  <c r="W154" i="38"/>
  <c r="Y151" i="38" s="1"/>
  <c r="S154" i="38"/>
  <c r="U150" i="38" s="1"/>
  <c r="P154" i="38"/>
  <c r="R151" i="38" s="1"/>
  <c r="X153" i="38"/>
  <c r="T153" i="38"/>
  <c r="R153" i="38"/>
  <c r="Q153" i="38"/>
  <c r="X152" i="38"/>
  <c r="T152" i="38"/>
  <c r="R152" i="38"/>
  <c r="Q152" i="38"/>
  <c r="X151" i="38"/>
  <c r="T151" i="38"/>
  <c r="Q151" i="38"/>
  <c r="X150" i="38"/>
  <c r="T150" i="38"/>
  <c r="R150" i="38"/>
  <c r="Q150" i="38"/>
  <c r="X149" i="38"/>
  <c r="T149" i="38"/>
  <c r="R149" i="38"/>
  <c r="Q149" i="38"/>
  <c r="X148" i="38"/>
  <c r="T148" i="38"/>
  <c r="R148" i="38"/>
  <c r="Q148" i="38"/>
  <c r="X147" i="38"/>
  <c r="T147" i="38"/>
  <c r="Q147" i="38"/>
  <c r="X146" i="38"/>
  <c r="T146" i="38"/>
  <c r="R146" i="38"/>
  <c r="Q146" i="38"/>
  <c r="X145" i="38"/>
  <c r="T145" i="38"/>
  <c r="R145" i="38"/>
  <c r="Q145" i="38"/>
  <c r="L145" i="38"/>
  <c r="Y144" i="38"/>
  <c r="X144" i="38"/>
  <c r="U144" i="38"/>
  <c r="T144" i="38"/>
  <c r="R144" i="38"/>
  <c r="Q144" i="38"/>
  <c r="Y143" i="38"/>
  <c r="X143" i="38"/>
  <c r="U143" i="38"/>
  <c r="T143" i="38"/>
  <c r="R143" i="38"/>
  <c r="Q143" i="38"/>
  <c r="Y142" i="38"/>
  <c r="X142" i="38"/>
  <c r="U142" i="38"/>
  <c r="T142" i="38"/>
  <c r="R142" i="38"/>
  <c r="Q142" i="38"/>
  <c r="Y141" i="38"/>
  <c r="X141" i="38"/>
  <c r="U141" i="38"/>
  <c r="T141" i="38"/>
  <c r="R141" i="38"/>
  <c r="Q141" i="38"/>
  <c r="P139" i="38"/>
  <c r="O139" i="38"/>
  <c r="N139" i="38"/>
  <c r="M139" i="38"/>
  <c r="L139" i="38"/>
  <c r="G139" i="38"/>
  <c r="F139" i="38"/>
  <c r="E139" i="38"/>
  <c r="D139" i="38"/>
  <c r="Y137" i="38"/>
  <c r="X137" i="38"/>
  <c r="W137" i="38"/>
  <c r="V137" i="38"/>
  <c r="U137" i="38"/>
  <c r="P137" i="38"/>
  <c r="O137" i="38"/>
  <c r="N137" i="38"/>
  <c r="M137" i="38"/>
  <c r="L137" i="38"/>
  <c r="H137" i="38"/>
  <c r="G137" i="38"/>
  <c r="F137" i="38"/>
  <c r="E137" i="38"/>
  <c r="D137" i="38"/>
  <c r="C137" i="38"/>
  <c r="F135" i="38"/>
  <c r="E135" i="38"/>
  <c r="D135" i="38"/>
  <c r="Y134" i="38"/>
  <c r="X134" i="38"/>
  <c r="W134" i="38"/>
  <c r="V134" i="38"/>
  <c r="U134" i="38"/>
  <c r="P134" i="38"/>
  <c r="O134" i="38"/>
  <c r="N134" i="38"/>
  <c r="M134" i="38"/>
  <c r="L134" i="38"/>
  <c r="H134" i="38"/>
  <c r="G134" i="38"/>
  <c r="H135" i="38" s="1"/>
  <c r="AA132" i="38"/>
  <c r="F132" i="38"/>
  <c r="E132" i="38"/>
  <c r="D132" i="38"/>
  <c r="Y131" i="38"/>
  <c r="X131" i="38"/>
  <c r="W131" i="38"/>
  <c r="W128" i="38" s="1"/>
  <c r="V131" i="38"/>
  <c r="V128" i="38" s="1"/>
  <c r="U131" i="38"/>
  <c r="P131" i="38"/>
  <c r="O131" i="38"/>
  <c r="N131" i="38"/>
  <c r="M131" i="38"/>
  <c r="L131" i="38"/>
  <c r="L128" i="38" s="1"/>
  <c r="I131" i="38"/>
  <c r="G131" i="38"/>
  <c r="H128" i="38"/>
  <c r="F128" i="38"/>
  <c r="F129" i="38" s="1"/>
  <c r="E128" i="38"/>
  <c r="D128" i="38"/>
  <c r="C128" i="38"/>
  <c r="Z126" i="38"/>
  <c r="Q126" i="38"/>
  <c r="K126" i="38"/>
  <c r="I126" i="38"/>
  <c r="Z125" i="38"/>
  <c r="Q125" i="38"/>
  <c r="I125" i="38"/>
  <c r="Z124" i="38"/>
  <c r="Q124" i="38"/>
  <c r="K124" i="38"/>
  <c r="I124" i="38"/>
  <c r="Z123" i="38"/>
  <c r="Q123" i="38"/>
  <c r="I123" i="38"/>
  <c r="Z122" i="38"/>
  <c r="Q122" i="38"/>
  <c r="K122" i="38"/>
  <c r="I122" i="38"/>
  <c r="Z121" i="38"/>
  <c r="Q121" i="38"/>
  <c r="K121" i="38"/>
  <c r="I121" i="38"/>
  <c r="Z120" i="38"/>
  <c r="Q120" i="38"/>
  <c r="K120" i="38"/>
  <c r="I120" i="38"/>
  <c r="P119" i="38"/>
  <c r="O119" i="38"/>
  <c r="K119" i="38"/>
  <c r="I119" i="38"/>
  <c r="O116" i="38"/>
  <c r="N116" i="38"/>
  <c r="M116" i="38"/>
  <c r="L116" i="38"/>
  <c r="H116" i="38"/>
  <c r="G116" i="38"/>
  <c r="G117" i="38" s="1"/>
  <c r="F116" i="38"/>
  <c r="E116" i="38"/>
  <c r="D116" i="38"/>
  <c r="C116" i="38"/>
  <c r="O113" i="38"/>
  <c r="N113" i="38"/>
  <c r="M113" i="38"/>
  <c r="M114" i="38" s="1"/>
  <c r="L113" i="38"/>
  <c r="L114" i="38" s="1"/>
  <c r="H113" i="38"/>
  <c r="H114" i="38" s="1"/>
  <c r="G113" i="38"/>
  <c r="F113" i="38"/>
  <c r="E113" i="38"/>
  <c r="D113" i="38"/>
  <c r="C113" i="38"/>
  <c r="L111" i="38"/>
  <c r="O110" i="38"/>
  <c r="N110" i="38"/>
  <c r="M110" i="38"/>
  <c r="M111" i="38" s="1"/>
  <c r="L110" i="38"/>
  <c r="H110" i="38"/>
  <c r="H111" i="38" s="1"/>
  <c r="G110" i="38"/>
  <c r="F110" i="38"/>
  <c r="E110" i="38"/>
  <c r="D110" i="38"/>
  <c r="C110" i="38"/>
  <c r="O103" i="38"/>
  <c r="N103" i="38"/>
  <c r="M103" i="38"/>
  <c r="L103" i="38"/>
  <c r="H103" i="38"/>
  <c r="G103" i="38"/>
  <c r="F103" i="38"/>
  <c r="E103" i="38"/>
  <c r="D103" i="38"/>
  <c r="C103" i="38"/>
  <c r="G91" i="38"/>
  <c r="O90" i="38"/>
  <c r="N90" i="38"/>
  <c r="N91" i="38" s="1"/>
  <c r="M90" i="38"/>
  <c r="L90" i="38"/>
  <c r="H90" i="38"/>
  <c r="G90" i="38"/>
  <c r="F90" i="38"/>
  <c r="F91" i="38" s="1"/>
  <c r="E90" i="38"/>
  <c r="E91" i="38" s="1"/>
  <c r="D90" i="38"/>
  <c r="C90" i="38"/>
  <c r="O87" i="38"/>
  <c r="N87" i="38"/>
  <c r="M87" i="38"/>
  <c r="L87" i="38"/>
  <c r="L88" i="38" s="1"/>
  <c r="H87" i="38"/>
  <c r="H88" i="38" s="1"/>
  <c r="G87" i="38"/>
  <c r="G88" i="38" s="1"/>
  <c r="F87" i="38"/>
  <c r="F88" i="38" s="1"/>
  <c r="E87" i="38"/>
  <c r="D87" i="38"/>
  <c r="C87" i="38"/>
  <c r="O84" i="38"/>
  <c r="N84" i="38"/>
  <c r="N85" i="38" s="1"/>
  <c r="M84" i="38"/>
  <c r="L84" i="38"/>
  <c r="H84" i="38"/>
  <c r="H85" i="38" s="1"/>
  <c r="G84" i="38"/>
  <c r="G85" i="38" s="1"/>
  <c r="F84" i="38"/>
  <c r="E84" i="38"/>
  <c r="D84" i="38"/>
  <c r="C84" i="38"/>
  <c r="O81" i="38"/>
  <c r="N81" i="38"/>
  <c r="O82" i="38" s="1"/>
  <c r="M81" i="38"/>
  <c r="M82" i="38" s="1"/>
  <c r="L81" i="38"/>
  <c r="H81" i="38"/>
  <c r="H82" i="38" s="1"/>
  <c r="G81" i="38"/>
  <c r="G82" i="38" s="1"/>
  <c r="F81" i="38"/>
  <c r="F82" i="38" s="1"/>
  <c r="E81" i="38"/>
  <c r="D81" i="38"/>
  <c r="D82" i="38" s="1"/>
  <c r="C81" i="38"/>
  <c r="O78" i="38"/>
  <c r="N78" i="38"/>
  <c r="O79" i="38" s="1"/>
  <c r="M78" i="38"/>
  <c r="M79" i="38" s="1"/>
  <c r="L78" i="38"/>
  <c r="H78" i="38"/>
  <c r="G78" i="38"/>
  <c r="G79" i="38" s="1"/>
  <c r="F78" i="38"/>
  <c r="F79" i="38" s="1"/>
  <c r="E78" i="38"/>
  <c r="E79" i="38" s="1"/>
  <c r="D78" i="38"/>
  <c r="D79" i="38" s="1"/>
  <c r="C78" i="38"/>
  <c r="O75" i="38"/>
  <c r="O76" i="38" s="1"/>
  <c r="N75" i="38"/>
  <c r="M75" i="38"/>
  <c r="L75" i="38"/>
  <c r="H75" i="38"/>
  <c r="H76" i="38" s="1"/>
  <c r="G75" i="38"/>
  <c r="G76" i="38" s="1"/>
  <c r="F75" i="38"/>
  <c r="E75" i="38"/>
  <c r="D75" i="38"/>
  <c r="C75" i="38"/>
  <c r="O72" i="38"/>
  <c r="N72" i="38"/>
  <c r="O73" i="38" s="1"/>
  <c r="M72" i="38"/>
  <c r="N73" i="38" s="1"/>
  <c r="L72" i="38"/>
  <c r="H72" i="38"/>
  <c r="G72" i="38"/>
  <c r="G73" i="38" s="1"/>
  <c r="F72" i="38"/>
  <c r="F73" i="38" s="1"/>
  <c r="E72" i="38"/>
  <c r="D72" i="38"/>
  <c r="D73" i="38" s="1"/>
  <c r="C72" i="38"/>
  <c r="O69" i="38"/>
  <c r="O70" i="38" s="1"/>
  <c r="N69" i="38"/>
  <c r="M69" i="38"/>
  <c r="N70" i="38" s="1"/>
  <c r="L69" i="38"/>
  <c r="H69" i="38"/>
  <c r="G69" i="38"/>
  <c r="F69" i="38"/>
  <c r="F70" i="38" s="1"/>
  <c r="E69" i="38"/>
  <c r="E70" i="38" s="1"/>
  <c r="D69" i="38"/>
  <c r="D70" i="38" s="1"/>
  <c r="C69" i="38"/>
  <c r="N67" i="38"/>
  <c r="G67" i="38"/>
  <c r="O66" i="38"/>
  <c r="O67" i="38" s="1"/>
  <c r="N66" i="38"/>
  <c r="M66" i="38"/>
  <c r="L66" i="38"/>
  <c r="H66" i="38"/>
  <c r="G66" i="38"/>
  <c r="F66" i="38"/>
  <c r="E66" i="38"/>
  <c r="E67" i="38" s="1"/>
  <c r="D66" i="38"/>
  <c r="I66" i="38" s="1"/>
  <c r="C66" i="38"/>
  <c r="D67" i="38" s="1"/>
  <c r="N60" i="38"/>
  <c r="O59" i="38"/>
  <c r="O60" i="38" s="1"/>
  <c r="N59" i="38"/>
  <c r="M59" i="38"/>
  <c r="L59" i="38"/>
  <c r="H59" i="38"/>
  <c r="H60" i="38" s="1"/>
  <c r="G59" i="38"/>
  <c r="G60" i="38" s="1"/>
  <c r="F59" i="38"/>
  <c r="E59" i="38"/>
  <c r="D59" i="38"/>
  <c r="I59" i="38" s="1"/>
  <c r="C59" i="38"/>
  <c r="O56" i="38"/>
  <c r="N56" i="38"/>
  <c r="M56" i="38"/>
  <c r="L56" i="38"/>
  <c r="H56" i="38"/>
  <c r="G56" i="38"/>
  <c r="F56" i="38"/>
  <c r="E56" i="38"/>
  <c r="D56" i="38"/>
  <c r="D57" i="38" s="1"/>
  <c r="C56" i="38"/>
  <c r="O53" i="38"/>
  <c r="N53" i="38"/>
  <c r="M53" i="38"/>
  <c r="L53" i="38"/>
  <c r="L54" i="38" s="1"/>
  <c r="H53" i="38"/>
  <c r="H54" i="38" s="1"/>
  <c r="G53" i="38"/>
  <c r="G54" i="38" s="1"/>
  <c r="F53" i="38"/>
  <c r="E53" i="38"/>
  <c r="D53" i="38"/>
  <c r="C53" i="38"/>
  <c r="I49" i="38"/>
  <c r="L47" i="38"/>
  <c r="P44" i="38"/>
  <c r="O44" i="38"/>
  <c r="N44" i="38"/>
  <c r="M44" i="38"/>
  <c r="L44" i="38"/>
  <c r="H44" i="38"/>
  <c r="G44" i="38"/>
  <c r="F44" i="38"/>
  <c r="E44" i="38"/>
  <c r="H42" i="38"/>
  <c r="P41" i="38"/>
  <c r="U41" i="38" s="1"/>
  <c r="O41" i="38"/>
  <c r="O42" i="38" s="1"/>
  <c r="N41" i="38"/>
  <c r="N42" i="38" s="1"/>
  <c r="M41" i="38"/>
  <c r="L41" i="38"/>
  <c r="H41" i="38"/>
  <c r="G41" i="38"/>
  <c r="G42" i="38" s="1"/>
  <c r="F41" i="38"/>
  <c r="F42" i="38" s="1"/>
  <c r="E41" i="38"/>
  <c r="P40" i="38"/>
  <c r="O40" i="38"/>
  <c r="N40" i="38"/>
  <c r="M40" i="38"/>
  <c r="L40" i="38"/>
  <c r="R40" i="38" s="1"/>
  <c r="H40" i="38"/>
  <c r="G40" i="38"/>
  <c r="F40" i="38"/>
  <c r="U39" i="38"/>
  <c r="U40" i="38" s="1"/>
  <c r="Q39" i="38"/>
  <c r="D39" i="38"/>
  <c r="P38" i="38"/>
  <c r="O38" i="38"/>
  <c r="N38" i="38"/>
  <c r="M38" i="38"/>
  <c r="L38" i="38"/>
  <c r="H38" i="38"/>
  <c r="G38" i="38"/>
  <c r="F38" i="38"/>
  <c r="Q37" i="38"/>
  <c r="D37" i="38"/>
  <c r="C139" i="38" s="1"/>
  <c r="Q36" i="38"/>
  <c r="Y35" i="38"/>
  <c r="X35" i="38"/>
  <c r="W35" i="38"/>
  <c r="V35" i="38"/>
  <c r="U35" i="38"/>
  <c r="P35" i="38"/>
  <c r="Q35" i="38" s="1"/>
  <c r="Y34" i="38"/>
  <c r="X34" i="38"/>
  <c r="W34" i="38"/>
  <c r="V34" i="38"/>
  <c r="U34" i="38"/>
  <c r="P34" i="38"/>
  <c r="Q34" i="38" s="1"/>
  <c r="I34" i="38"/>
  <c r="Z33" i="38"/>
  <c r="N33" i="38"/>
  <c r="M33" i="38"/>
  <c r="L33" i="38"/>
  <c r="Q33" i="38" s="1"/>
  <c r="I33" i="38"/>
  <c r="H33" i="38"/>
  <c r="C33" i="38"/>
  <c r="Y32" i="38"/>
  <c r="Y103" i="38" s="1"/>
  <c r="X32" i="38"/>
  <c r="X103" i="38" s="1"/>
  <c r="W32" i="38"/>
  <c r="W103" i="38" s="1"/>
  <c r="V32" i="38"/>
  <c r="V103" i="38" s="1"/>
  <c r="U32" i="38"/>
  <c r="P32" i="38"/>
  <c r="P103" i="38" s="1"/>
  <c r="I32" i="38"/>
  <c r="Y31" i="38"/>
  <c r="X31" i="38"/>
  <c r="W31" i="38"/>
  <c r="V31" i="38"/>
  <c r="U31" i="38"/>
  <c r="P31" i="38"/>
  <c r="O31" i="38"/>
  <c r="Y30" i="38"/>
  <c r="X30" i="38"/>
  <c r="W30" i="38"/>
  <c r="V30" i="38"/>
  <c r="U30" i="38"/>
  <c r="P30" i="38"/>
  <c r="O30" i="38"/>
  <c r="I30" i="38"/>
  <c r="Y29" i="38"/>
  <c r="Y90" i="38" s="1"/>
  <c r="X29" i="38"/>
  <c r="X90" i="38" s="1"/>
  <c r="W29" i="38"/>
  <c r="W90" i="38" s="1"/>
  <c r="V29" i="38"/>
  <c r="V90" i="38" s="1"/>
  <c r="U29" i="38"/>
  <c r="U90" i="38" s="1"/>
  <c r="P29" i="38"/>
  <c r="P90" i="38" s="1"/>
  <c r="I29" i="38"/>
  <c r="Y28" i="38"/>
  <c r="Y87" i="38" s="1"/>
  <c r="X28" i="38"/>
  <c r="X87" i="38" s="1"/>
  <c r="W28" i="38"/>
  <c r="W87" i="38" s="1"/>
  <c r="V28" i="38"/>
  <c r="V87" i="38" s="1"/>
  <c r="U28" i="38"/>
  <c r="U87" i="38" s="1"/>
  <c r="P28" i="38"/>
  <c r="P87" i="38" s="1"/>
  <c r="I28" i="38"/>
  <c r="Y27" i="38"/>
  <c r="Y69" i="38" s="1"/>
  <c r="X27" i="38"/>
  <c r="X69" i="38" s="1"/>
  <c r="W27" i="38"/>
  <c r="W69" i="38" s="1"/>
  <c r="V27" i="38"/>
  <c r="V69" i="38" s="1"/>
  <c r="U27" i="38"/>
  <c r="P27" i="38"/>
  <c r="P69" i="38" s="1"/>
  <c r="I27" i="38"/>
  <c r="Y26" i="38"/>
  <c r="Y84" i="38" s="1"/>
  <c r="X26" i="38"/>
  <c r="X84" i="38" s="1"/>
  <c r="W26" i="38"/>
  <c r="W84" i="38" s="1"/>
  <c r="V26" i="38"/>
  <c r="V84" i="38" s="1"/>
  <c r="U26" i="38"/>
  <c r="P26" i="38"/>
  <c r="P84" i="38" s="1"/>
  <c r="I26" i="38"/>
  <c r="Y25" i="38"/>
  <c r="Y81" i="38" s="1"/>
  <c r="X25" i="38"/>
  <c r="X81" i="38" s="1"/>
  <c r="W25" i="38"/>
  <c r="W81" i="38" s="1"/>
  <c r="V25" i="38"/>
  <c r="V81" i="38" s="1"/>
  <c r="U25" i="38"/>
  <c r="U81" i="38" s="1"/>
  <c r="P25" i="38"/>
  <c r="P81" i="38" s="1"/>
  <c r="I25" i="38"/>
  <c r="Y24" i="38"/>
  <c r="Y78" i="38" s="1"/>
  <c r="X24" i="38"/>
  <c r="X78" i="38" s="1"/>
  <c r="W24" i="38"/>
  <c r="W78" i="38" s="1"/>
  <c r="V24" i="38"/>
  <c r="V78" i="38" s="1"/>
  <c r="U24" i="38"/>
  <c r="U78" i="38" s="1"/>
  <c r="P24" i="38"/>
  <c r="P78" i="38" s="1"/>
  <c r="I24" i="38"/>
  <c r="Y23" i="38"/>
  <c r="Y75" i="38" s="1"/>
  <c r="X23" i="38"/>
  <c r="X75" i="38" s="1"/>
  <c r="W23" i="38"/>
  <c r="W75" i="38" s="1"/>
  <c r="V23" i="38"/>
  <c r="V75" i="38" s="1"/>
  <c r="U23" i="38"/>
  <c r="P23" i="38"/>
  <c r="P75" i="38" s="1"/>
  <c r="P76" i="38" s="1"/>
  <c r="I23" i="38"/>
  <c r="Y22" i="38"/>
  <c r="Y66" i="38" s="1"/>
  <c r="X22" i="38"/>
  <c r="X66" i="38" s="1"/>
  <c r="W22" i="38"/>
  <c r="W66" i="38" s="1"/>
  <c r="V22" i="38"/>
  <c r="V66" i="38" s="1"/>
  <c r="U22" i="38"/>
  <c r="P22" i="38"/>
  <c r="P66" i="38" s="1"/>
  <c r="P67" i="38" s="1"/>
  <c r="I22" i="38"/>
  <c r="Y21" i="38"/>
  <c r="Y72" i="38" s="1"/>
  <c r="X21" i="38"/>
  <c r="X72" i="38" s="1"/>
  <c r="W21" i="38"/>
  <c r="W72" i="38" s="1"/>
  <c r="V21" i="38"/>
  <c r="U21" i="38"/>
  <c r="U72" i="38" s="1"/>
  <c r="P21" i="38"/>
  <c r="P72" i="38" s="1"/>
  <c r="I21" i="38"/>
  <c r="O20" i="38"/>
  <c r="N20" i="38"/>
  <c r="M20" i="38"/>
  <c r="M62" i="38" s="1"/>
  <c r="L20" i="38"/>
  <c r="L62" i="38" s="1"/>
  <c r="H20" i="38"/>
  <c r="H62" i="38" s="1"/>
  <c r="G20" i="38"/>
  <c r="G62" i="38" s="1"/>
  <c r="F20" i="38"/>
  <c r="E20" i="38"/>
  <c r="D20" i="38"/>
  <c r="D62" i="38" s="1"/>
  <c r="C20" i="38"/>
  <c r="C62" i="38" s="1"/>
  <c r="Y19" i="38"/>
  <c r="Y59" i="38" s="1"/>
  <c r="X19" i="38"/>
  <c r="X59" i="38" s="1"/>
  <c r="W19" i="38"/>
  <c r="W59" i="38" s="1"/>
  <c r="V19" i="38"/>
  <c r="V59" i="38" s="1"/>
  <c r="U19" i="38"/>
  <c r="U59" i="38" s="1"/>
  <c r="P19" i="38"/>
  <c r="P59" i="38" s="1"/>
  <c r="I19" i="38"/>
  <c r="Y18" i="38"/>
  <c r="Y56" i="38" s="1"/>
  <c r="X18" i="38"/>
  <c r="W18" i="38"/>
  <c r="V18" i="38"/>
  <c r="V56" i="38" s="1"/>
  <c r="U18" i="38"/>
  <c r="P18" i="38"/>
  <c r="Q18" i="38" s="1"/>
  <c r="I18" i="38"/>
  <c r="Y17" i="38"/>
  <c r="Y53" i="38" s="1"/>
  <c r="X17" i="38"/>
  <c r="X53" i="38" s="1"/>
  <c r="W17" i="38"/>
  <c r="W53" i="38" s="1"/>
  <c r="V17" i="38"/>
  <c r="U17" i="38"/>
  <c r="P17" i="38"/>
  <c r="P53" i="38" s="1"/>
  <c r="I17" i="38"/>
  <c r="M16" i="38"/>
  <c r="M50" i="38" s="1"/>
  <c r="L16" i="38"/>
  <c r="L100" i="38" s="1"/>
  <c r="D16" i="38"/>
  <c r="C16" i="38"/>
  <c r="C100" i="38" s="1"/>
  <c r="Y15" i="38"/>
  <c r="X15" i="38"/>
  <c r="W15" i="38"/>
  <c r="V15" i="38"/>
  <c r="U15" i="38"/>
  <c r="P15" i="38"/>
  <c r="O15" i="38"/>
  <c r="O11" i="38" s="1"/>
  <c r="Y14" i="38"/>
  <c r="Y116" i="38" s="1"/>
  <c r="X14" i="38"/>
  <c r="X116" i="38" s="1"/>
  <c r="W14" i="38"/>
  <c r="W116" i="38" s="1"/>
  <c r="V14" i="38"/>
  <c r="V116" i="38" s="1"/>
  <c r="U14" i="38"/>
  <c r="U116" i="38" s="1"/>
  <c r="P14" i="38"/>
  <c r="P116" i="38" s="1"/>
  <c r="I14" i="38"/>
  <c r="Y13" i="38"/>
  <c r="Y113" i="38" s="1"/>
  <c r="X13" i="38"/>
  <c r="X113" i="38" s="1"/>
  <c r="W13" i="38"/>
  <c r="W113" i="38" s="1"/>
  <c r="V13" i="38"/>
  <c r="V113" i="38" s="1"/>
  <c r="U13" i="38"/>
  <c r="U113" i="38" s="1"/>
  <c r="P13" i="38"/>
  <c r="P113" i="38" s="1"/>
  <c r="I13" i="38"/>
  <c r="Y12" i="38"/>
  <c r="Y110" i="38" s="1"/>
  <c r="X12" i="38"/>
  <c r="X110" i="38" s="1"/>
  <c r="W12" i="38"/>
  <c r="W110" i="38" s="1"/>
  <c r="V12" i="38"/>
  <c r="V110" i="38" s="1"/>
  <c r="U12" i="38"/>
  <c r="P12" i="38"/>
  <c r="I12" i="38"/>
  <c r="N11" i="38"/>
  <c r="M11" i="38"/>
  <c r="L11" i="38"/>
  <c r="H11" i="38"/>
  <c r="G11" i="38"/>
  <c r="F11" i="38"/>
  <c r="E11" i="38"/>
  <c r="D11" i="38"/>
  <c r="C11" i="38"/>
  <c r="L10" i="38"/>
  <c r="C10" i="38"/>
  <c r="C94" i="38" s="1"/>
  <c r="X192" i="37"/>
  <c r="X194" i="37" s="1"/>
  <c r="W190" i="37"/>
  <c r="W187" i="37"/>
  <c r="AA184" i="37" s="1"/>
  <c r="AA186" i="37"/>
  <c r="X186" i="37"/>
  <c r="X185" i="37"/>
  <c r="X184" i="37"/>
  <c r="AA183" i="37"/>
  <c r="X183" i="37"/>
  <c r="AA182" i="37"/>
  <c r="X182" i="37"/>
  <c r="AA181" i="37"/>
  <c r="X181" i="37"/>
  <c r="X180" i="37"/>
  <c r="AA179" i="37"/>
  <c r="X179" i="37"/>
  <c r="AA178" i="37"/>
  <c r="X178" i="37"/>
  <c r="AA177" i="37"/>
  <c r="X177" i="37"/>
  <c r="X176" i="37"/>
  <c r="AA175" i="37"/>
  <c r="X175" i="37"/>
  <c r="AA174" i="37"/>
  <c r="X174" i="37"/>
  <c r="R172" i="37"/>
  <c r="AA170" i="37"/>
  <c r="AA172" i="37" s="1"/>
  <c r="V170" i="37"/>
  <c r="V172" i="37" s="1"/>
  <c r="AB169" i="37"/>
  <c r="N167" i="37"/>
  <c r="C160" i="37"/>
  <c r="C159" i="37"/>
  <c r="AD158" i="37"/>
  <c r="U158" i="37"/>
  <c r="AD157" i="37"/>
  <c r="U157" i="37"/>
  <c r="AD155" i="37"/>
  <c r="U155" i="37"/>
  <c r="AD154" i="37"/>
  <c r="U154" i="37"/>
  <c r="AC153" i="37"/>
  <c r="AB153" i="37"/>
  <c r="AA153" i="37"/>
  <c r="Z153" i="37"/>
  <c r="Y153" i="37"/>
  <c r="T153" i="37"/>
  <c r="S153" i="37"/>
  <c r="S159" i="37" s="1"/>
  <c r="R153" i="37"/>
  <c r="R159" i="37" s="1"/>
  <c r="Q153" i="37"/>
  <c r="Q159" i="37" s="1"/>
  <c r="P153" i="37"/>
  <c r="P159" i="37" s="1"/>
  <c r="P161" i="37" s="1"/>
  <c r="L153" i="37"/>
  <c r="L159" i="37" s="1"/>
  <c r="K153" i="37"/>
  <c r="K159" i="37" s="1"/>
  <c r="K161" i="37" s="1"/>
  <c r="J153" i="37"/>
  <c r="J159" i="37" s="1"/>
  <c r="I153" i="37"/>
  <c r="I159" i="37" s="1"/>
  <c r="H153" i="37"/>
  <c r="H159" i="37" s="1"/>
  <c r="G153" i="37"/>
  <c r="G159" i="37" s="1"/>
  <c r="F153" i="37"/>
  <c r="F159" i="37" s="1"/>
  <c r="F160" i="37" s="1"/>
  <c r="E153" i="37"/>
  <c r="E159" i="37" s="1"/>
  <c r="E160" i="37" s="1"/>
  <c r="D153" i="37"/>
  <c r="D159" i="37" s="1"/>
  <c r="D160" i="37" s="1"/>
  <c r="C153" i="37"/>
  <c r="R152" i="37"/>
  <c r="Q152" i="37"/>
  <c r="P152" i="37"/>
  <c r="L152" i="37"/>
  <c r="K152" i="37"/>
  <c r="J152" i="37"/>
  <c r="I152" i="37"/>
  <c r="H152" i="37"/>
  <c r="F151" i="37"/>
  <c r="E151" i="37"/>
  <c r="D151" i="37"/>
  <c r="C151" i="37"/>
  <c r="AD150" i="37"/>
  <c r="U150" i="37"/>
  <c r="S149" i="37"/>
  <c r="S151" i="37" s="1"/>
  <c r="R149" i="37"/>
  <c r="R151" i="37" s="1"/>
  <c r="Q149" i="37"/>
  <c r="Q151" i="37" s="1"/>
  <c r="P149" i="37"/>
  <c r="P151" i="37" s="1"/>
  <c r="L149" i="37"/>
  <c r="L151" i="37" s="1"/>
  <c r="K149" i="37"/>
  <c r="K151" i="37" s="1"/>
  <c r="J149" i="37"/>
  <c r="J151" i="37" s="1"/>
  <c r="I149" i="37"/>
  <c r="I151" i="37" s="1"/>
  <c r="H149" i="37"/>
  <c r="H151" i="37" s="1"/>
  <c r="G149" i="37"/>
  <c r="G151" i="37" s="1"/>
  <c r="AC148" i="37"/>
  <c r="AC156" i="37" s="1"/>
  <c r="AC159" i="37" s="1"/>
  <c r="AB148" i="37"/>
  <c r="AB156" i="37" s="1"/>
  <c r="AB159" i="37" s="1"/>
  <c r="AA148" i="37"/>
  <c r="AA156" i="37" s="1"/>
  <c r="AA159" i="37" s="1"/>
  <c r="Z148" i="37"/>
  <c r="Z156" i="37" s="1"/>
  <c r="Y148" i="37"/>
  <c r="T148" i="37"/>
  <c r="T156" i="37" s="1"/>
  <c r="AC147" i="37"/>
  <c r="AB147" i="37"/>
  <c r="AA147" i="37"/>
  <c r="Z147" i="37"/>
  <c r="Y147" i="37"/>
  <c r="T147" i="37"/>
  <c r="P147" i="37"/>
  <c r="U147" i="37" s="1"/>
  <c r="L147" i="37"/>
  <c r="K147" i="37"/>
  <c r="J147" i="37"/>
  <c r="I147" i="37"/>
  <c r="H147" i="37"/>
  <c r="AC146" i="37"/>
  <c r="AB146" i="37"/>
  <c r="AA146" i="37"/>
  <c r="Z146" i="37"/>
  <c r="Y146" i="37"/>
  <c r="T146" i="37"/>
  <c r="S146" i="37"/>
  <c r="R146" i="37"/>
  <c r="Q146" i="37"/>
  <c r="P146" i="37"/>
  <c r="M146" i="37"/>
  <c r="L146" i="37"/>
  <c r="K146" i="37"/>
  <c r="J146" i="37"/>
  <c r="I146" i="37"/>
  <c r="H146" i="37"/>
  <c r="G146" i="37"/>
  <c r="AC145" i="37"/>
  <c r="AB145" i="37"/>
  <c r="AA145" i="37"/>
  <c r="Z145" i="37"/>
  <c r="Y145" i="37"/>
  <c r="T145" i="37"/>
  <c r="U145" i="37" s="1"/>
  <c r="M145" i="37"/>
  <c r="F145" i="37"/>
  <c r="F142" i="37" s="1"/>
  <c r="F137" i="37" s="1"/>
  <c r="E145" i="37"/>
  <c r="D145" i="37"/>
  <c r="C145" i="37"/>
  <c r="AC144" i="37"/>
  <c r="AB144" i="37"/>
  <c r="AA144" i="37"/>
  <c r="Z144" i="37"/>
  <c r="Y144" i="37"/>
  <c r="T144" i="37"/>
  <c r="P144" i="37"/>
  <c r="P143" i="37" s="1"/>
  <c r="I144" i="37"/>
  <c r="S143" i="37"/>
  <c r="S138" i="37" s="1"/>
  <c r="R143" i="37"/>
  <c r="Q143" i="37"/>
  <c r="Q138" i="37" s="1"/>
  <c r="I143" i="37"/>
  <c r="H143" i="37"/>
  <c r="G143" i="37"/>
  <c r="S142" i="37"/>
  <c r="R142" i="37"/>
  <c r="Q142" i="37"/>
  <c r="E142" i="37"/>
  <c r="D142" i="37"/>
  <c r="D137" i="37" s="1"/>
  <c r="C142" i="37"/>
  <c r="S141" i="37"/>
  <c r="R141" i="37"/>
  <c r="Q141" i="37"/>
  <c r="P141" i="37"/>
  <c r="L141" i="37"/>
  <c r="K141" i="37"/>
  <c r="J141" i="37"/>
  <c r="I141" i="37"/>
  <c r="H141" i="37"/>
  <c r="S140" i="37"/>
  <c r="R140" i="37"/>
  <c r="Q140" i="37"/>
  <c r="P140" i="37"/>
  <c r="L140" i="37"/>
  <c r="K140" i="37"/>
  <c r="J140" i="37"/>
  <c r="I140" i="37"/>
  <c r="H140" i="37"/>
  <c r="N140" i="37" s="1"/>
  <c r="AC139" i="37"/>
  <c r="AC149" i="37" s="1"/>
  <c r="AC151" i="37" s="1"/>
  <c r="AB139" i="37"/>
  <c r="AB149" i="37" s="1"/>
  <c r="AB151" i="37" s="1"/>
  <c r="AA139" i="37"/>
  <c r="AA149" i="37" s="1"/>
  <c r="AA151" i="37" s="1"/>
  <c r="Z139" i="37"/>
  <c r="Z149" i="37" s="1"/>
  <c r="Z151" i="37" s="1"/>
  <c r="Y139" i="37"/>
  <c r="T139" i="37"/>
  <c r="M139" i="37"/>
  <c r="R138" i="37"/>
  <c r="H138" i="37"/>
  <c r="E137" i="37"/>
  <c r="C137" i="37"/>
  <c r="P136" i="37"/>
  <c r="Y135" i="37"/>
  <c r="Y136" i="37" s="1"/>
  <c r="T135" i="37"/>
  <c r="T136" i="37" s="1"/>
  <c r="S135" i="37"/>
  <c r="R135" i="37"/>
  <c r="R136" i="37" s="1"/>
  <c r="Q135" i="37"/>
  <c r="Q136" i="37" s="1"/>
  <c r="P135" i="37"/>
  <c r="U135" i="37" s="1"/>
  <c r="M135" i="37"/>
  <c r="X135" i="37" s="1"/>
  <c r="L135" i="37"/>
  <c r="K135" i="37"/>
  <c r="K136" i="37" s="1"/>
  <c r="J135" i="37"/>
  <c r="J136" i="37" s="1"/>
  <c r="I135" i="37"/>
  <c r="I136" i="37" s="1"/>
  <c r="H135" i="37"/>
  <c r="H136" i="37" s="1"/>
  <c r="G135" i="37"/>
  <c r="F135" i="37"/>
  <c r="E135" i="37"/>
  <c r="D135" i="37"/>
  <c r="C135" i="37"/>
  <c r="AC133" i="37"/>
  <c r="AB133" i="37"/>
  <c r="AA133" i="37"/>
  <c r="Z133" i="37"/>
  <c r="Y133" i="37"/>
  <c r="T133" i="37"/>
  <c r="S133" i="37"/>
  <c r="R133" i="37"/>
  <c r="Q133" i="37"/>
  <c r="P133" i="37"/>
  <c r="L133" i="37"/>
  <c r="K133" i="37"/>
  <c r="J133" i="37"/>
  <c r="I133" i="37"/>
  <c r="H133" i="37"/>
  <c r="AH131" i="37"/>
  <c r="AH132" i="37" s="1"/>
  <c r="Y125" i="37"/>
  <c r="T125" i="37"/>
  <c r="S125" i="37"/>
  <c r="R125" i="37"/>
  <c r="Q125" i="37"/>
  <c r="P125" i="37"/>
  <c r="L125" i="37"/>
  <c r="K125" i="37"/>
  <c r="J125" i="37"/>
  <c r="I125" i="37"/>
  <c r="H125" i="37"/>
  <c r="G125" i="37"/>
  <c r="F125" i="37"/>
  <c r="E125" i="37"/>
  <c r="D125" i="37"/>
  <c r="C125" i="37"/>
  <c r="Y122" i="37"/>
  <c r="T122" i="37"/>
  <c r="S122" i="37"/>
  <c r="R122" i="37"/>
  <c r="Q122" i="37"/>
  <c r="P122" i="37"/>
  <c r="L122" i="37"/>
  <c r="K122" i="37"/>
  <c r="J122" i="37"/>
  <c r="I122" i="37"/>
  <c r="H122" i="37"/>
  <c r="G122" i="37"/>
  <c r="F122" i="37"/>
  <c r="E122" i="37"/>
  <c r="D122" i="37"/>
  <c r="C122" i="37"/>
  <c r="Y119" i="37"/>
  <c r="T119" i="37"/>
  <c r="S119" i="37"/>
  <c r="R119" i="37"/>
  <c r="Q119" i="37"/>
  <c r="P119" i="37"/>
  <c r="L119" i="37"/>
  <c r="K119" i="37"/>
  <c r="J119" i="37"/>
  <c r="I119" i="37"/>
  <c r="H119" i="37"/>
  <c r="H120" i="37" s="1"/>
  <c r="G119" i="37"/>
  <c r="F119" i="37"/>
  <c r="E119" i="37"/>
  <c r="D119" i="37"/>
  <c r="C119" i="37"/>
  <c r="Y116" i="37"/>
  <c r="T116" i="37"/>
  <c r="T117" i="37" s="1"/>
  <c r="S116" i="37"/>
  <c r="R116" i="37"/>
  <c r="R117" i="37" s="1"/>
  <c r="Q116" i="37"/>
  <c r="Q117" i="37" s="1"/>
  <c r="P116" i="37"/>
  <c r="L116" i="37"/>
  <c r="K116" i="37"/>
  <c r="K117" i="37" s="1"/>
  <c r="J116" i="37"/>
  <c r="I116" i="37"/>
  <c r="H116" i="37"/>
  <c r="G116" i="37"/>
  <c r="H117" i="37" s="1"/>
  <c r="F116" i="37"/>
  <c r="E116" i="37"/>
  <c r="D116" i="37"/>
  <c r="C116" i="37"/>
  <c r="Y113" i="37"/>
  <c r="T113" i="37"/>
  <c r="S113" i="37"/>
  <c r="S114" i="37" s="1"/>
  <c r="R113" i="37"/>
  <c r="R114" i="37" s="1"/>
  <c r="Q113" i="37"/>
  <c r="P113" i="37"/>
  <c r="L113" i="37"/>
  <c r="K113" i="37"/>
  <c r="J113" i="37"/>
  <c r="I113" i="37"/>
  <c r="I114" i="37" s="1"/>
  <c r="H113" i="37"/>
  <c r="H114" i="37" s="1"/>
  <c r="G113" i="37"/>
  <c r="F113" i="37"/>
  <c r="E113" i="37"/>
  <c r="D113" i="37"/>
  <c r="C113" i="37"/>
  <c r="Y111" i="37"/>
  <c r="L111" i="37"/>
  <c r="Y110" i="37"/>
  <c r="T110" i="37"/>
  <c r="S110" i="37"/>
  <c r="R110" i="37"/>
  <c r="Q110" i="37"/>
  <c r="Q111" i="37" s="1"/>
  <c r="P110" i="37"/>
  <c r="P111" i="37" s="1"/>
  <c r="L110" i="37"/>
  <c r="K110" i="37"/>
  <c r="J110" i="37"/>
  <c r="J111" i="37" s="1"/>
  <c r="I110" i="37"/>
  <c r="H110" i="37"/>
  <c r="G110" i="37"/>
  <c r="Y107" i="37"/>
  <c r="Y108" i="37" s="1"/>
  <c r="T107" i="37"/>
  <c r="T108" i="37" s="1"/>
  <c r="S107" i="37"/>
  <c r="S108" i="37" s="1"/>
  <c r="R107" i="37"/>
  <c r="Q107" i="37"/>
  <c r="P107" i="37"/>
  <c r="L107" i="37"/>
  <c r="L108" i="37" s="1"/>
  <c r="K107" i="37"/>
  <c r="K108" i="37" s="1"/>
  <c r="J107" i="37"/>
  <c r="J108" i="37" s="1"/>
  <c r="I107" i="37"/>
  <c r="H107" i="37"/>
  <c r="H108" i="37" s="1"/>
  <c r="G107" i="37"/>
  <c r="F107" i="37"/>
  <c r="E107" i="37"/>
  <c r="D107" i="37"/>
  <c r="C107" i="37"/>
  <c r="Y100" i="37"/>
  <c r="T100" i="37"/>
  <c r="S100" i="37"/>
  <c r="R100" i="37"/>
  <c r="Q100" i="37"/>
  <c r="P100" i="37"/>
  <c r="P101" i="37" s="1"/>
  <c r="L100" i="37"/>
  <c r="K100" i="37"/>
  <c r="J100" i="37"/>
  <c r="J101" i="37" s="1"/>
  <c r="I100" i="37"/>
  <c r="I101" i="37" s="1"/>
  <c r="H100" i="37"/>
  <c r="G100" i="37"/>
  <c r="F100" i="37"/>
  <c r="E100" i="37"/>
  <c r="D100" i="37"/>
  <c r="C100" i="37"/>
  <c r="L98" i="37"/>
  <c r="Y97" i="37"/>
  <c r="Y98" i="37" s="1"/>
  <c r="T97" i="37"/>
  <c r="S97" i="37"/>
  <c r="R97" i="37"/>
  <c r="Q97" i="37"/>
  <c r="P97" i="37"/>
  <c r="L97" i="37"/>
  <c r="K97" i="37"/>
  <c r="J97" i="37"/>
  <c r="K98" i="37" s="1"/>
  <c r="I97" i="37"/>
  <c r="H97" i="37"/>
  <c r="G97" i="37"/>
  <c r="H98" i="37" s="1"/>
  <c r="F97" i="37"/>
  <c r="E97" i="37"/>
  <c r="D97" i="37"/>
  <c r="C97" i="37"/>
  <c r="S95" i="37"/>
  <c r="Y94" i="37"/>
  <c r="T94" i="37"/>
  <c r="T95" i="37" s="1"/>
  <c r="S94" i="37"/>
  <c r="R94" i="37"/>
  <c r="Q94" i="37"/>
  <c r="Q95" i="37" s="1"/>
  <c r="P94" i="37"/>
  <c r="L94" i="37"/>
  <c r="L95" i="37" s="1"/>
  <c r="K94" i="37"/>
  <c r="J94" i="37"/>
  <c r="J95" i="37" s="1"/>
  <c r="I94" i="37"/>
  <c r="H94" i="37"/>
  <c r="G94" i="37"/>
  <c r="F94" i="37"/>
  <c r="E94" i="37"/>
  <c r="D94" i="37"/>
  <c r="C94" i="37"/>
  <c r="R92" i="37"/>
  <c r="Y91" i="37"/>
  <c r="T91" i="37"/>
  <c r="S91" i="37"/>
  <c r="R91" i="37"/>
  <c r="Q91" i="37"/>
  <c r="Q92" i="37" s="1"/>
  <c r="P91" i="37"/>
  <c r="L91" i="37"/>
  <c r="K91" i="37"/>
  <c r="J91" i="37"/>
  <c r="I91" i="37"/>
  <c r="H91" i="37"/>
  <c r="G91" i="37"/>
  <c r="H92" i="37" s="1"/>
  <c r="F91" i="37"/>
  <c r="E91" i="37"/>
  <c r="D91" i="37"/>
  <c r="C91" i="37"/>
  <c r="Y88" i="37"/>
  <c r="Y89" i="37" s="1"/>
  <c r="T88" i="37"/>
  <c r="T89" i="37" s="1"/>
  <c r="S88" i="37"/>
  <c r="R88" i="37"/>
  <c r="Q88" i="37"/>
  <c r="P88" i="37"/>
  <c r="P89" i="37" s="1"/>
  <c r="L88" i="37"/>
  <c r="L89" i="37" s="1"/>
  <c r="K88" i="37"/>
  <c r="J88" i="37"/>
  <c r="K89" i="37" s="1"/>
  <c r="I88" i="37"/>
  <c r="H88" i="37"/>
  <c r="G88" i="37"/>
  <c r="F88" i="37"/>
  <c r="E88" i="37"/>
  <c r="D88" i="37"/>
  <c r="C88" i="37"/>
  <c r="Y85" i="37"/>
  <c r="T85" i="37"/>
  <c r="Y86" i="37" s="1"/>
  <c r="S85" i="37"/>
  <c r="R85" i="37"/>
  <c r="R86" i="37" s="1"/>
  <c r="Q85" i="37"/>
  <c r="P85" i="37"/>
  <c r="L85" i="37"/>
  <c r="L86" i="37" s="1"/>
  <c r="K85" i="37"/>
  <c r="J85" i="37"/>
  <c r="I85" i="37"/>
  <c r="I86" i="37" s="1"/>
  <c r="H85" i="37"/>
  <c r="H86" i="37" s="1"/>
  <c r="G85" i="37"/>
  <c r="F85" i="37"/>
  <c r="E85" i="37"/>
  <c r="D85" i="37"/>
  <c r="C85" i="37"/>
  <c r="Y82" i="37"/>
  <c r="T82" i="37"/>
  <c r="T83" i="37" s="1"/>
  <c r="S82" i="37"/>
  <c r="S83" i="37" s="1"/>
  <c r="R82" i="37"/>
  <c r="Q82" i="37"/>
  <c r="P82" i="37"/>
  <c r="L82" i="37"/>
  <c r="L83" i="37" s="1"/>
  <c r="K82" i="37"/>
  <c r="J82" i="37"/>
  <c r="J83" i="37" s="1"/>
  <c r="I82" i="37"/>
  <c r="H82" i="37"/>
  <c r="G82" i="37"/>
  <c r="F82" i="37"/>
  <c r="E82" i="37"/>
  <c r="D82" i="37"/>
  <c r="C82" i="37"/>
  <c r="Y79" i="37"/>
  <c r="T79" i="37"/>
  <c r="T76" i="37" s="1"/>
  <c r="S79" i="37"/>
  <c r="S76" i="37" s="1"/>
  <c r="R79" i="37"/>
  <c r="R80" i="37" s="1"/>
  <c r="Q79" i="37"/>
  <c r="Q80" i="37" s="1"/>
  <c r="P79" i="37"/>
  <c r="U79" i="37" s="1"/>
  <c r="X79" i="37" s="1"/>
  <c r="L79" i="37"/>
  <c r="K79" i="37"/>
  <c r="L80" i="37" s="1"/>
  <c r="J79" i="37"/>
  <c r="J80" i="37" s="1"/>
  <c r="I79" i="37"/>
  <c r="H79" i="37"/>
  <c r="H80" i="37" s="1"/>
  <c r="G79" i="37"/>
  <c r="F79" i="37"/>
  <c r="E79" i="37"/>
  <c r="E76" i="37" s="1"/>
  <c r="D79" i="37"/>
  <c r="C79" i="37"/>
  <c r="R76" i="37"/>
  <c r="K76" i="37"/>
  <c r="J76" i="37"/>
  <c r="I76" i="37"/>
  <c r="H76" i="37"/>
  <c r="D76" i="37"/>
  <c r="C76" i="37"/>
  <c r="Y72" i="37"/>
  <c r="Y64" i="37"/>
  <c r="T64" i="37"/>
  <c r="S64" i="37"/>
  <c r="R64" i="37"/>
  <c r="Q64" i="37"/>
  <c r="Q72" i="37" s="1"/>
  <c r="P64" i="37"/>
  <c r="L64" i="37"/>
  <c r="K64" i="37"/>
  <c r="K72" i="37" s="1"/>
  <c r="J64" i="37"/>
  <c r="I64" i="37"/>
  <c r="H64" i="37"/>
  <c r="H72" i="37" s="1"/>
  <c r="G64" i="37"/>
  <c r="F64" i="37"/>
  <c r="E64" i="37"/>
  <c r="D64" i="37"/>
  <c r="C64" i="37"/>
  <c r="Y62" i="37"/>
  <c r="T62" i="37"/>
  <c r="S62" i="37"/>
  <c r="R62" i="37"/>
  <c r="Q62" i="37"/>
  <c r="P62" i="37"/>
  <c r="L62" i="37"/>
  <c r="K62" i="37"/>
  <c r="J62" i="37"/>
  <c r="I62" i="37"/>
  <c r="H62" i="37"/>
  <c r="G62" i="37"/>
  <c r="F62" i="37"/>
  <c r="E62" i="37"/>
  <c r="D62" i="37"/>
  <c r="C62" i="37"/>
  <c r="Y61" i="37"/>
  <c r="T61" i="37"/>
  <c r="S61" i="37"/>
  <c r="R61" i="37"/>
  <c r="Q61" i="37"/>
  <c r="P61" i="37"/>
  <c r="L61" i="37"/>
  <c r="K61" i="37"/>
  <c r="K58" i="37" s="1"/>
  <c r="J61" i="37"/>
  <c r="I61" i="37"/>
  <c r="H61" i="37"/>
  <c r="G61" i="37"/>
  <c r="F61" i="37"/>
  <c r="E61" i="37"/>
  <c r="D61" i="37"/>
  <c r="C61" i="37"/>
  <c r="Y60" i="37"/>
  <c r="T60" i="37"/>
  <c r="S60" i="37"/>
  <c r="R60" i="37"/>
  <c r="R58" i="37" s="1"/>
  <c r="Q60" i="37"/>
  <c r="P60" i="37"/>
  <c r="L60" i="37"/>
  <c r="K60" i="37"/>
  <c r="J60" i="37"/>
  <c r="I60" i="37"/>
  <c r="I58" i="37" s="1"/>
  <c r="H60" i="37"/>
  <c r="G60" i="37"/>
  <c r="F60" i="37"/>
  <c r="E60" i="37"/>
  <c r="D60" i="37"/>
  <c r="C60" i="37"/>
  <c r="C58" i="37" s="1"/>
  <c r="Y59" i="37"/>
  <c r="T59" i="37"/>
  <c r="T58" i="37" s="1"/>
  <c r="S59" i="37"/>
  <c r="R59" i="37"/>
  <c r="Q59" i="37"/>
  <c r="P59" i="37"/>
  <c r="U59" i="37" s="1"/>
  <c r="L59" i="37"/>
  <c r="K59" i="37"/>
  <c r="J59" i="37"/>
  <c r="I59" i="37"/>
  <c r="H59" i="37"/>
  <c r="H58" i="37" s="1"/>
  <c r="G59" i="37"/>
  <c r="G58" i="37" s="1"/>
  <c r="F59" i="37"/>
  <c r="E59" i="37"/>
  <c r="D59" i="37"/>
  <c r="D58" i="37" s="1"/>
  <c r="C59" i="37"/>
  <c r="S58" i="37"/>
  <c r="Q58" i="37"/>
  <c r="J58" i="37"/>
  <c r="AD54" i="37"/>
  <c r="U54" i="37"/>
  <c r="L54" i="37"/>
  <c r="K54" i="37"/>
  <c r="J54" i="37"/>
  <c r="I54" i="37"/>
  <c r="M54" i="37" s="1"/>
  <c r="H54" i="37"/>
  <c r="G54" i="37"/>
  <c r="F54" i="37"/>
  <c r="E54" i="37"/>
  <c r="D54" i="37"/>
  <c r="C54" i="37"/>
  <c r="Q52" i="37"/>
  <c r="Y51" i="37"/>
  <c r="T51" i="37"/>
  <c r="S51" i="37"/>
  <c r="R51" i="37"/>
  <c r="Q51" i="37"/>
  <c r="P51" i="37"/>
  <c r="L51" i="37"/>
  <c r="P52" i="37" s="1"/>
  <c r="K51" i="37"/>
  <c r="K52" i="37" s="1"/>
  <c r="J51" i="37"/>
  <c r="I51" i="37"/>
  <c r="J52" i="37" s="1"/>
  <c r="H51" i="37"/>
  <c r="G51" i="37"/>
  <c r="F51" i="37"/>
  <c r="E51" i="37"/>
  <c r="D51" i="37"/>
  <c r="C51" i="37"/>
  <c r="J45" i="37"/>
  <c r="R39" i="37"/>
  <c r="Q39" i="37"/>
  <c r="P39" i="37"/>
  <c r="L39" i="37"/>
  <c r="K39" i="37"/>
  <c r="J39" i="37"/>
  <c r="I39" i="37"/>
  <c r="H39" i="37"/>
  <c r="AD38" i="37"/>
  <c r="W38" i="37"/>
  <c r="U38" i="37"/>
  <c r="M38" i="37"/>
  <c r="AD37" i="37"/>
  <c r="W37" i="37"/>
  <c r="U37" i="37"/>
  <c r="M37" i="37"/>
  <c r="AA36" i="37"/>
  <c r="Z36" i="37"/>
  <c r="Y36" i="37"/>
  <c r="U36" i="37"/>
  <c r="O36" i="37"/>
  <c r="M36" i="37"/>
  <c r="AD35" i="37"/>
  <c r="AG35" i="37" s="1"/>
  <c r="U35" i="37"/>
  <c r="M35" i="37"/>
  <c r="AD34" i="37"/>
  <c r="U34" i="37"/>
  <c r="O34" i="37"/>
  <c r="M34" i="37"/>
  <c r="AA33" i="37"/>
  <c r="Z33" i="37"/>
  <c r="Y33" i="37"/>
  <c r="AD33" i="37" s="1"/>
  <c r="AG33" i="37" s="1"/>
  <c r="U33" i="37"/>
  <c r="O33" i="37"/>
  <c r="M33" i="37"/>
  <c r="AA32" i="37"/>
  <c r="Z32" i="37"/>
  <c r="Y32" i="37"/>
  <c r="U32" i="37"/>
  <c r="O32" i="37"/>
  <c r="M32" i="37"/>
  <c r="T31" i="37"/>
  <c r="S31" i="37"/>
  <c r="U31" i="37" s="1"/>
  <c r="O31" i="37"/>
  <c r="M31" i="37"/>
  <c r="F31" i="37"/>
  <c r="F152" i="37" s="1"/>
  <c r="E31" i="37"/>
  <c r="D31" i="37"/>
  <c r="D152" i="37" s="1"/>
  <c r="C31" i="37"/>
  <c r="C152" i="37" s="1"/>
  <c r="AD29" i="37"/>
  <c r="U29" i="37"/>
  <c r="AC28" i="37"/>
  <c r="AC135" i="37" s="1"/>
  <c r="AB28" i="37"/>
  <c r="AB97" i="37" s="1"/>
  <c r="AA28" i="37"/>
  <c r="Z28" i="37"/>
  <c r="U28" i="37"/>
  <c r="M28" i="37"/>
  <c r="M97" i="37" s="1"/>
  <c r="AC27" i="37"/>
  <c r="AB27" i="37"/>
  <c r="AA27" i="37"/>
  <c r="AA62" i="37" s="1"/>
  <c r="Z27" i="37"/>
  <c r="Z62" i="37" s="1"/>
  <c r="U27" i="37"/>
  <c r="M27" i="37"/>
  <c r="M62" i="37" s="1"/>
  <c r="AC26" i="37"/>
  <c r="AB26" i="37"/>
  <c r="AA26" i="37"/>
  <c r="Z26" i="37"/>
  <c r="U26" i="37"/>
  <c r="X26" i="37" s="1"/>
  <c r="M26" i="37"/>
  <c r="AC25" i="37"/>
  <c r="AC122" i="37" s="1"/>
  <c r="AB25" i="37"/>
  <c r="AB122" i="37" s="1"/>
  <c r="AA25" i="37"/>
  <c r="AA122" i="37" s="1"/>
  <c r="Z25" i="37"/>
  <c r="Z122" i="37" s="1"/>
  <c r="U25" i="37"/>
  <c r="M25" i="37"/>
  <c r="M122" i="37" s="1"/>
  <c r="AC24" i="37"/>
  <c r="AB24" i="37"/>
  <c r="AA24" i="37"/>
  <c r="Z24" i="37"/>
  <c r="U24" i="37"/>
  <c r="M24" i="37"/>
  <c r="AC23" i="37"/>
  <c r="AB23" i="37"/>
  <c r="AA23" i="37"/>
  <c r="Z23" i="37"/>
  <c r="U23" i="37"/>
  <c r="M23" i="37"/>
  <c r="AC22" i="37"/>
  <c r="AB22" i="37"/>
  <c r="AA22" i="37"/>
  <c r="Z22" i="37"/>
  <c r="U22" i="37"/>
  <c r="X22" i="37" s="1"/>
  <c r="M22" i="37"/>
  <c r="AC21" i="37"/>
  <c r="AC119" i="37" s="1"/>
  <c r="AB21" i="37"/>
  <c r="AB119" i="37" s="1"/>
  <c r="AA21" i="37"/>
  <c r="AA119" i="37" s="1"/>
  <c r="Z21" i="37"/>
  <c r="X21" i="37"/>
  <c r="U21" i="37"/>
  <c r="M21" i="37"/>
  <c r="AC20" i="37"/>
  <c r="AC91" i="37" s="1"/>
  <c r="AB20" i="37"/>
  <c r="AB91" i="37" s="1"/>
  <c r="AA20" i="37"/>
  <c r="AA91" i="37" s="1"/>
  <c r="Z20" i="37"/>
  <c r="Z91" i="37" s="1"/>
  <c r="U20" i="37"/>
  <c r="M20" i="37"/>
  <c r="M91" i="37" s="1"/>
  <c r="AC19" i="37"/>
  <c r="AC116" i="37" s="1"/>
  <c r="AB19" i="37"/>
  <c r="AB116" i="37" s="1"/>
  <c r="AA19" i="37"/>
  <c r="AA116" i="37" s="1"/>
  <c r="Z19" i="37"/>
  <c r="U19" i="37"/>
  <c r="X19" i="37" s="1"/>
  <c r="M19" i="37"/>
  <c r="AC18" i="37"/>
  <c r="AC61" i="37" s="1"/>
  <c r="AB18" i="37"/>
  <c r="AB61" i="37" s="1"/>
  <c r="AA18" i="37"/>
  <c r="AA61" i="37" s="1"/>
  <c r="Z18" i="37"/>
  <c r="Z88" i="37" s="1"/>
  <c r="U18" i="37"/>
  <c r="X18" i="37" s="1"/>
  <c r="M18" i="37"/>
  <c r="M88" i="37" s="1"/>
  <c r="AC17" i="37"/>
  <c r="AC110" i="37" s="1"/>
  <c r="AB17" i="37"/>
  <c r="AB110" i="37" s="1"/>
  <c r="AA17" i="37"/>
  <c r="AA110" i="37" s="1"/>
  <c r="Z17" i="37"/>
  <c r="X17" i="37"/>
  <c r="U17" i="37"/>
  <c r="M17" i="37"/>
  <c r="F17" i="37"/>
  <c r="F110" i="37" s="1"/>
  <c r="E17" i="37"/>
  <c r="D17" i="37"/>
  <c r="C17" i="37"/>
  <c r="AC16" i="37"/>
  <c r="AC113" i="37" s="1"/>
  <c r="AB16" i="37"/>
  <c r="AB113" i="37" s="1"/>
  <c r="AA16" i="37"/>
  <c r="AA113" i="37" s="1"/>
  <c r="Z16" i="37"/>
  <c r="U16" i="37"/>
  <c r="M16" i="37"/>
  <c r="AC15" i="37"/>
  <c r="AB15" i="37"/>
  <c r="AA15" i="37"/>
  <c r="Z15" i="37"/>
  <c r="U15" i="37"/>
  <c r="M15" i="37"/>
  <c r="AC14" i="37"/>
  <c r="AC107" i="37" s="1"/>
  <c r="AB14" i="37"/>
  <c r="AB107" i="37" s="1"/>
  <c r="AA14" i="37"/>
  <c r="AA107" i="37" s="1"/>
  <c r="Z14" i="37"/>
  <c r="U14" i="37"/>
  <c r="X14" i="37" s="1"/>
  <c r="M14" i="37"/>
  <c r="M107" i="37" s="1"/>
  <c r="AC13" i="37"/>
  <c r="AC85" i="37" s="1"/>
  <c r="AB13" i="37"/>
  <c r="AB85" i="37" s="1"/>
  <c r="AA13" i="37"/>
  <c r="AA85" i="37" s="1"/>
  <c r="Z13" i="37"/>
  <c r="Z85" i="37" s="1"/>
  <c r="U13" i="37"/>
  <c r="X13" i="37" s="1"/>
  <c r="M13" i="37"/>
  <c r="M85" i="37" s="1"/>
  <c r="AC12" i="37"/>
  <c r="AC100" i="37" s="1"/>
  <c r="AB12" i="37"/>
  <c r="AB100" i="37" s="1"/>
  <c r="AA12" i="37"/>
  <c r="Z12" i="37"/>
  <c r="X12" i="37"/>
  <c r="U12" i="37"/>
  <c r="M12" i="37"/>
  <c r="AC11" i="37"/>
  <c r="AB11" i="37"/>
  <c r="AA11" i="37"/>
  <c r="AA82" i="37" s="1"/>
  <c r="Z11" i="37"/>
  <c r="Z82" i="37" s="1"/>
  <c r="U11" i="37"/>
  <c r="X11" i="37" s="1"/>
  <c r="M11" i="37"/>
  <c r="AC10" i="37"/>
  <c r="AC59" i="37" s="1"/>
  <c r="AB10" i="37"/>
  <c r="AA10" i="37"/>
  <c r="Z10" i="37"/>
  <c r="Z59" i="37" s="1"/>
  <c r="U10" i="37"/>
  <c r="X10" i="37" s="1"/>
  <c r="M10" i="37"/>
  <c r="M79" i="37" s="1"/>
  <c r="T9" i="37"/>
  <c r="Y8" i="37"/>
  <c r="Y45" i="37" s="1"/>
  <c r="T8" i="37"/>
  <c r="T7" i="37" s="1"/>
  <c r="S8" i="37"/>
  <c r="S129" i="37" s="1"/>
  <c r="R8" i="37"/>
  <c r="Q8" i="37"/>
  <c r="P8" i="37"/>
  <c r="L8" i="37"/>
  <c r="L45" i="37" s="1"/>
  <c r="K8" i="37"/>
  <c r="K45" i="37" s="1"/>
  <c r="K46" i="37" s="1"/>
  <c r="J8" i="37"/>
  <c r="J7" i="37" s="1"/>
  <c r="I8" i="37"/>
  <c r="I45" i="37" s="1"/>
  <c r="H8" i="37"/>
  <c r="G8" i="37"/>
  <c r="F8" i="37"/>
  <c r="F45" i="37" s="1"/>
  <c r="S7" i="37"/>
  <c r="S40" i="37" s="1"/>
  <c r="J10" i="36"/>
  <c r="J8" i="36" s="1"/>
  <c r="C10" i="36"/>
  <c r="C8" i="36" s="1"/>
  <c r="D214" i="35"/>
  <c r="F208" i="35"/>
  <c r="F209" i="35" s="1"/>
  <c r="F206" i="35"/>
  <c r="F207" i="35" s="1"/>
  <c r="A194" i="35"/>
  <c r="A195" i="35" s="1"/>
  <c r="A196" i="35" s="1"/>
  <c r="A197" i="35" s="1"/>
  <c r="A198" i="35" s="1"/>
  <c r="E186" i="35"/>
  <c r="E177" i="35"/>
  <c r="G170" i="35"/>
  <c r="G169" i="35"/>
  <c r="G168" i="35"/>
  <c r="G167" i="35"/>
  <c r="G165" i="35" s="1"/>
  <c r="G166" i="35"/>
  <c r="E164" i="35"/>
  <c r="G164" i="35" s="1"/>
  <c r="G160" i="35"/>
  <c r="E160" i="35"/>
  <c r="E159" i="35"/>
  <c r="G159" i="35" s="1"/>
  <c r="G158" i="35"/>
  <c r="E158" i="35"/>
  <c r="D155" i="35"/>
  <c r="G155" i="35" s="1"/>
  <c r="E154" i="35"/>
  <c r="G154" i="35" s="1"/>
  <c r="G152" i="35" s="1"/>
  <c r="G153" i="35"/>
  <c r="E150" i="35"/>
  <c r="G150" i="35" s="1"/>
  <c r="G149" i="35"/>
  <c r="E149" i="35"/>
  <c r="E148" i="35"/>
  <c r="G145" i="35"/>
  <c r="G144" i="35"/>
  <c r="G143" i="35" s="1"/>
  <c r="E141" i="35"/>
  <c r="G141" i="35" s="1"/>
  <c r="E140" i="35"/>
  <c r="G140" i="35" s="1"/>
  <c r="E139" i="35"/>
  <c r="G139" i="35" s="1"/>
  <c r="G136" i="35"/>
  <c r="F135" i="35"/>
  <c r="G135" i="35" s="1"/>
  <c r="E131" i="35"/>
  <c r="G131" i="35" s="1"/>
  <c r="G130" i="35"/>
  <c r="E130" i="35"/>
  <c r="E129" i="35"/>
  <c r="G129" i="35" s="1"/>
  <c r="E125" i="35"/>
  <c r="G125" i="35" s="1"/>
  <c r="E124" i="35"/>
  <c r="G124" i="35" s="1"/>
  <c r="E123" i="35"/>
  <c r="E119" i="35"/>
  <c r="G119" i="35" s="1"/>
  <c r="E118" i="35"/>
  <c r="G117" i="35"/>
  <c r="E117" i="35"/>
  <c r="G114" i="35"/>
  <c r="G112" i="35"/>
  <c r="E112" i="35"/>
  <c r="E111" i="35"/>
  <c r="G111" i="35" s="1"/>
  <c r="E110" i="35"/>
  <c r="F105" i="35"/>
  <c r="G105" i="35" s="1"/>
  <c r="F104" i="35"/>
  <c r="G104" i="35" s="1"/>
  <c r="F103" i="35"/>
  <c r="G103" i="35" s="1"/>
  <c r="F102" i="35"/>
  <c r="G102" i="35" s="1"/>
  <c r="E101" i="35"/>
  <c r="F99" i="35"/>
  <c r="G99" i="35" s="1"/>
  <c r="G98" i="35"/>
  <c r="F98" i="35"/>
  <c r="F97" i="35"/>
  <c r="G97" i="35" s="1"/>
  <c r="E96" i="35"/>
  <c r="G95" i="35"/>
  <c r="E94" i="35"/>
  <c r="E93" i="35" s="1"/>
  <c r="E91" i="35"/>
  <c r="G91" i="35" s="1"/>
  <c r="E90" i="35"/>
  <c r="E89" i="35" s="1"/>
  <c r="E84" i="35"/>
  <c r="G85" i="35" s="1"/>
  <c r="G83" i="35"/>
  <c r="F83" i="35"/>
  <c r="E83" i="35"/>
  <c r="E92" i="35" s="1"/>
  <c r="G92" i="35" s="1"/>
  <c r="F82" i="35"/>
  <c r="G82" i="35" s="1"/>
  <c r="F81" i="35"/>
  <c r="G81" i="35" s="1"/>
  <c r="E80" i="35"/>
  <c r="G77" i="35"/>
  <c r="E75" i="35"/>
  <c r="E70" i="35"/>
  <c r="G70" i="35" s="1"/>
  <c r="G68" i="35" s="1"/>
  <c r="G69" i="35"/>
  <c r="E67" i="35"/>
  <c r="E65" i="35" s="1"/>
  <c r="G66" i="35"/>
  <c r="E63" i="35"/>
  <c r="G63" i="35" s="1"/>
  <c r="E62" i="35"/>
  <c r="G62" i="35" s="1"/>
  <c r="E61" i="35"/>
  <c r="G61" i="35" s="1"/>
  <c r="F57" i="35"/>
  <c r="G57" i="35" s="1"/>
  <c r="F56" i="35"/>
  <c r="G56" i="35" s="1"/>
  <c r="F55" i="35"/>
  <c r="G55" i="35" s="1"/>
  <c r="G54" i="35"/>
  <c r="F54" i="35"/>
  <c r="F53" i="35"/>
  <c r="G53" i="35" s="1"/>
  <c r="F52" i="35"/>
  <c r="G52" i="35" s="1"/>
  <c r="F51" i="35"/>
  <c r="G51" i="35" s="1"/>
  <c r="G50" i="35"/>
  <c r="E48" i="35"/>
  <c r="E151" i="35" s="1"/>
  <c r="G151" i="35" s="1"/>
  <c r="G47" i="35"/>
  <c r="G46" i="35"/>
  <c r="G45" i="35"/>
  <c r="G41" i="35"/>
  <c r="E41" i="35"/>
  <c r="E40" i="35"/>
  <c r="G40" i="35" s="1"/>
  <c r="E39" i="35"/>
  <c r="G39" i="35" s="1"/>
  <c r="I37" i="35"/>
  <c r="G34" i="35"/>
  <c r="F34" i="35"/>
  <c r="E34" i="35"/>
  <c r="F33" i="35"/>
  <c r="F32" i="35"/>
  <c r="G32" i="35" s="1"/>
  <c r="G31" i="35" s="1"/>
  <c r="E24" i="35"/>
  <c r="G26" i="35" s="1"/>
  <c r="G19" i="35"/>
  <c r="G18" i="35"/>
  <c r="G17" i="35"/>
  <c r="G16" i="35"/>
  <c r="E15" i="35"/>
  <c r="I14" i="35"/>
  <c r="D13" i="35"/>
  <c r="D9" i="35"/>
  <c r="B8" i="35"/>
  <c r="C8" i="35" s="1"/>
  <c r="D8" i="35" s="1"/>
  <c r="E8" i="35" s="1"/>
  <c r="F8" i="35" s="1"/>
  <c r="G8" i="35" s="1"/>
  <c r="F99" i="34"/>
  <c r="D59" i="34"/>
  <c r="D58" i="34"/>
  <c r="D57" i="34"/>
  <c r="C21" i="34"/>
  <c r="H20" i="34"/>
  <c r="C20" i="34"/>
  <c r="I19" i="34"/>
  <c r="I18" i="34"/>
  <c r="I17" i="34"/>
  <c r="I20" i="34" s="1"/>
  <c r="I16" i="34"/>
  <c r="I15" i="34"/>
  <c r="K15" i="34" s="1"/>
  <c r="C13" i="34"/>
  <c r="C7" i="34"/>
  <c r="B6" i="34"/>
  <c r="C6" i="34" s="1"/>
  <c r="D6" i="34" s="1"/>
  <c r="E41" i="33"/>
  <c r="E40" i="33"/>
  <c r="D39" i="33"/>
  <c r="E39" i="33" s="1"/>
  <c r="C39" i="33"/>
  <c r="E38" i="33"/>
  <c r="E37" i="33"/>
  <c r="E36" i="33"/>
  <c r="E35" i="33"/>
  <c r="E34" i="33"/>
  <c r="E33" i="33"/>
  <c r="E32" i="33"/>
  <c r="E31" i="33"/>
  <c r="E30" i="33"/>
  <c r="E29" i="33"/>
  <c r="E28" i="33"/>
  <c r="E27" i="33"/>
  <c r="E26" i="33"/>
  <c r="D25" i="33"/>
  <c r="C25" i="33"/>
  <c r="D24" i="33"/>
  <c r="C22" i="33"/>
  <c r="E22" i="33" s="1"/>
  <c r="E21" i="33"/>
  <c r="E20" i="33"/>
  <c r="E19" i="33"/>
  <c r="E18" i="33"/>
  <c r="D17" i="33"/>
  <c r="E17" i="33" s="1"/>
  <c r="C17" i="33"/>
  <c r="C15" i="33" s="1"/>
  <c r="E16" i="33"/>
  <c r="D15" i="33"/>
  <c r="E14" i="33"/>
  <c r="E12" i="33"/>
  <c r="E11" i="33"/>
  <c r="E10" i="33"/>
  <c r="E9" i="33"/>
  <c r="D9" i="33"/>
  <c r="D7" i="33"/>
  <c r="C7" i="33"/>
  <c r="C45" i="33" s="1"/>
  <c r="D6" i="33"/>
  <c r="C6" i="33"/>
  <c r="E195" i="32"/>
  <c r="F175" i="32"/>
  <c r="E175" i="32"/>
  <c r="F174" i="32"/>
  <c r="E174" i="32"/>
  <c r="F173" i="32"/>
  <c r="E173" i="32"/>
  <c r="F172" i="32"/>
  <c r="E172" i="32"/>
  <c r="F171" i="32"/>
  <c r="E171" i="32"/>
  <c r="F151" i="32"/>
  <c r="E151" i="32"/>
  <c r="E150" i="32"/>
  <c r="E149" i="32"/>
  <c r="F148" i="32"/>
  <c r="E148" i="32"/>
  <c r="E147" i="32"/>
  <c r="F142" i="32"/>
  <c r="E142" i="32"/>
  <c r="F141" i="32"/>
  <c r="E141" i="32"/>
  <c r="F140" i="32"/>
  <c r="E140" i="32"/>
  <c r="F139" i="32"/>
  <c r="E139" i="32"/>
  <c r="C132" i="32"/>
  <c r="F132" i="32" s="1"/>
  <c r="E131" i="32"/>
  <c r="F130" i="32"/>
  <c r="E130" i="32"/>
  <c r="F129" i="32"/>
  <c r="E129" i="32"/>
  <c r="E128" i="32"/>
  <c r="F123" i="32"/>
  <c r="E123" i="32"/>
  <c r="F122" i="32"/>
  <c r="E122" i="32"/>
  <c r="F121" i="32"/>
  <c r="E121" i="32"/>
  <c r="F120" i="32"/>
  <c r="E120" i="32"/>
  <c r="F109" i="32"/>
  <c r="E109" i="32"/>
  <c r="F108" i="32"/>
  <c r="E108" i="32"/>
  <c r="F107" i="32"/>
  <c r="E107" i="32"/>
  <c r="F106" i="32"/>
  <c r="E106" i="32"/>
  <c r="F99" i="32"/>
  <c r="E99" i="32"/>
  <c r="F98" i="32"/>
  <c r="E98" i="32"/>
  <c r="F97" i="32"/>
  <c r="E97" i="32"/>
  <c r="F96" i="32"/>
  <c r="E96" i="32"/>
  <c r="F89" i="32"/>
  <c r="E89" i="32"/>
  <c r="F88" i="32"/>
  <c r="E88" i="32"/>
  <c r="F87" i="32"/>
  <c r="E87" i="32"/>
  <c r="F86" i="32"/>
  <c r="E86" i="32"/>
  <c r="F77" i="32"/>
  <c r="E77" i="32"/>
  <c r="F76" i="32"/>
  <c r="E76" i="32"/>
  <c r="F75" i="32"/>
  <c r="E75" i="32"/>
  <c r="F74" i="32"/>
  <c r="E74" i="32"/>
  <c r="C68" i="32"/>
  <c r="D67" i="32"/>
  <c r="D68" i="32" s="1"/>
  <c r="E66" i="32"/>
  <c r="F61" i="32"/>
  <c r="E61" i="32"/>
  <c r="F60" i="32"/>
  <c r="E60" i="32"/>
  <c r="F58" i="32"/>
  <c r="E58" i="32"/>
  <c r="F57" i="32"/>
  <c r="E57" i="32"/>
  <c r="F51" i="32"/>
  <c r="E51" i="32"/>
  <c r="F50" i="32"/>
  <c r="E50" i="32"/>
  <c r="F49" i="32"/>
  <c r="E49" i="32"/>
  <c r="F48" i="32"/>
  <c r="E48" i="32"/>
  <c r="F40" i="32"/>
  <c r="E40" i="32"/>
  <c r="F39" i="32"/>
  <c r="E39" i="32"/>
  <c r="F38" i="32"/>
  <c r="E38" i="32"/>
  <c r="F37" i="32"/>
  <c r="E37" i="32"/>
  <c r="F30" i="32"/>
  <c r="E30" i="32"/>
  <c r="F29" i="32"/>
  <c r="E29" i="32"/>
  <c r="F28" i="32"/>
  <c r="E28" i="32"/>
  <c r="F27" i="32"/>
  <c r="E27" i="32"/>
  <c r="C16" i="32"/>
  <c r="D15" i="32"/>
  <c r="D16" i="32" s="1"/>
  <c r="E14" i="32"/>
  <c r="F10" i="32"/>
  <c r="E10" i="32"/>
  <c r="F9" i="32"/>
  <c r="E9" i="32"/>
  <c r="F8" i="32"/>
  <c r="E8" i="32"/>
  <c r="F7" i="32"/>
  <c r="E7" i="32"/>
  <c r="G37" i="31"/>
  <c r="C32" i="31"/>
  <c r="F32" i="31" s="1"/>
  <c r="C29" i="31"/>
  <c r="F29" i="31" s="1"/>
  <c r="D25" i="31"/>
  <c r="C19" i="31"/>
  <c r="H19" i="31" s="1"/>
  <c r="E5" i="31"/>
  <c r="C5" i="31"/>
  <c r="C50" i="30"/>
  <c r="C46" i="30"/>
  <c r="I14" i="27"/>
  <c r="H14" i="27"/>
  <c r="G14" i="27"/>
  <c r="F14" i="27"/>
  <c r="E14" i="27"/>
  <c r="D14" i="27"/>
  <c r="C14" i="27"/>
  <c r="J13" i="27"/>
  <c r="J12" i="27"/>
  <c r="J11" i="27"/>
  <c r="J10" i="27"/>
  <c r="J9" i="27"/>
  <c r="J7" i="27"/>
  <c r="J6" i="27"/>
  <c r="E33" i="26"/>
  <c r="C33" i="26"/>
  <c r="E32" i="26"/>
  <c r="C32" i="26"/>
  <c r="E30" i="26"/>
  <c r="C30" i="26"/>
  <c r="E29" i="26"/>
  <c r="C29" i="26"/>
  <c r="E28" i="26"/>
  <c r="C28" i="26"/>
  <c r="E27" i="26"/>
  <c r="H27" i="26" s="1"/>
  <c r="E26" i="26"/>
  <c r="C26" i="26"/>
  <c r="E25" i="26"/>
  <c r="C25" i="26"/>
  <c r="H24" i="26"/>
  <c r="H23" i="26"/>
  <c r="E22" i="26"/>
  <c r="C22" i="26"/>
  <c r="G21" i="26"/>
  <c r="F21" i="26"/>
  <c r="F18" i="26" s="1"/>
  <c r="E20" i="26"/>
  <c r="H20" i="26" s="1"/>
  <c r="D20" i="26"/>
  <c r="D18" i="26" s="1"/>
  <c r="E19" i="26"/>
  <c r="C19" i="26"/>
  <c r="G18" i="26"/>
  <c r="E17" i="26"/>
  <c r="C17" i="26"/>
  <c r="D17" i="26" s="1"/>
  <c r="H16" i="26"/>
  <c r="E15" i="26"/>
  <c r="H15" i="26" s="1"/>
  <c r="D15" i="26"/>
  <c r="E14" i="26"/>
  <c r="E13" i="26" s="1"/>
  <c r="C14" i="26"/>
  <c r="C13" i="26" s="1"/>
  <c r="G13" i="26"/>
  <c r="F13" i="26"/>
  <c r="F7" i="26" s="1"/>
  <c r="C12" i="26"/>
  <c r="E12" i="26" s="1"/>
  <c r="I12" i="26" s="1"/>
  <c r="E10" i="26"/>
  <c r="C10" i="26"/>
  <c r="E9" i="26"/>
  <c r="C9" i="26"/>
  <c r="E8" i="26"/>
  <c r="D8" i="26"/>
  <c r="D7" i="26" s="1"/>
  <c r="C8" i="26"/>
  <c r="G6" i="26"/>
  <c r="F6" i="26"/>
  <c r="C6" i="26"/>
  <c r="D6" i="26" s="1"/>
  <c r="U42" i="38" l="1"/>
  <c r="V41" i="38"/>
  <c r="J46" i="37"/>
  <c r="E25" i="33"/>
  <c r="J9" i="37"/>
  <c r="J131" i="37" s="1"/>
  <c r="T45" i="37"/>
  <c r="Y46" i="37" s="1"/>
  <c r="U61" i="37"/>
  <c r="X61" i="37" s="1"/>
  <c r="S117" i="37"/>
  <c r="AD133" i="37"/>
  <c r="P142" i="37"/>
  <c r="AD153" i="37"/>
  <c r="R38" i="38"/>
  <c r="U37" i="38" s="1"/>
  <c r="J14" i="27"/>
  <c r="E7" i="33"/>
  <c r="E68" i="35"/>
  <c r="G162" i="35"/>
  <c r="K9" i="37"/>
  <c r="R70" i="37"/>
  <c r="N59" i="37"/>
  <c r="K111" i="37"/>
  <c r="Z159" i="37"/>
  <c r="Z160" i="37" s="1"/>
  <c r="R108" i="41"/>
  <c r="S108" i="41" s="1"/>
  <c r="G15" i="35"/>
  <c r="G133" i="35"/>
  <c r="L9" i="37"/>
  <c r="X15" i="37"/>
  <c r="X20" i="37"/>
  <c r="M59" i="37"/>
  <c r="X59" i="37" s="1"/>
  <c r="S120" i="37"/>
  <c r="M133" i="37"/>
  <c r="L136" i="37"/>
  <c r="R137" i="37"/>
  <c r="D60" i="38"/>
  <c r="E82" i="38"/>
  <c r="S44" i="42"/>
  <c r="G90" i="35"/>
  <c r="G89" i="35" s="1"/>
  <c r="G88" i="35" s="1"/>
  <c r="F7" i="37"/>
  <c r="U62" i="37"/>
  <c r="F76" i="37"/>
  <c r="G76" i="37"/>
  <c r="G166" i="37"/>
  <c r="M10" i="38"/>
  <c r="P42" i="38"/>
  <c r="G30" i="35"/>
  <c r="E38" i="38"/>
  <c r="V39" i="38"/>
  <c r="V40" i="38" s="1"/>
  <c r="C24" i="33"/>
  <c r="C23" i="33" s="1"/>
  <c r="C13" i="33" s="1"/>
  <c r="C5" i="33" s="1"/>
  <c r="K7" i="37"/>
  <c r="K43" i="37" s="1"/>
  <c r="K47" i="37" s="1"/>
  <c r="X28" i="37"/>
  <c r="E58" i="37"/>
  <c r="H77" i="37"/>
  <c r="H137" i="37"/>
  <c r="D161" i="37"/>
  <c r="E73" i="38"/>
  <c r="I81" i="38"/>
  <c r="D23" i="33"/>
  <c r="D13" i="33" s="1"/>
  <c r="G49" i="35"/>
  <c r="G94" i="35"/>
  <c r="G93" i="35" s="1"/>
  <c r="L7" i="37"/>
  <c r="N39" i="37"/>
  <c r="F58" i="37"/>
  <c r="U60" i="37"/>
  <c r="U133" i="37"/>
  <c r="S136" i="37"/>
  <c r="AA185" i="37"/>
  <c r="C17" i="34"/>
  <c r="C8" i="34" s="1"/>
  <c r="Y58" i="37"/>
  <c r="Y70" i="37" s="1"/>
  <c r="U100" i="37"/>
  <c r="H67" i="38"/>
  <c r="G96" i="35"/>
  <c r="X23" i="37"/>
  <c r="AD36" i="37"/>
  <c r="AG36" i="37" s="1"/>
  <c r="N61" i="37"/>
  <c r="L76" i="37"/>
  <c r="H101" i="37"/>
  <c r="S126" i="37"/>
  <c r="E146" i="35"/>
  <c r="F9" i="37"/>
  <c r="F48" i="37" s="1"/>
  <c r="M61" i="37"/>
  <c r="M147" i="37"/>
  <c r="P54" i="38"/>
  <c r="C75" i="160"/>
  <c r="J10" i="160"/>
  <c r="C75" i="159"/>
  <c r="J10" i="159"/>
  <c r="C75" i="161"/>
  <c r="J10" i="161"/>
  <c r="AD35" i="40"/>
  <c r="C9" i="36"/>
  <c r="C7" i="36"/>
  <c r="D21" i="31"/>
  <c r="J28" i="40"/>
  <c r="AB175" i="2"/>
  <c r="AB198" i="2" s="1"/>
  <c r="AB217" i="2"/>
  <c r="H8" i="26"/>
  <c r="L34" i="40"/>
  <c r="N102" i="40"/>
  <c r="H17" i="26"/>
  <c r="H22" i="26"/>
  <c r="AA143" i="37"/>
  <c r="AA138" i="37" s="1"/>
  <c r="AA137" i="37" s="1"/>
  <c r="E16" i="44"/>
  <c r="C16" i="44" s="1"/>
  <c r="I16" i="44" s="1"/>
  <c r="Q31" i="38"/>
  <c r="H35" i="39"/>
  <c r="Z30" i="38"/>
  <c r="I32" i="26"/>
  <c r="I142" i="37"/>
  <c r="Q19" i="36"/>
  <c r="Q30" i="38"/>
  <c r="T30" i="38" s="1"/>
  <c r="E13" i="44"/>
  <c r="C13" i="44" s="1"/>
  <c r="I13" i="44" s="1"/>
  <c r="E17" i="44"/>
  <c r="C17" i="44" s="1"/>
  <c r="I17" i="44" s="1"/>
  <c r="E19" i="44"/>
  <c r="C19" i="44" s="1"/>
  <c r="I19" i="44" s="1"/>
  <c r="I11" i="42"/>
  <c r="O132" i="38"/>
  <c r="H9" i="26"/>
  <c r="E8" i="44"/>
  <c r="C8" i="44" s="1"/>
  <c r="I8" i="44" s="1"/>
  <c r="AB92" i="37"/>
  <c r="Q32" i="38"/>
  <c r="T142" i="37"/>
  <c r="U142" i="37" s="1"/>
  <c r="X135" i="38"/>
  <c r="T43" i="42"/>
  <c r="E9" i="44"/>
  <c r="C9" i="44" s="1"/>
  <c r="I9" i="44" s="1"/>
  <c r="E11" i="44"/>
  <c r="C11" i="44" s="1"/>
  <c r="I11" i="44" s="1"/>
  <c r="Q137" i="37"/>
  <c r="Y11" i="38"/>
  <c r="Y109" i="38" s="1"/>
  <c r="Y112" i="38" s="1"/>
  <c r="E40" i="40"/>
  <c r="D9" i="42"/>
  <c r="C9" i="42" s="1"/>
  <c r="Q48" i="40"/>
  <c r="J10" i="42"/>
  <c r="I10" i="42" s="1"/>
  <c r="AD27" i="37"/>
  <c r="AG27" i="37" s="1"/>
  <c r="AC51" i="37"/>
  <c r="Z61" i="37"/>
  <c r="AD61" i="37" s="1"/>
  <c r="AG61" i="37" s="1"/>
  <c r="AB88" i="37"/>
  <c r="AB8" i="37"/>
  <c r="AB9" i="37" s="1"/>
  <c r="AD25" i="37"/>
  <c r="AG25" i="37" s="1"/>
  <c r="Y135" i="38"/>
  <c r="U141" i="37"/>
  <c r="C33" i="42"/>
  <c r="Z143" i="37"/>
  <c r="Z138" i="37" s="1"/>
  <c r="Z137" i="37" s="1"/>
  <c r="U135" i="38"/>
  <c r="AD22" i="37"/>
  <c r="AG22" i="37" s="1"/>
  <c r="Y140" i="37"/>
  <c r="Q21" i="38"/>
  <c r="T21" i="38" s="1"/>
  <c r="F10" i="42"/>
  <c r="O11" i="42"/>
  <c r="L33" i="40"/>
  <c r="R12" i="40"/>
  <c r="R11" i="40" s="1"/>
  <c r="F13" i="40"/>
  <c r="F11" i="40" s="1"/>
  <c r="W27" i="40"/>
  <c r="X27" i="40" s="1"/>
  <c r="W20" i="40"/>
  <c r="X20" i="40" s="1"/>
  <c r="W19" i="40"/>
  <c r="X19" i="40" s="1"/>
  <c r="F23" i="40"/>
  <c r="Q82" i="40"/>
  <c r="Q83" i="40" s="1"/>
  <c r="R38" i="40"/>
  <c r="E11" i="40"/>
  <c r="AD13" i="40"/>
  <c r="AD14" i="40"/>
  <c r="F17" i="40"/>
  <c r="W21" i="40"/>
  <c r="X21" i="40" s="1"/>
  <c r="R24" i="40"/>
  <c r="M28" i="40"/>
  <c r="W25" i="40"/>
  <c r="X25" i="40" s="1"/>
  <c r="U41" i="40"/>
  <c r="L36" i="40"/>
  <c r="D11" i="40"/>
  <c r="T23" i="40"/>
  <c r="L30" i="40"/>
  <c r="AC44" i="40"/>
  <c r="AD44" i="40" s="1"/>
  <c r="E31" i="26"/>
  <c r="I33" i="26"/>
  <c r="H29" i="31"/>
  <c r="AB142" i="37"/>
  <c r="U11" i="38"/>
  <c r="U97" i="38" s="1"/>
  <c r="X73" i="38"/>
  <c r="Z31" i="38"/>
  <c r="C11" i="42"/>
  <c r="U146" i="37"/>
  <c r="V11" i="38"/>
  <c r="V109" i="38" s="1"/>
  <c r="Q15" i="38"/>
  <c r="U79" i="38"/>
  <c r="Q25" i="38"/>
  <c r="T25" i="38" s="1"/>
  <c r="E18" i="44"/>
  <c r="C18" i="44" s="1"/>
  <c r="I18" i="44" s="1"/>
  <c r="I19" i="26"/>
  <c r="AC97" i="37"/>
  <c r="AC98" i="37" s="1"/>
  <c r="M128" i="38"/>
  <c r="M8" i="38" s="1"/>
  <c r="M133" i="38" s="1"/>
  <c r="E41" i="30"/>
  <c r="F20" i="31"/>
  <c r="E21" i="26"/>
  <c r="E18" i="26" s="1"/>
  <c r="D8" i="36"/>
  <c r="I160" i="37"/>
  <c r="P11" i="38"/>
  <c r="P109" i="38" s="1"/>
  <c r="P118" i="38" s="1"/>
  <c r="I17" i="26"/>
  <c r="H26" i="26"/>
  <c r="C32" i="30"/>
  <c r="AB64" i="37"/>
  <c r="Z94" i="37"/>
  <c r="Z95" i="37" s="1"/>
  <c r="AC138" i="37"/>
  <c r="AC137" i="37" s="1"/>
  <c r="Y142" i="37"/>
  <c r="AD142" i="37" s="1"/>
  <c r="U73" i="38"/>
  <c r="I33" i="42"/>
  <c r="V91" i="38"/>
  <c r="Y29" i="40"/>
  <c r="Y33" i="40"/>
  <c r="W33" i="40"/>
  <c r="AA94" i="37"/>
  <c r="Y141" i="37"/>
  <c r="Y143" i="37"/>
  <c r="AD143" i="37" s="1"/>
  <c r="Q12" i="38"/>
  <c r="Q159" i="38" s="1"/>
  <c r="Q13" i="38"/>
  <c r="T13" i="38" s="1"/>
  <c r="Q14" i="38"/>
  <c r="T14" i="38" s="1"/>
  <c r="Y54" i="38"/>
  <c r="Z35" i="38"/>
  <c r="N135" i="38"/>
  <c r="H20" i="44"/>
  <c r="Z125" i="37"/>
  <c r="Z126" i="37" s="1"/>
  <c r="AD15" i="37"/>
  <c r="AG15" i="37" s="1"/>
  <c r="AC141" i="37"/>
  <c r="AD145" i="37"/>
  <c r="W20" i="38"/>
  <c r="W62" i="38" s="1"/>
  <c r="Y128" i="38"/>
  <c r="P132" i="38"/>
  <c r="O135" i="38"/>
  <c r="Q139" i="38"/>
  <c r="D189" i="35"/>
  <c r="AD139" i="37"/>
  <c r="S137" i="37"/>
  <c r="X20" i="38"/>
  <c r="X62" i="38" s="1"/>
  <c r="Z131" i="38"/>
  <c r="P128" i="38"/>
  <c r="I29" i="26"/>
  <c r="H32" i="31"/>
  <c r="I30" i="26"/>
  <c r="C11" i="26"/>
  <c r="I22" i="26"/>
  <c r="I26" i="26"/>
  <c r="Z142" i="37"/>
  <c r="G160" i="37"/>
  <c r="Z15" i="38"/>
  <c r="Z25" i="38"/>
  <c r="C21" i="26"/>
  <c r="C18" i="26" s="1"/>
  <c r="D12" i="26"/>
  <c r="H19" i="26"/>
  <c r="Z8" i="37"/>
  <c r="Z129" i="37" s="1"/>
  <c r="AB143" i="37"/>
  <c r="AB138" i="37" s="1"/>
  <c r="AB137" i="37" s="1"/>
  <c r="AD147" i="37"/>
  <c r="Z21" i="38"/>
  <c r="Z34" i="38"/>
  <c r="D20" i="44"/>
  <c r="E15" i="44"/>
  <c r="C15" i="44" s="1"/>
  <c r="I15" i="44" s="1"/>
  <c r="D12" i="45"/>
  <c r="H10" i="26"/>
  <c r="E11" i="26"/>
  <c r="C31" i="26"/>
  <c r="Z60" i="37"/>
  <c r="Z140" i="37"/>
  <c r="AC92" i="37"/>
  <c r="AA60" i="37"/>
  <c r="AA88" i="37"/>
  <c r="AA89" i="37" s="1"/>
  <c r="H142" i="37"/>
  <c r="J160" i="37"/>
  <c r="P56" i="38"/>
  <c r="P57" i="38" s="1"/>
  <c r="U128" i="38"/>
  <c r="V129" i="38" s="1"/>
  <c r="X128" i="38"/>
  <c r="X129" i="38" s="1"/>
  <c r="I137" i="38"/>
  <c r="F20" i="44"/>
  <c r="G20" i="44"/>
  <c r="E10" i="44"/>
  <c r="C10" i="44" s="1"/>
  <c r="I10" i="44" s="1"/>
  <c r="E12" i="44"/>
  <c r="C12" i="44" s="1"/>
  <c r="I12" i="44" s="1"/>
  <c r="E14" i="44"/>
  <c r="C14" i="44" s="1"/>
  <c r="I14" i="44" s="1"/>
  <c r="D37" i="45"/>
  <c r="I43" i="42"/>
  <c r="R43" i="42" s="1"/>
  <c r="K99" i="41"/>
  <c r="F100" i="41"/>
  <c r="L29" i="40"/>
  <c r="K28" i="40"/>
  <c r="X12" i="40"/>
  <c r="X24" i="40"/>
  <c r="T17" i="40"/>
  <c r="W37" i="40"/>
  <c r="U51" i="40"/>
  <c r="P51" i="40"/>
  <c r="J49" i="40"/>
  <c r="K49" i="40" s="1"/>
  <c r="L49" i="40" s="1"/>
  <c r="O51" i="40"/>
  <c r="U38" i="40"/>
  <c r="X48" i="40"/>
  <c r="U48" i="40"/>
  <c r="E17" i="40"/>
  <c r="R18" i="40"/>
  <c r="E23" i="40"/>
  <c r="W30" i="40"/>
  <c r="V38" i="40"/>
  <c r="W38" i="40" s="1"/>
  <c r="X38" i="40" s="1"/>
  <c r="U39" i="40"/>
  <c r="V49" i="40"/>
  <c r="W49" i="40" s="1"/>
  <c r="X49" i="40" s="1"/>
  <c r="U49" i="40"/>
  <c r="Q16" i="40"/>
  <c r="Q11" i="40" s="1"/>
  <c r="J23" i="40"/>
  <c r="Y30" i="40"/>
  <c r="AD30" i="40"/>
  <c r="L35" i="40"/>
  <c r="Q45" i="40"/>
  <c r="R45" i="40" s="1"/>
  <c r="O45" i="40"/>
  <c r="N84" i="40"/>
  <c r="N85" i="40" s="1"/>
  <c r="N86" i="40" s="1"/>
  <c r="U44" i="40"/>
  <c r="W44" i="40"/>
  <c r="X44" i="40" s="1"/>
  <c r="AA43" i="40"/>
  <c r="W46" i="40"/>
  <c r="X46" i="40" s="1"/>
  <c r="M11" i="42" s="1"/>
  <c r="S11" i="42" s="1"/>
  <c r="Q40" i="40"/>
  <c r="J50" i="40"/>
  <c r="J51" i="40"/>
  <c r="W76" i="38"/>
  <c r="X76" i="38"/>
  <c r="U139" i="38"/>
  <c r="U38" i="38"/>
  <c r="V37" i="38"/>
  <c r="U44" i="38"/>
  <c r="W111" i="38"/>
  <c r="X56" i="38"/>
  <c r="Y57" i="38" s="1"/>
  <c r="W60" i="38"/>
  <c r="D10" i="38"/>
  <c r="M109" i="38"/>
  <c r="M97" i="38"/>
  <c r="G16" i="38"/>
  <c r="P91" i="38"/>
  <c r="D41" i="38"/>
  <c r="D44" i="38"/>
  <c r="E40" i="38"/>
  <c r="J40" i="38" s="1"/>
  <c r="E109" i="38"/>
  <c r="E97" i="38"/>
  <c r="N109" i="38"/>
  <c r="N97" i="38"/>
  <c r="W11" i="38"/>
  <c r="P110" i="38"/>
  <c r="Q110" i="38" s="1"/>
  <c r="Q49" i="38"/>
  <c r="T49" i="38" s="1"/>
  <c r="Y111" i="38"/>
  <c r="U114" i="38"/>
  <c r="H16" i="38"/>
  <c r="Y60" i="38"/>
  <c r="L63" i="38"/>
  <c r="Y20" i="38"/>
  <c r="V20" i="38"/>
  <c r="V62" i="38" s="1"/>
  <c r="W79" i="38"/>
  <c r="U88" i="38"/>
  <c r="Z87" i="38"/>
  <c r="Q29" i="38"/>
  <c r="Z29" i="38"/>
  <c r="I39" i="38"/>
  <c r="M42" i="38"/>
  <c r="F54" i="38"/>
  <c r="E54" i="38"/>
  <c r="F85" i="38"/>
  <c r="E85" i="38"/>
  <c r="X85" i="38"/>
  <c r="U91" i="38"/>
  <c r="C109" i="38"/>
  <c r="C112" i="38" s="1"/>
  <c r="C97" i="38"/>
  <c r="C99" i="38" s="1"/>
  <c r="W117" i="38"/>
  <c r="P70" i="38"/>
  <c r="N54" i="38"/>
  <c r="M138" i="38"/>
  <c r="M93" i="38"/>
  <c r="M94" i="38"/>
  <c r="D109" i="38"/>
  <c r="D118" i="38" s="1"/>
  <c r="D97" i="38"/>
  <c r="I48" i="38"/>
  <c r="X111" i="38"/>
  <c r="X117" i="38"/>
  <c r="X60" i="38"/>
  <c r="U69" i="38"/>
  <c r="V70" i="38" s="1"/>
  <c r="Z27" i="38"/>
  <c r="Q28" i="38"/>
  <c r="Y91" i="38"/>
  <c r="Q41" i="38"/>
  <c r="L42" i="38"/>
  <c r="R42" i="38" s="1"/>
  <c r="M68" i="38"/>
  <c r="M52" i="38"/>
  <c r="M80" i="38"/>
  <c r="M74" i="38"/>
  <c r="I84" i="38"/>
  <c r="D85" i="38"/>
  <c r="F109" i="38"/>
  <c r="F97" i="38"/>
  <c r="O109" i="38"/>
  <c r="O118" i="38" s="1"/>
  <c r="O97" i="38"/>
  <c r="X11" i="38"/>
  <c r="V114" i="38"/>
  <c r="Z14" i="38"/>
  <c r="Z17" i="38"/>
  <c r="U53" i="38"/>
  <c r="Z19" i="38"/>
  <c r="M64" i="38"/>
  <c r="M63" i="38"/>
  <c r="X79" i="38"/>
  <c r="W70" i="38"/>
  <c r="T39" i="38"/>
  <c r="O57" i="38"/>
  <c r="L138" i="38"/>
  <c r="L93" i="38"/>
  <c r="L94" i="38"/>
  <c r="L46" i="38"/>
  <c r="D100" i="38"/>
  <c r="D45" i="38"/>
  <c r="D47" i="38"/>
  <c r="V42" i="38"/>
  <c r="W41" i="38"/>
  <c r="G97" i="38"/>
  <c r="G109" i="38"/>
  <c r="W114" i="38"/>
  <c r="V53" i="38"/>
  <c r="N62" i="38"/>
  <c r="N16" i="38"/>
  <c r="Y79" i="38"/>
  <c r="W88" i="38"/>
  <c r="E57" i="38"/>
  <c r="H118" i="38"/>
  <c r="H109" i="38"/>
  <c r="H97" i="38"/>
  <c r="X114" i="38"/>
  <c r="U56" i="38"/>
  <c r="V57" i="38" s="1"/>
  <c r="Z18" i="38"/>
  <c r="Q19" i="38"/>
  <c r="O62" i="38"/>
  <c r="O16" i="38"/>
  <c r="Q72" i="38"/>
  <c r="P73" i="38"/>
  <c r="Y73" i="38"/>
  <c r="U66" i="38"/>
  <c r="V67" i="38" s="1"/>
  <c r="Z22" i="38"/>
  <c r="U20" i="38"/>
  <c r="Z24" i="38"/>
  <c r="W82" i="38"/>
  <c r="X88" i="38"/>
  <c r="Z90" i="38"/>
  <c r="Q44" i="38"/>
  <c r="O54" i="38"/>
  <c r="U60" i="38"/>
  <c r="C8" i="38"/>
  <c r="L109" i="38"/>
  <c r="L118" i="38" s="1"/>
  <c r="L97" i="38"/>
  <c r="T18" i="38"/>
  <c r="X70" i="38"/>
  <c r="I11" i="38"/>
  <c r="U110" i="38"/>
  <c r="V111" i="38" s="1"/>
  <c r="Z49" i="38"/>
  <c r="Z12" i="38"/>
  <c r="Y114" i="38"/>
  <c r="Z116" i="38"/>
  <c r="U117" i="38"/>
  <c r="M100" i="38"/>
  <c r="M43" i="38"/>
  <c r="M45" i="38"/>
  <c r="M47" i="38"/>
  <c r="E62" i="38"/>
  <c r="E16" i="38"/>
  <c r="I16" i="38" s="1"/>
  <c r="I20" i="38"/>
  <c r="P20" i="38"/>
  <c r="P62" i="38" s="1"/>
  <c r="P79" i="38"/>
  <c r="Y88" i="38"/>
  <c r="J38" i="38"/>
  <c r="M46" i="38"/>
  <c r="D50" i="38"/>
  <c r="D55" i="38" s="1"/>
  <c r="G70" i="38"/>
  <c r="F76" i="38"/>
  <c r="E76" i="38"/>
  <c r="P88" i="38"/>
  <c r="P60" i="38"/>
  <c r="V82" i="38"/>
  <c r="E42" i="38"/>
  <c r="J42" i="38" s="1"/>
  <c r="D54" i="38"/>
  <c r="H63" i="38"/>
  <c r="C105" i="38"/>
  <c r="L8" i="38"/>
  <c r="L133" i="38" s="1"/>
  <c r="P114" i="38"/>
  <c r="Z13" i="38"/>
  <c r="W56" i="38"/>
  <c r="F62" i="38"/>
  <c r="G63" i="38" s="1"/>
  <c r="F16" i="38"/>
  <c r="W67" i="38"/>
  <c r="U75" i="38"/>
  <c r="V76" i="38" s="1"/>
  <c r="Z23" i="38"/>
  <c r="Q24" i="38"/>
  <c r="P82" i="38"/>
  <c r="Y82" i="38"/>
  <c r="U84" i="38"/>
  <c r="V85" i="38" s="1"/>
  <c r="Z26" i="38"/>
  <c r="Z28" i="38"/>
  <c r="U103" i="38"/>
  <c r="Z32" i="38"/>
  <c r="D43" i="38"/>
  <c r="M54" i="38"/>
  <c r="R54" i="38" s="1"/>
  <c r="M55" i="38"/>
  <c r="Q78" i="38"/>
  <c r="X82" i="38"/>
  <c r="Q66" i="38"/>
  <c r="Z81" i="38"/>
  <c r="U82" i="38"/>
  <c r="W91" i="38"/>
  <c r="X54" i="38"/>
  <c r="Q59" i="38"/>
  <c r="L67" i="38"/>
  <c r="I72" i="38"/>
  <c r="V72" i="38"/>
  <c r="W73" i="38" s="1"/>
  <c r="H79" i="38"/>
  <c r="J79" i="38" s="1"/>
  <c r="I78" i="38"/>
  <c r="N88" i="38"/>
  <c r="O88" i="38"/>
  <c r="V117" i="38"/>
  <c r="C102" i="38"/>
  <c r="L102" i="38"/>
  <c r="Y76" i="38"/>
  <c r="W85" i="38"/>
  <c r="Y70" i="38"/>
  <c r="L45" i="38"/>
  <c r="D61" i="38"/>
  <c r="M67" i="38"/>
  <c r="L76" i="38"/>
  <c r="L77" i="38"/>
  <c r="Q75" i="38"/>
  <c r="D88" i="38"/>
  <c r="J88" i="38" s="1"/>
  <c r="I87" i="38"/>
  <c r="X67" i="38"/>
  <c r="Q23" i="38"/>
  <c r="Q27" i="38"/>
  <c r="I53" i="38"/>
  <c r="F57" i="38"/>
  <c r="L60" i="38"/>
  <c r="M77" i="38"/>
  <c r="M76" i="38"/>
  <c r="Q84" i="38"/>
  <c r="O85" i="38"/>
  <c r="E88" i="38"/>
  <c r="M115" i="38"/>
  <c r="Z78" i="38"/>
  <c r="Y85" i="38"/>
  <c r="L43" i="38"/>
  <c r="M58" i="38"/>
  <c r="G57" i="38"/>
  <c r="M60" i="38"/>
  <c r="D71" i="38"/>
  <c r="N76" i="38"/>
  <c r="L82" i="38"/>
  <c r="Q81" i="38"/>
  <c r="M86" i="38"/>
  <c r="M85" i="38"/>
  <c r="P85" i="38"/>
  <c r="P117" i="38"/>
  <c r="Y117" i="38"/>
  <c r="Q17" i="38"/>
  <c r="V60" i="38"/>
  <c r="D63" i="38"/>
  <c r="D64" i="38"/>
  <c r="Q22" i="38"/>
  <c r="V79" i="38"/>
  <c r="Q26" i="38"/>
  <c r="V88" i="38"/>
  <c r="X91" i="38"/>
  <c r="I37" i="38"/>
  <c r="W39" i="38"/>
  <c r="C50" i="38"/>
  <c r="C55" i="38" s="1"/>
  <c r="L50" i="38"/>
  <c r="L64" i="38" s="1"/>
  <c r="Q53" i="38"/>
  <c r="N57" i="38"/>
  <c r="H57" i="38"/>
  <c r="Y67" i="38"/>
  <c r="H73" i="38"/>
  <c r="I75" i="38"/>
  <c r="D76" i="38"/>
  <c r="J76" i="38" s="1"/>
  <c r="J82" i="38"/>
  <c r="M83" i="38"/>
  <c r="N112" i="38"/>
  <c r="N111" i="38"/>
  <c r="F118" i="38"/>
  <c r="M61" i="38"/>
  <c r="E60" i="38"/>
  <c r="Q69" i="38"/>
  <c r="M71" i="38"/>
  <c r="L73" i="38"/>
  <c r="M73" i="38"/>
  <c r="N82" i="38"/>
  <c r="D91" i="38"/>
  <c r="I90" i="38"/>
  <c r="H117" i="38"/>
  <c r="L129" i="38"/>
  <c r="I56" i="38"/>
  <c r="L57" i="38"/>
  <c r="F60" i="38"/>
  <c r="I69" i="38"/>
  <c r="D74" i="38"/>
  <c r="O91" i="38"/>
  <c r="U119" i="38"/>
  <c r="S120" i="38"/>
  <c r="S126" i="38"/>
  <c r="S124" i="38"/>
  <c r="S122" i="38"/>
  <c r="M57" i="38"/>
  <c r="H70" i="38"/>
  <c r="L79" i="38"/>
  <c r="H91" i="38"/>
  <c r="E115" i="38"/>
  <c r="Q116" i="38"/>
  <c r="L117" i="38"/>
  <c r="G118" i="38"/>
  <c r="Q119" i="38"/>
  <c r="F67" i="38"/>
  <c r="J67" i="38" s="1"/>
  <c r="L70" i="38"/>
  <c r="M70" i="38"/>
  <c r="N79" i="38"/>
  <c r="L89" i="38"/>
  <c r="Q87" i="38"/>
  <c r="S119" i="38"/>
  <c r="S121" i="38"/>
  <c r="L85" i="38"/>
  <c r="M89" i="38"/>
  <c r="M88" i="38"/>
  <c r="Q103" i="38"/>
  <c r="M112" i="38"/>
  <c r="F115" i="38"/>
  <c r="M118" i="38"/>
  <c r="L92" i="38"/>
  <c r="Q90" i="38"/>
  <c r="L91" i="38"/>
  <c r="I103" i="38"/>
  <c r="E112" i="38"/>
  <c r="G114" i="38"/>
  <c r="G115" i="38"/>
  <c r="M92" i="38"/>
  <c r="M91" i="38"/>
  <c r="F112" i="38"/>
  <c r="Q113" i="38"/>
  <c r="E118" i="38"/>
  <c r="L132" i="38"/>
  <c r="M132" i="38"/>
  <c r="Q131" i="38"/>
  <c r="F111" i="38"/>
  <c r="E114" i="38"/>
  <c r="I116" i="38"/>
  <c r="D117" i="38"/>
  <c r="J117" i="38" s="1"/>
  <c r="O117" i="38"/>
  <c r="G128" i="38"/>
  <c r="P135" i="38"/>
  <c r="Q137" i="38"/>
  <c r="G111" i="38"/>
  <c r="G112" i="38"/>
  <c r="F114" i="38"/>
  <c r="E117" i="38"/>
  <c r="D129" i="38"/>
  <c r="F117" i="38"/>
  <c r="E129" i="38"/>
  <c r="V135" i="38"/>
  <c r="W129" i="38"/>
  <c r="G132" i="38"/>
  <c r="J132" i="38" s="1"/>
  <c r="I134" i="38"/>
  <c r="G135" i="38"/>
  <c r="J135" i="38" s="1"/>
  <c r="N128" i="38"/>
  <c r="H129" i="38"/>
  <c r="N132" i="38"/>
  <c r="H132" i="38"/>
  <c r="L135" i="38"/>
  <c r="Q134" i="38"/>
  <c r="W135" i="38"/>
  <c r="I110" i="38"/>
  <c r="D111" i="38"/>
  <c r="O111" i="38"/>
  <c r="N115" i="38"/>
  <c r="N114" i="38"/>
  <c r="M117" i="38"/>
  <c r="O128" i="38"/>
  <c r="Z137" i="38"/>
  <c r="E111" i="38"/>
  <c r="I113" i="38"/>
  <c r="D114" i="38"/>
  <c r="O114" i="38"/>
  <c r="N118" i="38"/>
  <c r="N117" i="38"/>
  <c r="M135" i="38"/>
  <c r="U145" i="38"/>
  <c r="Y146" i="38"/>
  <c r="U149" i="38"/>
  <c r="Y150" i="38"/>
  <c r="U153" i="38"/>
  <c r="Y145" i="38"/>
  <c r="R147" i="38"/>
  <c r="R154" i="38" s="1"/>
  <c r="U148" i="38"/>
  <c r="Y149" i="38"/>
  <c r="U152" i="38"/>
  <c r="Y153" i="38"/>
  <c r="U147" i="38"/>
  <c r="Y148" i="38"/>
  <c r="U151" i="38"/>
  <c r="Y152" i="38"/>
  <c r="Z134" i="38"/>
  <c r="U146" i="38"/>
  <c r="Y147" i="38"/>
  <c r="W34" i="37"/>
  <c r="W33" i="37"/>
  <c r="H70" i="37"/>
  <c r="T70" i="37"/>
  <c r="W36" i="37"/>
  <c r="X31" i="37"/>
  <c r="W31" i="37"/>
  <c r="W35" i="37"/>
  <c r="W32" i="37"/>
  <c r="I70" i="37"/>
  <c r="S160" i="37"/>
  <c r="S161" i="37"/>
  <c r="S73" i="37"/>
  <c r="S57" i="37"/>
  <c r="S43" i="37"/>
  <c r="S41" i="37"/>
  <c r="T98" i="37"/>
  <c r="S98" i="37"/>
  <c r="T73" i="37"/>
  <c r="T124" i="37" s="1"/>
  <c r="T128" i="37"/>
  <c r="T69" i="37"/>
  <c r="T41" i="37"/>
  <c r="T40" i="37"/>
  <c r="M82" i="37"/>
  <c r="M60" i="37"/>
  <c r="AD11" i="37"/>
  <c r="AA64" i="37"/>
  <c r="AA100" i="37"/>
  <c r="AB101" i="37" s="1"/>
  <c r="AC114" i="37"/>
  <c r="Z110" i="37"/>
  <c r="AA111" i="37" s="1"/>
  <c r="AD17" i="37"/>
  <c r="M116" i="37"/>
  <c r="AD20" i="37"/>
  <c r="AB120" i="37"/>
  <c r="AB94" i="37"/>
  <c r="AB62" i="37"/>
  <c r="T152" i="37"/>
  <c r="T39" i="37"/>
  <c r="K53" i="37"/>
  <c r="S66" i="37"/>
  <c r="M76" i="37"/>
  <c r="K86" i="37"/>
  <c r="N86" i="37" s="1"/>
  <c r="J86" i="37"/>
  <c r="AD85" i="37"/>
  <c r="S93" i="37"/>
  <c r="S92" i="37"/>
  <c r="U91" i="37"/>
  <c r="H95" i="37"/>
  <c r="I95" i="37"/>
  <c r="T126" i="37"/>
  <c r="AB114" i="37"/>
  <c r="M58" i="37"/>
  <c r="I108" i="37"/>
  <c r="P129" i="37"/>
  <c r="U8" i="37"/>
  <c r="P45" i="37"/>
  <c r="P9" i="37"/>
  <c r="P7" i="37"/>
  <c r="AA8" i="37"/>
  <c r="C110" i="37"/>
  <c r="C8" i="37"/>
  <c r="AC120" i="37"/>
  <c r="AA125" i="37"/>
  <c r="AD24" i="37"/>
  <c r="AC94" i="37"/>
  <c r="AC62" i="37"/>
  <c r="Z135" i="37"/>
  <c r="Z97" i="37"/>
  <c r="AD28" i="37"/>
  <c r="Z51" i="37"/>
  <c r="AG34" i="37"/>
  <c r="L46" i="37"/>
  <c r="T48" i="37"/>
  <c r="U51" i="37"/>
  <c r="R52" i="37"/>
  <c r="T57" i="37"/>
  <c r="T66" i="37" s="1"/>
  <c r="K101" i="37"/>
  <c r="Z119" i="37"/>
  <c r="AA120" i="37" s="1"/>
  <c r="AD21" i="37"/>
  <c r="S77" i="37"/>
  <c r="S78" i="37"/>
  <c r="AA160" i="37"/>
  <c r="Y130" i="37"/>
  <c r="Y129" i="37"/>
  <c r="Y9" i="37"/>
  <c r="Y7" i="37"/>
  <c r="AC82" i="37"/>
  <c r="AC8" i="37"/>
  <c r="AC60" i="37"/>
  <c r="L77" i="37"/>
  <c r="J73" i="37"/>
  <c r="J102" i="37" s="1"/>
  <c r="J57" i="37"/>
  <c r="J40" i="37"/>
  <c r="G45" i="37"/>
  <c r="G9" i="37"/>
  <c r="G48" i="37" s="1"/>
  <c r="G7" i="37"/>
  <c r="M113" i="37"/>
  <c r="D110" i="37"/>
  <c r="D8" i="37"/>
  <c r="M51" i="37"/>
  <c r="H52" i="37"/>
  <c r="Y117" i="37"/>
  <c r="L161" i="37"/>
  <c r="L160" i="37"/>
  <c r="AC117" i="37"/>
  <c r="L52" i="37"/>
  <c r="N108" i="37"/>
  <c r="Q129" i="37"/>
  <c r="Q45" i="37"/>
  <c r="Q9" i="37"/>
  <c r="Q7" i="37"/>
  <c r="L132" i="37"/>
  <c r="L131" i="37"/>
  <c r="L48" i="37"/>
  <c r="AB86" i="37"/>
  <c r="AB111" i="37"/>
  <c r="AB125" i="37"/>
  <c r="AA135" i="37"/>
  <c r="AA97" i="37"/>
  <c r="AB98" i="37" s="1"/>
  <c r="AA51" i="37"/>
  <c r="T43" i="37"/>
  <c r="S52" i="37"/>
  <c r="S53" i="37"/>
  <c r="T52" i="37"/>
  <c r="J70" i="37"/>
  <c r="P83" i="37"/>
  <c r="P76" i="37"/>
  <c r="U82" i="37"/>
  <c r="R95" i="37"/>
  <c r="K128" i="37"/>
  <c r="K73" i="37"/>
  <c r="K84" i="37" s="1"/>
  <c r="K57" i="37"/>
  <c r="K68" i="37" s="1"/>
  <c r="K41" i="37"/>
  <c r="K40" i="37"/>
  <c r="K69" i="37"/>
  <c r="H129" i="37"/>
  <c r="H130" i="37"/>
  <c r="H45" i="37"/>
  <c r="M8" i="37"/>
  <c r="H9" i="37"/>
  <c r="H7" i="37"/>
  <c r="R129" i="37"/>
  <c r="R45" i="37"/>
  <c r="R9" i="37"/>
  <c r="R7" i="37"/>
  <c r="S69" i="37" s="1"/>
  <c r="Z79" i="37"/>
  <c r="AD10" i="37"/>
  <c r="AC86" i="37"/>
  <c r="Z107" i="37"/>
  <c r="AA108" i="37" s="1"/>
  <c r="AD14" i="37"/>
  <c r="E110" i="37"/>
  <c r="E8" i="37"/>
  <c r="AC111" i="37"/>
  <c r="Z116" i="37"/>
  <c r="AA117" i="37" s="1"/>
  <c r="AD19" i="37"/>
  <c r="M119" i="37"/>
  <c r="AC125" i="37"/>
  <c r="AB135" i="37"/>
  <c r="AB51" i="37"/>
  <c r="Y31" i="37"/>
  <c r="AD32" i="37"/>
  <c r="AG32" i="37" s="1"/>
  <c r="S45" i="37"/>
  <c r="I52" i="37"/>
  <c r="T53" i="37"/>
  <c r="N60" i="37"/>
  <c r="N62" i="37"/>
  <c r="F73" i="37"/>
  <c r="F103" i="37" s="1"/>
  <c r="U94" i="37"/>
  <c r="AB82" i="37"/>
  <c r="AB60" i="37"/>
  <c r="AC108" i="37"/>
  <c r="H160" i="37"/>
  <c r="H161" i="37"/>
  <c r="Z100" i="37"/>
  <c r="AD12" i="37"/>
  <c r="Z64" i="37"/>
  <c r="S152" i="37"/>
  <c r="U152" i="37" s="1"/>
  <c r="S39" i="37"/>
  <c r="I98" i="37"/>
  <c r="L163" i="37"/>
  <c r="L128" i="37"/>
  <c r="L40" i="37"/>
  <c r="L73" i="37"/>
  <c r="L81" i="37" s="1"/>
  <c r="I130" i="37"/>
  <c r="I129" i="37"/>
  <c r="I9" i="37"/>
  <c r="I7" i="37"/>
  <c r="Z83" i="37"/>
  <c r="X16" i="37"/>
  <c r="AD23" i="37"/>
  <c r="F43" i="37"/>
  <c r="F53" i="37" s="1"/>
  <c r="Y52" i="37"/>
  <c r="L58" i="37"/>
  <c r="X60" i="37"/>
  <c r="X62" i="37"/>
  <c r="K77" i="37"/>
  <c r="AC88" i="37"/>
  <c r="L93" i="37"/>
  <c r="P92" i="37"/>
  <c r="P98" i="37"/>
  <c r="U97" i="37"/>
  <c r="T131" i="37"/>
  <c r="L72" i="37"/>
  <c r="N64" i="37"/>
  <c r="T77" i="37"/>
  <c r="AB160" i="37"/>
  <c r="AA79" i="37"/>
  <c r="AA59" i="37"/>
  <c r="AD13" i="37"/>
  <c r="AB123" i="37"/>
  <c r="X27" i="37"/>
  <c r="L41" i="37"/>
  <c r="J130" i="37"/>
  <c r="J129" i="37"/>
  <c r="S9" i="37"/>
  <c r="AB79" i="37"/>
  <c r="AB59" i="37"/>
  <c r="AB108" i="37"/>
  <c r="Z113" i="37"/>
  <c r="AD113" i="37" s="1"/>
  <c r="AD16" i="37"/>
  <c r="M110" i="37"/>
  <c r="AD18" i="37"/>
  <c r="AB117" i="37"/>
  <c r="M125" i="37"/>
  <c r="AC123" i="37"/>
  <c r="AD26" i="37"/>
  <c r="V39" i="37"/>
  <c r="J43" i="37"/>
  <c r="J47" i="37" s="1"/>
  <c r="J48" i="37"/>
  <c r="P58" i="37"/>
  <c r="Q70" i="37" s="1"/>
  <c r="I83" i="37"/>
  <c r="H83" i="37"/>
  <c r="AA83" i="37"/>
  <c r="L92" i="37"/>
  <c r="M94" i="37"/>
  <c r="I120" i="37"/>
  <c r="J120" i="37"/>
  <c r="T120" i="37"/>
  <c r="S70" i="37"/>
  <c r="I77" i="37"/>
  <c r="Z86" i="37"/>
  <c r="J92" i="37"/>
  <c r="J93" i="37"/>
  <c r="T92" i="37"/>
  <c r="Y95" i="37"/>
  <c r="Q98" i="37"/>
  <c r="L102" i="37"/>
  <c r="S111" i="37"/>
  <c r="U122" i="37"/>
  <c r="T123" i="37"/>
  <c r="M141" i="37"/>
  <c r="P138" i="37"/>
  <c r="AC160" i="37"/>
  <c r="U64" i="37"/>
  <c r="J78" i="37"/>
  <c r="P80" i="37"/>
  <c r="K92" i="37"/>
  <c r="K93" i="37"/>
  <c r="J124" i="37"/>
  <c r="AD146" i="37"/>
  <c r="K130" i="37"/>
  <c r="K129" i="37"/>
  <c r="T130" i="37"/>
  <c r="T129" i="37"/>
  <c r="M100" i="37"/>
  <c r="X100" i="37" s="1"/>
  <c r="M64" i="37"/>
  <c r="AC101" i="37"/>
  <c r="Z89" i="37"/>
  <c r="R72" i="37"/>
  <c r="AC64" i="37"/>
  <c r="J77" i="37"/>
  <c r="Y80" i="37"/>
  <c r="Y76" i="37"/>
  <c r="Q83" i="37"/>
  <c r="Q89" i="37"/>
  <c r="U88" i="37"/>
  <c r="AD91" i="37"/>
  <c r="Y92" i="37"/>
  <c r="R98" i="37"/>
  <c r="L118" i="37"/>
  <c r="J121" i="37"/>
  <c r="Y120" i="37"/>
  <c r="J127" i="37"/>
  <c r="Y126" i="37"/>
  <c r="L130" i="37"/>
  <c r="L129" i="37"/>
  <c r="Z123" i="37"/>
  <c r="E152" i="37"/>
  <c r="E161" i="37"/>
  <c r="I72" i="37"/>
  <c r="S68" i="37"/>
  <c r="S72" i="37"/>
  <c r="J66" i="37"/>
  <c r="Q76" i="37"/>
  <c r="AC79" i="37"/>
  <c r="R83" i="37"/>
  <c r="R89" i="37"/>
  <c r="Z92" i="37"/>
  <c r="L101" i="37"/>
  <c r="Q108" i="37"/>
  <c r="K120" i="37"/>
  <c r="K121" i="37"/>
  <c r="K126" i="37"/>
  <c r="AA86" i="37"/>
  <c r="AA123" i="37"/>
  <c r="J72" i="37"/>
  <c r="T72" i="37"/>
  <c r="K70" i="37"/>
  <c r="P72" i="37"/>
  <c r="R77" i="37"/>
  <c r="T86" i="37"/>
  <c r="S86" i="37"/>
  <c r="S87" i="37"/>
  <c r="H89" i="37"/>
  <c r="S89" i="37"/>
  <c r="S90" i="37"/>
  <c r="L90" i="37"/>
  <c r="AA92" i="37"/>
  <c r="P95" i="37"/>
  <c r="V95" i="37" s="1"/>
  <c r="Y101" i="37"/>
  <c r="T101" i="37"/>
  <c r="R108" i="37"/>
  <c r="L114" i="37"/>
  <c r="L115" i="37"/>
  <c r="L126" i="37"/>
  <c r="I89" i="37"/>
  <c r="J89" i="37"/>
  <c r="J98" i="37"/>
  <c r="Q101" i="37"/>
  <c r="L109" i="37"/>
  <c r="P108" i="37"/>
  <c r="L120" i="37"/>
  <c r="AD122" i="37"/>
  <c r="Y123" i="37"/>
  <c r="S80" i="37"/>
  <c r="P86" i="37"/>
  <c r="U85" i="37"/>
  <c r="J96" i="37"/>
  <c r="S96" i="37"/>
  <c r="R101" i="37"/>
  <c r="Q114" i="37"/>
  <c r="U113" i="37"/>
  <c r="P114" i="37"/>
  <c r="I117" i="37"/>
  <c r="N136" i="37"/>
  <c r="K80" i="37"/>
  <c r="T80" i="37"/>
  <c r="T81" i="37"/>
  <c r="Y83" i="37"/>
  <c r="Q86" i="37"/>
  <c r="K96" i="37"/>
  <c r="L99" i="37"/>
  <c r="S101" i="37"/>
  <c r="U107" i="37"/>
  <c r="J117" i="37"/>
  <c r="I80" i="37"/>
  <c r="K83" i="37"/>
  <c r="I92" i="37"/>
  <c r="N92" i="37" s="1"/>
  <c r="K95" i="37"/>
  <c r="T111" i="37"/>
  <c r="S115" i="37"/>
  <c r="P117" i="37"/>
  <c r="U116" i="37"/>
  <c r="T149" i="37"/>
  <c r="T151" i="37" s="1"/>
  <c r="U151" i="37" s="1"/>
  <c r="T141" i="37"/>
  <c r="T140" i="37"/>
  <c r="V140" i="37" s="1"/>
  <c r="U139" i="37"/>
  <c r="X139" i="37" s="1"/>
  <c r="U156" i="37"/>
  <c r="T159" i="37"/>
  <c r="U159" i="37" s="1"/>
  <c r="C161" i="37"/>
  <c r="J115" i="37"/>
  <c r="T115" i="37"/>
  <c r="Q120" i="37"/>
  <c r="V136" i="37"/>
  <c r="AD148" i="37"/>
  <c r="Y156" i="37"/>
  <c r="F161" i="37"/>
  <c r="Q160" i="37"/>
  <c r="Q161" i="37"/>
  <c r="L112" i="37"/>
  <c r="R120" i="37"/>
  <c r="AD151" i="37"/>
  <c r="G142" i="37"/>
  <c r="G138" i="37"/>
  <c r="G137" i="37" s="1"/>
  <c r="AC142" i="37"/>
  <c r="AC143" i="37"/>
  <c r="R160" i="37"/>
  <c r="R161" i="37"/>
  <c r="H111" i="37"/>
  <c r="R111" i="37"/>
  <c r="V111" i="37" s="1"/>
  <c r="J114" i="37"/>
  <c r="T114" i="37"/>
  <c r="L117" i="37"/>
  <c r="J118" i="37"/>
  <c r="T118" i="37"/>
  <c r="U119" i="37"/>
  <c r="P120" i="37"/>
  <c r="L121" i="37"/>
  <c r="U125" i="37"/>
  <c r="P126" i="37"/>
  <c r="L127" i="37"/>
  <c r="AA140" i="37"/>
  <c r="AD144" i="37"/>
  <c r="K160" i="37"/>
  <c r="I111" i="37"/>
  <c r="K114" i="37"/>
  <c r="Q126" i="37"/>
  <c r="AB140" i="37"/>
  <c r="Y149" i="37"/>
  <c r="Y114" i="37"/>
  <c r="H126" i="37"/>
  <c r="R126" i="37"/>
  <c r="AC140" i="37"/>
  <c r="Z141" i="37"/>
  <c r="AA142" i="37"/>
  <c r="T143" i="37"/>
  <c r="U143" i="37" s="1"/>
  <c r="U144" i="37"/>
  <c r="P160" i="37"/>
  <c r="I126" i="37"/>
  <c r="AA141" i="37"/>
  <c r="J144" i="37"/>
  <c r="U153" i="37"/>
  <c r="I161" i="37"/>
  <c r="J126" i="37"/>
  <c r="I138" i="37"/>
  <c r="I137" i="37" s="1"/>
  <c r="AB141" i="37"/>
  <c r="J161" i="37"/>
  <c r="U110" i="37"/>
  <c r="U148" i="37"/>
  <c r="AA176" i="37"/>
  <c r="AA180" i="37"/>
  <c r="J9" i="36"/>
  <c r="J7" i="36"/>
  <c r="J37" i="36" s="1"/>
  <c r="K19" i="36"/>
  <c r="G86" i="35"/>
  <c r="G87" i="35" s="1"/>
  <c r="G80" i="35" s="1"/>
  <c r="G106" i="35" s="1"/>
  <c r="G27" i="35"/>
  <c r="E108" i="35"/>
  <c r="G101" i="35"/>
  <c r="G100" i="35" s="1"/>
  <c r="H155" i="35"/>
  <c r="I155" i="35"/>
  <c r="E113" i="35"/>
  <c r="G113" i="35" s="1"/>
  <c r="G118" i="35"/>
  <c r="G116" i="35" s="1"/>
  <c r="G115" i="35" s="1"/>
  <c r="G123" i="35"/>
  <c r="E132" i="35"/>
  <c r="G132" i="35" s="1"/>
  <c r="G128" i="35" s="1"/>
  <c r="G127" i="35" s="1"/>
  <c r="G148" i="35"/>
  <c r="G147" i="35" s="1"/>
  <c r="G146" i="35" s="1"/>
  <c r="G48" i="35"/>
  <c r="G44" i="35" s="1"/>
  <c r="G43" i="35" s="1"/>
  <c r="E142" i="35"/>
  <c r="E161" i="35"/>
  <c r="G161" i="35" s="1"/>
  <c r="G157" i="35" s="1"/>
  <c r="G156" i="35" s="1"/>
  <c r="E44" i="35"/>
  <c r="G67" i="35"/>
  <c r="G65" i="35" s="1"/>
  <c r="G110" i="35"/>
  <c r="E42" i="35"/>
  <c r="D12" i="35"/>
  <c r="E64" i="35"/>
  <c r="G64" i="35" s="1"/>
  <c r="G60" i="35" s="1"/>
  <c r="G78" i="35"/>
  <c r="G79" i="35" s="1"/>
  <c r="G72" i="35" s="1"/>
  <c r="E120" i="35"/>
  <c r="G120" i="35" s="1"/>
  <c r="E126" i="35"/>
  <c r="G126" i="35" s="1"/>
  <c r="C18" i="34"/>
  <c r="C15" i="34" s="1"/>
  <c r="C9" i="34" s="1"/>
  <c r="L20" i="34"/>
  <c r="K20" i="34"/>
  <c r="E23" i="33"/>
  <c r="E24" i="33"/>
  <c r="E6" i="33"/>
  <c r="E15" i="33"/>
  <c r="E15" i="32"/>
  <c r="E16" i="32" s="1"/>
  <c r="E132" i="32"/>
  <c r="E67" i="32"/>
  <c r="E68" i="32" s="1"/>
  <c r="F19" i="31"/>
  <c r="H20" i="31"/>
  <c r="D18" i="31"/>
  <c r="C7" i="26"/>
  <c r="G8" i="26"/>
  <c r="D14" i="26"/>
  <c r="D13" i="26" s="1"/>
  <c r="H14" i="26"/>
  <c r="H13" i="26" s="1"/>
  <c r="I25" i="26"/>
  <c r="G12" i="26"/>
  <c r="E7" i="26"/>
  <c r="H12" i="26"/>
  <c r="I8" i="26"/>
  <c r="H25" i="26"/>
  <c r="H28" i="26"/>
  <c r="H30" i="26"/>
  <c r="H32" i="26"/>
  <c r="I28" i="26"/>
  <c r="H29" i="26"/>
  <c r="H33" i="26"/>
  <c r="D5" i="33" l="1"/>
  <c r="E5" i="33" s="1"/>
  <c r="E13" i="33"/>
  <c r="G9" i="34"/>
  <c r="F7" i="34"/>
  <c r="Y154" i="38"/>
  <c r="N80" i="37"/>
  <c r="N117" i="37"/>
  <c r="U154" i="38"/>
  <c r="C14" i="34"/>
  <c r="V114" i="37"/>
  <c r="N120" i="37"/>
  <c r="N111" i="37"/>
  <c r="L58" i="38"/>
  <c r="K131" i="37"/>
  <c r="K132" i="37" s="1"/>
  <c r="K42" i="37"/>
  <c r="K48" i="37"/>
  <c r="V126" i="37"/>
  <c r="V101" i="37"/>
  <c r="J53" i="37"/>
  <c r="L78" i="37"/>
  <c r="R67" i="38"/>
  <c r="R88" i="38"/>
  <c r="I62" i="38"/>
  <c r="E121" i="35"/>
  <c r="V98" i="37"/>
  <c r="N98" i="37"/>
  <c r="J85" i="38"/>
  <c r="K44" i="37"/>
  <c r="N101" i="37"/>
  <c r="J114" i="38"/>
  <c r="D112" i="38"/>
  <c r="F57" i="37"/>
  <c r="F40" i="37"/>
  <c r="V117" i="37"/>
  <c r="N89" i="37"/>
  <c r="N72" i="37"/>
  <c r="X64" i="37"/>
  <c r="J70" i="38"/>
  <c r="J57" i="38"/>
  <c r="D86" i="38"/>
  <c r="L69" i="37"/>
  <c r="L57" i="37"/>
  <c r="L43" i="37"/>
  <c r="L42" i="37"/>
  <c r="G59" i="35"/>
  <c r="G107" i="35" s="1"/>
  <c r="G71" i="35" s="1"/>
  <c r="G58" i="35" s="1"/>
  <c r="V52" i="37"/>
  <c r="D115" i="38"/>
  <c r="J60" i="38"/>
  <c r="L86" i="38"/>
  <c r="J73" i="38"/>
  <c r="L83" i="38"/>
  <c r="G109" i="35"/>
  <c r="G108" i="35" s="1"/>
  <c r="AA187" i="37"/>
  <c r="N114" i="37"/>
  <c r="V89" i="37"/>
  <c r="N77" i="37"/>
  <c r="K78" i="37"/>
  <c r="L74" i="38"/>
  <c r="L68" i="38"/>
  <c r="J9" i="161"/>
  <c r="C10" i="161"/>
  <c r="J9" i="159"/>
  <c r="C10" i="159"/>
  <c r="J9" i="160"/>
  <c r="C10" i="160"/>
  <c r="Y97" i="38"/>
  <c r="L11" i="42"/>
  <c r="R11" i="42" s="1"/>
  <c r="AC52" i="37"/>
  <c r="P115" i="38"/>
  <c r="D9" i="36"/>
  <c r="Z58" i="37"/>
  <c r="Z70" i="37" s="1"/>
  <c r="Q56" i="38"/>
  <c r="T56" i="38" s="1"/>
  <c r="AB89" i="37"/>
  <c r="AD88" i="37"/>
  <c r="AG88" i="37" s="1"/>
  <c r="AD107" i="37"/>
  <c r="D7" i="36"/>
  <c r="AA58" i="37"/>
  <c r="T12" i="38"/>
  <c r="AB7" i="37"/>
  <c r="AB57" i="37" s="1"/>
  <c r="Q48" i="38"/>
  <c r="T48" i="38" s="1"/>
  <c r="AB45" i="37"/>
  <c r="U109" i="38"/>
  <c r="U115" i="38" s="1"/>
  <c r="AB129" i="37"/>
  <c r="I31" i="26"/>
  <c r="P97" i="38"/>
  <c r="P98" i="38" s="1"/>
  <c r="Q11" i="38"/>
  <c r="Q158" i="38" s="1"/>
  <c r="AC25" i="38"/>
  <c r="V115" i="38"/>
  <c r="V118" i="38"/>
  <c r="AC131" i="38"/>
  <c r="V97" i="38"/>
  <c r="V98" i="38" s="1"/>
  <c r="W16" i="38"/>
  <c r="W10" i="38" s="1"/>
  <c r="AC30" i="38"/>
  <c r="W63" i="38"/>
  <c r="C42" i="26"/>
  <c r="X63" i="38"/>
  <c r="V112" i="38"/>
  <c r="R70" i="38"/>
  <c r="U129" i="38"/>
  <c r="R114" i="38"/>
  <c r="Z45" i="37"/>
  <c r="Z46" i="37" s="1"/>
  <c r="AA95" i="37"/>
  <c r="V16" i="38"/>
  <c r="V45" i="38" s="1"/>
  <c r="Y115" i="38"/>
  <c r="AE86" i="37"/>
  <c r="X141" i="37"/>
  <c r="Y129" i="38"/>
  <c r="M130" i="38"/>
  <c r="M129" i="38"/>
  <c r="M136" i="38"/>
  <c r="M127" i="38"/>
  <c r="P129" i="38"/>
  <c r="W48" i="40"/>
  <c r="M10" i="42"/>
  <c r="L10" i="42" s="1"/>
  <c r="AD82" i="37"/>
  <c r="AG82" i="37" s="1"/>
  <c r="Z128" i="38"/>
  <c r="AA135" i="38"/>
  <c r="R79" i="38"/>
  <c r="AC21" i="38"/>
  <c r="L28" i="40"/>
  <c r="X17" i="40"/>
  <c r="Y138" i="37"/>
  <c r="Z11" i="38"/>
  <c r="AD62" i="37"/>
  <c r="AG62" i="37" s="1"/>
  <c r="W23" i="40"/>
  <c r="X23" i="40"/>
  <c r="W17" i="40"/>
  <c r="AD12" i="40"/>
  <c r="AD11" i="40" s="1"/>
  <c r="AA41" i="40"/>
  <c r="AC41" i="40"/>
  <c r="Z11" i="40"/>
  <c r="AC33" i="40"/>
  <c r="AD33" i="40" s="1"/>
  <c r="W29" i="40"/>
  <c r="Z23" i="40"/>
  <c r="AA23" i="40" s="1"/>
  <c r="Y28" i="40"/>
  <c r="H11" i="26"/>
  <c r="X33" i="40"/>
  <c r="R132" i="38"/>
  <c r="AD60" i="37"/>
  <c r="AG60" i="37" s="1"/>
  <c r="AE92" i="37"/>
  <c r="AD125" i="37"/>
  <c r="AG125" i="37" s="1"/>
  <c r="Y118" i="38"/>
  <c r="P16" i="38"/>
  <c r="P47" i="38" s="1"/>
  <c r="AC134" i="38"/>
  <c r="AD97" i="37"/>
  <c r="AG97" i="37" s="1"/>
  <c r="Z7" i="37"/>
  <c r="Z128" i="37" s="1"/>
  <c r="R91" i="38"/>
  <c r="X30" i="40"/>
  <c r="X16" i="38"/>
  <c r="X47" i="38" s="1"/>
  <c r="I18" i="26"/>
  <c r="U149" i="37"/>
  <c r="Z9" i="37"/>
  <c r="AD116" i="37"/>
  <c r="AG116" i="37" s="1"/>
  <c r="Z130" i="37"/>
  <c r="Q20" i="38"/>
  <c r="T20" i="38" s="1"/>
  <c r="M9" i="38"/>
  <c r="Z72" i="38"/>
  <c r="I21" i="26"/>
  <c r="T138" i="37"/>
  <c r="T137" i="37" s="1"/>
  <c r="R85" i="38"/>
  <c r="L130" i="38"/>
  <c r="Q62" i="38"/>
  <c r="E20" i="44"/>
  <c r="Y36" i="40"/>
  <c r="W36" i="40"/>
  <c r="AD79" i="37"/>
  <c r="AG79" i="37" s="1"/>
  <c r="AB58" i="37"/>
  <c r="L136" i="38"/>
  <c r="AA79" i="38"/>
  <c r="D7" i="45"/>
  <c r="D28" i="45"/>
  <c r="C20" i="44"/>
  <c r="I20" i="44"/>
  <c r="AC37" i="40"/>
  <c r="AA37" i="40"/>
  <c r="P49" i="40"/>
  <c r="O49" i="40"/>
  <c r="W31" i="40"/>
  <c r="X31" i="40" s="1"/>
  <c r="AD24" i="40"/>
  <c r="AD23" i="40" s="1"/>
  <c r="AA39" i="40"/>
  <c r="Z17" i="40"/>
  <c r="AA17" i="40" s="1"/>
  <c r="T28" i="40"/>
  <c r="AA38" i="40"/>
  <c r="Y34" i="40"/>
  <c r="W34" i="40"/>
  <c r="W32" i="40"/>
  <c r="X32" i="40" s="1"/>
  <c r="AC32" i="40"/>
  <c r="Y47" i="40"/>
  <c r="W47" i="40"/>
  <c r="AA48" i="40"/>
  <c r="AD48" i="40"/>
  <c r="Q84" i="40"/>
  <c r="Q85" i="40" s="1"/>
  <c r="Q86" i="40" s="1"/>
  <c r="Q118" i="38"/>
  <c r="I50" i="38"/>
  <c r="K90" i="38" s="1"/>
  <c r="I47" i="38"/>
  <c r="I45" i="38"/>
  <c r="H139" i="38"/>
  <c r="I139" i="38" s="1"/>
  <c r="I43" i="38"/>
  <c r="I41" i="38"/>
  <c r="T41" i="38" s="1"/>
  <c r="T37" i="38"/>
  <c r="F100" i="38"/>
  <c r="F47" i="38"/>
  <c r="F45" i="38"/>
  <c r="F50" i="38"/>
  <c r="F10" i="38"/>
  <c r="F43" i="38"/>
  <c r="C138" i="38"/>
  <c r="C127" i="38"/>
  <c r="D101" i="38"/>
  <c r="F98" i="38"/>
  <c r="T29" i="38"/>
  <c r="H100" i="38"/>
  <c r="H50" i="38"/>
  <c r="H43" i="38"/>
  <c r="H45" i="38"/>
  <c r="H47" i="38"/>
  <c r="H10" i="38"/>
  <c r="N98" i="38"/>
  <c r="M99" i="38"/>
  <c r="M98" i="38"/>
  <c r="N129" i="38"/>
  <c r="G129" i="38"/>
  <c r="C118" i="38"/>
  <c r="R117" i="38"/>
  <c r="O115" i="38"/>
  <c r="D83" i="38"/>
  <c r="D80" i="38"/>
  <c r="R82" i="38"/>
  <c r="T27" i="38"/>
  <c r="T59" i="38"/>
  <c r="F63" i="38"/>
  <c r="U62" i="38"/>
  <c r="V63" i="38" s="1"/>
  <c r="Z20" i="38"/>
  <c r="O100" i="38"/>
  <c r="O45" i="38"/>
  <c r="O47" i="38"/>
  <c r="O50" i="38"/>
  <c r="O64" i="38" s="1"/>
  <c r="O43" i="38"/>
  <c r="O10" i="38"/>
  <c r="Z48" i="38"/>
  <c r="W42" i="38"/>
  <c r="X41" i="38"/>
  <c r="Z53" i="38"/>
  <c r="AC17" i="38"/>
  <c r="AA91" i="38"/>
  <c r="AA114" i="38"/>
  <c r="W44" i="38"/>
  <c r="X39" i="38"/>
  <c r="W40" i="38"/>
  <c r="AC24" i="38"/>
  <c r="C115" i="38"/>
  <c r="T23" i="38"/>
  <c r="R76" i="38"/>
  <c r="AA82" i="38"/>
  <c r="Z103" i="38"/>
  <c r="T24" i="38"/>
  <c r="W57" i="38"/>
  <c r="D51" i="38"/>
  <c r="D89" i="38"/>
  <c r="D58" i="38"/>
  <c r="D52" i="38"/>
  <c r="D77" i="38"/>
  <c r="D68" i="38"/>
  <c r="AC22" i="38"/>
  <c r="O63" i="38"/>
  <c r="V54" i="38"/>
  <c r="AC14" i="38"/>
  <c r="Y62" i="38"/>
  <c r="Y16" i="38"/>
  <c r="E98" i="38"/>
  <c r="D94" i="38"/>
  <c r="D102" i="38" s="1"/>
  <c r="D93" i="38"/>
  <c r="D46" i="38"/>
  <c r="D8" i="38"/>
  <c r="J129" i="38"/>
  <c r="AA117" i="38"/>
  <c r="G98" i="38"/>
  <c r="W97" i="38"/>
  <c r="W109" i="38"/>
  <c r="R135" i="38"/>
  <c r="T53" i="38"/>
  <c r="W54" i="38"/>
  <c r="AC28" i="38"/>
  <c r="AC23" i="38"/>
  <c r="L127" i="38"/>
  <c r="C106" i="38"/>
  <c r="C108" i="38" s="1"/>
  <c r="AC12" i="38"/>
  <c r="U67" i="38"/>
  <c r="AA67" i="38" s="1"/>
  <c r="Z66" i="38"/>
  <c r="T19" i="38"/>
  <c r="H98" i="38"/>
  <c r="T28" i="38"/>
  <c r="I97" i="38"/>
  <c r="D98" i="38"/>
  <c r="J98" i="38" s="1"/>
  <c r="AA88" i="38"/>
  <c r="O112" i="38"/>
  <c r="T134" i="38"/>
  <c r="J111" i="38"/>
  <c r="I128" i="38"/>
  <c r="R57" i="38"/>
  <c r="D92" i="38"/>
  <c r="L52" i="38"/>
  <c r="L80" i="38"/>
  <c r="L55" i="38"/>
  <c r="L71" i="38"/>
  <c r="T26" i="38"/>
  <c r="AC26" i="38"/>
  <c r="Z75" i="38"/>
  <c r="U76" i="38"/>
  <c r="AA76" i="38" s="1"/>
  <c r="P63" i="38"/>
  <c r="AA60" i="38"/>
  <c r="Z56" i="38"/>
  <c r="AC18" i="38"/>
  <c r="H115" i="38"/>
  <c r="H112" i="38"/>
  <c r="L105" i="38"/>
  <c r="L106" i="38"/>
  <c r="L96" i="38"/>
  <c r="Z59" i="38"/>
  <c r="AC19" i="38"/>
  <c r="M51" i="38"/>
  <c r="AC27" i="38"/>
  <c r="I109" i="38"/>
  <c r="I115" i="38" s="1"/>
  <c r="V139" i="38"/>
  <c r="V38" i="38"/>
  <c r="W37" i="38"/>
  <c r="V44" i="38"/>
  <c r="O129" i="38"/>
  <c r="E63" i="38"/>
  <c r="J63" i="38" s="1"/>
  <c r="U54" i="38"/>
  <c r="R73" i="38"/>
  <c r="V73" i="38"/>
  <c r="AA73" i="38" s="1"/>
  <c r="U111" i="38"/>
  <c r="AA111" i="38" s="1"/>
  <c r="Z110" i="38"/>
  <c r="U57" i="38"/>
  <c r="X97" i="38"/>
  <c r="X109" i="38"/>
  <c r="Z69" i="38"/>
  <c r="U70" i="38"/>
  <c r="AA70" i="38" s="1"/>
  <c r="M95" i="38"/>
  <c r="M106" i="38"/>
  <c r="M105" i="38"/>
  <c r="M96" i="38"/>
  <c r="Q109" i="38"/>
  <c r="L115" i="38"/>
  <c r="L112" i="38"/>
  <c r="N63" i="38"/>
  <c r="AC29" i="38"/>
  <c r="T131" i="38"/>
  <c r="V119" i="38"/>
  <c r="W119" i="38" s="1"/>
  <c r="X119" i="38" s="1"/>
  <c r="Y119" i="38" s="1"/>
  <c r="T22" i="38"/>
  <c r="R60" i="38"/>
  <c r="I112" i="38"/>
  <c r="Z84" i="38"/>
  <c r="U85" i="38"/>
  <c r="AA85" i="38" s="1"/>
  <c r="Q128" i="38"/>
  <c r="J91" i="38"/>
  <c r="T17" i="38"/>
  <c r="L61" i="38"/>
  <c r="Z113" i="38"/>
  <c r="AC13" i="38"/>
  <c r="J54" i="38"/>
  <c r="E100" i="38"/>
  <c r="E45" i="38"/>
  <c r="E47" i="38"/>
  <c r="E50" i="38"/>
  <c r="E64" i="38" s="1"/>
  <c r="E10" i="38"/>
  <c r="E43" i="38"/>
  <c r="M101" i="38"/>
  <c r="M102" i="38"/>
  <c r="I158" i="38"/>
  <c r="L98" i="38"/>
  <c r="L99" i="38"/>
  <c r="N100" i="38"/>
  <c r="N45" i="38"/>
  <c r="N47" i="38"/>
  <c r="N50" i="38"/>
  <c r="N64" i="38" s="1"/>
  <c r="N43" i="38"/>
  <c r="N10" i="38"/>
  <c r="U16" i="38"/>
  <c r="O98" i="38"/>
  <c r="I44" i="38"/>
  <c r="T44" i="38" s="1"/>
  <c r="P112" i="38"/>
  <c r="P111" i="38"/>
  <c r="R111" i="38" s="1"/>
  <c r="G100" i="38"/>
  <c r="G47" i="38"/>
  <c r="G50" i="38"/>
  <c r="G43" i="38"/>
  <c r="G45" i="38"/>
  <c r="G10" i="38"/>
  <c r="X57" i="38"/>
  <c r="X116" i="37"/>
  <c r="I128" i="37"/>
  <c r="I73" i="37"/>
  <c r="I43" i="37"/>
  <c r="I57" i="37"/>
  <c r="I41" i="37"/>
  <c r="I69" i="37"/>
  <c r="I40" i="37"/>
  <c r="Q131" i="37"/>
  <c r="Q130" i="37"/>
  <c r="Q48" i="37"/>
  <c r="Q42" i="37"/>
  <c r="Q132" i="37"/>
  <c r="AD135" i="37"/>
  <c r="AG135" i="37" s="1"/>
  <c r="Z136" i="37"/>
  <c r="AG23" i="37"/>
  <c r="AG12" i="37"/>
  <c r="AC126" i="37"/>
  <c r="Q46" i="37"/>
  <c r="K102" i="37"/>
  <c r="AG11" i="37"/>
  <c r="AC58" i="37"/>
  <c r="X125" i="37"/>
  <c r="K115" i="37"/>
  <c r="AD156" i="37"/>
  <c r="Y159" i="37"/>
  <c r="X85" i="37"/>
  <c r="AG122" i="37"/>
  <c r="AC72" i="37"/>
  <c r="AG16" i="37"/>
  <c r="AD100" i="37"/>
  <c r="Z101" i="37"/>
  <c r="S47" i="37"/>
  <c r="S46" i="37"/>
  <c r="Z80" i="37"/>
  <c r="Z76" i="37"/>
  <c r="M45" i="37"/>
  <c r="H46" i="37"/>
  <c r="X82" i="37"/>
  <c r="T47" i="37"/>
  <c r="T44" i="37"/>
  <c r="D9" i="37"/>
  <c r="D48" i="37" s="1"/>
  <c r="D7" i="37"/>
  <c r="D45" i="37"/>
  <c r="J69" i="37"/>
  <c r="AC83" i="37"/>
  <c r="AC95" i="37"/>
  <c r="AA129" i="37"/>
  <c r="AA130" i="37"/>
  <c r="AA9" i="37"/>
  <c r="AB42" i="37" s="1"/>
  <c r="AA7" i="37"/>
  <c r="AA45" i="37"/>
  <c r="S63" i="37"/>
  <c r="S65" i="37"/>
  <c r="AB80" i="37"/>
  <c r="AB76" i="37"/>
  <c r="H131" i="37"/>
  <c r="H48" i="37"/>
  <c r="H42" i="37"/>
  <c r="M9" i="37"/>
  <c r="X91" i="37"/>
  <c r="AB95" i="37"/>
  <c r="AA72" i="37"/>
  <c r="K66" i="37"/>
  <c r="P70" i="37"/>
  <c r="V70" i="37" s="1"/>
  <c r="U58" i="37"/>
  <c r="X58" i="37" s="1"/>
  <c r="S131" i="37"/>
  <c r="S130" i="37"/>
  <c r="S132" i="37"/>
  <c r="S48" i="37"/>
  <c r="S42" i="37"/>
  <c r="AG10" i="37"/>
  <c r="T50" i="37"/>
  <c r="T96" i="37"/>
  <c r="T103" i="37"/>
  <c r="T99" i="37"/>
  <c r="T90" i="37"/>
  <c r="T74" i="37"/>
  <c r="T112" i="37"/>
  <c r="T93" i="37"/>
  <c r="T87" i="37"/>
  <c r="AD160" i="37"/>
  <c r="T109" i="37"/>
  <c r="V86" i="37"/>
  <c r="AG113" i="37"/>
  <c r="J84" i="37"/>
  <c r="T121" i="37"/>
  <c r="N130" i="37"/>
  <c r="P78" i="37"/>
  <c r="P77" i="37"/>
  <c r="U76" i="37"/>
  <c r="AA52" i="37"/>
  <c r="Y128" i="37"/>
  <c r="Y40" i="37"/>
  <c r="Y57" i="37"/>
  <c r="Y73" i="37"/>
  <c r="Y69" i="37"/>
  <c r="Y43" i="37"/>
  <c r="Y41" i="37"/>
  <c r="P163" i="37"/>
  <c r="P164" i="37" s="1"/>
  <c r="P128" i="37"/>
  <c r="P69" i="37"/>
  <c r="P73" i="37"/>
  <c r="P40" i="37"/>
  <c r="P41" i="37"/>
  <c r="P43" i="37"/>
  <c r="U7" i="37"/>
  <c r="P57" i="37"/>
  <c r="AG85" i="37"/>
  <c r="AG17" i="37"/>
  <c r="S127" i="37"/>
  <c r="S103" i="37"/>
  <c r="S102" i="37"/>
  <c r="S118" i="37"/>
  <c r="S121" i="37"/>
  <c r="S124" i="37"/>
  <c r="T46" i="37"/>
  <c r="AB130" i="37"/>
  <c r="AD64" i="37"/>
  <c r="Z72" i="37"/>
  <c r="F47" i="37"/>
  <c r="X113" i="37"/>
  <c r="I131" i="37"/>
  <c r="I132" i="37" s="1"/>
  <c r="I48" i="37"/>
  <c r="I42" i="37"/>
  <c r="J42" i="37"/>
  <c r="K75" i="37"/>
  <c r="K109" i="37"/>
  <c r="K74" i="37"/>
  <c r="K90" i="37"/>
  <c r="K103" i="37"/>
  <c r="K112" i="37"/>
  <c r="K81" i="37"/>
  <c r="AC130" i="37"/>
  <c r="AC45" i="37"/>
  <c r="AC7" i="37"/>
  <c r="AC129" i="37"/>
  <c r="AC9" i="37"/>
  <c r="N126" i="37"/>
  <c r="K124" i="37"/>
  <c r="AE123" i="37"/>
  <c r="Z114" i="37"/>
  <c r="AG13" i="37"/>
  <c r="V92" i="37"/>
  <c r="AB83" i="37"/>
  <c r="R163" i="37"/>
  <c r="R128" i="37"/>
  <c r="R69" i="37"/>
  <c r="R73" i="37"/>
  <c r="R57" i="37"/>
  <c r="R43" i="37"/>
  <c r="R47" i="37" s="1"/>
  <c r="R40" i="37"/>
  <c r="R41" i="37"/>
  <c r="AC80" i="37"/>
  <c r="AC76" i="37"/>
  <c r="T84" i="37"/>
  <c r="S84" i="37"/>
  <c r="J49" i="37"/>
  <c r="J50" i="37"/>
  <c r="L70" i="37"/>
  <c r="N70" i="37" s="1"/>
  <c r="L66" i="37"/>
  <c r="N58" i="37"/>
  <c r="L74" i="37"/>
  <c r="L103" i="37"/>
  <c r="L84" i="37"/>
  <c r="L75" i="37"/>
  <c r="L96" i="37"/>
  <c r="K118" i="37"/>
  <c r="Y152" i="37"/>
  <c r="Z31" i="37"/>
  <c r="Y39" i="37"/>
  <c r="AG19" i="37"/>
  <c r="AG14" i="37"/>
  <c r="R131" i="37"/>
  <c r="R130" i="37"/>
  <c r="R132" i="37"/>
  <c r="R48" i="37"/>
  <c r="R42" i="37"/>
  <c r="M129" i="37"/>
  <c r="V83" i="37"/>
  <c r="AA98" i="37"/>
  <c r="L50" i="37"/>
  <c r="L49" i="37"/>
  <c r="AB72" i="37"/>
  <c r="J41" i="37"/>
  <c r="Y132" i="37"/>
  <c r="Y131" i="37"/>
  <c r="Y48" i="37"/>
  <c r="Y42" i="37"/>
  <c r="C9" i="37"/>
  <c r="C48" i="37" s="1"/>
  <c r="C45" i="37"/>
  <c r="C7" i="37"/>
  <c r="P132" i="37"/>
  <c r="P131" i="37"/>
  <c r="P130" i="37"/>
  <c r="P42" i="37"/>
  <c r="U9" i="37"/>
  <c r="P48" i="37"/>
  <c r="Z111" i="37"/>
  <c r="AE111" i="37" s="1"/>
  <c r="AD110" i="37"/>
  <c r="J132" i="37"/>
  <c r="S128" i="37"/>
  <c r="I46" i="37"/>
  <c r="AD149" i="37"/>
  <c r="Y151" i="37"/>
  <c r="AE140" i="37"/>
  <c r="V120" i="37"/>
  <c r="T160" i="37"/>
  <c r="U160" i="37" s="1"/>
  <c r="T161" i="37"/>
  <c r="U161" i="37" s="1"/>
  <c r="S109" i="37"/>
  <c r="L124" i="37"/>
  <c r="S81" i="37"/>
  <c r="V108" i="37"/>
  <c r="T102" i="37"/>
  <c r="Q77" i="37"/>
  <c r="L87" i="37"/>
  <c r="P137" i="37"/>
  <c r="S112" i="37"/>
  <c r="AD94" i="37"/>
  <c r="K87" i="37"/>
  <c r="AC89" i="37"/>
  <c r="AB52" i="37"/>
  <c r="Z117" i="37"/>
  <c r="AE117" i="37" s="1"/>
  <c r="Z108" i="37"/>
  <c r="AE108" i="37" s="1"/>
  <c r="R46" i="37"/>
  <c r="AA114" i="37"/>
  <c r="AA136" i="37"/>
  <c r="J68" i="37"/>
  <c r="J63" i="37"/>
  <c r="J65" i="37"/>
  <c r="AD8" i="37"/>
  <c r="AG21" i="37"/>
  <c r="Z52" i="37"/>
  <c r="AD51" i="37"/>
  <c r="AG24" i="37"/>
  <c r="P46" i="37"/>
  <c r="U45" i="37"/>
  <c r="AD59" i="37"/>
  <c r="S99" i="37"/>
  <c r="T78" i="37"/>
  <c r="K144" i="37"/>
  <c r="J143" i="37"/>
  <c r="X88" i="37"/>
  <c r="AG26" i="37"/>
  <c r="X97" i="37"/>
  <c r="K65" i="37"/>
  <c r="K63" i="37"/>
  <c r="X110" i="37"/>
  <c r="X119" i="37"/>
  <c r="AG91" i="37"/>
  <c r="Y78" i="37"/>
  <c r="Y77" i="37"/>
  <c r="V80" i="37"/>
  <c r="N83" i="37"/>
  <c r="AG18" i="37"/>
  <c r="T132" i="37"/>
  <c r="AB136" i="37"/>
  <c r="AC136" i="37"/>
  <c r="J112" i="37"/>
  <c r="J75" i="37"/>
  <c r="J109" i="37"/>
  <c r="J90" i="37"/>
  <c r="J99" i="37"/>
  <c r="J81" i="37"/>
  <c r="J103" i="37"/>
  <c r="AD119" i="37"/>
  <c r="Z120" i="37"/>
  <c r="AE120" i="37" s="1"/>
  <c r="T63" i="37"/>
  <c r="T65" i="37"/>
  <c r="T68" i="37"/>
  <c r="AG28" i="37"/>
  <c r="AA126" i="37"/>
  <c r="W8" i="37"/>
  <c r="X8" i="37"/>
  <c r="E45" i="37"/>
  <c r="E9" i="37"/>
  <c r="E48" i="37" s="1"/>
  <c r="E7" i="37"/>
  <c r="AB131" i="37"/>
  <c r="AB48" i="37"/>
  <c r="K99" i="37"/>
  <c r="AG139" i="37"/>
  <c r="V72" i="37"/>
  <c r="K127" i="37"/>
  <c r="AA80" i="37"/>
  <c r="AA76" i="37"/>
  <c r="X94" i="37"/>
  <c r="H128" i="37"/>
  <c r="H69" i="37"/>
  <c r="H43" i="37"/>
  <c r="H73" i="37"/>
  <c r="H57" i="37"/>
  <c r="M7" i="37"/>
  <c r="H41" i="37"/>
  <c r="H40" i="37"/>
  <c r="N40" i="37" s="1"/>
  <c r="AB126" i="37"/>
  <c r="Q163" i="37"/>
  <c r="Q164" i="37" s="1"/>
  <c r="Q128" i="37"/>
  <c r="Q69" i="37"/>
  <c r="Q73" i="37"/>
  <c r="Q78" i="37" s="1"/>
  <c r="Q57" i="37"/>
  <c r="Q43" i="37"/>
  <c r="Q47" i="37" s="1"/>
  <c r="Q40" i="37"/>
  <c r="Q41" i="37"/>
  <c r="N52" i="37"/>
  <c r="G43" i="37"/>
  <c r="G53" i="37" s="1"/>
  <c r="G57" i="37"/>
  <c r="G73" i="37"/>
  <c r="G103" i="37" s="1"/>
  <c r="G167" i="37" s="1"/>
  <c r="G40" i="37"/>
  <c r="J128" i="37"/>
  <c r="Z98" i="37"/>
  <c r="U129" i="37"/>
  <c r="T127" i="37"/>
  <c r="N95" i="37"/>
  <c r="J87" i="37"/>
  <c r="AG20" i="37"/>
  <c r="AA101" i="37"/>
  <c r="T42" i="37"/>
  <c r="E128" i="35"/>
  <c r="G122" i="35"/>
  <c r="G121" i="35" s="1"/>
  <c r="E115" i="35"/>
  <c r="E178" i="35"/>
  <c r="E174" i="35" s="1"/>
  <c r="E179" i="35"/>
  <c r="G28" i="35"/>
  <c r="G21" i="35" s="1"/>
  <c r="G29" i="35" s="1"/>
  <c r="G20" i="35" s="1"/>
  <c r="G14" i="35" s="1"/>
  <c r="E60" i="35"/>
  <c r="G42" i="35"/>
  <c r="G38" i="35" s="1"/>
  <c r="G37" i="35" s="1"/>
  <c r="H37" i="35" s="1"/>
  <c r="E38" i="35"/>
  <c r="E137" i="35"/>
  <c r="G142" i="35"/>
  <c r="G138" i="35" s="1"/>
  <c r="G137" i="35" s="1"/>
  <c r="H7" i="26"/>
  <c r="G7" i="26"/>
  <c r="I7" i="26"/>
  <c r="H31" i="26"/>
  <c r="H21" i="26"/>
  <c r="H18" i="26" s="1"/>
  <c r="S44" i="37" l="1"/>
  <c r="G47" i="37"/>
  <c r="I100" i="38"/>
  <c r="Z119" i="38"/>
  <c r="D99" i="38"/>
  <c r="L44" i="37"/>
  <c r="L53" i="37"/>
  <c r="L47" i="37"/>
  <c r="V128" i="37"/>
  <c r="L65" i="37"/>
  <c r="L68" i="37"/>
  <c r="L63" i="37"/>
  <c r="L67" i="37" s="1"/>
  <c r="F65" i="37"/>
  <c r="F63" i="37"/>
  <c r="F67" i="37" s="1"/>
  <c r="F68" i="37"/>
  <c r="F66" i="37"/>
  <c r="N128" i="37"/>
  <c r="U131" i="37"/>
  <c r="E173" i="35"/>
  <c r="O129" i="37"/>
  <c r="K49" i="37"/>
  <c r="K50" i="37"/>
  <c r="O9" i="37"/>
  <c r="N69" i="37"/>
  <c r="T62" i="38"/>
  <c r="AD32" i="40"/>
  <c r="AC28" i="40"/>
  <c r="AA70" i="37"/>
  <c r="U98" i="38"/>
  <c r="P45" i="38"/>
  <c r="P10" i="38"/>
  <c r="P8" i="38" s="1"/>
  <c r="P43" i="38"/>
  <c r="Q43" i="38" s="1"/>
  <c r="T43" i="38" s="1"/>
  <c r="P50" i="38"/>
  <c r="P83" i="38" s="1"/>
  <c r="Q97" i="38"/>
  <c r="V47" i="38"/>
  <c r="AE89" i="37"/>
  <c r="Q16" i="38"/>
  <c r="Q45" i="38" s="1"/>
  <c r="T45" i="38" s="1"/>
  <c r="P100" i="38"/>
  <c r="P101" i="38" s="1"/>
  <c r="T11" i="38"/>
  <c r="AC11" i="38"/>
  <c r="AB43" i="37"/>
  <c r="AB53" i="37" s="1"/>
  <c r="AB69" i="37"/>
  <c r="AB73" i="37"/>
  <c r="AB96" i="37" s="1"/>
  <c r="X45" i="38"/>
  <c r="V43" i="38"/>
  <c r="X50" i="38"/>
  <c r="X83" i="38" s="1"/>
  <c r="V10" i="38"/>
  <c r="V93" i="38" s="1"/>
  <c r="V50" i="38"/>
  <c r="V55" i="38" s="1"/>
  <c r="V100" i="38"/>
  <c r="AB163" i="37"/>
  <c r="AB46" i="37"/>
  <c r="W45" i="38"/>
  <c r="U118" i="38"/>
  <c r="U112" i="38"/>
  <c r="AD58" i="37"/>
  <c r="AG58" i="37" s="1"/>
  <c r="X100" i="38"/>
  <c r="X10" i="38"/>
  <c r="X94" i="38" s="1"/>
  <c r="AA129" i="38"/>
  <c r="W50" i="38"/>
  <c r="W58" i="38" s="1"/>
  <c r="AC128" i="38"/>
  <c r="W47" i="38"/>
  <c r="W100" i="38"/>
  <c r="Z40" i="37"/>
  <c r="Z41" i="37"/>
  <c r="AE83" i="37"/>
  <c r="Z57" i="37"/>
  <c r="Z68" i="37" s="1"/>
  <c r="Z43" i="37"/>
  <c r="Z44" i="37" s="1"/>
  <c r="Z69" i="37"/>
  <c r="Z73" i="37"/>
  <c r="Z115" i="37" s="1"/>
  <c r="Q115" i="38"/>
  <c r="AC48" i="40"/>
  <c r="P10" i="42"/>
  <c r="AE101" i="37"/>
  <c r="R129" i="38"/>
  <c r="F12" i="39"/>
  <c r="AD138" i="37"/>
  <c r="Y137" i="37"/>
  <c r="AD137" i="37" s="1"/>
  <c r="X29" i="40"/>
  <c r="X28" i="40" s="1"/>
  <c r="X36" i="40"/>
  <c r="AB66" i="37"/>
  <c r="X34" i="40"/>
  <c r="AE29" i="40"/>
  <c r="AE28" i="40" s="1"/>
  <c r="AB128" i="37"/>
  <c r="AD9" i="37"/>
  <c r="AG9" i="37" s="1"/>
  <c r="Z48" i="37"/>
  <c r="Z49" i="37" s="1"/>
  <c r="Z42" i="37"/>
  <c r="Z131" i="37"/>
  <c r="Z132" i="37"/>
  <c r="AD129" i="37"/>
  <c r="AG129" i="37" s="1"/>
  <c r="AA54" i="38"/>
  <c r="AE36" i="40"/>
  <c r="AC36" i="40"/>
  <c r="AA36" i="40"/>
  <c r="AB70" i="37"/>
  <c r="AB132" i="37"/>
  <c r="AB41" i="37"/>
  <c r="U137" i="37"/>
  <c r="R63" i="38"/>
  <c r="U138" i="37"/>
  <c r="AE52" i="37"/>
  <c r="Q112" i="38"/>
  <c r="W28" i="40"/>
  <c r="AC34" i="40"/>
  <c r="AA34" i="40"/>
  <c r="AE34" i="40"/>
  <c r="AC17" i="40"/>
  <c r="AD18" i="40"/>
  <c r="AD17" i="40" s="1"/>
  <c r="Q49" i="40"/>
  <c r="R49" i="40" s="1"/>
  <c r="Z28" i="40"/>
  <c r="AA28" i="40" s="1"/>
  <c r="N101" i="38"/>
  <c r="Y39" i="38"/>
  <c r="X40" i="38"/>
  <c r="Y100" i="38"/>
  <c r="Y50" i="38"/>
  <c r="Y64" i="38" s="1"/>
  <c r="Y10" i="38"/>
  <c r="Y45" i="38"/>
  <c r="Y47" i="38"/>
  <c r="F94" i="38"/>
  <c r="F93" i="38"/>
  <c r="F46" i="38"/>
  <c r="F8" i="38"/>
  <c r="N138" i="38"/>
  <c r="N93" i="38"/>
  <c r="N94" i="38"/>
  <c r="N102" i="38" s="1"/>
  <c r="N46" i="38"/>
  <c r="N8" i="38"/>
  <c r="E94" i="38"/>
  <c r="E102" i="38" s="1"/>
  <c r="E93" i="38"/>
  <c r="E46" i="38"/>
  <c r="E8" i="38"/>
  <c r="M108" i="38"/>
  <c r="M107" i="38"/>
  <c r="AC59" i="38"/>
  <c r="W138" i="38"/>
  <c r="W93" i="38"/>
  <c r="W94" i="38"/>
  <c r="W99" i="38" s="1"/>
  <c r="W46" i="38"/>
  <c r="W8" i="38"/>
  <c r="D138" i="38"/>
  <c r="D136" i="38"/>
  <c r="D133" i="38"/>
  <c r="D127" i="38"/>
  <c r="D9" i="38"/>
  <c r="D130" i="38"/>
  <c r="Y63" i="38"/>
  <c r="AC53" i="38"/>
  <c r="Z62" i="38"/>
  <c r="AC20" i="38"/>
  <c r="K78" i="38"/>
  <c r="H101" i="38"/>
  <c r="L101" i="38"/>
  <c r="F86" i="38"/>
  <c r="F74" i="38"/>
  <c r="F83" i="38"/>
  <c r="F89" i="38"/>
  <c r="F77" i="38"/>
  <c r="F52" i="38"/>
  <c r="F80" i="38"/>
  <c r="F71" i="38"/>
  <c r="F51" i="38"/>
  <c r="F92" i="38"/>
  <c r="F68" i="38"/>
  <c r="F55" i="38"/>
  <c r="F58" i="38"/>
  <c r="F61" i="38"/>
  <c r="H89" i="38"/>
  <c r="H92" i="38"/>
  <c r="H68" i="38"/>
  <c r="H55" i="38"/>
  <c r="H52" i="38"/>
  <c r="H61" i="38"/>
  <c r="H51" i="38"/>
  <c r="H86" i="38"/>
  <c r="H58" i="38"/>
  <c r="H64" i="38"/>
  <c r="H77" i="38"/>
  <c r="H71" i="38"/>
  <c r="H80" i="38"/>
  <c r="H83" i="38"/>
  <c r="H74" i="38"/>
  <c r="R98" i="38"/>
  <c r="E68" i="38"/>
  <c r="E71" i="38"/>
  <c r="E89" i="38"/>
  <c r="E52" i="38"/>
  <c r="E51" i="38"/>
  <c r="E86" i="38"/>
  <c r="E83" i="38"/>
  <c r="E74" i="38"/>
  <c r="E92" i="38"/>
  <c r="E77" i="38"/>
  <c r="E58" i="38"/>
  <c r="E55" i="38"/>
  <c r="E80" i="38"/>
  <c r="E61" i="38"/>
  <c r="K72" i="38"/>
  <c r="AA57" i="38"/>
  <c r="W118" i="38"/>
  <c r="W115" i="38"/>
  <c r="W112" i="38"/>
  <c r="U63" i="38"/>
  <c r="K62" i="38"/>
  <c r="G101" i="38"/>
  <c r="X98" i="38"/>
  <c r="O101" i="38"/>
  <c r="G94" i="38"/>
  <c r="G93" i="38"/>
  <c r="G46" i="38"/>
  <c r="G8" i="38"/>
  <c r="N68" i="38"/>
  <c r="N51" i="38"/>
  <c r="N71" i="38"/>
  <c r="N61" i="38"/>
  <c r="N83" i="38"/>
  <c r="N74" i="38"/>
  <c r="N86" i="38"/>
  <c r="N52" i="38"/>
  <c r="N92" i="38"/>
  <c r="N89" i="38"/>
  <c r="N77" i="38"/>
  <c r="N80" i="38"/>
  <c r="N55" i="38"/>
  <c r="N58" i="38"/>
  <c r="K87" i="38"/>
  <c r="L108" i="38"/>
  <c r="AC56" i="38"/>
  <c r="Y98" i="38"/>
  <c r="W98" i="38"/>
  <c r="I10" i="38"/>
  <c r="Z109" i="38"/>
  <c r="Z118" i="38" s="1"/>
  <c r="O138" i="38"/>
  <c r="O93" i="38"/>
  <c r="O94" i="38"/>
  <c r="O102" i="38" s="1"/>
  <c r="O46" i="38"/>
  <c r="O8" i="38"/>
  <c r="K69" i="38"/>
  <c r="I64" i="38"/>
  <c r="K84" i="38"/>
  <c r="T16" i="38"/>
  <c r="T128" i="38"/>
  <c r="I118" i="38"/>
  <c r="X42" i="38"/>
  <c r="Y41" i="38"/>
  <c r="Y42" i="38" s="1"/>
  <c r="Z41" i="38"/>
  <c r="F64" i="38"/>
  <c r="H93" i="38"/>
  <c r="H94" i="38"/>
  <c r="H102" i="38" s="1"/>
  <c r="H46" i="38"/>
  <c r="H8" i="38"/>
  <c r="F102" i="38"/>
  <c r="F101" i="38"/>
  <c r="K52" i="38"/>
  <c r="K50" i="38"/>
  <c r="K66" i="38"/>
  <c r="K81" i="38"/>
  <c r="I61" i="38"/>
  <c r="K59" i="38"/>
  <c r="E101" i="38"/>
  <c r="J101" i="38" s="1"/>
  <c r="K56" i="38"/>
  <c r="I55" i="38"/>
  <c r="D106" i="38"/>
  <c r="D96" i="38"/>
  <c r="D95" i="38"/>
  <c r="D105" i="38"/>
  <c r="O77" i="38"/>
  <c r="O51" i="38"/>
  <c r="O89" i="38"/>
  <c r="O71" i="38"/>
  <c r="O80" i="38"/>
  <c r="O83" i="38"/>
  <c r="O74" i="38"/>
  <c r="O92" i="38"/>
  <c r="O68" i="38"/>
  <c r="O52" i="38"/>
  <c r="O61" i="38"/>
  <c r="O86" i="38"/>
  <c r="O58" i="38"/>
  <c r="O55" i="38"/>
  <c r="U100" i="38"/>
  <c r="U50" i="38"/>
  <c r="Z16" i="38"/>
  <c r="U47" i="38"/>
  <c r="U10" i="38"/>
  <c r="U43" i="38"/>
  <c r="U45" i="38"/>
  <c r="X118" i="38"/>
  <c r="X115" i="38"/>
  <c r="X112" i="38"/>
  <c r="G61" i="38"/>
  <c r="G55" i="38"/>
  <c r="G52" i="38"/>
  <c r="G86" i="38"/>
  <c r="G51" i="38"/>
  <c r="G80" i="38"/>
  <c r="G71" i="38"/>
  <c r="G89" i="38"/>
  <c r="G64" i="38"/>
  <c r="G92" i="38"/>
  <c r="G74" i="38"/>
  <c r="G58" i="38"/>
  <c r="G68" i="38"/>
  <c r="G83" i="38"/>
  <c r="G77" i="38"/>
  <c r="I58" i="38"/>
  <c r="W139" i="38"/>
  <c r="W43" i="38"/>
  <c r="W38" i="38"/>
  <c r="X37" i="38"/>
  <c r="K53" i="38"/>
  <c r="L51" i="38"/>
  <c r="K75" i="38"/>
  <c r="Z97" i="38"/>
  <c r="Z39" i="38"/>
  <c r="AC128" i="37"/>
  <c r="AC163" i="37"/>
  <c r="AC69" i="37"/>
  <c r="AC73" i="37"/>
  <c r="AC78" i="37" s="1"/>
  <c r="AC57" i="37"/>
  <c r="AC43" i="37"/>
  <c r="AC41" i="37"/>
  <c r="AE98" i="37"/>
  <c r="R103" i="37"/>
  <c r="R93" i="37"/>
  <c r="R84" i="37"/>
  <c r="R78" i="37"/>
  <c r="R74" i="37"/>
  <c r="R96" i="37"/>
  <c r="R90" i="37"/>
  <c r="R127" i="37"/>
  <c r="R121" i="37"/>
  <c r="R118" i="37"/>
  <c r="R99" i="37"/>
  <c r="R81" i="37"/>
  <c r="R102" i="37"/>
  <c r="R124" i="37"/>
  <c r="R109" i="37"/>
  <c r="R87" i="37"/>
  <c r="R112" i="37"/>
  <c r="R115" i="37"/>
  <c r="V132" i="37"/>
  <c r="AC46" i="37"/>
  <c r="AD159" i="37"/>
  <c r="Y161" i="37"/>
  <c r="Y160" i="37"/>
  <c r="C73" i="37"/>
  <c r="C103" i="37" s="1"/>
  <c r="C57" i="37"/>
  <c r="C40" i="37"/>
  <c r="C43" i="37"/>
  <c r="C53" i="37" s="1"/>
  <c r="W12" i="37"/>
  <c r="W28" i="37"/>
  <c r="W26" i="37"/>
  <c r="X7" i="37"/>
  <c r="W7" i="37"/>
  <c r="W20" i="37"/>
  <c r="W14" i="37"/>
  <c r="W10" i="37"/>
  <c r="W22" i="37"/>
  <c r="W17" i="37"/>
  <c r="W27" i="37"/>
  <c r="W18" i="37"/>
  <c r="W13" i="37"/>
  <c r="W29" i="37"/>
  <c r="W25" i="37"/>
  <c r="W19" i="37"/>
  <c r="W15" i="37"/>
  <c r="W16" i="37"/>
  <c r="W21" i="37"/>
  <c r="W24" i="37"/>
  <c r="W11" i="37"/>
  <c r="W23" i="37"/>
  <c r="AE126" i="37"/>
  <c r="AD45" i="37"/>
  <c r="R166" i="37"/>
  <c r="R168" i="37" s="1"/>
  <c r="R164" i="37"/>
  <c r="N41" i="37"/>
  <c r="J142" i="37"/>
  <c r="J138" i="37"/>
  <c r="J137" i="37" s="1"/>
  <c r="V41" i="37"/>
  <c r="Q124" i="37"/>
  <c r="Q118" i="37"/>
  <c r="Q115" i="37"/>
  <c r="Q103" i="37"/>
  <c r="Q87" i="37"/>
  <c r="Q74" i="37"/>
  <c r="Q121" i="37"/>
  <c r="Q109" i="37"/>
  <c r="Q127" i="37"/>
  <c r="Q81" i="37"/>
  <c r="Q99" i="37"/>
  <c r="Q102" i="37"/>
  <c r="Q112" i="37"/>
  <c r="Q96" i="37"/>
  <c r="Q90" i="37"/>
  <c r="Q93" i="37"/>
  <c r="Q84" i="37"/>
  <c r="O24" i="37"/>
  <c r="M57" i="37"/>
  <c r="O23" i="37"/>
  <c r="O7" i="37"/>
  <c r="O22" i="37"/>
  <c r="O18" i="37"/>
  <c r="O11" i="37"/>
  <c r="O17" i="37"/>
  <c r="O15" i="37"/>
  <c r="O13" i="37"/>
  <c r="O10" i="37"/>
  <c r="O28" i="37"/>
  <c r="O16" i="37"/>
  <c r="O135" i="37"/>
  <c r="O27" i="37"/>
  <c r="O26" i="37"/>
  <c r="O12" i="37"/>
  <c r="O19" i="37"/>
  <c r="O25" i="37"/>
  <c r="O21" i="37"/>
  <c r="O14" i="37"/>
  <c r="O20" i="37"/>
  <c r="E73" i="37"/>
  <c r="E103" i="37" s="1"/>
  <c r="E40" i="37"/>
  <c r="E57" i="37"/>
  <c r="E43" i="37"/>
  <c r="E53" i="37" s="1"/>
  <c r="L144" i="37"/>
  <c r="K143" i="37"/>
  <c r="AE136" i="37"/>
  <c r="X9" i="37"/>
  <c r="W9" i="37"/>
  <c r="R50" i="37"/>
  <c r="R49" i="37"/>
  <c r="L105" i="37"/>
  <c r="L104" i="37"/>
  <c r="K104" i="37"/>
  <c r="K105" i="37"/>
  <c r="AG64" i="37"/>
  <c r="V40" i="37"/>
  <c r="Y44" i="37"/>
  <c r="Y53" i="37"/>
  <c r="Y47" i="37"/>
  <c r="AE72" i="37"/>
  <c r="N42" i="37"/>
  <c r="AA163" i="37"/>
  <c r="AA128" i="37"/>
  <c r="AA69" i="37"/>
  <c r="AA57" i="37"/>
  <c r="AA41" i="37"/>
  <c r="AA43" i="37"/>
  <c r="AA73" i="37"/>
  <c r="AA78" i="37" s="1"/>
  <c r="AA40" i="37"/>
  <c r="N46" i="37"/>
  <c r="O8" i="37"/>
  <c r="H53" i="37"/>
  <c r="H44" i="37"/>
  <c r="N44" i="37" s="1"/>
  <c r="M43" i="37"/>
  <c r="M53" i="37" s="1"/>
  <c r="AG110" i="37"/>
  <c r="Y65" i="37"/>
  <c r="Y68" i="37"/>
  <c r="Y63" i="37"/>
  <c r="Y66" i="37"/>
  <c r="I44" i="37"/>
  <c r="I53" i="37"/>
  <c r="I47" i="37"/>
  <c r="P65" i="37"/>
  <c r="U57" i="37"/>
  <c r="P63" i="37"/>
  <c r="P68" i="37"/>
  <c r="Q49" i="37"/>
  <c r="Q50" i="37"/>
  <c r="Q44" i="37"/>
  <c r="Q53" i="37"/>
  <c r="P44" i="37"/>
  <c r="U43" i="37"/>
  <c r="U53" i="37" s="1"/>
  <c r="P53" i="37"/>
  <c r="S50" i="37"/>
  <c r="S49" i="37"/>
  <c r="Q63" i="37"/>
  <c r="Q65" i="37"/>
  <c r="Q66" i="37"/>
  <c r="Q68" i="37"/>
  <c r="P49" i="37"/>
  <c r="U48" i="37"/>
  <c r="U50" i="37" s="1"/>
  <c r="P50" i="37"/>
  <c r="I50" i="37"/>
  <c r="I49" i="37"/>
  <c r="G65" i="37"/>
  <c r="G63" i="37"/>
  <c r="G67" i="37" s="1"/>
  <c r="G66" i="37"/>
  <c r="G68" i="37"/>
  <c r="H65" i="37"/>
  <c r="H63" i="37"/>
  <c r="H66" i="37"/>
  <c r="N57" i="37"/>
  <c r="H68" i="37"/>
  <c r="AA77" i="37"/>
  <c r="J105" i="37"/>
  <c r="P47" i="37"/>
  <c r="V47" i="37" s="1"/>
  <c r="AE114" i="37"/>
  <c r="V42" i="37"/>
  <c r="U42" i="37"/>
  <c r="Z152" i="37"/>
  <c r="AA31" i="37"/>
  <c r="Z39" i="37"/>
  <c r="Z161" i="37"/>
  <c r="R44" i="37"/>
  <c r="R53" i="37"/>
  <c r="AC131" i="37"/>
  <c r="AC132" i="37"/>
  <c r="AC42" i="37"/>
  <c r="AC48" i="37"/>
  <c r="P118" i="37"/>
  <c r="P102" i="37"/>
  <c r="P103" i="37"/>
  <c r="P81" i="37"/>
  <c r="P93" i="37"/>
  <c r="P74" i="37"/>
  <c r="P99" i="37"/>
  <c r="U73" i="37"/>
  <c r="U78" i="37" s="1"/>
  <c r="P127" i="37"/>
  <c r="P96" i="37"/>
  <c r="P121" i="37"/>
  <c r="P90" i="37"/>
  <c r="P124" i="37"/>
  <c r="P112" i="37"/>
  <c r="P109" i="37"/>
  <c r="P115" i="37"/>
  <c r="P87" i="37"/>
  <c r="P84" i="37"/>
  <c r="V77" i="37"/>
  <c r="H50" i="37"/>
  <c r="H49" i="37"/>
  <c r="N49" i="37" s="1"/>
  <c r="M48" i="37"/>
  <c r="S71" i="37"/>
  <c r="S67" i="37"/>
  <c r="AA132" i="37"/>
  <c r="AA131" i="37"/>
  <c r="AA42" i="37"/>
  <c r="AA48" i="37"/>
  <c r="AG100" i="37"/>
  <c r="AC70" i="37"/>
  <c r="AB77" i="37"/>
  <c r="T71" i="37"/>
  <c r="T67" i="37"/>
  <c r="J67" i="37"/>
  <c r="J44" i="37"/>
  <c r="S105" i="37"/>
  <c r="S104" i="37"/>
  <c r="AB65" i="37"/>
  <c r="AB63" i="37"/>
  <c r="AB68" i="37"/>
  <c r="P66" i="37"/>
  <c r="Z77" i="37"/>
  <c r="I103" i="37"/>
  <c r="J104" i="37" s="1"/>
  <c r="I124" i="37"/>
  <c r="I75" i="37"/>
  <c r="I109" i="37"/>
  <c r="I102" i="37"/>
  <c r="I74" i="37"/>
  <c r="I90" i="37"/>
  <c r="I78" i="37"/>
  <c r="I112" i="37"/>
  <c r="I81" i="37"/>
  <c r="I118" i="37"/>
  <c r="I99" i="37"/>
  <c r="I84" i="37"/>
  <c r="I121" i="37"/>
  <c r="I115" i="37"/>
  <c r="I93" i="37"/>
  <c r="I87" i="37"/>
  <c r="I96" i="37"/>
  <c r="I127" i="37"/>
  <c r="AD76" i="37"/>
  <c r="AG119" i="37"/>
  <c r="AG94" i="37"/>
  <c r="K71" i="37"/>
  <c r="K67" i="37"/>
  <c r="AG59" i="37"/>
  <c r="AD7" i="37"/>
  <c r="T104" i="37"/>
  <c r="T105" i="37"/>
  <c r="AA46" i="37"/>
  <c r="H103" i="37"/>
  <c r="H74" i="37"/>
  <c r="H102" i="37"/>
  <c r="H75" i="37"/>
  <c r="M73" i="37"/>
  <c r="H87" i="37"/>
  <c r="H121" i="37"/>
  <c r="H96" i="37"/>
  <c r="H84" i="37"/>
  <c r="H81" i="37"/>
  <c r="H90" i="37"/>
  <c r="H124" i="37"/>
  <c r="H99" i="37"/>
  <c r="H115" i="37"/>
  <c r="H78" i="37"/>
  <c r="H118" i="37"/>
  <c r="H127" i="37"/>
  <c r="H112" i="37"/>
  <c r="H109" i="37"/>
  <c r="H93" i="37"/>
  <c r="AE80" i="37"/>
  <c r="J74" i="37"/>
  <c r="V46" i="37"/>
  <c r="AG8" i="37"/>
  <c r="V130" i="37"/>
  <c r="Y50" i="37"/>
  <c r="Y49" i="37"/>
  <c r="AC77" i="37"/>
  <c r="R63" i="37"/>
  <c r="R68" i="37"/>
  <c r="R65" i="37"/>
  <c r="R66" i="37"/>
  <c r="S74" i="37"/>
  <c r="V69" i="37"/>
  <c r="Y115" i="37"/>
  <c r="Y84" i="37"/>
  <c r="Y74" i="37"/>
  <c r="Y93" i="37"/>
  <c r="Y103" i="37"/>
  <c r="Y90" i="37"/>
  <c r="Y81" i="37"/>
  <c r="Y102" i="37"/>
  <c r="Y127" i="37"/>
  <c r="Y99" i="37"/>
  <c r="Y118" i="37"/>
  <c r="Y87" i="37"/>
  <c r="Y96" i="37"/>
  <c r="Y112" i="37"/>
  <c r="Y121" i="37"/>
  <c r="Y109" i="37"/>
  <c r="Y124" i="37"/>
  <c r="T49" i="37"/>
  <c r="AE95" i="37"/>
  <c r="M131" i="37"/>
  <c r="O131" i="37" s="1"/>
  <c r="H132" i="37"/>
  <c r="N132" i="37" s="1"/>
  <c r="AE130" i="37"/>
  <c r="D40" i="37"/>
  <c r="D73" i="37"/>
  <c r="D103" i="37" s="1"/>
  <c r="D57" i="37"/>
  <c r="D43" i="37"/>
  <c r="D53" i="37" s="1"/>
  <c r="H47" i="37"/>
  <c r="I65" i="37"/>
  <c r="I63" i="37"/>
  <c r="I66" i="37"/>
  <c r="I68" i="37"/>
  <c r="H14" i="35"/>
  <c r="G13" i="35"/>
  <c r="J18" i="26"/>
  <c r="AF9" i="37" l="1"/>
  <c r="J51" i="38"/>
  <c r="M50" i="37"/>
  <c r="AA42" i="38"/>
  <c r="N47" i="37"/>
  <c r="L71" i="37"/>
  <c r="D47" i="37"/>
  <c r="O66" i="37"/>
  <c r="Q50" i="38"/>
  <c r="S75" i="38" s="1"/>
  <c r="P77" i="38"/>
  <c r="P64" i="38"/>
  <c r="Q64" i="38" s="1"/>
  <c r="P71" i="38"/>
  <c r="Q71" i="38" s="1"/>
  <c r="S84" i="38"/>
  <c r="V58" i="38"/>
  <c r="V51" i="38"/>
  <c r="P68" i="38"/>
  <c r="Q68" i="38" s="1"/>
  <c r="V83" i="38"/>
  <c r="P74" i="38"/>
  <c r="V77" i="38"/>
  <c r="P51" i="38"/>
  <c r="R51" i="38" s="1"/>
  <c r="V71" i="38"/>
  <c r="P80" i="38"/>
  <c r="Q80" i="38" s="1"/>
  <c r="V86" i="38"/>
  <c r="P92" i="38"/>
  <c r="Q92" i="38" s="1"/>
  <c r="V80" i="38"/>
  <c r="P89" i="38"/>
  <c r="Q89" i="38" s="1"/>
  <c r="V46" i="38"/>
  <c r="AB118" i="37"/>
  <c r="AB103" i="37"/>
  <c r="AB105" i="37" s="1"/>
  <c r="P52" i="38"/>
  <c r="P138" i="38"/>
  <c r="Q138" i="38" s="1"/>
  <c r="P93" i="38"/>
  <c r="R93" i="38" s="1"/>
  <c r="Q10" i="38"/>
  <c r="S16" i="38" s="1"/>
  <c r="P94" i="38"/>
  <c r="P95" i="38" s="1"/>
  <c r="P46" i="38"/>
  <c r="X138" i="38"/>
  <c r="Z66" i="37"/>
  <c r="AB109" i="37"/>
  <c r="AB115" i="37"/>
  <c r="AB81" i="37"/>
  <c r="AB124" i="37"/>
  <c r="P58" i="38"/>
  <c r="Q58" i="38" s="1"/>
  <c r="V68" i="38"/>
  <c r="AB84" i="37"/>
  <c r="Z65" i="37"/>
  <c r="Z63" i="37"/>
  <c r="AB87" i="37"/>
  <c r="AB99" i="37"/>
  <c r="P55" i="38"/>
  <c r="Q55" i="38" s="1"/>
  <c r="P61" i="38"/>
  <c r="Q61" i="38" s="1"/>
  <c r="V64" i="38"/>
  <c r="V92" i="38"/>
  <c r="AB93" i="37"/>
  <c r="AB112" i="37"/>
  <c r="AB121" i="37"/>
  <c r="V89" i="38"/>
  <c r="AB78" i="37"/>
  <c r="AB90" i="37"/>
  <c r="AB102" i="37"/>
  <c r="P86" i="38"/>
  <c r="Q86" i="38" s="1"/>
  <c r="V61" i="38"/>
  <c r="X92" i="38"/>
  <c r="X64" i="38"/>
  <c r="Q47" i="38"/>
  <c r="T47" i="38" s="1"/>
  <c r="Q100" i="38"/>
  <c r="W68" i="38"/>
  <c r="W101" i="38"/>
  <c r="V52" i="38"/>
  <c r="X61" i="38"/>
  <c r="X89" i="38"/>
  <c r="X58" i="38"/>
  <c r="X55" i="38"/>
  <c r="X77" i="38"/>
  <c r="X68" i="38"/>
  <c r="X86" i="38"/>
  <c r="X80" i="38"/>
  <c r="X71" i="38"/>
  <c r="AB127" i="37"/>
  <c r="X74" i="38"/>
  <c r="V8" i="38"/>
  <c r="V130" i="38" s="1"/>
  <c r="V101" i="38"/>
  <c r="V94" i="38"/>
  <c r="V105" i="38" s="1"/>
  <c r="V138" i="38"/>
  <c r="AB50" i="37"/>
  <c r="AB44" i="37"/>
  <c r="AB47" i="37"/>
  <c r="V74" i="38"/>
  <c r="X93" i="38"/>
  <c r="X52" i="38"/>
  <c r="X8" i="38"/>
  <c r="X133" i="38" s="1"/>
  <c r="X46" i="38"/>
  <c r="X101" i="38"/>
  <c r="W71" i="38"/>
  <c r="W61" i="38"/>
  <c r="W77" i="38"/>
  <c r="W92" i="38"/>
  <c r="W74" i="38"/>
  <c r="Z47" i="37"/>
  <c r="W89" i="38"/>
  <c r="W83" i="38"/>
  <c r="W80" i="38"/>
  <c r="W55" i="38"/>
  <c r="W64" i="38"/>
  <c r="W51" i="38"/>
  <c r="Z50" i="37"/>
  <c r="Z53" i="37"/>
  <c r="W86" i="38"/>
  <c r="W52" i="38"/>
  <c r="X51" i="38"/>
  <c r="Z102" i="37"/>
  <c r="Z118" i="37"/>
  <c r="Z87" i="37"/>
  <c r="Z127" i="37"/>
  <c r="Z103" i="37"/>
  <c r="Z104" i="37" s="1"/>
  <c r="Z93" i="37"/>
  <c r="Z96" i="37"/>
  <c r="Z78" i="37"/>
  <c r="Z121" i="37"/>
  <c r="Z84" i="37"/>
  <c r="Z124" i="37"/>
  <c r="Z90" i="37"/>
  <c r="Z74" i="37"/>
  <c r="Z109" i="37"/>
  <c r="Z81" i="37"/>
  <c r="AE46" i="37"/>
  <c r="Z112" i="37"/>
  <c r="Z99" i="37"/>
  <c r="AD48" i="37"/>
  <c r="W102" i="38"/>
  <c r="AF8" i="37"/>
  <c r="AA47" i="37"/>
  <c r="AE70" i="37"/>
  <c r="AD57" i="37"/>
  <c r="AG57" i="37" s="1"/>
  <c r="AD163" i="37"/>
  <c r="O10" i="42"/>
  <c r="R10" i="42" s="1"/>
  <c r="S10" i="42"/>
  <c r="AD36" i="40"/>
  <c r="AF137" i="37"/>
  <c r="AF139" i="37"/>
  <c r="AF144" i="37"/>
  <c r="AF142" i="37"/>
  <c r="AF145" i="37"/>
  <c r="AF147" i="37"/>
  <c r="AD29" i="40"/>
  <c r="AB49" i="37"/>
  <c r="AB74" i="37"/>
  <c r="AD131" i="37"/>
  <c r="AD34" i="40"/>
  <c r="Q83" i="38"/>
  <c r="AA63" i="38"/>
  <c r="AA98" i="38"/>
  <c r="J93" i="38"/>
  <c r="Q74" i="38"/>
  <c r="AE41" i="37"/>
  <c r="AE69" i="37"/>
  <c r="AD31" i="40"/>
  <c r="X95" i="38"/>
  <c r="X106" i="38"/>
  <c r="X105" i="38"/>
  <c r="G106" i="38"/>
  <c r="G96" i="38"/>
  <c r="G95" i="38"/>
  <c r="G105" i="38"/>
  <c r="G99" i="38"/>
  <c r="Y40" i="38"/>
  <c r="AA40" i="38" s="1"/>
  <c r="X139" i="38"/>
  <c r="X38" i="38"/>
  <c r="Y37" i="38"/>
  <c r="Y44" i="38" s="1"/>
  <c r="X43" i="38"/>
  <c r="Z112" i="38"/>
  <c r="K29" i="38"/>
  <c r="K25" i="38"/>
  <c r="K30" i="38"/>
  <c r="K22" i="38"/>
  <c r="K10" i="38"/>
  <c r="K13" i="38"/>
  <c r="I8" i="38"/>
  <c r="K19" i="38"/>
  <c r="K18" i="38"/>
  <c r="K24" i="38"/>
  <c r="K12" i="38"/>
  <c r="K14" i="38"/>
  <c r="K17" i="38"/>
  <c r="I46" i="38"/>
  <c r="K26" i="38"/>
  <c r="K23" i="38"/>
  <c r="K21" i="38"/>
  <c r="K28" i="38"/>
  <c r="K27" i="38"/>
  <c r="K131" i="38"/>
  <c r="K16" i="38"/>
  <c r="K20" i="38"/>
  <c r="K11" i="38"/>
  <c r="K134" i="38"/>
  <c r="X99" i="38"/>
  <c r="W127" i="38"/>
  <c r="W130" i="38"/>
  <c r="W136" i="38"/>
  <c r="W133" i="38"/>
  <c r="F127" i="38"/>
  <c r="F138" i="38"/>
  <c r="F136" i="38"/>
  <c r="F133" i="38"/>
  <c r="F130" i="38"/>
  <c r="F9" i="38"/>
  <c r="X44" i="38"/>
  <c r="Z50" i="38"/>
  <c r="AC16" i="38"/>
  <c r="Z47" i="38"/>
  <c r="Z45" i="38"/>
  <c r="O127" i="38"/>
  <c r="O9" i="38"/>
  <c r="O136" i="38"/>
  <c r="O133" i="38"/>
  <c r="O130" i="38"/>
  <c r="Q77" i="38"/>
  <c r="AC62" i="38"/>
  <c r="E95" i="38"/>
  <c r="E105" i="38"/>
  <c r="E96" i="38"/>
  <c r="E106" i="38"/>
  <c r="E99" i="38"/>
  <c r="U101" i="38"/>
  <c r="Z100" i="38"/>
  <c r="O106" i="38"/>
  <c r="O96" i="38"/>
  <c r="O95" i="38"/>
  <c r="O105" i="38"/>
  <c r="O99" i="38"/>
  <c r="X102" i="38"/>
  <c r="P127" i="38"/>
  <c r="P9" i="38"/>
  <c r="P133" i="38"/>
  <c r="P130" i="38"/>
  <c r="P136" i="38"/>
  <c r="R101" i="38"/>
  <c r="N136" i="38"/>
  <c r="N133" i="38"/>
  <c r="N127" i="38"/>
  <c r="N9" i="38"/>
  <c r="N130" i="38"/>
  <c r="F106" i="38"/>
  <c r="F95" i="38"/>
  <c r="F96" i="38"/>
  <c r="F105" i="38"/>
  <c r="F99" i="38"/>
  <c r="Y51" i="38"/>
  <c r="Y52" i="38"/>
  <c r="Y58" i="38"/>
  <c r="Y89" i="38"/>
  <c r="Y77" i="38"/>
  <c r="Y74" i="38"/>
  <c r="Y68" i="38"/>
  <c r="Y83" i="38"/>
  <c r="Y80" i="38"/>
  <c r="Y55" i="38"/>
  <c r="Y71" i="38"/>
  <c r="Y92" i="38"/>
  <c r="Y86" i="38"/>
  <c r="Y61" i="38"/>
  <c r="Y101" i="38"/>
  <c r="E138" i="38"/>
  <c r="E136" i="38"/>
  <c r="E133" i="38"/>
  <c r="E130" i="38"/>
  <c r="E127" i="38"/>
  <c r="E9" i="38"/>
  <c r="U138" i="38"/>
  <c r="U94" i="38"/>
  <c r="U102" i="38" s="1"/>
  <c r="U93" i="38"/>
  <c r="U8" i="38"/>
  <c r="Z10" i="38"/>
  <c r="AB16" i="38" s="1"/>
  <c r="U46" i="38"/>
  <c r="D107" i="38"/>
  <c r="D108" i="38"/>
  <c r="U52" i="38"/>
  <c r="U51" i="38"/>
  <c r="U61" i="38"/>
  <c r="U83" i="38"/>
  <c r="U80" i="38"/>
  <c r="U92" i="38"/>
  <c r="U74" i="38"/>
  <c r="U89" i="38"/>
  <c r="U86" i="38"/>
  <c r="U71" i="38"/>
  <c r="U58" i="38"/>
  <c r="U68" i="38"/>
  <c r="U77" i="38"/>
  <c r="U55" i="38"/>
  <c r="H138" i="38"/>
  <c r="H133" i="38"/>
  <c r="H127" i="38"/>
  <c r="H9" i="38"/>
  <c r="H136" i="38"/>
  <c r="H130" i="38"/>
  <c r="L9" i="38"/>
  <c r="G102" i="38"/>
  <c r="W106" i="38"/>
  <c r="W96" i="38"/>
  <c r="W105" i="38"/>
  <c r="T10" i="38"/>
  <c r="S21" i="38"/>
  <c r="S34" i="38"/>
  <c r="S27" i="38"/>
  <c r="S24" i="38"/>
  <c r="Q46" i="38"/>
  <c r="T46" i="38" s="1"/>
  <c r="Y138" i="38"/>
  <c r="Y93" i="38"/>
  <c r="Y94" i="38"/>
  <c r="Y102" i="38" s="1"/>
  <c r="Y46" i="38"/>
  <c r="Y8" i="38"/>
  <c r="H96" i="38"/>
  <c r="H95" i="38"/>
  <c r="H106" i="38"/>
  <c r="H105" i="38"/>
  <c r="L95" i="38"/>
  <c r="H99" i="38"/>
  <c r="G138" i="38"/>
  <c r="G127" i="38"/>
  <c r="G9" i="38"/>
  <c r="G133" i="38"/>
  <c r="G136" i="38"/>
  <c r="G130" i="38"/>
  <c r="X130" i="38"/>
  <c r="I94" i="38"/>
  <c r="U64" i="38"/>
  <c r="Z115" i="38"/>
  <c r="N106" i="38"/>
  <c r="N96" i="38"/>
  <c r="N95" i="38"/>
  <c r="N105" i="38"/>
  <c r="N99" i="38"/>
  <c r="AC44" i="37"/>
  <c r="AC53" i="37"/>
  <c r="I67" i="37"/>
  <c r="I71" i="37"/>
  <c r="Y104" i="37"/>
  <c r="Y105" i="37"/>
  <c r="Q105" i="37"/>
  <c r="Q104" i="37"/>
  <c r="Y71" i="37"/>
  <c r="Y67" i="37"/>
  <c r="O57" i="37"/>
  <c r="M63" i="37"/>
  <c r="O63" i="37" s="1"/>
  <c r="O59" i="37"/>
  <c r="O62" i="37"/>
  <c r="O61" i="37"/>
  <c r="O60" i="37"/>
  <c r="O58" i="37"/>
  <c r="O64" i="37"/>
  <c r="AC63" i="37"/>
  <c r="AC65" i="37"/>
  <c r="AC68" i="37"/>
  <c r="AA49" i="37"/>
  <c r="AA50" i="37"/>
  <c r="C65" i="37"/>
  <c r="C63" i="37"/>
  <c r="C67" i="37" s="1"/>
  <c r="C68" i="37"/>
  <c r="C66" i="37"/>
  <c r="P105" i="37"/>
  <c r="P104" i="37"/>
  <c r="U103" i="37"/>
  <c r="D63" i="37"/>
  <c r="D67" i="37" s="1"/>
  <c r="D65" i="37"/>
  <c r="D66" i="37"/>
  <c r="D68" i="37"/>
  <c r="AD73" i="37"/>
  <c r="Z71" i="37"/>
  <c r="Z67" i="37"/>
  <c r="AF7" i="37"/>
  <c r="AG7" i="37"/>
  <c r="AF27" i="37"/>
  <c r="AF25" i="37"/>
  <c r="AF11" i="37"/>
  <c r="AF23" i="37"/>
  <c r="AF28" i="37"/>
  <c r="AF19" i="37"/>
  <c r="AF10" i="37"/>
  <c r="AF26" i="37"/>
  <c r="AF16" i="37"/>
  <c r="AF13" i="37"/>
  <c r="AF17" i="37"/>
  <c r="AF21" i="37"/>
  <c r="AF18" i="37"/>
  <c r="AF20" i="37"/>
  <c r="AF14" i="37"/>
  <c r="AF12" i="37"/>
  <c r="AF24" i="37"/>
  <c r="V44" i="37"/>
  <c r="AA103" i="37"/>
  <c r="AA74" i="37"/>
  <c r="AA87" i="37"/>
  <c r="AA118" i="37"/>
  <c r="AA115" i="37"/>
  <c r="AA121" i="37"/>
  <c r="AA109" i="37"/>
  <c r="AA96" i="37"/>
  <c r="AA124" i="37"/>
  <c r="AA93" i="37"/>
  <c r="AA112" i="37"/>
  <c r="AA90" i="37"/>
  <c r="AA84" i="37"/>
  <c r="AA81" i="37"/>
  <c r="AA127" i="37"/>
  <c r="AA102" i="37"/>
  <c r="AA99" i="37"/>
  <c r="AA63" i="37"/>
  <c r="AA65" i="37"/>
  <c r="AA68" i="37"/>
  <c r="AA66" i="37"/>
  <c r="H67" i="37"/>
  <c r="O67" i="37" s="1"/>
  <c r="H71" i="37"/>
  <c r="N63" i="37"/>
  <c r="AC103" i="37"/>
  <c r="AC74" i="37"/>
  <c r="AC99" i="37"/>
  <c r="AC87" i="37"/>
  <c r="AC112" i="37"/>
  <c r="AC102" i="37"/>
  <c r="AC118" i="37"/>
  <c r="AC93" i="37"/>
  <c r="AC115" i="37"/>
  <c r="AC109" i="37"/>
  <c r="AC121" i="37"/>
  <c r="AC124" i="37"/>
  <c r="AC127" i="37"/>
  <c r="AC90" i="37"/>
  <c r="AC81" i="37"/>
  <c r="AC84" i="37"/>
  <c r="AC96" i="37"/>
  <c r="M103" i="37"/>
  <c r="M75" i="37"/>
  <c r="O73" i="37"/>
  <c r="O97" i="37"/>
  <c r="O91" i="37"/>
  <c r="M93" i="37"/>
  <c r="M87" i="37"/>
  <c r="O85" i="37"/>
  <c r="M99" i="37"/>
  <c r="O122" i="37"/>
  <c r="M90" i="37"/>
  <c r="M109" i="37"/>
  <c r="M81" i="37"/>
  <c r="O79" i="37"/>
  <c r="M124" i="37"/>
  <c r="O88" i="37"/>
  <c r="M112" i="37"/>
  <c r="O82" i="37"/>
  <c r="O94" i="37"/>
  <c r="M78" i="37"/>
  <c r="M115" i="37"/>
  <c r="O76" i="37"/>
  <c r="M118" i="37"/>
  <c r="M121" i="37"/>
  <c r="O113" i="37"/>
  <c r="M127" i="37"/>
  <c r="O110" i="37"/>
  <c r="O100" i="37"/>
  <c r="M96" i="37"/>
  <c r="O125" i="37"/>
  <c r="M102" i="37"/>
  <c r="M84" i="37"/>
  <c r="O119" i="37"/>
  <c r="O116" i="37"/>
  <c r="R71" i="37"/>
  <c r="R67" i="37"/>
  <c r="AE42" i="37"/>
  <c r="AE77" i="37"/>
  <c r="N74" i="37"/>
  <c r="AC66" i="37"/>
  <c r="AE132" i="37"/>
  <c r="O68" i="37"/>
  <c r="C47" i="37"/>
  <c r="P71" i="37"/>
  <c r="U63" i="37"/>
  <c r="P67" i="37"/>
  <c r="AA44" i="37"/>
  <c r="AA53" i="37"/>
  <c r="Q67" i="37"/>
  <c r="Q71" i="37"/>
  <c r="L143" i="37"/>
  <c r="M144" i="37"/>
  <c r="AC47" i="37"/>
  <c r="AB67" i="37"/>
  <c r="V74" i="37"/>
  <c r="E47" i="37"/>
  <c r="O65" i="37"/>
  <c r="AD43" i="37"/>
  <c r="E68" i="37"/>
  <c r="E63" i="37"/>
  <c r="E67" i="37" s="1"/>
  <c r="E65" i="37"/>
  <c r="E66" i="37"/>
  <c r="V49" i="37"/>
  <c r="I105" i="37"/>
  <c r="I104" i="37"/>
  <c r="R105" i="37"/>
  <c r="R104" i="37"/>
  <c r="H105" i="37"/>
  <c r="H104" i="37"/>
  <c r="N104" i="37" s="1"/>
  <c r="J71" i="37"/>
  <c r="U75" i="37"/>
  <c r="U102" i="37"/>
  <c r="X73" i="37"/>
  <c r="U81" i="37"/>
  <c r="U87" i="37"/>
  <c r="U121" i="37"/>
  <c r="U127" i="37"/>
  <c r="U84" i="37"/>
  <c r="U96" i="37"/>
  <c r="U93" i="37"/>
  <c r="U90" i="37"/>
  <c r="U115" i="37"/>
  <c r="U109" i="37"/>
  <c r="U124" i="37"/>
  <c r="U99" i="37"/>
  <c r="U118" i="37"/>
  <c r="U112" i="37"/>
  <c r="AC50" i="37"/>
  <c r="AC49" i="37"/>
  <c r="AA152" i="37"/>
  <c r="AB31" i="37"/>
  <c r="AA39" i="37"/>
  <c r="AA161" i="37"/>
  <c r="X57" i="37"/>
  <c r="K142" i="37"/>
  <c r="K138" i="37"/>
  <c r="K137" i="37" s="1"/>
  <c r="G188" i="35"/>
  <c r="G187" i="35" s="1"/>
  <c r="G189" i="35" s="1"/>
  <c r="H13" i="35"/>
  <c r="I13" i="35"/>
  <c r="S78" i="38" l="1"/>
  <c r="S87" i="38"/>
  <c r="S72" i="38"/>
  <c r="S50" i="38"/>
  <c r="X63" i="37"/>
  <c r="J95" i="38"/>
  <c r="N71" i="37"/>
  <c r="J9" i="38"/>
  <c r="K96" i="38"/>
  <c r="S62" i="38"/>
  <c r="S53" i="38"/>
  <c r="S59" i="38"/>
  <c r="T50" i="38"/>
  <c r="S90" i="38"/>
  <c r="S81" i="38"/>
  <c r="S56" i="38"/>
  <c r="S17" i="38"/>
  <c r="Q8" i="38"/>
  <c r="S19" i="38"/>
  <c r="S18" i="38"/>
  <c r="P106" i="38"/>
  <c r="V9" i="38"/>
  <c r="V136" i="38"/>
  <c r="V133" i="38"/>
  <c r="AB104" i="37"/>
  <c r="V127" i="38"/>
  <c r="W9" i="38"/>
  <c r="P102" i="38"/>
  <c r="Q102" i="38" s="1"/>
  <c r="Q94" i="38"/>
  <c r="Q105" i="38" s="1"/>
  <c r="P96" i="38"/>
  <c r="S96" i="38" s="1"/>
  <c r="P105" i="38"/>
  <c r="P99" i="38"/>
  <c r="Q99" i="38" s="1"/>
  <c r="S29" i="38"/>
  <c r="S134" i="38"/>
  <c r="S11" i="38"/>
  <c r="V102" i="38"/>
  <c r="Z102" i="38" s="1"/>
  <c r="W95" i="38"/>
  <c r="X136" i="38"/>
  <c r="S26" i="38"/>
  <c r="S30" i="38"/>
  <c r="S10" i="38"/>
  <c r="X9" i="38"/>
  <c r="S20" i="38"/>
  <c r="S25" i="38"/>
  <c r="S32" i="38"/>
  <c r="X96" i="38"/>
  <c r="S12" i="38"/>
  <c r="V99" i="38"/>
  <c r="X127" i="38"/>
  <c r="S28" i="38"/>
  <c r="S22" i="38"/>
  <c r="S33" i="38"/>
  <c r="S14" i="38"/>
  <c r="S52" i="38"/>
  <c r="V106" i="38"/>
  <c r="W107" i="38" s="1"/>
  <c r="S131" i="38"/>
  <c r="S23" i="38"/>
  <c r="S13" i="38"/>
  <c r="V96" i="38"/>
  <c r="AE44" i="37"/>
  <c r="Z105" i="37"/>
  <c r="AF60" i="37"/>
  <c r="AF64" i="37"/>
  <c r="AF62" i="37"/>
  <c r="AF61" i="37"/>
  <c r="AF57" i="37"/>
  <c r="AF58" i="37"/>
  <c r="AF59" i="37"/>
  <c r="AF65" i="37"/>
  <c r="Q127" i="38"/>
  <c r="AF68" i="37"/>
  <c r="R95" i="38"/>
  <c r="AD28" i="40"/>
  <c r="AE49" i="37"/>
  <c r="AA51" i="38"/>
  <c r="Q136" i="38"/>
  <c r="AE74" i="37"/>
  <c r="G10" i="35"/>
  <c r="G12" i="35" s="1"/>
  <c r="AA93" i="38"/>
  <c r="I138" i="38"/>
  <c r="T8" i="38"/>
  <c r="S128" i="38"/>
  <c r="Q133" i="38"/>
  <c r="AB52" i="38"/>
  <c r="AC50" i="38"/>
  <c r="AB50" i="38"/>
  <c r="AB81" i="38"/>
  <c r="AB87" i="38"/>
  <c r="AB90" i="38"/>
  <c r="AB78" i="38"/>
  <c r="AB72" i="38"/>
  <c r="AB69" i="38"/>
  <c r="AB66" i="38"/>
  <c r="Z55" i="38"/>
  <c r="AB53" i="38"/>
  <c r="AB75" i="38"/>
  <c r="AB59" i="38"/>
  <c r="AB84" i="38"/>
  <c r="AB56" i="38"/>
  <c r="Z61" i="38"/>
  <c r="Z58" i="38"/>
  <c r="G108" i="38"/>
  <c r="G107" i="38"/>
  <c r="V108" i="38"/>
  <c r="I99" i="38"/>
  <c r="N108" i="38"/>
  <c r="N107" i="38"/>
  <c r="Q106" i="38"/>
  <c r="Q108" i="38" s="1"/>
  <c r="E108" i="38"/>
  <c r="E107" i="38"/>
  <c r="Z138" i="38"/>
  <c r="O108" i="38"/>
  <c r="O107" i="38"/>
  <c r="V95" i="38"/>
  <c r="X107" i="38"/>
  <c r="X108" i="38"/>
  <c r="S94" i="38"/>
  <c r="R9" i="38"/>
  <c r="I106" i="38"/>
  <c r="I108" i="38" s="1"/>
  <c r="Z64" i="38"/>
  <c r="Y139" i="38"/>
  <c r="Z139" i="38" s="1"/>
  <c r="Y38" i="38"/>
  <c r="AA38" i="38" s="1"/>
  <c r="Y43" i="38"/>
  <c r="Z37" i="38"/>
  <c r="Y106" i="38"/>
  <c r="Y95" i="38"/>
  <c r="Y96" i="38"/>
  <c r="Y105" i="38"/>
  <c r="Y99" i="38"/>
  <c r="U127" i="38"/>
  <c r="U9" i="38"/>
  <c r="U136" i="38"/>
  <c r="U133" i="38"/>
  <c r="U130" i="38"/>
  <c r="W108" i="38"/>
  <c r="U96" i="38"/>
  <c r="Z94" i="38"/>
  <c r="U106" i="38"/>
  <c r="U95" i="38"/>
  <c r="U99" i="38"/>
  <c r="U105" i="38"/>
  <c r="H108" i="38"/>
  <c r="H107" i="38"/>
  <c r="J107" i="38" s="1"/>
  <c r="L107" i="38"/>
  <c r="K94" i="38"/>
  <c r="I105" i="38"/>
  <c r="I102" i="38"/>
  <c r="F108" i="38"/>
  <c r="F107" i="38"/>
  <c r="AA101" i="38"/>
  <c r="I127" i="38"/>
  <c r="I133" i="38"/>
  <c r="I136" i="38"/>
  <c r="I130" i="38"/>
  <c r="K128" i="38"/>
  <c r="Y127" i="38"/>
  <c r="Y133" i="38"/>
  <c r="Y9" i="38"/>
  <c r="Y130" i="38"/>
  <c r="Y136" i="38"/>
  <c r="AC10" i="38"/>
  <c r="AB10" i="38"/>
  <c r="AB33" i="38"/>
  <c r="Z8" i="38"/>
  <c r="AB31" i="38"/>
  <c r="AB25" i="38"/>
  <c r="AB21" i="38"/>
  <c r="AB34" i="38"/>
  <c r="AB30" i="38"/>
  <c r="AB32" i="38"/>
  <c r="AB17" i="38"/>
  <c r="AB23" i="38"/>
  <c r="AB12" i="38"/>
  <c r="AB19" i="38"/>
  <c r="AB22" i="38"/>
  <c r="AB14" i="38"/>
  <c r="AB27" i="38"/>
  <c r="AB29" i="38"/>
  <c r="AB26" i="38"/>
  <c r="AB28" i="38"/>
  <c r="AB11" i="38"/>
  <c r="Z46" i="38"/>
  <c r="AB13" i="38"/>
  <c r="AB24" i="38"/>
  <c r="AB18" i="38"/>
  <c r="AB20" i="38"/>
  <c r="Q130" i="38"/>
  <c r="AB62" i="38"/>
  <c r="P108" i="38"/>
  <c r="P107" i="38"/>
  <c r="AA67" i="37"/>
  <c r="AA71" i="37"/>
  <c r="V104" i="37"/>
  <c r="V71" i="37"/>
  <c r="AC105" i="37"/>
  <c r="AC104" i="37"/>
  <c r="AB152" i="37"/>
  <c r="AC31" i="37"/>
  <c r="AB39" i="37"/>
  <c r="AB161" i="37"/>
  <c r="AB40" i="37"/>
  <c r="L142" i="37"/>
  <c r="L138" i="37"/>
  <c r="L137" i="37" s="1"/>
  <c r="AC67" i="37"/>
  <c r="AC71" i="37"/>
  <c r="U105" i="37"/>
  <c r="X103" i="37"/>
  <c r="AD103" i="37"/>
  <c r="M143" i="37"/>
  <c r="AA104" i="37"/>
  <c r="AA105" i="37"/>
  <c r="AG73" i="37"/>
  <c r="AF73" i="37"/>
  <c r="AF85" i="37"/>
  <c r="AF91" i="37"/>
  <c r="AF125" i="37"/>
  <c r="AF79" i="37"/>
  <c r="AF122" i="37"/>
  <c r="AF82" i="37"/>
  <c r="AF116" i="37"/>
  <c r="AF97" i="37"/>
  <c r="AF88" i="37"/>
  <c r="AF113" i="37"/>
  <c r="AF100" i="37"/>
  <c r="AF119" i="37"/>
  <c r="AF110" i="37"/>
  <c r="AF94" i="37"/>
  <c r="AB71" i="37"/>
  <c r="M105" i="37"/>
  <c r="O103" i="37"/>
  <c r="AF66" i="37"/>
  <c r="AD63" i="37"/>
  <c r="G9" i="35"/>
  <c r="V107" i="38" l="1"/>
  <c r="T127" i="38"/>
  <c r="T99" i="38"/>
  <c r="I10" i="35"/>
  <c r="R107" i="38"/>
  <c r="AF67" i="37"/>
  <c r="AE71" i="37"/>
  <c r="AE104" i="37"/>
  <c r="Z127" i="38"/>
  <c r="AC127" i="38" s="1"/>
  <c r="Z130" i="38"/>
  <c r="AA95" i="38"/>
  <c r="Z133" i="38"/>
  <c r="Y107" i="38"/>
  <c r="Y108" i="38"/>
  <c r="AC8" i="38"/>
  <c r="AB128" i="38"/>
  <c r="Z99" i="38"/>
  <c r="AC99" i="38" s="1"/>
  <c r="U108" i="38"/>
  <c r="U107" i="38"/>
  <c r="Z106" i="38"/>
  <c r="Z108" i="38" s="1"/>
  <c r="Z136" i="38"/>
  <c r="Z43" i="38"/>
  <c r="Z44" i="38"/>
  <c r="AB96" i="38"/>
  <c r="Z96" i="38"/>
  <c r="AB94" i="38"/>
  <c r="Z105" i="38"/>
  <c r="AA9" i="38"/>
  <c r="Z9" i="38"/>
  <c r="AC152" i="37"/>
  <c r="AD152" i="37" s="1"/>
  <c r="AC39" i="37"/>
  <c r="AE39" i="37" s="1"/>
  <c r="AC161" i="37"/>
  <c r="AD161" i="37" s="1"/>
  <c r="AC40" i="37"/>
  <c r="AD31" i="37"/>
  <c r="AG31" i="37" s="1"/>
  <c r="AG63" i="37"/>
  <c r="AF63" i="37"/>
  <c r="M142" i="37"/>
  <c r="M138" i="37"/>
  <c r="M137" i="37" s="1"/>
  <c r="AG103" i="37"/>
  <c r="AF103" i="37"/>
  <c r="G11" i="35"/>
  <c r="I9" i="35"/>
  <c r="H9" i="35"/>
  <c r="I12" i="35"/>
  <c r="H12" i="35"/>
  <c r="AA107" i="38" l="1"/>
  <c r="O137" i="37"/>
  <c r="O145" i="37"/>
  <c r="O147" i="37"/>
  <c r="O139" i="37"/>
  <c r="O144" i="37"/>
  <c r="O142" i="37"/>
  <c r="B68" i="24" l="1"/>
  <c r="C68" i="24" s="1"/>
  <c r="E67" i="24"/>
  <c r="C66" i="24"/>
  <c r="C65" i="24"/>
  <c r="C64" i="24"/>
  <c r="F64" i="24" s="1"/>
  <c r="C63" i="24"/>
  <c r="C62" i="24"/>
  <c r="C61" i="24"/>
  <c r="C60" i="24"/>
  <c r="C59" i="24"/>
  <c r="K58" i="24"/>
  <c r="C58" i="24"/>
  <c r="C57" i="24"/>
  <c r="C69" i="24" s="1"/>
  <c r="C56" i="24"/>
  <c r="C55" i="24"/>
  <c r="C54" i="24"/>
  <c r="F52" i="24"/>
  <c r="F51" i="24"/>
  <c r="E49" i="24"/>
  <c r="E48" i="24"/>
  <c r="D48" i="24"/>
  <c r="E46" i="24"/>
  <c r="N18" i="24"/>
  <c r="M18" i="24"/>
  <c r="L18" i="24"/>
  <c r="K18" i="24"/>
  <c r="J18" i="24"/>
  <c r="H18" i="24"/>
  <c r="G18" i="24"/>
  <c r="N16" i="24"/>
  <c r="M16" i="24"/>
  <c r="L16" i="24"/>
  <c r="K16" i="24"/>
  <c r="J16" i="24"/>
  <c r="H16" i="24"/>
  <c r="N8" i="24"/>
  <c r="M8" i="24"/>
  <c r="J8" i="24"/>
  <c r="H8" i="24"/>
  <c r="G8" i="24"/>
  <c r="F8" i="24"/>
  <c r="D8" i="24"/>
  <c r="N6" i="24"/>
  <c r="M6" i="24"/>
  <c r="L6" i="24"/>
  <c r="K6" i="24"/>
  <c r="J6" i="24"/>
  <c r="H6" i="24"/>
  <c r="G6" i="24"/>
  <c r="E6" i="24"/>
  <c r="F7" i="24" s="1"/>
  <c r="F15" i="20"/>
  <c r="E15" i="20"/>
  <c r="D15" i="20"/>
  <c r="AA14" i="20"/>
  <c r="O14" i="20"/>
  <c r="N14" i="20"/>
  <c r="M14" i="20"/>
  <c r="L14" i="20"/>
  <c r="F14" i="20"/>
  <c r="E14" i="20"/>
  <c r="D14" i="20"/>
  <c r="M10" i="20"/>
  <c r="L10" i="20"/>
  <c r="H10" i="20"/>
  <c r="H15" i="20" s="1"/>
  <c r="G10" i="20"/>
  <c r="G9" i="20"/>
  <c r="I19" i="20" s="1"/>
  <c r="H8" i="20"/>
  <c r="F8" i="20"/>
  <c r="F13" i="20" s="1"/>
  <c r="E8" i="20"/>
  <c r="E13" i="20" s="1"/>
  <c r="D8" i="20"/>
  <c r="D13" i="20" s="1"/>
  <c r="C8" i="20"/>
  <c r="AH180" i="19"/>
  <c r="Q179" i="19"/>
  <c r="AF176" i="19"/>
  <c r="AF173" i="19"/>
  <c r="AI172" i="19" s="1"/>
  <c r="V173" i="19"/>
  <c r="Y172" i="19" s="1"/>
  <c r="S173" i="19"/>
  <c r="U172" i="19" s="1"/>
  <c r="AH172" i="19"/>
  <c r="W172" i="19"/>
  <c r="T172" i="19"/>
  <c r="AH171" i="19"/>
  <c r="W171" i="19"/>
  <c r="T171" i="19"/>
  <c r="AH170" i="19"/>
  <c r="Y170" i="19"/>
  <c r="W170" i="19"/>
  <c r="U170" i="19"/>
  <c r="T170" i="19"/>
  <c r="AH169" i="19"/>
  <c r="Y169" i="19"/>
  <c r="W169" i="19"/>
  <c r="U169" i="19"/>
  <c r="T169" i="19"/>
  <c r="AH168" i="19"/>
  <c r="Y168" i="19"/>
  <c r="W168" i="19"/>
  <c r="U168" i="19"/>
  <c r="T168" i="19"/>
  <c r="AH167" i="19"/>
  <c r="Y167" i="19"/>
  <c r="W167" i="19"/>
  <c r="U167" i="19"/>
  <c r="T167" i="19"/>
  <c r="AH166" i="19"/>
  <c r="Y166" i="19"/>
  <c r="W166" i="19"/>
  <c r="U166" i="19"/>
  <c r="T166" i="19"/>
  <c r="AH165" i="19"/>
  <c r="Y165" i="19"/>
  <c r="W165" i="19"/>
  <c r="U165" i="19"/>
  <c r="T165" i="19"/>
  <c r="AH164" i="19"/>
  <c r="Y164" i="19"/>
  <c r="W164" i="19"/>
  <c r="U164" i="19"/>
  <c r="T164" i="19"/>
  <c r="L164" i="19"/>
  <c r="AI163" i="19"/>
  <c r="AH163" i="19"/>
  <c r="Y163" i="19"/>
  <c r="W163" i="19"/>
  <c r="U163" i="19"/>
  <c r="T163" i="19"/>
  <c r="AI162" i="19"/>
  <c r="AH162" i="19"/>
  <c r="Y162" i="19"/>
  <c r="W162" i="19"/>
  <c r="U162" i="19"/>
  <c r="T162" i="19"/>
  <c r="AI161" i="19"/>
  <c r="AH161" i="19"/>
  <c r="Y161" i="19"/>
  <c r="W161" i="19"/>
  <c r="U161" i="19"/>
  <c r="T161" i="19"/>
  <c r="AI160" i="19"/>
  <c r="AH160" i="19"/>
  <c r="Y160" i="19"/>
  <c r="W160" i="19"/>
  <c r="U160" i="19"/>
  <c r="T160" i="19"/>
  <c r="S155" i="19"/>
  <c r="Q155" i="19"/>
  <c r="O155" i="19"/>
  <c r="M155" i="19"/>
  <c r="L155" i="19"/>
  <c r="G155" i="19"/>
  <c r="F155" i="19"/>
  <c r="E155" i="19"/>
  <c r="D155" i="19"/>
  <c r="AI153" i="19"/>
  <c r="AH153" i="19"/>
  <c r="AF153" i="19"/>
  <c r="AA153" i="19"/>
  <c r="Y153" i="19"/>
  <c r="S153" i="19"/>
  <c r="Q153" i="19"/>
  <c r="O153" i="19"/>
  <c r="M153" i="19"/>
  <c r="L153" i="19"/>
  <c r="H153" i="19"/>
  <c r="G153" i="19"/>
  <c r="F153" i="19"/>
  <c r="E153" i="19"/>
  <c r="D153" i="19"/>
  <c r="C153" i="19"/>
  <c r="F151" i="19"/>
  <c r="E151" i="19"/>
  <c r="D151" i="19"/>
  <c r="AS150" i="19"/>
  <c r="AS139" i="19" s="1"/>
  <c r="AR150" i="19"/>
  <c r="AR139" i="19" s="1"/>
  <c r="AQ150" i="19"/>
  <c r="AQ139" i="19" s="1"/>
  <c r="AP150" i="19"/>
  <c r="AP139" i="19" s="1"/>
  <c r="AO150" i="19"/>
  <c r="AO139" i="19" s="1"/>
  <c r="AI150" i="19"/>
  <c r="AH150" i="19"/>
  <c r="AF150" i="19"/>
  <c r="AA150" i="19"/>
  <c r="AF151" i="19" s="1"/>
  <c r="Y150" i="19"/>
  <c r="X150" i="19"/>
  <c r="X139" i="19" s="1"/>
  <c r="S150" i="19"/>
  <c r="R150" i="19"/>
  <c r="R139" i="19" s="1"/>
  <c r="Q150" i="19"/>
  <c r="O150" i="19"/>
  <c r="M150" i="19"/>
  <c r="L150" i="19"/>
  <c r="H150" i="19"/>
  <c r="H139" i="19" s="1"/>
  <c r="G150" i="19"/>
  <c r="G151" i="19" s="1"/>
  <c r="AK148" i="19"/>
  <c r="F148" i="19"/>
  <c r="E148" i="19"/>
  <c r="D148" i="19"/>
  <c r="AI147" i="19"/>
  <c r="AH147" i="19"/>
  <c r="AF147" i="19"/>
  <c r="AA147" i="19"/>
  <c r="Y147" i="19"/>
  <c r="S147" i="19"/>
  <c r="Q147" i="19"/>
  <c r="O147" i="19"/>
  <c r="O139" i="19" s="1"/>
  <c r="M147" i="19"/>
  <c r="L147" i="19"/>
  <c r="G147" i="19"/>
  <c r="G148" i="19" s="1"/>
  <c r="AI139" i="19"/>
  <c r="AH139" i="19"/>
  <c r="AG139" i="19"/>
  <c r="Z139" i="19"/>
  <c r="P139" i="19"/>
  <c r="E139" i="19"/>
  <c r="F145" i="19" s="1"/>
  <c r="D139" i="19"/>
  <c r="C139" i="19"/>
  <c r="AJ137" i="19"/>
  <c r="AB137" i="19"/>
  <c r="T137" i="19"/>
  <c r="K137" i="19"/>
  <c r="I137" i="19"/>
  <c r="AJ136" i="19"/>
  <c r="AB136" i="19"/>
  <c r="T136" i="19"/>
  <c r="I136" i="19"/>
  <c r="AJ135" i="19"/>
  <c r="AB135" i="19"/>
  <c r="T135" i="19"/>
  <c r="K135" i="19"/>
  <c r="I135" i="19"/>
  <c r="AJ134" i="19"/>
  <c r="AB134" i="19"/>
  <c r="T134" i="19"/>
  <c r="I134" i="19"/>
  <c r="AJ133" i="19"/>
  <c r="AB133" i="19"/>
  <c r="T133" i="19"/>
  <c r="K133" i="19"/>
  <c r="I133" i="19"/>
  <c r="AJ132" i="19"/>
  <c r="AB132" i="19"/>
  <c r="T132" i="19"/>
  <c r="K132" i="19"/>
  <c r="I132" i="19"/>
  <c r="AJ131" i="19"/>
  <c r="AB131" i="19"/>
  <c r="T131" i="19"/>
  <c r="K131" i="19"/>
  <c r="I131" i="19"/>
  <c r="S130" i="19"/>
  <c r="V132" i="19" s="1"/>
  <c r="Q130" i="19"/>
  <c r="K130" i="19"/>
  <c r="I130" i="19"/>
  <c r="O127" i="19"/>
  <c r="M127" i="19"/>
  <c r="L127" i="19"/>
  <c r="L128" i="19" s="1"/>
  <c r="H127" i="19"/>
  <c r="G127" i="19"/>
  <c r="F127" i="19"/>
  <c r="F128" i="19" s="1"/>
  <c r="E127" i="19"/>
  <c r="D127" i="19"/>
  <c r="C127" i="19"/>
  <c r="O124" i="19"/>
  <c r="M124" i="19"/>
  <c r="L124" i="19"/>
  <c r="H124" i="19"/>
  <c r="G124" i="19"/>
  <c r="G125" i="19" s="1"/>
  <c r="F124" i="19"/>
  <c r="E124" i="19"/>
  <c r="D124" i="19"/>
  <c r="C124" i="19"/>
  <c r="O121" i="19"/>
  <c r="O122" i="19" s="1"/>
  <c r="M121" i="19"/>
  <c r="L121" i="19"/>
  <c r="L122" i="19" s="1"/>
  <c r="H121" i="19"/>
  <c r="G121" i="19"/>
  <c r="F121" i="19"/>
  <c r="E121" i="19"/>
  <c r="D121" i="19"/>
  <c r="C121" i="19"/>
  <c r="AJ115" i="19"/>
  <c r="AB115" i="19"/>
  <c r="Y114" i="19"/>
  <c r="S114" i="19"/>
  <c r="Q114" i="19"/>
  <c r="H114" i="19"/>
  <c r="G114" i="19"/>
  <c r="F114" i="19"/>
  <c r="E114" i="19"/>
  <c r="D114" i="19"/>
  <c r="C114" i="19"/>
  <c r="Q101" i="19"/>
  <c r="O101" i="19"/>
  <c r="M101" i="19"/>
  <c r="L101" i="19"/>
  <c r="L102" i="19" s="1"/>
  <c r="H101" i="19"/>
  <c r="H102" i="19" s="1"/>
  <c r="G101" i="19"/>
  <c r="F101" i="19"/>
  <c r="E101" i="19"/>
  <c r="D101" i="19"/>
  <c r="D102" i="19" s="1"/>
  <c r="C101" i="19"/>
  <c r="Q98" i="19"/>
  <c r="Q99" i="19" s="1"/>
  <c r="O98" i="19"/>
  <c r="M98" i="19"/>
  <c r="L98" i="19"/>
  <c r="H98" i="19"/>
  <c r="G98" i="19"/>
  <c r="G99" i="19" s="1"/>
  <c r="F98" i="19"/>
  <c r="F99" i="19" s="1"/>
  <c r="E98" i="19"/>
  <c r="D98" i="19"/>
  <c r="D99" i="19" s="1"/>
  <c r="C98" i="19"/>
  <c r="Y95" i="19"/>
  <c r="S95" i="19"/>
  <c r="S96" i="19" s="1"/>
  <c r="Q95" i="19"/>
  <c r="O95" i="19"/>
  <c r="M95" i="19"/>
  <c r="L95" i="19"/>
  <c r="H95" i="19"/>
  <c r="G95" i="19"/>
  <c r="G96" i="19" s="1"/>
  <c r="F95" i="19"/>
  <c r="F96" i="19" s="1"/>
  <c r="E95" i="19"/>
  <c r="E96" i="19" s="1"/>
  <c r="D95" i="19"/>
  <c r="C95" i="19"/>
  <c r="Y92" i="19"/>
  <c r="Y93" i="19" s="1"/>
  <c r="S92" i="19"/>
  <c r="Q92" i="19"/>
  <c r="O92" i="19"/>
  <c r="M92" i="19"/>
  <c r="M93" i="19" s="1"/>
  <c r="L92" i="19"/>
  <c r="H92" i="19"/>
  <c r="G92" i="19"/>
  <c r="F92" i="19"/>
  <c r="F93" i="19" s="1"/>
  <c r="E92" i="19"/>
  <c r="E93" i="19" s="1"/>
  <c r="D92" i="19"/>
  <c r="D93" i="19" s="1"/>
  <c r="C92" i="19"/>
  <c r="Y89" i="19"/>
  <c r="Y90" i="19" s="1"/>
  <c r="S89" i="19"/>
  <c r="Q89" i="19"/>
  <c r="O89" i="19"/>
  <c r="M89" i="19"/>
  <c r="L89" i="19"/>
  <c r="H89" i="19"/>
  <c r="G89" i="19"/>
  <c r="F89" i="19"/>
  <c r="E89" i="19"/>
  <c r="D89" i="19"/>
  <c r="D90" i="19" s="1"/>
  <c r="C89" i="19"/>
  <c r="Y86" i="19"/>
  <c r="S86" i="19"/>
  <c r="S87" i="19" s="1"/>
  <c r="Q86" i="19"/>
  <c r="O86" i="19"/>
  <c r="M86" i="19"/>
  <c r="M87" i="19" s="1"/>
  <c r="L86" i="19"/>
  <c r="H86" i="19"/>
  <c r="G86" i="19"/>
  <c r="F86" i="19"/>
  <c r="E86" i="19"/>
  <c r="D86" i="19"/>
  <c r="C86" i="19"/>
  <c r="Y83" i="19"/>
  <c r="S83" i="19"/>
  <c r="Q83" i="19"/>
  <c r="O83" i="19"/>
  <c r="M83" i="19"/>
  <c r="L83" i="19"/>
  <c r="H83" i="19"/>
  <c r="G83" i="19"/>
  <c r="G84" i="19" s="1"/>
  <c r="F83" i="19"/>
  <c r="F84" i="19" s="1"/>
  <c r="E83" i="19"/>
  <c r="D83" i="19"/>
  <c r="C83" i="19"/>
  <c r="Y80" i="19"/>
  <c r="Q80" i="19"/>
  <c r="O80" i="19"/>
  <c r="O81" i="19" s="1"/>
  <c r="M80" i="19"/>
  <c r="L80" i="19"/>
  <c r="H80" i="19"/>
  <c r="H81" i="19" s="1"/>
  <c r="G80" i="19"/>
  <c r="G81" i="19" s="1"/>
  <c r="F80" i="19"/>
  <c r="F81" i="19" s="1"/>
  <c r="E80" i="19"/>
  <c r="E81" i="19" s="1"/>
  <c r="D80" i="19"/>
  <c r="C80" i="19"/>
  <c r="Y77" i="19"/>
  <c r="S77" i="19"/>
  <c r="Q77" i="19"/>
  <c r="O77" i="19"/>
  <c r="M77" i="19"/>
  <c r="L77" i="19"/>
  <c r="H77" i="19"/>
  <c r="G77" i="19"/>
  <c r="G78" i="19" s="1"/>
  <c r="F77" i="19"/>
  <c r="F78" i="19" s="1"/>
  <c r="E77" i="19"/>
  <c r="D77" i="19"/>
  <c r="C77" i="19"/>
  <c r="AJ76" i="19"/>
  <c r="AB76" i="19"/>
  <c r="S70" i="19"/>
  <c r="Q70" i="19"/>
  <c r="O70" i="19"/>
  <c r="O71" i="19" s="1"/>
  <c r="M70" i="19"/>
  <c r="L70" i="19"/>
  <c r="H70" i="19"/>
  <c r="G70" i="19"/>
  <c r="F70" i="19"/>
  <c r="F71" i="19" s="1"/>
  <c r="E70" i="19"/>
  <c r="D70" i="19"/>
  <c r="E71" i="19" s="1"/>
  <c r="C70" i="19"/>
  <c r="D71" i="19" s="1"/>
  <c r="Y67" i="19"/>
  <c r="S67" i="19"/>
  <c r="Y68" i="19" s="1"/>
  <c r="Q67" i="19"/>
  <c r="O67" i="19"/>
  <c r="M67" i="19"/>
  <c r="L67" i="19"/>
  <c r="H67" i="19"/>
  <c r="H68" i="19" s="1"/>
  <c r="G67" i="19"/>
  <c r="G68" i="19" s="1"/>
  <c r="F67" i="19"/>
  <c r="E67" i="19"/>
  <c r="D67" i="19"/>
  <c r="D68" i="19" s="1"/>
  <c r="C67" i="19"/>
  <c r="Q64" i="19"/>
  <c r="O64" i="19"/>
  <c r="M64" i="19"/>
  <c r="L64" i="19"/>
  <c r="L65" i="19" s="1"/>
  <c r="H64" i="19"/>
  <c r="G64" i="19"/>
  <c r="F64" i="19"/>
  <c r="E64" i="19"/>
  <c r="D64" i="19"/>
  <c r="C64" i="19"/>
  <c r="AJ60" i="19"/>
  <c r="AB60" i="19"/>
  <c r="I60" i="19"/>
  <c r="AJ59" i="19"/>
  <c r="AB59" i="19"/>
  <c r="S55" i="19"/>
  <c r="Q55" i="19"/>
  <c r="O55" i="19"/>
  <c r="M55" i="19"/>
  <c r="L55" i="19"/>
  <c r="H55" i="19"/>
  <c r="G55" i="19"/>
  <c r="F55" i="19"/>
  <c r="E55" i="19"/>
  <c r="S52" i="19"/>
  <c r="Y52" i="19" s="1"/>
  <c r="Q52" i="19"/>
  <c r="O52" i="19"/>
  <c r="M52" i="19"/>
  <c r="L52" i="19"/>
  <c r="H52" i="19"/>
  <c r="G52" i="19"/>
  <c r="F52" i="19"/>
  <c r="E52" i="19"/>
  <c r="S51" i="19"/>
  <c r="Q51" i="19"/>
  <c r="O51" i="19"/>
  <c r="M51" i="19"/>
  <c r="L51" i="19"/>
  <c r="H51" i="19"/>
  <c r="G51" i="19"/>
  <c r="F51" i="19"/>
  <c r="Y50" i="19"/>
  <c r="AA50" i="19" s="1"/>
  <c r="T50" i="19"/>
  <c r="D50" i="19"/>
  <c r="E51" i="19" s="1"/>
  <c r="S49" i="19"/>
  <c r="Q49" i="19"/>
  <c r="O49" i="19"/>
  <c r="M49" i="19"/>
  <c r="L49" i="19"/>
  <c r="H49" i="19"/>
  <c r="G49" i="19"/>
  <c r="F49" i="19"/>
  <c r="T48" i="19"/>
  <c r="D48" i="19"/>
  <c r="C155" i="19" s="1"/>
  <c r="AJ47" i="19"/>
  <c r="AB47" i="19"/>
  <c r="T47" i="19"/>
  <c r="AJ46" i="19"/>
  <c r="AN46" i="19" s="1"/>
  <c r="AB46" i="19"/>
  <c r="AJ45" i="19"/>
  <c r="AN45" i="19" s="1"/>
  <c r="AB45" i="19"/>
  <c r="AJ44" i="19"/>
  <c r="AN44" i="19" s="1"/>
  <c r="AB44" i="19"/>
  <c r="AJ43" i="19"/>
  <c r="AN43" i="19" s="1"/>
  <c r="AB43" i="19"/>
  <c r="AJ42" i="19"/>
  <c r="AN42" i="19" s="1"/>
  <c r="AB42" i="19"/>
  <c r="AS41" i="19"/>
  <c r="AR41" i="19"/>
  <c r="AQ41" i="19"/>
  <c r="AP41" i="19"/>
  <c r="X41" i="19"/>
  <c r="G35" i="61" s="1"/>
  <c r="AS35" i="19"/>
  <c r="AR35" i="19"/>
  <c r="AQ35" i="19"/>
  <c r="AP35" i="19"/>
  <c r="X35" i="19"/>
  <c r="G30" i="61" s="1"/>
  <c r="T35" i="19"/>
  <c r="I35" i="19"/>
  <c r="AA33" i="19"/>
  <c r="O33" i="19"/>
  <c r="M33" i="19"/>
  <c r="L33" i="19"/>
  <c r="H33" i="19"/>
  <c r="I33" i="19" s="1"/>
  <c r="C33" i="19"/>
  <c r="AS32" i="19"/>
  <c r="AR32" i="19"/>
  <c r="AQ32" i="19"/>
  <c r="AP32" i="19"/>
  <c r="AH114" i="19"/>
  <c r="AF114" i="19"/>
  <c r="AA32" i="19"/>
  <c r="X32" i="19"/>
  <c r="G27" i="61" s="1"/>
  <c r="O32" i="19"/>
  <c r="O114" i="19" s="1"/>
  <c r="M32" i="19"/>
  <c r="M114" i="19" s="1"/>
  <c r="L32" i="19"/>
  <c r="I32" i="19"/>
  <c r="AS31" i="19"/>
  <c r="AR31" i="19"/>
  <c r="AQ31" i="19"/>
  <c r="AP31" i="19"/>
  <c r="AA31" i="19"/>
  <c r="H26" i="61" s="1"/>
  <c r="Y31" i="19"/>
  <c r="X31" i="19"/>
  <c r="G26" i="61" s="1"/>
  <c r="S31" i="19"/>
  <c r="Q31" i="19"/>
  <c r="AS30" i="19"/>
  <c r="AR30" i="19"/>
  <c r="AQ30" i="19"/>
  <c r="AP30" i="19"/>
  <c r="Y30" i="19"/>
  <c r="H25" i="61" s="1"/>
  <c r="K25" i="61" s="1"/>
  <c r="X30" i="19"/>
  <c r="G25" i="61" s="1"/>
  <c r="S30" i="19"/>
  <c r="AB30" i="19" s="1"/>
  <c r="Q30" i="19"/>
  <c r="I30" i="19"/>
  <c r="AS29" i="19"/>
  <c r="AR29" i="19"/>
  <c r="AQ29" i="19"/>
  <c r="AP29" i="19"/>
  <c r="AA101" i="19"/>
  <c r="Y29" i="19"/>
  <c r="X29" i="19"/>
  <c r="S29" i="19"/>
  <c r="S101" i="19" s="1"/>
  <c r="I29" i="19"/>
  <c r="AS28" i="19"/>
  <c r="AR28" i="19"/>
  <c r="AQ28" i="19"/>
  <c r="AP28" i="19"/>
  <c r="AA98" i="19"/>
  <c r="Y28" i="19"/>
  <c r="X28" i="19"/>
  <c r="S28" i="19"/>
  <c r="S98" i="19" s="1"/>
  <c r="S99" i="19" s="1"/>
  <c r="I28" i="19"/>
  <c r="AS27" i="19"/>
  <c r="AR27" i="19"/>
  <c r="AQ27" i="19"/>
  <c r="AP27" i="19"/>
  <c r="X27" i="19"/>
  <c r="S27" i="19"/>
  <c r="I27" i="19"/>
  <c r="AS26" i="19"/>
  <c r="AR26" i="19"/>
  <c r="AQ26" i="19"/>
  <c r="AP26" i="19"/>
  <c r="AA95" i="19"/>
  <c r="X26" i="19"/>
  <c r="T26" i="19"/>
  <c r="I26" i="19"/>
  <c r="AS25" i="19"/>
  <c r="AR25" i="19"/>
  <c r="AQ25" i="19"/>
  <c r="AP25" i="19"/>
  <c r="AA92" i="19"/>
  <c r="X25" i="19"/>
  <c r="T25" i="19"/>
  <c r="I25" i="19"/>
  <c r="AS24" i="19"/>
  <c r="AR24" i="19"/>
  <c r="AQ24" i="19"/>
  <c r="AP24" i="19"/>
  <c r="X24" i="19"/>
  <c r="T24" i="19"/>
  <c r="I24" i="19"/>
  <c r="AS23" i="19"/>
  <c r="AR23" i="19"/>
  <c r="AQ23" i="19"/>
  <c r="AP23" i="19"/>
  <c r="X23" i="19"/>
  <c r="T23" i="19"/>
  <c r="I23" i="19"/>
  <c r="AS22" i="19"/>
  <c r="AR22" i="19"/>
  <c r="AQ22" i="19"/>
  <c r="AP22" i="19"/>
  <c r="AA77" i="19"/>
  <c r="X22" i="19"/>
  <c r="T22" i="19"/>
  <c r="W22" i="19" s="1"/>
  <c r="I22" i="19"/>
  <c r="AS21" i="19"/>
  <c r="AR21" i="19"/>
  <c r="AQ21" i="19"/>
  <c r="AP21" i="19"/>
  <c r="AA83" i="19"/>
  <c r="X21" i="19"/>
  <c r="T21" i="19"/>
  <c r="I21" i="19"/>
  <c r="Z20" i="19"/>
  <c r="Y20" i="19"/>
  <c r="R20" i="19"/>
  <c r="Q20" i="19"/>
  <c r="Q73" i="19" s="1"/>
  <c r="P20" i="19"/>
  <c r="P16" i="19" s="1"/>
  <c r="O20" i="19"/>
  <c r="M20" i="19"/>
  <c r="M73" i="19" s="1"/>
  <c r="L20" i="19"/>
  <c r="L73" i="19" s="1"/>
  <c r="H20" i="19"/>
  <c r="H73" i="19" s="1"/>
  <c r="G20" i="19"/>
  <c r="G73" i="19" s="1"/>
  <c r="F20" i="19"/>
  <c r="F73" i="19" s="1"/>
  <c r="E20" i="19"/>
  <c r="D20" i="19"/>
  <c r="D73" i="19" s="1"/>
  <c r="C20" i="19"/>
  <c r="C73" i="19" s="1"/>
  <c r="AS19" i="19"/>
  <c r="AR19" i="19"/>
  <c r="AQ19" i="19"/>
  <c r="AP19" i="19"/>
  <c r="AA70" i="19"/>
  <c r="Y19" i="19"/>
  <c r="X19" i="19"/>
  <c r="T19" i="19"/>
  <c r="I19" i="19"/>
  <c r="AS18" i="19"/>
  <c r="AR18" i="19"/>
  <c r="AQ18" i="19"/>
  <c r="AP18" i="19"/>
  <c r="AA67" i="19"/>
  <c r="X18" i="19"/>
  <c r="T18" i="19"/>
  <c r="I18" i="19"/>
  <c r="AS17" i="19"/>
  <c r="AR17" i="19"/>
  <c r="AQ17" i="19"/>
  <c r="AP17" i="19"/>
  <c r="AF64" i="19"/>
  <c r="Y17" i="19"/>
  <c r="X17" i="19"/>
  <c r="S17" i="19"/>
  <c r="I17" i="19"/>
  <c r="Z16" i="19"/>
  <c r="I24" i="61" s="1"/>
  <c r="Q16" i="19"/>
  <c r="Q61" i="19" s="1"/>
  <c r="F16" i="19"/>
  <c r="F61" i="19" s="1"/>
  <c r="D16" i="19"/>
  <c r="D111" i="19" s="1"/>
  <c r="C16" i="19"/>
  <c r="C111" i="19" s="1"/>
  <c r="AS15" i="19"/>
  <c r="AR15" i="19"/>
  <c r="AQ15" i="19"/>
  <c r="AP15" i="19"/>
  <c r="AS14" i="19"/>
  <c r="AR14" i="19"/>
  <c r="AQ14" i="19"/>
  <c r="AP14" i="19"/>
  <c r="Y14" i="19"/>
  <c r="Y127" i="19" s="1"/>
  <c r="X14" i="19"/>
  <c r="S14" i="19"/>
  <c r="S127" i="19" s="1"/>
  <c r="Q14" i="19"/>
  <c r="Q127" i="19" s="1"/>
  <c r="I14" i="19"/>
  <c r="AS13" i="19"/>
  <c r="AR13" i="19"/>
  <c r="AQ13" i="19"/>
  <c r="AP13" i="19"/>
  <c r="Y13" i="19"/>
  <c r="X13" i="19"/>
  <c r="S13" i="19"/>
  <c r="S124" i="19" s="1"/>
  <c r="Q13" i="19"/>
  <c r="Q124" i="19" s="1"/>
  <c r="I13" i="19"/>
  <c r="AS12" i="19"/>
  <c r="AR12" i="19"/>
  <c r="AQ12" i="19"/>
  <c r="AP12" i="19"/>
  <c r="Y12" i="19"/>
  <c r="X12" i="19"/>
  <c r="S12" i="19"/>
  <c r="Q12" i="19"/>
  <c r="I12" i="19"/>
  <c r="Z11" i="19"/>
  <c r="I23" i="61" s="1"/>
  <c r="I22" i="61" s="1"/>
  <c r="R11" i="19"/>
  <c r="R10" i="19" s="1"/>
  <c r="R8" i="19" s="1"/>
  <c r="P11" i="19"/>
  <c r="P10" i="19" s="1"/>
  <c r="O11" i="19"/>
  <c r="M11" i="19"/>
  <c r="L11" i="19"/>
  <c r="H11" i="19"/>
  <c r="G11" i="19"/>
  <c r="F11" i="19"/>
  <c r="E11" i="19"/>
  <c r="D11" i="19"/>
  <c r="D10" i="19" s="1"/>
  <c r="C11" i="19"/>
  <c r="AK10" i="19"/>
  <c r="B223" i="18"/>
  <c r="B222" i="18"/>
  <c r="B221" i="18"/>
  <c r="B220" i="18"/>
  <c r="B219" i="18"/>
  <c r="AD218" i="18"/>
  <c r="AD220" i="18" s="1"/>
  <c r="B218" i="18"/>
  <c r="B217" i="18"/>
  <c r="AC216" i="18"/>
  <c r="B216" i="18"/>
  <c r="B215" i="18"/>
  <c r="B214" i="18"/>
  <c r="B213" i="18"/>
  <c r="B212" i="18"/>
  <c r="B211" i="18"/>
  <c r="B210" i="18"/>
  <c r="B209" i="18"/>
  <c r="B208" i="18"/>
  <c r="B207" i="18"/>
  <c r="B206" i="18"/>
  <c r="B205" i="18"/>
  <c r="AF201" i="18"/>
  <c r="Z201" i="18"/>
  <c r="AH194" i="18"/>
  <c r="AF194" i="18"/>
  <c r="Z194" i="18"/>
  <c r="X194" i="18"/>
  <c r="Y191" i="18"/>
  <c r="W191" i="18"/>
  <c r="AG189" i="18"/>
  <c r="Y189" i="18"/>
  <c r="W189" i="18"/>
  <c r="AV182" i="18"/>
  <c r="AA182" i="18"/>
  <c r="AV181" i="18"/>
  <c r="AA181" i="18"/>
  <c r="AF180" i="18"/>
  <c r="Z180" i="18"/>
  <c r="AV179" i="18"/>
  <c r="AA179" i="18"/>
  <c r="AV178" i="18"/>
  <c r="AA178" i="18"/>
  <c r="AR177" i="18"/>
  <c r="AQ177" i="18"/>
  <c r="AO177" i="18"/>
  <c r="AH177" i="18"/>
  <c r="AF177" i="18"/>
  <c r="Z177" i="18"/>
  <c r="X177" i="18"/>
  <c r="X183" i="18" s="1"/>
  <c r="V177" i="18"/>
  <c r="V183" i="18" s="1"/>
  <c r="T177" i="18"/>
  <c r="T183" i="18" s="1"/>
  <c r="T185" i="18" s="1"/>
  <c r="S177" i="18"/>
  <c r="S183" i="18" s="1"/>
  <c r="O177" i="18"/>
  <c r="O183" i="18" s="1"/>
  <c r="O185" i="18" s="1"/>
  <c r="N177" i="18"/>
  <c r="N183" i="18" s="1"/>
  <c r="M177" i="18"/>
  <c r="M183" i="18" s="1"/>
  <c r="L177" i="18"/>
  <c r="L183" i="18" s="1"/>
  <c r="K177" i="18"/>
  <c r="K183" i="18" s="1"/>
  <c r="K185" i="18" s="1"/>
  <c r="H177" i="18"/>
  <c r="H183" i="18" s="1"/>
  <c r="G177" i="18"/>
  <c r="G183" i="18" s="1"/>
  <c r="G184" i="18" s="1"/>
  <c r="F177" i="18"/>
  <c r="F183" i="18" s="1"/>
  <c r="F184" i="18" s="1"/>
  <c r="E177" i="18"/>
  <c r="E183" i="18" s="1"/>
  <c r="E184" i="18" s="1"/>
  <c r="D177" i="18"/>
  <c r="D183" i="18" s="1"/>
  <c r="D184" i="18" s="1"/>
  <c r="C177" i="18"/>
  <c r="C183" i="18" s="1"/>
  <c r="C184" i="18" s="1"/>
  <c r="C185" i="18" s="1"/>
  <c r="V176" i="18"/>
  <c r="T176" i="18"/>
  <c r="S176" i="18"/>
  <c r="O176" i="18"/>
  <c r="N176" i="18"/>
  <c r="M176" i="18"/>
  <c r="L176" i="18"/>
  <c r="K176" i="18"/>
  <c r="C176" i="18"/>
  <c r="G175" i="18"/>
  <c r="F175" i="18"/>
  <c r="E175" i="18"/>
  <c r="D175" i="18"/>
  <c r="C175" i="18"/>
  <c r="AV174" i="18"/>
  <c r="AA174" i="18"/>
  <c r="V173" i="18"/>
  <c r="V175" i="18" s="1"/>
  <c r="T173" i="18"/>
  <c r="T175" i="18" s="1"/>
  <c r="S173" i="18"/>
  <c r="S175" i="18" s="1"/>
  <c r="O173" i="18"/>
  <c r="O175" i="18" s="1"/>
  <c r="N173" i="18"/>
  <c r="N175" i="18" s="1"/>
  <c r="M173" i="18"/>
  <c r="M175" i="18" s="1"/>
  <c r="L173" i="18"/>
  <c r="L175" i="18" s="1"/>
  <c r="K173" i="18"/>
  <c r="K175" i="18" s="1"/>
  <c r="H173" i="18"/>
  <c r="H175" i="18" s="1"/>
  <c r="AR172" i="18"/>
  <c r="AQ172" i="18"/>
  <c r="AQ180" i="18" s="1"/>
  <c r="AO172" i="18"/>
  <c r="AH172" i="18"/>
  <c r="AH180" i="18" s="1"/>
  <c r="AA172" i="18"/>
  <c r="AQ171" i="18"/>
  <c r="AO171" i="18"/>
  <c r="Y171" i="18"/>
  <c r="S171" i="18"/>
  <c r="O171" i="18"/>
  <c r="N171" i="18"/>
  <c r="M171" i="18"/>
  <c r="L171" i="18"/>
  <c r="K171" i="18"/>
  <c r="BD170" i="18"/>
  <c r="BC170" i="18"/>
  <c r="BB170" i="18"/>
  <c r="BA170" i="18"/>
  <c r="AZ170" i="18"/>
  <c r="AR170" i="18"/>
  <c r="AQ170" i="18"/>
  <c r="AO170" i="18"/>
  <c r="AH170" i="18"/>
  <c r="AG170" i="18"/>
  <c r="AG192" i="18" s="1"/>
  <c r="AF170" i="18"/>
  <c r="AE170" i="18"/>
  <c r="AE192" i="18" s="1"/>
  <c r="Z170" i="18"/>
  <c r="Y170" i="18"/>
  <c r="Y192" i="18" s="1"/>
  <c r="X170" i="18"/>
  <c r="W170" i="18"/>
  <c r="W192" i="18" s="1"/>
  <c r="V170" i="18"/>
  <c r="T170" i="18"/>
  <c r="S170" i="18"/>
  <c r="P170" i="18"/>
  <c r="O170" i="18"/>
  <c r="N170" i="18"/>
  <c r="M170" i="18"/>
  <c r="L170" i="18"/>
  <c r="K170" i="18"/>
  <c r="H170" i="18"/>
  <c r="AV169" i="18"/>
  <c r="X169" i="18"/>
  <c r="AA169" i="18" s="1"/>
  <c r="W169" i="18"/>
  <c r="P169" i="18"/>
  <c r="G169" i="18"/>
  <c r="F169" i="18"/>
  <c r="F166" i="18" s="1"/>
  <c r="F160" i="18" s="1"/>
  <c r="E169" i="18"/>
  <c r="E166" i="18" s="1"/>
  <c r="E160" i="18" s="1"/>
  <c r="D169" i="18"/>
  <c r="C169" i="18"/>
  <c r="C166" i="18" s="1"/>
  <c r="C160" i="18" s="1"/>
  <c r="BD168" i="18"/>
  <c r="BD166" i="18" s="1"/>
  <c r="BC168" i="18"/>
  <c r="BC167" i="18" s="1"/>
  <c r="BB168" i="18"/>
  <c r="BB167" i="18" s="1"/>
  <c r="BA168" i="18"/>
  <c r="BA166" i="18" s="1"/>
  <c r="AZ168" i="18"/>
  <c r="AZ166" i="18" s="1"/>
  <c r="AR168" i="18"/>
  <c r="AR167" i="18" s="1"/>
  <c r="AQ168" i="18"/>
  <c r="AO168" i="18"/>
  <c r="AO167" i="18" s="1"/>
  <c r="AH168" i="18"/>
  <c r="AH167" i="18" s="1"/>
  <c r="AF168" i="18"/>
  <c r="AF166" i="18" s="1"/>
  <c r="Z168" i="18"/>
  <c r="Z167" i="18" s="1"/>
  <c r="W168" i="18"/>
  <c r="X168" i="18" s="1"/>
  <c r="X167" i="18" s="1"/>
  <c r="S168" i="18"/>
  <c r="L168" i="18"/>
  <c r="AG167" i="18"/>
  <c r="AE167" i="18"/>
  <c r="Y167" i="18"/>
  <c r="W167" i="18"/>
  <c r="V167" i="18"/>
  <c r="V161" i="18" s="1"/>
  <c r="T167" i="18"/>
  <c r="T161" i="18" s="1"/>
  <c r="S167" i="18"/>
  <c r="K167" i="18"/>
  <c r="H167" i="18"/>
  <c r="H161" i="18" s="1"/>
  <c r="AG166" i="18"/>
  <c r="AE166" i="18"/>
  <c r="Y166" i="18"/>
  <c r="W166" i="18"/>
  <c r="V166" i="18"/>
  <c r="T166" i="18"/>
  <c r="G166" i="18"/>
  <c r="G160" i="18" s="1"/>
  <c r="D166" i="18"/>
  <c r="D160" i="18" s="1"/>
  <c r="V164" i="18"/>
  <c r="T164" i="18"/>
  <c r="S164" i="18"/>
  <c r="O164" i="18"/>
  <c r="N164" i="18"/>
  <c r="M164" i="18"/>
  <c r="L164" i="18"/>
  <c r="K164" i="18"/>
  <c r="V163" i="18"/>
  <c r="T163" i="18"/>
  <c r="S163" i="18"/>
  <c r="O163" i="18"/>
  <c r="N163" i="18"/>
  <c r="M163" i="18"/>
  <c r="L163" i="18"/>
  <c r="K163" i="18"/>
  <c r="J163" i="18"/>
  <c r="BD162" i="18"/>
  <c r="BD44" i="18" s="1"/>
  <c r="BC162" i="18"/>
  <c r="BB162" i="18"/>
  <c r="BA162" i="18"/>
  <c r="BA44" i="18" s="1"/>
  <c r="AZ162" i="18"/>
  <c r="AZ44" i="18" s="1"/>
  <c r="AR162" i="18"/>
  <c r="AR173" i="18" s="1"/>
  <c r="AR175" i="18" s="1"/>
  <c r="AQ162" i="18"/>
  <c r="AQ173" i="18" s="1"/>
  <c r="AQ175" i="18" s="1"/>
  <c r="AO162" i="18"/>
  <c r="AO164" i="18" s="1"/>
  <c r="AG162" i="18"/>
  <c r="AG199" i="18" s="1"/>
  <c r="AF162" i="18"/>
  <c r="AF44" i="18" s="1"/>
  <c r="AE162" i="18"/>
  <c r="AE199" i="18" s="1"/>
  <c r="Z162" i="18"/>
  <c r="Z164" i="18" s="1"/>
  <c r="Y162" i="18"/>
  <c r="Y199" i="18" s="1"/>
  <c r="X162" i="18"/>
  <c r="X195" i="18" s="1"/>
  <c r="W162" i="18"/>
  <c r="W44" i="18" s="1"/>
  <c r="P162" i="18"/>
  <c r="AC161" i="18"/>
  <c r="AB161" i="18"/>
  <c r="M159" i="18"/>
  <c r="J159" i="18"/>
  <c r="AF158" i="18"/>
  <c r="AF159" i="18" s="1"/>
  <c r="Z158" i="18"/>
  <c r="X158" i="18"/>
  <c r="V158" i="18"/>
  <c r="T158" i="18"/>
  <c r="S158" i="18"/>
  <c r="S159" i="18" s="1"/>
  <c r="O158" i="18"/>
  <c r="N158" i="18"/>
  <c r="M158" i="18"/>
  <c r="L158" i="18"/>
  <c r="K158" i="18"/>
  <c r="H158" i="18"/>
  <c r="G158" i="18"/>
  <c r="F158" i="18"/>
  <c r="E158" i="18"/>
  <c r="D158" i="18"/>
  <c r="AR156" i="18"/>
  <c r="AQ156" i="18"/>
  <c r="AO156" i="18"/>
  <c r="AH156" i="18"/>
  <c r="AF156" i="18"/>
  <c r="Z156" i="18"/>
  <c r="X156" i="18"/>
  <c r="V156" i="18"/>
  <c r="T156" i="18"/>
  <c r="S156" i="18"/>
  <c r="O156" i="18"/>
  <c r="N156" i="18"/>
  <c r="M156" i="18"/>
  <c r="L156" i="18"/>
  <c r="K156" i="18"/>
  <c r="H156" i="18"/>
  <c r="G156" i="18"/>
  <c r="F156" i="18"/>
  <c r="E156" i="18"/>
  <c r="D156" i="18"/>
  <c r="BL155" i="18"/>
  <c r="J155" i="18"/>
  <c r="BL154" i="18"/>
  <c r="J149" i="18"/>
  <c r="AF148" i="18"/>
  <c r="AF149" i="18" s="1"/>
  <c r="Z148" i="18"/>
  <c r="X148" i="18"/>
  <c r="V148" i="18"/>
  <c r="T148" i="18"/>
  <c r="S148" i="18"/>
  <c r="O148" i="18"/>
  <c r="N148" i="18"/>
  <c r="M148" i="18"/>
  <c r="L148" i="18"/>
  <c r="K148" i="18"/>
  <c r="K149" i="18" s="1"/>
  <c r="H148" i="18"/>
  <c r="G148" i="18"/>
  <c r="F148" i="18"/>
  <c r="E148" i="18"/>
  <c r="D148" i="18"/>
  <c r="AF145" i="18"/>
  <c r="Z145" i="18"/>
  <c r="Z146" i="18" s="1"/>
  <c r="X145" i="18"/>
  <c r="V145" i="18"/>
  <c r="T145" i="18"/>
  <c r="S145" i="18"/>
  <c r="O145" i="18"/>
  <c r="N145" i="18"/>
  <c r="M145" i="18"/>
  <c r="L145" i="18"/>
  <c r="K145" i="18"/>
  <c r="H145" i="18"/>
  <c r="G145" i="18"/>
  <c r="F145" i="18"/>
  <c r="E145" i="18"/>
  <c r="D145" i="18"/>
  <c r="C145" i="18"/>
  <c r="J143" i="18"/>
  <c r="AF142" i="18"/>
  <c r="AF143" i="18" s="1"/>
  <c r="Z142" i="18"/>
  <c r="X142" i="18"/>
  <c r="Z143" i="18" s="1"/>
  <c r="V142" i="18"/>
  <c r="T142" i="18"/>
  <c r="S142" i="18"/>
  <c r="O142" i="18"/>
  <c r="N142" i="18"/>
  <c r="M142" i="18"/>
  <c r="M143" i="18" s="1"/>
  <c r="L142" i="18"/>
  <c r="K142" i="18"/>
  <c r="H142" i="18"/>
  <c r="G142" i="18"/>
  <c r="F142" i="18"/>
  <c r="E142" i="18"/>
  <c r="D142" i="18"/>
  <c r="J140" i="18"/>
  <c r="AF139" i="18"/>
  <c r="Z139" i="18"/>
  <c r="X139" i="18"/>
  <c r="V139" i="18"/>
  <c r="T139" i="18"/>
  <c r="T140" i="18" s="1"/>
  <c r="S139" i="18"/>
  <c r="O139" i="18"/>
  <c r="S140" i="18" s="1"/>
  <c r="N139" i="18"/>
  <c r="M139" i="18"/>
  <c r="L139" i="18"/>
  <c r="K139" i="18"/>
  <c r="H139" i="18"/>
  <c r="G139" i="18"/>
  <c r="F139" i="18"/>
  <c r="E139" i="18"/>
  <c r="D139" i="18"/>
  <c r="J137" i="18"/>
  <c r="AF136" i="18"/>
  <c r="Z136" i="18"/>
  <c r="X136" i="18"/>
  <c r="V136" i="18"/>
  <c r="T136" i="18"/>
  <c r="S136" i="18"/>
  <c r="O136" i="18"/>
  <c r="N136" i="18"/>
  <c r="M136" i="18"/>
  <c r="L136" i="18"/>
  <c r="K136" i="18"/>
  <c r="H136" i="18"/>
  <c r="G136" i="18"/>
  <c r="F136" i="18"/>
  <c r="E136" i="18"/>
  <c r="D136" i="18"/>
  <c r="J134" i="18"/>
  <c r="AF133" i="18"/>
  <c r="Z133" i="18"/>
  <c r="X133" i="18"/>
  <c r="V133" i="18"/>
  <c r="T133" i="18"/>
  <c r="S133" i="18"/>
  <c r="O133" i="18"/>
  <c r="N133" i="18"/>
  <c r="M133" i="18"/>
  <c r="L133" i="18"/>
  <c r="K133" i="18"/>
  <c r="H133" i="18"/>
  <c r="J131" i="18"/>
  <c r="AF130" i="18"/>
  <c r="Z130" i="18"/>
  <c r="X130" i="18"/>
  <c r="V130" i="18"/>
  <c r="T130" i="18"/>
  <c r="S130" i="18"/>
  <c r="O130" i="18"/>
  <c r="S131" i="18" s="1"/>
  <c r="N130" i="18"/>
  <c r="M130" i="18"/>
  <c r="L130" i="18"/>
  <c r="K130" i="18"/>
  <c r="H130" i="18"/>
  <c r="G130" i="18"/>
  <c r="F130" i="18"/>
  <c r="E130" i="18"/>
  <c r="D130" i="18"/>
  <c r="J127" i="18"/>
  <c r="J124" i="18"/>
  <c r="AF123" i="18"/>
  <c r="AF124" i="18" s="1"/>
  <c r="Z123" i="18"/>
  <c r="Z124" i="18" s="1"/>
  <c r="X123" i="18"/>
  <c r="V123" i="18"/>
  <c r="T123" i="18"/>
  <c r="S123" i="18"/>
  <c r="O123" i="18"/>
  <c r="N123" i="18"/>
  <c r="M123" i="18"/>
  <c r="L123" i="18"/>
  <c r="K123" i="18"/>
  <c r="H123" i="18"/>
  <c r="G123" i="18"/>
  <c r="F123" i="18"/>
  <c r="E123" i="18"/>
  <c r="D123" i="18"/>
  <c r="J121" i="18"/>
  <c r="AF120" i="18"/>
  <c r="Z120" i="18"/>
  <c r="X120" i="18"/>
  <c r="V120" i="18"/>
  <c r="T120" i="18"/>
  <c r="S120" i="18"/>
  <c r="O120" i="18"/>
  <c r="N120" i="18"/>
  <c r="M120" i="18"/>
  <c r="L120" i="18"/>
  <c r="K120" i="18"/>
  <c r="H120" i="18"/>
  <c r="G120" i="18"/>
  <c r="F120" i="18"/>
  <c r="E120" i="18"/>
  <c r="D120" i="18"/>
  <c r="J118" i="18"/>
  <c r="AF117" i="18"/>
  <c r="Z117" i="18"/>
  <c r="X117" i="18"/>
  <c r="X118" i="18" s="1"/>
  <c r="V117" i="18"/>
  <c r="T117" i="18"/>
  <c r="S117" i="18"/>
  <c r="O117" i="18"/>
  <c r="N117" i="18"/>
  <c r="M117" i="18"/>
  <c r="M118" i="18" s="1"/>
  <c r="L117" i="18"/>
  <c r="K117" i="18"/>
  <c r="L118" i="18" s="1"/>
  <c r="H117" i="18"/>
  <c r="G117" i="18"/>
  <c r="F117" i="18"/>
  <c r="E117" i="18"/>
  <c r="D117" i="18"/>
  <c r="O115" i="18"/>
  <c r="N115" i="18"/>
  <c r="J115" i="18"/>
  <c r="AF114" i="18"/>
  <c r="Z114" i="18"/>
  <c r="X114" i="18"/>
  <c r="V114" i="18"/>
  <c r="T114" i="18"/>
  <c r="S114" i="18"/>
  <c r="AA114" i="18" s="1"/>
  <c r="O114" i="18"/>
  <c r="N114" i="18"/>
  <c r="M114" i="18"/>
  <c r="L114" i="18"/>
  <c r="K114" i="18"/>
  <c r="H114" i="18"/>
  <c r="G114" i="18"/>
  <c r="F114" i="18"/>
  <c r="E114" i="18"/>
  <c r="D114" i="18"/>
  <c r="J112" i="18"/>
  <c r="AF111" i="18"/>
  <c r="Z111" i="18"/>
  <c r="X111" i="18"/>
  <c r="V111" i="18"/>
  <c r="T111" i="18"/>
  <c r="S111" i="18"/>
  <c r="O111" i="18"/>
  <c r="N111" i="18"/>
  <c r="M111" i="18"/>
  <c r="L111" i="18"/>
  <c r="K111" i="18"/>
  <c r="H111" i="18"/>
  <c r="G111" i="18"/>
  <c r="F111" i="18"/>
  <c r="E111" i="18"/>
  <c r="D111" i="18"/>
  <c r="J109" i="18"/>
  <c r="AF108" i="18"/>
  <c r="Z108" i="18"/>
  <c r="X108" i="18"/>
  <c r="V108" i="18"/>
  <c r="T108" i="18"/>
  <c r="S108" i="18"/>
  <c r="O108" i="18"/>
  <c r="N108" i="18"/>
  <c r="M108" i="18"/>
  <c r="L108" i="18"/>
  <c r="K108" i="18"/>
  <c r="H108" i="18"/>
  <c r="G108" i="18"/>
  <c r="F108" i="18"/>
  <c r="E108" i="18"/>
  <c r="D108" i="18"/>
  <c r="J106" i="18"/>
  <c r="AF105" i="18"/>
  <c r="Z105" i="18"/>
  <c r="X105" i="18"/>
  <c r="V105" i="18"/>
  <c r="T105" i="18"/>
  <c r="S105" i="18"/>
  <c r="T106" i="18" s="1"/>
  <c r="O105" i="18"/>
  <c r="N105" i="18"/>
  <c r="M105" i="18"/>
  <c r="M106" i="18" s="1"/>
  <c r="L105" i="18"/>
  <c r="K105" i="18"/>
  <c r="K106" i="18" s="1"/>
  <c r="H105" i="18"/>
  <c r="G105" i="18"/>
  <c r="F105" i="18"/>
  <c r="E105" i="18"/>
  <c r="D105" i="18"/>
  <c r="J103" i="18"/>
  <c r="AF102" i="18"/>
  <c r="Z102" i="18"/>
  <c r="Z99" i="18" s="1"/>
  <c r="X102" i="18"/>
  <c r="V102" i="18"/>
  <c r="V99" i="18" s="1"/>
  <c r="T102" i="18"/>
  <c r="T99" i="18" s="1"/>
  <c r="S102" i="18"/>
  <c r="O102" i="18"/>
  <c r="N102" i="18"/>
  <c r="M102" i="18"/>
  <c r="L102" i="18"/>
  <c r="L99" i="18" s="1"/>
  <c r="K102" i="18"/>
  <c r="H102" i="18"/>
  <c r="G102" i="18"/>
  <c r="F102" i="18"/>
  <c r="E102" i="18"/>
  <c r="D102" i="18"/>
  <c r="J100" i="18"/>
  <c r="J97" i="18"/>
  <c r="J95" i="18"/>
  <c r="J94" i="18"/>
  <c r="J93" i="18"/>
  <c r="J92" i="18"/>
  <c r="AG87" i="18"/>
  <c r="AF87" i="18"/>
  <c r="AE87" i="18"/>
  <c r="Z87" i="18"/>
  <c r="Y87" i="18"/>
  <c r="X87" i="18"/>
  <c r="X95" i="18" s="1"/>
  <c r="W87" i="18"/>
  <c r="V87" i="18"/>
  <c r="T87" i="18"/>
  <c r="S87" i="18"/>
  <c r="O87" i="18"/>
  <c r="N87" i="18"/>
  <c r="M87" i="18"/>
  <c r="L87" i="18"/>
  <c r="K87" i="18"/>
  <c r="K95" i="18" s="1"/>
  <c r="H87" i="18"/>
  <c r="G87" i="18"/>
  <c r="F87" i="18"/>
  <c r="E87" i="18"/>
  <c r="D87" i="18"/>
  <c r="AF85" i="18"/>
  <c r="Z85" i="18"/>
  <c r="X85" i="18"/>
  <c r="V85" i="18"/>
  <c r="T85" i="18"/>
  <c r="S85" i="18"/>
  <c r="O85" i="18"/>
  <c r="N85" i="18"/>
  <c r="M85" i="18"/>
  <c r="L85" i="18"/>
  <c r="K85" i="18"/>
  <c r="H85" i="18"/>
  <c r="G85" i="18"/>
  <c r="F85" i="18"/>
  <c r="E85" i="18"/>
  <c r="D85" i="18"/>
  <c r="AF84" i="18"/>
  <c r="Z84" i="18"/>
  <c r="X84" i="18"/>
  <c r="V84" i="18"/>
  <c r="T84" i="18"/>
  <c r="S84" i="18"/>
  <c r="O84" i="18"/>
  <c r="N84" i="18"/>
  <c r="M84" i="18"/>
  <c r="L84" i="18"/>
  <c r="K84" i="18"/>
  <c r="H84" i="18"/>
  <c r="G84" i="18"/>
  <c r="F84" i="18"/>
  <c r="E84" i="18"/>
  <c r="D84" i="18"/>
  <c r="AF83" i="18"/>
  <c r="Z83" i="18"/>
  <c r="X83" i="18"/>
  <c r="V83" i="18"/>
  <c r="T83" i="18"/>
  <c r="S83" i="18"/>
  <c r="O83" i="18"/>
  <c r="N83" i="18"/>
  <c r="M83" i="18"/>
  <c r="L83" i="18"/>
  <c r="K83" i="18"/>
  <c r="H83" i="18"/>
  <c r="G83" i="18"/>
  <c r="F83" i="18"/>
  <c r="E83" i="18"/>
  <c r="D83" i="18"/>
  <c r="AF82" i="18"/>
  <c r="Z82" i="18"/>
  <c r="X82" i="18"/>
  <c r="V82" i="18"/>
  <c r="T82" i="18"/>
  <c r="S82" i="18"/>
  <c r="O82" i="18"/>
  <c r="N82" i="18"/>
  <c r="N81" i="18" s="1"/>
  <c r="M82" i="18"/>
  <c r="M81" i="18" s="1"/>
  <c r="L82" i="18"/>
  <c r="K82" i="18"/>
  <c r="H82" i="18"/>
  <c r="G82" i="18"/>
  <c r="F82" i="18"/>
  <c r="E82" i="18"/>
  <c r="D82" i="18"/>
  <c r="J82" i="18" s="1"/>
  <c r="AG81" i="18"/>
  <c r="AE81" i="18"/>
  <c r="Y81" i="18"/>
  <c r="W81" i="18"/>
  <c r="AV77" i="18"/>
  <c r="AA77" i="18"/>
  <c r="O77" i="18"/>
  <c r="N77" i="18"/>
  <c r="M77" i="18"/>
  <c r="L77" i="18"/>
  <c r="K77" i="18"/>
  <c r="H77" i="18"/>
  <c r="G77" i="18"/>
  <c r="F77" i="18"/>
  <c r="E77" i="18"/>
  <c r="D77" i="18"/>
  <c r="C77" i="18"/>
  <c r="AF74" i="18"/>
  <c r="Z74" i="18"/>
  <c r="X74" i="18"/>
  <c r="V74" i="18"/>
  <c r="T74" i="18"/>
  <c r="S74" i="18"/>
  <c r="O74" i="18"/>
  <c r="O75" i="18" s="1"/>
  <c r="N74" i="18"/>
  <c r="M74" i="18"/>
  <c r="L74" i="18"/>
  <c r="K74" i="18"/>
  <c r="H74" i="18"/>
  <c r="G74" i="18"/>
  <c r="F74" i="18"/>
  <c r="E74" i="18"/>
  <c r="D74" i="18"/>
  <c r="V59" i="18"/>
  <c r="T59" i="18"/>
  <c r="S59" i="18"/>
  <c r="O59" i="18"/>
  <c r="N59" i="18"/>
  <c r="M59" i="18"/>
  <c r="L59" i="18"/>
  <c r="K59" i="18"/>
  <c r="AV58" i="18"/>
  <c r="AC58" i="18"/>
  <c r="AA58" i="18"/>
  <c r="P58" i="18"/>
  <c r="AV57" i="18"/>
  <c r="AC57" i="18"/>
  <c r="AA57" i="18"/>
  <c r="P57" i="18"/>
  <c r="AO56" i="18"/>
  <c r="AH56" i="18"/>
  <c r="BM58" i="18" s="1"/>
  <c r="AF56" i="18"/>
  <c r="AV56" i="18" s="1"/>
  <c r="AA56" i="18"/>
  <c r="R56" i="18"/>
  <c r="P56" i="18"/>
  <c r="AV55" i="18"/>
  <c r="AA55" i="18"/>
  <c r="P55" i="18"/>
  <c r="AV54" i="18"/>
  <c r="AA54" i="18"/>
  <c r="R54" i="18"/>
  <c r="P54" i="18"/>
  <c r="AO53" i="18"/>
  <c r="AH53" i="18"/>
  <c r="AF53" i="18"/>
  <c r="AA53" i="18"/>
  <c r="R53" i="18"/>
  <c r="P53" i="18"/>
  <c r="AO52" i="18"/>
  <c r="AV52" i="18" s="1"/>
  <c r="AY52" i="18" s="1"/>
  <c r="AH52" i="18"/>
  <c r="AF52" i="18"/>
  <c r="AA52" i="18"/>
  <c r="R52" i="18"/>
  <c r="P52" i="18"/>
  <c r="AE51" i="18"/>
  <c r="AG51" i="18" s="1"/>
  <c r="Z51" i="18"/>
  <c r="Y51" i="18"/>
  <c r="X51" i="18"/>
  <c r="X59" i="18" s="1"/>
  <c r="W51" i="18"/>
  <c r="R51" i="18"/>
  <c r="P51" i="18"/>
  <c r="G51" i="18"/>
  <c r="F51" i="18"/>
  <c r="E51" i="18"/>
  <c r="D51" i="18"/>
  <c r="D176" i="18" s="1"/>
  <c r="AV49" i="18"/>
  <c r="AA49" i="18"/>
  <c r="AE44" i="18"/>
  <c r="Z44" i="18"/>
  <c r="Y44" i="18"/>
  <c r="X44" i="18"/>
  <c r="AV29" i="18"/>
  <c r="BL28" i="18"/>
  <c r="BD28" i="18"/>
  <c r="BD120" i="18" s="1"/>
  <c r="BC28" i="18"/>
  <c r="BC120" i="18" s="1"/>
  <c r="BB28" i="18"/>
  <c r="BA28" i="18"/>
  <c r="AO28" i="18"/>
  <c r="AB28" i="18"/>
  <c r="AA28" i="18"/>
  <c r="U28" i="18"/>
  <c r="P28" i="18"/>
  <c r="I28" i="18"/>
  <c r="C28" i="18"/>
  <c r="C74" i="18" s="1"/>
  <c r="BL27" i="18"/>
  <c r="BD27" i="18"/>
  <c r="BD117" i="18" s="1"/>
  <c r="BC27" i="18"/>
  <c r="BC117" i="18" s="1"/>
  <c r="BB27" i="18"/>
  <c r="BA27" i="18"/>
  <c r="BA117" i="18" s="1"/>
  <c r="AO27" i="18"/>
  <c r="AO117" i="18" s="1"/>
  <c r="AN27" i="18"/>
  <c r="AB27" i="18"/>
  <c r="AA27" i="18"/>
  <c r="U27" i="18"/>
  <c r="P27" i="18"/>
  <c r="I27" i="18"/>
  <c r="C27" i="18"/>
  <c r="BL26" i="18"/>
  <c r="BD26" i="18"/>
  <c r="BC26" i="18"/>
  <c r="BB26" i="18"/>
  <c r="BA26" i="18"/>
  <c r="AO26" i="18"/>
  <c r="AK26" i="18"/>
  <c r="AB26" i="18"/>
  <c r="AA26" i="18"/>
  <c r="U26" i="18"/>
  <c r="P26" i="18"/>
  <c r="I26" i="18"/>
  <c r="C26" i="18"/>
  <c r="BL25" i="18"/>
  <c r="BD25" i="18"/>
  <c r="BD145" i="18" s="1"/>
  <c r="BC25" i="18"/>
  <c r="BC145" i="18" s="1"/>
  <c r="BB25" i="18"/>
  <c r="BB145" i="18" s="1"/>
  <c r="BA25" i="18"/>
  <c r="BA145" i="18" s="1"/>
  <c r="AQ145" i="18"/>
  <c r="AO25" i="18"/>
  <c r="AO145" i="18" s="1"/>
  <c r="AI25" i="18"/>
  <c r="AB25" i="18"/>
  <c r="AA25" i="18"/>
  <c r="U25" i="18"/>
  <c r="P25" i="18"/>
  <c r="P145" i="18" s="1"/>
  <c r="I25" i="18"/>
  <c r="BL24" i="18"/>
  <c r="BD24" i="18"/>
  <c r="BC24" i="18"/>
  <c r="BB24" i="18"/>
  <c r="BA24" i="18"/>
  <c r="AO24" i="18"/>
  <c r="AB24" i="18"/>
  <c r="AA24" i="18"/>
  <c r="U24" i="18"/>
  <c r="P24" i="18"/>
  <c r="I24" i="18"/>
  <c r="BL23" i="18"/>
  <c r="BD23" i="18"/>
  <c r="BC23" i="18"/>
  <c r="BB23" i="18"/>
  <c r="BA23" i="18"/>
  <c r="AO23" i="18"/>
  <c r="AL23" i="18"/>
  <c r="AK23" i="18"/>
  <c r="AB23" i="18"/>
  <c r="AA23" i="18"/>
  <c r="AD23" i="18" s="1"/>
  <c r="U23" i="18"/>
  <c r="P23" i="18"/>
  <c r="I23" i="18"/>
  <c r="C23" i="18"/>
  <c r="C148" i="18" s="1"/>
  <c r="BL22" i="18"/>
  <c r="BD22" i="18"/>
  <c r="BC22" i="18"/>
  <c r="BB22" i="18"/>
  <c r="BA22" i="18"/>
  <c r="AO22" i="18"/>
  <c r="AH217" i="18"/>
  <c r="AB22" i="18"/>
  <c r="AA22" i="18"/>
  <c r="U22" i="18"/>
  <c r="P22" i="18"/>
  <c r="I22" i="18"/>
  <c r="C22" i="18"/>
  <c r="C142" i="18" s="1"/>
  <c r="BL21" i="18"/>
  <c r="BD21" i="18"/>
  <c r="BD142" i="18" s="1"/>
  <c r="BC21" i="18"/>
  <c r="BC142" i="18" s="1"/>
  <c r="BB21" i="18"/>
  <c r="BB142" i="18" s="1"/>
  <c r="BA21" i="18"/>
  <c r="BA142" i="18" s="1"/>
  <c r="AQ142" i="18"/>
  <c r="AO21" i="18"/>
  <c r="AO142" i="18" s="1"/>
  <c r="BM21" i="18"/>
  <c r="AB21" i="18"/>
  <c r="AA21" i="18"/>
  <c r="U21" i="18"/>
  <c r="P21" i="18"/>
  <c r="P142" i="18" s="1"/>
  <c r="I21" i="18"/>
  <c r="C21" i="18"/>
  <c r="BL20" i="18"/>
  <c r="BD20" i="18"/>
  <c r="BD114" i="18" s="1"/>
  <c r="BC20" i="18"/>
  <c r="BC114" i="18" s="1"/>
  <c r="BB20" i="18"/>
  <c r="BB114" i="18" s="1"/>
  <c r="BA20" i="18"/>
  <c r="BA114" i="18" s="1"/>
  <c r="AQ114" i="18"/>
  <c r="AO20" i="18"/>
  <c r="AO114" i="18" s="1"/>
  <c r="AL20" i="18"/>
  <c r="AI20" i="18"/>
  <c r="AB20" i="18"/>
  <c r="AA20" i="18"/>
  <c r="U20" i="18"/>
  <c r="P20" i="18"/>
  <c r="P114" i="18" s="1"/>
  <c r="I20" i="18"/>
  <c r="C20" i="18"/>
  <c r="C114" i="18" s="1"/>
  <c r="BL19" i="18"/>
  <c r="BD19" i="18"/>
  <c r="BD139" i="18" s="1"/>
  <c r="BC19" i="18"/>
  <c r="BC139" i="18" s="1"/>
  <c r="BB19" i="18"/>
  <c r="BB139" i="18" s="1"/>
  <c r="BA19" i="18"/>
  <c r="BA139" i="18" s="1"/>
  <c r="AO19" i="18"/>
  <c r="AO139" i="18" s="1"/>
  <c r="AV19" i="18"/>
  <c r="AB19" i="18"/>
  <c r="AA19" i="18"/>
  <c r="U19" i="18"/>
  <c r="P19" i="18"/>
  <c r="P139" i="18" s="1"/>
  <c r="I19" i="18"/>
  <c r="C19" i="18"/>
  <c r="C139" i="18" s="1"/>
  <c r="BL18" i="18"/>
  <c r="BD18" i="18"/>
  <c r="BD111" i="18" s="1"/>
  <c r="BC18" i="18"/>
  <c r="BB18" i="18"/>
  <c r="BA18" i="18"/>
  <c r="AZ84" i="18"/>
  <c r="AR84" i="18"/>
  <c r="AO18" i="18"/>
  <c r="AB18" i="18"/>
  <c r="AA18" i="18"/>
  <c r="U18" i="18"/>
  <c r="P18" i="18"/>
  <c r="I18" i="18"/>
  <c r="C18" i="18"/>
  <c r="BL17" i="18"/>
  <c r="BD17" i="18"/>
  <c r="BD133" i="18" s="1"/>
  <c r="BC17" i="18"/>
  <c r="BB17" i="18"/>
  <c r="BB133" i="18" s="1"/>
  <c r="BA17" i="18"/>
  <c r="BA133" i="18" s="1"/>
  <c r="AO17" i="18"/>
  <c r="AO133" i="18" s="1"/>
  <c r="AH212" i="18"/>
  <c r="AB17" i="18"/>
  <c r="AA17" i="18"/>
  <c r="U17" i="18"/>
  <c r="P17" i="18"/>
  <c r="P133" i="18" s="1"/>
  <c r="G17" i="18"/>
  <c r="G133" i="18" s="1"/>
  <c r="F17" i="18"/>
  <c r="F133" i="18" s="1"/>
  <c r="E17" i="18"/>
  <c r="E133" i="18" s="1"/>
  <c r="D17" i="18"/>
  <c r="C17" i="18"/>
  <c r="C133" i="18" s="1"/>
  <c r="BL16" i="18"/>
  <c r="BD16" i="18"/>
  <c r="BD136" i="18" s="1"/>
  <c r="BC16" i="18"/>
  <c r="BC136" i="18" s="1"/>
  <c r="BB16" i="18"/>
  <c r="BA16" i="18"/>
  <c r="BA136" i="18" s="1"/>
  <c r="AZ136" i="18"/>
  <c r="AO16" i="18"/>
  <c r="AO136" i="18" s="1"/>
  <c r="BM16" i="18"/>
  <c r="AB16" i="18"/>
  <c r="AA16" i="18"/>
  <c r="U16" i="18"/>
  <c r="P16" i="18"/>
  <c r="P136" i="18" s="1"/>
  <c r="I16" i="18"/>
  <c r="C16" i="18"/>
  <c r="C136" i="18" s="1"/>
  <c r="BQ15" i="18"/>
  <c r="BO58" i="18" s="1"/>
  <c r="BL15" i="18"/>
  <c r="BD15" i="18"/>
  <c r="BC15" i="18"/>
  <c r="BB15" i="18"/>
  <c r="BA15" i="18"/>
  <c r="AO15" i="18"/>
  <c r="AB15" i="18"/>
  <c r="AA15" i="18"/>
  <c r="U15" i="18"/>
  <c r="P15" i="18"/>
  <c r="I15" i="18"/>
  <c r="C15" i="18"/>
  <c r="BR14" i="18"/>
  <c r="BL14" i="18"/>
  <c r="BD14" i="18"/>
  <c r="BD130" i="18" s="1"/>
  <c r="BC14" i="18"/>
  <c r="BC130" i="18" s="1"/>
  <c r="BB14" i="18"/>
  <c r="BB130" i="18" s="1"/>
  <c r="BA14" i="18"/>
  <c r="BA130" i="18" s="1"/>
  <c r="AO14" i="18"/>
  <c r="AO130" i="18" s="1"/>
  <c r="AN14" i="18"/>
  <c r="AB14" i="18"/>
  <c r="AA14" i="18"/>
  <c r="U14" i="18"/>
  <c r="P14" i="18"/>
  <c r="P130" i="18" s="1"/>
  <c r="I14" i="18"/>
  <c r="C14" i="18"/>
  <c r="C130" i="18" s="1"/>
  <c r="BL13" i="18"/>
  <c r="BD13" i="18"/>
  <c r="BD108" i="18" s="1"/>
  <c r="BC13" i="18"/>
  <c r="BC108" i="18" s="1"/>
  <c r="BB13" i="18"/>
  <c r="BB108" i="18" s="1"/>
  <c r="BA13" i="18"/>
  <c r="BA108" i="18" s="1"/>
  <c r="AO13" i="18"/>
  <c r="AO108" i="18" s="1"/>
  <c r="BM13" i="18"/>
  <c r="AB13" i="18"/>
  <c r="AA13" i="18"/>
  <c r="U13" i="18"/>
  <c r="P13" i="18"/>
  <c r="P108" i="18" s="1"/>
  <c r="I13" i="18"/>
  <c r="C13" i="18"/>
  <c r="C108" i="18" s="1"/>
  <c r="BR12" i="18"/>
  <c r="BQ12" i="18"/>
  <c r="BL12" i="18"/>
  <c r="BD12" i="18"/>
  <c r="BD123" i="18" s="1"/>
  <c r="BC12" i="18"/>
  <c r="BB12" i="18"/>
  <c r="BA12" i="18"/>
  <c r="AR87" i="18"/>
  <c r="AO12" i="18"/>
  <c r="AK12" i="18"/>
  <c r="AN12" i="18"/>
  <c r="AB12" i="18"/>
  <c r="AA12" i="18"/>
  <c r="U12" i="18"/>
  <c r="P12" i="18"/>
  <c r="I12" i="18"/>
  <c r="C12" i="18"/>
  <c r="C123" i="18" s="1"/>
  <c r="BR11" i="18"/>
  <c r="BQ11" i="18"/>
  <c r="BN11" i="18"/>
  <c r="BO11" i="18" s="1"/>
  <c r="BD11" i="18"/>
  <c r="BC11" i="18"/>
  <c r="BC105" i="18" s="1"/>
  <c r="BB11" i="18"/>
  <c r="BB105" i="18" s="1"/>
  <c r="BA11" i="18"/>
  <c r="BA105" i="18" s="1"/>
  <c r="AO11" i="18"/>
  <c r="AL11" i="18"/>
  <c r="AB11" i="18"/>
  <c r="AA11" i="18"/>
  <c r="U11" i="18"/>
  <c r="P11" i="18"/>
  <c r="I11" i="18"/>
  <c r="C11" i="18"/>
  <c r="BQ10" i="18"/>
  <c r="BL10" i="18"/>
  <c r="BD10" i="18"/>
  <c r="BD102" i="18" s="1"/>
  <c r="BC10" i="18"/>
  <c r="BC102" i="18" s="1"/>
  <c r="BB10" i="18"/>
  <c r="BA10" i="18"/>
  <c r="AO10" i="18"/>
  <c r="AO102" i="18" s="1"/>
  <c r="AI10" i="18"/>
  <c r="AB10" i="18"/>
  <c r="AA10" i="18"/>
  <c r="U10" i="18"/>
  <c r="P10" i="18"/>
  <c r="I10" i="18"/>
  <c r="C10" i="18"/>
  <c r="C102" i="18" s="1"/>
  <c r="AG8" i="18"/>
  <c r="AF8" i="18"/>
  <c r="H6" i="61" s="1"/>
  <c r="H5" i="61" s="1"/>
  <c r="AE8" i="18"/>
  <c r="Z8" i="18"/>
  <c r="Z7" i="18" s="1"/>
  <c r="Z39" i="18" s="1"/>
  <c r="Y8" i="18"/>
  <c r="Y9" i="18" s="1"/>
  <c r="Y154" i="18" s="1"/>
  <c r="X8" i="18"/>
  <c r="X66" i="18" s="1"/>
  <c r="W8" i="18"/>
  <c r="W9" i="18" s="1"/>
  <c r="W154" i="18" s="1"/>
  <c r="V8" i="18"/>
  <c r="V7" i="18" s="1"/>
  <c r="T8" i="18"/>
  <c r="S8" i="18"/>
  <c r="S9" i="18" s="1"/>
  <c r="O8" i="18"/>
  <c r="O9" i="18" s="1"/>
  <c r="N8" i="18"/>
  <c r="N7" i="18" s="1"/>
  <c r="N96" i="18" s="1"/>
  <c r="M8" i="18"/>
  <c r="M9" i="18" s="1"/>
  <c r="L8" i="18"/>
  <c r="L7" i="18" s="1"/>
  <c r="K8" i="18"/>
  <c r="K9" i="18" s="1"/>
  <c r="H8" i="18"/>
  <c r="G8" i="18"/>
  <c r="G7" i="18" s="1"/>
  <c r="G63" i="18" s="1"/>
  <c r="F8" i="18"/>
  <c r="F66" i="18" s="1"/>
  <c r="E8" i="18"/>
  <c r="E7" i="18" s="1"/>
  <c r="D8" i="18"/>
  <c r="D7" i="18" s="1"/>
  <c r="D63" i="18" s="1"/>
  <c r="AE9" i="18" l="1"/>
  <c r="G6" i="61"/>
  <c r="G5" i="61" s="1"/>
  <c r="S81" i="18"/>
  <c r="S118" i="18"/>
  <c r="K140" i="18"/>
  <c r="N159" i="18"/>
  <c r="AG161" i="18"/>
  <c r="Q81" i="19"/>
  <c r="O93" i="19"/>
  <c r="O96" i="19"/>
  <c r="D125" i="19"/>
  <c r="G128" i="19"/>
  <c r="I21" i="61"/>
  <c r="I57" i="61"/>
  <c r="I49" i="61"/>
  <c r="I50" i="61" s="1"/>
  <c r="I52" i="61"/>
  <c r="S115" i="18"/>
  <c r="Y87" i="19"/>
  <c r="Q93" i="19"/>
  <c r="Q96" i="19"/>
  <c r="I10" i="20"/>
  <c r="F60" i="24"/>
  <c r="AG9" i="18"/>
  <c r="I6" i="61"/>
  <c r="I5" i="61" s="1"/>
  <c r="K134" i="18"/>
  <c r="S15" i="19"/>
  <c r="T15" i="19" s="1"/>
  <c r="C61" i="19"/>
  <c r="F61" i="24"/>
  <c r="F7" i="18"/>
  <c r="F9" i="18"/>
  <c r="F154" i="18" s="1"/>
  <c r="H166" i="18"/>
  <c r="Q10" i="20"/>
  <c r="L8" i="20"/>
  <c r="L15" i="20"/>
  <c r="J15" i="20"/>
  <c r="F62" i="24"/>
  <c r="M15" i="20"/>
  <c r="M8" i="20"/>
  <c r="F63" i="24"/>
  <c r="X7" i="18"/>
  <c r="X39" i="18" s="1"/>
  <c r="AF81" i="18"/>
  <c r="AF118" i="18"/>
  <c r="P171" i="18"/>
  <c r="O7" i="18"/>
  <c r="O63" i="18" s="1"/>
  <c r="F99" i="18"/>
  <c r="AA120" i="18"/>
  <c r="M149" i="18"/>
  <c r="U171" i="19"/>
  <c r="G15" i="20"/>
  <c r="V60" i="18"/>
  <c r="V39" i="18"/>
  <c r="K118" i="18"/>
  <c r="T70" i="19"/>
  <c r="Q139" i="19"/>
  <c r="I20" i="20"/>
  <c r="F55" i="24"/>
  <c r="F65" i="24"/>
  <c r="L81" i="18"/>
  <c r="N124" i="18"/>
  <c r="O10" i="19"/>
  <c r="O8" i="19" s="1"/>
  <c r="M68" i="19"/>
  <c r="T86" i="19"/>
  <c r="Y171" i="19"/>
  <c r="F56" i="24"/>
  <c r="F66" i="24"/>
  <c r="L75" i="18"/>
  <c r="S112" i="18"/>
  <c r="L16" i="19"/>
  <c r="Q71" i="19"/>
  <c r="O87" i="19"/>
  <c r="M90" i="19"/>
  <c r="L93" i="19"/>
  <c r="T95" i="19"/>
  <c r="M102" i="19"/>
  <c r="O151" i="19"/>
  <c r="R14" i="20"/>
  <c r="F58" i="24"/>
  <c r="AR166" i="18"/>
  <c r="V160" i="18"/>
  <c r="H7" i="24"/>
  <c r="AO44" i="18"/>
  <c r="AO166" i="18"/>
  <c r="BC166" i="18"/>
  <c r="BS12" i="18"/>
  <c r="AI145" i="19"/>
  <c r="BB163" i="18"/>
  <c r="BB8" i="18"/>
  <c r="BB152" i="18" s="1"/>
  <c r="BB44" i="18"/>
  <c r="H160" i="18"/>
  <c r="BC163" i="18"/>
  <c r="T160" i="18"/>
  <c r="BE12" i="18"/>
  <c r="AR44" i="18"/>
  <c r="AG160" i="18"/>
  <c r="AG188" i="18" s="1"/>
  <c r="BD163" i="18"/>
  <c r="BA167" i="18"/>
  <c r="BA161" i="18" s="1"/>
  <c r="BA160" i="18" s="1"/>
  <c r="BA188" i="18" s="1"/>
  <c r="BS11" i="18"/>
  <c r="AS11" i="19"/>
  <c r="L7" i="24"/>
  <c r="AO158" i="18"/>
  <c r="L7" i="61"/>
  <c r="BD167" i="18"/>
  <c r="BD161" i="18" s="1"/>
  <c r="BD160" i="18" s="1"/>
  <c r="BD188" i="18" s="1"/>
  <c r="BC44" i="18"/>
  <c r="AZ163" i="18"/>
  <c r="Y151" i="19"/>
  <c r="Y15" i="19"/>
  <c r="O148" i="19"/>
  <c r="AQ44" i="18"/>
  <c r="J7" i="24"/>
  <c r="K26" i="61"/>
  <c r="Y121" i="19"/>
  <c r="T12" i="19"/>
  <c r="V15" i="20"/>
  <c r="H16" i="19"/>
  <c r="M16" i="19"/>
  <c r="M111" i="19" s="1"/>
  <c r="M53" i="19"/>
  <c r="D61" i="19"/>
  <c r="D62" i="19" s="1"/>
  <c r="G65" i="19"/>
  <c r="E122" i="19"/>
  <c r="I150" i="19"/>
  <c r="D56" i="19"/>
  <c r="D72" i="19"/>
  <c r="L151" i="19"/>
  <c r="C10" i="19"/>
  <c r="C105" i="19" s="1"/>
  <c r="C113" i="19" s="1"/>
  <c r="W36" i="19"/>
  <c r="V36" i="19"/>
  <c r="D52" i="19"/>
  <c r="S68" i="19"/>
  <c r="T92" i="19"/>
  <c r="G16" i="19"/>
  <c r="G56" i="19" s="1"/>
  <c r="AB36" i="19"/>
  <c r="D54" i="19"/>
  <c r="F54" i="19"/>
  <c r="D66" i="19"/>
  <c r="D81" i="19"/>
  <c r="E99" i="19"/>
  <c r="I127" i="19"/>
  <c r="H151" i="19"/>
  <c r="J151" i="19" s="1"/>
  <c r="AB17" i="19"/>
  <c r="T28" i="19"/>
  <c r="E49" i="19"/>
  <c r="M54" i="19"/>
  <c r="Q82" i="19"/>
  <c r="H125" i="19"/>
  <c r="D55" i="19"/>
  <c r="W26" i="19"/>
  <c r="S148" i="19"/>
  <c r="S139" i="19"/>
  <c r="S145" i="19" s="1"/>
  <c r="W28" i="19"/>
  <c r="AN132" i="19"/>
  <c r="AN47" i="19"/>
  <c r="U51" i="19"/>
  <c r="L53" i="19"/>
  <c r="AS19" i="18"/>
  <c r="BN21" i="18"/>
  <c r="BO21" i="18" s="1"/>
  <c r="BF24" i="18"/>
  <c r="BB166" i="18"/>
  <c r="AA170" i="18"/>
  <c r="BF15" i="18"/>
  <c r="AU21" i="18"/>
  <c r="AV171" i="18"/>
  <c r="BF12" i="18"/>
  <c r="AV18" i="18"/>
  <c r="AY18" i="18" s="1"/>
  <c r="BF27" i="18"/>
  <c r="BF11" i="18"/>
  <c r="AL12" i="18"/>
  <c r="BM23" i="18"/>
  <c r="BN23" i="18" s="1"/>
  <c r="BO23" i="18" s="1"/>
  <c r="AV170" i="18"/>
  <c r="AK20" i="18"/>
  <c r="BE170" i="18"/>
  <c r="K103" i="18"/>
  <c r="H99" i="18"/>
  <c r="V106" i="18"/>
  <c r="K131" i="18"/>
  <c r="Z69" i="18"/>
  <c r="AD12" i="18"/>
  <c r="BB109" i="18"/>
  <c r="S95" i="18"/>
  <c r="T159" i="18"/>
  <c r="M103" i="18"/>
  <c r="V159" i="18"/>
  <c r="AD26" i="18"/>
  <c r="AG44" i="18"/>
  <c r="K75" i="18"/>
  <c r="J84" i="18"/>
  <c r="J85" i="18"/>
  <c r="N103" i="18"/>
  <c r="AF106" i="18"/>
  <c r="V118" i="18"/>
  <c r="X121" i="18"/>
  <c r="K124" i="18"/>
  <c r="N131" i="18"/>
  <c r="Z159" i="18"/>
  <c r="V140" i="18"/>
  <c r="L9" i="18"/>
  <c r="V131" i="18"/>
  <c r="O159" i="18"/>
  <c r="M7" i="18"/>
  <c r="E99" i="18"/>
  <c r="O99" i="18"/>
  <c r="T115" i="18"/>
  <c r="Z118" i="18"/>
  <c r="AN11" i="18"/>
  <c r="BM12" i="18"/>
  <c r="AK15" i="18"/>
  <c r="BM19" i="18"/>
  <c r="AK21" i="18"/>
  <c r="AW21" i="18"/>
  <c r="AI22" i="18"/>
  <c r="BF23" i="18"/>
  <c r="AO82" i="18"/>
  <c r="BC85" i="18"/>
  <c r="AN15" i="18"/>
  <c r="AL21" i="18"/>
  <c r="AO74" i="18"/>
  <c r="BC82" i="18"/>
  <c r="AQ164" i="18"/>
  <c r="AI17" i="18"/>
  <c r="BM17" i="18"/>
  <c r="AD19" i="18"/>
  <c r="BM22" i="18"/>
  <c r="BN22" i="18" s="1"/>
  <c r="BO22" i="18" s="1"/>
  <c r="BE24" i="18"/>
  <c r="BD74" i="18"/>
  <c r="D81" i="18"/>
  <c r="BD82" i="18"/>
  <c r="AR164" i="18"/>
  <c r="AV172" i="18"/>
  <c r="BE11" i="18"/>
  <c r="BE15" i="18"/>
  <c r="AK17" i="18"/>
  <c r="BB83" i="18"/>
  <c r="AR180" i="18"/>
  <c r="AR183" i="18" s="1"/>
  <c r="AR184" i="18" s="1"/>
  <c r="AL17" i="18"/>
  <c r="AK19" i="18"/>
  <c r="BD84" i="18"/>
  <c r="H184" i="18"/>
  <c r="AL19" i="18"/>
  <c r="BE20" i="18"/>
  <c r="AO85" i="18"/>
  <c r="BB161" i="18"/>
  <c r="BB160" i="18" s="1"/>
  <c r="BB188" i="18" s="1"/>
  <c r="AS21" i="18"/>
  <c r="BE22" i="18"/>
  <c r="AU24" i="18"/>
  <c r="T81" i="18"/>
  <c r="F81" i="18"/>
  <c r="AR85" i="18"/>
  <c r="BD87" i="18"/>
  <c r="BC161" i="18"/>
  <c r="BC160" i="18" s="1"/>
  <c r="BC188" i="18" s="1"/>
  <c r="AI15" i="18"/>
  <c r="BE17" i="18"/>
  <c r="AU20" i="18"/>
  <c r="AW20" i="18"/>
  <c r="BM20" i="18"/>
  <c r="BN20" i="18" s="1"/>
  <c r="BO20" i="18" s="1"/>
  <c r="AI21" i="18"/>
  <c r="H81" i="18"/>
  <c r="BA85" i="18"/>
  <c r="E80" i="18"/>
  <c r="E63" i="18"/>
  <c r="E76" i="18" s="1"/>
  <c r="M66" i="18"/>
  <c r="N66" i="18"/>
  <c r="J83" i="18"/>
  <c r="S7" i="18"/>
  <c r="S80" i="18" s="1"/>
  <c r="X9" i="18"/>
  <c r="X70" i="18" s="1"/>
  <c r="AD14" i="18"/>
  <c r="BN17" i="18"/>
  <c r="BO17" i="18" s="1"/>
  <c r="G81" i="18"/>
  <c r="O95" i="18"/>
  <c r="W7" i="18"/>
  <c r="W80" i="18" s="1"/>
  <c r="Z9" i="18"/>
  <c r="Q87" i="18"/>
  <c r="M99" i="18"/>
  <c r="M100" i="18" s="1"/>
  <c r="Z106" i="18"/>
  <c r="O134" i="18"/>
  <c r="V149" i="18"/>
  <c r="X163" i="18"/>
  <c r="X161" i="18"/>
  <c r="X160" i="18" s="1"/>
  <c r="BL50" i="18"/>
  <c r="BL51" i="18" s="1"/>
  <c r="G99" i="18"/>
  <c r="AA105" i="18"/>
  <c r="Z163" i="18"/>
  <c r="Z161" i="18"/>
  <c r="Z160" i="18" s="1"/>
  <c r="X173" i="18"/>
  <c r="X175" i="18" s="1"/>
  <c r="Y7" i="18"/>
  <c r="BN16" i="18"/>
  <c r="BO16" i="18" s="1"/>
  <c r="G76" i="18"/>
  <c r="Z81" i="18"/>
  <c r="AF93" i="18" s="1"/>
  <c r="E81" i="18"/>
  <c r="Q84" i="18"/>
  <c r="D99" i="18"/>
  <c r="L103" i="18"/>
  <c r="O66" i="18"/>
  <c r="T112" i="18"/>
  <c r="V137" i="18"/>
  <c r="O149" i="18"/>
  <c r="AE161" i="18"/>
  <c r="AE160" i="18" s="1"/>
  <c r="AE188" i="18" s="1"/>
  <c r="Z45" i="18"/>
  <c r="K99" i="18"/>
  <c r="AU27" i="18"/>
  <c r="BM18" i="18"/>
  <c r="BN18" i="18" s="1"/>
  <c r="BO18" i="18" s="1"/>
  <c r="AK22" i="18"/>
  <c r="AN23" i="18"/>
  <c r="BM10" i="18"/>
  <c r="AI19" i="18"/>
  <c r="AL22" i="18"/>
  <c r="AB41" i="19"/>
  <c r="AV27" i="18"/>
  <c r="AY27" i="18" s="1"/>
  <c r="BM27" i="18"/>
  <c r="BN27" i="18" s="1"/>
  <c r="BO27" i="18" s="1"/>
  <c r="Q11" i="19"/>
  <c r="Q108" i="19" s="1"/>
  <c r="AI18" i="18"/>
  <c r="AK27" i="18"/>
  <c r="C82" i="18"/>
  <c r="AK18" i="18"/>
  <c r="AL27" i="18"/>
  <c r="AI12" i="18"/>
  <c r="AL18" i="18"/>
  <c r="AI23" i="18"/>
  <c r="T13" i="19"/>
  <c r="W13" i="19" s="1"/>
  <c r="T14" i="19"/>
  <c r="Y139" i="19"/>
  <c r="AT139" i="19"/>
  <c r="T153" i="19"/>
  <c r="W19" i="19"/>
  <c r="P8" i="19"/>
  <c r="R9" i="19" s="1"/>
  <c r="T31" i="19"/>
  <c r="AR11" i="19"/>
  <c r="W23" i="19"/>
  <c r="T30" i="19"/>
  <c r="W30" i="19" s="1"/>
  <c r="L139" i="19"/>
  <c r="T55" i="19"/>
  <c r="AN137" i="19"/>
  <c r="O53" i="19"/>
  <c r="V131" i="19"/>
  <c r="AN134" i="19"/>
  <c r="J51" i="19"/>
  <c r="AB67" i="19"/>
  <c r="AA68" i="19"/>
  <c r="AB68" i="19" s="1"/>
  <c r="AA121" i="19"/>
  <c r="Q151" i="19"/>
  <c r="AB12" i="19"/>
  <c r="AQ11" i="19"/>
  <c r="AT41" i="19"/>
  <c r="AB18" i="19"/>
  <c r="AA20" i="19"/>
  <c r="AA73" i="19" s="1"/>
  <c r="AB26" i="19"/>
  <c r="AA151" i="19"/>
  <c r="X20" i="19"/>
  <c r="X16" i="19" s="1"/>
  <c r="G24" i="61" s="1"/>
  <c r="AB22" i="19"/>
  <c r="M151" i="19"/>
  <c r="AA64" i="19"/>
  <c r="AF65" i="19" s="1"/>
  <c r="AJ150" i="19"/>
  <c r="H53" i="19"/>
  <c r="V130" i="19"/>
  <c r="U49" i="19"/>
  <c r="Y48" i="19" s="1"/>
  <c r="AA48" i="19" s="1"/>
  <c r="AA49" i="19" s="1"/>
  <c r="Y51" i="19"/>
  <c r="N7" i="24"/>
  <c r="AY54" i="18"/>
  <c r="AF183" i="18"/>
  <c r="Y161" i="18"/>
  <c r="AQ183" i="18"/>
  <c r="AQ184" i="18" s="1"/>
  <c r="G59" i="18"/>
  <c r="AA177" i="18"/>
  <c r="Q59" i="18"/>
  <c r="AV177" i="18"/>
  <c r="M7" i="24"/>
  <c r="K7" i="24"/>
  <c r="E7" i="24"/>
  <c r="C67" i="24"/>
  <c r="D65" i="24" s="1"/>
  <c r="F54" i="24"/>
  <c r="F59" i="24"/>
  <c r="G7" i="24"/>
  <c r="F57" i="24"/>
  <c r="I18" i="20"/>
  <c r="K18" i="20" s="1"/>
  <c r="O13" i="20"/>
  <c r="I9" i="20"/>
  <c r="H14" i="20"/>
  <c r="G8" i="20"/>
  <c r="H13" i="20" s="1"/>
  <c r="N15" i="20"/>
  <c r="O15" i="20"/>
  <c r="P15" i="20"/>
  <c r="R15" i="20" s="1"/>
  <c r="T19" i="20"/>
  <c r="Q20" i="20"/>
  <c r="T20" i="20" s="1"/>
  <c r="G14" i="20"/>
  <c r="F69" i="19"/>
  <c r="L74" i="19"/>
  <c r="M74" i="19"/>
  <c r="AR20" i="19"/>
  <c r="AR16" i="19" s="1"/>
  <c r="W25" i="19"/>
  <c r="S102" i="19"/>
  <c r="T41" i="19"/>
  <c r="AA51" i="19"/>
  <c r="AF50" i="19"/>
  <c r="AB50" i="19"/>
  <c r="E65" i="19"/>
  <c r="AQ20" i="19"/>
  <c r="AQ16" i="19" s="1"/>
  <c r="D104" i="19"/>
  <c r="D105" i="19"/>
  <c r="D8" i="19"/>
  <c r="F120" i="19"/>
  <c r="F108" i="19"/>
  <c r="F10" i="19"/>
  <c r="F63" i="19" s="1"/>
  <c r="S121" i="19"/>
  <c r="H111" i="19"/>
  <c r="H56" i="19"/>
  <c r="H54" i="19"/>
  <c r="H61" i="19"/>
  <c r="H94" i="19" s="1"/>
  <c r="H58" i="19"/>
  <c r="W24" i="19"/>
  <c r="T29" i="19"/>
  <c r="Q121" i="19"/>
  <c r="T60" i="19"/>
  <c r="H108" i="19"/>
  <c r="H120" i="19"/>
  <c r="H129" i="19" s="1"/>
  <c r="H10" i="19"/>
  <c r="Q128" i="19"/>
  <c r="L111" i="19"/>
  <c r="L58" i="19"/>
  <c r="L56" i="19"/>
  <c r="L61" i="19"/>
  <c r="L54" i="19"/>
  <c r="D74" i="19"/>
  <c r="AP20" i="19"/>
  <c r="AP16" i="19" s="1"/>
  <c r="Y98" i="19"/>
  <c r="L71" i="19"/>
  <c r="H71" i="19"/>
  <c r="L84" i="19"/>
  <c r="T83" i="19"/>
  <c r="Y73" i="19"/>
  <c r="AB33" i="19"/>
  <c r="AP11" i="19"/>
  <c r="G120" i="19"/>
  <c r="G108" i="19"/>
  <c r="G10" i="19"/>
  <c r="AA86" i="19"/>
  <c r="AB23" i="19"/>
  <c r="L10" i="19"/>
  <c r="I11" i="19"/>
  <c r="D57" i="19"/>
  <c r="L79" i="19"/>
  <c r="W21" i="19"/>
  <c r="O73" i="19"/>
  <c r="O16" i="19"/>
  <c r="AB92" i="19"/>
  <c r="AA93" i="19"/>
  <c r="AA114" i="19"/>
  <c r="AB32" i="19"/>
  <c r="Z10" i="19"/>
  <c r="Z8" i="19" s="1"/>
  <c r="X11" i="19"/>
  <c r="G23" i="61" s="1"/>
  <c r="I64" i="19"/>
  <c r="AB35" i="19"/>
  <c r="Q53" i="19"/>
  <c r="S53" i="19"/>
  <c r="T52" i="19"/>
  <c r="E53" i="19"/>
  <c r="Q85" i="19"/>
  <c r="Q72" i="19"/>
  <c r="Q94" i="19"/>
  <c r="L69" i="19"/>
  <c r="F74" i="19"/>
  <c r="F75" i="19"/>
  <c r="S80" i="19"/>
  <c r="Y81" i="19" s="1"/>
  <c r="S20" i="19"/>
  <c r="S73" i="19" s="1"/>
  <c r="F82" i="19"/>
  <c r="Q90" i="19"/>
  <c r="Q91" i="19"/>
  <c r="Y124" i="19"/>
  <c r="S64" i="19"/>
  <c r="T17" i="19"/>
  <c r="Y70" i="19"/>
  <c r="E73" i="19"/>
  <c r="E16" i="19"/>
  <c r="I20" i="19"/>
  <c r="AS20" i="19"/>
  <c r="AS16" i="19" s="1"/>
  <c r="AB25" i="19"/>
  <c r="T27" i="19"/>
  <c r="AA52" i="19"/>
  <c r="D63" i="19"/>
  <c r="O68" i="19"/>
  <c r="D79" i="19"/>
  <c r="D78" i="19"/>
  <c r="I77" i="19"/>
  <c r="E78" i="19"/>
  <c r="Q79" i="19"/>
  <c r="Q78" i="19"/>
  <c r="H88" i="19"/>
  <c r="L87" i="19"/>
  <c r="H87" i="19"/>
  <c r="E90" i="19"/>
  <c r="I89" i="19"/>
  <c r="Q100" i="19"/>
  <c r="AB19" i="19"/>
  <c r="Q75" i="19"/>
  <c r="AA84" i="19"/>
  <c r="AB83" i="19"/>
  <c r="AA78" i="19"/>
  <c r="AB77" i="19"/>
  <c r="AB31" i="19"/>
  <c r="J49" i="19"/>
  <c r="Y53" i="19"/>
  <c r="S78" i="19"/>
  <c r="C108" i="19"/>
  <c r="C120" i="19"/>
  <c r="C126" i="19" s="1"/>
  <c r="L120" i="19"/>
  <c r="L123" i="19" s="1"/>
  <c r="L108" i="19"/>
  <c r="Q111" i="19"/>
  <c r="Q56" i="19"/>
  <c r="Q54" i="19"/>
  <c r="W18" i="19"/>
  <c r="G74" i="19"/>
  <c r="AB21" i="19"/>
  <c r="Y101" i="19"/>
  <c r="L114" i="19"/>
  <c r="T32" i="19"/>
  <c r="I50" i="19"/>
  <c r="F53" i="19"/>
  <c r="F68" i="19"/>
  <c r="E68" i="19"/>
  <c r="F79" i="19"/>
  <c r="D120" i="19"/>
  <c r="D126" i="19" s="1"/>
  <c r="D108" i="19"/>
  <c r="I59" i="19"/>
  <c r="M108" i="19"/>
  <c r="M120" i="19"/>
  <c r="M129" i="19" s="1"/>
  <c r="S125" i="19"/>
  <c r="F111" i="19"/>
  <c r="F58" i="19"/>
  <c r="F56" i="19"/>
  <c r="Y64" i="19"/>
  <c r="Y16" i="19"/>
  <c r="H24" i="61" s="1"/>
  <c r="K24" i="61" s="1"/>
  <c r="H74" i="19"/>
  <c r="T33" i="19"/>
  <c r="G53" i="19"/>
  <c r="Q58" i="19"/>
  <c r="M65" i="19"/>
  <c r="D65" i="19"/>
  <c r="Q68" i="19"/>
  <c r="Q69" i="19"/>
  <c r="E120" i="19"/>
  <c r="E123" i="19" s="1"/>
  <c r="E108" i="19"/>
  <c r="O120" i="19"/>
  <c r="O126" i="19" s="1"/>
  <c r="O108" i="19"/>
  <c r="AA127" i="19"/>
  <c r="AB14" i="19"/>
  <c r="AA89" i="19"/>
  <c r="AB24" i="19"/>
  <c r="Q65" i="19"/>
  <c r="O65" i="19"/>
  <c r="Q66" i="19"/>
  <c r="G71" i="19"/>
  <c r="I70" i="19"/>
  <c r="W70" i="19" s="1"/>
  <c r="J81" i="19"/>
  <c r="Y128" i="19"/>
  <c r="M56" i="19"/>
  <c r="F65" i="19"/>
  <c r="D69" i="19"/>
  <c r="L78" i="19"/>
  <c r="AA80" i="19"/>
  <c r="O102" i="19"/>
  <c r="T101" i="19"/>
  <c r="T67" i="19"/>
  <c r="L72" i="19"/>
  <c r="H78" i="19"/>
  <c r="D84" i="19"/>
  <c r="I83" i="19"/>
  <c r="H90" i="19"/>
  <c r="G90" i="19"/>
  <c r="H96" i="19"/>
  <c r="I95" i="19"/>
  <c r="Q102" i="19"/>
  <c r="Q103" i="19"/>
  <c r="AA188" i="19"/>
  <c r="AA124" i="19"/>
  <c r="D112" i="19"/>
  <c r="D113" i="19"/>
  <c r="M112" i="19"/>
  <c r="AA99" i="19"/>
  <c r="AB98" i="19"/>
  <c r="AA102" i="19"/>
  <c r="M58" i="19"/>
  <c r="H65" i="19"/>
  <c r="I67" i="19"/>
  <c r="L68" i="19"/>
  <c r="M71" i="19"/>
  <c r="AN76" i="19"/>
  <c r="E84" i="19"/>
  <c r="Y84" i="19"/>
  <c r="D85" i="19"/>
  <c r="H99" i="19"/>
  <c r="J99" i="19" s="1"/>
  <c r="L99" i="19"/>
  <c r="E102" i="19"/>
  <c r="I101" i="19"/>
  <c r="Q125" i="19"/>
  <c r="AB13" i="19"/>
  <c r="S128" i="19"/>
  <c r="I73" i="19"/>
  <c r="AB95" i="19"/>
  <c r="AA96" i="19"/>
  <c r="AB27" i="19"/>
  <c r="AB28" i="19"/>
  <c r="AB29" i="19"/>
  <c r="I48" i="19"/>
  <c r="D58" i="19"/>
  <c r="F66" i="19"/>
  <c r="L81" i="19"/>
  <c r="F85" i="19"/>
  <c r="S84" i="19"/>
  <c r="D87" i="19"/>
  <c r="I86" i="19"/>
  <c r="D88" i="19"/>
  <c r="Q87" i="19"/>
  <c r="Q88" i="19"/>
  <c r="S93" i="19"/>
  <c r="U93" i="19" s="1"/>
  <c r="I98" i="19"/>
  <c r="T77" i="19"/>
  <c r="E87" i="19"/>
  <c r="F87" i="19"/>
  <c r="D103" i="19"/>
  <c r="D97" i="19"/>
  <c r="D100" i="19"/>
  <c r="D91" i="19"/>
  <c r="C66" i="19"/>
  <c r="S71" i="19"/>
  <c r="O78" i="19"/>
  <c r="M78" i="19"/>
  <c r="F88" i="19"/>
  <c r="G87" i="19"/>
  <c r="O90" i="19"/>
  <c r="T89" i="19"/>
  <c r="G93" i="19"/>
  <c r="Q97" i="19"/>
  <c r="F72" i="19"/>
  <c r="I80" i="19"/>
  <c r="H84" i="19"/>
  <c r="F90" i="19"/>
  <c r="F91" i="19"/>
  <c r="S90" i="19"/>
  <c r="H93" i="19"/>
  <c r="AN135" i="19"/>
  <c r="D82" i="19"/>
  <c r="M81" i="19"/>
  <c r="M84" i="19"/>
  <c r="H122" i="19"/>
  <c r="D145" i="19"/>
  <c r="Y78" i="19"/>
  <c r="O84" i="19"/>
  <c r="Q84" i="19"/>
  <c r="L96" i="19"/>
  <c r="T98" i="19"/>
  <c r="L90" i="19"/>
  <c r="I92" i="19"/>
  <c r="F94" i="19"/>
  <c r="Y96" i="19"/>
  <c r="L97" i="19"/>
  <c r="M99" i="19"/>
  <c r="F102" i="19"/>
  <c r="F103" i="19"/>
  <c r="D96" i="19"/>
  <c r="M96" i="19"/>
  <c r="O99" i="19"/>
  <c r="F100" i="19"/>
  <c r="AN133" i="19"/>
  <c r="Q145" i="19"/>
  <c r="F97" i="19"/>
  <c r="L103" i="19"/>
  <c r="O125" i="19"/>
  <c r="G102" i="19"/>
  <c r="I124" i="19"/>
  <c r="M122" i="19"/>
  <c r="E126" i="19"/>
  <c r="E125" i="19"/>
  <c r="E129" i="19"/>
  <c r="E128" i="19"/>
  <c r="AA139" i="19"/>
  <c r="F125" i="19"/>
  <c r="AN131" i="19"/>
  <c r="I147" i="19"/>
  <c r="H148" i="19"/>
  <c r="J148" i="19" s="1"/>
  <c r="Y130" i="19"/>
  <c r="V135" i="19"/>
  <c r="T130" i="19"/>
  <c r="V133" i="19"/>
  <c r="V137" i="19"/>
  <c r="G139" i="19"/>
  <c r="L148" i="19"/>
  <c r="T147" i="19"/>
  <c r="AF139" i="19"/>
  <c r="AH151" i="19"/>
  <c r="D122" i="19"/>
  <c r="M148" i="19"/>
  <c r="M139" i="19"/>
  <c r="AI151" i="19"/>
  <c r="I114" i="19"/>
  <c r="F122" i="19"/>
  <c r="I121" i="19"/>
  <c r="AJ147" i="19"/>
  <c r="G122" i="19"/>
  <c r="M125" i="19"/>
  <c r="M128" i="19"/>
  <c r="T127" i="19"/>
  <c r="AN136" i="19"/>
  <c r="Q148" i="19"/>
  <c r="AN115" i="19"/>
  <c r="T124" i="19"/>
  <c r="L125" i="19"/>
  <c r="G129" i="19"/>
  <c r="H128" i="19"/>
  <c r="Y173" i="19"/>
  <c r="E145" i="19"/>
  <c r="I153" i="19"/>
  <c r="T150" i="19"/>
  <c r="S151" i="19"/>
  <c r="T155" i="19"/>
  <c r="D128" i="19"/>
  <c r="O128" i="19"/>
  <c r="AT150" i="19"/>
  <c r="AJ153" i="19"/>
  <c r="U173" i="19"/>
  <c r="AI164" i="19"/>
  <c r="AI165" i="19"/>
  <c r="AI166" i="19"/>
  <c r="AI167" i="19"/>
  <c r="AI168" i="19"/>
  <c r="AI169" i="19"/>
  <c r="AI170" i="19"/>
  <c r="AI171" i="19"/>
  <c r="AY55" i="18"/>
  <c r="Z166" i="18"/>
  <c r="AH183" i="18"/>
  <c r="P77" i="18"/>
  <c r="AF167" i="18"/>
  <c r="AF161" i="18" s="1"/>
  <c r="AF160" i="18" s="1"/>
  <c r="M93" i="18"/>
  <c r="AA156" i="18"/>
  <c r="K154" i="18"/>
  <c r="K70" i="18"/>
  <c r="AO105" i="18"/>
  <c r="AO99" i="18" s="1"/>
  <c r="AO83" i="18"/>
  <c r="C111" i="18"/>
  <c r="C84" i="18"/>
  <c r="N147" i="18"/>
  <c r="N138" i="18"/>
  <c r="N110" i="18"/>
  <c r="N125" i="18"/>
  <c r="N98" i="18"/>
  <c r="N132" i="18"/>
  <c r="N122" i="18"/>
  <c r="N104" i="18"/>
  <c r="N116" i="18"/>
  <c r="L154" i="18"/>
  <c r="L155" i="18" s="1"/>
  <c r="L70" i="18"/>
  <c r="L62" i="18"/>
  <c r="BB136" i="18"/>
  <c r="BC137" i="18" s="1"/>
  <c r="BE16" i="18"/>
  <c r="G176" i="18"/>
  <c r="H59" i="18"/>
  <c r="E64" i="18"/>
  <c r="D96" i="18"/>
  <c r="D126" i="18" s="1"/>
  <c r="D80" i="18"/>
  <c r="D60" i="18"/>
  <c r="P102" i="18"/>
  <c r="P82" i="18"/>
  <c r="AR208" i="18"/>
  <c r="AQ208" i="18"/>
  <c r="AO208" i="18"/>
  <c r="AR108" i="18"/>
  <c r="AZ130" i="18"/>
  <c r="BA131" i="18" s="1"/>
  <c r="BE14" i="18"/>
  <c r="BF14" i="18"/>
  <c r="BD137" i="18"/>
  <c r="BC143" i="18"/>
  <c r="BA148" i="18"/>
  <c r="BE23" i="18"/>
  <c r="E151" i="18"/>
  <c r="E96" i="18"/>
  <c r="E126" i="18" s="1"/>
  <c r="E60" i="18"/>
  <c r="AE7" i="18"/>
  <c r="AE39" i="18" s="1"/>
  <c r="T152" i="18"/>
  <c r="T66" i="18"/>
  <c r="AB8" i="18"/>
  <c r="T7" i="18"/>
  <c r="V61" i="18" s="1"/>
  <c r="T9" i="18"/>
  <c r="AF198" i="18"/>
  <c r="AF152" i="18"/>
  <c r="AF153" i="18"/>
  <c r="AF69" i="18"/>
  <c r="AF66" i="18"/>
  <c r="BL8" i="18"/>
  <c r="AF9" i="18"/>
  <c r="AF7" i="18"/>
  <c r="AF39" i="18" s="1"/>
  <c r="AQ102" i="18"/>
  <c r="AQ82" i="18"/>
  <c r="AD11" i="18"/>
  <c r="AO123" i="18"/>
  <c r="AO87" i="18"/>
  <c r="AZ108" i="18"/>
  <c r="BA109" i="18" s="1"/>
  <c r="BE13" i="18"/>
  <c r="BF13" i="18"/>
  <c r="AD16" i="18"/>
  <c r="AR211" i="18"/>
  <c r="AQ211" i="18"/>
  <c r="AO211" i="18"/>
  <c r="AR136" i="18"/>
  <c r="AZ137" i="18" s="1"/>
  <c r="BF16" i="18"/>
  <c r="AD20" i="18"/>
  <c r="AQ158" i="18"/>
  <c r="AQ120" i="18"/>
  <c r="AQ74" i="18"/>
  <c r="AY56" i="18"/>
  <c r="V81" i="18"/>
  <c r="AA82" i="18"/>
  <c r="T93" i="18"/>
  <c r="N151" i="18"/>
  <c r="N92" i="18"/>
  <c r="N80" i="18"/>
  <c r="N61" i="18"/>
  <c r="N63" i="18"/>
  <c r="BB102" i="18"/>
  <c r="BC103" i="18" s="1"/>
  <c r="BB82" i="18"/>
  <c r="BC133" i="18"/>
  <c r="BC8" i="18"/>
  <c r="P117" i="18"/>
  <c r="P85" i="18"/>
  <c r="S103" i="18"/>
  <c r="AA102" i="18"/>
  <c r="T103" i="18"/>
  <c r="S99" i="18"/>
  <c r="T100" i="18" s="1"/>
  <c r="BC84" i="18"/>
  <c r="BC111" i="18"/>
  <c r="BD112" i="18" s="1"/>
  <c r="V96" i="18"/>
  <c r="V151" i="18"/>
  <c r="V63" i="18"/>
  <c r="V92" i="18"/>
  <c r="V80" i="18"/>
  <c r="V91" i="18" s="1"/>
  <c r="H153" i="18"/>
  <c r="H152" i="18"/>
  <c r="H66" i="18"/>
  <c r="H9" i="18"/>
  <c r="H7" i="18"/>
  <c r="V152" i="18"/>
  <c r="V66" i="18"/>
  <c r="V9" i="18"/>
  <c r="AB9" i="18" s="1"/>
  <c r="BN10" i="18"/>
  <c r="BO10" i="18" s="1"/>
  <c r="BR10" i="18"/>
  <c r="AQ111" i="18"/>
  <c r="AQ84" i="18"/>
  <c r="AU18" i="18"/>
  <c r="AW18" i="18"/>
  <c r="AQ139" i="18"/>
  <c r="AW19" i="18"/>
  <c r="AU19" i="18"/>
  <c r="BE21" i="18"/>
  <c r="AR223" i="18"/>
  <c r="AQ223" i="18"/>
  <c r="AO223" i="18"/>
  <c r="AR158" i="18"/>
  <c r="AR159" i="18" s="1"/>
  <c r="AR120" i="18"/>
  <c r="AR74" i="18"/>
  <c r="BA82" i="18"/>
  <c r="BA102" i="18"/>
  <c r="BA8" i="18"/>
  <c r="E91" i="18"/>
  <c r="E88" i="18"/>
  <c r="O64" i="18"/>
  <c r="O76" i="18"/>
  <c r="P111" i="18"/>
  <c r="P84" i="18"/>
  <c r="AD18" i="18"/>
  <c r="BN12" i="18"/>
  <c r="BO12" i="18" s="1"/>
  <c r="W86" i="18"/>
  <c r="W88" i="18"/>
  <c r="AH208" i="18"/>
  <c r="AH108" i="18"/>
  <c r="BQ14" i="18"/>
  <c r="AN13" i="18"/>
  <c r="AL13" i="18"/>
  <c r="AK13" i="18"/>
  <c r="AD15" i="18"/>
  <c r="AH136" i="18"/>
  <c r="AH211" i="18"/>
  <c r="AK16" i="18"/>
  <c r="AL16" i="18"/>
  <c r="AN16" i="18"/>
  <c r="AQ213" i="18"/>
  <c r="AO213" i="18"/>
  <c r="AR213" i="18"/>
  <c r="AR111" i="18"/>
  <c r="AR217" i="18"/>
  <c r="AQ217" i="18"/>
  <c r="AO217" i="18"/>
  <c r="AU22" i="18"/>
  <c r="AV22" i="18"/>
  <c r="AY22" i="18" s="1"/>
  <c r="AS28" i="18"/>
  <c r="T75" i="18"/>
  <c r="V75" i="18"/>
  <c r="D91" i="18"/>
  <c r="M151" i="18"/>
  <c r="M92" i="18"/>
  <c r="M63" i="18"/>
  <c r="M68" i="18" s="1"/>
  <c r="M80" i="18"/>
  <c r="M89" i="18" s="1"/>
  <c r="M61" i="18"/>
  <c r="M60" i="18"/>
  <c r="BF19" i="18"/>
  <c r="AZ139" i="18"/>
  <c r="BA140" i="18" s="1"/>
  <c r="BE19" i="18"/>
  <c r="N93" i="18"/>
  <c r="BA111" i="18"/>
  <c r="BA84" i="18"/>
  <c r="BE18" i="18"/>
  <c r="Q83" i="18"/>
  <c r="K81" i="18"/>
  <c r="M154" i="18"/>
  <c r="M155" i="18" s="1"/>
  <c r="M70" i="18"/>
  <c r="M62" i="18"/>
  <c r="BN13" i="18"/>
  <c r="BO13" i="18" s="1"/>
  <c r="BB111" i="18"/>
  <c r="BB84" i="18"/>
  <c r="AS24" i="18"/>
  <c r="K152" i="18"/>
  <c r="K153" i="18"/>
  <c r="K66" i="18"/>
  <c r="K7" i="18"/>
  <c r="L151" i="18" s="1"/>
  <c r="P8" i="18"/>
  <c r="X154" i="18"/>
  <c r="L96" i="18"/>
  <c r="L63" i="18"/>
  <c r="L76" i="18" s="1"/>
  <c r="L60" i="18"/>
  <c r="L80" i="18"/>
  <c r="X61" i="18"/>
  <c r="X67" i="18"/>
  <c r="AO8" i="18"/>
  <c r="Z154" i="18"/>
  <c r="Z70" i="18"/>
  <c r="Z73" i="18"/>
  <c r="AH205" i="18"/>
  <c r="AH82" i="18"/>
  <c r="AH102" i="18"/>
  <c r="AL10" i="18"/>
  <c r="AH8" i="18"/>
  <c r="AK10" i="18"/>
  <c r="AN10" i="18"/>
  <c r="AI13" i="18"/>
  <c r="AI16" i="18"/>
  <c r="AS18" i="18"/>
  <c r="AY19" i="18"/>
  <c r="BN19" i="18"/>
  <c r="BO19" i="18" s="1"/>
  <c r="AS22" i="18"/>
  <c r="AW23" i="18"/>
  <c r="AV23" i="18"/>
  <c r="AU23" i="18"/>
  <c r="AS23" i="18"/>
  <c r="AD28" i="18"/>
  <c r="E176" i="18"/>
  <c r="E59" i="18"/>
  <c r="Z176" i="18"/>
  <c r="Z59" i="18"/>
  <c r="AB59" i="18" s="1"/>
  <c r="AA51" i="18"/>
  <c r="AC56" i="18" s="1"/>
  <c r="N60" i="18"/>
  <c r="D76" i="18"/>
  <c r="S89" i="18"/>
  <c r="Z95" i="18"/>
  <c r="M96" i="18"/>
  <c r="M122" i="18" s="1"/>
  <c r="AF115" i="18"/>
  <c r="AZ105" i="18"/>
  <c r="BA106" i="18" s="1"/>
  <c r="AZ83" i="18"/>
  <c r="P148" i="18"/>
  <c r="BB148" i="18"/>
  <c r="AH219" i="18"/>
  <c r="BM24" i="18"/>
  <c r="BN24" i="18" s="1"/>
  <c r="BO24" i="18" s="1"/>
  <c r="AL24" i="18"/>
  <c r="AQ146" i="18"/>
  <c r="AZ117" i="18"/>
  <c r="AZ85" i="18"/>
  <c r="BE27" i="18"/>
  <c r="AH223" i="18"/>
  <c r="AH201" i="18"/>
  <c r="AM201" i="18" s="1"/>
  <c r="AH202" i="18"/>
  <c r="AH158" i="18"/>
  <c r="AH74" i="18"/>
  <c r="AW28" i="18"/>
  <c r="AV28" i="18"/>
  <c r="AN28" i="18"/>
  <c r="AH120" i="18"/>
  <c r="AL28" i="18"/>
  <c r="BM28" i="18"/>
  <c r="BN28" i="18" s="1"/>
  <c r="BO28" i="18" s="1"/>
  <c r="AF51" i="18"/>
  <c r="AV53" i="18"/>
  <c r="AY53" i="18" s="1"/>
  <c r="X60" i="18"/>
  <c r="O68" i="18"/>
  <c r="O67" i="18"/>
  <c r="P74" i="18"/>
  <c r="X75" i="18"/>
  <c r="S88" i="18"/>
  <c r="S86" i="18"/>
  <c r="D89" i="18"/>
  <c r="AF95" i="18"/>
  <c r="P158" i="18"/>
  <c r="K159" i="18"/>
  <c r="L159" i="18"/>
  <c r="N68" i="18"/>
  <c r="N67" i="18"/>
  <c r="F151" i="18"/>
  <c r="F60" i="18"/>
  <c r="F80" i="18"/>
  <c r="F63" i="18"/>
  <c r="F68" i="18" s="1"/>
  <c r="O70" i="18"/>
  <c r="O154" i="18"/>
  <c r="D152" i="18"/>
  <c r="I8" i="18"/>
  <c r="C105" i="18"/>
  <c r="C99" i="18" s="1"/>
  <c r="C8" i="18"/>
  <c r="D153" i="18" s="1"/>
  <c r="C83" i="18"/>
  <c r="AQ115" i="18"/>
  <c r="AI28" i="18"/>
  <c r="AZ120" i="18"/>
  <c r="BE28" i="18"/>
  <c r="AZ74" i="18"/>
  <c r="BF28" i="18"/>
  <c r="F70" i="18"/>
  <c r="Z75" i="18"/>
  <c r="K109" i="18"/>
  <c r="X109" i="18"/>
  <c r="O151" i="18"/>
  <c r="O96" i="18"/>
  <c r="O92" i="18"/>
  <c r="O80" i="18"/>
  <c r="O60" i="18"/>
  <c r="O61" i="18"/>
  <c r="AH209" i="18"/>
  <c r="AH130" i="18"/>
  <c r="BM14" i="18"/>
  <c r="BN14" i="18" s="1"/>
  <c r="BO14" i="18" s="1"/>
  <c r="BB140" i="18"/>
  <c r="N153" i="18"/>
  <c r="N152" i="18"/>
  <c r="N9" i="18"/>
  <c r="P9" i="18" s="1"/>
  <c r="U8" i="18"/>
  <c r="BD109" i="18"/>
  <c r="AI14" i="18"/>
  <c r="D133" i="18"/>
  <c r="I17" i="18"/>
  <c r="Z151" i="18"/>
  <c r="Z92" i="18"/>
  <c r="Z80" i="18"/>
  <c r="Z65" i="18"/>
  <c r="Z47" i="18"/>
  <c r="Z96" i="18"/>
  <c r="Z60" i="18"/>
  <c r="S154" i="18"/>
  <c r="S153" i="18"/>
  <c r="S155" i="18"/>
  <c r="S62" i="18"/>
  <c r="S70" i="18"/>
  <c r="AH206" i="18"/>
  <c r="AH105" i="18"/>
  <c r="AK11" i="18"/>
  <c r="BB106" i="18"/>
  <c r="P123" i="18"/>
  <c r="P87" i="18"/>
  <c r="AD17" i="18"/>
  <c r="AQ215" i="18"/>
  <c r="AR215" i="18"/>
  <c r="AO215" i="18"/>
  <c r="AR114" i="18"/>
  <c r="AZ142" i="18"/>
  <c r="BA143" i="18" s="1"/>
  <c r="BF21" i="18"/>
  <c r="BD148" i="18"/>
  <c r="AK24" i="18"/>
  <c r="AH221" i="18"/>
  <c r="AN26" i="18"/>
  <c r="BM26" i="18"/>
  <c r="BN26" i="18" s="1"/>
  <c r="BO26" i="18" s="1"/>
  <c r="AL26" i="18"/>
  <c r="AR221" i="18"/>
  <c r="AQ221" i="18"/>
  <c r="AO221" i="18"/>
  <c r="AH222" i="18"/>
  <c r="AH117" i="18"/>
  <c r="AW27" i="18"/>
  <c r="AH85" i="18"/>
  <c r="AQ117" i="18"/>
  <c r="AQ85" i="18"/>
  <c r="BB117" i="18"/>
  <c r="BC118" i="18" s="1"/>
  <c r="BB85" i="18"/>
  <c r="AK28" i="18"/>
  <c r="BA120" i="18"/>
  <c r="BA74" i="18"/>
  <c r="W45" i="18"/>
  <c r="Z61" i="18"/>
  <c r="M76" i="18"/>
  <c r="N75" i="18"/>
  <c r="M75" i="18"/>
  <c r="AF75" i="18"/>
  <c r="Q82" i="18"/>
  <c r="O81" i="18"/>
  <c r="S93" i="18" s="1"/>
  <c r="AH83" i="18"/>
  <c r="V95" i="18"/>
  <c r="AA87" i="18"/>
  <c r="N107" i="18"/>
  <c r="N106" i="18"/>
  <c r="N99" i="18"/>
  <c r="O100" i="18" s="1"/>
  <c r="Z110" i="18"/>
  <c r="X151" i="18"/>
  <c r="X63" i="18"/>
  <c r="X76" i="18" s="1"/>
  <c r="X80" i="18"/>
  <c r="X65" i="18"/>
  <c r="X96" i="18"/>
  <c r="X119" i="18" s="1"/>
  <c r="BD103" i="18"/>
  <c r="G151" i="18"/>
  <c r="G96" i="18"/>
  <c r="G126" i="18" s="1"/>
  <c r="G60" i="18"/>
  <c r="G80" i="18"/>
  <c r="AG7" i="18"/>
  <c r="AG39" i="18" s="1"/>
  <c r="AG42" i="18" s="1"/>
  <c r="X152" i="18"/>
  <c r="X69" i="18"/>
  <c r="BD8" i="18"/>
  <c r="BB131" i="18"/>
  <c r="AV20" i="18"/>
  <c r="BC148" i="18"/>
  <c r="AI24" i="18"/>
  <c r="AH220" i="18"/>
  <c r="AH145" i="18"/>
  <c r="AO146" i="18" s="1"/>
  <c r="AN25" i="18"/>
  <c r="BM25" i="18"/>
  <c r="BN25" i="18" s="1"/>
  <c r="BO25" i="18" s="1"/>
  <c r="AL25" i="18"/>
  <c r="E153" i="18"/>
  <c r="E152" i="18"/>
  <c r="E66" i="18"/>
  <c r="E68" i="18" s="1"/>
  <c r="E9" i="18"/>
  <c r="O153" i="18"/>
  <c r="O152" i="18"/>
  <c r="AD10" i="18"/>
  <c r="AR206" i="18"/>
  <c r="AR202" i="18"/>
  <c r="AQ206" i="18"/>
  <c r="AO206" i="18"/>
  <c r="AR105" i="18"/>
  <c r="AR83" i="18"/>
  <c r="BB123" i="18"/>
  <c r="BB87" i="18"/>
  <c r="BC131" i="18"/>
  <c r="AO137" i="18"/>
  <c r="AZ133" i="18"/>
  <c r="BF17" i="18"/>
  <c r="BB115" i="18"/>
  <c r="AD21" i="18"/>
  <c r="BC146" i="18"/>
  <c r="S151" i="18"/>
  <c r="S96" i="18"/>
  <c r="S92" i="18"/>
  <c r="S60" i="18"/>
  <c r="S61" i="18"/>
  <c r="AA7" i="18"/>
  <c r="AC17" i="18" s="1"/>
  <c r="F152" i="18"/>
  <c r="F153" i="18"/>
  <c r="Z152" i="18"/>
  <c r="Z198" i="18"/>
  <c r="Z153" i="18"/>
  <c r="Z66" i="18"/>
  <c r="AA8" i="18"/>
  <c r="P83" i="18"/>
  <c r="P105" i="18"/>
  <c r="AI11" i="18"/>
  <c r="BC106" i="18"/>
  <c r="BC123" i="18"/>
  <c r="BD124" i="18" s="1"/>
  <c r="BC87" i="18"/>
  <c r="AD13" i="18"/>
  <c r="AK14" i="18"/>
  <c r="BD131" i="18"/>
  <c r="AO210" i="18"/>
  <c r="AR210" i="18"/>
  <c r="AQ210" i="18"/>
  <c r="AO111" i="18"/>
  <c r="AO84" i="18"/>
  <c r="AS20" i="18"/>
  <c r="BC115" i="18"/>
  <c r="AV21" i="18"/>
  <c r="AQ143" i="18"/>
  <c r="BF22" i="18"/>
  <c r="AV24" i="18"/>
  <c r="AI26" i="18"/>
  <c r="C85" i="18"/>
  <c r="C117" i="18"/>
  <c r="AI27" i="18"/>
  <c r="AQ222" i="18"/>
  <c r="AO222" i="18"/>
  <c r="AR222" i="18"/>
  <c r="AR117" i="18"/>
  <c r="BB120" i="18"/>
  <c r="BC121" i="18" s="1"/>
  <c r="BB74" i="18"/>
  <c r="X45" i="18"/>
  <c r="AC55" i="18"/>
  <c r="S63" i="18"/>
  <c r="J81" i="18"/>
  <c r="AA83" i="18"/>
  <c r="X81" i="18"/>
  <c r="AA84" i="18"/>
  <c r="L91" i="18"/>
  <c r="L95" i="18"/>
  <c r="F96" i="18"/>
  <c r="F126" i="18" s="1"/>
  <c r="O107" i="18"/>
  <c r="O106" i="18"/>
  <c r="M153" i="18"/>
  <c r="M152" i="18"/>
  <c r="AR214" i="18"/>
  <c r="AQ214" i="18"/>
  <c r="AR139" i="18"/>
  <c r="AO214" i="18"/>
  <c r="AZ114" i="18"/>
  <c r="BF20" i="18"/>
  <c r="D9" i="18"/>
  <c r="BA123" i="18"/>
  <c r="BA87" i="18"/>
  <c r="AR209" i="18"/>
  <c r="AQ209" i="18"/>
  <c r="AO209" i="18"/>
  <c r="AR130" i="18"/>
  <c r="BC140" i="18"/>
  <c r="AB7" i="18"/>
  <c r="G153" i="18"/>
  <c r="G152" i="18"/>
  <c r="G66" i="18"/>
  <c r="G68" i="18" s="1"/>
  <c r="G9" i="18"/>
  <c r="AZ102" i="18"/>
  <c r="AZ82" i="18"/>
  <c r="BE10" i="18"/>
  <c r="BD105" i="18"/>
  <c r="BD99" i="18" s="1"/>
  <c r="BD83" i="18"/>
  <c r="AL14" i="18"/>
  <c r="AH210" i="18"/>
  <c r="AL15" i="18"/>
  <c r="BM15" i="18"/>
  <c r="BN15" i="18" s="1"/>
  <c r="BO15" i="18" s="1"/>
  <c r="BA137" i="18"/>
  <c r="AO212" i="18"/>
  <c r="AR212" i="18"/>
  <c r="AQ212" i="18"/>
  <c r="BB134" i="18"/>
  <c r="AZ111" i="18"/>
  <c r="BF18" i="18"/>
  <c r="AQ216" i="18"/>
  <c r="AO216" i="18"/>
  <c r="AR216" i="18"/>
  <c r="AR142" i="18"/>
  <c r="BB143" i="18"/>
  <c r="AD22" i="18"/>
  <c r="AO148" i="18"/>
  <c r="AN24" i="18"/>
  <c r="AW24" i="18"/>
  <c r="AK25" i="18"/>
  <c r="AS27" i="18"/>
  <c r="P120" i="18"/>
  <c r="AU28" i="18"/>
  <c r="BL58" i="18"/>
  <c r="BL59" i="18" s="1"/>
  <c r="Z63" i="18"/>
  <c r="Z76" i="18" s="1"/>
  <c r="D66" i="18"/>
  <c r="D68" i="18" s="1"/>
  <c r="Q85" i="18"/>
  <c r="C87" i="18"/>
  <c r="X92" i="18"/>
  <c r="K112" i="18"/>
  <c r="AD114" i="18"/>
  <c r="BD121" i="18"/>
  <c r="AR133" i="18"/>
  <c r="V125" i="18"/>
  <c r="V124" i="18"/>
  <c r="G89" i="18"/>
  <c r="J87" i="18"/>
  <c r="S91" i="18"/>
  <c r="N119" i="18"/>
  <c r="O118" i="18"/>
  <c r="N118" i="18"/>
  <c r="S152" i="18"/>
  <c r="S66" i="18"/>
  <c r="BC99" i="18"/>
  <c r="AH207" i="18"/>
  <c r="AH87" i="18"/>
  <c r="AH123" i="18"/>
  <c r="BC109" i="18"/>
  <c r="AN17" i="18"/>
  <c r="AN18" i="18"/>
  <c r="AN19" i="18"/>
  <c r="BD140" i="18"/>
  <c r="AN20" i="18"/>
  <c r="BD115" i="18"/>
  <c r="AN21" i="18"/>
  <c r="BD143" i="18"/>
  <c r="AN22" i="18"/>
  <c r="AW22" i="18"/>
  <c r="AH218" i="18"/>
  <c r="AH148" i="18"/>
  <c r="AQ219" i="18"/>
  <c r="AO219" i="18"/>
  <c r="AR219" i="18"/>
  <c r="BB146" i="18"/>
  <c r="AD27" i="18"/>
  <c r="Y45" i="18"/>
  <c r="F176" i="18"/>
  <c r="F59" i="18"/>
  <c r="S75" i="18"/>
  <c r="AA74" i="18"/>
  <c r="BA83" i="18"/>
  <c r="BD85" i="18"/>
  <c r="T95" i="18"/>
  <c r="V113" i="18"/>
  <c r="V112" i="18"/>
  <c r="X112" i="18"/>
  <c r="BD118" i="18"/>
  <c r="L121" i="18"/>
  <c r="K121" i="18"/>
  <c r="AH133" i="18"/>
  <c r="L153" i="18"/>
  <c r="L152" i="18"/>
  <c r="AQ207" i="18"/>
  <c r="AR207" i="18"/>
  <c r="AO207" i="18"/>
  <c r="AR123" i="18"/>
  <c r="AZ123" i="18"/>
  <c r="AZ87" i="18"/>
  <c r="AH213" i="18"/>
  <c r="AH162" i="18"/>
  <c r="AO163" i="18" s="1"/>
  <c r="AH111" i="18"/>
  <c r="AH84" i="18"/>
  <c r="AH214" i="18"/>
  <c r="AH139" i="18"/>
  <c r="AO140" i="18" s="1"/>
  <c r="AH215" i="18"/>
  <c r="AH114" i="18"/>
  <c r="AH216" i="18"/>
  <c r="AH142" i="18"/>
  <c r="AO143" i="18" s="1"/>
  <c r="AR148" i="18"/>
  <c r="AR218" i="18"/>
  <c r="AO218" i="18"/>
  <c r="AQ218" i="18"/>
  <c r="BD146" i="18"/>
  <c r="L66" i="18"/>
  <c r="BC83" i="18"/>
  <c r="AA85" i="18"/>
  <c r="AD85" i="18" s="1"/>
  <c r="N95" i="18"/>
  <c r="M95" i="18"/>
  <c r="L89" i="18"/>
  <c r="V110" i="18"/>
  <c r="V109" i="18"/>
  <c r="L110" i="18"/>
  <c r="L109" i="18"/>
  <c r="L113" i="18"/>
  <c r="M112" i="18"/>
  <c r="L112" i="18"/>
  <c r="Z131" i="18"/>
  <c r="X131" i="18"/>
  <c r="X132" i="18"/>
  <c r="AA130" i="18"/>
  <c r="S135" i="18"/>
  <c r="S134" i="18"/>
  <c r="AA133" i="18"/>
  <c r="S137" i="18"/>
  <c r="AA136" i="18"/>
  <c r="T137" i="18"/>
  <c r="Z149" i="18"/>
  <c r="Z150" i="18"/>
  <c r="V104" i="18"/>
  <c r="S107" i="18"/>
  <c r="M109" i="18"/>
  <c r="Z113" i="18"/>
  <c r="AF121" i="18"/>
  <c r="L132" i="18"/>
  <c r="L131" i="18"/>
  <c r="AA148" i="18"/>
  <c r="X104" i="18"/>
  <c r="N109" i="18"/>
  <c r="X116" i="18"/>
  <c r="M131" i="18"/>
  <c r="O143" i="18"/>
  <c r="N143" i="18"/>
  <c r="N144" i="18"/>
  <c r="N150" i="18"/>
  <c r="N149" i="18"/>
  <c r="Z109" i="18"/>
  <c r="AO120" i="18"/>
  <c r="S121" i="18"/>
  <c r="O124" i="18"/>
  <c r="X135" i="18"/>
  <c r="X134" i="18"/>
  <c r="Z134" i="18"/>
  <c r="K137" i="18"/>
  <c r="Z137" i="18"/>
  <c r="X137" i="18"/>
  <c r="X147" i="18"/>
  <c r="Y160" i="18"/>
  <c r="Y188" i="18" s="1"/>
  <c r="Y190" i="18"/>
  <c r="X176" i="18"/>
  <c r="X185" i="18"/>
  <c r="K100" i="18"/>
  <c r="V101" i="18"/>
  <c r="X107" i="18"/>
  <c r="T121" i="18"/>
  <c r="S125" i="18"/>
  <c r="S124" i="18"/>
  <c r="AA123" i="18"/>
  <c r="S144" i="18"/>
  <c r="Z147" i="18"/>
  <c r="C158" i="18"/>
  <c r="C120" i="18"/>
  <c r="BC74" i="18"/>
  <c r="L101" i="18"/>
  <c r="L100" i="18"/>
  <c r="Z101" i="18"/>
  <c r="V100" i="18"/>
  <c r="O103" i="18"/>
  <c r="Q103" i="18" s="1"/>
  <c r="AF99" i="18"/>
  <c r="AF103" i="18"/>
  <c r="T109" i="18"/>
  <c r="AA108" i="18"/>
  <c r="AF109" i="18"/>
  <c r="AA111" i="18"/>
  <c r="S113" i="18"/>
  <c r="L119" i="18"/>
  <c r="V121" i="18"/>
  <c r="S122" i="18"/>
  <c r="M134" i="18"/>
  <c r="N134" i="18"/>
  <c r="X99" i="18"/>
  <c r="V103" i="18"/>
  <c r="Z112" i="18"/>
  <c r="K115" i="18"/>
  <c r="M121" i="18"/>
  <c r="X125" i="18"/>
  <c r="X124" i="18"/>
  <c r="M124" i="18"/>
  <c r="N135" i="18"/>
  <c r="L137" i="18"/>
  <c r="T143" i="18"/>
  <c r="AA142" i="18"/>
  <c r="AA162" i="18"/>
  <c r="W199" i="18"/>
  <c r="W161" i="18"/>
  <c r="X103" i="18"/>
  <c r="S106" i="18"/>
  <c r="O109" i="18"/>
  <c r="N113" i="18"/>
  <c r="N112" i="18"/>
  <c r="AF112" i="18"/>
  <c r="V116" i="18"/>
  <c r="X115" i="18"/>
  <c r="AA117" i="18"/>
  <c r="Z122" i="18"/>
  <c r="L125" i="18"/>
  <c r="L124" i="18"/>
  <c r="O132" i="18"/>
  <c r="O131" i="18"/>
  <c r="AF131" i="18"/>
  <c r="AF137" i="18"/>
  <c r="M137" i="18"/>
  <c r="L141" i="18"/>
  <c r="X141" i="18"/>
  <c r="V144" i="18"/>
  <c r="V143" i="18"/>
  <c r="F185" i="18"/>
  <c r="G185" i="18"/>
  <c r="E185" i="18"/>
  <c r="Z103" i="18"/>
  <c r="M115" i="18"/>
  <c r="T118" i="18"/>
  <c r="AB118" i="18" s="1"/>
  <c r="O121" i="18"/>
  <c r="N137" i="18"/>
  <c r="Z141" i="18"/>
  <c r="Z140" i="18"/>
  <c r="AA139" i="18"/>
  <c r="K143" i="18"/>
  <c r="L143" i="18"/>
  <c r="X143" i="18"/>
  <c r="X144" i="18"/>
  <c r="L107" i="18"/>
  <c r="L106" i="18"/>
  <c r="S110" i="18"/>
  <c r="O112" i="18"/>
  <c r="Z116" i="18"/>
  <c r="Z115" i="18"/>
  <c r="L115" i="18"/>
  <c r="N121" i="18"/>
  <c r="AF134" i="18"/>
  <c r="N141" i="18"/>
  <c r="N140" i="18"/>
  <c r="AF140" i="18"/>
  <c r="O140" i="18"/>
  <c r="Z144" i="18"/>
  <c r="K166" i="18"/>
  <c r="K161" i="18"/>
  <c r="K160" i="18" s="1"/>
  <c r="AE190" i="18"/>
  <c r="V185" i="18"/>
  <c r="V184" i="18"/>
  <c r="K184" i="18"/>
  <c r="AQ167" i="18"/>
  <c r="AQ161" i="18" s="1"/>
  <c r="AQ160" i="18" s="1"/>
  <c r="AQ188" i="18" s="1"/>
  <c r="AQ166" i="18"/>
  <c r="N184" i="18"/>
  <c r="N185" i="18"/>
  <c r="T134" i="18"/>
  <c r="L134" i="18"/>
  <c r="S150" i="18"/>
  <c r="T149" i="18"/>
  <c r="X166" i="18"/>
  <c r="AA167" i="18"/>
  <c r="S161" i="18"/>
  <c r="S160" i="18" s="1"/>
  <c r="AA168" i="18"/>
  <c r="S166" i="18"/>
  <c r="L184" i="18"/>
  <c r="L185" i="18"/>
  <c r="S185" i="18"/>
  <c r="S184" i="18"/>
  <c r="X106" i="18"/>
  <c r="S109" i="18"/>
  <c r="V115" i="18"/>
  <c r="Z121" i="18"/>
  <c r="T124" i="18"/>
  <c r="V135" i="18"/>
  <c r="V134" i="18"/>
  <c r="AA145" i="18"/>
  <c r="AF146" i="18"/>
  <c r="Q163" i="18"/>
  <c r="AV168" i="18"/>
  <c r="M184" i="18"/>
  <c r="M185" i="18"/>
  <c r="BE162" i="18"/>
  <c r="BE168" i="18"/>
  <c r="AZ167" i="18"/>
  <c r="AG190" i="18"/>
  <c r="T131" i="18"/>
  <c r="L147" i="18"/>
  <c r="V147" i="18"/>
  <c r="S149" i="18"/>
  <c r="AV156" i="18"/>
  <c r="AA158" i="18"/>
  <c r="AF164" i="18"/>
  <c r="AF199" i="18"/>
  <c r="AF200" i="18" s="1"/>
  <c r="AF195" i="18"/>
  <c r="AF165" i="18"/>
  <c r="AF173" i="18"/>
  <c r="AF163" i="18"/>
  <c r="BA163" i="18"/>
  <c r="X165" i="18"/>
  <c r="L167" i="18"/>
  <c r="M168" i="18"/>
  <c r="O184" i="18"/>
  <c r="Z195" i="18"/>
  <c r="O137" i="18"/>
  <c r="L140" i="18"/>
  <c r="X140" i="18"/>
  <c r="S143" i="18"/>
  <c r="AO173" i="18"/>
  <c r="AO175" i="18" s="1"/>
  <c r="AO161" i="18"/>
  <c r="AO160" i="18" s="1"/>
  <c r="AO188" i="18" s="1"/>
  <c r="P164" i="18"/>
  <c r="X164" i="18"/>
  <c r="AA164" i="18" s="1"/>
  <c r="Z183" i="18"/>
  <c r="AA180" i="18"/>
  <c r="X184" i="18"/>
  <c r="T184" i="18"/>
  <c r="M140" i="18"/>
  <c r="L150" i="18"/>
  <c r="L149" i="18"/>
  <c r="P156" i="18"/>
  <c r="X159" i="18"/>
  <c r="AQ163" i="18"/>
  <c r="AR161" i="18"/>
  <c r="AO180" i="18"/>
  <c r="D185" i="18"/>
  <c r="X150" i="18"/>
  <c r="Z165" i="18"/>
  <c r="Z199" i="18"/>
  <c r="Z173" i="18"/>
  <c r="AB163" i="18"/>
  <c r="AR163" i="18"/>
  <c r="W194" i="18"/>
  <c r="AA171" i="18"/>
  <c r="X199" i="18"/>
  <c r="X149" i="18"/>
  <c r="AH166" i="18"/>
  <c r="BE166" i="18" l="1"/>
  <c r="M141" i="18"/>
  <c r="M147" i="18"/>
  <c r="H69" i="19"/>
  <c r="AC19" i="18"/>
  <c r="AD83" i="18"/>
  <c r="H75" i="19"/>
  <c r="E89" i="18"/>
  <c r="M135" i="18"/>
  <c r="M138" i="18"/>
  <c r="H72" i="19"/>
  <c r="M116" i="18"/>
  <c r="H66" i="19"/>
  <c r="Y80" i="18"/>
  <c r="Y88" i="18" s="1"/>
  <c r="Y39" i="18"/>
  <c r="D94" i="19"/>
  <c r="H100" i="19"/>
  <c r="H97" i="19"/>
  <c r="H103" i="19"/>
  <c r="H91" i="19"/>
  <c r="M10" i="19"/>
  <c r="M61" i="19"/>
  <c r="J14" i="20"/>
  <c r="AV158" i="18"/>
  <c r="AY158" i="18" s="1"/>
  <c r="BT11" i="18"/>
  <c r="BU11" i="18" s="1"/>
  <c r="Y187" i="19"/>
  <c r="S187" i="19"/>
  <c r="BC81" i="18"/>
  <c r="AQ159" i="18"/>
  <c r="AO75" i="18"/>
  <c r="BB7" i="18"/>
  <c r="BB45" i="18" s="1"/>
  <c r="AS10" i="19"/>
  <c r="AS8" i="19" s="1"/>
  <c r="BE167" i="18"/>
  <c r="BB9" i="18"/>
  <c r="BB70" i="18" s="1"/>
  <c r="BD75" i="18"/>
  <c r="BB66" i="18"/>
  <c r="AJ139" i="19"/>
  <c r="BF163" i="18"/>
  <c r="BB153" i="18"/>
  <c r="J6" i="61"/>
  <c r="L6" i="61"/>
  <c r="L5" i="61" s="1"/>
  <c r="AO9" i="18"/>
  <c r="AV114" i="18"/>
  <c r="AY114" i="18" s="1"/>
  <c r="BE114" i="18" s="1"/>
  <c r="G22" i="61"/>
  <c r="BH170" i="18"/>
  <c r="V13" i="20"/>
  <c r="H126" i="19"/>
  <c r="C110" i="19"/>
  <c r="T80" i="19"/>
  <c r="G61" i="19"/>
  <c r="T139" i="19"/>
  <c r="G54" i="19"/>
  <c r="G58" i="19"/>
  <c r="C8" i="19"/>
  <c r="AB20" i="19"/>
  <c r="G111" i="19"/>
  <c r="Q10" i="19"/>
  <c r="Q105" i="19" s="1"/>
  <c r="Q110" i="19" s="1"/>
  <c r="Q120" i="19"/>
  <c r="Q123" i="19" s="1"/>
  <c r="T20" i="19"/>
  <c r="Y145" i="19"/>
  <c r="C129" i="19"/>
  <c r="S16" i="19"/>
  <c r="S56" i="19" s="1"/>
  <c r="C123" i="19"/>
  <c r="D75" i="19"/>
  <c r="U151" i="19"/>
  <c r="U53" i="19"/>
  <c r="J71" i="19"/>
  <c r="J68" i="19"/>
  <c r="J125" i="19"/>
  <c r="Y55" i="19"/>
  <c r="Z93" i="18"/>
  <c r="Q131" i="18"/>
  <c r="AB159" i="18"/>
  <c r="E86" i="18"/>
  <c r="E90" i="18" s="1"/>
  <c r="AV84" i="18"/>
  <c r="AY84" i="18" s="1"/>
  <c r="BD95" i="18"/>
  <c r="AZ81" i="18"/>
  <c r="AO81" i="18"/>
  <c r="G64" i="18"/>
  <c r="X110" i="18"/>
  <c r="Q118" i="18"/>
  <c r="Y86" i="18"/>
  <c r="BD81" i="18"/>
  <c r="AC18" i="18"/>
  <c r="AC16" i="18"/>
  <c r="X62" i="18"/>
  <c r="M91" i="18"/>
  <c r="X155" i="18"/>
  <c r="AC25" i="18"/>
  <c r="AC14" i="18"/>
  <c r="AD82" i="18"/>
  <c r="AC21" i="18"/>
  <c r="AA9" i="18"/>
  <c r="AD9" i="18" s="1"/>
  <c r="X153" i="18"/>
  <c r="BA81" i="18"/>
  <c r="AC20" i="18"/>
  <c r="Z62" i="18"/>
  <c r="AC23" i="18"/>
  <c r="AC28" i="18"/>
  <c r="Z155" i="18"/>
  <c r="X73" i="18"/>
  <c r="C81" i="18"/>
  <c r="AI8" i="18"/>
  <c r="AI9" i="18" s="1"/>
  <c r="AB140" i="18"/>
  <c r="Q106" i="18"/>
  <c r="AB95" i="18"/>
  <c r="AA111" i="19"/>
  <c r="AA122" i="19"/>
  <c r="W14" i="19"/>
  <c r="AQ10" i="19"/>
  <c r="AQ8" i="19" s="1"/>
  <c r="AB121" i="19"/>
  <c r="AR10" i="19"/>
  <c r="AR8" i="19" s="1"/>
  <c r="AN150" i="19"/>
  <c r="AK151" i="19"/>
  <c r="O145" i="19"/>
  <c r="Y54" i="19"/>
  <c r="Y49" i="19"/>
  <c r="AB49" i="19" s="1"/>
  <c r="Y155" i="19"/>
  <c r="AF48" i="19"/>
  <c r="AA155" i="19"/>
  <c r="AA55" i="19"/>
  <c r="H123" i="19"/>
  <c r="J128" i="19"/>
  <c r="AB93" i="19"/>
  <c r="U128" i="19"/>
  <c r="J90" i="19"/>
  <c r="J78" i="19"/>
  <c r="J93" i="19"/>
  <c r="U102" i="19"/>
  <c r="U87" i="19"/>
  <c r="J87" i="19"/>
  <c r="AB48" i="19"/>
  <c r="Q149" i="18"/>
  <c r="Q134" i="18"/>
  <c r="AA176" i="18"/>
  <c r="AV166" i="18"/>
  <c r="BH166" i="18" s="1"/>
  <c r="AB131" i="18"/>
  <c r="AB112" i="18"/>
  <c r="Q159" i="18"/>
  <c r="D63" i="24"/>
  <c r="D60" i="24"/>
  <c r="D55" i="24"/>
  <c r="D64" i="24"/>
  <c r="D58" i="24"/>
  <c r="D66" i="24"/>
  <c r="D61" i="24"/>
  <c r="D62" i="24"/>
  <c r="D56" i="24"/>
  <c r="D59" i="24"/>
  <c r="D57" i="24"/>
  <c r="D54" i="24"/>
  <c r="P13" i="20"/>
  <c r="G13" i="20"/>
  <c r="J13" i="20" s="1"/>
  <c r="I8" i="20"/>
  <c r="K19" i="20"/>
  <c r="K9" i="20"/>
  <c r="T9" i="20"/>
  <c r="K20" i="20"/>
  <c r="T10" i="20"/>
  <c r="M13" i="20"/>
  <c r="Q8" i="20"/>
  <c r="S9" i="20" s="1"/>
  <c r="L13" i="20"/>
  <c r="Q18" i="20"/>
  <c r="T18" i="20" s="1"/>
  <c r="U13" i="20"/>
  <c r="N13" i="20"/>
  <c r="G82" i="19"/>
  <c r="G66" i="19"/>
  <c r="G63" i="19"/>
  <c r="G75" i="19"/>
  <c r="G62" i="19"/>
  <c r="S65" i="19"/>
  <c r="U65" i="19" s="1"/>
  <c r="AN147" i="19"/>
  <c r="O109" i="19"/>
  <c r="E111" i="19"/>
  <c r="E56" i="19"/>
  <c r="E54" i="19"/>
  <c r="E61" i="19"/>
  <c r="E58" i="19"/>
  <c r="I16" i="19"/>
  <c r="AI173" i="19"/>
  <c r="G145" i="19"/>
  <c r="H145" i="19"/>
  <c r="G103" i="19"/>
  <c r="AB96" i="19"/>
  <c r="T64" i="19"/>
  <c r="J84" i="19"/>
  <c r="AB89" i="19"/>
  <c r="AA90" i="19"/>
  <c r="G112" i="19"/>
  <c r="O123" i="19"/>
  <c r="O129" i="19"/>
  <c r="Y102" i="19"/>
  <c r="E74" i="19"/>
  <c r="J74" i="19" s="1"/>
  <c r="O74" i="19"/>
  <c r="W60" i="19"/>
  <c r="AN60" i="19"/>
  <c r="F109" i="19"/>
  <c r="AF51" i="19"/>
  <c r="AH50" i="19"/>
  <c r="AF55" i="19"/>
  <c r="AB73" i="19"/>
  <c r="AA74" i="19"/>
  <c r="W147" i="19"/>
  <c r="AB15" i="19"/>
  <c r="AA11" i="19"/>
  <c r="AA10" i="19" s="1"/>
  <c r="Y111" i="19"/>
  <c r="Y58" i="19"/>
  <c r="Y61" i="19"/>
  <c r="Y103" i="19" s="1"/>
  <c r="Y56" i="19"/>
  <c r="G88" i="19"/>
  <c r="W67" i="19"/>
  <c r="AA81" i="19"/>
  <c r="AB80" i="19"/>
  <c r="E109" i="19"/>
  <c r="Y65" i="19"/>
  <c r="L109" i="19"/>
  <c r="U71" i="19"/>
  <c r="L100" i="19"/>
  <c r="L94" i="19"/>
  <c r="L82" i="19"/>
  <c r="L62" i="19"/>
  <c r="L88" i="19"/>
  <c r="L66" i="19"/>
  <c r="L63" i="19"/>
  <c r="Q122" i="19"/>
  <c r="S122" i="19"/>
  <c r="F126" i="19"/>
  <c r="F123" i="19"/>
  <c r="AB51" i="19"/>
  <c r="W50" i="19"/>
  <c r="I55" i="19"/>
  <c r="W55" i="19" s="1"/>
  <c r="AB114" i="19"/>
  <c r="AB84" i="19"/>
  <c r="O111" i="19"/>
  <c r="Q112" i="19" s="1"/>
  <c r="O58" i="19"/>
  <c r="O54" i="19"/>
  <c r="O56" i="19"/>
  <c r="O61" i="19"/>
  <c r="M145" i="19"/>
  <c r="U96" i="19"/>
  <c r="U78" i="19"/>
  <c r="S111" i="19"/>
  <c r="S58" i="19"/>
  <c r="S61" i="19"/>
  <c r="S66" i="19" s="1"/>
  <c r="S54" i="19"/>
  <c r="M109" i="19"/>
  <c r="Y71" i="19"/>
  <c r="D154" i="19"/>
  <c r="D152" i="19"/>
  <c r="D149" i="19"/>
  <c r="D138" i="19"/>
  <c r="D9" i="19"/>
  <c r="F129" i="19"/>
  <c r="AH145" i="19"/>
  <c r="AF145" i="19"/>
  <c r="M123" i="19"/>
  <c r="G100" i="19"/>
  <c r="L91" i="19"/>
  <c r="I139" i="19"/>
  <c r="G85" i="19"/>
  <c r="G94" i="19"/>
  <c r="H155" i="19"/>
  <c r="I155" i="19" s="1"/>
  <c r="I52" i="19"/>
  <c r="W52" i="19" s="1"/>
  <c r="W48" i="19"/>
  <c r="AA71" i="19"/>
  <c r="AB101" i="19"/>
  <c r="Y11" i="19"/>
  <c r="H23" i="61" s="1"/>
  <c r="G79" i="19"/>
  <c r="AA128" i="19"/>
  <c r="AB128" i="19" s="1"/>
  <c r="AB127" i="19"/>
  <c r="T114" i="19"/>
  <c r="Q74" i="19"/>
  <c r="Y125" i="19"/>
  <c r="S74" i="19"/>
  <c r="X10" i="19"/>
  <c r="X8" i="19" s="1"/>
  <c r="X9" i="19" s="1"/>
  <c r="I177" i="19"/>
  <c r="AA87" i="19"/>
  <c r="AB86" i="19"/>
  <c r="G105" i="19"/>
  <c r="G110" i="19" s="1"/>
  <c r="G104" i="19"/>
  <c r="G57" i="19"/>
  <c r="G8" i="19"/>
  <c r="AP10" i="19"/>
  <c r="AP8" i="19" s="1"/>
  <c r="S11" i="19"/>
  <c r="C117" i="19"/>
  <c r="C119" i="19" s="1"/>
  <c r="C116" i="19"/>
  <c r="H79" i="19"/>
  <c r="H85" i="19"/>
  <c r="H63" i="19"/>
  <c r="H82" i="19"/>
  <c r="H62" i="19"/>
  <c r="D117" i="19"/>
  <c r="D107" i="19"/>
  <c r="D116" i="19"/>
  <c r="D106" i="19"/>
  <c r="T73" i="19"/>
  <c r="Q109" i="19"/>
  <c r="H109" i="19"/>
  <c r="U148" i="19"/>
  <c r="G69" i="19"/>
  <c r="U84" i="19"/>
  <c r="F104" i="19"/>
  <c r="F105" i="19"/>
  <c r="F110" i="19" s="1"/>
  <c r="F57" i="19"/>
  <c r="F8" i="19"/>
  <c r="J96" i="19"/>
  <c r="L129" i="19"/>
  <c r="L126" i="19"/>
  <c r="J53" i="19"/>
  <c r="T178" i="19"/>
  <c r="W12" i="19"/>
  <c r="C138" i="19"/>
  <c r="C154" i="19"/>
  <c r="T121" i="19"/>
  <c r="M126" i="19"/>
  <c r="J122" i="19"/>
  <c r="AA187" i="19"/>
  <c r="AB139" i="19"/>
  <c r="AA145" i="19"/>
  <c r="G97" i="19"/>
  <c r="D146" i="19"/>
  <c r="J102" i="19"/>
  <c r="AA125" i="19"/>
  <c r="AB124" i="19"/>
  <c r="Y122" i="19"/>
  <c r="AB70" i="19"/>
  <c r="D109" i="19"/>
  <c r="D110" i="19"/>
  <c r="I108" i="19"/>
  <c r="AB78" i="19"/>
  <c r="AF52" i="19"/>
  <c r="AA53" i="19"/>
  <c r="AB53" i="19" s="1"/>
  <c r="AB52" i="19"/>
  <c r="W17" i="19"/>
  <c r="AB64" i="19"/>
  <c r="S81" i="19"/>
  <c r="G72" i="19"/>
  <c r="L154" i="19"/>
  <c r="L104" i="19"/>
  <c r="L105" i="19"/>
  <c r="L116" i="19" s="1"/>
  <c r="L8" i="19"/>
  <c r="L146" i="19" s="1"/>
  <c r="L57" i="19"/>
  <c r="G109" i="19"/>
  <c r="Y74" i="19"/>
  <c r="H105" i="19"/>
  <c r="H110" i="19" s="1"/>
  <c r="H104" i="19"/>
  <c r="H57" i="19"/>
  <c r="H8" i="19"/>
  <c r="W29" i="19"/>
  <c r="L75" i="19"/>
  <c r="AF155" i="19"/>
  <c r="AH48" i="19"/>
  <c r="AF49" i="19"/>
  <c r="W20" i="19"/>
  <c r="H112" i="19"/>
  <c r="U125" i="19"/>
  <c r="W150" i="19"/>
  <c r="U81" i="19"/>
  <c r="J65" i="19"/>
  <c r="T16" i="19"/>
  <c r="AB55" i="19"/>
  <c r="L145" i="19"/>
  <c r="AA130" i="19"/>
  <c r="U90" i="19"/>
  <c r="U99" i="19"/>
  <c r="U68" i="19"/>
  <c r="G91" i="19"/>
  <c r="F112" i="19"/>
  <c r="I120" i="19"/>
  <c r="I129" i="19" s="1"/>
  <c r="D129" i="19"/>
  <c r="D123" i="19"/>
  <c r="W27" i="19"/>
  <c r="AA65" i="19"/>
  <c r="G126" i="19"/>
  <c r="G123" i="19"/>
  <c r="L85" i="19"/>
  <c r="Y99" i="19"/>
  <c r="T111" i="19"/>
  <c r="L112" i="19"/>
  <c r="E10" i="19"/>
  <c r="AA166" i="18"/>
  <c r="AD158" i="18"/>
  <c r="AB115" i="18"/>
  <c r="Q75" i="18"/>
  <c r="AV167" i="18"/>
  <c r="AZ161" i="18"/>
  <c r="AZ160" i="18" s="1"/>
  <c r="Q124" i="18"/>
  <c r="Q115" i="18"/>
  <c r="Q95" i="18"/>
  <c r="X200" i="18"/>
  <c r="AD164" i="18"/>
  <c r="BA121" i="18"/>
  <c r="O147" i="18"/>
  <c r="O144" i="18"/>
  <c r="O119" i="18"/>
  <c r="O126" i="18"/>
  <c r="O98" i="18"/>
  <c r="O113" i="18"/>
  <c r="O97" i="18"/>
  <c r="O116" i="18"/>
  <c r="O141" i="18"/>
  <c r="AH99" i="18"/>
  <c r="AH103" i="18"/>
  <c r="Q143" i="18"/>
  <c r="G154" i="18"/>
  <c r="G70" i="18"/>
  <c r="Z68" i="18"/>
  <c r="Z67" i="18"/>
  <c r="X86" i="18"/>
  <c r="X88" i="18"/>
  <c r="K93" i="18"/>
  <c r="AH109" i="18"/>
  <c r="H151" i="18"/>
  <c r="H80" i="18"/>
  <c r="H63" i="18"/>
  <c r="H68" i="18" s="1"/>
  <c r="H96" i="18"/>
  <c r="H126" i="18" s="1"/>
  <c r="H60" i="18"/>
  <c r="AV142" i="18"/>
  <c r="AH143" i="18"/>
  <c r="S68" i="18"/>
  <c r="AA66" i="18"/>
  <c r="S67" i="18"/>
  <c r="AZ115" i="18"/>
  <c r="S64" i="18"/>
  <c r="S76" i="18"/>
  <c r="AY21" i="18"/>
  <c r="BC95" i="18"/>
  <c r="BB124" i="18"/>
  <c r="X64" i="18"/>
  <c r="AD87" i="18"/>
  <c r="J153" i="18"/>
  <c r="M126" i="18"/>
  <c r="M144" i="18"/>
  <c r="M98" i="18"/>
  <c r="M97" i="18"/>
  <c r="M107" i="18"/>
  <c r="M113" i="18"/>
  <c r="M132" i="18"/>
  <c r="M150" i="18"/>
  <c r="M125" i="18"/>
  <c r="M104" i="18"/>
  <c r="AH81" i="18"/>
  <c r="AO152" i="18"/>
  <c r="AO153" i="18"/>
  <c r="AO66" i="18"/>
  <c r="AO7" i="18"/>
  <c r="AO39" i="18" s="1"/>
  <c r="L144" i="18"/>
  <c r="L126" i="18"/>
  <c r="L98" i="18"/>
  <c r="L122" i="18"/>
  <c r="L116" i="18"/>
  <c r="L104" i="18"/>
  <c r="BB112" i="18"/>
  <c r="AR112" i="18"/>
  <c r="H154" i="18"/>
  <c r="H70" i="18"/>
  <c r="K71" i="18" s="1"/>
  <c r="AB103" i="18"/>
  <c r="BC134" i="18"/>
  <c r="AQ75" i="18"/>
  <c r="BH22" i="18"/>
  <c r="P81" i="18"/>
  <c r="AQ140" i="18"/>
  <c r="BE44" i="18"/>
  <c r="AD139" i="18"/>
  <c r="AB106" i="18"/>
  <c r="AD111" i="18"/>
  <c r="AD123" i="18"/>
  <c r="O125" i="18"/>
  <c r="AD136" i="18"/>
  <c r="Q121" i="18"/>
  <c r="AH124" i="18"/>
  <c r="AA152" i="18"/>
  <c r="L93" i="18"/>
  <c r="BD106" i="18"/>
  <c r="O62" i="18"/>
  <c r="BC124" i="18"/>
  <c r="S116" i="18"/>
  <c r="S97" i="18"/>
  <c r="S132" i="18"/>
  <c r="S126" i="18"/>
  <c r="S147" i="18"/>
  <c r="S119" i="18"/>
  <c r="S141" i="18"/>
  <c r="BA115" i="18"/>
  <c r="BB118" i="18"/>
  <c r="AC52" i="18"/>
  <c r="AD51" i="18"/>
  <c r="AC51" i="18"/>
  <c r="AC54" i="18"/>
  <c r="X68" i="18"/>
  <c r="AO103" i="18"/>
  <c r="S104" i="18"/>
  <c r="V93" i="18"/>
  <c r="V89" i="18"/>
  <c r="AQ121" i="18"/>
  <c r="AQ103" i="18"/>
  <c r="AE45" i="18"/>
  <c r="AE80" i="18"/>
  <c r="BE130" i="18"/>
  <c r="AZ131" i="18"/>
  <c r="BF131" i="18" s="1"/>
  <c r="P99" i="18"/>
  <c r="L71" i="18"/>
  <c r="L72" i="18"/>
  <c r="AO106" i="18"/>
  <c r="AH118" i="18"/>
  <c r="AV117" i="18"/>
  <c r="S71" i="18"/>
  <c r="S72" i="18"/>
  <c r="F86" i="18"/>
  <c r="F90" i="18" s="1"/>
  <c r="F88" i="18"/>
  <c r="F91" i="18"/>
  <c r="AZ118" i="18"/>
  <c r="AA173" i="18"/>
  <c r="Z175" i="18"/>
  <c r="AA175" i="18" s="1"/>
  <c r="L67" i="18"/>
  <c r="L68" i="18"/>
  <c r="AO112" i="18"/>
  <c r="BD152" i="18"/>
  <c r="BD153" i="18"/>
  <c r="BD66" i="18"/>
  <c r="BD7" i="18"/>
  <c r="BD9" i="18"/>
  <c r="Z88" i="18"/>
  <c r="Z86" i="18"/>
  <c r="AH159" i="18"/>
  <c r="AO159" i="18"/>
  <c r="Z200" i="18"/>
  <c r="AB149" i="18"/>
  <c r="AH134" i="18"/>
  <c r="AO134" i="18"/>
  <c r="AR143" i="18"/>
  <c r="N168" i="18"/>
  <c r="M167" i="18"/>
  <c r="AB109" i="18"/>
  <c r="AD117" i="18"/>
  <c r="AB124" i="18"/>
  <c r="AH115" i="18"/>
  <c r="AH95" i="18"/>
  <c r="Z64" i="18"/>
  <c r="AR140" i="18"/>
  <c r="AY24" i="18"/>
  <c r="AZ134" i="18"/>
  <c r="BA134" i="18"/>
  <c r="AG80" i="18"/>
  <c r="AG45" i="18"/>
  <c r="BD100" i="18"/>
  <c r="BD149" i="18"/>
  <c r="AH121" i="18"/>
  <c r="Z91" i="18"/>
  <c r="AY23" i="18"/>
  <c r="K151" i="18"/>
  <c r="Q151" i="18" s="1"/>
  <c r="K61" i="18"/>
  <c r="K63" i="18"/>
  <c r="K92" i="18"/>
  <c r="K80" i="18"/>
  <c r="K96" i="18"/>
  <c r="L97" i="18" s="1"/>
  <c r="K60" i="18"/>
  <c r="Q60" i="18" s="1"/>
  <c r="P7" i="18"/>
  <c r="R9" i="18" s="1"/>
  <c r="L61" i="18"/>
  <c r="BH24" i="18"/>
  <c r="AQ112" i="18"/>
  <c r="V141" i="18"/>
  <c r="V150" i="18"/>
  <c r="V122" i="18"/>
  <c r="V132" i="18"/>
  <c r="V126" i="18"/>
  <c r="V107" i="18"/>
  <c r="V119" i="18"/>
  <c r="V138" i="18"/>
  <c r="M67" i="18"/>
  <c r="BB81" i="18"/>
  <c r="AZ109" i="18"/>
  <c r="BF109" i="18" s="1"/>
  <c r="AF203" i="18"/>
  <c r="AF151" i="18"/>
  <c r="AF96" i="18"/>
  <c r="AF65" i="18"/>
  <c r="AF47" i="18"/>
  <c r="AF46" i="18"/>
  <c r="AF60" i="18"/>
  <c r="AF80" i="18"/>
  <c r="AF45" i="18"/>
  <c r="AF92" i="18"/>
  <c r="AF61" i="18"/>
  <c r="AF63" i="18"/>
  <c r="AF68" i="18" s="1"/>
  <c r="BL7" i="18"/>
  <c r="AZ112" i="18"/>
  <c r="D154" i="18"/>
  <c r="D70" i="18"/>
  <c r="I9" i="18"/>
  <c r="AF176" i="18"/>
  <c r="AF59" i="18"/>
  <c r="AH51" i="18"/>
  <c r="BQ58" i="18"/>
  <c r="BS14" i="18"/>
  <c r="BQ16" i="18"/>
  <c r="BC75" i="18"/>
  <c r="O150" i="18"/>
  <c r="AB75" i="18"/>
  <c r="BB95" i="18"/>
  <c r="N86" i="18"/>
  <c r="N88" i="18"/>
  <c r="N91" i="18"/>
  <c r="AF67" i="18"/>
  <c r="T67" i="18"/>
  <c r="AH165" i="18"/>
  <c r="AH163" i="18"/>
  <c r="AW163" i="18" s="1"/>
  <c r="AH195" i="18"/>
  <c r="AH173" i="18"/>
  <c r="AV162" i="18"/>
  <c r="AH164" i="18"/>
  <c r="AH161" i="18"/>
  <c r="AH160" i="18" s="1"/>
  <c r="AH199" i="18"/>
  <c r="AH200" i="18" s="1"/>
  <c r="AH44" i="18"/>
  <c r="AF175" i="18"/>
  <c r="AR160" i="18"/>
  <c r="L161" i="18"/>
  <c r="L160" i="18" s="1"/>
  <c r="L166" i="18"/>
  <c r="O138" i="18"/>
  <c r="O135" i="18"/>
  <c r="O104" i="18"/>
  <c r="AO118" i="18"/>
  <c r="AD148" i="18"/>
  <c r="AB137" i="18"/>
  <c r="AB143" i="18"/>
  <c r="W190" i="18"/>
  <c r="W160" i="18"/>
  <c r="W188" i="18" s="1"/>
  <c r="AD108" i="18"/>
  <c r="X91" i="18"/>
  <c r="AB121" i="18"/>
  <c r="M110" i="18"/>
  <c r="S138" i="18"/>
  <c r="AH149" i="18"/>
  <c r="BD134" i="18"/>
  <c r="BA95" i="18"/>
  <c r="Z89" i="18"/>
  <c r="AD84" i="18"/>
  <c r="E154" i="18"/>
  <c r="E70" i="18"/>
  <c r="AH146" i="18"/>
  <c r="BH20" i="18"/>
  <c r="AY20" i="18"/>
  <c r="G88" i="18"/>
  <c r="G86" i="18"/>
  <c r="G90" i="18" s="1"/>
  <c r="G91" i="18"/>
  <c r="N101" i="18"/>
  <c r="N100" i="18"/>
  <c r="Q100" i="18" s="1"/>
  <c r="AQ118" i="18"/>
  <c r="Q109" i="18"/>
  <c r="AZ75" i="18"/>
  <c r="O72" i="18"/>
  <c r="AZ106" i="18"/>
  <c r="F89" i="18"/>
  <c r="K67" i="18"/>
  <c r="P66" i="18"/>
  <c r="BH18" i="18"/>
  <c r="N89" i="18"/>
  <c r="M86" i="18"/>
  <c r="M88" i="18"/>
  <c r="BH21" i="18"/>
  <c r="V155" i="18"/>
  <c r="V154" i="18"/>
  <c r="V153" i="18"/>
  <c r="V62" i="18"/>
  <c r="V70" i="18"/>
  <c r="BC112" i="18"/>
  <c r="BB99" i="18"/>
  <c r="BC100" i="18" s="1"/>
  <c r="BB103" i="18"/>
  <c r="AO95" i="18"/>
  <c r="AO115" i="18"/>
  <c r="I7" i="18"/>
  <c r="N126" i="18"/>
  <c r="N154" i="18"/>
  <c r="N155" i="18" s="1"/>
  <c r="N70" i="18"/>
  <c r="O71" i="18" s="1"/>
  <c r="N62" i="18"/>
  <c r="BB149" i="18"/>
  <c r="AO183" i="18"/>
  <c r="AV180" i="18"/>
  <c r="O110" i="18"/>
  <c r="AZ95" i="18"/>
  <c r="AR118" i="18"/>
  <c r="BC152" i="18"/>
  <c r="BC153" i="18"/>
  <c r="BC66" i="18"/>
  <c r="BC9" i="18"/>
  <c r="BC7" i="18"/>
  <c r="Q112" i="18"/>
  <c r="X101" i="18"/>
  <c r="X100" i="18"/>
  <c r="Z100" i="18"/>
  <c r="AO121" i="18"/>
  <c r="AD133" i="18"/>
  <c r="AH140" i="18"/>
  <c r="AV139" i="18"/>
  <c r="AO149" i="18"/>
  <c r="BA124" i="18"/>
  <c r="X93" i="18"/>
  <c r="X89" i="18"/>
  <c r="BB75" i="18"/>
  <c r="AD105" i="18"/>
  <c r="Q81" i="18"/>
  <c r="O89" i="18"/>
  <c r="O93" i="18"/>
  <c r="AV85" i="18"/>
  <c r="AZ143" i="18"/>
  <c r="BF143" i="18" s="1"/>
  <c r="AH106" i="18"/>
  <c r="Z126" i="18"/>
  <c r="Z138" i="18"/>
  <c r="Z135" i="18"/>
  <c r="Z97" i="18"/>
  <c r="Z132" i="18"/>
  <c r="Z119" i="18"/>
  <c r="Z107" i="18"/>
  <c r="Z125" i="18"/>
  <c r="Z104" i="18"/>
  <c r="O86" i="18"/>
  <c r="S94" i="18" s="1"/>
  <c r="Q80" i="18"/>
  <c r="O91" i="18"/>
  <c r="O88" i="18"/>
  <c r="BH28" i="18"/>
  <c r="O155" i="18"/>
  <c r="S90" i="18"/>
  <c r="AY28" i="18"/>
  <c r="BH27" i="18"/>
  <c r="J59" i="18"/>
  <c r="AH203" i="18"/>
  <c r="AH198" i="18"/>
  <c r="AM198" i="18" s="1"/>
  <c r="AH152" i="18"/>
  <c r="AH153" i="18"/>
  <c r="AH66" i="18"/>
  <c r="AL8" i="18"/>
  <c r="AH7" i="18"/>
  <c r="AH69" i="18"/>
  <c r="AN8" i="18"/>
  <c r="AH9" i="18"/>
  <c r="BM8" i="18"/>
  <c r="BN8" i="18" s="1"/>
  <c r="BO8" i="18" s="1"/>
  <c r="L92" i="18"/>
  <c r="Q153" i="18"/>
  <c r="M64" i="18"/>
  <c r="BA152" i="18"/>
  <c r="BA66" i="18"/>
  <c r="BA9" i="18"/>
  <c r="BA7" i="18"/>
  <c r="AR75" i="18"/>
  <c r="AK8" i="18"/>
  <c r="AC53" i="18"/>
  <c r="AO124" i="18"/>
  <c r="T154" i="18"/>
  <c r="AA154" i="18" s="1"/>
  <c r="T153" i="18"/>
  <c r="AB153" i="18" s="1"/>
  <c r="T155" i="18"/>
  <c r="AB155" i="18" s="1"/>
  <c r="T62" i="18"/>
  <c r="AB62" i="18" s="1"/>
  <c r="T70" i="18"/>
  <c r="AA70" i="18" s="1"/>
  <c r="D86" i="18"/>
  <c r="D90" i="18" s="1"/>
  <c r="D88" i="18"/>
  <c r="BB137" i="18"/>
  <c r="BF137" i="18" s="1"/>
  <c r="K62" i="18"/>
  <c r="Q62" i="18" s="1"/>
  <c r="AD142" i="18"/>
  <c r="AC8" i="18"/>
  <c r="AD8" i="18"/>
  <c r="BC149" i="18"/>
  <c r="AH131" i="18"/>
  <c r="AH75" i="18"/>
  <c r="AV74" i="18"/>
  <c r="BH19" i="18"/>
  <c r="AH112" i="18"/>
  <c r="AV111" i="18"/>
  <c r="BA118" i="18"/>
  <c r="AZ140" i="18"/>
  <c r="BF140" i="18" s="1"/>
  <c r="AD102" i="18"/>
  <c r="O122" i="18"/>
  <c r="AF101" i="18"/>
  <c r="AF100" i="18"/>
  <c r="AZ124" i="18"/>
  <c r="AF185" i="18"/>
  <c r="Z184" i="18"/>
  <c r="AA184" i="18" s="1"/>
  <c r="Z185" i="18"/>
  <c r="AA185" i="18" s="1"/>
  <c r="AA183" i="18"/>
  <c r="Q137" i="18"/>
  <c r="AF184" i="18"/>
  <c r="Q140" i="18"/>
  <c r="L135" i="18"/>
  <c r="L138" i="18"/>
  <c r="AA161" i="18"/>
  <c r="AD162" i="18"/>
  <c r="AD161" i="18" s="1"/>
  <c r="AD120" i="18"/>
  <c r="AV120" i="18"/>
  <c r="AB134" i="18"/>
  <c r="V76" i="18"/>
  <c r="AO109" i="18"/>
  <c r="M101" i="18"/>
  <c r="M119" i="18"/>
  <c r="AZ99" i="18"/>
  <c r="BB121" i="18"/>
  <c r="AC27" i="18"/>
  <c r="AC26" i="18"/>
  <c r="AC10" i="18"/>
  <c r="AC15" i="18"/>
  <c r="AC24" i="18"/>
  <c r="AD7" i="18"/>
  <c r="AC7" i="18"/>
  <c r="AC13" i="18"/>
  <c r="AC12" i="18"/>
  <c r="AC22" i="18"/>
  <c r="X126" i="18"/>
  <c r="X122" i="18"/>
  <c r="X113" i="18"/>
  <c r="X138" i="18"/>
  <c r="X97" i="18"/>
  <c r="BA75" i="18"/>
  <c r="AR115" i="18"/>
  <c r="U9" i="18"/>
  <c r="U7" i="18"/>
  <c r="O101" i="18"/>
  <c r="AZ121" i="18"/>
  <c r="C66" i="18"/>
  <c r="C9" i="18"/>
  <c r="C70" i="18" s="1"/>
  <c r="C7" i="18"/>
  <c r="F64" i="18"/>
  <c r="F76" i="18"/>
  <c r="R158" i="18"/>
  <c r="AA81" i="18"/>
  <c r="AL227" i="18"/>
  <c r="Z72" i="18"/>
  <c r="Z71" i="18"/>
  <c r="L88" i="18"/>
  <c r="L86" i="18"/>
  <c r="P152" i="18"/>
  <c r="R152" i="18" s="1"/>
  <c r="N97" i="18"/>
  <c r="M71" i="18"/>
  <c r="M72" i="18"/>
  <c r="BA112" i="18"/>
  <c r="AH137" i="18"/>
  <c r="BA103" i="18"/>
  <c r="BA99" i="18"/>
  <c r="AR121" i="18"/>
  <c r="AO131" i="18"/>
  <c r="V67" i="18"/>
  <c r="V68" i="18"/>
  <c r="V86" i="18"/>
  <c r="V88" i="18"/>
  <c r="S100" i="18"/>
  <c r="AA99" i="18"/>
  <c r="S101" i="18"/>
  <c r="N64" i="18"/>
  <c r="N76" i="18"/>
  <c r="AC49" i="18"/>
  <c r="AC11" i="18"/>
  <c r="AF154" i="18"/>
  <c r="AF155" i="18"/>
  <c r="AF70" i="18"/>
  <c r="BL9" i="18"/>
  <c r="AF73" i="18"/>
  <c r="AF62" i="18"/>
  <c r="T151" i="18"/>
  <c r="AB151" i="18" s="1"/>
  <c r="T92" i="18"/>
  <c r="AB92" i="18" s="1"/>
  <c r="T61" i="18"/>
  <c r="AB61" i="18" s="1"/>
  <c r="T63" i="18"/>
  <c r="T96" i="18"/>
  <c r="T80" i="18"/>
  <c r="T60" i="18"/>
  <c r="AB60" i="18" s="1"/>
  <c r="BH23" i="18"/>
  <c r="K155" i="18"/>
  <c r="X72" i="18"/>
  <c r="BC93" i="18" l="1"/>
  <c r="BD93" i="18"/>
  <c r="M85" i="19"/>
  <c r="M66" i="19"/>
  <c r="M72" i="19"/>
  <c r="M88" i="19"/>
  <c r="M91" i="19"/>
  <c r="M94" i="19"/>
  <c r="M97" i="19"/>
  <c r="M82" i="19"/>
  <c r="M100" i="19"/>
  <c r="M103" i="19"/>
  <c r="M69" i="19"/>
  <c r="M75" i="19"/>
  <c r="M62" i="19"/>
  <c r="M79" i="19"/>
  <c r="M63" i="19"/>
  <c r="M154" i="19"/>
  <c r="M104" i="19"/>
  <c r="M105" i="19"/>
  <c r="M57" i="19"/>
  <c r="G113" i="19"/>
  <c r="S75" i="19"/>
  <c r="M8" i="19"/>
  <c r="M9" i="19" s="1"/>
  <c r="S82" i="19"/>
  <c r="AN139" i="19"/>
  <c r="BE161" i="18"/>
  <c r="BB80" i="18"/>
  <c r="BB91" i="18" s="1"/>
  <c r="BB96" i="18"/>
  <c r="BB113" i="18" s="1"/>
  <c r="BB165" i="18"/>
  <c r="BB92" i="18"/>
  <c r="BB63" i="18"/>
  <c r="BB68" i="18" s="1"/>
  <c r="BB151" i="18"/>
  <c r="AS9" i="19"/>
  <c r="BB155" i="18"/>
  <c r="AI7" i="18"/>
  <c r="AJ28" i="18" s="1"/>
  <c r="BB154" i="18"/>
  <c r="BB61" i="18"/>
  <c r="BB67" i="18"/>
  <c r="AH39" i="18"/>
  <c r="BA93" i="18"/>
  <c r="K6" i="61"/>
  <c r="J5" i="61"/>
  <c r="K5" i="61" s="1"/>
  <c r="K23" i="61"/>
  <c r="H22" i="61"/>
  <c r="G21" i="61"/>
  <c r="G57" i="61"/>
  <c r="G52" i="61"/>
  <c r="G49" i="61"/>
  <c r="G50" i="61" s="1"/>
  <c r="S10" i="20"/>
  <c r="Q104" i="19"/>
  <c r="U145" i="19"/>
  <c r="M106" i="19"/>
  <c r="H113" i="19"/>
  <c r="L110" i="19"/>
  <c r="AA54" i="19"/>
  <c r="AB54" i="19" s="1"/>
  <c r="Q154" i="19"/>
  <c r="AB16" i="19"/>
  <c r="AE24" i="19" s="1"/>
  <c r="AA56" i="19"/>
  <c r="AB56" i="19" s="1"/>
  <c r="AA58" i="19"/>
  <c r="AB58" i="19" s="1"/>
  <c r="Q8" i="19"/>
  <c r="Q152" i="19" s="1"/>
  <c r="AA61" i="19"/>
  <c r="AA75" i="19" s="1"/>
  <c r="Q63" i="19"/>
  <c r="Q57" i="19"/>
  <c r="Q126" i="19"/>
  <c r="Q129" i="19"/>
  <c r="AR9" i="19"/>
  <c r="T54" i="19"/>
  <c r="AO93" i="18"/>
  <c r="AC9" i="18"/>
  <c r="BB104" i="18"/>
  <c r="BB138" i="18"/>
  <c r="Q61" i="18"/>
  <c r="AA62" i="18"/>
  <c r="AK7" i="18"/>
  <c r="AW143" i="18"/>
  <c r="Q113" i="19"/>
  <c r="AB122" i="19"/>
  <c r="U122" i="19"/>
  <c r="J145" i="19"/>
  <c r="AK145" i="19"/>
  <c r="Z9" i="19"/>
  <c r="AB125" i="19"/>
  <c r="I123" i="19"/>
  <c r="U74" i="19"/>
  <c r="AB81" i="19"/>
  <c r="AV161" i="18"/>
  <c r="AM200" i="18"/>
  <c r="AB67" i="18"/>
  <c r="AW121" i="18"/>
  <c r="AM199" i="18"/>
  <c r="R13" i="20"/>
  <c r="D67" i="24"/>
  <c r="T8" i="20"/>
  <c r="S8" i="20"/>
  <c r="K8" i="20"/>
  <c r="K10" i="20"/>
  <c r="D118" i="19"/>
  <c r="D119" i="19"/>
  <c r="O100" i="19"/>
  <c r="O94" i="19"/>
  <c r="O91" i="19"/>
  <c r="O72" i="19"/>
  <c r="O63" i="19"/>
  <c r="O62" i="19"/>
  <c r="Q62" i="19"/>
  <c r="O66" i="19"/>
  <c r="T66" i="19" s="1"/>
  <c r="O79" i="19"/>
  <c r="O85" i="19"/>
  <c r="O103" i="19"/>
  <c r="O88" i="19"/>
  <c r="O69" i="19"/>
  <c r="O82" i="19"/>
  <c r="O97" i="19"/>
  <c r="Y72" i="19"/>
  <c r="Y112" i="19"/>
  <c r="O75" i="19"/>
  <c r="I61" i="19"/>
  <c r="I56" i="19"/>
  <c r="I58" i="19"/>
  <c r="AB90" i="19"/>
  <c r="Y69" i="19"/>
  <c r="Y62" i="19"/>
  <c r="Y91" i="19"/>
  <c r="Y82" i="19"/>
  <c r="Y97" i="19"/>
  <c r="Y79" i="19"/>
  <c r="Y94" i="19"/>
  <c r="Y85" i="19"/>
  <c r="Y88" i="19"/>
  <c r="W16" i="19"/>
  <c r="T58" i="19"/>
  <c r="AB87" i="19"/>
  <c r="J109" i="19"/>
  <c r="AB71" i="19"/>
  <c r="L152" i="19"/>
  <c r="L138" i="19"/>
  <c r="L149" i="19"/>
  <c r="L9" i="19"/>
  <c r="AB111" i="19"/>
  <c r="AA112" i="19"/>
  <c r="L106" i="19"/>
  <c r="L117" i="19"/>
  <c r="L107" i="19"/>
  <c r="AF53" i="19"/>
  <c r="AH52" i="19"/>
  <c r="F117" i="19"/>
  <c r="F107" i="19"/>
  <c r="F116" i="19"/>
  <c r="I54" i="19"/>
  <c r="W54" i="19" s="1"/>
  <c r="O112" i="19"/>
  <c r="Q117" i="19"/>
  <c r="Q116" i="19"/>
  <c r="T61" i="19"/>
  <c r="AB102" i="19"/>
  <c r="S108" i="19"/>
  <c r="S120" i="19"/>
  <c r="S10" i="19"/>
  <c r="T11" i="19"/>
  <c r="T59" i="19"/>
  <c r="W64" i="19"/>
  <c r="S112" i="19"/>
  <c r="Y100" i="19"/>
  <c r="H149" i="19"/>
  <c r="H138" i="19"/>
  <c r="H146" i="19"/>
  <c r="H154" i="19"/>
  <c r="H9" i="19"/>
  <c r="H152" i="19"/>
  <c r="W73" i="19"/>
  <c r="Y66" i="19"/>
  <c r="AB65" i="19"/>
  <c r="G152" i="19"/>
  <c r="G138" i="19"/>
  <c r="G154" i="19"/>
  <c r="G9" i="19"/>
  <c r="G149" i="19"/>
  <c r="AH51" i="19"/>
  <c r="AH55" i="19"/>
  <c r="AI50" i="19"/>
  <c r="AJ50" i="19" s="1"/>
  <c r="E100" i="19"/>
  <c r="E72" i="19"/>
  <c r="E62" i="19"/>
  <c r="E63" i="19"/>
  <c r="E97" i="19"/>
  <c r="E79" i="19"/>
  <c r="E94" i="19"/>
  <c r="E91" i="19"/>
  <c r="E82" i="19"/>
  <c r="E66" i="19"/>
  <c r="E88" i="19"/>
  <c r="E69" i="19"/>
  <c r="E103" i="19"/>
  <c r="F62" i="19"/>
  <c r="E85" i="19"/>
  <c r="AH155" i="19"/>
  <c r="AI48" i="19"/>
  <c r="AJ48" i="19" s="1"/>
  <c r="AH49" i="19"/>
  <c r="H117" i="19"/>
  <c r="H107" i="19"/>
  <c r="H106" i="19"/>
  <c r="H116" i="19"/>
  <c r="Y75" i="19"/>
  <c r="Y120" i="19"/>
  <c r="Y108" i="19"/>
  <c r="Y10" i="19"/>
  <c r="Y63" i="19" s="1"/>
  <c r="G146" i="19"/>
  <c r="E104" i="19"/>
  <c r="J104" i="19" s="1"/>
  <c r="E105" i="19"/>
  <c r="F106" i="19" s="1"/>
  <c r="E8" i="19"/>
  <c r="F9" i="19" s="1"/>
  <c r="E57" i="19"/>
  <c r="I10" i="19"/>
  <c r="K16" i="19" s="1"/>
  <c r="F152" i="19"/>
  <c r="F138" i="19"/>
  <c r="F149" i="19"/>
  <c r="F154" i="19"/>
  <c r="F146" i="19"/>
  <c r="AQ9" i="19"/>
  <c r="AF130" i="19"/>
  <c r="AH130" i="19" s="1"/>
  <c r="AI130" i="19" s="1"/>
  <c r="AB130" i="19"/>
  <c r="AB99" i="19"/>
  <c r="O154" i="19"/>
  <c r="O104" i="19"/>
  <c r="O105" i="19"/>
  <c r="O113" i="19" s="1"/>
  <c r="O57" i="19"/>
  <c r="L113" i="19"/>
  <c r="F113" i="19"/>
  <c r="W139" i="19"/>
  <c r="I126" i="19"/>
  <c r="T56" i="19"/>
  <c r="G107" i="19"/>
  <c r="G117" i="19"/>
  <c r="G106" i="19"/>
  <c r="G116" i="19"/>
  <c r="S88" i="19"/>
  <c r="S79" i="19"/>
  <c r="S69" i="19"/>
  <c r="S62" i="19"/>
  <c r="S100" i="19"/>
  <c r="T100" i="19" s="1"/>
  <c r="S72" i="19"/>
  <c r="S103" i="19"/>
  <c r="S91" i="19"/>
  <c r="T91" i="19" s="1"/>
  <c r="S85" i="19"/>
  <c r="S97" i="19"/>
  <c r="S94" i="19"/>
  <c r="AA120" i="19"/>
  <c r="AA108" i="19"/>
  <c r="AB11" i="19"/>
  <c r="AB74" i="19"/>
  <c r="E75" i="19"/>
  <c r="E112" i="19"/>
  <c r="J112" i="19" s="1"/>
  <c r="I111" i="19"/>
  <c r="Q67" i="18"/>
  <c r="AB93" i="18"/>
  <c r="AA160" i="18"/>
  <c r="AW140" i="18"/>
  <c r="BF106" i="18"/>
  <c r="AW75" i="18"/>
  <c r="T150" i="18"/>
  <c r="T141" i="18"/>
  <c r="T116" i="18"/>
  <c r="T104" i="18"/>
  <c r="T97" i="18"/>
  <c r="T126" i="18"/>
  <c r="AA126" i="18" s="1"/>
  <c r="T110" i="18"/>
  <c r="T107" i="18"/>
  <c r="T138" i="18"/>
  <c r="T122" i="18"/>
  <c r="T135" i="18"/>
  <c r="T144" i="18"/>
  <c r="T132" i="18"/>
  <c r="T147" i="18"/>
  <c r="T113" i="18"/>
  <c r="T125" i="18"/>
  <c r="T119" i="18"/>
  <c r="T101" i="18"/>
  <c r="P63" i="18"/>
  <c r="P76" i="18" s="1"/>
  <c r="K64" i="18"/>
  <c r="K76" i="18"/>
  <c r="BE99" i="18"/>
  <c r="AH176" i="18"/>
  <c r="BR58" i="18"/>
  <c r="AH59" i="18"/>
  <c r="AO51" i="18"/>
  <c r="AO185" i="18" s="1"/>
  <c r="AH185" i="18"/>
  <c r="AG88" i="18"/>
  <c r="AG86" i="18"/>
  <c r="AE88" i="18"/>
  <c r="AE86" i="18"/>
  <c r="AA96" i="18"/>
  <c r="AA101" i="18" s="1"/>
  <c r="M127" i="18"/>
  <c r="M128" i="18"/>
  <c r="H88" i="18"/>
  <c r="H86" i="18"/>
  <c r="J80" i="18"/>
  <c r="H91" i="18"/>
  <c r="H89" i="18"/>
  <c r="X94" i="18"/>
  <c r="X90" i="18"/>
  <c r="AH100" i="18"/>
  <c r="C96" i="18"/>
  <c r="C126" i="18" s="1"/>
  <c r="C80" i="18"/>
  <c r="C63" i="18"/>
  <c r="D64" i="18" s="1"/>
  <c r="D151" i="18"/>
  <c r="J151" i="18" s="1"/>
  <c r="V90" i="18"/>
  <c r="AO151" i="18"/>
  <c r="AO96" i="18"/>
  <c r="AO80" i="18"/>
  <c r="AO92" i="18"/>
  <c r="AO61" i="18"/>
  <c r="AO47" i="18"/>
  <c r="AO63" i="18"/>
  <c r="AO45" i="18"/>
  <c r="AH175" i="18"/>
  <c r="AV175" i="18" s="1"/>
  <c r="AH184" i="18"/>
  <c r="BB93" i="18"/>
  <c r="M166" i="18"/>
  <c r="M161" i="18"/>
  <c r="M160" i="18" s="1"/>
  <c r="AO154" i="18"/>
  <c r="AO155" i="18"/>
  <c r="AO62" i="18"/>
  <c r="AO70" i="18"/>
  <c r="Q155" i="18"/>
  <c r="BE160" i="18"/>
  <c r="AZ188" i="18"/>
  <c r="AH67" i="18"/>
  <c r="AY139" i="18"/>
  <c r="BE139" i="18" s="1"/>
  <c r="AO184" i="18"/>
  <c r="AV183" i="18"/>
  <c r="AW115" i="18"/>
  <c r="BB101" i="18"/>
  <c r="BB100" i="18"/>
  <c r="AW118" i="18"/>
  <c r="AV173" i="18"/>
  <c r="K72" i="18"/>
  <c r="P80" i="18"/>
  <c r="R81" i="18" s="1"/>
  <c r="R25" i="18"/>
  <c r="R20" i="18"/>
  <c r="R11" i="18"/>
  <c r="R24" i="18"/>
  <c r="R7" i="18"/>
  <c r="R17" i="18"/>
  <c r="R26" i="18"/>
  <c r="R28" i="18"/>
  <c r="R21" i="18"/>
  <c r="R23" i="18"/>
  <c r="R15" i="18"/>
  <c r="R27" i="18"/>
  <c r="R10" i="18"/>
  <c r="R22" i="18"/>
  <c r="R13" i="18"/>
  <c r="R18" i="18"/>
  <c r="R14" i="18"/>
  <c r="R16" i="18"/>
  <c r="R19" i="18"/>
  <c r="R12" i="18"/>
  <c r="N167" i="18"/>
  <c r="O168" i="18"/>
  <c r="O167" i="18" s="1"/>
  <c r="AW112" i="18"/>
  <c r="BF118" i="18"/>
  <c r="AY117" i="18"/>
  <c r="BE117" i="18" s="1"/>
  <c r="R8" i="18"/>
  <c r="BB62" i="18"/>
  <c r="AO67" i="18"/>
  <c r="AY111" i="18"/>
  <c r="BE111" i="18" s="1"/>
  <c r="BF115" i="18"/>
  <c r="T64" i="18"/>
  <c r="T76" i="18"/>
  <c r="Z94" i="18"/>
  <c r="Z90" i="18"/>
  <c r="L90" i="18"/>
  <c r="BC155" i="18"/>
  <c r="BC62" i="18"/>
  <c r="BC154" i="18"/>
  <c r="BC70" i="18"/>
  <c r="N72" i="18"/>
  <c r="N71" i="18"/>
  <c r="Q71" i="18" s="1"/>
  <c r="AH151" i="18"/>
  <c r="AH204" i="18"/>
  <c r="AH47" i="18"/>
  <c r="AM47" i="18" s="1"/>
  <c r="AH46" i="18"/>
  <c r="AH60" i="18"/>
  <c r="AH96" i="18"/>
  <c r="AH80" i="18"/>
  <c r="AH89" i="18" s="1"/>
  <c r="AH63" i="18"/>
  <c r="AH48" i="18"/>
  <c r="AH61" i="18"/>
  <c r="AH92" i="18"/>
  <c r="AH65" i="18"/>
  <c r="BM7" i="18"/>
  <c r="BN7" i="18" s="1"/>
  <c r="BO7" i="18" s="1"/>
  <c r="AL7" i="18"/>
  <c r="AM8" i="18" s="1"/>
  <c r="AN7" i="18"/>
  <c r="O128" i="18"/>
  <c r="O127" i="18"/>
  <c r="P154" i="18"/>
  <c r="R154" i="18" s="1"/>
  <c r="Z127" i="18"/>
  <c r="Z128" i="18"/>
  <c r="K68" i="18"/>
  <c r="AR188" i="18"/>
  <c r="AV160" i="18"/>
  <c r="AD81" i="18"/>
  <c r="BF75" i="18"/>
  <c r="AF119" i="18"/>
  <c r="AF141" i="18"/>
  <c r="AF126" i="18"/>
  <c r="AF107" i="18"/>
  <c r="AF144" i="18"/>
  <c r="AF125" i="18"/>
  <c r="AF135" i="18"/>
  <c r="AF97" i="18"/>
  <c r="AF116" i="18"/>
  <c r="AF132" i="18"/>
  <c r="AF147" i="18"/>
  <c r="AF138" i="18"/>
  <c r="AF122" i="18"/>
  <c r="AF110" i="18"/>
  <c r="AF113" i="18"/>
  <c r="AF104" i="18"/>
  <c r="AF150" i="18"/>
  <c r="V97" i="18"/>
  <c r="BB126" i="18"/>
  <c r="BB135" i="18"/>
  <c r="BB132" i="18"/>
  <c r="BB141" i="18"/>
  <c r="BB107" i="18"/>
  <c r="BB110" i="18"/>
  <c r="BB116" i="18"/>
  <c r="BB147" i="18"/>
  <c r="BB144" i="18"/>
  <c r="BF124" i="18"/>
  <c r="T72" i="18"/>
  <c r="T71" i="18"/>
  <c r="BA80" i="18"/>
  <c r="BA96" i="18"/>
  <c r="BA45" i="18"/>
  <c r="BA63" i="18"/>
  <c r="BA68" i="18" s="1"/>
  <c r="BA165" i="18"/>
  <c r="N128" i="18"/>
  <c r="N127" i="18"/>
  <c r="AL44" i="18"/>
  <c r="AH45" i="18"/>
  <c r="AV44" i="18"/>
  <c r="N90" i="18"/>
  <c r="N94" i="18"/>
  <c r="P70" i="18"/>
  <c r="K150" i="18"/>
  <c r="K132" i="18"/>
  <c r="K126" i="18"/>
  <c r="L127" i="18" s="1"/>
  <c r="K141" i="18"/>
  <c r="K104" i="18"/>
  <c r="P96" i="18"/>
  <c r="P101" i="18" s="1"/>
  <c r="K107" i="18"/>
  <c r="K125" i="18"/>
  <c r="K119" i="18"/>
  <c r="K97" i="18"/>
  <c r="Q97" i="18" s="1"/>
  <c r="K98" i="18"/>
  <c r="K138" i="18"/>
  <c r="K135" i="18"/>
  <c r="K110" i="18"/>
  <c r="K122" i="18"/>
  <c r="K101" i="18"/>
  <c r="K147" i="18"/>
  <c r="K113" i="18"/>
  <c r="K116" i="18"/>
  <c r="K144" i="18"/>
  <c r="BD155" i="18"/>
  <c r="BD62" i="18"/>
  <c r="BD154" i="18"/>
  <c r="BD70" i="18"/>
  <c r="AA63" i="18"/>
  <c r="AA76" i="18" s="1"/>
  <c r="AY142" i="18"/>
  <c r="BE142" i="18" s="1"/>
  <c r="V128" i="18"/>
  <c r="Q93" i="18"/>
  <c r="O90" i="18"/>
  <c r="O94" i="18"/>
  <c r="BC67" i="18"/>
  <c r="AY162" i="18"/>
  <c r="AF76" i="18"/>
  <c r="AF64" i="18"/>
  <c r="BA154" i="18"/>
  <c r="BA70" i="18"/>
  <c r="BB71" i="18" s="1"/>
  <c r="AG205" i="18"/>
  <c r="AG204" i="18"/>
  <c r="AH154" i="18"/>
  <c r="AH155" i="18"/>
  <c r="AH62" i="18"/>
  <c r="AH70" i="18"/>
  <c r="BM9" i="18"/>
  <c r="BN9" i="18" s="1"/>
  <c r="BO9" i="18" s="1"/>
  <c r="AL9" i="18"/>
  <c r="AH73" i="18"/>
  <c r="AN9" i="18"/>
  <c r="V71" i="18"/>
  <c r="V72" i="18"/>
  <c r="X71" i="18"/>
  <c r="M90" i="18"/>
  <c r="M94" i="18"/>
  <c r="T68" i="18"/>
  <c r="AB68" i="18" s="1"/>
  <c r="V64" i="18"/>
  <c r="BH114" i="18"/>
  <c r="K86" i="18"/>
  <c r="Q86" i="18" s="1"/>
  <c r="K88" i="18"/>
  <c r="R88" i="18" s="1"/>
  <c r="K91" i="18"/>
  <c r="R91" i="18" s="1"/>
  <c r="BF134" i="18"/>
  <c r="L64" i="18"/>
  <c r="BD151" i="18"/>
  <c r="BD165" i="18"/>
  <c r="BD96" i="18"/>
  <c r="BD63" i="18"/>
  <c r="BD68" i="18" s="1"/>
  <c r="BD61" i="18"/>
  <c r="BD80" i="18"/>
  <c r="BD92" i="18"/>
  <c r="BD45" i="18"/>
  <c r="S128" i="18"/>
  <c r="S127" i="18"/>
  <c r="AO100" i="18"/>
  <c r="AH93" i="18"/>
  <c r="BB125" i="18"/>
  <c r="BA100" i="18"/>
  <c r="H64" i="18"/>
  <c r="H76" i="18"/>
  <c r="AF72" i="18"/>
  <c r="AF71" i="18"/>
  <c r="X127" i="18"/>
  <c r="X128" i="18"/>
  <c r="BF121" i="18"/>
  <c r="AY120" i="18"/>
  <c r="BE120" i="18" s="1"/>
  <c r="T88" i="18"/>
  <c r="T86" i="18"/>
  <c r="V94" i="18" s="1"/>
  <c r="T91" i="18"/>
  <c r="T89" i="18"/>
  <c r="AA80" i="18"/>
  <c r="AD80" i="18" s="1"/>
  <c r="AB100" i="18"/>
  <c r="AY85" i="18"/>
  <c r="BC151" i="18"/>
  <c r="BC96" i="18"/>
  <c r="BC165" i="18"/>
  <c r="BC80" i="18"/>
  <c r="BC92" i="18"/>
  <c r="BC63" i="18"/>
  <c r="BC68" i="18" s="1"/>
  <c r="BC61" i="18"/>
  <c r="BC45" i="18"/>
  <c r="BF95" i="18"/>
  <c r="AK9" i="18"/>
  <c r="BF112" i="18"/>
  <c r="AF88" i="18"/>
  <c r="AF86" i="18"/>
  <c r="AF89" i="18"/>
  <c r="AF91" i="18"/>
  <c r="Q92" i="18"/>
  <c r="AW159" i="18"/>
  <c r="BD67" i="18"/>
  <c r="BB119" i="18"/>
  <c r="BH162" i="18"/>
  <c r="L128" i="18"/>
  <c r="K89" i="18"/>
  <c r="R89" i="18" s="1"/>
  <c r="AJ19" i="18"/>
  <c r="AJ25" i="18" l="1"/>
  <c r="BB86" i="18"/>
  <c r="AJ10" i="18"/>
  <c r="BB88" i="18"/>
  <c r="BB89" i="18"/>
  <c r="AJ17" i="18"/>
  <c r="AJ18" i="18"/>
  <c r="AJ21" i="18"/>
  <c r="AJ20" i="18"/>
  <c r="AJ7" i="18"/>
  <c r="AJ12" i="18"/>
  <c r="AJ23" i="18"/>
  <c r="AJ22" i="18"/>
  <c r="AJ15" i="18"/>
  <c r="AJ14" i="18"/>
  <c r="O9" i="19"/>
  <c r="M149" i="19"/>
  <c r="M146" i="19"/>
  <c r="M138" i="19"/>
  <c r="P9" i="19"/>
  <c r="M152" i="19"/>
  <c r="T82" i="19"/>
  <c r="M113" i="19"/>
  <c r="M110" i="19"/>
  <c r="M117" i="19"/>
  <c r="M119" i="19" s="1"/>
  <c r="M107" i="19"/>
  <c r="M116" i="19"/>
  <c r="AJ8" i="18"/>
  <c r="AJ26" i="18"/>
  <c r="T88" i="19"/>
  <c r="T75" i="19"/>
  <c r="BB122" i="18"/>
  <c r="AJ9" i="18"/>
  <c r="AJ16" i="18"/>
  <c r="BB150" i="18"/>
  <c r="BB72" i="18"/>
  <c r="BB76" i="18"/>
  <c r="AJ24" i="18"/>
  <c r="AJ13" i="18"/>
  <c r="AJ27" i="18"/>
  <c r="AA97" i="19"/>
  <c r="AB97" i="19" s="1"/>
  <c r="AJ11" i="18"/>
  <c r="AA63" i="19"/>
  <c r="AA103" i="19"/>
  <c r="AB103" i="19" s="1"/>
  <c r="AA72" i="19"/>
  <c r="AB72" i="19" s="1"/>
  <c r="AA91" i="19"/>
  <c r="AB75" i="19"/>
  <c r="AA85" i="19"/>
  <c r="AB85" i="19" s="1"/>
  <c r="AA94" i="19"/>
  <c r="AB94" i="19" s="1"/>
  <c r="Q107" i="19"/>
  <c r="Q149" i="19"/>
  <c r="Q138" i="19"/>
  <c r="AE25" i="19"/>
  <c r="H57" i="61"/>
  <c r="H53" i="61"/>
  <c r="K22" i="61"/>
  <c r="H21" i="61"/>
  <c r="H49" i="61"/>
  <c r="H50" i="61" s="1"/>
  <c r="H52" i="61"/>
  <c r="AA100" i="19"/>
  <c r="AB100" i="19" s="1"/>
  <c r="AE26" i="19"/>
  <c r="AB61" i="19"/>
  <c r="AA88" i="19"/>
  <c r="AB88" i="19" s="1"/>
  <c r="AA69" i="19"/>
  <c r="AB69" i="19" s="1"/>
  <c r="AA62" i="19"/>
  <c r="AB62" i="19" s="1"/>
  <c r="AA82" i="19"/>
  <c r="AB82" i="19" s="1"/>
  <c r="AA79" i="19"/>
  <c r="AB79" i="19" s="1"/>
  <c r="AA66" i="19"/>
  <c r="AB66" i="19" s="1"/>
  <c r="Q146" i="19"/>
  <c r="AE17" i="19"/>
  <c r="AE27" i="19"/>
  <c r="AE22" i="19"/>
  <c r="AE16" i="19"/>
  <c r="T85" i="19"/>
  <c r="U112" i="19"/>
  <c r="AE23" i="19"/>
  <c r="AE28" i="19"/>
  <c r="AE29" i="19"/>
  <c r="AE19" i="19"/>
  <c r="AE21" i="19"/>
  <c r="AE18" i="19"/>
  <c r="AE20" i="19"/>
  <c r="AM44" i="18"/>
  <c r="BB64" i="18"/>
  <c r="AH101" i="18"/>
  <c r="AM227" i="18"/>
  <c r="W56" i="19"/>
  <c r="T69" i="19"/>
  <c r="AB112" i="19"/>
  <c r="T72" i="19"/>
  <c r="T94" i="19"/>
  <c r="U62" i="19"/>
  <c r="R99" i="18"/>
  <c r="AV184" i="18"/>
  <c r="AB64" i="18"/>
  <c r="AN50" i="19"/>
  <c r="AB120" i="19"/>
  <c r="AA123" i="19"/>
  <c r="AA129" i="19"/>
  <c r="AA126" i="19"/>
  <c r="W61" i="19"/>
  <c r="V61" i="19"/>
  <c r="V70" i="19"/>
  <c r="V95" i="19"/>
  <c r="V92" i="19"/>
  <c r="V86" i="19"/>
  <c r="V101" i="19"/>
  <c r="V89" i="19"/>
  <c r="V83" i="19"/>
  <c r="V98" i="19"/>
  <c r="V67" i="19"/>
  <c r="AI155" i="19"/>
  <c r="AI49" i="19"/>
  <c r="T103" i="19"/>
  <c r="E117" i="19"/>
  <c r="E107" i="19"/>
  <c r="K107" i="19" s="1"/>
  <c r="E106" i="19"/>
  <c r="J106" i="19" s="1"/>
  <c r="E116" i="19"/>
  <c r="E110" i="19"/>
  <c r="I110" i="19" s="1"/>
  <c r="I105" i="19"/>
  <c r="AI52" i="19"/>
  <c r="AJ52" i="19" s="1"/>
  <c r="AH53" i="19"/>
  <c r="S109" i="19"/>
  <c r="U109" i="19" s="1"/>
  <c r="T108" i="19"/>
  <c r="V73" i="19"/>
  <c r="V64" i="19"/>
  <c r="Q106" i="19"/>
  <c r="F119" i="19"/>
  <c r="F118" i="19"/>
  <c r="L119" i="19"/>
  <c r="L118" i="19"/>
  <c r="O138" i="19"/>
  <c r="O149" i="19"/>
  <c r="O152" i="19"/>
  <c r="O146" i="19"/>
  <c r="AN48" i="19"/>
  <c r="S126" i="19"/>
  <c r="T126" i="19" s="1"/>
  <c r="S129" i="19"/>
  <c r="T129" i="19" s="1"/>
  <c r="S123" i="19"/>
  <c r="T123" i="19" s="1"/>
  <c r="T120" i="19"/>
  <c r="G118" i="19"/>
  <c r="G119" i="19"/>
  <c r="AB91" i="19"/>
  <c r="K30" i="19"/>
  <c r="K14" i="19"/>
  <c r="K26" i="19"/>
  <c r="K19" i="19"/>
  <c r="K23" i="19"/>
  <c r="K27" i="19"/>
  <c r="K22" i="19"/>
  <c r="K10" i="19"/>
  <c r="I8" i="19"/>
  <c r="K17" i="19"/>
  <c r="K25" i="19"/>
  <c r="K28" i="19"/>
  <c r="K24" i="19"/>
  <c r="K150" i="19"/>
  <c r="K21" i="19"/>
  <c r="K29" i="19"/>
  <c r="I57" i="19"/>
  <c r="K12" i="19"/>
  <c r="K18" i="19"/>
  <c r="K13" i="19"/>
  <c r="K20" i="19"/>
  <c r="K11" i="19"/>
  <c r="K147" i="19"/>
  <c r="Y185" i="19"/>
  <c r="Y154" i="19"/>
  <c r="Y104" i="19"/>
  <c r="Y105" i="19"/>
  <c r="Y110" i="19" s="1"/>
  <c r="Y8" i="19"/>
  <c r="Y57" i="19"/>
  <c r="Q119" i="19"/>
  <c r="T79" i="19"/>
  <c r="E113" i="19"/>
  <c r="Y109" i="19"/>
  <c r="AI55" i="19"/>
  <c r="AI51" i="19"/>
  <c r="AJ51" i="19" s="1"/>
  <c r="W59" i="19"/>
  <c r="AN59" i="19"/>
  <c r="AJ130" i="19"/>
  <c r="S185" i="19"/>
  <c r="S104" i="19"/>
  <c r="U104" i="19" s="1"/>
  <c r="S105" i="19"/>
  <c r="S110" i="19" s="1"/>
  <c r="S154" i="19"/>
  <c r="T154" i="19" s="1"/>
  <c r="S8" i="19"/>
  <c r="S57" i="19"/>
  <c r="T10" i="19"/>
  <c r="V11" i="19" s="1"/>
  <c r="Q9" i="19"/>
  <c r="K61" i="19"/>
  <c r="K63" i="19"/>
  <c r="I66" i="19"/>
  <c r="K101" i="19"/>
  <c r="K67" i="19"/>
  <c r="K92" i="19"/>
  <c r="I75" i="19"/>
  <c r="K77" i="19"/>
  <c r="I69" i="19"/>
  <c r="K73" i="19"/>
  <c r="K98" i="19"/>
  <c r="K89" i="19"/>
  <c r="K86" i="19"/>
  <c r="K83" i="19"/>
  <c r="I72" i="19"/>
  <c r="K95" i="19"/>
  <c r="K64" i="19"/>
  <c r="K70" i="19"/>
  <c r="K80" i="19"/>
  <c r="O107" i="19"/>
  <c r="O117" i="19"/>
  <c r="Q118" i="19" s="1"/>
  <c r="O106" i="19"/>
  <c r="O116" i="19"/>
  <c r="O110" i="19"/>
  <c r="J62" i="19"/>
  <c r="AA185" i="19"/>
  <c r="AA154" i="19"/>
  <c r="AA104" i="19"/>
  <c r="AA105" i="19"/>
  <c r="AB10" i="19"/>
  <c r="AA8" i="19"/>
  <c r="AA57" i="19"/>
  <c r="AB108" i="19"/>
  <c r="AA109" i="19"/>
  <c r="S63" i="19"/>
  <c r="E154" i="19"/>
  <c r="I154" i="19" s="1"/>
  <c r="E152" i="19"/>
  <c r="E149" i="19"/>
  <c r="E138" i="19"/>
  <c r="E9" i="19"/>
  <c r="J9" i="19" s="1"/>
  <c r="E146" i="19"/>
  <c r="Y129" i="19"/>
  <c r="Y123" i="19"/>
  <c r="Y126" i="19"/>
  <c r="H119" i="19"/>
  <c r="H118" i="19"/>
  <c r="T177" i="19"/>
  <c r="W11" i="19"/>
  <c r="W58" i="19"/>
  <c r="T97" i="19"/>
  <c r="L94" i="18"/>
  <c r="AO60" i="18"/>
  <c r="AB71" i="18"/>
  <c r="AA72" i="18"/>
  <c r="AB97" i="18"/>
  <c r="AH64" i="18"/>
  <c r="AH76" i="18"/>
  <c r="O166" i="18"/>
  <c r="O161" i="18"/>
  <c r="O160" i="18" s="1"/>
  <c r="AO126" i="18"/>
  <c r="AO97" i="18"/>
  <c r="AO110" i="18"/>
  <c r="AO116" i="18"/>
  <c r="AO141" i="18"/>
  <c r="AO138" i="18"/>
  <c r="AO132" i="18"/>
  <c r="AO135" i="18"/>
  <c r="AO119" i="18"/>
  <c r="AO104" i="18"/>
  <c r="AO147" i="18"/>
  <c r="AO144" i="18"/>
  <c r="AO125" i="18"/>
  <c r="AO113" i="18"/>
  <c r="AO101" i="18"/>
  <c r="AO107" i="18"/>
  <c r="AO150" i="18"/>
  <c r="AO122" i="18"/>
  <c r="AO88" i="18"/>
  <c r="AO86" i="18"/>
  <c r="AO89" i="18"/>
  <c r="AO91" i="18"/>
  <c r="BH120" i="18"/>
  <c r="AH86" i="18"/>
  <c r="AH88" i="18"/>
  <c r="AH91" i="18"/>
  <c r="N166" i="18"/>
  <c r="N161" i="18"/>
  <c r="N160" i="18" s="1"/>
  <c r="BH142" i="18"/>
  <c r="K127" i="18"/>
  <c r="Q127" i="18" s="1"/>
  <c r="K128" i="18"/>
  <c r="BA126" i="18"/>
  <c r="BB127" i="18" s="1"/>
  <c r="BA107" i="18"/>
  <c r="BA144" i="18"/>
  <c r="BA132" i="18"/>
  <c r="BA138" i="18"/>
  <c r="BA119" i="18"/>
  <c r="BA110" i="18"/>
  <c r="BA116" i="18"/>
  <c r="BA141" i="18"/>
  <c r="BA147" i="18"/>
  <c r="BA135" i="18"/>
  <c r="BA122" i="18"/>
  <c r="BA113" i="18"/>
  <c r="BA125" i="18"/>
  <c r="BA104" i="18"/>
  <c r="BA150" i="18"/>
  <c r="BD86" i="18"/>
  <c r="BD88" i="18"/>
  <c r="BD91" i="18"/>
  <c r="BD89" i="18"/>
  <c r="AX160" i="18"/>
  <c r="AX171" i="18"/>
  <c r="AX169" i="18"/>
  <c r="AX168" i="18"/>
  <c r="AX166" i="18"/>
  <c r="BD64" i="18"/>
  <c r="BD76" i="18"/>
  <c r="AH126" i="18"/>
  <c r="AH97" i="18"/>
  <c r="AH135" i="18"/>
  <c r="AH110" i="18"/>
  <c r="AH144" i="18"/>
  <c r="AH150" i="18"/>
  <c r="AH138" i="18"/>
  <c r="AH119" i="18"/>
  <c r="AH116" i="18"/>
  <c r="AH141" i="18"/>
  <c r="AH132" i="18"/>
  <c r="AH125" i="18"/>
  <c r="AH107" i="18"/>
  <c r="AH147" i="18"/>
  <c r="AH113" i="18"/>
  <c r="AH122" i="18"/>
  <c r="AH104" i="18"/>
  <c r="BC64" i="18"/>
  <c r="BC76" i="18"/>
  <c r="BD126" i="18"/>
  <c r="BD97" i="18"/>
  <c r="BD138" i="18"/>
  <c r="BD132" i="18"/>
  <c r="BD125" i="18"/>
  <c r="BD135" i="18"/>
  <c r="BD119" i="18"/>
  <c r="BD141" i="18"/>
  <c r="BD116" i="18"/>
  <c r="BD147" i="18"/>
  <c r="BD144" i="18"/>
  <c r="BD110" i="18"/>
  <c r="BD104" i="18"/>
  <c r="BD113" i="18"/>
  <c r="BD122" i="18"/>
  <c r="BD107" i="18"/>
  <c r="BD150" i="18"/>
  <c r="BD101" i="18"/>
  <c r="AM9" i="18"/>
  <c r="BB97" i="18"/>
  <c r="BG160" i="18"/>
  <c r="BG166" i="18"/>
  <c r="BG170" i="18"/>
  <c r="BG162" i="18"/>
  <c r="AO64" i="18"/>
  <c r="AO76" i="18"/>
  <c r="J64" i="18"/>
  <c r="AA116" i="18"/>
  <c r="AD96" i="18"/>
  <c r="AA98" i="18"/>
  <c r="AA107" i="18"/>
  <c r="AA122" i="18"/>
  <c r="AA125" i="18"/>
  <c r="AA144" i="18"/>
  <c r="AA104" i="18"/>
  <c r="AA135" i="18"/>
  <c r="AA141" i="18"/>
  <c r="AA110" i="18"/>
  <c r="AA147" i="18"/>
  <c r="AA119" i="18"/>
  <c r="AA150" i="18"/>
  <c r="AA138" i="18"/>
  <c r="AA132" i="18"/>
  <c r="AA113" i="18"/>
  <c r="T94" i="18"/>
  <c r="AB94" i="18" s="1"/>
  <c r="T90" i="18"/>
  <c r="AA86" i="18"/>
  <c r="BA101" i="18"/>
  <c r="K94" i="18"/>
  <c r="K90" i="18"/>
  <c r="R90" i="18" s="1"/>
  <c r="BD72" i="18"/>
  <c r="BD71" i="18"/>
  <c r="P72" i="18"/>
  <c r="BB128" i="18"/>
  <c r="BC71" i="18"/>
  <c r="BC72" i="18"/>
  <c r="BH117" i="18"/>
  <c r="C88" i="18"/>
  <c r="C86" i="18"/>
  <c r="C90" i="18" s="1"/>
  <c r="C91" i="18"/>
  <c r="C89" i="18"/>
  <c r="AO176" i="18"/>
  <c r="AO59" i="18"/>
  <c r="AQ51" i="18"/>
  <c r="AH68" i="18"/>
  <c r="BB90" i="18"/>
  <c r="BH111" i="18"/>
  <c r="AF90" i="18"/>
  <c r="AF94" i="18"/>
  <c r="BC126" i="18"/>
  <c r="BC107" i="18"/>
  <c r="BC97" i="18"/>
  <c r="BC132" i="18"/>
  <c r="BC147" i="18"/>
  <c r="BC141" i="18"/>
  <c r="BC122" i="18"/>
  <c r="BC138" i="18"/>
  <c r="BC104" i="18"/>
  <c r="BC144" i="18"/>
  <c r="BC116" i="18"/>
  <c r="BC119" i="18"/>
  <c r="BC110" i="18"/>
  <c r="BC135" i="18"/>
  <c r="BC150" i="18"/>
  <c r="BC125" i="18"/>
  <c r="BC113" i="18"/>
  <c r="BC101" i="18"/>
  <c r="AA128" i="18"/>
  <c r="BA86" i="18"/>
  <c r="BA88" i="18"/>
  <c r="BA89" i="18"/>
  <c r="BA91" i="18"/>
  <c r="AM19" i="18"/>
  <c r="AM12" i="18"/>
  <c r="AM7" i="18"/>
  <c r="AM20" i="18"/>
  <c r="AM23" i="18"/>
  <c r="AM17" i="18"/>
  <c r="AM22" i="18"/>
  <c r="AM21" i="18"/>
  <c r="AM27" i="18"/>
  <c r="AM18" i="18"/>
  <c r="AM11" i="18"/>
  <c r="AM26" i="18"/>
  <c r="AM25" i="18"/>
  <c r="AM16" i="18"/>
  <c r="AM13" i="18"/>
  <c r="AM14" i="18"/>
  <c r="AM28" i="18"/>
  <c r="AM24" i="18"/>
  <c r="AM15" i="18"/>
  <c r="AM10" i="18"/>
  <c r="P168" i="18"/>
  <c r="AH72" i="18"/>
  <c r="AH71" i="18"/>
  <c r="H90" i="18"/>
  <c r="J86" i="18"/>
  <c r="T128" i="18"/>
  <c r="T127" i="18"/>
  <c r="BC86" i="18"/>
  <c r="BC88" i="18"/>
  <c r="BC89" i="18"/>
  <c r="BC91" i="18"/>
  <c r="AX162" i="18"/>
  <c r="V127" i="18"/>
  <c r="P126" i="18"/>
  <c r="AD126" i="18" s="1"/>
  <c r="R96" i="18"/>
  <c r="P98" i="18"/>
  <c r="P144" i="18"/>
  <c r="P116" i="18"/>
  <c r="P135" i="18"/>
  <c r="P132" i="18"/>
  <c r="R114" i="18"/>
  <c r="R133" i="18"/>
  <c r="R139" i="18"/>
  <c r="P138" i="18"/>
  <c r="R108" i="18"/>
  <c r="R145" i="18"/>
  <c r="R136" i="18"/>
  <c r="P110" i="18"/>
  <c r="P147" i="18"/>
  <c r="P141" i="18"/>
  <c r="R142" i="18"/>
  <c r="R105" i="18"/>
  <c r="P113" i="18"/>
  <c r="P104" i="18"/>
  <c r="P107" i="18"/>
  <c r="P150" i="18"/>
  <c r="R102" i="18"/>
  <c r="P122" i="18"/>
  <c r="R123" i="18"/>
  <c r="R117" i="18"/>
  <c r="R148" i="18"/>
  <c r="R120" i="18"/>
  <c r="P119" i="18"/>
  <c r="P125" i="18"/>
  <c r="R111" i="18"/>
  <c r="AF128" i="18"/>
  <c r="AF127" i="18"/>
  <c r="AO68" i="18"/>
  <c r="R80" i="18"/>
  <c r="P86" i="18"/>
  <c r="R86" i="18" s="1"/>
  <c r="R87" i="18"/>
  <c r="R83" i="18"/>
  <c r="R85" i="18"/>
  <c r="R84" i="18"/>
  <c r="R82" i="18"/>
  <c r="Q68" i="18"/>
  <c r="BH139" i="18"/>
  <c r="AO71" i="18"/>
  <c r="AO72" i="18"/>
  <c r="Q64" i="18"/>
  <c r="M118" i="19" l="1"/>
  <c r="AB63" i="19"/>
  <c r="AD63" i="19" s="1"/>
  <c r="AB57" i="19"/>
  <c r="AD57" i="19" s="1"/>
  <c r="K21" i="61"/>
  <c r="K53" i="61"/>
  <c r="K57" i="61"/>
  <c r="AD75" i="19"/>
  <c r="AD36" i="19"/>
  <c r="AD102" i="19"/>
  <c r="Q94" i="18"/>
  <c r="AB109" i="19"/>
  <c r="AD109" i="19" s="1"/>
  <c r="AD61" i="19"/>
  <c r="AD82" i="19"/>
  <c r="AD90" i="19"/>
  <c r="AD74" i="19"/>
  <c r="AD99" i="19"/>
  <c r="AD87" i="19"/>
  <c r="AD66" i="19"/>
  <c r="AK51" i="19"/>
  <c r="AB127" i="18"/>
  <c r="AD72" i="19"/>
  <c r="AA183" i="19"/>
  <c r="AA152" i="19"/>
  <c r="AA138" i="19"/>
  <c r="AA9" i="19"/>
  <c r="AB8" i="19"/>
  <c r="AC62" i="19" s="1"/>
  <c r="AA149" i="19"/>
  <c r="AA146" i="19"/>
  <c r="S138" i="19"/>
  <c r="T138" i="19" s="1"/>
  <c r="S183" i="19"/>
  <c r="S9" i="19"/>
  <c r="U9" i="19" s="1"/>
  <c r="S149" i="19"/>
  <c r="T149" i="19" s="1"/>
  <c r="S146" i="19"/>
  <c r="T146" i="19" s="1"/>
  <c r="S152" i="19"/>
  <c r="T152" i="19" s="1"/>
  <c r="AD69" i="19"/>
  <c r="K105" i="19"/>
  <c r="I116" i="19"/>
  <c r="I113" i="19"/>
  <c r="AD85" i="19"/>
  <c r="AN51" i="19"/>
  <c r="AD133" i="19"/>
  <c r="AD115" i="19"/>
  <c r="AD59" i="19"/>
  <c r="AD22" i="19"/>
  <c r="AD46" i="19"/>
  <c r="AD43" i="19"/>
  <c r="AD76" i="19"/>
  <c r="AD10" i="19"/>
  <c r="AD41" i="19"/>
  <c r="AD30" i="19"/>
  <c r="AD45" i="19"/>
  <c r="AD60" i="19"/>
  <c r="AD67" i="19"/>
  <c r="AD68" i="19"/>
  <c r="AD42" i="19"/>
  <c r="AD137" i="19"/>
  <c r="AD135" i="19"/>
  <c r="AD17" i="19"/>
  <c r="AD12" i="19"/>
  <c r="AD44" i="19"/>
  <c r="AD136" i="19"/>
  <c r="AD134" i="19"/>
  <c r="AD132" i="19"/>
  <c r="AD18" i="19"/>
  <c r="AD26" i="19"/>
  <c r="AD131" i="19"/>
  <c r="AD47" i="19"/>
  <c r="AD98" i="19"/>
  <c r="AD20" i="19"/>
  <c r="AD24" i="19"/>
  <c r="AD13" i="19"/>
  <c r="AD29" i="19"/>
  <c r="AD50" i="19"/>
  <c r="AD35" i="19"/>
  <c r="AD21" i="19"/>
  <c r="AD28" i="19"/>
  <c r="AD23" i="19"/>
  <c r="AD27" i="19"/>
  <c r="AD95" i="19"/>
  <c r="AD93" i="19"/>
  <c r="AD32" i="19"/>
  <c r="AD25" i="19"/>
  <c r="AD92" i="19"/>
  <c r="AD31" i="19"/>
  <c r="AD121" i="19"/>
  <c r="AD83" i="19"/>
  <c r="AD77" i="19"/>
  <c r="AD14" i="19"/>
  <c r="AD48" i="19"/>
  <c r="AD19" i="19"/>
  <c r="AD33" i="19"/>
  <c r="AD139" i="19"/>
  <c r="AD78" i="19"/>
  <c r="AD51" i="19"/>
  <c r="AD64" i="19"/>
  <c r="AD80" i="19"/>
  <c r="AD16" i="19"/>
  <c r="AD73" i="19"/>
  <c r="AD54" i="19"/>
  <c r="AD128" i="19"/>
  <c r="AD70" i="19"/>
  <c r="AD124" i="19"/>
  <c r="AD84" i="19"/>
  <c r="AD127" i="19"/>
  <c r="AD101" i="19"/>
  <c r="AD125" i="19"/>
  <c r="AD89" i="19"/>
  <c r="AD52" i="19"/>
  <c r="AD53" i="19"/>
  <c r="AD86" i="19"/>
  <c r="AD81" i="19"/>
  <c r="AD15" i="19"/>
  <c r="AD96" i="19"/>
  <c r="AD49" i="19"/>
  <c r="AD122" i="19"/>
  <c r="AD114" i="19"/>
  <c r="AD55" i="19"/>
  <c r="AD56" i="19"/>
  <c r="O118" i="19"/>
  <c r="O119" i="19"/>
  <c r="AD100" i="19"/>
  <c r="AD91" i="19"/>
  <c r="AN52" i="19"/>
  <c r="AD97" i="19"/>
  <c r="V30" i="19"/>
  <c r="V35" i="19"/>
  <c r="V28" i="19"/>
  <c r="V24" i="19"/>
  <c r="T8" i="19"/>
  <c r="V19" i="19"/>
  <c r="V13" i="19"/>
  <c r="W10" i="19"/>
  <c r="V10" i="19"/>
  <c r="V26" i="19"/>
  <c r="V21" i="19"/>
  <c r="V18" i="19"/>
  <c r="V25" i="19"/>
  <c r="V22" i="19"/>
  <c r="V14" i="19"/>
  <c r="V23" i="19"/>
  <c r="V33" i="19"/>
  <c r="V29" i="19"/>
  <c r="V32" i="19"/>
  <c r="V150" i="19"/>
  <c r="V20" i="19"/>
  <c r="V17" i="19"/>
  <c r="V147" i="19"/>
  <c r="V12" i="19"/>
  <c r="V27" i="19"/>
  <c r="T57" i="19"/>
  <c r="W57" i="19" s="1"/>
  <c r="V16" i="19"/>
  <c r="AA110" i="19"/>
  <c r="AB110" i="19" s="1"/>
  <c r="AB104" i="19"/>
  <c r="AD79" i="19"/>
  <c r="AD88" i="19"/>
  <c r="I138" i="19"/>
  <c r="I152" i="19"/>
  <c r="I149" i="19"/>
  <c r="I146" i="19"/>
  <c r="K139" i="19"/>
  <c r="AD112" i="19"/>
  <c r="AI53" i="19"/>
  <c r="AK53" i="19" s="1"/>
  <c r="AB129" i="19"/>
  <c r="AD62" i="19"/>
  <c r="S117" i="19"/>
  <c r="T117" i="19" s="1"/>
  <c r="S107" i="19"/>
  <c r="V107" i="19" s="1"/>
  <c r="S106" i="19"/>
  <c r="U106" i="19" s="1"/>
  <c r="S116" i="19"/>
  <c r="S113" i="19"/>
  <c r="T113" i="19" s="1"/>
  <c r="AB126" i="19"/>
  <c r="AD71" i="19"/>
  <c r="AA186" i="19"/>
  <c r="AD58" i="19"/>
  <c r="AD103" i="19"/>
  <c r="AJ49" i="19"/>
  <c r="AJ155" i="19"/>
  <c r="V63" i="19"/>
  <c r="AB123" i="19"/>
  <c r="T105" i="19"/>
  <c r="T110" i="19"/>
  <c r="W110" i="19" s="1"/>
  <c r="Y117" i="19"/>
  <c r="Y107" i="19"/>
  <c r="Y106" i="19"/>
  <c r="Y116" i="19"/>
  <c r="Y113" i="19"/>
  <c r="AA117" i="19"/>
  <c r="AA107" i="19"/>
  <c r="AA106" i="19"/>
  <c r="AB105" i="19"/>
  <c r="AA116" i="19"/>
  <c r="AA113" i="19"/>
  <c r="AJ55" i="19"/>
  <c r="AD130" i="19"/>
  <c r="AD108" i="19"/>
  <c r="AD94" i="19"/>
  <c r="AN130" i="19"/>
  <c r="Y183" i="19"/>
  <c r="Y138" i="19"/>
  <c r="Y9" i="19"/>
  <c r="Y152" i="19"/>
  <c r="Y149" i="19"/>
  <c r="Y146" i="19"/>
  <c r="AD11" i="19"/>
  <c r="AD111" i="19"/>
  <c r="AD65" i="19"/>
  <c r="AK49" i="19"/>
  <c r="AO48" i="19" s="1"/>
  <c r="E118" i="19"/>
  <c r="J118" i="19" s="1"/>
  <c r="E119" i="19"/>
  <c r="I117" i="19"/>
  <c r="I119" i="19" s="1"/>
  <c r="AD120" i="19"/>
  <c r="AD86" i="18"/>
  <c r="BA90" i="18"/>
  <c r="BC94" i="18"/>
  <c r="BC90" i="18"/>
  <c r="BA128" i="18"/>
  <c r="AH94" i="18"/>
  <c r="AH90" i="18"/>
  <c r="AH127" i="18"/>
  <c r="AH128" i="18"/>
  <c r="AQ176" i="18"/>
  <c r="AQ59" i="18"/>
  <c r="AR51" i="18"/>
  <c r="AV51" i="18" s="1"/>
  <c r="AY51" i="18" s="1"/>
  <c r="AQ185" i="18"/>
  <c r="R126" i="18"/>
  <c r="P128" i="18"/>
  <c r="BB94" i="18"/>
  <c r="BD90" i="18"/>
  <c r="BD94" i="18"/>
  <c r="P167" i="18"/>
  <c r="BC128" i="18"/>
  <c r="BC127" i="18"/>
  <c r="AO128" i="18"/>
  <c r="AO127" i="18"/>
  <c r="AO90" i="18"/>
  <c r="AO94" i="18"/>
  <c r="BD127" i="18"/>
  <c r="BD128" i="18"/>
  <c r="AC103" i="19" l="1"/>
  <c r="AC72" i="19"/>
  <c r="AC36" i="19"/>
  <c r="AC79" i="19"/>
  <c r="AC88" i="19"/>
  <c r="AC108" i="19"/>
  <c r="AC57" i="19"/>
  <c r="T119" i="19"/>
  <c r="AB107" i="19"/>
  <c r="AD107" i="19" s="1"/>
  <c r="W138" i="19"/>
  <c r="V105" i="19"/>
  <c r="T116" i="19"/>
  <c r="AA184" i="19"/>
  <c r="AC174" i="19"/>
  <c r="AC179" i="19"/>
  <c r="AC151" i="19"/>
  <c r="AC146" i="19"/>
  <c r="AC163" i="19"/>
  <c r="AC162" i="19"/>
  <c r="AC161" i="19"/>
  <c r="AC160" i="19"/>
  <c r="AC158" i="19"/>
  <c r="AC150" i="19"/>
  <c r="AC175" i="19"/>
  <c r="AC177" i="19"/>
  <c r="AC173" i="19"/>
  <c r="AC170" i="19"/>
  <c r="AC166" i="19"/>
  <c r="AC152" i="19"/>
  <c r="AC149" i="19"/>
  <c r="AC145" i="19"/>
  <c r="AC171" i="19"/>
  <c r="AC167" i="19"/>
  <c r="AC159" i="19"/>
  <c r="AC155" i="19"/>
  <c r="AC168" i="19"/>
  <c r="AC165" i="19"/>
  <c r="AC154" i="19"/>
  <c r="AC148" i="19"/>
  <c r="AC172" i="19"/>
  <c r="AC169" i="19"/>
  <c r="AC133" i="19"/>
  <c r="AC178" i="19"/>
  <c r="AC157" i="19"/>
  <c r="AC164" i="19"/>
  <c r="AC153" i="19"/>
  <c r="AC176" i="19"/>
  <c r="AC156" i="19"/>
  <c r="AC147" i="19"/>
  <c r="AC115" i="19"/>
  <c r="AC76" i="19"/>
  <c r="AC135" i="19"/>
  <c r="AC22" i="19"/>
  <c r="AC9" i="19"/>
  <c r="AC46" i="19"/>
  <c r="AC45" i="19"/>
  <c r="AC8" i="19"/>
  <c r="AC59" i="19"/>
  <c r="AC136" i="19"/>
  <c r="AC44" i="19"/>
  <c r="AC12" i="19"/>
  <c r="AC41" i="19"/>
  <c r="AC134" i="19"/>
  <c r="AC26" i="19"/>
  <c r="AC67" i="19"/>
  <c r="AC68" i="19"/>
  <c r="AC47" i="19"/>
  <c r="AC132" i="19"/>
  <c r="AC17" i="19"/>
  <c r="AC60" i="19"/>
  <c r="AC43" i="19"/>
  <c r="AC131" i="19"/>
  <c r="AC18" i="19"/>
  <c r="AC30" i="19"/>
  <c r="AC42" i="19"/>
  <c r="AC137" i="19"/>
  <c r="AC92" i="19"/>
  <c r="AC25" i="19"/>
  <c r="AC31" i="19"/>
  <c r="AC33" i="19"/>
  <c r="AC19" i="19"/>
  <c r="AC121" i="19"/>
  <c r="AC21" i="19"/>
  <c r="AC14" i="19"/>
  <c r="AC98" i="19"/>
  <c r="AC23" i="19"/>
  <c r="AC27" i="19"/>
  <c r="AC20" i="19"/>
  <c r="AC24" i="19"/>
  <c r="AC13" i="19"/>
  <c r="AC95" i="19"/>
  <c r="AC35" i="19"/>
  <c r="AC28" i="19"/>
  <c r="AC50" i="19"/>
  <c r="AC32" i="19"/>
  <c r="AC48" i="19"/>
  <c r="AC29" i="19"/>
  <c r="AC83" i="19"/>
  <c r="AC77" i="19"/>
  <c r="AC93" i="19"/>
  <c r="AC15" i="19"/>
  <c r="AC139" i="19"/>
  <c r="AC70" i="19"/>
  <c r="AC125" i="19"/>
  <c r="AC80" i="19"/>
  <c r="AC73" i="19"/>
  <c r="AC51" i="19"/>
  <c r="AC124" i="19"/>
  <c r="AC55" i="19"/>
  <c r="AC86" i="19"/>
  <c r="AC56" i="19"/>
  <c r="AC64" i="19"/>
  <c r="AC78" i="19"/>
  <c r="AC54" i="19"/>
  <c r="AC16" i="19"/>
  <c r="AC128" i="19"/>
  <c r="AC122" i="19"/>
  <c r="AC114" i="19"/>
  <c r="AC84" i="19"/>
  <c r="AC53" i="19"/>
  <c r="AC127" i="19"/>
  <c r="AC101" i="19"/>
  <c r="AC89" i="19"/>
  <c r="AC52" i="19"/>
  <c r="AC81" i="19"/>
  <c r="AC96" i="19"/>
  <c r="AC49" i="19"/>
  <c r="AC66" i="19"/>
  <c r="AC58" i="19"/>
  <c r="AC71" i="19"/>
  <c r="AC65" i="19"/>
  <c r="AC112" i="19"/>
  <c r="AC11" i="19"/>
  <c r="AC94" i="19"/>
  <c r="AC130" i="19"/>
  <c r="AC111" i="19"/>
  <c r="AC74" i="19"/>
  <c r="AC87" i="19"/>
  <c r="AC82" i="19"/>
  <c r="AC75" i="19"/>
  <c r="AC61" i="19"/>
  <c r="AC100" i="19"/>
  <c r="AC99" i="19"/>
  <c r="AC102" i="19"/>
  <c r="AC90" i="19"/>
  <c r="S119" i="19"/>
  <c r="S118" i="19"/>
  <c r="U118" i="19" s="1"/>
  <c r="AC69" i="19"/>
  <c r="AB138" i="19"/>
  <c r="AC120" i="19"/>
  <c r="AN55" i="19"/>
  <c r="AB116" i="19"/>
  <c r="Y118" i="19"/>
  <c r="Y119" i="19"/>
  <c r="AC10" i="19"/>
  <c r="AD126" i="19"/>
  <c r="AC126" i="19"/>
  <c r="AC123" i="19"/>
  <c r="AD123" i="19"/>
  <c r="AJ53" i="19"/>
  <c r="AC85" i="19"/>
  <c r="AB113" i="19"/>
  <c r="AC129" i="19"/>
  <c r="AD129" i="19"/>
  <c r="AO49" i="19"/>
  <c r="AP48" i="19" s="1"/>
  <c r="AD105" i="19"/>
  <c r="AC105" i="19"/>
  <c r="AD104" i="19"/>
  <c r="AC104" i="19"/>
  <c r="AC63" i="19"/>
  <c r="AA119" i="19"/>
  <c r="AB117" i="19"/>
  <c r="AA118" i="19"/>
  <c r="AB106" i="19"/>
  <c r="AN49" i="19"/>
  <c r="AC109" i="19"/>
  <c r="AD110" i="19"/>
  <c r="AC110" i="19"/>
  <c r="W8" i="19"/>
  <c r="V139" i="19"/>
  <c r="AC97" i="19"/>
  <c r="AC91" i="19"/>
  <c r="AK104" i="19"/>
  <c r="AR176" i="18"/>
  <c r="AV176" i="18" s="1"/>
  <c r="AZ51" i="18"/>
  <c r="AR59" i="18"/>
  <c r="AW59" i="18" s="1"/>
  <c r="AR185" i="18"/>
  <c r="AV185" i="18" s="1"/>
  <c r="P161" i="18"/>
  <c r="P160" i="18" s="1"/>
  <c r="P166" i="18"/>
  <c r="AC107" i="19" l="1"/>
  <c r="R166" i="18"/>
  <c r="AP49" i="19"/>
  <c r="AQ48" i="19" s="1"/>
  <c r="AC117" i="19"/>
  <c r="AD117" i="19"/>
  <c r="AD113" i="19"/>
  <c r="AC113" i="19"/>
  <c r="AN53" i="19"/>
  <c r="AD106" i="19"/>
  <c r="AC106" i="19"/>
  <c r="AD138" i="19"/>
  <c r="AC138" i="19"/>
  <c r="AC116" i="19"/>
  <c r="AD116" i="19"/>
  <c r="AB119" i="19"/>
  <c r="AB118" i="19"/>
  <c r="BA51" i="18"/>
  <c r="AZ59" i="18"/>
  <c r="R169" i="18"/>
  <c r="R160" i="18"/>
  <c r="R162" i="18"/>
  <c r="R171" i="18"/>
  <c r="R168" i="18"/>
  <c r="AQ49" i="19" l="1"/>
  <c r="AR48" i="19" s="1"/>
  <c r="AD118" i="19"/>
  <c r="AC118" i="19"/>
  <c r="AD119" i="19"/>
  <c r="AC119" i="19"/>
  <c r="BB51" i="18"/>
  <c r="BA59" i="18"/>
  <c r="BA60" i="18"/>
  <c r="AR49" i="19" l="1"/>
  <c r="AS48" i="19" s="1"/>
  <c r="BB59" i="18"/>
  <c r="BC51" i="18"/>
  <c r="BB60" i="18"/>
  <c r="AS49" i="19" l="1"/>
  <c r="AU49" i="19" s="1"/>
  <c r="AT48" i="19"/>
  <c r="BD51" i="18"/>
  <c r="BC59" i="18"/>
  <c r="BC60" i="18"/>
  <c r="BD59" i="18" l="1"/>
  <c r="BF59" i="18" s="1"/>
  <c r="BD60" i="18"/>
  <c r="C24" i="17" l="1"/>
  <c r="J37" i="17"/>
  <c r="D37" i="17"/>
  <c r="D38" i="17" s="1"/>
  <c r="D39" i="17" s="1"/>
  <c r="J36" i="17"/>
  <c r="J33" i="17"/>
  <c r="G19" i="17"/>
  <c r="D19" i="17" s="1"/>
  <c r="G18" i="17"/>
  <c r="D18" i="17" s="1"/>
  <c r="G17" i="17"/>
  <c r="D17" i="17" s="1"/>
  <c r="G16" i="17"/>
  <c r="D16" i="17" s="1"/>
  <c r="G15" i="17"/>
  <c r="D15" i="17" s="1"/>
  <c r="G14" i="17"/>
  <c r="D14" i="17" s="1"/>
  <c r="G13" i="17"/>
  <c r="D13" i="17" s="1"/>
  <c r="G12" i="17"/>
  <c r="D12" i="17" s="1"/>
  <c r="G11" i="17"/>
  <c r="D11" i="17" s="1"/>
  <c r="G9" i="17"/>
  <c r="D9" i="17" s="1"/>
  <c r="G8" i="17"/>
  <c r="D8" i="17" s="1"/>
  <c r="D20" i="17" l="1"/>
  <c r="D33" i="17"/>
  <c r="G20" i="17"/>
  <c r="G33" i="16" l="1"/>
  <c r="C33" i="16"/>
  <c r="CW31" i="16"/>
  <c r="CO31" i="16"/>
  <c r="CG31" i="16"/>
  <c r="BY31" i="16"/>
  <c r="BQ31" i="16"/>
  <c r="BI31" i="16"/>
  <c r="BA31" i="16"/>
  <c r="AS31" i="16"/>
  <c r="AK31" i="16"/>
  <c r="AC31" i="16"/>
  <c r="U31" i="16"/>
  <c r="M31" i="16"/>
  <c r="G31" i="16"/>
  <c r="C31" i="16"/>
  <c r="CV29" i="16"/>
  <c r="CW29" i="16" s="1"/>
  <c r="CO29" i="16"/>
  <c r="CF29" i="16"/>
  <c r="CG29" i="16" s="1"/>
  <c r="BX29" i="16"/>
  <c r="BY29" i="16" s="1"/>
  <c r="BP29" i="16"/>
  <c r="BQ29" i="16" s="1"/>
  <c r="BH29" i="16"/>
  <c r="BI29" i="16" s="1"/>
  <c r="AZ29" i="16"/>
  <c r="BA29" i="16" s="1"/>
  <c r="AR29" i="16"/>
  <c r="AS29" i="16" s="1"/>
  <c r="AJ29" i="16"/>
  <c r="AK29" i="16" s="1"/>
  <c r="AB29" i="16"/>
  <c r="AC29" i="16" s="1"/>
  <c r="L29" i="16"/>
  <c r="M29" i="16" s="1"/>
  <c r="G29" i="16"/>
  <c r="AH143" i="11" s="1"/>
  <c r="AH144" i="11" s="1"/>
  <c r="C29" i="16"/>
  <c r="G28" i="16"/>
  <c r="D28" i="16"/>
  <c r="D23" i="16" s="1"/>
  <c r="DA27" i="16"/>
  <c r="CT27" i="16"/>
  <c r="CL27" i="16"/>
  <c r="CB27" i="16"/>
  <c r="L9" i="12" s="1"/>
  <c r="BU27" i="16"/>
  <c r="AO27" i="16"/>
  <c r="AH27" i="16"/>
  <c r="Z27" i="16"/>
  <c r="P27" i="16"/>
  <c r="D9" i="12" s="1"/>
  <c r="C27" i="16"/>
  <c r="CW25" i="16"/>
  <c r="CW24" i="16" s="1"/>
  <c r="CO25" i="16"/>
  <c r="CG25" i="16"/>
  <c r="BY25" i="16"/>
  <c r="BY24" i="16" s="1"/>
  <c r="BQ25" i="16"/>
  <c r="BU38" i="16" s="1"/>
  <c r="BI25" i="16"/>
  <c r="BI24" i="16" s="1"/>
  <c r="BA25" i="16"/>
  <c r="AS25" i="16"/>
  <c r="AS24" i="16" s="1"/>
  <c r="AK25" i="16"/>
  <c r="AK24" i="16" s="1"/>
  <c r="AC25" i="16"/>
  <c r="AC24" i="16" s="1"/>
  <c r="U25" i="16"/>
  <c r="AH58" i="15" s="1"/>
  <c r="M25" i="16"/>
  <c r="M24" i="16" s="1"/>
  <c r="C25" i="16"/>
  <c r="CU24" i="16"/>
  <c r="CM24" i="16"/>
  <c r="CE24" i="16"/>
  <c r="BW24" i="16"/>
  <c r="BO24" i="16"/>
  <c r="BG24" i="16"/>
  <c r="AY24" i="16"/>
  <c r="AQ24" i="16"/>
  <c r="AI24" i="16"/>
  <c r="AA24" i="16"/>
  <c r="S24" i="16"/>
  <c r="K24" i="16"/>
  <c r="CV23" i="16"/>
  <c r="CN23" i="16"/>
  <c r="CF23" i="16"/>
  <c r="BP23" i="16"/>
  <c r="BH23" i="16"/>
  <c r="AR23" i="16"/>
  <c r="AJ23" i="16"/>
  <c r="T23" i="16"/>
  <c r="CW21" i="16"/>
  <c r="CO21" i="16"/>
  <c r="CG21" i="16"/>
  <c r="BY21" i="16"/>
  <c r="BQ21" i="16"/>
  <c r="BI21" i="16"/>
  <c r="BA21" i="16"/>
  <c r="AS21" i="16"/>
  <c r="AK21" i="16"/>
  <c r="AC21" i="16"/>
  <c r="U21" i="16"/>
  <c r="M21" i="16"/>
  <c r="G21" i="16"/>
  <c r="C21" i="16"/>
  <c r="CZ20" i="16"/>
  <c r="CW20" i="16"/>
  <c r="CR20" i="16"/>
  <c r="CO20" i="16"/>
  <c r="CJ20" i="16"/>
  <c r="CG20" i="16"/>
  <c r="CB20" i="16"/>
  <c r="BY20" i="16"/>
  <c r="BT20" i="16"/>
  <c r="BQ20" i="16"/>
  <c r="BL20" i="16"/>
  <c r="BI20" i="16"/>
  <c r="BD20" i="16"/>
  <c r="BA20" i="16"/>
  <c r="AV20" i="16"/>
  <c r="AS20" i="16"/>
  <c r="AN20" i="16"/>
  <c r="AK20" i="16"/>
  <c r="AF20" i="16"/>
  <c r="AC20" i="16"/>
  <c r="X20" i="16"/>
  <c r="U20" i="16"/>
  <c r="P20" i="16"/>
  <c r="M20" i="16"/>
  <c r="F20" i="16"/>
  <c r="C20" i="16"/>
  <c r="DA19" i="16"/>
  <c r="CZ19" i="16"/>
  <c r="CW19" i="16"/>
  <c r="CS19" i="16"/>
  <c r="CR19" i="16"/>
  <c r="CO19" i="16"/>
  <c r="CK19" i="16"/>
  <c r="CJ19" i="16"/>
  <c r="CG19" i="16"/>
  <c r="CC19" i="16"/>
  <c r="CB19" i="16"/>
  <c r="BY19" i="16"/>
  <c r="BU19" i="16"/>
  <c r="BT19" i="16"/>
  <c r="BQ19" i="16"/>
  <c r="BM19" i="16"/>
  <c r="BL19" i="16"/>
  <c r="BI19" i="16"/>
  <c r="BE19" i="16"/>
  <c r="BD19" i="16"/>
  <c r="BA19" i="16"/>
  <c r="AW19" i="16"/>
  <c r="AV19" i="16"/>
  <c r="AS19" i="16"/>
  <c r="AO19" i="16"/>
  <c r="AN19" i="16"/>
  <c r="AK19" i="16"/>
  <c r="AG19" i="16"/>
  <c r="AF19" i="16"/>
  <c r="AC19" i="16"/>
  <c r="Y19" i="16"/>
  <c r="X19" i="16"/>
  <c r="U19" i="16"/>
  <c r="Q19" i="16"/>
  <c r="P19" i="16"/>
  <c r="M19" i="16"/>
  <c r="F19" i="16"/>
  <c r="C19" i="16"/>
  <c r="CX18" i="16"/>
  <c r="CZ18" i="16" s="1"/>
  <c r="CW18" i="16"/>
  <c r="CP18" i="16"/>
  <c r="CS18" i="16" s="1"/>
  <c r="CO18" i="16"/>
  <c r="CH18" i="16"/>
  <c r="CK18" i="16" s="1"/>
  <c r="CG18" i="16"/>
  <c r="BZ18" i="16"/>
  <c r="CC18" i="16" s="1"/>
  <c r="BY18" i="16"/>
  <c r="BR18" i="16"/>
  <c r="BQ18" i="16"/>
  <c r="BJ18" i="16"/>
  <c r="BM18" i="16" s="1"/>
  <c r="BI18" i="16"/>
  <c r="BB18" i="16"/>
  <c r="BA18" i="16"/>
  <c r="AT18" i="16"/>
  <c r="AV18" i="16" s="1"/>
  <c r="AS18" i="16"/>
  <c r="AL18" i="16"/>
  <c r="AN18" i="16" s="1"/>
  <c r="AK18" i="16"/>
  <c r="AD18" i="16"/>
  <c r="AF18" i="16" s="1"/>
  <c r="AC18" i="16"/>
  <c r="V18" i="16"/>
  <c r="Y18" i="16" s="1"/>
  <c r="U18" i="16"/>
  <c r="N18" i="16"/>
  <c r="M18" i="16"/>
  <c r="C18" i="16"/>
  <c r="CW17" i="16"/>
  <c r="CO17" i="16"/>
  <c r="CG17" i="16"/>
  <c r="BY17" i="16"/>
  <c r="BQ17" i="16"/>
  <c r="BI17" i="16"/>
  <c r="BA17" i="16"/>
  <c r="AS17" i="16"/>
  <c r="AK17" i="16"/>
  <c r="AC17" i="16"/>
  <c r="U17" i="16"/>
  <c r="M17" i="16"/>
  <c r="H17" i="16"/>
  <c r="F17" i="16"/>
  <c r="C17" i="16"/>
  <c r="CW16" i="16"/>
  <c r="CO16" i="16"/>
  <c r="CG16" i="16"/>
  <c r="BY16" i="16"/>
  <c r="BQ16" i="16"/>
  <c r="BI16" i="16"/>
  <c r="BA16" i="16"/>
  <c r="AS16" i="16"/>
  <c r="AK16" i="16"/>
  <c r="AC16" i="16"/>
  <c r="U16" i="16"/>
  <c r="M16" i="16"/>
  <c r="H16" i="16"/>
  <c r="F16" i="16"/>
  <c r="C16" i="16"/>
  <c r="CW15" i="16"/>
  <c r="CO15" i="16"/>
  <c r="CG15" i="16"/>
  <c r="BY15" i="16"/>
  <c r="BQ15" i="16"/>
  <c r="BI15" i="16"/>
  <c r="BA15" i="16"/>
  <c r="AS15" i="16"/>
  <c r="AK15" i="16"/>
  <c r="AC15" i="16"/>
  <c r="U15" i="16"/>
  <c r="M15" i="16"/>
  <c r="C15" i="16"/>
  <c r="CW14" i="16"/>
  <c r="CO14" i="16"/>
  <c r="CG14" i="16"/>
  <c r="BY14" i="16"/>
  <c r="BZ14" i="16" s="1"/>
  <c r="CB14" i="16" s="1"/>
  <c r="AD40" i="10" s="1"/>
  <c r="AD40" i="52" s="1"/>
  <c r="BQ14" i="16"/>
  <c r="BI14" i="16"/>
  <c r="BA14" i="16"/>
  <c r="AS14" i="16"/>
  <c r="AK14" i="16"/>
  <c r="AC14" i="16"/>
  <c r="U14" i="16"/>
  <c r="C14" i="16"/>
  <c r="CW13" i="16"/>
  <c r="CO13" i="16"/>
  <c r="CG13" i="16"/>
  <c r="BY13" i="16"/>
  <c r="BZ13" i="16" s="1"/>
  <c r="CB13" i="16" s="1"/>
  <c r="AD39" i="10" s="1"/>
  <c r="AD39" i="52" s="1"/>
  <c r="AF39" i="52" s="1"/>
  <c r="BQ13" i="16"/>
  <c r="BI13" i="16"/>
  <c r="BA13" i="16"/>
  <c r="AS13" i="16"/>
  <c r="AK13" i="16"/>
  <c r="AC13" i="16"/>
  <c r="U13" i="16"/>
  <c r="M13" i="16"/>
  <c r="N13" i="16" s="1"/>
  <c r="P13" i="16" s="1"/>
  <c r="C13" i="16"/>
  <c r="CY12" i="16"/>
  <c r="CY8" i="16" s="1"/>
  <c r="CV12" i="16"/>
  <c r="CV8" i="16" s="1"/>
  <c r="CU12" i="16"/>
  <c r="CQ12" i="16"/>
  <c r="CQ8" i="16" s="1"/>
  <c r="CN12" i="16"/>
  <c r="CN8" i="16" s="1"/>
  <c r="CM12" i="16"/>
  <c r="CI12" i="16"/>
  <c r="CI8" i="16" s="1"/>
  <c r="CF12" i="16"/>
  <c r="CF8" i="16" s="1"/>
  <c r="CE12" i="16"/>
  <c r="CA12" i="16"/>
  <c r="BX12" i="16"/>
  <c r="BX8" i="16" s="1"/>
  <c r="BW12" i="16"/>
  <c r="BS12" i="16"/>
  <c r="BS8" i="16" s="1"/>
  <c r="BP12" i="16"/>
  <c r="BP8" i="16" s="1"/>
  <c r="BO12" i="16"/>
  <c r="BK12" i="16"/>
  <c r="BK8" i="16" s="1"/>
  <c r="BH12" i="16"/>
  <c r="BH8" i="16" s="1"/>
  <c r="BG12" i="16"/>
  <c r="BC12" i="16"/>
  <c r="BC8" i="16" s="1"/>
  <c r="AZ12" i="16"/>
  <c r="AZ8" i="16" s="1"/>
  <c r="AY12" i="16"/>
  <c r="AU12" i="16"/>
  <c r="AU8" i="16" s="1"/>
  <c r="AR12" i="16"/>
  <c r="AR8" i="16" s="1"/>
  <c r="AQ12" i="16"/>
  <c r="AM12" i="16"/>
  <c r="AM8" i="16" s="1"/>
  <c r="AJ12" i="16"/>
  <c r="AJ8" i="16" s="1"/>
  <c r="AI12" i="16"/>
  <c r="AE12" i="16"/>
  <c r="AE8" i="16" s="1"/>
  <c r="AB12" i="16"/>
  <c r="AB8" i="16" s="1"/>
  <c r="AA12" i="16"/>
  <c r="W12" i="16"/>
  <c r="W8" i="16" s="1"/>
  <c r="T12" i="16"/>
  <c r="T8" i="16" s="1"/>
  <c r="S12" i="16"/>
  <c r="O12" i="16"/>
  <c r="O8" i="16" s="1"/>
  <c r="L12" i="16"/>
  <c r="L8" i="16" s="1"/>
  <c r="CZ11" i="16"/>
  <c r="CW11" i="16"/>
  <c r="CR11" i="16"/>
  <c r="CO11" i="16"/>
  <c r="CJ11" i="16"/>
  <c r="CG11" i="16"/>
  <c r="CB11" i="16"/>
  <c r="BY11" i="16"/>
  <c r="BT11" i="16"/>
  <c r="BQ11" i="16"/>
  <c r="BI11" i="16"/>
  <c r="BJ11" i="16" s="1"/>
  <c r="X37" i="10" s="1"/>
  <c r="BD11" i="16"/>
  <c r="BA11" i="16"/>
  <c r="AV11" i="16"/>
  <c r="AS11" i="16"/>
  <c r="AN11" i="16"/>
  <c r="AK11" i="16"/>
  <c r="AF11" i="16"/>
  <c r="AC11" i="16"/>
  <c r="X11" i="16"/>
  <c r="U11" i="16"/>
  <c r="M11" i="16"/>
  <c r="G11" i="16"/>
  <c r="C11" i="16"/>
  <c r="DA10" i="16"/>
  <c r="CS10" i="16"/>
  <c r="CL10" i="16"/>
  <c r="CC10" i="16"/>
  <c r="AO10" i="16"/>
  <c r="X10" i="16"/>
  <c r="E10" i="16"/>
  <c r="C10" i="16"/>
  <c r="G9" i="16"/>
  <c r="CA8" i="16"/>
  <c r="D8" i="16"/>
  <c r="CV7" i="16"/>
  <c r="CN7" i="16"/>
  <c r="CF7" i="16"/>
  <c r="BX7" i="16"/>
  <c r="BP7" i="16"/>
  <c r="BH7" i="16"/>
  <c r="AZ7" i="16"/>
  <c r="AR7" i="16"/>
  <c r="AJ7" i="16"/>
  <c r="AB7" i="16"/>
  <c r="T7" i="16"/>
  <c r="L7" i="16"/>
  <c r="D7" i="16"/>
  <c r="DH40" i="15"/>
  <c r="CB40" i="15"/>
  <c r="J37" i="15"/>
  <c r="F37" i="15"/>
  <c r="D37" i="15"/>
  <c r="I37" i="15"/>
  <c r="G37" i="15"/>
  <c r="E37" i="15"/>
  <c r="C37" i="15"/>
  <c r="E36" i="15"/>
  <c r="J35" i="15"/>
  <c r="I35" i="15"/>
  <c r="H35" i="15"/>
  <c r="F35" i="15"/>
  <c r="E35" i="15"/>
  <c r="D35" i="15"/>
  <c r="C35" i="15"/>
  <c r="J34" i="15"/>
  <c r="I34" i="15"/>
  <c r="H34" i="15"/>
  <c r="F34" i="15"/>
  <c r="D34" i="15"/>
  <c r="C34" i="15"/>
  <c r="F33" i="15"/>
  <c r="EX40" i="15"/>
  <c r="EL40" i="15"/>
  <c r="EJ40" i="15"/>
  <c r="DT40" i="15"/>
  <c r="CP40" i="15"/>
  <c r="BX40" i="15"/>
  <c r="BP40" i="15"/>
  <c r="BF40" i="15"/>
  <c r="AT40" i="15"/>
  <c r="AR40" i="15"/>
  <c r="E32" i="15"/>
  <c r="C32" i="15"/>
  <c r="DX40" i="15"/>
  <c r="J31" i="15"/>
  <c r="H31" i="15"/>
  <c r="F31" i="15"/>
  <c r="E31" i="15"/>
  <c r="D31" i="15"/>
  <c r="C31" i="15"/>
  <c r="ER40" i="15"/>
  <c r="EF40" i="15"/>
  <c r="DZ40" i="15"/>
  <c r="DN40" i="15"/>
  <c r="CV40" i="15"/>
  <c r="CJ40" i="15"/>
  <c r="BL40" i="15"/>
  <c r="AZ40" i="15"/>
  <c r="E30" i="15"/>
  <c r="C30" i="15"/>
  <c r="E29" i="15"/>
  <c r="C29" i="15"/>
  <c r="J28" i="15"/>
  <c r="I28" i="15"/>
  <c r="H28" i="15"/>
  <c r="F28" i="15"/>
  <c r="D28" i="15"/>
  <c r="C28" i="15"/>
  <c r="D27" i="15"/>
  <c r="C27" i="15"/>
  <c r="D26" i="15"/>
  <c r="E26" i="15"/>
  <c r="C26" i="15"/>
  <c r="J25" i="15"/>
  <c r="I25" i="15"/>
  <c r="H25" i="15"/>
  <c r="G25" i="15"/>
  <c r="F25" i="15"/>
  <c r="E25" i="15"/>
  <c r="D25" i="15"/>
  <c r="C25" i="15"/>
  <c r="J24" i="15"/>
  <c r="I24" i="15"/>
  <c r="H24" i="15"/>
  <c r="F24" i="15"/>
  <c r="E24" i="15"/>
  <c r="D24" i="15"/>
  <c r="C24" i="15"/>
  <c r="BA9" i="15"/>
  <c r="BA10" i="15" s="1"/>
  <c r="C23" i="15"/>
  <c r="BU22" i="15"/>
  <c r="BT22" i="15"/>
  <c r="BS22" i="15"/>
  <c r="BR22" i="15"/>
  <c r="BP22" i="15"/>
  <c r="BN22" i="15"/>
  <c r="BL22" i="15"/>
  <c r="D22" i="15" s="1"/>
  <c r="F22" i="15"/>
  <c r="I22" i="15"/>
  <c r="G22" i="15"/>
  <c r="E22" i="15"/>
  <c r="C22" i="15"/>
  <c r="BU21" i="15"/>
  <c r="BS21" i="15"/>
  <c r="BR21" i="15"/>
  <c r="J21" i="15" s="1"/>
  <c r="BP21" i="15"/>
  <c r="BN21" i="15"/>
  <c r="BL21" i="15"/>
  <c r="D21" i="15" s="1"/>
  <c r="I21" i="15"/>
  <c r="H21" i="15"/>
  <c r="G21" i="15"/>
  <c r="E21" i="15"/>
  <c r="C21" i="15"/>
  <c r="ER9" i="15"/>
  <c r="CU9" i="16" s="1"/>
  <c r="DH9" i="15"/>
  <c r="BW9" i="16" s="1"/>
  <c r="CV9" i="15"/>
  <c r="BO9" i="16" s="1"/>
  <c r="BX9" i="15"/>
  <c r="AY9" i="16" s="1"/>
  <c r="BV20" i="15"/>
  <c r="BU20" i="15"/>
  <c r="BT20" i="15"/>
  <c r="BS20" i="15"/>
  <c r="BR20" i="15"/>
  <c r="J20" i="15" s="1"/>
  <c r="BP20" i="15"/>
  <c r="H20" i="15" s="1"/>
  <c r="BN20" i="15"/>
  <c r="F20" i="15" s="1"/>
  <c r="BL20" i="15"/>
  <c r="D20" i="15" s="1"/>
  <c r="I20" i="15"/>
  <c r="G20" i="15"/>
  <c r="E20" i="15"/>
  <c r="C20" i="15"/>
  <c r="J17" i="15"/>
  <c r="I17" i="15"/>
  <c r="H17" i="15"/>
  <c r="G17" i="15"/>
  <c r="F17" i="15"/>
  <c r="E17" i="15"/>
  <c r="D17" i="15"/>
  <c r="C17" i="15"/>
  <c r="DV9" i="15"/>
  <c r="DV10" i="15" s="1"/>
  <c r="DT9" i="15"/>
  <c r="CE9" i="16" s="1"/>
  <c r="CE8" i="16" s="1"/>
  <c r="BU16" i="15"/>
  <c r="BS16" i="15"/>
  <c r="BR16" i="15"/>
  <c r="BP16" i="15"/>
  <c r="BN16" i="15"/>
  <c r="BL16" i="15"/>
  <c r="I16" i="15"/>
  <c r="H16" i="15"/>
  <c r="G16" i="15"/>
  <c r="E16" i="15"/>
  <c r="C16" i="15"/>
  <c r="BU15" i="15"/>
  <c r="BS15" i="15"/>
  <c r="J15" i="15"/>
  <c r="I15" i="15"/>
  <c r="H15" i="15"/>
  <c r="G15" i="15"/>
  <c r="F15" i="15"/>
  <c r="E15" i="15"/>
  <c r="D15" i="15"/>
  <c r="C15" i="15"/>
  <c r="BU14" i="15"/>
  <c r="BS14" i="15"/>
  <c r="J14" i="15"/>
  <c r="I14" i="15"/>
  <c r="H14" i="15"/>
  <c r="G14" i="15"/>
  <c r="F14" i="15"/>
  <c r="E14" i="15"/>
  <c r="D14" i="15"/>
  <c r="C14" i="15"/>
  <c r="BV13" i="15"/>
  <c r="BU13" i="15"/>
  <c r="BT13" i="15"/>
  <c r="BS13" i="15"/>
  <c r="BR13" i="15"/>
  <c r="BN13" i="15"/>
  <c r="BL13" i="15"/>
  <c r="J13" i="15"/>
  <c r="I13" i="15"/>
  <c r="H13" i="15"/>
  <c r="G13" i="15"/>
  <c r="F13" i="15"/>
  <c r="E13" i="15"/>
  <c r="D13" i="15"/>
  <c r="C13" i="15"/>
  <c r="EX9" i="15"/>
  <c r="CP11" i="15"/>
  <c r="CP9" i="15" s="1"/>
  <c r="CN11" i="15"/>
  <c r="BV12" i="15"/>
  <c r="BU12" i="15"/>
  <c r="BT12" i="15"/>
  <c r="BS12" i="15"/>
  <c r="BR12" i="15"/>
  <c r="BP12" i="15"/>
  <c r="BP11" i="15" s="1"/>
  <c r="BN12" i="15"/>
  <c r="BL12" i="15"/>
  <c r="BL11" i="15" s="1"/>
  <c r="I12" i="15"/>
  <c r="G12" i="15"/>
  <c r="E12" i="15"/>
  <c r="C12" i="15"/>
  <c r="EH9" i="15"/>
  <c r="EH10" i="15" s="1"/>
  <c r="EG9" i="15"/>
  <c r="EG10" i="15" s="1"/>
  <c r="DI9" i="15"/>
  <c r="DI10" i="15" s="1"/>
  <c r="CO11" i="15"/>
  <c r="CO9" i="15" s="1"/>
  <c r="CM11" i="15"/>
  <c r="CL11" i="15"/>
  <c r="CL9" i="15" s="1"/>
  <c r="CL10" i="15" s="1"/>
  <c r="CK11" i="15"/>
  <c r="CK9" i="15" s="1"/>
  <c r="CK10" i="15" s="1"/>
  <c r="CJ11" i="15"/>
  <c r="CI11" i="15"/>
  <c r="CI9" i="15" s="1"/>
  <c r="CI10" i="15" s="1"/>
  <c r="BQ11" i="15"/>
  <c r="BO11" i="15"/>
  <c r="BM11" i="15"/>
  <c r="BM9" i="15" s="1"/>
  <c r="BM10" i="15" s="1"/>
  <c r="BK11" i="15"/>
  <c r="BK9" i="15" s="1"/>
  <c r="BK10" i="15" s="1"/>
  <c r="AP9" i="15"/>
  <c r="AP10" i="15" s="1"/>
  <c r="AA9" i="15"/>
  <c r="AA10" i="15" s="1"/>
  <c r="EW9" i="15"/>
  <c r="ES9" i="15"/>
  <c r="ES10" i="15" s="1"/>
  <c r="EQ9" i="15"/>
  <c r="EQ10" i="15" s="1"/>
  <c r="EE9" i="15"/>
  <c r="EE10" i="15" s="1"/>
  <c r="DS9" i="15"/>
  <c r="DS10" i="15" s="1"/>
  <c r="DM9" i="15"/>
  <c r="DJ9" i="15"/>
  <c r="DJ10" i="15" s="1"/>
  <c r="DG9" i="15"/>
  <c r="DG10" i="15" s="1"/>
  <c r="CW9" i="15"/>
  <c r="CW10" i="15" s="1"/>
  <c r="CU9" i="15"/>
  <c r="CU10" i="15" s="1"/>
  <c r="BW9" i="15"/>
  <c r="BW10" i="15" s="1"/>
  <c r="AO9" i="15"/>
  <c r="AO10" i="15" s="1"/>
  <c r="AC9" i="15"/>
  <c r="AC10" i="15" s="1"/>
  <c r="Q9" i="15"/>
  <c r="Q10" i="15" s="1"/>
  <c r="O9" i="15"/>
  <c r="O10" i="15" s="1"/>
  <c r="C34" i="14"/>
  <c r="C33" i="14"/>
  <c r="C32" i="14"/>
  <c r="C31" i="14"/>
  <c r="C30" i="14"/>
  <c r="C28" i="14"/>
  <c r="C21" i="12"/>
  <c r="C20" i="12"/>
  <c r="C19" i="12"/>
  <c r="C18" i="12"/>
  <c r="C17" i="12"/>
  <c r="O16" i="12"/>
  <c r="N16" i="12"/>
  <c r="M16" i="12"/>
  <c r="L16" i="12"/>
  <c r="K16" i="12"/>
  <c r="J16" i="12"/>
  <c r="I16" i="12"/>
  <c r="H16" i="12"/>
  <c r="G16" i="12"/>
  <c r="F16" i="12"/>
  <c r="E16" i="12"/>
  <c r="C69" i="147"/>
  <c r="C7" i="12"/>
  <c r="AO40" i="10"/>
  <c r="AL40" i="10"/>
  <c r="AI40" i="10"/>
  <c r="AF40" i="10"/>
  <c r="AC40" i="10"/>
  <c r="Z40" i="10"/>
  <c r="W40" i="10"/>
  <c r="T40" i="10"/>
  <c r="Q40" i="10"/>
  <c r="N40" i="10"/>
  <c r="K40" i="10"/>
  <c r="H40" i="10"/>
  <c r="C40" i="10"/>
  <c r="AO39" i="10"/>
  <c r="AL39" i="10"/>
  <c r="AI39" i="10"/>
  <c r="AC39" i="10"/>
  <c r="Z39" i="10"/>
  <c r="W39" i="10"/>
  <c r="T39" i="10"/>
  <c r="Q39" i="10"/>
  <c r="N39" i="10"/>
  <c r="K39" i="10"/>
  <c r="AO35" i="10"/>
  <c r="AL35" i="10"/>
  <c r="AI35" i="10"/>
  <c r="AF35" i="10"/>
  <c r="AC35" i="10"/>
  <c r="Z35" i="10"/>
  <c r="W35" i="10"/>
  <c r="T35" i="10"/>
  <c r="Q35" i="10"/>
  <c r="F35" i="52"/>
  <c r="AO34" i="10"/>
  <c r="AL34" i="10"/>
  <c r="AI34" i="10"/>
  <c r="AF34" i="10"/>
  <c r="AC34" i="10"/>
  <c r="Z34" i="10"/>
  <c r="W34" i="10"/>
  <c r="T34" i="10"/>
  <c r="Q34" i="10"/>
  <c r="AO33" i="10"/>
  <c r="AL33" i="10"/>
  <c r="AI33" i="10"/>
  <c r="AF33" i="10"/>
  <c r="AC33" i="10"/>
  <c r="Z33" i="10"/>
  <c r="W33" i="10"/>
  <c r="T33" i="10"/>
  <c r="Q33" i="10"/>
  <c r="AO32" i="10"/>
  <c r="AL32" i="10"/>
  <c r="AI32" i="10"/>
  <c r="AF32" i="10"/>
  <c r="AC32" i="10"/>
  <c r="W32" i="10"/>
  <c r="T32" i="10"/>
  <c r="Q32" i="10"/>
  <c r="I31" i="10"/>
  <c r="AO30" i="10"/>
  <c r="AL30" i="10"/>
  <c r="AI30" i="10"/>
  <c r="AF30" i="10"/>
  <c r="AC30" i="10"/>
  <c r="Z30" i="10"/>
  <c r="T30" i="10"/>
  <c r="Q30" i="10"/>
  <c r="AO29" i="10"/>
  <c r="AL29" i="10"/>
  <c r="AI29" i="10"/>
  <c r="AC29" i="10"/>
  <c r="Z29" i="10"/>
  <c r="T29" i="10"/>
  <c r="Q29" i="10"/>
  <c r="AM28" i="10"/>
  <c r="AJ28" i="10"/>
  <c r="AO27" i="10"/>
  <c r="AL27" i="10"/>
  <c r="AI27" i="10"/>
  <c r="AF27" i="10"/>
  <c r="Q27" i="10"/>
  <c r="C28" i="140"/>
  <c r="C28" i="138" s="1"/>
  <c r="AO26" i="10"/>
  <c r="AL26" i="10"/>
  <c r="AI26" i="10"/>
  <c r="AF26" i="10"/>
  <c r="AA25" i="10"/>
  <c r="X25" i="10"/>
  <c r="R25" i="10"/>
  <c r="Q26" i="10"/>
  <c r="L26" i="52"/>
  <c r="I26" i="10"/>
  <c r="C27" i="140" s="1"/>
  <c r="AM25" i="10"/>
  <c r="AJ25" i="10"/>
  <c r="F25" i="10"/>
  <c r="AO24" i="10"/>
  <c r="AL24" i="10"/>
  <c r="AI24" i="10"/>
  <c r="AF24" i="10"/>
  <c r="AC24" i="10"/>
  <c r="Z24" i="10"/>
  <c r="W24" i="10"/>
  <c r="T24" i="10"/>
  <c r="Q24" i="10"/>
  <c r="AO23" i="10"/>
  <c r="AL23" i="10"/>
  <c r="AI23" i="10"/>
  <c r="AF23" i="10"/>
  <c r="AC23" i="10"/>
  <c r="Z23" i="10"/>
  <c r="W23" i="10"/>
  <c r="T23" i="10"/>
  <c r="Q23" i="10"/>
  <c r="AO22" i="10"/>
  <c r="AL22" i="10"/>
  <c r="AI22" i="10"/>
  <c r="AF22" i="10"/>
  <c r="AC22" i="10"/>
  <c r="Z22" i="10"/>
  <c r="W22" i="10"/>
  <c r="T22" i="10"/>
  <c r="Q22" i="10"/>
  <c r="AO20" i="10"/>
  <c r="AL20" i="10"/>
  <c r="AI20" i="10"/>
  <c r="AF20" i="10"/>
  <c r="AC20" i="10"/>
  <c r="Z20" i="10"/>
  <c r="W20" i="10"/>
  <c r="T20" i="10"/>
  <c r="Q20" i="10"/>
  <c r="F20" i="52"/>
  <c r="AO19" i="10"/>
  <c r="AL19" i="10"/>
  <c r="AI19" i="10"/>
  <c r="AF19" i="10"/>
  <c r="AC19" i="10"/>
  <c r="Z19" i="10"/>
  <c r="W19" i="10"/>
  <c r="T19" i="10"/>
  <c r="Q19" i="10"/>
  <c r="AO18" i="10"/>
  <c r="AL18" i="10"/>
  <c r="AI18" i="10"/>
  <c r="AF18" i="10"/>
  <c r="AC18" i="10"/>
  <c r="Z18" i="10"/>
  <c r="W18" i="10"/>
  <c r="T18" i="10"/>
  <c r="Q18" i="10"/>
  <c r="F18" i="52"/>
  <c r="AO14" i="10"/>
  <c r="AL14" i="10"/>
  <c r="AI14" i="10"/>
  <c r="AF14" i="10"/>
  <c r="AC14" i="10"/>
  <c r="Z14" i="10"/>
  <c r="W14" i="10"/>
  <c r="T14" i="10"/>
  <c r="Q14" i="10"/>
  <c r="AO13" i="10"/>
  <c r="AL13" i="10"/>
  <c r="AI13" i="10"/>
  <c r="AF13" i="10"/>
  <c r="AC13" i="10"/>
  <c r="Z13" i="10"/>
  <c r="W13" i="10"/>
  <c r="T13" i="10"/>
  <c r="Q13" i="10"/>
  <c r="F13" i="52"/>
  <c r="AO12" i="10"/>
  <c r="AL12" i="10"/>
  <c r="AI12" i="10"/>
  <c r="AF12" i="10"/>
  <c r="AC12" i="10"/>
  <c r="Z12" i="10"/>
  <c r="W12" i="10"/>
  <c r="T12" i="10"/>
  <c r="Q12" i="10"/>
  <c r="AO11" i="10"/>
  <c r="AL11" i="10"/>
  <c r="AI11" i="10"/>
  <c r="AF11" i="10"/>
  <c r="AC11" i="10"/>
  <c r="Z11" i="10"/>
  <c r="W11" i="10"/>
  <c r="T11" i="10"/>
  <c r="Q11" i="10"/>
  <c r="AO10" i="10"/>
  <c r="AL10" i="10"/>
  <c r="AG9" i="10"/>
  <c r="AF10" i="10"/>
  <c r="AC10" i="10"/>
  <c r="Z10" i="10"/>
  <c r="T10" i="10"/>
  <c r="Q10" i="10"/>
  <c r="I10" i="52"/>
  <c r="AN8" i="10"/>
  <c r="AK8" i="10"/>
  <c r="AH8" i="10"/>
  <c r="AE8" i="10"/>
  <c r="AB8" i="10"/>
  <c r="Y8" i="10"/>
  <c r="V8" i="10"/>
  <c r="S8" i="10"/>
  <c r="P8" i="10"/>
  <c r="M8" i="10"/>
  <c r="J8" i="10"/>
  <c r="G8" i="10"/>
  <c r="D8" i="10"/>
  <c r="G18" i="162" l="1"/>
  <c r="G18" i="153"/>
  <c r="K19" i="162"/>
  <c r="K19" i="153"/>
  <c r="L18" i="162"/>
  <c r="E16" i="129" s="1"/>
  <c r="L18" i="153"/>
  <c r="K20" i="162"/>
  <c r="K20" i="153"/>
  <c r="J20" i="153" s="1"/>
  <c r="L19" i="162"/>
  <c r="E17" i="129" s="1"/>
  <c r="L19" i="153"/>
  <c r="T18" i="153"/>
  <c r="T18" i="162"/>
  <c r="K21" i="162"/>
  <c r="K21" i="153"/>
  <c r="G21" i="162"/>
  <c r="G21" i="153"/>
  <c r="L21" i="162"/>
  <c r="E19" i="129" s="1"/>
  <c r="L21" i="153"/>
  <c r="D12" i="15"/>
  <c r="C40" i="52"/>
  <c r="AF40" i="52"/>
  <c r="E40" i="52" s="1"/>
  <c r="DA18" i="16"/>
  <c r="K11" i="162"/>
  <c r="K11" i="153"/>
  <c r="L10" i="162"/>
  <c r="E8" i="129" s="1"/>
  <c r="L10" i="153"/>
  <c r="N16" i="15"/>
  <c r="G16" i="162"/>
  <c r="G16" i="153"/>
  <c r="K12" i="162"/>
  <c r="K12" i="153"/>
  <c r="L11" i="162"/>
  <c r="E9" i="129" s="1"/>
  <c r="L11" i="153"/>
  <c r="F13" i="16"/>
  <c r="I13" i="16" s="1"/>
  <c r="G20" i="162"/>
  <c r="G20" i="153"/>
  <c r="K13" i="162"/>
  <c r="K13" i="153"/>
  <c r="L12" i="162"/>
  <c r="E10" i="129" s="1"/>
  <c r="L12" i="153"/>
  <c r="H13" i="16"/>
  <c r="F39" i="10"/>
  <c r="G23" i="16"/>
  <c r="J143" i="11"/>
  <c r="J138" i="11" s="1"/>
  <c r="K14" i="162"/>
  <c r="K14" i="153"/>
  <c r="L13" i="162"/>
  <c r="E11" i="129" s="1"/>
  <c r="L13" i="153"/>
  <c r="BR11" i="15"/>
  <c r="H14" i="16"/>
  <c r="L20" i="162"/>
  <c r="E18" i="129" s="1"/>
  <c r="L20" i="153"/>
  <c r="G13" i="162"/>
  <c r="G13" i="153"/>
  <c r="K15" i="162"/>
  <c r="D13" i="129" s="1"/>
  <c r="K15" i="153"/>
  <c r="L14" i="162"/>
  <c r="L14" i="153"/>
  <c r="T10" i="153"/>
  <c r="T10" i="162"/>
  <c r="L16" i="162"/>
  <c r="E14" i="129" s="1"/>
  <c r="L16" i="153"/>
  <c r="G14" i="162"/>
  <c r="G14" i="153"/>
  <c r="K16" i="162"/>
  <c r="D14" i="129" s="1"/>
  <c r="K16" i="153"/>
  <c r="L15" i="162"/>
  <c r="L15" i="153"/>
  <c r="J15" i="153" s="1"/>
  <c r="I11" i="15"/>
  <c r="K17" i="162"/>
  <c r="K17" i="153"/>
  <c r="G17" i="162"/>
  <c r="G17" i="153"/>
  <c r="AF39" i="10"/>
  <c r="L17" i="162"/>
  <c r="E15" i="129" s="1"/>
  <c r="L17" i="153"/>
  <c r="C69" i="139"/>
  <c r="BO8" i="16"/>
  <c r="BO28" i="16" s="1"/>
  <c r="AK12" i="16"/>
  <c r="C29" i="14"/>
  <c r="C12" i="14" s="1"/>
  <c r="C8" i="14" s="1"/>
  <c r="M25" i="15"/>
  <c r="N25" i="15"/>
  <c r="L12" i="15"/>
  <c r="K25" i="15"/>
  <c r="L25" i="15"/>
  <c r="CE28" i="16"/>
  <c r="CE30" i="16" s="1"/>
  <c r="AY8" i="16"/>
  <c r="AY28" i="16" s="1"/>
  <c r="AY30" i="16" s="1"/>
  <c r="N17" i="15"/>
  <c r="L16" i="15"/>
  <c r="K16" i="15"/>
  <c r="C43" i="150"/>
  <c r="L21" i="13"/>
  <c r="L21" i="54"/>
  <c r="C42" i="150"/>
  <c r="K21" i="13"/>
  <c r="K21" i="54"/>
  <c r="C43" i="149"/>
  <c r="L20" i="13"/>
  <c r="L20" i="54"/>
  <c r="AL38" i="10"/>
  <c r="C42" i="149"/>
  <c r="K20" i="13"/>
  <c r="K20" i="54"/>
  <c r="C43" i="148"/>
  <c r="L19" i="13"/>
  <c r="L19" i="54"/>
  <c r="C42" i="148"/>
  <c r="K19" i="13"/>
  <c r="K19" i="54"/>
  <c r="C43" i="147"/>
  <c r="L18" i="13"/>
  <c r="L18" i="54"/>
  <c r="C42" i="147"/>
  <c r="K18" i="13"/>
  <c r="K18" i="54"/>
  <c r="C43" i="146"/>
  <c r="L17" i="13"/>
  <c r="L17" i="54"/>
  <c r="C42" i="146"/>
  <c r="K17" i="13"/>
  <c r="K17" i="54"/>
  <c r="C43" i="145"/>
  <c r="L16" i="13"/>
  <c r="L16" i="54"/>
  <c r="C42" i="145"/>
  <c r="K16" i="13"/>
  <c r="K16" i="54"/>
  <c r="C43" i="144"/>
  <c r="L15" i="13"/>
  <c r="L15" i="54"/>
  <c r="W38" i="10"/>
  <c r="C42" i="144"/>
  <c r="C41" i="144" s="1"/>
  <c r="K15" i="13"/>
  <c r="K15" i="54"/>
  <c r="C43" i="143"/>
  <c r="L14" i="13"/>
  <c r="L14" i="54"/>
  <c r="T38" i="10"/>
  <c r="C42" i="143"/>
  <c r="K14" i="13"/>
  <c r="J14" i="13" s="1"/>
  <c r="K14" i="54"/>
  <c r="J14" i="54" s="1"/>
  <c r="C43" i="142"/>
  <c r="L13" i="13"/>
  <c r="L13" i="54"/>
  <c r="C42" i="142"/>
  <c r="K13" i="13"/>
  <c r="K13" i="54"/>
  <c r="C43" i="141"/>
  <c r="L12" i="13"/>
  <c r="L12" i="54"/>
  <c r="C42" i="141"/>
  <c r="K12" i="13"/>
  <c r="K12" i="54"/>
  <c r="C43" i="140"/>
  <c r="L11" i="13"/>
  <c r="L11" i="54"/>
  <c r="C42" i="140"/>
  <c r="K11" i="13"/>
  <c r="K11" i="54"/>
  <c r="E40" i="10"/>
  <c r="C43" i="139"/>
  <c r="L10" i="13"/>
  <c r="L10" i="54"/>
  <c r="K34" i="15"/>
  <c r="L34" i="15"/>
  <c r="CP12" i="16"/>
  <c r="AI31" i="10"/>
  <c r="BN11" i="15"/>
  <c r="BN9" i="15" s="1"/>
  <c r="BN10" i="15" s="1"/>
  <c r="F12" i="15"/>
  <c r="BR9" i="15"/>
  <c r="BV11" i="15"/>
  <c r="BS11" i="15"/>
  <c r="CX9" i="16"/>
  <c r="DA9" i="16" s="1"/>
  <c r="CQ11" i="15"/>
  <c r="BJ9" i="16"/>
  <c r="BL9" i="16" s="1"/>
  <c r="H19" i="16"/>
  <c r="AV12" i="16"/>
  <c r="CW12" i="16"/>
  <c r="F14" i="16"/>
  <c r="C26" i="140"/>
  <c r="C8" i="140" s="1"/>
  <c r="C9" i="140" s="1"/>
  <c r="C27" i="138"/>
  <c r="C26" i="138" s="1"/>
  <c r="C16" i="12"/>
  <c r="G16" i="13"/>
  <c r="G16" i="54"/>
  <c r="G18" i="13"/>
  <c r="G18" i="54"/>
  <c r="G20" i="13"/>
  <c r="G20" i="54"/>
  <c r="G21" i="13"/>
  <c r="G21" i="54"/>
  <c r="G13" i="13"/>
  <c r="G13" i="54"/>
  <c r="G14" i="13"/>
  <c r="G14" i="54"/>
  <c r="G17" i="13"/>
  <c r="G17" i="54"/>
  <c r="AT12" i="16"/>
  <c r="I17" i="16"/>
  <c r="I20" i="16"/>
  <c r="BI12" i="16"/>
  <c r="AG18" i="16"/>
  <c r="BL11" i="16"/>
  <c r="AO18" i="16"/>
  <c r="AC12" i="16"/>
  <c r="N11" i="16"/>
  <c r="T10" i="13"/>
  <c r="T18" i="13"/>
  <c r="D10" i="53"/>
  <c r="T10" i="54"/>
  <c r="L10" i="53"/>
  <c r="T18" i="54"/>
  <c r="Q37" i="10"/>
  <c r="O37" i="52"/>
  <c r="AO37" i="10"/>
  <c r="AM37" i="52"/>
  <c r="T37" i="10"/>
  <c r="R37" i="52"/>
  <c r="W37" i="10"/>
  <c r="U37" i="52"/>
  <c r="Z37" i="10"/>
  <c r="X37" i="52"/>
  <c r="AC37" i="10"/>
  <c r="AA37" i="52"/>
  <c r="AF37" i="10"/>
  <c r="AD37" i="52"/>
  <c r="AI37" i="10"/>
  <c r="AG37" i="52"/>
  <c r="AL37" i="10"/>
  <c r="AJ37" i="52"/>
  <c r="CO24" i="16"/>
  <c r="CR18" i="16"/>
  <c r="CR12" i="16" s="1"/>
  <c r="CO12" i="16"/>
  <c r="CG24" i="16"/>
  <c r="CG12" i="16"/>
  <c r="BQ24" i="16"/>
  <c r="BQ12" i="16"/>
  <c r="BA24" i="16"/>
  <c r="E21" i="16"/>
  <c r="BA12" i="16"/>
  <c r="AW18" i="16"/>
  <c r="E17" i="16"/>
  <c r="C12" i="16"/>
  <c r="C24" i="16"/>
  <c r="E19" i="16"/>
  <c r="I19" i="16"/>
  <c r="E15" i="16"/>
  <c r="I14" i="16"/>
  <c r="E18" i="16"/>
  <c r="U12" i="16"/>
  <c r="E31" i="16"/>
  <c r="E25" i="16"/>
  <c r="E20" i="16"/>
  <c r="Q18" i="16"/>
  <c r="P18" i="16"/>
  <c r="E16" i="16"/>
  <c r="I16" i="16"/>
  <c r="E13" i="16"/>
  <c r="AO21" i="10"/>
  <c r="AL31" i="10"/>
  <c r="T21" i="10"/>
  <c r="Q21" i="10"/>
  <c r="L13" i="15"/>
  <c r="L22" i="15"/>
  <c r="CS11" i="15"/>
  <c r="CR11" i="15"/>
  <c r="CT11" i="15"/>
  <c r="CO10" i="15"/>
  <c r="FE21" i="15"/>
  <c r="BT11" i="15"/>
  <c r="BU11" i="15"/>
  <c r="BL9" i="15"/>
  <c r="AQ9" i="16" s="1"/>
  <c r="AQ8" i="16" s="1"/>
  <c r="AQ28" i="16" s="1"/>
  <c r="AQ30" i="16" s="1"/>
  <c r="K22" i="15"/>
  <c r="AT9" i="15"/>
  <c r="AD9" i="16" s="1"/>
  <c r="FE22" i="15"/>
  <c r="AM9" i="15"/>
  <c r="AM10" i="15" s="1"/>
  <c r="F21" i="15"/>
  <c r="FF21" i="15" s="1"/>
  <c r="E11" i="15"/>
  <c r="N22" i="15"/>
  <c r="L15" i="15"/>
  <c r="N13" i="15"/>
  <c r="M15" i="15"/>
  <c r="N12" i="15"/>
  <c r="D32" i="15"/>
  <c r="P40" i="15"/>
  <c r="FC17" i="15"/>
  <c r="N15" i="15"/>
  <c r="M12" i="15"/>
  <c r="M13" i="15"/>
  <c r="FE20" i="15"/>
  <c r="C11" i="15"/>
  <c r="FF17" i="15"/>
  <c r="FE17" i="15"/>
  <c r="M22" i="15"/>
  <c r="N14" i="15"/>
  <c r="FC20" i="15"/>
  <c r="M17" i="15"/>
  <c r="FE37" i="15"/>
  <c r="K18" i="10"/>
  <c r="I18" i="52"/>
  <c r="K18" i="52" s="1"/>
  <c r="K11" i="10"/>
  <c r="I11" i="52"/>
  <c r="K11" i="52" s="1"/>
  <c r="K13" i="10"/>
  <c r="I13" i="52"/>
  <c r="K13" i="52" s="1"/>
  <c r="H18" i="52"/>
  <c r="H20" i="52"/>
  <c r="H23" i="10"/>
  <c r="F23" i="52"/>
  <c r="I27" i="52"/>
  <c r="K27" i="52" s="1"/>
  <c r="K27" i="10"/>
  <c r="N32" i="10"/>
  <c r="L32" i="52"/>
  <c r="N34" i="10"/>
  <c r="L34" i="52"/>
  <c r="N34" i="52" s="1"/>
  <c r="U36" i="10"/>
  <c r="W36" i="10" s="1"/>
  <c r="N13" i="10"/>
  <c r="L13" i="52"/>
  <c r="N13" i="52" s="1"/>
  <c r="F30" i="52"/>
  <c r="H30" i="10"/>
  <c r="N18" i="10"/>
  <c r="L18" i="52"/>
  <c r="N18" i="52" s="1"/>
  <c r="N20" i="10"/>
  <c r="L20" i="52"/>
  <c r="N20" i="52" s="1"/>
  <c r="N23" i="10"/>
  <c r="L23" i="52"/>
  <c r="N23" i="52" s="1"/>
  <c r="I30" i="52"/>
  <c r="K30" i="52" s="1"/>
  <c r="K30" i="10"/>
  <c r="H33" i="10"/>
  <c r="F33" i="52"/>
  <c r="H35" i="52"/>
  <c r="K23" i="10"/>
  <c r="I23" i="52"/>
  <c r="K23" i="52" s="1"/>
  <c r="L27" i="52"/>
  <c r="N27" i="52" s="1"/>
  <c r="N27" i="10"/>
  <c r="H10" i="10"/>
  <c r="F10" i="52"/>
  <c r="H12" i="10"/>
  <c r="F12" i="52"/>
  <c r="H14" i="10"/>
  <c r="F14" i="52"/>
  <c r="H26" i="10"/>
  <c r="F26" i="52"/>
  <c r="T27" i="10"/>
  <c r="T25" i="10" s="1"/>
  <c r="N30" i="10"/>
  <c r="L30" i="52"/>
  <c r="N30" i="52" s="1"/>
  <c r="K33" i="10"/>
  <c r="I33" i="52"/>
  <c r="K33" i="52" s="1"/>
  <c r="K35" i="10"/>
  <c r="I35" i="52"/>
  <c r="K35" i="52" s="1"/>
  <c r="N11" i="10"/>
  <c r="L11" i="52"/>
  <c r="N11" i="52" s="1"/>
  <c r="K10" i="52"/>
  <c r="K12" i="10"/>
  <c r="I12" i="52"/>
  <c r="K12" i="52" s="1"/>
  <c r="I14" i="52"/>
  <c r="K14" i="52" s="1"/>
  <c r="H19" i="10"/>
  <c r="F19" i="52"/>
  <c r="H22" i="10"/>
  <c r="F22" i="52"/>
  <c r="F24" i="52"/>
  <c r="K26" i="10"/>
  <c r="I26" i="52"/>
  <c r="W27" i="10"/>
  <c r="W25" i="10" s="1"/>
  <c r="N33" i="10"/>
  <c r="L33" i="52"/>
  <c r="N33" i="52" s="1"/>
  <c r="N35" i="10"/>
  <c r="L35" i="52"/>
  <c r="N35" i="52" s="1"/>
  <c r="N10" i="10"/>
  <c r="L10" i="52"/>
  <c r="N12" i="10"/>
  <c r="L12" i="52"/>
  <c r="N12" i="52" s="1"/>
  <c r="N14" i="10"/>
  <c r="L14" i="52"/>
  <c r="N14" i="52" s="1"/>
  <c r="K19" i="10"/>
  <c r="I19" i="52"/>
  <c r="K19" i="52" s="1"/>
  <c r="K22" i="10"/>
  <c r="I22" i="52"/>
  <c r="K24" i="10"/>
  <c r="I24" i="52"/>
  <c r="K24" i="52" s="1"/>
  <c r="N26" i="52"/>
  <c r="Z27" i="10"/>
  <c r="Z25" i="10" s="1"/>
  <c r="F28" i="10"/>
  <c r="F29" i="52"/>
  <c r="H29" i="10"/>
  <c r="AD28" i="10"/>
  <c r="K37" i="10"/>
  <c r="I37" i="52"/>
  <c r="K20" i="10"/>
  <c r="I20" i="52"/>
  <c r="K20" i="52" s="1"/>
  <c r="N19" i="10"/>
  <c r="L19" i="52"/>
  <c r="N19" i="52" s="1"/>
  <c r="N22" i="10"/>
  <c r="L22" i="52"/>
  <c r="N24" i="10"/>
  <c r="L24" i="52"/>
  <c r="N24" i="52" s="1"/>
  <c r="AC27" i="10"/>
  <c r="AC25" i="10" s="1"/>
  <c r="K29" i="10"/>
  <c r="I29" i="52"/>
  <c r="H32" i="10"/>
  <c r="F32" i="52"/>
  <c r="C34" i="10"/>
  <c r="F34" i="52"/>
  <c r="N37" i="10"/>
  <c r="L37" i="52"/>
  <c r="H11" i="10"/>
  <c r="E11" i="10" s="1"/>
  <c r="F11" i="52"/>
  <c r="H13" i="52"/>
  <c r="H27" i="10"/>
  <c r="F27" i="52"/>
  <c r="N29" i="10"/>
  <c r="L29" i="52"/>
  <c r="K32" i="10"/>
  <c r="I32" i="52"/>
  <c r="K34" i="10"/>
  <c r="I34" i="52"/>
  <c r="K34" i="52" s="1"/>
  <c r="T9" i="10"/>
  <c r="X9" i="10"/>
  <c r="U9" i="10"/>
  <c r="O25" i="10"/>
  <c r="O28" i="10"/>
  <c r="O31" i="10"/>
  <c r="H34" i="10"/>
  <c r="C13" i="10"/>
  <c r="AE32" i="1" s="1"/>
  <c r="L25" i="10"/>
  <c r="R31" i="10"/>
  <c r="AJ36" i="10"/>
  <c r="AL36" i="10" s="1"/>
  <c r="R9" i="10"/>
  <c r="L28" i="10"/>
  <c r="AD9" i="10"/>
  <c r="AJ9" i="10"/>
  <c r="X21" i="10"/>
  <c r="Q25" i="10"/>
  <c r="AO25" i="10"/>
  <c r="X28" i="10"/>
  <c r="Q28" i="10"/>
  <c r="AO28" i="10"/>
  <c r="U31" i="10"/>
  <c r="L9" i="10"/>
  <c r="AA28" i="10"/>
  <c r="T28" i="10"/>
  <c r="AG31" i="10"/>
  <c r="I9" i="10"/>
  <c r="AI21" i="10"/>
  <c r="AD25" i="10"/>
  <c r="U25" i="10"/>
  <c r="AG28" i="10"/>
  <c r="AM31" i="10"/>
  <c r="X31" i="10"/>
  <c r="R36" i="10"/>
  <c r="T36" i="10" s="1"/>
  <c r="C32" i="10"/>
  <c r="BM10" i="16"/>
  <c r="N26" i="10"/>
  <c r="AW10" i="16"/>
  <c r="CK10" i="16"/>
  <c r="T31" i="10"/>
  <c r="AN9" i="16"/>
  <c r="P10" i="16"/>
  <c r="AX10" i="16"/>
  <c r="AC9" i="10"/>
  <c r="BV10" i="16"/>
  <c r="F9" i="10"/>
  <c r="AN10" i="16"/>
  <c r="AL9" i="10"/>
  <c r="AP10" i="16"/>
  <c r="CD10" i="16"/>
  <c r="C10" i="10"/>
  <c r="AE29" i="1" s="1"/>
  <c r="AJ21" i="10"/>
  <c r="I28" i="10"/>
  <c r="F31" i="10"/>
  <c r="AD31" i="10"/>
  <c r="DB10" i="16"/>
  <c r="C19" i="10"/>
  <c r="AE35" i="1" s="1"/>
  <c r="C24" i="10"/>
  <c r="CB10" i="16"/>
  <c r="BW8" i="16"/>
  <c r="BW28" i="16" s="1"/>
  <c r="BW30" i="16" s="1"/>
  <c r="AG27" i="16"/>
  <c r="AO9" i="10"/>
  <c r="C20" i="10"/>
  <c r="AE36" i="1" s="1"/>
  <c r="L31" i="10"/>
  <c r="AJ31" i="10"/>
  <c r="Z32" i="10"/>
  <c r="Z31" i="10" s="1"/>
  <c r="E27" i="16"/>
  <c r="CS27" i="16"/>
  <c r="Z9" i="10"/>
  <c r="C14" i="10"/>
  <c r="AE33" i="1" s="1"/>
  <c r="AL21" i="10"/>
  <c r="R28" i="10"/>
  <c r="C35" i="10"/>
  <c r="AE47" i="1" s="1"/>
  <c r="BT10" i="16"/>
  <c r="Q31" i="10"/>
  <c r="AC31" i="10"/>
  <c r="AO31" i="10"/>
  <c r="AV10" i="16"/>
  <c r="BU10" i="16"/>
  <c r="X27" i="16"/>
  <c r="E9" i="12" s="1"/>
  <c r="AN27" i="16"/>
  <c r="G9" i="12" s="1"/>
  <c r="C18" i="10"/>
  <c r="AE34" i="1" s="1"/>
  <c r="AF29" i="10"/>
  <c r="AF28" i="10" s="1"/>
  <c r="Y27" i="16"/>
  <c r="AP27" i="16"/>
  <c r="CJ27" i="16"/>
  <c r="M9" i="12" s="1"/>
  <c r="CZ27" i="16"/>
  <c r="O9" i="12" s="1"/>
  <c r="Q9" i="10"/>
  <c r="L21" i="10"/>
  <c r="CZ10" i="16"/>
  <c r="CK27" i="16"/>
  <c r="DB27" i="16"/>
  <c r="AA31" i="10"/>
  <c r="BN10" i="16"/>
  <c r="CJ10" i="16"/>
  <c r="E29" i="16"/>
  <c r="F18" i="16"/>
  <c r="I18" i="16" s="1"/>
  <c r="CB18" i="16"/>
  <c r="U24" i="16"/>
  <c r="D29" i="16"/>
  <c r="CU8" i="16"/>
  <c r="CU28" i="16" s="1"/>
  <c r="CU30" i="16" s="1"/>
  <c r="CR10" i="16"/>
  <c r="BL18" i="16"/>
  <c r="H20" i="16"/>
  <c r="BT27" i="16"/>
  <c r="K9" i="12" s="1"/>
  <c r="CT10" i="16"/>
  <c r="E11" i="16"/>
  <c r="M12" i="16"/>
  <c r="BY12" i="16"/>
  <c r="BV27" i="16"/>
  <c r="BL10" i="16"/>
  <c r="G12" i="16"/>
  <c r="G8" i="16" s="1"/>
  <c r="E14" i="16"/>
  <c r="CJ18" i="16"/>
  <c r="BO30" i="16"/>
  <c r="BO23" i="16"/>
  <c r="AG10" i="16"/>
  <c r="BT18" i="16"/>
  <c r="X18" i="16"/>
  <c r="AF10" i="16"/>
  <c r="BB12" i="16"/>
  <c r="BD18" i="16"/>
  <c r="BD12" i="16" s="1"/>
  <c r="BU18" i="16"/>
  <c r="Q27" i="16"/>
  <c r="AX27" i="16"/>
  <c r="AV27" i="16"/>
  <c r="H9" i="12" s="1"/>
  <c r="BN27" i="16"/>
  <c r="BL27" i="16"/>
  <c r="J9" i="12" s="1"/>
  <c r="CC27" i="16"/>
  <c r="AH10" i="16"/>
  <c r="AS12" i="16"/>
  <c r="BE18" i="16"/>
  <c r="R27" i="16"/>
  <c r="AF27" i="16"/>
  <c r="F9" i="12" s="1"/>
  <c r="AW27" i="16"/>
  <c r="BM27" i="16"/>
  <c r="CD27" i="16"/>
  <c r="CR27" i="16"/>
  <c r="N9" i="12" s="1"/>
  <c r="EX39" i="15"/>
  <c r="EX41" i="15" s="1"/>
  <c r="EX10" i="15"/>
  <c r="N20" i="15"/>
  <c r="M20" i="15"/>
  <c r="CP39" i="15"/>
  <c r="CP41" i="15" s="1"/>
  <c r="CP10" i="15"/>
  <c r="L20" i="15"/>
  <c r="H22" i="15"/>
  <c r="L17" i="15"/>
  <c r="K17" i="15"/>
  <c r="DN9" i="15"/>
  <c r="EW10" i="15"/>
  <c r="J22" i="15"/>
  <c r="E23" i="15"/>
  <c r="DZ9" i="15"/>
  <c r="DL40" i="15"/>
  <c r="DT39" i="15"/>
  <c r="DT41" i="15" s="1"/>
  <c r="DT10" i="15"/>
  <c r="K12" i="15"/>
  <c r="J16" i="15"/>
  <c r="D16" i="15"/>
  <c r="D11" i="15" s="1"/>
  <c r="AB9" i="15"/>
  <c r="S9" i="16" s="1"/>
  <c r="S8" i="16" s="1"/>
  <c r="S28" i="16" s="1"/>
  <c r="S30" i="16" s="1"/>
  <c r="AN9" i="15"/>
  <c r="AA9" i="16" s="1"/>
  <c r="BL39" i="15"/>
  <c r="BL41" i="15" s="1"/>
  <c r="BL10" i="15"/>
  <c r="BX39" i="15"/>
  <c r="BX41" i="15" s="1"/>
  <c r="BX10" i="15"/>
  <c r="CJ9" i="15"/>
  <c r="BG9" i="16" s="1"/>
  <c r="BG8" i="16" s="1"/>
  <c r="BG28" i="16" s="1"/>
  <c r="CV39" i="15"/>
  <c r="CV41" i="15" s="1"/>
  <c r="CV10" i="15"/>
  <c r="DH39" i="15"/>
  <c r="DH41" i="15" s="1"/>
  <c r="DH10" i="15"/>
  <c r="EF9" i="15"/>
  <c r="CM9" i="16" s="1"/>
  <c r="CM8" i="16" s="1"/>
  <c r="CM28" i="16" s="1"/>
  <c r="CM30" i="16" s="1"/>
  <c r="ER39" i="15"/>
  <c r="ER41" i="15" s="1"/>
  <c r="ER10" i="15"/>
  <c r="F29" i="15"/>
  <c r="FC30" i="15"/>
  <c r="FE30" i="15"/>
  <c r="FF22" i="15"/>
  <c r="BD9" i="15"/>
  <c r="AK9" i="16" s="1"/>
  <c r="AK8" i="16" s="1"/>
  <c r="EV9" i="15"/>
  <c r="CW9" i="16" s="1"/>
  <c r="CW8" i="16" s="1"/>
  <c r="J12" i="15"/>
  <c r="FF20" i="15"/>
  <c r="AD9" i="15"/>
  <c r="AD10" i="15" s="1"/>
  <c r="BB9" i="15"/>
  <c r="BB10" i="15" s="1"/>
  <c r="BZ9" i="15"/>
  <c r="BZ10" i="15" s="1"/>
  <c r="CX9" i="15"/>
  <c r="CX10" i="15" s="1"/>
  <c r="ET9" i="15"/>
  <c r="ET10" i="15" s="1"/>
  <c r="FD20" i="15"/>
  <c r="FC22" i="15"/>
  <c r="FD22" i="15"/>
  <c r="G24" i="15"/>
  <c r="H12" i="15"/>
  <c r="H11" i="15" s="1"/>
  <c r="CZ9" i="15"/>
  <c r="BQ9" i="16" s="1"/>
  <c r="M21" i="15"/>
  <c r="K21" i="15"/>
  <c r="AG9" i="15"/>
  <c r="L14" i="15"/>
  <c r="K14" i="15"/>
  <c r="G11" i="15"/>
  <c r="N11" i="15" s="1"/>
  <c r="M16" i="15"/>
  <c r="F16" i="15"/>
  <c r="D23" i="15"/>
  <c r="DL9" i="15"/>
  <c r="BY9" i="16" s="1"/>
  <c r="F26" i="15"/>
  <c r="G28" i="15"/>
  <c r="K28" i="15" s="1"/>
  <c r="E28" i="15"/>
  <c r="I29" i="15"/>
  <c r="I26" i="15"/>
  <c r="AR9" i="15"/>
  <c r="AC9" i="16" s="1"/>
  <c r="AC8" i="16" s="1"/>
  <c r="G31" i="15"/>
  <c r="CN40" i="15"/>
  <c r="E34" i="15"/>
  <c r="EV40" i="15"/>
  <c r="DM10" i="15"/>
  <c r="M14" i="15"/>
  <c r="K20" i="15"/>
  <c r="F23" i="15"/>
  <c r="D29" i="15"/>
  <c r="F30" i="15"/>
  <c r="BD40" i="15"/>
  <c r="D30" i="15"/>
  <c r="D40" i="15" s="1"/>
  <c r="AB40" i="15"/>
  <c r="G34" i="15"/>
  <c r="I36" i="15"/>
  <c r="BY9" i="15"/>
  <c r="BY10" i="15" s="1"/>
  <c r="N37" i="15"/>
  <c r="M37" i="15"/>
  <c r="FF37" i="15"/>
  <c r="FD37" i="15"/>
  <c r="K13" i="15"/>
  <c r="K15" i="15"/>
  <c r="G26" i="15"/>
  <c r="F32" i="15"/>
  <c r="DB40" i="15"/>
  <c r="DA9" i="15"/>
  <c r="F36" i="15"/>
  <c r="L37" i="15"/>
  <c r="CZ40" i="15"/>
  <c r="G35" i="15"/>
  <c r="K35" i="15" s="1"/>
  <c r="J36" i="15"/>
  <c r="FC37" i="15"/>
  <c r="H37" i="15"/>
  <c r="K37" i="15"/>
  <c r="AF9" i="10"/>
  <c r="W21" i="10"/>
  <c r="AI25" i="10"/>
  <c r="AF31" i="10"/>
  <c r="Z21" i="10"/>
  <c r="AI28" i="10"/>
  <c r="AF25" i="10"/>
  <c r="AC21" i="10"/>
  <c r="AL25" i="10"/>
  <c r="W31" i="10"/>
  <c r="AC28" i="10"/>
  <c r="AF21" i="10"/>
  <c r="Z28" i="10"/>
  <c r="AL28" i="10"/>
  <c r="C11" i="10"/>
  <c r="AE30" i="1" s="1"/>
  <c r="O21" i="10"/>
  <c r="AA21" i="10"/>
  <c r="AM21" i="10"/>
  <c r="H20" i="10"/>
  <c r="E20" i="10" s="1"/>
  <c r="C27" i="10"/>
  <c r="C33" i="10"/>
  <c r="H13" i="10"/>
  <c r="E13" i="10" s="1"/>
  <c r="D13" i="10" s="1"/>
  <c r="F21" i="10"/>
  <c r="R21" i="10"/>
  <c r="AD21" i="10"/>
  <c r="C22" i="10"/>
  <c r="C26" i="10"/>
  <c r="O9" i="10"/>
  <c r="AA9" i="10"/>
  <c r="AM9" i="10"/>
  <c r="K10" i="10"/>
  <c r="W10" i="10"/>
  <c r="AI10" i="10"/>
  <c r="C12" i="10"/>
  <c r="AE31" i="1" s="1"/>
  <c r="H18" i="10"/>
  <c r="H35" i="10"/>
  <c r="I21" i="10"/>
  <c r="U21" i="10"/>
  <c r="AG21" i="10"/>
  <c r="C23" i="10"/>
  <c r="I25" i="10"/>
  <c r="AG25" i="10"/>
  <c r="J15" i="162" l="1"/>
  <c r="E13" i="129"/>
  <c r="F39" i="52"/>
  <c r="C39" i="10"/>
  <c r="H39" i="10"/>
  <c r="D18" i="129"/>
  <c r="J20" i="162"/>
  <c r="AE76" i="1"/>
  <c r="G35" i="170"/>
  <c r="I35" i="170" s="1"/>
  <c r="S13" i="158"/>
  <c r="X13" i="36"/>
  <c r="C16" i="117"/>
  <c r="C16" i="111"/>
  <c r="C16" i="50"/>
  <c r="Z34" i="59"/>
  <c r="N34" i="40"/>
  <c r="G11" i="162"/>
  <c r="G11" i="153"/>
  <c r="T17" i="162"/>
  <c r="T13" i="162"/>
  <c r="S14" i="158"/>
  <c r="X14" i="36"/>
  <c r="Z35" i="59"/>
  <c r="N35" i="40"/>
  <c r="Q35" i="40" s="1"/>
  <c r="R35" i="40" s="1"/>
  <c r="C40" i="145"/>
  <c r="I16" i="162"/>
  <c r="I16" i="153"/>
  <c r="L35" i="15"/>
  <c r="D9" i="129"/>
  <c r="N28" i="15"/>
  <c r="M28" i="15"/>
  <c r="T16" i="162"/>
  <c r="T11" i="162"/>
  <c r="G33" i="170"/>
  <c r="I33" i="170" s="1"/>
  <c r="Z32" i="59"/>
  <c r="AC32" i="59" s="1"/>
  <c r="AD32" i="59" s="1"/>
  <c r="N32" i="40"/>
  <c r="Q32" i="40" s="1"/>
  <c r="R32" i="40" s="1"/>
  <c r="K18" i="162"/>
  <c r="K18" i="153"/>
  <c r="L22" i="162"/>
  <c r="E12" i="129"/>
  <c r="D19" i="129"/>
  <c r="E34" i="10"/>
  <c r="AJ43" i="1" s="1"/>
  <c r="C40" i="140"/>
  <c r="I11" i="162"/>
  <c r="I11" i="153"/>
  <c r="C40" i="144"/>
  <c r="I15" i="162"/>
  <c r="I15" i="153"/>
  <c r="H15" i="153" s="1"/>
  <c r="D10" i="129"/>
  <c r="C40" i="141"/>
  <c r="I12" i="162"/>
  <c r="I12" i="153"/>
  <c r="M24" i="15"/>
  <c r="N24" i="15"/>
  <c r="M34" i="15"/>
  <c r="N34" i="15"/>
  <c r="T20" i="162"/>
  <c r="T14" i="162"/>
  <c r="G31" i="170"/>
  <c r="I31" i="170" s="1"/>
  <c r="Z30" i="59"/>
  <c r="N30" i="40"/>
  <c r="M31" i="15"/>
  <c r="N31" i="15"/>
  <c r="C40" i="149"/>
  <c r="I20" i="162"/>
  <c r="I20" i="153"/>
  <c r="H20" i="153" s="1"/>
  <c r="C40" i="143"/>
  <c r="I14" i="162"/>
  <c r="I14" i="153"/>
  <c r="D11" i="129"/>
  <c r="D17" i="129"/>
  <c r="G15" i="162"/>
  <c r="G15" i="153"/>
  <c r="G10" i="162"/>
  <c r="G10" i="153"/>
  <c r="J14" i="153"/>
  <c r="G32" i="170"/>
  <c r="I32" i="170" s="1"/>
  <c r="Z31" i="59"/>
  <c r="AC31" i="59" s="1"/>
  <c r="AD31" i="59" s="1"/>
  <c r="N31" i="40"/>
  <c r="Q31" i="40" s="1"/>
  <c r="R31" i="40" s="1"/>
  <c r="G34" i="170"/>
  <c r="Z33" i="59"/>
  <c r="N33" i="40"/>
  <c r="T21" i="162"/>
  <c r="AE77" i="1"/>
  <c r="G36" i="170"/>
  <c r="I36" i="170" s="1"/>
  <c r="S15" i="158"/>
  <c r="X15" i="36"/>
  <c r="C17" i="117"/>
  <c r="C17" i="111"/>
  <c r="C17" i="50"/>
  <c r="Z36" i="59"/>
  <c r="N36" i="40"/>
  <c r="G30" i="170"/>
  <c r="I30" i="170" s="1"/>
  <c r="AE28" i="1"/>
  <c r="AJ29" i="1"/>
  <c r="Z29" i="59"/>
  <c r="N29" i="40"/>
  <c r="E12" i="10"/>
  <c r="D12" i="10" s="1"/>
  <c r="C40" i="148"/>
  <c r="I19" i="162"/>
  <c r="I19" i="153"/>
  <c r="C40" i="150"/>
  <c r="I21" i="162"/>
  <c r="I21" i="153"/>
  <c r="D15" i="129"/>
  <c r="J14" i="162"/>
  <c r="D12" i="129"/>
  <c r="G19" i="162"/>
  <c r="G19" i="153"/>
  <c r="C40" i="146"/>
  <c r="I17" i="162"/>
  <c r="I17" i="153"/>
  <c r="N35" i="15"/>
  <c r="M35" i="15"/>
  <c r="T12" i="162"/>
  <c r="T19" i="162"/>
  <c r="L24" i="15"/>
  <c r="C41" i="149"/>
  <c r="L28" i="15"/>
  <c r="AE86" i="1"/>
  <c r="G47" i="170"/>
  <c r="S25" i="158"/>
  <c r="C24" i="117"/>
  <c r="X25" i="36"/>
  <c r="C24" i="111"/>
  <c r="C24" i="50"/>
  <c r="Z47" i="59"/>
  <c r="N47" i="40"/>
  <c r="G12" i="162"/>
  <c r="G12" i="153"/>
  <c r="C40" i="147"/>
  <c r="I18" i="162"/>
  <c r="I18" i="153"/>
  <c r="C40" i="142"/>
  <c r="I13" i="162"/>
  <c r="I13" i="153"/>
  <c r="K24" i="15"/>
  <c r="L22" i="153"/>
  <c r="C69" i="140"/>
  <c r="T11" i="153"/>
  <c r="C69" i="150"/>
  <c r="T21" i="153"/>
  <c r="C69" i="148"/>
  <c r="T19" i="153"/>
  <c r="C69" i="146"/>
  <c r="T17" i="153"/>
  <c r="C69" i="145"/>
  <c r="T16" i="153"/>
  <c r="C69" i="143"/>
  <c r="T14" i="153"/>
  <c r="C69" i="142"/>
  <c r="T13" i="153"/>
  <c r="C69" i="141"/>
  <c r="T12" i="153"/>
  <c r="C69" i="149"/>
  <c r="T20" i="153"/>
  <c r="K28" i="10"/>
  <c r="C39" i="144"/>
  <c r="N26" i="15"/>
  <c r="M26" i="15"/>
  <c r="H25" i="10"/>
  <c r="BG30" i="16"/>
  <c r="BO38" i="16"/>
  <c r="BO39" i="16"/>
  <c r="BO41" i="16"/>
  <c r="BO40" i="16"/>
  <c r="CS12" i="16"/>
  <c r="AW12" i="16"/>
  <c r="CE23" i="16"/>
  <c r="CZ9" i="16"/>
  <c r="AA8" i="16"/>
  <c r="AA28" i="16" s="1"/>
  <c r="AA30" i="16" s="1"/>
  <c r="C41" i="143"/>
  <c r="J15" i="54"/>
  <c r="J20" i="54"/>
  <c r="T21" i="13"/>
  <c r="T21" i="54"/>
  <c r="T14" i="13"/>
  <c r="T14" i="54"/>
  <c r="E10" i="53"/>
  <c r="C39" i="143"/>
  <c r="T11" i="54"/>
  <c r="L22" i="13"/>
  <c r="H10" i="53"/>
  <c r="O10" i="53"/>
  <c r="T16" i="13"/>
  <c r="T13" i="13"/>
  <c r="T12" i="13"/>
  <c r="T19" i="13"/>
  <c r="J15" i="13"/>
  <c r="J20" i="13"/>
  <c r="T13" i="54"/>
  <c r="T20" i="54"/>
  <c r="T17" i="13"/>
  <c r="T20" i="13"/>
  <c r="BM9" i="16"/>
  <c r="AG9" i="16"/>
  <c r="G10" i="53"/>
  <c r="N10" i="53"/>
  <c r="T17" i="54"/>
  <c r="T11" i="13"/>
  <c r="BN9" i="16"/>
  <c r="T12" i="54"/>
  <c r="T19" i="54"/>
  <c r="T16" i="54"/>
  <c r="DB9" i="16"/>
  <c r="K10" i="53"/>
  <c r="F10" i="53"/>
  <c r="M10" i="53"/>
  <c r="J10" i="53"/>
  <c r="BR10" i="15"/>
  <c r="BR39" i="15"/>
  <c r="BR41" i="15" s="1"/>
  <c r="BR44" i="15" s="1"/>
  <c r="EX53" i="15"/>
  <c r="EX54" i="15" s="1"/>
  <c r="EX55" i="15" s="1"/>
  <c r="EX56" i="15" s="1"/>
  <c r="C43" i="138"/>
  <c r="C18" i="129"/>
  <c r="C13" i="129"/>
  <c r="C12" i="129"/>
  <c r="L22" i="54"/>
  <c r="E20" i="129"/>
  <c r="L26" i="15"/>
  <c r="K26" i="15"/>
  <c r="E24" i="10"/>
  <c r="AJ39" i="1" s="1"/>
  <c r="E18" i="10"/>
  <c r="N28" i="10"/>
  <c r="E33" i="10"/>
  <c r="D33" i="10" s="1"/>
  <c r="E22" i="10"/>
  <c r="CH9" i="16"/>
  <c r="BZ9" i="16"/>
  <c r="BY8" i="16"/>
  <c r="F11" i="15"/>
  <c r="FD11" i="15" s="1"/>
  <c r="AT9" i="16"/>
  <c r="AW9" i="16" s="1"/>
  <c r="AF9" i="16"/>
  <c r="AH9" i="16"/>
  <c r="H21" i="10"/>
  <c r="E23" i="10"/>
  <c r="AJ7" i="10"/>
  <c r="BQ8" i="16"/>
  <c r="AY23" i="16"/>
  <c r="E27" i="10"/>
  <c r="E26" i="10"/>
  <c r="D26" i="10" s="1"/>
  <c r="AI9" i="10"/>
  <c r="G19" i="13"/>
  <c r="G19" i="54"/>
  <c r="W9" i="10"/>
  <c r="G15" i="13"/>
  <c r="G15" i="54"/>
  <c r="G11" i="13"/>
  <c r="G11" i="54"/>
  <c r="N21" i="10"/>
  <c r="G12" i="13"/>
  <c r="G12" i="54"/>
  <c r="E19" i="10"/>
  <c r="D19" i="10" s="1"/>
  <c r="G10" i="13"/>
  <c r="G10" i="54"/>
  <c r="CM23" i="16"/>
  <c r="I20" i="13"/>
  <c r="I20" i="54"/>
  <c r="I13" i="13"/>
  <c r="I13" i="54"/>
  <c r="AQ23" i="16"/>
  <c r="AQ40" i="16" s="1"/>
  <c r="F37" i="10"/>
  <c r="P11" i="16"/>
  <c r="H11" i="16" s="1"/>
  <c r="F11" i="16"/>
  <c r="I15" i="13"/>
  <c r="I15" i="54"/>
  <c r="I19" i="13"/>
  <c r="I19" i="54"/>
  <c r="I14" i="13"/>
  <c r="H14" i="13" s="1"/>
  <c r="I14" i="54"/>
  <c r="H14" i="54" s="1"/>
  <c r="I17" i="13"/>
  <c r="I17" i="54"/>
  <c r="I12" i="13"/>
  <c r="I12" i="54"/>
  <c r="I18" i="13"/>
  <c r="I18" i="54"/>
  <c r="I21" i="13"/>
  <c r="I21" i="54"/>
  <c r="I11" i="13"/>
  <c r="I11" i="54"/>
  <c r="I16" i="13"/>
  <c r="I16" i="54"/>
  <c r="C13" i="52"/>
  <c r="E13" i="52"/>
  <c r="R36" i="52"/>
  <c r="T36" i="52" s="1"/>
  <c r="T37" i="52"/>
  <c r="AF37" i="52"/>
  <c r="Z37" i="52"/>
  <c r="AO37" i="52"/>
  <c r="AI37" i="52"/>
  <c r="AL37" i="52"/>
  <c r="AJ36" i="52"/>
  <c r="AL36" i="52" s="1"/>
  <c r="AC37" i="52"/>
  <c r="W37" i="52"/>
  <c r="U36" i="52"/>
  <c r="W36" i="52" s="1"/>
  <c r="Q37" i="52"/>
  <c r="K25" i="10"/>
  <c r="BW23" i="16"/>
  <c r="BG23" i="16"/>
  <c r="BG38" i="16" s="1"/>
  <c r="E24" i="16"/>
  <c r="S23" i="16"/>
  <c r="C31" i="10"/>
  <c r="AI7" i="10"/>
  <c r="D18" i="10"/>
  <c r="D20" i="10"/>
  <c r="X7" i="10"/>
  <c r="D34" i="10"/>
  <c r="R7" i="10"/>
  <c r="E35" i="10"/>
  <c r="D35" i="10" s="1"/>
  <c r="N31" i="10"/>
  <c r="L25" i="52"/>
  <c r="E18" i="52"/>
  <c r="N9" i="10"/>
  <c r="K21" i="10"/>
  <c r="E14" i="10"/>
  <c r="K9" i="10"/>
  <c r="H31" i="10"/>
  <c r="H28" i="10"/>
  <c r="AT39" i="15"/>
  <c r="AT41" i="15" s="1"/>
  <c r="EX44" i="15"/>
  <c r="J33" i="15"/>
  <c r="AT10" i="15"/>
  <c r="AS9" i="15"/>
  <c r="AS10" i="15" s="1"/>
  <c r="P9" i="15"/>
  <c r="FE11" i="15"/>
  <c r="FC11" i="15"/>
  <c r="J11" i="15"/>
  <c r="Q7" i="10"/>
  <c r="L7" i="10"/>
  <c r="T7" i="10"/>
  <c r="K31" i="10"/>
  <c r="N32" i="52"/>
  <c r="N31" i="52" s="1"/>
  <c r="L31" i="52"/>
  <c r="C18" i="52"/>
  <c r="N37" i="52"/>
  <c r="K26" i="52"/>
  <c r="K25" i="52" s="1"/>
  <c r="I25" i="52"/>
  <c r="H26" i="52"/>
  <c r="F25" i="52"/>
  <c r="C26" i="52"/>
  <c r="H30" i="52"/>
  <c r="L28" i="52"/>
  <c r="N29" i="52"/>
  <c r="N28" i="52" s="1"/>
  <c r="H27" i="52"/>
  <c r="E27" i="52" s="1"/>
  <c r="C27" i="52"/>
  <c r="C34" i="52"/>
  <c r="H34" i="52"/>
  <c r="K37" i="52"/>
  <c r="H14" i="52"/>
  <c r="E14" i="52" s="1"/>
  <c r="C14" i="52"/>
  <c r="N25" i="52"/>
  <c r="H24" i="52"/>
  <c r="E24" i="52" s="1"/>
  <c r="C24" i="52"/>
  <c r="H23" i="52"/>
  <c r="E23" i="52" s="1"/>
  <c r="C23" i="52"/>
  <c r="H32" i="52"/>
  <c r="F31" i="52"/>
  <c r="C32" i="52"/>
  <c r="N22" i="52"/>
  <c r="N21" i="52" s="1"/>
  <c r="L21" i="52"/>
  <c r="C22" i="52"/>
  <c r="F21" i="52"/>
  <c r="H22" i="52"/>
  <c r="K9" i="52"/>
  <c r="H12" i="52"/>
  <c r="E12" i="52" s="1"/>
  <c r="C12" i="52"/>
  <c r="C35" i="52"/>
  <c r="F7" i="10"/>
  <c r="I9" i="52"/>
  <c r="E35" i="52"/>
  <c r="C20" i="52"/>
  <c r="N25" i="10"/>
  <c r="K32" i="52"/>
  <c r="K31" i="52" s="1"/>
  <c r="I31" i="52"/>
  <c r="H11" i="52"/>
  <c r="E11" i="52" s="1"/>
  <c r="C11" i="52"/>
  <c r="K29" i="52"/>
  <c r="K28" i="52" s="1"/>
  <c r="I28" i="52"/>
  <c r="H29" i="52"/>
  <c r="F28" i="52"/>
  <c r="K22" i="52"/>
  <c r="K21" i="52" s="1"/>
  <c r="I21" i="52"/>
  <c r="N10" i="52"/>
  <c r="N9" i="52" s="1"/>
  <c r="L9" i="52"/>
  <c r="C19" i="52"/>
  <c r="H19" i="52"/>
  <c r="E19" i="52" s="1"/>
  <c r="H10" i="52"/>
  <c r="F9" i="52"/>
  <c r="C10" i="52"/>
  <c r="H33" i="52"/>
  <c r="E33" i="52" s="1"/>
  <c r="C33" i="52"/>
  <c r="E20" i="52"/>
  <c r="C25" i="10"/>
  <c r="E32" i="10"/>
  <c r="AC7" i="10"/>
  <c r="C9" i="10"/>
  <c r="AD7" i="10"/>
  <c r="AF7" i="10"/>
  <c r="AM7" i="10"/>
  <c r="AL7" i="10"/>
  <c r="AG7" i="10"/>
  <c r="I7" i="10"/>
  <c r="Z7" i="10"/>
  <c r="AO7" i="10"/>
  <c r="CU23" i="16"/>
  <c r="CU40" i="16" s="1"/>
  <c r="BE12" i="16"/>
  <c r="H18" i="16"/>
  <c r="E12" i="16"/>
  <c r="BF39" i="15"/>
  <c r="BF41" i="15" s="1"/>
  <c r="FF23" i="15"/>
  <c r="FD23" i="15"/>
  <c r="DZ39" i="15"/>
  <c r="DZ41" i="15" s="1"/>
  <c r="DZ10" i="15"/>
  <c r="DL39" i="15"/>
  <c r="DL41" i="15" s="1"/>
  <c r="DL42" i="15" s="1"/>
  <c r="DL43" i="15" s="1"/>
  <c r="BY33" i="16" s="1"/>
  <c r="DL10" i="15"/>
  <c r="AR39" i="15"/>
  <c r="AR41" i="15" s="1"/>
  <c r="AR10" i="15"/>
  <c r="DA10" i="15"/>
  <c r="J26" i="15"/>
  <c r="BD39" i="15"/>
  <c r="BD41" i="15" s="1"/>
  <c r="BD10" i="15"/>
  <c r="FD30" i="15"/>
  <c r="FF30" i="15"/>
  <c r="F27" i="15"/>
  <c r="R9" i="15"/>
  <c r="R10" i="15" s="1"/>
  <c r="AN39" i="15"/>
  <c r="AN41" i="15" s="1"/>
  <c r="AN10" i="15"/>
  <c r="FE23" i="15"/>
  <c r="FC23" i="15"/>
  <c r="AQ9" i="15"/>
  <c r="S9" i="15"/>
  <c r="DN39" i="15"/>
  <c r="DN41" i="15" s="1"/>
  <c r="DN10" i="15"/>
  <c r="I27" i="15"/>
  <c r="U9" i="15"/>
  <c r="CJ39" i="15"/>
  <c r="CJ41" i="15" s="1"/>
  <c r="CP44" i="15" s="1"/>
  <c r="CJ10" i="15"/>
  <c r="EJ9" i="15"/>
  <c r="CO9" i="16" s="1"/>
  <c r="CO8" i="16" s="1"/>
  <c r="M11" i="15"/>
  <c r="AB39" i="15"/>
  <c r="AB10" i="15"/>
  <c r="CZ39" i="15"/>
  <c r="CZ10" i="15"/>
  <c r="DU9" i="15"/>
  <c r="DU10" i="15" s="1"/>
  <c r="CN9" i="15"/>
  <c r="BI9" i="16" s="1"/>
  <c r="BQ9" i="15"/>
  <c r="DB9" i="15"/>
  <c r="H26" i="15"/>
  <c r="H23" i="15"/>
  <c r="AG10" i="15"/>
  <c r="G33" i="15"/>
  <c r="J29" i="15"/>
  <c r="BC9" i="15"/>
  <c r="EU9" i="15"/>
  <c r="BE9" i="15"/>
  <c r="CM9" i="15"/>
  <c r="CR9" i="15" s="1"/>
  <c r="EI9" i="15"/>
  <c r="DX9" i="15"/>
  <c r="CG9" i="16" s="1"/>
  <c r="CG8" i="16" s="1"/>
  <c r="EF39" i="15"/>
  <c r="EF41" i="15" s="1"/>
  <c r="EF10" i="15"/>
  <c r="DY9" i="15"/>
  <c r="K11" i="15"/>
  <c r="EL9" i="15"/>
  <c r="EV39" i="15"/>
  <c r="EV41" i="15" s="1"/>
  <c r="EV42" i="15" s="1"/>
  <c r="EV43" i="15" s="1"/>
  <c r="CW33" i="16" s="1"/>
  <c r="CW30" i="16" s="1"/>
  <c r="CW28" i="16" s="1"/>
  <c r="CW23" i="16" s="1"/>
  <c r="EV10" i="15"/>
  <c r="EK9" i="15"/>
  <c r="BP9" i="15"/>
  <c r="AS9" i="16" s="1"/>
  <c r="AS8" i="16" s="1"/>
  <c r="I23" i="15"/>
  <c r="H32" i="15"/>
  <c r="G32" i="15"/>
  <c r="AE9" i="15"/>
  <c r="E27" i="15"/>
  <c r="E33" i="15"/>
  <c r="G23" i="15"/>
  <c r="L11" i="15"/>
  <c r="C21" i="10"/>
  <c r="D11" i="10"/>
  <c r="AA7" i="10"/>
  <c r="H9" i="10"/>
  <c r="O7" i="10"/>
  <c r="E10" i="10"/>
  <c r="D10" i="10" s="1"/>
  <c r="E19" i="153" l="1"/>
  <c r="F19" i="153" s="1"/>
  <c r="E19" i="162"/>
  <c r="F19" i="162" s="1"/>
  <c r="C18" i="153"/>
  <c r="C18" i="162"/>
  <c r="H14" i="153"/>
  <c r="Q30" i="40"/>
  <c r="R30" i="40" s="1"/>
  <c r="S30" i="40"/>
  <c r="D27" i="10"/>
  <c r="AJ41" i="1"/>
  <c r="X25" i="158"/>
  <c r="Y25" i="158"/>
  <c r="G22" i="153"/>
  <c r="AQ15" i="18"/>
  <c r="AC35" i="59"/>
  <c r="AD35" i="59" s="1"/>
  <c r="O34" i="40"/>
  <c r="N69" i="40"/>
  <c r="S34" i="40"/>
  <c r="Q34" i="40"/>
  <c r="R34" i="40" s="1"/>
  <c r="U34" i="40"/>
  <c r="AQ16" i="18"/>
  <c r="AA36" i="59"/>
  <c r="AE36" i="59"/>
  <c r="AC36" i="59"/>
  <c r="AD36" i="59" s="1"/>
  <c r="AG36" i="59"/>
  <c r="E17" i="153"/>
  <c r="F17" i="153" s="1"/>
  <c r="E17" i="162"/>
  <c r="F17" i="162" s="1"/>
  <c r="H47" i="170"/>
  <c r="J47" i="170" s="1"/>
  <c r="I47" i="170"/>
  <c r="AC15" i="36"/>
  <c r="AD15" i="36"/>
  <c r="G22" i="162"/>
  <c r="AC14" i="36"/>
  <c r="AD14" i="36"/>
  <c r="AE14" i="36"/>
  <c r="AF14" i="36"/>
  <c r="AQ14" i="18"/>
  <c r="AA34" i="59"/>
  <c r="AE34" i="59"/>
  <c r="AD34" i="59" s="1"/>
  <c r="AC34" i="59"/>
  <c r="AG34" i="59"/>
  <c r="E20" i="153"/>
  <c r="E20" i="162"/>
  <c r="F20" i="162" s="1"/>
  <c r="Q33" i="40"/>
  <c r="S33" i="40"/>
  <c r="AC33" i="59"/>
  <c r="AD33" i="59" s="1"/>
  <c r="AE33" i="59"/>
  <c r="C17" i="153"/>
  <c r="C17" i="162"/>
  <c r="AF86" i="1"/>
  <c r="AI86" i="1"/>
  <c r="H14" i="162"/>
  <c r="S29" i="40"/>
  <c r="Q29" i="40"/>
  <c r="N28" i="40"/>
  <c r="X14" i="158"/>
  <c r="K10" i="162"/>
  <c r="K10" i="153"/>
  <c r="K22" i="153" s="1"/>
  <c r="E39" i="10"/>
  <c r="C42" i="139"/>
  <c r="C42" i="138" s="1"/>
  <c r="K10" i="13"/>
  <c r="K22" i="13" s="1"/>
  <c r="K10" i="54"/>
  <c r="K22" i="54" s="1"/>
  <c r="C20" i="162"/>
  <c r="AC29" i="59"/>
  <c r="AE29" i="59"/>
  <c r="Z28" i="59"/>
  <c r="X15" i="158"/>
  <c r="Y15" i="158"/>
  <c r="E18" i="153"/>
  <c r="F18" i="153" s="1"/>
  <c r="E18" i="162"/>
  <c r="F18" i="162" s="1"/>
  <c r="E21" i="153"/>
  <c r="F21" i="153" s="1"/>
  <c r="E21" i="162"/>
  <c r="F21" i="162" s="1"/>
  <c r="C10" i="153"/>
  <c r="C10" i="162"/>
  <c r="C14" i="153"/>
  <c r="C14" i="162"/>
  <c r="H20" i="162"/>
  <c r="D16" i="129"/>
  <c r="C39" i="52"/>
  <c r="H39" i="52"/>
  <c r="E39" i="52" s="1"/>
  <c r="E16" i="153"/>
  <c r="E16" i="162"/>
  <c r="W18" i="158"/>
  <c r="R18" i="158" s="1"/>
  <c r="AB18" i="36"/>
  <c r="W18" i="36" s="1"/>
  <c r="S47" i="40"/>
  <c r="Q47" i="40"/>
  <c r="O47" i="40"/>
  <c r="U47" i="40"/>
  <c r="AF77" i="1"/>
  <c r="AI77" i="1"/>
  <c r="AC13" i="36"/>
  <c r="AD13" i="36"/>
  <c r="E13" i="153"/>
  <c r="F13" i="153" s="1"/>
  <c r="E13" i="162"/>
  <c r="F13" i="162" s="1"/>
  <c r="AC25" i="36"/>
  <c r="AD25" i="36"/>
  <c r="E14" i="153"/>
  <c r="E14" i="162"/>
  <c r="F14" i="162" s="1"/>
  <c r="C16" i="153"/>
  <c r="C16" i="162"/>
  <c r="AQ26" i="18"/>
  <c r="AE47" i="59"/>
  <c r="AC47" i="59"/>
  <c r="AG47" i="59"/>
  <c r="AA47" i="59"/>
  <c r="AE75" i="1"/>
  <c r="G29" i="170"/>
  <c r="S12" i="158"/>
  <c r="C39" i="149"/>
  <c r="N71" i="40"/>
  <c r="S36" i="40"/>
  <c r="U36" i="40"/>
  <c r="Q36" i="40"/>
  <c r="O36" i="40"/>
  <c r="C21" i="153"/>
  <c r="C21" i="162"/>
  <c r="AF76" i="1"/>
  <c r="AI76" i="1"/>
  <c r="AC30" i="59"/>
  <c r="AE30" i="59"/>
  <c r="C13" i="153"/>
  <c r="C13" i="162"/>
  <c r="C19" i="153"/>
  <c r="C19" i="162"/>
  <c r="C12" i="153"/>
  <c r="C12" i="162"/>
  <c r="W22" i="158"/>
  <c r="R22" i="158" s="1"/>
  <c r="AB22" i="36"/>
  <c r="W22" i="36" s="1"/>
  <c r="Y13" i="158"/>
  <c r="X13" i="158"/>
  <c r="H15" i="162"/>
  <c r="C11" i="153"/>
  <c r="C11" i="162"/>
  <c r="F16" i="153"/>
  <c r="F14" i="153"/>
  <c r="F20" i="153"/>
  <c r="C20" i="153"/>
  <c r="M32" i="15"/>
  <c r="N32" i="15"/>
  <c r="K33" i="15"/>
  <c r="E31" i="10"/>
  <c r="AT8" i="16"/>
  <c r="S38" i="16"/>
  <c r="S39" i="16"/>
  <c r="S41" i="16"/>
  <c r="BG41" i="16"/>
  <c r="BG39" i="16"/>
  <c r="CM39" i="16"/>
  <c r="CM41" i="16"/>
  <c r="CM38" i="16"/>
  <c r="AY38" i="16"/>
  <c r="AY39" i="16"/>
  <c r="AY41" i="16"/>
  <c r="BW38" i="16"/>
  <c r="BW41" i="16"/>
  <c r="BW39" i="16"/>
  <c r="S40" i="16"/>
  <c r="BG40" i="16"/>
  <c r="CE38" i="16"/>
  <c r="CE39" i="16"/>
  <c r="CE41" i="16"/>
  <c r="CE40" i="16"/>
  <c r="CM40" i="16"/>
  <c r="BW40" i="16"/>
  <c r="CU41" i="16"/>
  <c r="CU38" i="16"/>
  <c r="CU39" i="16"/>
  <c r="AQ41" i="16"/>
  <c r="AQ39" i="16"/>
  <c r="AQ38" i="16"/>
  <c r="AY40" i="16"/>
  <c r="H20" i="13"/>
  <c r="H15" i="54"/>
  <c r="H15" i="13"/>
  <c r="AA23" i="16"/>
  <c r="H20" i="54"/>
  <c r="P10" i="15"/>
  <c r="K9" i="16"/>
  <c r="CP45" i="15"/>
  <c r="EX45" i="15"/>
  <c r="CX36" i="16" s="1"/>
  <c r="CX40" i="16" s="1"/>
  <c r="AT44" i="15"/>
  <c r="AT53" i="15"/>
  <c r="AT54" i="15" s="1"/>
  <c r="AT55" i="15" s="1"/>
  <c r="AT56" i="15" s="1"/>
  <c r="AJ8" i="10"/>
  <c r="CP53" i="15"/>
  <c r="CP54" i="15" s="1"/>
  <c r="CP55" i="15" s="1"/>
  <c r="CP56" i="15" s="1"/>
  <c r="E21" i="10"/>
  <c r="C20" i="54"/>
  <c r="C20" i="13"/>
  <c r="CL9" i="16"/>
  <c r="CJ9" i="16"/>
  <c r="CK9" i="16"/>
  <c r="DZ44" i="15"/>
  <c r="DZ53" i="15"/>
  <c r="DZ54" i="15" s="1"/>
  <c r="DZ55" i="15" s="1"/>
  <c r="DZ56" i="15" s="1"/>
  <c r="FF11" i="15"/>
  <c r="DN44" i="15"/>
  <c r="DN53" i="15"/>
  <c r="DN54" i="15" s="1"/>
  <c r="DN55" i="15" s="1"/>
  <c r="DN56" i="15" s="1"/>
  <c r="CB9" i="16"/>
  <c r="CC9" i="16"/>
  <c r="CD9" i="16"/>
  <c r="BY30" i="16"/>
  <c r="BY28" i="16" s="1"/>
  <c r="BY23" i="16" s="1"/>
  <c r="CZ41" i="15"/>
  <c r="CZ42" i="15" s="1"/>
  <c r="CZ43" i="15" s="1"/>
  <c r="BQ33" i="16" s="1"/>
  <c r="BQ30" i="16" s="1"/>
  <c r="BQ28" i="16" s="1"/>
  <c r="BQ23" i="16" s="1"/>
  <c r="AV9" i="16"/>
  <c r="AX9" i="16"/>
  <c r="BR45" i="15"/>
  <c r="BR53" i="15"/>
  <c r="BR54" i="15" s="1"/>
  <c r="BR55" i="15" s="1"/>
  <c r="BR56" i="15" s="1"/>
  <c r="CP9" i="16"/>
  <c r="CP8" i="16" s="1"/>
  <c r="BR9" i="16"/>
  <c r="BI8" i="16"/>
  <c r="G22" i="13"/>
  <c r="K7" i="10"/>
  <c r="Z8" i="10"/>
  <c r="E16" i="13"/>
  <c r="F16" i="13" s="1"/>
  <c r="E16" i="54"/>
  <c r="F16" i="54" s="1"/>
  <c r="AC8" i="10"/>
  <c r="E17" i="13"/>
  <c r="E17" i="54"/>
  <c r="F17" i="54" s="1"/>
  <c r="N7" i="10"/>
  <c r="T8" i="10"/>
  <c r="E14" i="13"/>
  <c r="F14" i="13" s="1"/>
  <c r="E14" i="54"/>
  <c r="F14" i="54" s="1"/>
  <c r="E21" i="13"/>
  <c r="F21" i="13" s="1"/>
  <c r="E21" i="54"/>
  <c r="F21" i="54" s="1"/>
  <c r="AI8" i="10"/>
  <c r="E19" i="13"/>
  <c r="F19" i="13" s="1"/>
  <c r="E19" i="54"/>
  <c r="F19" i="54" s="1"/>
  <c r="O8" i="10"/>
  <c r="C13" i="13"/>
  <c r="C13" i="54"/>
  <c r="AM8" i="10"/>
  <c r="C21" i="13"/>
  <c r="C21" i="54"/>
  <c r="L8" i="10"/>
  <c r="C12" i="13"/>
  <c r="C12" i="54"/>
  <c r="AA8" i="10"/>
  <c r="C17" i="13"/>
  <c r="C17" i="54"/>
  <c r="AD8" i="10"/>
  <c r="C18" i="13"/>
  <c r="C18" i="54"/>
  <c r="X8" i="10"/>
  <c r="C16" i="13"/>
  <c r="C16" i="54"/>
  <c r="E25" i="10"/>
  <c r="R8" i="10"/>
  <c r="C14" i="13"/>
  <c r="C14" i="54"/>
  <c r="AG8" i="10"/>
  <c r="C19" i="13"/>
  <c r="C19" i="54"/>
  <c r="AL8" i="10"/>
  <c r="E20" i="13"/>
  <c r="F20" i="13" s="1"/>
  <c r="E20" i="54"/>
  <c r="F20" i="54" s="1"/>
  <c r="F8" i="10"/>
  <c r="C10" i="13"/>
  <c r="C10" i="54"/>
  <c r="G22" i="54"/>
  <c r="E18" i="13"/>
  <c r="F18" i="13" s="1"/>
  <c r="E18" i="54"/>
  <c r="F18" i="54" s="1"/>
  <c r="Q8" i="10"/>
  <c r="E13" i="13"/>
  <c r="F13" i="13" s="1"/>
  <c r="E13" i="54"/>
  <c r="F13" i="54" s="1"/>
  <c r="I11" i="16"/>
  <c r="J11" i="16"/>
  <c r="H37" i="10"/>
  <c r="F37" i="52"/>
  <c r="C37" i="10"/>
  <c r="C11" i="13"/>
  <c r="I8" i="10"/>
  <c r="C11" i="54"/>
  <c r="K7" i="52"/>
  <c r="AI46" i="10"/>
  <c r="T46" i="10"/>
  <c r="D32" i="10"/>
  <c r="E32" i="52"/>
  <c r="L7" i="52"/>
  <c r="L8" i="52" s="1"/>
  <c r="AF9" i="15"/>
  <c r="P39" i="15"/>
  <c r="P41" i="15" s="1"/>
  <c r="N7" i="52"/>
  <c r="C21" i="52"/>
  <c r="AO46" i="10"/>
  <c r="H9" i="52"/>
  <c r="E10" i="52"/>
  <c r="C31" i="52"/>
  <c r="C25" i="52"/>
  <c r="I7" i="52"/>
  <c r="I8" i="52" s="1"/>
  <c r="H21" i="52"/>
  <c r="E22" i="52"/>
  <c r="E21" i="52" s="1"/>
  <c r="H25" i="52"/>
  <c r="E26" i="52"/>
  <c r="E25" i="52" s="1"/>
  <c r="H28" i="52"/>
  <c r="H31" i="52"/>
  <c r="E34" i="52"/>
  <c r="C9" i="52"/>
  <c r="F7" i="52"/>
  <c r="F8" i="52" s="1"/>
  <c r="AL46" i="10"/>
  <c r="AF8" i="10"/>
  <c r="Z46" i="10"/>
  <c r="AF46" i="10"/>
  <c r="AO8" i="10"/>
  <c r="AE10" i="15"/>
  <c r="AI10" i="15" s="1"/>
  <c r="AL9" i="15"/>
  <c r="AK9" i="15"/>
  <c r="AJ9" i="15"/>
  <c r="AI9" i="15"/>
  <c r="BP39" i="15"/>
  <c r="BP41" i="15" s="1"/>
  <c r="BP10" i="15"/>
  <c r="N23" i="15"/>
  <c r="M23" i="15"/>
  <c r="L23" i="15"/>
  <c r="K23" i="15"/>
  <c r="FD27" i="15"/>
  <c r="FF27" i="15"/>
  <c r="DY10" i="15"/>
  <c r="BQ10" i="15"/>
  <c r="AQ10" i="15"/>
  <c r="AX9" i="15"/>
  <c r="AW9" i="15"/>
  <c r="AV9" i="15"/>
  <c r="AU9" i="15"/>
  <c r="H29" i="15"/>
  <c r="AR42" i="15"/>
  <c r="AR43" i="15" s="1"/>
  <c r="AC33" i="16" s="1"/>
  <c r="AC30" i="16" s="1"/>
  <c r="AC28" i="16" s="1"/>
  <c r="AC23" i="16" s="1"/>
  <c r="DX39" i="15"/>
  <c r="DX41" i="15" s="1"/>
  <c r="DX42" i="15" s="1"/>
  <c r="DX43" i="15" s="1"/>
  <c r="DX10" i="15"/>
  <c r="BC10" i="15"/>
  <c r="FC27" i="15"/>
  <c r="FE27" i="15"/>
  <c r="BH9" i="15"/>
  <c r="BG9" i="15"/>
  <c r="BE10" i="15"/>
  <c r="DB39" i="15"/>
  <c r="DB10" i="15"/>
  <c r="CN39" i="15"/>
  <c r="CN41" i="15" s="1"/>
  <c r="CN42" i="15" s="1"/>
  <c r="CN43" i="15" s="1"/>
  <c r="CN10" i="15"/>
  <c r="E9" i="15"/>
  <c r="H27" i="15"/>
  <c r="AH9" i="15"/>
  <c r="AH39" i="15" s="1"/>
  <c r="AH41" i="15" s="1"/>
  <c r="J23" i="15"/>
  <c r="EN9" i="15"/>
  <c r="EM9" i="15"/>
  <c r="EK10" i="15"/>
  <c r="EL39" i="15"/>
  <c r="EL41" i="15" s="1"/>
  <c r="EL53" i="15" s="1"/>
  <c r="EL10" i="15"/>
  <c r="CM10" i="15"/>
  <c r="CT9" i="15"/>
  <c r="CS9" i="15"/>
  <c r="CQ9" i="15"/>
  <c r="EU10" i="15"/>
  <c r="FB9" i="15"/>
  <c r="FA9" i="15"/>
  <c r="EZ9" i="15"/>
  <c r="EY9" i="15"/>
  <c r="CA9" i="15"/>
  <c r="T9" i="15"/>
  <c r="EI10" i="15"/>
  <c r="EO9" i="15"/>
  <c r="EP9" i="15"/>
  <c r="AB41" i="15"/>
  <c r="G29" i="15"/>
  <c r="CB9" i="15"/>
  <c r="BA9" i="16" s="1"/>
  <c r="BA8" i="16" s="1"/>
  <c r="G36" i="15"/>
  <c r="J27" i="15"/>
  <c r="V9" i="15"/>
  <c r="N9" i="16" s="1"/>
  <c r="EJ10" i="15"/>
  <c r="EJ39" i="15"/>
  <c r="EJ41" i="15" s="1"/>
  <c r="EJ42" i="15" s="1"/>
  <c r="EJ43" i="15" s="1"/>
  <c r="CO33" i="16" s="1"/>
  <c r="CO30" i="16" s="1"/>
  <c r="CO28" i="16" s="1"/>
  <c r="CO23" i="16" s="1"/>
  <c r="DK9" i="15"/>
  <c r="G30" i="15"/>
  <c r="BO9" i="15"/>
  <c r="S10" i="15"/>
  <c r="Z9" i="15"/>
  <c r="Y9" i="15"/>
  <c r="L33" i="15"/>
  <c r="CY9" i="15"/>
  <c r="H30" i="15"/>
  <c r="H40" i="15" s="1"/>
  <c r="U10" i="15"/>
  <c r="X9" i="15"/>
  <c r="W9" i="15"/>
  <c r="F9" i="15"/>
  <c r="Q46" i="10"/>
  <c r="H7" i="10"/>
  <c r="E9" i="10"/>
  <c r="AC46" i="10"/>
  <c r="AW26" i="18" l="1"/>
  <c r="AS26" i="18"/>
  <c r="AQ148" i="18"/>
  <c r="AU26" i="18"/>
  <c r="AV26" i="18"/>
  <c r="AY26" i="18" s="1"/>
  <c r="N67" i="40"/>
  <c r="N80" i="40" s="1"/>
  <c r="O28" i="40"/>
  <c r="U28" i="40"/>
  <c r="R33" i="40"/>
  <c r="C40" i="139"/>
  <c r="I10" i="162"/>
  <c r="I10" i="153"/>
  <c r="I22" i="153" s="1"/>
  <c r="E12" i="162"/>
  <c r="F12" i="162" s="1"/>
  <c r="AD30" i="59"/>
  <c r="S28" i="40"/>
  <c r="AQ136" i="18"/>
  <c r="AS16" i="18"/>
  <c r="AW16" i="18"/>
  <c r="AV16" i="18"/>
  <c r="AU16" i="18"/>
  <c r="F16" i="162"/>
  <c r="W20" i="158"/>
  <c r="AB20" i="36"/>
  <c r="X12" i="158"/>
  <c r="Q28" i="40"/>
  <c r="R29" i="40"/>
  <c r="R28" i="40" s="1"/>
  <c r="AH76" i="1"/>
  <c r="AJ76" i="1" s="1"/>
  <c r="AG76" i="1"/>
  <c r="AG86" i="1"/>
  <c r="AH86" i="1"/>
  <c r="AJ86" i="1" s="1"/>
  <c r="AF75" i="1"/>
  <c r="AI75" i="1"/>
  <c r="D8" i="129"/>
  <c r="K22" i="162"/>
  <c r="E10" i="162"/>
  <c r="AA28" i="59"/>
  <c r="AQ13" i="18"/>
  <c r="AG28" i="59"/>
  <c r="AH77" i="1"/>
  <c r="AJ77" i="1" s="1"/>
  <c r="AG77" i="1"/>
  <c r="AE28" i="59"/>
  <c r="AQ130" i="18"/>
  <c r="AU14" i="18"/>
  <c r="AS14" i="18"/>
  <c r="AV14" i="18"/>
  <c r="AW14" i="18"/>
  <c r="E11" i="162"/>
  <c r="F11" i="162" s="1"/>
  <c r="AD29" i="59"/>
  <c r="AC28" i="59"/>
  <c r="AW15" i="18"/>
  <c r="AV15" i="18"/>
  <c r="AS15" i="18"/>
  <c r="AU15" i="18"/>
  <c r="R36" i="40"/>
  <c r="CX41" i="16"/>
  <c r="CX31" i="16" s="1"/>
  <c r="E11" i="54"/>
  <c r="F11" i="54" s="1"/>
  <c r="E11" i="153"/>
  <c r="F11" i="153" s="1"/>
  <c r="N46" i="10"/>
  <c r="E12" i="153"/>
  <c r="H46" i="10"/>
  <c r="E10" i="153"/>
  <c r="CX38" i="16"/>
  <c r="DA38" i="16" s="1"/>
  <c r="CX39" i="16"/>
  <c r="CY39" i="16" s="1"/>
  <c r="BP42" i="15"/>
  <c r="BP43" i="15" s="1"/>
  <c r="AS33" i="16" s="1"/>
  <c r="AS30" i="16" s="1"/>
  <c r="M29" i="15"/>
  <c r="N29" i="15"/>
  <c r="K29" i="15"/>
  <c r="L29" i="15"/>
  <c r="L36" i="15"/>
  <c r="K36" i="15"/>
  <c r="CP60" i="15"/>
  <c r="BJ36" i="16"/>
  <c r="BJ41" i="16" s="1"/>
  <c r="BR60" i="15"/>
  <c r="AT36" i="16"/>
  <c r="AT40" i="16" s="1"/>
  <c r="CY40" i="16"/>
  <c r="AA41" i="16"/>
  <c r="AA39" i="16"/>
  <c r="AA38" i="16"/>
  <c r="AA40" i="16"/>
  <c r="K46" i="10"/>
  <c r="DN45" i="15"/>
  <c r="BZ36" i="16" s="1"/>
  <c r="BZ40" i="16" s="1"/>
  <c r="P17" i="45"/>
  <c r="P13" i="45" s="1"/>
  <c r="P5" i="45" s="1"/>
  <c r="P31" i="45" s="1"/>
  <c r="CX15" i="16" s="1"/>
  <c r="DZ45" i="15"/>
  <c r="CH36" i="16" s="1"/>
  <c r="CH38" i="16" s="1"/>
  <c r="EX60" i="15"/>
  <c r="AT45" i="15"/>
  <c r="AD36" i="16" s="1"/>
  <c r="K17" i="45"/>
  <c r="K13" i="45" s="1"/>
  <c r="K5" i="45" s="1"/>
  <c r="AH53" i="15"/>
  <c r="AH54" i="15" s="1"/>
  <c r="K8" i="16"/>
  <c r="K28" i="16" s="1"/>
  <c r="I17" i="45"/>
  <c r="I13" i="45" s="1"/>
  <c r="I5" i="45" s="1"/>
  <c r="I31" i="45" s="1"/>
  <c r="CG33" i="16"/>
  <c r="CG30" i="16" s="1"/>
  <c r="CG28" i="16" s="1"/>
  <c r="CG23" i="16" s="1"/>
  <c r="K8" i="10"/>
  <c r="N46" i="52"/>
  <c r="N8" i="10"/>
  <c r="V9" i="16"/>
  <c r="AJ10" i="15"/>
  <c r="AF39" i="15"/>
  <c r="U9" i="16"/>
  <c r="U8" i="16" s="1"/>
  <c r="Q9" i="16"/>
  <c r="P9" i="16"/>
  <c r="R9" i="16"/>
  <c r="T39" i="15"/>
  <c r="T41" i="15" s="1"/>
  <c r="T42" i="15" s="1"/>
  <c r="M9" i="16"/>
  <c r="CS9" i="16"/>
  <c r="CT9" i="16"/>
  <c r="CR9" i="16"/>
  <c r="EL44" i="15"/>
  <c r="EL54" i="15"/>
  <c r="EL55" i="15" s="1"/>
  <c r="EL56" i="15" s="1"/>
  <c r="BU9" i="16"/>
  <c r="BV9" i="16"/>
  <c r="BT9" i="16"/>
  <c r="BI33" i="16"/>
  <c r="C40" i="138"/>
  <c r="E11" i="13"/>
  <c r="F17" i="13"/>
  <c r="E10" i="13"/>
  <c r="F10" i="13" s="1"/>
  <c r="E10" i="54"/>
  <c r="E12" i="13"/>
  <c r="E12" i="54"/>
  <c r="C37" i="52"/>
  <c r="H37" i="52"/>
  <c r="E37" i="52" s="1"/>
  <c r="I10" i="13"/>
  <c r="I10" i="54"/>
  <c r="E37" i="10"/>
  <c r="K15" i="8" s="1"/>
  <c r="K8" i="52"/>
  <c r="E31" i="52"/>
  <c r="N8" i="52"/>
  <c r="DB41" i="15"/>
  <c r="DB44" i="15" s="1"/>
  <c r="V39" i="15"/>
  <c r="V41" i="15" s="1"/>
  <c r="AF10" i="15"/>
  <c r="AF40" i="15"/>
  <c r="K46" i="52"/>
  <c r="E9" i="52"/>
  <c r="H7" i="52"/>
  <c r="BO10" i="15"/>
  <c r="BT10" i="15" s="1"/>
  <c r="BV9" i="15"/>
  <c r="BU9" i="15"/>
  <c r="H36" i="15"/>
  <c r="G27" i="15"/>
  <c r="DW9" i="15"/>
  <c r="DK10" i="15"/>
  <c r="DR9" i="15"/>
  <c r="DQ9" i="15"/>
  <c r="DP9" i="15"/>
  <c r="DO9" i="15"/>
  <c r="CA10" i="15"/>
  <c r="CH9" i="15"/>
  <c r="CG9" i="15"/>
  <c r="CT10" i="15"/>
  <c r="CS10" i="15"/>
  <c r="CR10" i="15"/>
  <c r="CQ10" i="15"/>
  <c r="T10" i="15"/>
  <c r="EN10" i="15"/>
  <c r="EM10" i="15"/>
  <c r="CB39" i="15"/>
  <c r="CB41" i="15" s="1"/>
  <c r="CB10" i="15"/>
  <c r="N30" i="15"/>
  <c r="M30" i="15"/>
  <c r="E10" i="15"/>
  <c r="AH10" i="15"/>
  <c r="X10" i="15"/>
  <c r="W10" i="15"/>
  <c r="Z10" i="15"/>
  <c r="Y10" i="15"/>
  <c r="H33" i="15"/>
  <c r="H9" i="15" s="1"/>
  <c r="H10" i="15" s="1"/>
  <c r="V10" i="15"/>
  <c r="BH10" i="15"/>
  <c r="BG10" i="15"/>
  <c r="AW10" i="15"/>
  <c r="AX10" i="15"/>
  <c r="AV10" i="15"/>
  <c r="AU10" i="15"/>
  <c r="BS9" i="15"/>
  <c r="F10" i="15"/>
  <c r="BT9" i="15"/>
  <c r="EO10" i="15"/>
  <c r="EP10" i="15"/>
  <c r="FB10" i="15"/>
  <c r="FA10" i="15"/>
  <c r="EZ10" i="15"/>
  <c r="EY10" i="15"/>
  <c r="CY10" i="15"/>
  <c r="DF9" i="15"/>
  <c r="DE9" i="15"/>
  <c r="DC9" i="15"/>
  <c r="DD9" i="15"/>
  <c r="AL10" i="15"/>
  <c r="AK10" i="15"/>
  <c r="H8" i="10"/>
  <c r="F10" i="162" l="1"/>
  <c r="D20" i="129"/>
  <c r="BJ39" i="16"/>
  <c r="AD28" i="59"/>
  <c r="AQ131" i="18"/>
  <c r="AV130" i="18"/>
  <c r="BH130" i="18" s="1"/>
  <c r="AR131" i="18"/>
  <c r="AB29" i="36"/>
  <c r="Z29" i="36" s="1"/>
  <c r="X29" i="36" s="1"/>
  <c r="K66" i="8"/>
  <c r="AT39" i="16"/>
  <c r="AH75" i="1"/>
  <c r="AJ75" i="1" s="1"/>
  <c r="AG75" i="1"/>
  <c r="BH16" i="18"/>
  <c r="AY16" i="18"/>
  <c r="AY15" i="18"/>
  <c r="BH15" i="18"/>
  <c r="AY14" i="18"/>
  <c r="BH14" i="18"/>
  <c r="I22" i="162"/>
  <c r="AQ149" i="18"/>
  <c r="AV148" i="18"/>
  <c r="AY148" i="18" s="1"/>
  <c r="AR149" i="18"/>
  <c r="AQ108" i="18"/>
  <c r="AU13" i="18"/>
  <c r="AS13" i="18"/>
  <c r="AW13" i="18"/>
  <c r="AV13" i="18"/>
  <c r="AQ137" i="18"/>
  <c r="AW137" i="18" s="1"/>
  <c r="AV136" i="18"/>
  <c r="AY136" i="18" s="1"/>
  <c r="BE136" i="18" s="1"/>
  <c r="BH136" i="18" s="1"/>
  <c r="AR137" i="18"/>
  <c r="F12" i="153"/>
  <c r="F10" i="153"/>
  <c r="CZ15" i="16"/>
  <c r="CX12" i="16"/>
  <c r="CX33" i="16"/>
  <c r="DA33" i="16" s="1"/>
  <c r="CH41" i="16"/>
  <c r="CH31" i="16" s="1"/>
  <c r="CH40" i="16"/>
  <c r="CI40" i="16" s="1"/>
  <c r="CH39" i="16"/>
  <c r="BZ38" i="16"/>
  <c r="CC38" i="16" s="1"/>
  <c r="BZ41" i="16"/>
  <c r="BZ31" i="16" s="1"/>
  <c r="BZ39" i="16"/>
  <c r="BZ29" i="16" s="1"/>
  <c r="AT33" i="16"/>
  <c r="AW33" i="16" s="1"/>
  <c r="AU40" i="16"/>
  <c r="AT41" i="16"/>
  <c r="AT29" i="16"/>
  <c r="AW29" i="16" s="1"/>
  <c r="AT38" i="16"/>
  <c r="AW38" i="16" s="1"/>
  <c r="AD40" i="16"/>
  <c r="AE40" i="16" s="1"/>
  <c r="AD38" i="16"/>
  <c r="AF38" i="16" s="1"/>
  <c r="AD39" i="16"/>
  <c r="AD41" i="16"/>
  <c r="AE41" i="16" s="1"/>
  <c r="BJ40" i="16"/>
  <c r="BK40" i="16" s="1"/>
  <c r="BJ38" i="16"/>
  <c r="CH29" i="16"/>
  <c r="CX25" i="16"/>
  <c r="BK41" i="16"/>
  <c r="G9" i="15"/>
  <c r="G10" i="15" s="1"/>
  <c r="M27" i="15"/>
  <c r="N27" i="15"/>
  <c r="L27" i="15"/>
  <c r="K27" i="15"/>
  <c r="CX43" i="16"/>
  <c r="CX44" i="16" s="1"/>
  <c r="BJ31" i="16"/>
  <c r="AE39" i="16"/>
  <c r="CY41" i="16"/>
  <c r="CX29" i="16"/>
  <c r="CY38" i="16"/>
  <c r="P33" i="45"/>
  <c r="CZ33" i="16"/>
  <c r="DB31" i="16"/>
  <c r="CZ31" i="16"/>
  <c r="O14" i="12" s="1"/>
  <c r="DA31" i="16"/>
  <c r="DZ60" i="15"/>
  <c r="DN60" i="15"/>
  <c r="AV33" i="16"/>
  <c r="N17" i="45"/>
  <c r="N13" i="45" s="1"/>
  <c r="N5" i="45" s="1"/>
  <c r="N31" i="45" s="1"/>
  <c r="EL45" i="15"/>
  <c r="K30" i="16"/>
  <c r="K23" i="16"/>
  <c r="AU58" i="15"/>
  <c r="AU71" i="15" s="1"/>
  <c r="G17" i="45"/>
  <c r="G13" i="45" s="1"/>
  <c r="G5" i="45" s="1"/>
  <c r="G31" i="45" s="1"/>
  <c r="AD15" i="16" s="1"/>
  <c r="AT60" i="15"/>
  <c r="M17" i="45"/>
  <c r="M13" i="45" s="1"/>
  <c r="M5" i="45" s="1"/>
  <c r="M31" i="45" s="1"/>
  <c r="BZ15" i="16" s="1"/>
  <c r="BZ33" i="16" s="1"/>
  <c r="DO57" i="15"/>
  <c r="CB42" i="15"/>
  <c r="CB43" i="15" s="1"/>
  <c r="BS10" i="15"/>
  <c r="AS28" i="16"/>
  <c r="AS23" i="16" s="1"/>
  <c r="F11" i="13"/>
  <c r="X9" i="16"/>
  <c r="Z9" i="16"/>
  <c r="Y9" i="16"/>
  <c r="AF41" i="15"/>
  <c r="AF42" i="15" s="1"/>
  <c r="AF43" i="15" s="1"/>
  <c r="U33" i="16" s="1"/>
  <c r="U30" i="16" s="1"/>
  <c r="U28" i="16" s="1"/>
  <c r="U23" i="16" s="1"/>
  <c r="V44" i="15"/>
  <c r="V45" i="15" s="1"/>
  <c r="E17" i="45" s="1"/>
  <c r="V53" i="15"/>
  <c r="V54" i="15" s="1"/>
  <c r="V55" i="15" s="1"/>
  <c r="V56" i="15" s="1"/>
  <c r="M8" i="16"/>
  <c r="E9" i="16"/>
  <c r="E8" i="16" s="1"/>
  <c r="P32" i="45"/>
  <c r="DB45" i="15"/>
  <c r="BR36" i="16" s="1"/>
  <c r="DB53" i="15"/>
  <c r="DB54" i="15" s="1"/>
  <c r="DB55" i="15" s="1"/>
  <c r="DB56" i="15" s="1"/>
  <c r="K31" i="45"/>
  <c r="BI30" i="16"/>
  <c r="F10" i="54"/>
  <c r="F12" i="54"/>
  <c r="F12" i="13"/>
  <c r="I32" i="45"/>
  <c r="CK21" i="16"/>
  <c r="CJ21" i="16"/>
  <c r="AG44" i="10" s="1"/>
  <c r="DA21" i="16"/>
  <c r="CZ21" i="16"/>
  <c r="CC21" i="16"/>
  <c r="CB21" i="16"/>
  <c r="I33" i="45"/>
  <c r="AV21" i="16"/>
  <c r="AV8" i="16" s="1"/>
  <c r="AW21" i="16"/>
  <c r="BM21" i="16"/>
  <c r="BL21" i="16"/>
  <c r="I22" i="13"/>
  <c r="C49" i="49"/>
  <c r="D47" i="123"/>
  <c r="D47" i="118"/>
  <c r="C50" i="116"/>
  <c r="D47" i="112"/>
  <c r="D37" i="51"/>
  <c r="I22" i="54"/>
  <c r="H46" i="52"/>
  <c r="H8" i="52"/>
  <c r="DW10" i="15"/>
  <c r="ED9" i="15"/>
  <c r="EC9" i="15"/>
  <c r="EB9" i="15"/>
  <c r="EA9" i="15"/>
  <c r="CH10" i="15"/>
  <c r="CG10" i="15"/>
  <c r="DF10" i="15"/>
  <c r="DE10" i="15"/>
  <c r="DD10" i="15"/>
  <c r="DC10" i="15"/>
  <c r="H39" i="15"/>
  <c r="H41" i="15" s="1"/>
  <c r="T43" i="15"/>
  <c r="M33" i="16" s="1"/>
  <c r="DR10" i="15"/>
  <c r="DQ10" i="15"/>
  <c r="DO10" i="15"/>
  <c r="DP10" i="15"/>
  <c r="BV10" i="15"/>
  <c r="BU10" i="15"/>
  <c r="BM38" i="16" l="1"/>
  <c r="BK38" i="16"/>
  <c r="AW149" i="18"/>
  <c r="AY13" i="18"/>
  <c r="BH13" i="18"/>
  <c r="AW131" i="18"/>
  <c r="X21" i="153"/>
  <c r="X21" i="162"/>
  <c r="AQ109" i="18"/>
  <c r="AW109" i="18" s="1"/>
  <c r="AV108" i="18"/>
  <c r="AY108" i="18" s="1"/>
  <c r="BE108" i="18" s="1"/>
  <c r="BH108" i="18" s="1"/>
  <c r="AR109" i="18"/>
  <c r="AD31" i="16"/>
  <c r="AE38" i="16"/>
  <c r="DA12" i="16"/>
  <c r="CX8" i="16"/>
  <c r="AM41" i="10"/>
  <c r="CZ12" i="16"/>
  <c r="AF15" i="16"/>
  <c r="AD12" i="16"/>
  <c r="AD33" i="16"/>
  <c r="AG33" i="16" s="1"/>
  <c r="BR39" i="16"/>
  <c r="BR38" i="16"/>
  <c r="BV38" i="16" s="1"/>
  <c r="BR40" i="16"/>
  <c r="BR41" i="16"/>
  <c r="BL33" i="16"/>
  <c r="BJ15" i="16"/>
  <c r="BL31" i="16"/>
  <c r="AD25" i="16"/>
  <c r="AD29" i="16"/>
  <c r="AF29" i="16" s="1"/>
  <c r="F12" i="12" s="1"/>
  <c r="AU38" i="16"/>
  <c r="AT25" i="16"/>
  <c r="BN31" i="16"/>
  <c r="H19" i="17"/>
  <c r="I19" i="17" s="1"/>
  <c r="BM31" i="16"/>
  <c r="AX29" i="16"/>
  <c r="AD43" i="16"/>
  <c r="H10" i="17" s="1"/>
  <c r="I10" i="17" s="1"/>
  <c r="AU39" i="16"/>
  <c r="AV29" i="16"/>
  <c r="AT31" i="16"/>
  <c r="AU41" i="16"/>
  <c r="BS40" i="16"/>
  <c r="BJ29" i="16"/>
  <c r="BJ43" i="16"/>
  <c r="BK39" i="16"/>
  <c r="AF33" i="16"/>
  <c r="F15" i="12" s="1"/>
  <c r="BJ25" i="16"/>
  <c r="EL60" i="15"/>
  <c r="CP36" i="16"/>
  <c r="CB15" i="16"/>
  <c r="CB12" i="16" s="1"/>
  <c r="BZ12" i="16"/>
  <c r="N36" i="16"/>
  <c r="AT43" i="16"/>
  <c r="AS37" i="16" s="1"/>
  <c r="AF31" i="16"/>
  <c r="F14" i="12" s="1"/>
  <c r="AG31" i="16"/>
  <c r="AH31" i="16"/>
  <c r="K41" i="16"/>
  <c r="K39" i="16"/>
  <c r="K38" i="16"/>
  <c r="C74" i="150"/>
  <c r="O15" i="53"/>
  <c r="X21" i="13"/>
  <c r="X21" i="54"/>
  <c r="K40" i="16"/>
  <c r="CI38" i="16"/>
  <c r="CH25" i="16"/>
  <c r="CI41" i="16"/>
  <c r="CH43" i="16"/>
  <c r="CI39" i="16"/>
  <c r="CJ33" i="16"/>
  <c r="M15" i="12" s="1"/>
  <c r="CA41" i="16"/>
  <c r="BZ43" i="16"/>
  <c r="CA39" i="16"/>
  <c r="BZ25" i="16"/>
  <c r="CA38" i="16"/>
  <c r="CA40" i="16"/>
  <c r="H15" i="12"/>
  <c r="J15" i="12"/>
  <c r="N33" i="45"/>
  <c r="M32" i="45"/>
  <c r="CB33" i="16"/>
  <c r="AG44" i="52"/>
  <c r="AI44" i="52" s="1"/>
  <c r="AI44" i="10"/>
  <c r="R44" i="10"/>
  <c r="AD44" i="10"/>
  <c r="X44" i="10"/>
  <c r="V60" i="15"/>
  <c r="M33" i="45"/>
  <c r="CC33" i="16"/>
  <c r="O17" i="45"/>
  <c r="O13" i="45" s="1"/>
  <c r="O5" i="45" s="1"/>
  <c r="O31" i="45" s="1"/>
  <c r="N32" i="45"/>
  <c r="CH15" i="16" s="1"/>
  <c r="L17" i="45"/>
  <c r="L13" i="45" s="1"/>
  <c r="L5" i="45" s="1"/>
  <c r="L31" i="45" s="1"/>
  <c r="DB60" i="15"/>
  <c r="CZ8" i="16"/>
  <c r="AM44" i="10"/>
  <c r="BA33" i="16"/>
  <c r="BA30" i="16" s="1"/>
  <c r="AH44" i="15"/>
  <c r="AH55" i="15"/>
  <c r="AH56" i="15" s="1"/>
  <c r="M30" i="16"/>
  <c r="M28" i="16" s="1"/>
  <c r="M23" i="16" s="1"/>
  <c r="K33" i="45"/>
  <c r="K32" i="45"/>
  <c r="BI28" i="16"/>
  <c r="BI23" i="16" s="1"/>
  <c r="AW8" i="16"/>
  <c r="AX8" i="16"/>
  <c r="BU21" i="16"/>
  <c r="BT21" i="16"/>
  <c r="CS21" i="16"/>
  <c r="CR21" i="16"/>
  <c r="CR8" i="16" s="1"/>
  <c r="G33" i="45"/>
  <c r="G32" i="45"/>
  <c r="BE21" i="16"/>
  <c r="BD21" i="16"/>
  <c r="DB8" i="16"/>
  <c r="DA8" i="16"/>
  <c r="AG21" i="16"/>
  <c r="AF21" i="16"/>
  <c r="ED10" i="15"/>
  <c r="EC10" i="15"/>
  <c r="EB10" i="15"/>
  <c r="EA10" i="15"/>
  <c r="Y19" i="162" l="1"/>
  <c r="Y16" i="162"/>
  <c r="X12" i="153"/>
  <c r="X12" i="162"/>
  <c r="V12" i="153"/>
  <c r="V12" i="162"/>
  <c r="Y12" i="153"/>
  <c r="Y12" i="162"/>
  <c r="Y14" i="162"/>
  <c r="P19" i="162"/>
  <c r="P19" i="153"/>
  <c r="H12" i="12"/>
  <c r="AV50" i="16"/>
  <c r="Y19" i="54"/>
  <c r="Y19" i="153"/>
  <c r="C75" i="145"/>
  <c r="Y16" i="153"/>
  <c r="C75" i="143"/>
  <c r="Y14" i="153"/>
  <c r="AO41" i="10"/>
  <c r="AM41" i="52"/>
  <c r="AM38" i="10"/>
  <c r="AM36" i="10" s="1"/>
  <c r="AO36" i="10" s="1"/>
  <c r="AG12" i="16"/>
  <c r="AG8" i="16" s="1"/>
  <c r="AD8" i="16"/>
  <c r="AH8" i="16" s="1"/>
  <c r="L41" i="10"/>
  <c r="AF12" i="16"/>
  <c r="AF8" i="16" s="1"/>
  <c r="BL15" i="16"/>
  <c r="BJ12" i="16"/>
  <c r="BJ33" i="16"/>
  <c r="BM33" i="16" s="1"/>
  <c r="N40" i="16"/>
  <c r="N38" i="16"/>
  <c r="N25" i="16" s="1"/>
  <c r="N39" i="16"/>
  <c r="O39" i="16" s="1"/>
  <c r="N41" i="16"/>
  <c r="N31" i="16" s="1"/>
  <c r="CP38" i="16"/>
  <c r="CT38" i="16" s="1"/>
  <c r="CP41" i="16"/>
  <c r="CP40" i="16"/>
  <c r="CQ40" i="16" s="1"/>
  <c r="CP39" i="16"/>
  <c r="AG29" i="16"/>
  <c r="AH29" i="16"/>
  <c r="AD44" i="16"/>
  <c r="J14" i="12"/>
  <c r="BT33" i="16"/>
  <c r="BR15" i="16"/>
  <c r="H13" i="53"/>
  <c r="V14" i="13"/>
  <c r="Y14" i="54"/>
  <c r="H16" i="53"/>
  <c r="Y14" i="13"/>
  <c r="O40" i="16"/>
  <c r="AV31" i="16"/>
  <c r="AX31" i="16"/>
  <c r="AW31" i="16"/>
  <c r="BR25" i="16"/>
  <c r="BS38" i="16"/>
  <c r="AT44" i="16"/>
  <c r="H12" i="17"/>
  <c r="I12" i="17" s="1"/>
  <c r="BR43" i="16"/>
  <c r="BR29" i="16"/>
  <c r="BS39" i="16"/>
  <c r="BJ44" i="16"/>
  <c r="H14" i="17"/>
  <c r="I14" i="17" s="1"/>
  <c r="BI38" i="16"/>
  <c r="CP33" i="16"/>
  <c r="CS33" i="16" s="1"/>
  <c r="BR31" i="16"/>
  <c r="BS41" i="16"/>
  <c r="BN29" i="16"/>
  <c r="BL29" i="16"/>
  <c r="J12" i="12" s="1"/>
  <c r="BM29" i="16"/>
  <c r="AD41" i="10"/>
  <c r="CB8" i="16"/>
  <c r="CC12" i="16"/>
  <c r="BZ8" i="16"/>
  <c r="C72" i="141"/>
  <c r="F13" i="53"/>
  <c r="V12" i="54"/>
  <c r="V12" i="13"/>
  <c r="C74" i="141"/>
  <c r="X12" i="54"/>
  <c r="X12" i="13"/>
  <c r="F15" i="53"/>
  <c r="CH44" i="16"/>
  <c r="H17" i="17"/>
  <c r="I17" i="17" s="1"/>
  <c r="CJ29" i="16"/>
  <c r="M12" i="12" s="1"/>
  <c r="CL29" i="16"/>
  <c r="CK29" i="16"/>
  <c r="CK31" i="16"/>
  <c r="CJ31" i="16"/>
  <c r="M14" i="12" s="1"/>
  <c r="CL31" i="16"/>
  <c r="CJ15" i="16"/>
  <c r="CJ12" i="16" s="1"/>
  <c r="CJ8" i="16" s="1"/>
  <c r="CH12" i="16"/>
  <c r="CH8" i="16" s="1"/>
  <c r="CH33" i="16"/>
  <c r="CK33" i="16" s="1"/>
  <c r="BZ44" i="16"/>
  <c r="H16" i="17"/>
  <c r="I16" i="17" s="1"/>
  <c r="CD29" i="16"/>
  <c r="CB29" i="16"/>
  <c r="L12" i="12" s="1"/>
  <c r="CC29" i="16"/>
  <c r="CD31" i="16"/>
  <c r="CB31" i="16"/>
  <c r="L14" i="12" s="1"/>
  <c r="CC31" i="16"/>
  <c r="J16" i="53"/>
  <c r="Y16" i="13"/>
  <c r="Y16" i="54"/>
  <c r="C75" i="148"/>
  <c r="O32" i="45"/>
  <c r="CR33" i="16"/>
  <c r="U44" i="10"/>
  <c r="U44" i="52" s="1"/>
  <c r="W44" i="52" s="1"/>
  <c r="L15" i="12"/>
  <c r="M16" i="53"/>
  <c r="AD44" i="52"/>
  <c r="AF44" i="52" s="1"/>
  <c r="AF44" i="10"/>
  <c r="T44" i="10"/>
  <c r="R44" i="52"/>
  <c r="T44" i="52" s="1"/>
  <c r="T45" i="52" s="1"/>
  <c r="L44" i="10"/>
  <c r="Y19" i="13"/>
  <c r="AJ44" i="10"/>
  <c r="C47" i="148"/>
  <c r="P19" i="13"/>
  <c r="P19" i="54"/>
  <c r="AA44" i="10"/>
  <c r="Z44" i="10"/>
  <c r="X44" i="52"/>
  <c r="Z44" i="52" s="1"/>
  <c r="O33" i="45"/>
  <c r="O15" i="12"/>
  <c r="C75" i="141"/>
  <c r="Y12" i="13"/>
  <c r="F16" i="53"/>
  <c r="Y12" i="54"/>
  <c r="H8" i="17"/>
  <c r="I8" i="17" s="1"/>
  <c r="AO44" i="10"/>
  <c r="AM44" i="52"/>
  <c r="AH45" i="15"/>
  <c r="BA28" i="16"/>
  <c r="BA23" i="16" s="1"/>
  <c r="L33" i="45"/>
  <c r="L32" i="45"/>
  <c r="Y21" i="16"/>
  <c r="X21" i="16"/>
  <c r="CS8" i="16"/>
  <c r="CT8" i="16"/>
  <c r="E13" i="45"/>
  <c r="E5" i="45" s="1"/>
  <c r="Y18" i="153" l="1"/>
  <c r="Y18" i="162"/>
  <c r="V14" i="162"/>
  <c r="P21" i="162"/>
  <c r="P21" i="153"/>
  <c r="X18" i="153"/>
  <c r="X18" i="162"/>
  <c r="P16" i="162"/>
  <c r="P16" i="153"/>
  <c r="V14" i="54"/>
  <c r="M21" i="153"/>
  <c r="J21" i="153" s="1"/>
  <c r="H21" i="153" s="1"/>
  <c r="M21" i="162"/>
  <c r="J21" i="162" s="1"/>
  <c r="H21" i="162" s="1"/>
  <c r="D21" i="162" s="1"/>
  <c r="V18" i="153"/>
  <c r="V18" i="162"/>
  <c r="V14" i="153"/>
  <c r="P18" i="162"/>
  <c r="P18" i="153"/>
  <c r="C72" i="143"/>
  <c r="X16" i="153"/>
  <c r="X16" i="162"/>
  <c r="Y21" i="153"/>
  <c r="Y21" i="162"/>
  <c r="P14" i="153"/>
  <c r="P14" i="162"/>
  <c r="D14" i="162" s="1"/>
  <c r="X19" i="153"/>
  <c r="X19" i="162"/>
  <c r="V19" i="153"/>
  <c r="V19" i="162"/>
  <c r="V16" i="153"/>
  <c r="V16" i="162"/>
  <c r="D14" i="153"/>
  <c r="AO41" i="52"/>
  <c r="AO38" i="52" s="1"/>
  <c r="AM38" i="52"/>
  <c r="AM36" i="52" s="1"/>
  <c r="AO36" i="52" s="1"/>
  <c r="C44" i="150"/>
  <c r="C41" i="150" s="1"/>
  <c r="C39" i="150" s="1"/>
  <c r="AO38" i="10"/>
  <c r="M21" i="54"/>
  <c r="M21" i="13"/>
  <c r="J21" i="13" s="1"/>
  <c r="H21" i="13" s="1"/>
  <c r="N41" i="10"/>
  <c r="L41" i="52"/>
  <c r="L38" i="10"/>
  <c r="L36" i="10" s="1"/>
  <c r="N36" i="10" s="1"/>
  <c r="BJ8" i="16"/>
  <c r="BM12" i="16"/>
  <c r="X41" i="10"/>
  <c r="BL12" i="16"/>
  <c r="BL8" i="16" s="1"/>
  <c r="E31" i="45"/>
  <c r="E33" i="45" s="1"/>
  <c r="N43" i="16"/>
  <c r="N44" i="16" s="1"/>
  <c r="H14" i="12"/>
  <c r="C74" i="145"/>
  <c r="J15" i="53"/>
  <c r="X16" i="54"/>
  <c r="X16" i="13"/>
  <c r="BT15" i="16"/>
  <c r="BR12" i="16"/>
  <c r="BR33" i="16"/>
  <c r="BU33" i="16" s="1"/>
  <c r="O41" i="16"/>
  <c r="N29" i="16"/>
  <c r="R29" i="16" s="1"/>
  <c r="O38" i="16"/>
  <c r="CC8" i="16"/>
  <c r="CD8" i="16"/>
  <c r="BT29" i="16"/>
  <c r="K12" i="12" s="1"/>
  <c r="BV29" i="16"/>
  <c r="BU29" i="16"/>
  <c r="AF41" i="10"/>
  <c r="AD41" i="52"/>
  <c r="AD38" i="10"/>
  <c r="AD36" i="10" s="1"/>
  <c r="AF36" i="10" s="1"/>
  <c r="AF45" i="10" s="1"/>
  <c r="CP25" i="16"/>
  <c r="CQ38" i="16"/>
  <c r="BR44" i="16"/>
  <c r="H15" i="17"/>
  <c r="I15" i="17" s="1"/>
  <c r="CP43" i="16"/>
  <c r="CQ39" i="16"/>
  <c r="CP29" i="16"/>
  <c r="BV31" i="16"/>
  <c r="BU31" i="16"/>
  <c r="BT31" i="16"/>
  <c r="CQ41" i="16"/>
  <c r="CP31" i="16"/>
  <c r="C72" i="145"/>
  <c r="V16" i="54"/>
  <c r="V16" i="13"/>
  <c r="J13" i="53"/>
  <c r="AG41" i="10"/>
  <c r="AG38" i="10" s="1"/>
  <c r="AG36" i="10" s="1"/>
  <c r="AI36" i="10" s="1"/>
  <c r="AI45" i="10" s="1"/>
  <c r="F17" i="45"/>
  <c r="F13" i="45" s="1"/>
  <c r="F5" i="45" s="1"/>
  <c r="F31" i="45" s="1"/>
  <c r="X33" i="16" s="1"/>
  <c r="V36" i="16"/>
  <c r="AH60" i="15"/>
  <c r="R31" i="16"/>
  <c r="P31" i="16"/>
  <c r="D14" i="12" s="1"/>
  <c r="Q31" i="16"/>
  <c r="C74" i="148"/>
  <c r="X19" i="13"/>
  <c r="X19" i="54"/>
  <c r="M15" i="53"/>
  <c r="C72" i="148"/>
  <c r="M13" i="53"/>
  <c r="V19" i="54"/>
  <c r="V19" i="13"/>
  <c r="CK8" i="16"/>
  <c r="I44" i="10"/>
  <c r="I44" i="52" s="1"/>
  <c r="K44" i="52" s="1"/>
  <c r="C74" i="147"/>
  <c r="X18" i="54"/>
  <c r="L15" i="53"/>
  <c r="X18" i="13"/>
  <c r="C72" i="147"/>
  <c r="V18" i="54"/>
  <c r="L13" i="53"/>
  <c r="V18" i="13"/>
  <c r="W44" i="10"/>
  <c r="C47" i="145"/>
  <c r="P16" i="54"/>
  <c r="P16" i="13"/>
  <c r="N44" i="10"/>
  <c r="L44" i="52"/>
  <c r="N44" i="52" s="1"/>
  <c r="AC44" i="10"/>
  <c r="AA44" i="52"/>
  <c r="AC44" i="52" s="1"/>
  <c r="C47" i="143"/>
  <c r="P14" i="54"/>
  <c r="D14" i="54" s="1"/>
  <c r="P14" i="13"/>
  <c r="D14" i="13" s="1"/>
  <c r="T45" i="10"/>
  <c r="AL44" i="10"/>
  <c r="AJ44" i="52"/>
  <c r="AL44" i="52" s="1"/>
  <c r="AL45" i="52" s="1"/>
  <c r="C47" i="147"/>
  <c r="P18" i="13"/>
  <c r="P18" i="54"/>
  <c r="C75" i="150"/>
  <c r="O16" i="53"/>
  <c r="Y21" i="54"/>
  <c r="Y21" i="13"/>
  <c r="CK12" i="16"/>
  <c r="CL8" i="16"/>
  <c r="K15" i="12"/>
  <c r="N15" i="12"/>
  <c r="AI58" i="15"/>
  <c r="AI70" i="15" s="1"/>
  <c r="AO44" i="52"/>
  <c r="C47" i="150"/>
  <c r="P21" i="54"/>
  <c r="P21" i="13"/>
  <c r="AO45" i="10"/>
  <c r="C75" i="147"/>
  <c r="Y18" i="13"/>
  <c r="Y18" i="54"/>
  <c r="L16" i="53"/>
  <c r="Q21" i="16"/>
  <c r="P21" i="16"/>
  <c r="X10" i="153" l="1"/>
  <c r="X10" i="162"/>
  <c r="M18" i="162"/>
  <c r="J18" i="162" s="1"/>
  <c r="H18" i="162" s="1"/>
  <c r="D18" i="162" s="1"/>
  <c r="P17" i="162"/>
  <c r="P17" i="153"/>
  <c r="M12" i="153"/>
  <c r="J12" i="153" s="1"/>
  <c r="H12" i="153" s="1"/>
  <c r="D12" i="153" s="1"/>
  <c r="M12" i="162"/>
  <c r="J12" i="162" s="1"/>
  <c r="H12" i="162" s="1"/>
  <c r="D12" i="162" s="1"/>
  <c r="D21" i="153"/>
  <c r="J21" i="54"/>
  <c r="H21" i="54" s="1"/>
  <c r="F19" i="129"/>
  <c r="C19" i="129" s="1"/>
  <c r="P20" i="162"/>
  <c r="D20" i="162" s="1"/>
  <c r="P20" i="153"/>
  <c r="D20" i="153" s="1"/>
  <c r="C47" i="144"/>
  <c r="P15" i="162"/>
  <c r="P15" i="153"/>
  <c r="X14" i="162"/>
  <c r="P12" i="162"/>
  <c r="P12" i="153"/>
  <c r="Y20" i="153"/>
  <c r="Y20" i="162"/>
  <c r="Y17" i="153"/>
  <c r="Y17" i="162"/>
  <c r="V17" i="153"/>
  <c r="V17" i="162"/>
  <c r="AF38" i="10"/>
  <c r="M18" i="153"/>
  <c r="J18" i="153" s="1"/>
  <c r="H18" i="153" s="1"/>
  <c r="D18" i="153" s="1"/>
  <c r="H15" i="53"/>
  <c r="X14" i="153"/>
  <c r="C74" i="143"/>
  <c r="V41" i="16"/>
  <c r="V39" i="16"/>
  <c r="V38" i="16"/>
  <c r="V40" i="16"/>
  <c r="N41" i="52"/>
  <c r="N38" i="52" s="1"/>
  <c r="L38" i="52"/>
  <c r="L36" i="52" s="1"/>
  <c r="N36" i="52" s="1"/>
  <c r="N45" i="52" s="1"/>
  <c r="C44" i="141"/>
  <c r="C41" i="141" s="1"/>
  <c r="C39" i="141" s="1"/>
  <c r="M12" i="54"/>
  <c r="M12" i="13"/>
  <c r="J12" i="13" s="1"/>
  <c r="H12" i="13" s="1"/>
  <c r="N38" i="10"/>
  <c r="Z41" i="10"/>
  <c r="X41" i="52"/>
  <c r="X38" i="10"/>
  <c r="X36" i="10" s="1"/>
  <c r="Z36" i="10" s="1"/>
  <c r="Z45" i="10" s="1"/>
  <c r="BN8" i="16"/>
  <c r="BM8" i="16"/>
  <c r="N15" i="16"/>
  <c r="N33" i="16" s="1"/>
  <c r="Q33" i="16" s="1"/>
  <c r="E32" i="45"/>
  <c r="P33" i="16"/>
  <c r="D15" i="12" s="1"/>
  <c r="X14" i="54"/>
  <c r="X14" i="13"/>
  <c r="K14" i="12"/>
  <c r="BU12" i="16"/>
  <c r="BR8" i="16"/>
  <c r="AA41" i="10"/>
  <c r="BT12" i="16"/>
  <c r="P15" i="13"/>
  <c r="P15" i="54"/>
  <c r="AI41" i="10"/>
  <c r="P29" i="16"/>
  <c r="D12" i="12" s="1"/>
  <c r="Q29" i="16"/>
  <c r="C44" i="147"/>
  <c r="C41" i="147" s="1"/>
  <c r="C39" i="147" s="1"/>
  <c r="M18" i="13"/>
  <c r="J18" i="13" s="1"/>
  <c r="H18" i="13" s="1"/>
  <c r="D18" i="13" s="1"/>
  <c r="M18" i="54"/>
  <c r="AG41" i="52"/>
  <c r="AI41" i="52" s="1"/>
  <c r="AI38" i="52" s="1"/>
  <c r="CP44" i="16"/>
  <c r="H18" i="17"/>
  <c r="I18" i="17" s="1"/>
  <c r="K13" i="53"/>
  <c r="C72" i="146"/>
  <c r="V17" i="54"/>
  <c r="V17" i="13"/>
  <c r="AF41" i="52"/>
  <c r="AF38" i="52" s="1"/>
  <c r="AD38" i="52"/>
  <c r="AD36" i="52" s="1"/>
  <c r="AF36" i="52" s="1"/>
  <c r="AF45" i="52" s="1"/>
  <c r="W40" i="16"/>
  <c r="K44" i="10"/>
  <c r="C74" i="139"/>
  <c r="X10" i="54"/>
  <c r="D15" i="53"/>
  <c r="X10" i="13"/>
  <c r="F44" i="10"/>
  <c r="F44" i="52" s="1"/>
  <c r="C47" i="141"/>
  <c r="P12" i="13"/>
  <c r="P12" i="54"/>
  <c r="N45" i="10"/>
  <c r="C47" i="149"/>
  <c r="P20" i="13"/>
  <c r="D20" i="13" s="1"/>
  <c r="P20" i="54"/>
  <c r="D20" i="54" s="1"/>
  <c r="AL45" i="10"/>
  <c r="C47" i="146"/>
  <c r="P17" i="54"/>
  <c r="P17" i="13"/>
  <c r="C75" i="149"/>
  <c r="N16" i="53"/>
  <c r="Y20" i="13"/>
  <c r="Y20" i="54"/>
  <c r="C8" i="17"/>
  <c r="C75" i="146"/>
  <c r="Y17" i="13"/>
  <c r="K16" i="53"/>
  <c r="Y17" i="54"/>
  <c r="D21" i="54"/>
  <c r="D21" i="13"/>
  <c r="AO45" i="52"/>
  <c r="F33" i="45"/>
  <c r="F32" i="45"/>
  <c r="V15" i="16" s="1"/>
  <c r="AI46" i="1"/>
  <c r="J18" i="54" l="1"/>
  <c r="H18" i="54" s="1"/>
  <c r="D18" i="54" s="1"/>
  <c r="F16" i="129"/>
  <c r="C16" i="129" s="1"/>
  <c r="X17" i="162"/>
  <c r="P11" i="13"/>
  <c r="P11" i="162"/>
  <c r="P11" i="153"/>
  <c r="J12" i="54"/>
  <c r="H12" i="54" s="1"/>
  <c r="D12" i="54" s="1"/>
  <c r="F10" i="129"/>
  <c r="C10" i="129" s="1"/>
  <c r="M16" i="153"/>
  <c r="J16" i="153" s="1"/>
  <c r="H16" i="153" s="1"/>
  <c r="D16" i="153" s="1"/>
  <c r="M16" i="162"/>
  <c r="J16" i="162" s="1"/>
  <c r="H16" i="162" s="1"/>
  <c r="D16" i="162" s="1"/>
  <c r="Y10" i="153"/>
  <c r="Y10" i="162"/>
  <c r="V10" i="162"/>
  <c r="C47" i="140"/>
  <c r="M19" i="162"/>
  <c r="J19" i="162" s="1"/>
  <c r="H19" i="162" s="1"/>
  <c r="D19" i="162" s="1"/>
  <c r="D12" i="13"/>
  <c r="E86" i="45"/>
  <c r="AI38" i="10"/>
  <c r="M19" i="153"/>
  <c r="J19" i="153" s="1"/>
  <c r="H19" i="153" s="1"/>
  <c r="D19" i="153" s="1"/>
  <c r="M19" i="54"/>
  <c r="F17" i="129" s="1"/>
  <c r="C17" i="129" s="1"/>
  <c r="X17" i="153"/>
  <c r="V10" i="13"/>
  <c r="V10" i="153"/>
  <c r="N12" i="16"/>
  <c r="N8" i="16" s="1"/>
  <c r="V33" i="16"/>
  <c r="V12" i="16"/>
  <c r="M19" i="13"/>
  <c r="J19" i="13" s="1"/>
  <c r="H19" i="13" s="1"/>
  <c r="D19" i="13" s="1"/>
  <c r="C44" i="148"/>
  <c r="C41" i="148" s="1"/>
  <c r="C39" i="148" s="1"/>
  <c r="Z41" i="52"/>
  <c r="Z38" i="52" s="1"/>
  <c r="X38" i="52"/>
  <c r="X36" i="52" s="1"/>
  <c r="Z36" i="52" s="1"/>
  <c r="Z45" i="52" s="1"/>
  <c r="C44" i="145"/>
  <c r="C41" i="145" s="1"/>
  <c r="C39" i="145" s="1"/>
  <c r="M16" i="54"/>
  <c r="M16" i="13"/>
  <c r="J16" i="13" s="1"/>
  <c r="H16" i="13" s="1"/>
  <c r="D16" i="13" s="1"/>
  <c r="Z38" i="10"/>
  <c r="X17" i="13"/>
  <c r="K15" i="53"/>
  <c r="C74" i="146"/>
  <c r="X17" i="54"/>
  <c r="C72" i="139"/>
  <c r="AG38" i="52"/>
  <c r="AG36" i="52" s="1"/>
  <c r="AI36" i="52" s="1"/>
  <c r="AI45" i="52" s="1"/>
  <c r="BT8" i="16"/>
  <c r="AC41" i="10"/>
  <c r="AA41" i="52"/>
  <c r="AA38" i="10"/>
  <c r="AA36" i="10" s="1"/>
  <c r="AC36" i="10" s="1"/>
  <c r="AC45" i="10" s="1"/>
  <c r="BV8" i="16"/>
  <c r="BU8" i="16"/>
  <c r="P11" i="54"/>
  <c r="H44" i="10"/>
  <c r="D13" i="53"/>
  <c r="V10" i="54"/>
  <c r="V29" i="16"/>
  <c r="V43" i="16"/>
  <c r="W39" i="16"/>
  <c r="W38" i="16"/>
  <c r="V25" i="16"/>
  <c r="V31" i="16"/>
  <c r="W41" i="16"/>
  <c r="H44" i="52"/>
  <c r="C75" i="139"/>
  <c r="D16" i="53"/>
  <c r="Y10" i="13"/>
  <c r="Y10" i="54"/>
  <c r="X15" i="16"/>
  <c r="V8" i="16"/>
  <c r="Y33" i="16"/>
  <c r="J11" i="114"/>
  <c r="P15" i="16"/>
  <c r="F19" i="8"/>
  <c r="J16" i="54" l="1"/>
  <c r="H16" i="54" s="1"/>
  <c r="D16" i="54" s="1"/>
  <c r="F14" i="129"/>
  <c r="C14" i="129" s="1"/>
  <c r="M17" i="153"/>
  <c r="J17" i="153" s="1"/>
  <c r="H17" i="153" s="1"/>
  <c r="D17" i="153" s="1"/>
  <c r="M17" i="162"/>
  <c r="J17" i="162" s="1"/>
  <c r="H17" i="162" s="1"/>
  <c r="D17" i="162" s="1"/>
  <c r="P10" i="162"/>
  <c r="J19" i="54"/>
  <c r="H19" i="54" s="1"/>
  <c r="D19" i="54" s="1"/>
  <c r="P10" i="153"/>
  <c r="P10" i="54"/>
  <c r="C47" i="139"/>
  <c r="AC41" i="52"/>
  <c r="AC38" i="52" s="1"/>
  <c r="AA38" i="52"/>
  <c r="AA36" i="52" s="1"/>
  <c r="AC36" i="52" s="1"/>
  <c r="AC45" i="52" s="1"/>
  <c r="C44" i="146"/>
  <c r="C41" i="146" s="1"/>
  <c r="C39" i="146" s="1"/>
  <c r="M17" i="54"/>
  <c r="M17" i="13"/>
  <c r="J17" i="13" s="1"/>
  <c r="H17" i="13" s="1"/>
  <c r="D17" i="13" s="1"/>
  <c r="AC38" i="10"/>
  <c r="P10" i="13"/>
  <c r="F41" i="10"/>
  <c r="P12" i="16"/>
  <c r="P8" i="16" s="1"/>
  <c r="Y31" i="16"/>
  <c r="Z31" i="16"/>
  <c r="X31" i="16"/>
  <c r="E14" i="12" s="1"/>
  <c r="V44" i="16"/>
  <c r="H9" i="17"/>
  <c r="I9" i="17" s="1"/>
  <c r="Z29" i="16"/>
  <c r="Y29" i="16"/>
  <c r="X29" i="16"/>
  <c r="E12" i="12" s="1"/>
  <c r="E15" i="12"/>
  <c r="Y12" i="16"/>
  <c r="X12" i="16"/>
  <c r="I41" i="10"/>
  <c r="I11" i="114"/>
  <c r="Q12" i="16"/>
  <c r="AA13" i="2"/>
  <c r="G42" i="157" l="1"/>
  <c r="V11" i="153"/>
  <c r="V11" i="162"/>
  <c r="X11" i="153"/>
  <c r="X11" i="162"/>
  <c r="J17" i="54"/>
  <c r="H17" i="54" s="1"/>
  <c r="D17" i="54" s="1"/>
  <c r="F15" i="129"/>
  <c r="C15" i="129" s="1"/>
  <c r="Y11" i="162"/>
  <c r="E16" i="53"/>
  <c r="Y11" i="153"/>
  <c r="H114" i="11"/>
  <c r="E14" i="71"/>
  <c r="J28" i="8"/>
  <c r="AA44" i="36" s="1"/>
  <c r="X8" i="16"/>
  <c r="C75" i="140"/>
  <c r="H41" i="10"/>
  <c r="F41" i="52"/>
  <c r="F38" i="10"/>
  <c r="F36" i="10" s="1"/>
  <c r="H36" i="10" s="1"/>
  <c r="H45" i="10" s="1"/>
  <c r="Y11" i="13"/>
  <c r="Y11" i="54"/>
  <c r="V11" i="13"/>
  <c r="C72" i="140"/>
  <c r="V11" i="54"/>
  <c r="E13" i="53"/>
  <c r="X11" i="54"/>
  <c r="X11" i="13"/>
  <c r="E15" i="53"/>
  <c r="C74" i="140"/>
  <c r="I38" i="10"/>
  <c r="K41" i="10"/>
  <c r="I41" i="52"/>
  <c r="I38" i="52" s="1"/>
  <c r="Y8" i="16"/>
  <c r="Z8" i="16"/>
  <c r="D38" i="30"/>
  <c r="C19" i="86"/>
  <c r="D17" i="123"/>
  <c r="D17" i="118"/>
  <c r="C24" i="116"/>
  <c r="J27" i="114"/>
  <c r="D17" i="112"/>
  <c r="C23" i="49"/>
  <c r="Q8" i="16"/>
  <c r="R8" i="16"/>
  <c r="X13" i="60"/>
  <c r="N13" i="41"/>
  <c r="J28" i="7"/>
  <c r="D17" i="51"/>
  <c r="S43" i="8"/>
  <c r="R43" i="8" s="1"/>
  <c r="Q44" i="8"/>
  <c r="P44" i="8"/>
  <c r="O43" i="8"/>
  <c r="Q39" i="8"/>
  <c r="Q36" i="8"/>
  <c r="P36" i="8"/>
  <c r="P34" i="8"/>
  <c r="N44" i="8"/>
  <c r="M44" i="8"/>
  <c r="L43" i="8"/>
  <c r="N40" i="8"/>
  <c r="N39" i="8"/>
  <c r="N36" i="8"/>
  <c r="M36" i="8"/>
  <c r="N34" i="8"/>
  <c r="M11" i="162" l="1"/>
  <c r="J11" i="162" s="1"/>
  <c r="H11" i="162" s="1"/>
  <c r="D11" i="162" s="1"/>
  <c r="S36" i="8"/>
  <c r="M10" i="153"/>
  <c r="J10" i="153" s="1"/>
  <c r="M10" i="162"/>
  <c r="H114" i="159"/>
  <c r="D114" i="159" s="1"/>
  <c r="C114" i="159" s="1"/>
  <c r="H114" i="160"/>
  <c r="H114" i="161"/>
  <c r="D114" i="11"/>
  <c r="C114" i="11" s="1"/>
  <c r="H9" i="11"/>
  <c r="H114" i="56"/>
  <c r="H9" i="56" s="1"/>
  <c r="K38" i="10"/>
  <c r="M11" i="153"/>
  <c r="J11" i="153" s="1"/>
  <c r="H11" i="153" s="1"/>
  <c r="D11" i="153" s="1"/>
  <c r="K21" i="43"/>
  <c r="H41" i="52"/>
  <c r="H38" i="52" s="1"/>
  <c r="F38" i="52"/>
  <c r="F36" i="52" s="1"/>
  <c r="H36" i="52" s="1"/>
  <c r="H45" i="52" s="1"/>
  <c r="C44" i="139"/>
  <c r="C41" i="139" s="1"/>
  <c r="C39" i="139" s="1"/>
  <c r="M10" i="13"/>
  <c r="J10" i="13" s="1"/>
  <c r="H10" i="13" s="1"/>
  <c r="D10" i="13" s="1"/>
  <c r="M10" i="54"/>
  <c r="H38" i="10"/>
  <c r="K41" i="52"/>
  <c r="K38" i="52" s="1"/>
  <c r="C44" i="140"/>
  <c r="C41" i="140" s="1"/>
  <c r="M11" i="13"/>
  <c r="M11" i="54"/>
  <c r="F9" i="129" s="1"/>
  <c r="C9" i="129" s="1"/>
  <c r="I36" i="10"/>
  <c r="I27" i="114"/>
  <c r="J27" i="42"/>
  <c r="T36" i="8"/>
  <c r="O36" i="8"/>
  <c r="L36" i="8"/>
  <c r="AQ47" i="1"/>
  <c r="Z47" i="40" s="1"/>
  <c r="Q21" i="8"/>
  <c r="N21" i="8"/>
  <c r="M21" i="8"/>
  <c r="Q12" i="8"/>
  <c r="Q11" i="8"/>
  <c r="N12" i="8"/>
  <c r="N11" i="8"/>
  <c r="S43" i="7"/>
  <c r="R43" i="7" s="1"/>
  <c r="Q44" i="7"/>
  <c r="P44" i="7"/>
  <c r="Q39" i="7"/>
  <c r="Q36" i="7"/>
  <c r="P36" i="7"/>
  <c r="P34" i="7"/>
  <c r="O43" i="7"/>
  <c r="AH33" i="2"/>
  <c r="AL13" i="2"/>
  <c r="L43" i="7"/>
  <c r="N44" i="7"/>
  <c r="M44" i="7"/>
  <c r="N39" i="7"/>
  <c r="N34" i="7"/>
  <c r="Q21" i="7"/>
  <c r="Q16" i="7"/>
  <c r="Q15" i="7"/>
  <c r="Q12" i="7"/>
  <c r="Q11" i="7"/>
  <c r="N21" i="7"/>
  <c r="M21" i="7"/>
  <c r="N16" i="7"/>
  <c r="N12" i="7"/>
  <c r="H9" i="159" l="1"/>
  <c r="J10" i="162"/>
  <c r="J10" i="54"/>
  <c r="H10" i="54" s="1"/>
  <c r="D10" i="54" s="1"/>
  <c r="F8" i="129"/>
  <c r="D114" i="161"/>
  <c r="C114" i="161" s="1"/>
  <c r="H9" i="161"/>
  <c r="D114" i="160"/>
  <c r="C114" i="160" s="1"/>
  <c r="H9" i="160"/>
  <c r="D114" i="56"/>
  <c r="C114" i="56" s="1"/>
  <c r="AV47" i="1"/>
  <c r="AL47" i="59"/>
  <c r="H10" i="153"/>
  <c r="Q27" i="114"/>
  <c r="Q28" i="8"/>
  <c r="Q28" i="7"/>
  <c r="C39" i="140"/>
  <c r="J11" i="54"/>
  <c r="J11" i="13"/>
  <c r="K36" i="10"/>
  <c r="I36" i="52"/>
  <c r="R36" i="8"/>
  <c r="AI13" i="60"/>
  <c r="Y13" i="41"/>
  <c r="Q27" i="42" s="1"/>
  <c r="L21" i="7"/>
  <c r="O44" i="7"/>
  <c r="AL33" i="1"/>
  <c r="H10" i="162" l="1"/>
  <c r="C8" i="129"/>
  <c r="AE47" i="40"/>
  <c r="AC47" i="40"/>
  <c r="AA47" i="40"/>
  <c r="AZ26" i="18"/>
  <c r="AQ47" i="59"/>
  <c r="AM47" i="59"/>
  <c r="AO47" i="59"/>
  <c r="AS47" i="59"/>
  <c r="D10" i="153"/>
  <c r="K36" i="52"/>
  <c r="H11" i="13"/>
  <c r="H11" i="54"/>
  <c r="K45" i="10"/>
  <c r="AF45" i="59"/>
  <c r="T45" i="40"/>
  <c r="AL45" i="59"/>
  <c r="D10" i="162" l="1"/>
  <c r="AZ148" i="18"/>
  <c r="BE26" i="18"/>
  <c r="BH26" i="18" s="1"/>
  <c r="BF26" i="18"/>
  <c r="D11" i="54"/>
  <c r="D11" i="13"/>
  <c r="K45" i="52"/>
  <c r="AZ25" i="18"/>
  <c r="AS45" i="59"/>
  <c r="AM45" i="59"/>
  <c r="AO45" i="59"/>
  <c r="AP45" i="59" s="1"/>
  <c r="AL9" i="59"/>
  <c r="W45" i="40"/>
  <c r="X45" i="40" s="1"/>
  <c r="U45" i="40"/>
  <c r="AA45" i="40"/>
  <c r="AC45" i="40"/>
  <c r="AD45" i="40" s="1"/>
  <c r="Z9" i="40"/>
  <c r="AR25" i="18"/>
  <c r="AG45" i="59"/>
  <c r="AI45" i="59"/>
  <c r="AJ45" i="59" s="1"/>
  <c r="G36" i="8"/>
  <c r="O52" i="36" s="1"/>
  <c r="O36" i="7"/>
  <c r="X33" i="2"/>
  <c r="K36" i="7"/>
  <c r="J36" i="7"/>
  <c r="G36" i="7"/>
  <c r="F43" i="7"/>
  <c r="T31" i="2"/>
  <c r="H28" i="7"/>
  <c r="H16" i="7"/>
  <c r="H12" i="7"/>
  <c r="H40" i="8"/>
  <c r="S31" i="2"/>
  <c r="T21" i="2"/>
  <c r="T19" i="2"/>
  <c r="H31" i="114" s="1"/>
  <c r="H26" i="157" l="1"/>
  <c r="H33" i="114"/>
  <c r="G26" i="157"/>
  <c r="F26" i="157" s="1"/>
  <c r="G33" i="114"/>
  <c r="F33" i="114" s="1"/>
  <c r="AZ149" i="18"/>
  <c r="BA149" i="18"/>
  <c r="BE148" i="18"/>
  <c r="BH148" i="18" s="1"/>
  <c r="E26" i="84"/>
  <c r="Q6" i="61"/>
  <c r="AL10" i="59"/>
  <c r="AS10" i="59" s="1"/>
  <c r="AS9" i="59"/>
  <c r="AL8" i="59"/>
  <c r="AS8" i="59" s="1"/>
  <c r="AU25" i="18"/>
  <c r="AQ220" i="18"/>
  <c r="AO220" i="18"/>
  <c r="AR145" i="18"/>
  <c r="AS25" i="18"/>
  <c r="AV25" i="18"/>
  <c r="AY25" i="18" s="1"/>
  <c r="AR220" i="18"/>
  <c r="AW25" i="18"/>
  <c r="Z8" i="40"/>
  <c r="G6" i="39"/>
  <c r="G5" i="39" s="1"/>
  <c r="Z10" i="40"/>
  <c r="BF25" i="18"/>
  <c r="AZ145" i="18"/>
  <c r="AZ8" i="18"/>
  <c r="BE25" i="18"/>
  <c r="T18" i="60"/>
  <c r="J19" i="41"/>
  <c r="T20" i="60"/>
  <c r="J21" i="41"/>
  <c r="G34" i="7"/>
  <c r="D22" i="30"/>
  <c r="S30" i="60"/>
  <c r="I31" i="41"/>
  <c r="H34" i="7"/>
  <c r="E22" i="30"/>
  <c r="T30" i="60"/>
  <c r="J31" i="41"/>
  <c r="H33" i="42" s="1"/>
  <c r="I36" i="7"/>
  <c r="H14" i="7"/>
  <c r="P31" i="2"/>
  <c r="H28" i="8"/>
  <c r="P44" i="36" s="1"/>
  <c r="H32" i="8"/>
  <c r="P48" i="36" s="1"/>
  <c r="H34" i="8"/>
  <c r="P50" i="36" s="1"/>
  <c r="G34" i="8"/>
  <c r="O50" i="36" s="1"/>
  <c r="F43" i="8"/>
  <c r="H12" i="8"/>
  <c r="T28" i="1"/>
  <c r="C23" i="1"/>
  <c r="C17" i="1"/>
  <c r="C11" i="1"/>
  <c r="AF48" i="1"/>
  <c r="AF47" i="1"/>
  <c r="AF44" i="1"/>
  <c r="AF42" i="1"/>
  <c r="AF41" i="1"/>
  <c r="AF40" i="1"/>
  <c r="AF39" i="1"/>
  <c r="AF38" i="1"/>
  <c r="AF36" i="1"/>
  <c r="AF35" i="1"/>
  <c r="AF34" i="1"/>
  <c r="AF33" i="1"/>
  <c r="AF32" i="1"/>
  <c r="AF31" i="1"/>
  <c r="AF30" i="1"/>
  <c r="AF29" i="1"/>
  <c r="AF25" i="1"/>
  <c r="AF24" i="1"/>
  <c r="AF21" i="1"/>
  <c r="AF19" i="1"/>
  <c r="AF18" i="1"/>
  <c r="AF15" i="1"/>
  <c r="AF14" i="1"/>
  <c r="AF13" i="1"/>
  <c r="AF12" i="1"/>
  <c r="AH60" i="1"/>
  <c r="AH49" i="1"/>
  <c r="H52" i="170" s="1"/>
  <c r="H51" i="170" s="1"/>
  <c r="AH42" i="1"/>
  <c r="AJ35" i="1"/>
  <c r="AH35" i="1" s="1"/>
  <c r="AG23" i="1"/>
  <c r="AG17" i="1"/>
  <c r="AG11" i="1"/>
  <c r="AM55" i="1"/>
  <c r="AM52" i="1" s="1"/>
  <c r="AP55" i="1"/>
  <c r="AN49" i="1"/>
  <c r="AP35" i="1"/>
  <c r="AN35" i="1" s="1"/>
  <c r="AN33" i="1"/>
  <c r="AM28" i="1"/>
  <c r="AK23" i="1"/>
  <c r="AP17" i="1"/>
  <c r="AM17" i="1"/>
  <c r="AK17" i="1"/>
  <c r="AM11" i="1"/>
  <c r="AU60" i="1"/>
  <c r="P20" i="114" s="1"/>
  <c r="AT42" i="1"/>
  <c r="AS28" i="1"/>
  <c r="AS23" i="1"/>
  <c r="AS17" i="1"/>
  <c r="AS11" i="1"/>
  <c r="AV36" i="1"/>
  <c r="AT36" i="1" s="1"/>
  <c r="AT35" i="1"/>
  <c r="AV34" i="1"/>
  <c r="AV30" i="1"/>
  <c r="AV29" i="1"/>
  <c r="AU25" i="1"/>
  <c r="AU24" i="1"/>
  <c r="AU19" i="1"/>
  <c r="AU18" i="1"/>
  <c r="AU14" i="1"/>
  <c r="AU13" i="1"/>
  <c r="AU12" i="1"/>
  <c r="U12" i="1"/>
  <c r="C72" i="1" l="1"/>
  <c r="C12" i="170"/>
  <c r="E10" i="158"/>
  <c r="K10" i="158" s="1"/>
  <c r="C73" i="1"/>
  <c r="C18" i="170"/>
  <c r="C74" i="1"/>
  <c r="F74" i="1" s="1"/>
  <c r="C24" i="170"/>
  <c r="E11" i="158"/>
  <c r="K11" i="158" s="1"/>
  <c r="E29" i="170"/>
  <c r="I29" i="170" s="1"/>
  <c r="L12" i="158"/>
  <c r="N50" i="36"/>
  <c r="L50" i="36" s="1"/>
  <c r="P30" i="60"/>
  <c r="D73" i="1"/>
  <c r="F73" i="1"/>
  <c r="D72" i="1"/>
  <c r="F72" i="1"/>
  <c r="O20" i="114"/>
  <c r="R20" i="114" s="1"/>
  <c r="S20" i="114"/>
  <c r="N59" i="40"/>
  <c r="E20" i="39" s="1"/>
  <c r="E16" i="85"/>
  <c r="C23" i="115"/>
  <c r="D31" i="71"/>
  <c r="D29" i="71" s="1"/>
  <c r="D20" i="71" s="1"/>
  <c r="C23" i="110"/>
  <c r="C23" i="48"/>
  <c r="BF149" i="18"/>
  <c r="D24" i="84"/>
  <c r="F34" i="7"/>
  <c r="E11" i="36"/>
  <c r="K11" i="36" s="1"/>
  <c r="E10" i="36"/>
  <c r="K10" i="36" s="1"/>
  <c r="L12" i="36"/>
  <c r="C22" i="30"/>
  <c r="AV145" i="18"/>
  <c r="AY145" i="18" s="1"/>
  <c r="BE145" i="18" s="1"/>
  <c r="BH145" i="18" s="1"/>
  <c r="AR146" i="18"/>
  <c r="AW146" i="18" s="1"/>
  <c r="AP59" i="59"/>
  <c r="AO59" i="59" s="1"/>
  <c r="Q20" i="61" s="1"/>
  <c r="V20" i="61" s="1"/>
  <c r="AD59" i="40"/>
  <c r="P21" i="7"/>
  <c r="P21" i="8"/>
  <c r="BH25" i="18"/>
  <c r="AZ152" i="18"/>
  <c r="BA153" i="18"/>
  <c r="AZ7" i="18"/>
  <c r="AZ9" i="18"/>
  <c r="AZ66" i="18"/>
  <c r="BE8" i="18"/>
  <c r="BA146" i="18"/>
  <c r="AZ146" i="18"/>
  <c r="V6" i="61"/>
  <c r="Q5" i="61"/>
  <c r="V5" i="61" s="1"/>
  <c r="G33" i="42"/>
  <c r="F33" i="42" s="1"/>
  <c r="F31" i="41"/>
  <c r="D25" i="39" s="1"/>
  <c r="R30" i="60"/>
  <c r="AG32" i="19"/>
  <c r="M27" i="61"/>
  <c r="F34" i="8"/>
  <c r="Z12" i="158" l="1"/>
  <c r="AA12" i="158"/>
  <c r="AC12" i="158" s="1"/>
  <c r="Y12" i="158"/>
  <c r="D74" i="1"/>
  <c r="G73" i="1"/>
  <c r="E73" i="1"/>
  <c r="E74" i="1"/>
  <c r="G74" i="1"/>
  <c r="G72" i="1"/>
  <c r="E72" i="1"/>
  <c r="C38" i="117"/>
  <c r="C38" i="111"/>
  <c r="C38" i="50"/>
  <c r="BA67" i="18"/>
  <c r="AZ96" i="18"/>
  <c r="AZ80" i="18"/>
  <c r="BA61" i="18"/>
  <c r="BA92" i="18"/>
  <c r="AZ63" i="18"/>
  <c r="AZ165" i="18"/>
  <c r="BE7" i="18"/>
  <c r="AZ45" i="18"/>
  <c r="BA151" i="18"/>
  <c r="AZ60" i="18"/>
  <c r="P20" i="42"/>
  <c r="AC59" i="40"/>
  <c r="Z59" i="40" s="1"/>
  <c r="G20" i="39" s="1"/>
  <c r="H20" i="39" s="1"/>
  <c r="AZ154" i="18"/>
  <c r="BE154" i="18" s="1"/>
  <c r="AZ70" i="18"/>
  <c r="BA62" i="18"/>
  <c r="BE9" i="18"/>
  <c r="BA155" i="18"/>
  <c r="BF146" i="18"/>
  <c r="AE37" i="1"/>
  <c r="K34" i="7"/>
  <c r="J34" i="7"/>
  <c r="G37" i="170" l="1"/>
  <c r="I37" i="170" s="1"/>
  <c r="S16" i="158"/>
  <c r="AE78" i="1"/>
  <c r="C18" i="117"/>
  <c r="X16" i="36"/>
  <c r="C18" i="111"/>
  <c r="C18" i="50"/>
  <c r="Z37" i="59"/>
  <c r="N37" i="40"/>
  <c r="AF37" i="1"/>
  <c r="X12" i="36"/>
  <c r="C15" i="117"/>
  <c r="C15" i="111"/>
  <c r="C15" i="50"/>
  <c r="AF28" i="1"/>
  <c r="BG9" i="18"/>
  <c r="O20" i="42"/>
  <c r="S20" i="42"/>
  <c r="R20" i="42" s="1"/>
  <c r="BA76" i="18"/>
  <c r="BA64" i="18"/>
  <c r="BA72" i="18"/>
  <c r="AZ76" i="18"/>
  <c r="AZ68" i="18"/>
  <c r="AZ88" i="18"/>
  <c r="AZ86" i="18"/>
  <c r="AZ91" i="18"/>
  <c r="AZ89" i="18"/>
  <c r="AZ110" i="18"/>
  <c r="AZ150" i="18"/>
  <c r="AZ144" i="18"/>
  <c r="AZ113" i="18"/>
  <c r="AZ107" i="18"/>
  <c r="AZ132" i="18"/>
  <c r="AZ126" i="18"/>
  <c r="AZ116" i="18"/>
  <c r="AZ125" i="18"/>
  <c r="AZ135" i="18"/>
  <c r="AZ104" i="18"/>
  <c r="AZ122" i="18"/>
  <c r="AZ119" i="18"/>
  <c r="AZ101" i="18"/>
  <c r="AZ138" i="18"/>
  <c r="AZ141" i="18"/>
  <c r="BA97" i="18"/>
  <c r="AZ147" i="18"/>
  <c r="BG7" i="18"/>
  <c r="BG19" i="18"/>
  <c r="BG26" i="18"/>
  <c r="BG23" i="18"/>
  <c r="BG21" i="18"/>
  <c r="BG22" i="18"/>
  <c r="BG24" i="18"/>
  <c r="BG13" i="18"/>
  <c r="BG15" i="18"/>
  <c r="BG18" i="18"/>
  <c r="BG14" i="18"/>
  <c r="BG28" i="18"/>
  <c r="BE45" i="18"/>
  <c r="BG17" i="18"/>
  <c r="BG16" i="18"/>
  <c r="BG11" i="18"/>
  <c r="BG12" i="18"/>
  <c r="BG20" i="18"/>
  <c r="BG27" i="18"/>
  <c r="BG10" i="18"/>
  <c r="BG25" i="18"/>
  <c r="BA71" i="18"/>
  <c r="AZ72" i="18"/>
  <c r="BG8" i="18"/>
  <c r="I34" i="7"/>
  <c r="AC16" i="36" l="1"/>
  <c r="AD16" i="36"/>
  <c r="AI78" i="1"/>
  <c r="AF78" i="1"/>
  <c r="X16" i="158"/>
  <c r="Y16" i="158"/>
  <c r="AD12" i="36"/>
  <c r="AC12" i="36"/>
  <c r="AQ17" i="18"/>
  <c r="AA37" i="59"/>
  <c r="AC37" i="59"/>
  <c r="N12" i="61" s="1"/>
  <c r="AG37" i="59"/>
  <c r="O37" i="40"/>
  <c r="Q37" i="40"/>
  <c r="U37" i="40"/>
  <c r="AZ128" i="18"/>
  <c r="BA127" i="18"/>
  <c r="AZ90" i="18"/>
  <c r="BA94" i="18"/>
  <c r="J44" i="7"/>
  <c r="S44" i="7" s="1"/>
  <c r="K40" i="7"/>
  <c r="I43" i="7"/>
  <c r="E16" i="8"/>
  <c r="E15" i="8"/>
  <c r="C43" i="7"/>
  <c r="E40" i="7"/>
  <c r="E40" i="8"/>
  <c r="E39" i="7"/>
  <c r="E34" i="7"/>
  <c r="D34" i="7"/>
  <c r="E28" i="7"/>
  <c r="I44" i="36" s="1"/>
  <c r="E27" i="7"/>
  <c r="I43" i="36" s="1"/>
  <c r="C19" i="7"/>
  <c r="C14" i="31" s="1"/>
  <c r="E16" i="7"/>
  <c r="E15" i="7"/>
  <c r="E11" i="7"/>
  <c r="E10" i="7"/>
  <c r="K12" i="7"/>
  <c r="K11" i="7"/>
  <c r="AH78" i="1" l="1"/>
  <c r="AJ78" i="1" s="1"/>
  <c r="AG78" i="1"/>
  <c r="I32" i="36"/>
  <c r="I31" i="36" s="1"/>
  <c r="H18" i="8"/>
  <c r="E66" i="8"/>
  <c r="I29" i="36"/>
  <c r="AQ133" i="18"/>
  <c r="AU17" i="18"/>
  <c r="AW17" i="18"/>
  <c r="AV17" i="18"/>
  <c r="AS17" i="18"/>
  <c r="E27" i="85"/>
  <c r="C27" i="85"/>
  <c r="C20" i="85" s="1"/>
  <c r="P32" i="36"/>
  <c r="P31" i="36" s="1"/>
  <c r="H15" i="8"/>
  <c r="P29" i="36" s="1"/>
  <c r="N15" i="8"/>
  <c r="E14" i="7"/>
  <c r="C34" i="7"/>
  <c r="I28" i="36" l="1"/>
  <c r="P28" i="36"/>
  <c r="AY17" i="18"/>
  <c r="BH17" i="18"/>
  <c r="AQ134" i="18"/>
  <c r="AV133" i="18"/>
  <c r="AY133" i="18" s="1"/>
  <c r="BE133" i="18" s="1"/>
  <c r="BH133" i="18" s="1"/>
  <c r="AR134" i="18"/>
  <c r="D27" i="85"/>
  <c r="D20" i="85" s="1"/>
  <c r="E20" i="85"/>
  <c r="H16" i="8"/>
  <c r="Q15" i="8"/>
  <c r="AW134" i="18" l="1"/>
  <c r="H14" i="8"/>
  <c r="D26" i="85" s="1"/>
  <c r="D28" i="85" s="1"/>
  <c r="D21" i="85" s="1"/>
  <c r="D19" i="85" s="1"/>
  <c r="G20" i="85"/>
  <c r="G27" i="85"/>
  <c r="K44" i="8"/>
  <c r="AB60" i="36" s="1"/>
  <c r="J44" i="8"/>
  <c r="K40" i="8"/>
  <c r="K34" i="8"/>
  <c r="AB50" i="36" s="1"/>
  <c r="J34" i="8"/>
  <c r="AA50" i="36" s="1"/>
  <c r="Z50" i="36" s="1"/>
  <c r="X50" i="36" s="1"/>
  <c r="AC50" i="36" l="1"/>
  <c r="AD50" i="36"/>
  <c r="S44" i="8"/>
  <c r="AA60" i="36"/>
  <c r="Z60" i="36" s="1"/>
  <c r="X60" i="36" s="1"/>
  <c r="E32" i="8"/>
  <c r="I48" i="36" s="1"/>
  <c r="E28" i="8"/>
  <c r="E27" i="8"/>
  <c r="E14" i="8"/>
  <c r="E21" i="8"/>
  <c r="E12" i="8"/>
  <c r="E11" i="8"/>
  <c r="E10" i="8"/>
  <c r="K21" i="8"/>
  <c r="T21" i="8" s="1"/>
  <c r="J21" i="8"/>
  <c r="S21" i="8" s="1"/>
  <c r="K17" i="7"/>
  <c r="T17" i="7" s="1"/>
  <c r="K18" i="7"/>
  <c r="T18" i="7" s="1"/>
  <c r="K21" i="7"/>
  <c r="T21" i="7" s="1"/>
  <c r="J21" i="7"/>
  <c r="S21" i="7" s="1"/>
  <c r="J20" i="7"/>
  <c r="AH39" i="2"/>
  <c r="AC39" i="2"/>
  <c r="AB35" i="2"/>
  <c r="AB13" i="2"/>
  <c r="H42" i="157" s="1"/>
  <c r="AB12" i="2"/>
  <c r="T45" i="8"/>
  <c r="G45" i="8"/>
  <c r="O61" i="36" s="1"/>
  <c r="N61" i="36" s="1"/>
  <c r="L61" i="36" s="1"/>
  <c r="E44" i="8"/>
  <c r="I60" i="36" s="1"/>
  <c r="K39" i="8"/>
  <c r="AB55" i="36" s="1"/>
  <c r="E39" i="8"/>
  <c r="I55" i="36" s="1"/>
  <c r="K37" i="8"/>
  <c r="AB53" i="36" s="1"/>
  <c r="J37" i="8"/>
  <c r="AA53" i="36" s="1"/>
  <c r="E37" i="8"/>
  <c r="I53" i="36" s="1"/>
  <c r="E34" i="8"/>
  <c r="I50" i="36" s="1"/>
  <c r="G50" i="36" s="1"/>
  <c r="E50" i="36" s="1"/>
  <c r="Q32" i="8"/>
  <c r="K32" i="8"/>
  <c r="U21" i="8"/>
  <c r="E20" i="8"/>
  <c r="T15" i="8"/>
  <c r="T45" i="7"/>
  <c r="P45" i="7"/>
  <c r="O45" i="7" s="1"/>
  <c r="M45" i="7"/>
  <c r="L45" i="7" s="1"/>
  <c r="G45" i="7"/>
  <c r="F45" i="7" s="1"/>
  <c r="D45" i="7"/>
  <c r="C45" i="7" s="1"/>
  <c r="K44" i="7"/>
  <c r="T44" i="7" s="1"/>
  <c r="R44" i="7" s="1"/>
  <c r="H44" i="7"/>
  <c r="E44" i="7"/>
  <c r="K39" i="7"/>
  <c r="T39" i="7" s="1"/>
  <c r="K37" i="7"/>
  <c r="E37" i="7"/>
  <c r="N32" i="7"/>
  <c r="K32" i="7"/>
  <c r="H32" i="7"/>
  <c r="E32" i="7"/>
  <c r="U21" i="7"/>
  <c r="E21" i="7"/>
  <c r="E20" i="7"/>
  <c r="E12" i="7"/>
  <c r="N11" i="7"/>
  <c r="Z53" i="36" l="1"/>
  <c r="X53" i="36" s="1"/>
  <c r="K27" i="8"/>
  <c r="H41" i="157"/>
  <c r="E11" i="43"/>
  <c r="AB43" i="36"/>
  <c r="F42" i="157"/>
  <c r="E16" i="43"/>
  <c r="AB48" i="36"/>
  <c r="AF50" i="36"/>
  <c r="R50" i="36"/>
  <c r="K28" i="8"/>
  <c r="AB44" i="36" s="1"/>
  <c r="K28" i="7"/>
  <c r="E19" i="43"/>
  <c r="E21" i="43"/>
  <c r="H21" i="43"/>
  <c r="E37" i="30"/>
  <c r="E16" i="123"/>
  <c r="E16" i="118"/>
  <c r="E16" i="112"/>
  <c r="E38" i="30"/>
  <c r="E17" i="123"/>
  <c r="C17" i="123" s="1"/>
  <c r="E17" i="118"/>
  <c r="C17" i="118" s="1"/>
  <c r="E17" i="112"/>
  <c r="C17" i="112" s="1"/>
  <c r="D45" i="8"/>
  <c r="C26" i="85"/>
  <c r="C28" i="85" s="1"/>
  <c r="C21" i="85" s="1"/>
  <c r="D44" i="30"/>
  <c r="C44" i="30" s="1"/>
  <c r="X28" i="60"/>
  <c r="U28" i="60" s="1"/>
  <c r="N29" i="41"/>
  <c r="D24" i="51"/>
  <c r="C24" i="51" s="1"/>
  <c r="I37" i="8"/>
  <c r="E17" i="51"/>
  <c r="C17" i="51" s="1"/>
  <c r="Y13" i="60"/>
  <c r="U13" i="60" s="1"/>
  <c r="AH15" i="19" s="1"/>
  <c r="O13" i="41"/>
  <c r="Y12" i="60"/>
  <c r="O12" i="41"/>
  <c r="K26" i="42" s="1"/>
  <c r="R21" i="7"/>
  <c r="K27" i="7"/>
  <c r="E16" i="51"/>
  <c r="J37" i="7"/>
  <c r="I37" i="7" s="1"/>
  <c r="E32" i="31" s="1"/>
  <c r="G32" i="31" s="1"/>
  <c r="F45" i="8"/>
  <c r="I44" i="8"/>
  <c r="I21" i="8"/>
  <c r="T44" i="8"/>
  <c r="R44" i="8" s="1"/>
  <c r="L21" i="8"/>
  <c r="C34" i="8"/>
  <c r="O21" i="8"/>
  <c r="O44" i="8"/>
  <c r="T11" i="8"/>
  <c r="L44" i="7"/>
  <c r="T12" i="7"/>
  <c r="T32" i="7"/>
  <c r="I44" i="7"/>
  <c r="T11" i="7"/>
  <c r="I21" i="7"/>
  <c r="O21" i="7"/>
  <c r="AJ39" i="2"/>
  <c r="T39" i="8"/>
  <c r="I34" i="8"/>
  <c r="T12" i="8"/>
  <c r="L44" i="8"/>
  <c r="AS49" i="1"/>
  <c r="AR48" i="1"/>
  <c r="AU48" i="1"/>
  <c r="P10" i="114" s="1"/>
  <c r="O10" i="114" s="1"/>
  <c r="AR47" i="1"/>
  <c r="AU46" i="1"/>
  <c r="P11" i="114" s="1"/>
  <c r="O11" i="114" s="1"/>
  <c r="AU44" i="1"/>
  <c r="AR44" i="1"/>
  <c r="AR43" i="1"/>
  <c r="AR41" i="1"/>
  <c r="AR40" i="1"/>
  <c r="AR39" i="1"/>
  <c r="AS38" i="1"/>
  <c r="AR37" i="1"/>
  <c r="AR36" i="1"/>
  <c r="AR34" i="1"/>
  <c r="AQ28" i="1"/>
  <c r="AR31" i="1"/>
  <c r="AR32" i="1"/>
  <c r="AR30" i="1"/>
  <c r="AR29" i="1"/>
  <c r="AR25" i="1"/>
  <c r="AR24" i="1"/>
  <c r="AR21" i="1"/>
  <c r="AR19" i="1"/>
  <c r="AR18" i="1"/>
  <c r="AQ17" i="1"/>
  <c r="AU22" i="1"/>
  <c r="AU20" i="1"/>
  <c r="AR14" i="1"/>
  <c r="AR13" i="1"/>
  <c r="AR12" i="1"/>
  <c r="AO48" i="1"/>
  <c r="M10" i="114" s="1"/>
  <c r="L10" i="114" s="1"/>
  <c r="AP47" i="1"/>
  <c r="AO46" i="1"/>
  <c r="M11" i="114" s="1"/>
  <c r="AO44" i="1"/>
  <c r="AO42" i="1"/>
  <c r="AL39" i="1"/>
  <c r="AP39" i="1" s="1"/>
  <c r="AV39" i="1" s="1"/>
  <c r="AE39" i="40" s="1"/>
  <c r="AL37" i="1"/>
  <c r="AP37" i="1" s="1"/>
  <c r="AO37" i="1" s="1"/>
  <c r="AR38" i="1"/>
  <c r="AP36" i="1"/>
  <c r="AN36" i="1" s="1"/>
  <c r="AL34" i="1"/>
  <c r="AP34" i="1"/>
  <c r="AO32" i="1"/>
  <c r="AO31" i="1"/>
  <c r="AP30" i="1"/>
  <c r="AP29" i="1"/>
  <c r="AO21" i="1"/>
  <c r="AO19" i="1"/>
  <c r="AO18" i="1"/>
  <c r="AO25" i="1"/>
  <c r="AO24" i="1"/>
  <c r="AO14" i="1"/>
  <c r="AO13" i="1"/>
  <c r="AO12" i="1"/>
  <c r="AL48" i="1"/>
  <c r="AL47" i="1"/>
  <c r="AL44" i="1"/>
  <c r="AL43" i="1"/>
  <c r="AP43" i="1" s="1"/>
  <c r="AL42" i="1"/>
  <c r="AL41" i="1"/>
  <c r="AP41" i="1" s="1"/>
  <c r="AL40" i="1"/>
  <c r="AL32" i="1"/>
  <c r="AL31" i="1"/>
  <c r="AL30" i="1"/>
  <c r="AL25" i="1"/>
  <c r="AL21" i="1"/>
  <c r="AL19" i="1"/>
  <c r="AL18" i="1"/>
  <c r="AL14" i="1"/>
  <c r="AL13" i="1"/>
  <c r="AE60" i="1"/>
  <c r="AL46" i="1"/>
  <c r="AJ47" i="1"/>
  <c r="W25" i="158" s="1"/>
  <c r="AI44" i="1"/>
  <c r="AI48" i="1"/>
  <c r="AG49" i="1"/>
  <c r="AG38" i="1"/>
  <c r="AJ36" i="1"/>
  <c r="W15" i="158" s="1"/>
  <c r="U15" i="158" s="1"/>
  <c r="AJ34" i="1"/>
  <c r="W13" i="158" s="1"/>
  <c r="U13" i="158" s="1"/>
  <c r="AI32" i="1"/>
  <c r="AH32" i="1" s="1"/>
  <c r="H33" i="170" s="1"/>
  <c r="AI31" i="1"/>
  <c r="AH31" i="1" s="1"/>
  <c r="H32" i="170" s="1"/>
  <c r="AJ30" i="1"/>
  <c r="AH30" i="1" s="1"/>
  <c r="H31" i="170" s="1"/>
  <c r="AG28" i="1"/>
  <c r="AL24" i="1"/>
  <c r="AI25" i="1"/>
  <c r="AH25" i="1" s="1"/>
  <c r="H26" i="170" s="1"/>
  <c r="AJ23" i="1"/>
  <c r="AI21" i="1"/>
  <c r="AH21" i="1" s="1"/>
  <c r="H22" i="170" s="1"/>
  <c r="AI19" i="1"/>
  <c r="AH19" i="1" s="1"/>
  <c r="H20" i="170" s="1"/>
  <c r="AI18" i="1"/>
  <c r="AJ17" i="1"/>
  <c r="AI15" i="1"/>
  <c r="AH15" i="1" s="1"/>
  <c r="H16" i="170" s="1"/>
  <c r="AI14" i="1"/>
  <c r="AH14" i="1" s="1"/>
  <c r="H15" i="170" s="1"/>
  <c r="J15" i="170" s="1"/>
  <c r="AI13" i="1"/>
  <c r="AH13" i="1" s="1"/>
  <c r="H14" i="170" s="1"/>
  <c r="J14" i="170" s="1"/>
  <c r="AJ11" i="1"/>
  <c r="AI12" i="1"/>
  <c r="AH12" i="1" s="1"/>
  <c r="H13" i="170" s="1"/>
  <c r="J13" i="170" s="1"/>
  <c r="T27" i="158" l="1"/>
  <c r="Y27" i="36"/>
  <c r="AH44" i="1"/>
  <c r="H49" i="170" s="1"/>
  <c r="J49" i="170" s="1"/>
  <c r="V23" i="158"/>
  <c r="AA23" i="36"/>
  <c r="AI38" i="1"/>
  <c r="T17" i="158"/>
  <c r="O17" i="158" s="1"/>
  <c r="Y17" i="36"/>
  <c r="T17" i="36" s="1"/>
  <c r="AV41" i="1"/>
  <c r="AE41" i="40" s="1"/>
  <c r="AN38" i="59"/>
  <c r="AO38" i="59" s="1"/>
  <c r="AB38" i="40"/>
  <c r="AC38" i="40" s="1"/>
  <c r="G12" i="39" s="1"/>
  <c r="AV43" i="1"/>
  <c r="AE43" i="40" s="1"/>
  <c r="Z44" i="36"/>
  <c r="X44" i="36" s="1"/>
  <c r="U25" i="158"/>
  <c r="J10" i="114"/>
  <c r="S10" i="114" s="1"/>
  <c r="V26" i="158"/>
  <c r="U26" i="158" s="1"/>
  <c r="AA26" i="36"/>
  <c r="Z26" i="36" s="1"/>
  <c r="C45" i="8"/>
  <c r="H61" i="36"/>
  <c r="G61" i="36" s="1"/>
  <c r="E61" i="36" s="1"/>
  <c r="AH47" i="1"/>
  <c r="AB25" i="36"/>
  <c r="Z25" i="36" s="1"/>
  <c r="C38" i="30"/>
  <c r="AH36" i="1"/>
  <c r="H36" i="170" s="1"/>
  <c r="AB15" i="36"/>
  <c r="Z15" i="36" s="1"/>
  <c r="AH34" i="1"/>
  <c r="H35" i="170" s="1"/>
  <c r="AB13" i="36"/>
  <c r="Z13" i="36" s="1"/>
  <c r="E17" i="84"/>
  <c r="E38" i="84" s="1"/>
  <c r="E36" i="84" s="1"/>
  <c r="AO41" i="1"/>
  <c r="AV37" i="1"/>
  <c r="AE37" i="40" s="1"/>
  <c r="I28" i="8"/>
  <c r="E12" i="43"/>
  <c r="L11" i="114"/>
  <c r="R11" i="114" s="1"/>
  <c r="S11" i="114"/>
  <c r="E22" i="84"/>
  <c r="C37" i="115"/>
  <c r="C37" i="110"/>
  <c r="C37" i="48"/>
  <c r="C19" i="85"/>
  <c r="AP38" i="59"/>
  <c r="Q12" i="61"/>
  <c r="V12" i="61" s="1"/>
  <c r="P12" i="8"/>
  <c r="O12" i="8" s="1"/>
  <c r="AK13" i="2"/>
  <c r="P12" i="7"/>
  <c r="O12" i="7" s="1"/>
  <c r="AN46" i="1"/>
  <c r="M12" i="8"/>
  <c r="L12" i="8" s="1"/>
  <c r="AF13" i="2"/>
  <c r="M12" i="7"/>
  <c r="L12" i="7" s="1"/>
  <c r="AO45" i="1"/>
  <c r="AN45" i="1" s="1"/>
  <c r="AT48" i="1"/>
  <c r="P11" i="7"/>
  <c r="O11" i="7" s="1"/>
  <c r="P11" i="8"/>
  <c r="O11" i="8" s="1"/>
  <c r="M11" i="7"/>
  <c r="L11" i="7" s="1"/>
  <c r="M11" i="8"/>
  <c r="L11" i="8" s="1"/>
  <c r="R21" i="8"/>
  <c r="J36" i="42"/>
  <c r="K29" i="41"/>
  <c r="E28" i="39" s="1"/>
  <c r="N25" i="61"/>
  <c r="AH30" i="19"/>
  <c r="K27" i="42"/>
  <c r="K13" i="41"/>
  <c r="AU38" i="1"/>
  <c r="AD38" i="40" s="1"/>
  <c r="AH48" i="1"/>
  <c r="J11" i="8"/>
  <c r="J11" i="7"/>
  <c r="I11" i="7" s="1"/>
  <c r="D10" i="31" s="1"/>
  <c r="AI24" i="1"/>
  <c r="AH24" i="1" s="1"/>
  <c r="H25" i="170" s="1"/>
  <c r="AL12" i="1"/>
  <c r="AL29" i="1"/>
  <c r="AL38" i="1"/>
  <c r="AK12" i="2"/>
  <c r="AH46" i="1"/>
  <c r="AF45" i="1"/>
  <c r="AL36" i="1"/>
  <c r="AA12" i="2"/>
  <c r="G41" i="157" s="1"/>
  <c r="F41" i="157" s="1"/>
  <c r="AF12" i="2"/>
  <c r="S16" i="155" s="1"/>
  <c r="AU17" i="1"/>
  <c r="AM38" i="1"/>
  <c r="AH38" i="59" s="1"/>
  <c r="AI38" i="59" s="1"/>
  <c r="AH18" i="1"/>
  <c r="H19" i="170" s="1"/>
  <c r="AH38" i="1" l="1"/>
  <c r="V17" i="158"/>
  <c r="AA17" i="36"/>
  <c r="V23" i="36"/>
  <c r="U23" i="36" s="1"/>
  <c r="Z23" i="36"/>
  <c r="U23" i="158"/>
  <c r="Q23" i="158"/>
  <c r="P23" i="158" s="1"/>
  <c r="S15" i="155"/>
  <c r="T16" i="155"/>
  <c r="T15" i="155" s="1"/>
  <c r="D16" i="155"/>
  <c r="I10" i="114"/>
  <c r="R10" i="114" s="1"/>
  <c r="G10" i="31"/>
  <c r="R61" i="36"/>
  <c r="Q61" i="36"/>
  <c r="AU41" i="1"/>
  <c r="AD41" i="40" s="1"/>
  <c r="P26" i="114"/>
  <c r="P27" i="8"/>
  <c r="M26" i="114"/>
  <c r="M27" i="8"/>
  <c r="G113" i="11"/>
  <c r="J27" i="8"/>
  <c r="M27" i="114"/>
  <c r="M28" i="7"/>
  <c r="M28" i="8"/>
  <c r="S13" i="41"/>
  <c r="P27" i="114"/>
  <c r="O27" i="114" s="1"/>
  <c r="AH13" i="2"/>
  <c r="P28" i="7"/>
  <c r="O28" i="7" s="1"/>
  <c r="X13" i="41"/>
  <c r="U13" i="41" s="1"/>
  <c r="P28" i="8"/>
  <c r="O28" i="8" s="1"/>
  <c r="C18" i="86"/>
  <c r="D16" i="123"/>
  <c r="C16" i="123" s="1"/>
  <c r="D37" i="30"/>
  <c r="C37" i="30" s="1"/>
  <c r="D16" i="118"/>
  <c r="J26" i="114"/>
  <c r="C23" i="116"/>
  <c r="D16" i="112"/>
  <c r="C16" i="112" s="1"/>
  <c r="C22" i="49"/>
  <c r="AH13" i="60"/>
  <c r="AE13" i="60" s="1"/>
  <c r="AO15" i="19" s="1"/>
  <c r="AT15" i="19" s="1"/>
  <c r="AJ38" i="59"/>
  <c r="O12" i="61"/>
  <c r="AC13" i="60"/>
  <c r="M27" i="42"/>
  <c r="I36" i="42"/>
  <c r="X12" i="60"/>
  <c r="U12" i="60" s="1"/>
  <c r="N12" i="41"/>
  <c r="AH12" i="60"/>
  <c r="X12" i="41"/>
  <c r="AC12" i="60"/>
  <c r="S12" i="41"/>
  <c r="I27" i="42"/>
  <c r="J27" i="7"/>
  <c r="D16" i="51"/>
  <c r="C16" i="51" s="1"/>
  <c r="P27" i="7"/>
  <c r="M27" i="7"/>
  <c r="I11" i="8"/>
  <c r="R11" i="8" s="1"/>
  <c r="AH29" i="1"/>
  <c r="H30" i="170" s="1"/>
  <c r="AJ28" i="1"/>
  <c r="S11" i="8"/>
  <c r="AI45" i="1"/>
  <c r="AL45" i="1"/>
  <c r="X12" i="2"/>
  <c r="S11" i="7"/>
  <c r="R11" i="7"/>
  <c r="AO38" i="1"/>
  <c r="G113" i="159" l="1"/>
  <c r="G113" i="160"/>
  <c r="G113" i="161"/>
  <c r="Z17" i="36"/>
  <c r="V17" i="36"/>
  <c r="U17" i="36" s="1"/>
  <c r="AB12" i="36"/>
  <c r="W12" i="158"/>
  <c r="U17" i="158"/>
  <c r="Q17" i="158"/>
  <c r="P17" i="158" s="1"/>
  <c r="D15" i="155"/>
  <c r="E16" i="155"/>
  <c r="E15" i="155" s="1"/>
  <c r="G39" i="170"/>
  <c r="H38" i="170"/>
  <c r="D113" i="159"/>
  <c r="C113" i="159" s="1"/>
  <c r="G9" i="159"/>
  <c r="E10" i="71"/>
  <c r="AA24" i="36"/>
  <c r="Z24" i="36" s="1"/>
  <c r="V24" i="158"/>
  <c r="U24" i="158" s="1"/>
  <c r="I27" i="8"/>
  <c r="AA43" i="36"/>
  <c r="Z43" i="36" s="1"/>
  <c r="X43" i="36" s="1"/>
  <c r="G113" i="56"/>
  <c r="D113" i="56" s="1"/>
  <c r="C113" i="56" s="1"/>
  <c r="G9" i="11"/>
  <c r="S27" i="114"/>
  <c r="D113" i="11"/>
  <c r="C113" i="11" s="1"/>
  <c r="G11" i="43"/>
  <c r="J11" i="43"/>
  <c r="J12" i="43"/>
  <c r="S27" i="8"/>
  <c r="S26" i="114"/>
  <c r="I26" i="114"/>
  <c r="C29" i="115"/>
  <c r="C29" i="110"/>
  <c r="C29" i="48"/>
  <c r="C16" i="118"/>
  <c r="P27" i="42"/>
  <c r="O27" i="42" s="1"/>
  <c r="M26" i="42"/>
  <c r="P26" i="42"/>
  <c r="J26" i="42"/>
  <c r="K12" i="41"/>
  <c r="AH14" i="19"/>
  <c r="AH127" i="19" s="1"/>
  <c r="I12" i="7"/>
  <c r="I12" i="8"/>
  <c r="I27" i="7"/>
  <c r="E24" i="31" s="1"/>
  <c r="G24" i="31" s="1"/>
  <c r="S27" i="7"/>
  <c r="AH45" i="1"/>
  <c r="H50" i="170" s="1"/>
  <c r="AN38" i="1"/>
  <c r="D113" i="161" l="1"/>
  <c r="C113" i="161" s="1"/>
  <c r="G9" i="161"/>
  <c r="D113" i="160"/>
  <c r="C113" i="160" s="1"/>
  <c r="G9" i="160"/>
  <c r="H39" i="170"/>
  <c r="G40" i="170"/>
  <c r="G9" i="56"/>
  <c r="S27" i="42"/>
  <c r="I26" i="42"/>
  <c r="S26" i="42"/>
  <c r="S28" i="7"/>
  <c r="I28" i="7"/>
  <c r="E25" i="31" s="1"/>
  <c r="G25" i="31" s="1"/>
  <c r="R12" i="8"/>
  <c r="S12" i="8"/>
  <c r="X13" i="2"/>
  <c r="S12" i="7"/>
  <c r="R12" i="7"/>
  <c r="G12" i="43" l="1"/>
  <c r="C30" i="115"/>
  <c r="C30" i="110"/>
  <c r="C30" i="48"/>
  <c r="S28" i="8"/>
  <c r="Z12" i="1" l="1"/>
  <c r="V38" i="1"/>
  <c r="M17" i="36" s="1"/>
  <c r="P38" i="1"/>
  <c r="Q38" i="1" s="1"/>
  <c r="R38" i="1" s="1"/>
  <c r="Y41" i="1"/>
  <c r="P20" i="36" s="1"/>
  <c r="X42" i="1"/>
  <c r="X44" i="1"/>
  <c r="O23" i="36" s="1"/>
  <c r="N23" i="36" s="1"/>
  <c r="X45" i="1"/>
  <c r="O24" i="36" s="1"/>
  <c r="N24" i="36" s="1"/>
  <c r="Y47" i="1"/>
  <c r="P25" i="36" s="1"/>
  <c r="N25" i="36" s="1"/>
  <c r="X48" i="1"/>
  <c r="Y36" i="1"/>
  <c r="P15" i="36" s="1"/>
  <c r="N15" i="36" s="1"/>
  <c r="Y34" i="1"/>
  <c r="P13" i="36" s="1"/>
  <c r="N13" i="36" s="1"/>
  <c r="G10" i="114" l="1"/>
  <c r="O26" i="36"/>
  <c r="N26" i="36" s="1"/>
  <c r="G11" i="7"/>
  <c r="S12" i="2"/>
  <c r="G11" i="8"/>
  <c r="Y41" i="59"/>
  <c r="X41" i="59" s="1"/>
  <c r="M41" i="40"/>
  <c r="L41" i="40" s="1"/>
  <c r="AC42" i="1"/>
  <c r="U27" i="1"/>
  <c r="U25" i="1"/>
  <c r="U24" i="1"/>
  <c r="U21" i="1"/>
  <c r="U19" i="1"/>
  <c r="U18" i="1"/>
  <c r="Y33" i="1"/>
  <c r="X32" i="1"/>
  <c r="X31" i="1"/>
  <c r="Y30" i="1"/>
  <c r="Y29" i="1"/>
  <c r="Y27" i="1"/>
  <c r="X27" i="1"/>
  <c r="Y26" i="1"/>
  <c r="Y25" i="1"/>
  <c r="X25" i="1"/>
  <c r="Y24" i="1"/>
  <c r="X24" i="1"/>
  <c r="X21" i="1"/>
  <c r="X19" i="1"/>
  <c r="X18" i="1"/>
  <c r="U15" i="1"/>
  <c r="U14" i="1"/>
  <c r="U13" i="1"/>
  <c r="X15" i="1"/>
  <c r="AC15" i="1" s="1"/>
  <c r="X14" i="1"/>
  <c r="X13" i="1"/>
  <c r="X12" i="1"/>
  <c r="G26" i="114" l="1"/>
  <c r="G18" i="157"/>
  <c r="D14" i="30"/>
  <c r="G27" i="7"/>
  <c r="S12" i="60"/>
  <c r="I12" i="41"/>
  <c r="G26" i="42" s="1"/>
  <c r="G27" i="8"/>
  <c r="O43" i="36" s="1"/>
  <c r="W25" i="1"/>
  <c r="F26" i="170" s="1"/>
  <c r="J26" i="170" s="1"/>
  <c r="W24" i="1"/>
  <c r="F25" i="170" s="1"/>
  <c r="J25" i="170" s="1"/>
  <c r="W27" i="1"/>
  <c r="F28" i="170" s="1"/>
  <c r="Y23" i="1"/>
  <c r="AS46" i="1"/>
  <c r="AR42" i="1"/>
  <c r="E10" i="6" l="1"/>
  <c r="K15" i="6"/>
  <c r="K11" i="6"/>
  <c r="K12" i="6" s="1"/>
  <c r="L10" i="6"/>
  <c r="K151" i="2" l="1"/>
  <c r="M151" i="2"/>
  <c r="J148" i="2"/>
  <c r="J161" i="2"/>
  <c r="I161" i="2"/>
  <c r="I162" i="2" s="1"/>
  <c r="BK13" i="2"/>
  <c r="BK16" i="2"/>
  <c r="BK17" i="2"/>
  <c r="BK19" i="2"/>
  <c r="BK20" i="2"/>
  <c r="BK21" i="2"/>
  <c r="BK22" i="2"/>
  <c r="BK23" i="2"/>
  <c r="BK24" i="2"/>
  <c r="BK25" i="2"/>
  <c r="BK26" i="2"/>
  <c r="BK27" i="2"/>
  <c r="BK28" i="2"/>
  <c r="BK29" i="2"/>
  <c r="BK30" i="2"/>
  <c r="BK31" i="2"/>
  <c r="BK32" i="2"/>
  <c r="BK34" i="2"/>
  <c r="BK36" i="2"/>
  <c r="BK37" i="2"/>
  <c r="BK39" i="2"/>
  <c r="BL10" i="2"/>
  <c r="BM10" i="2"/>
  <c r="BN12" i="2"/>
  <c r="BN13" i="2"/>
  <c r="BL16" i="2"/>
  <c r="BM16" i="2"/>
  <c r="BN16" i="2"/>
  <c r="BL17" i="2"/>
  <c r="BM17" i="2"/>
  <c r="BN17" i="2"/>
  <c r="BL19" i="2"/>
  <c r="BM19" i="2"/>
  <c r="BN19" i="2"/>
  <c r="BL20" i="2"/>
  <c r="BM20" i="2"/>
  <c r="BN20" i="2"/>
  <c r="BL21" i="2"/>
  <c r="BM21" i="2"/>
  <c r="BN21" i="2"/>
  <c r="BL22" i="2"/>
  <c r="BM22" i="2"/>
  <c r="BN22" i="2"/>
  <c r="BL23" i="2"/>
  <c r="BM23" i="2"/>
  <c r="BN23" i="2"/>
  <c r="BL24" i="2"/>
  <c r="BM24" i="2"/>
  <c r="BN24" i="2"/>
  <c r="BL25" i="2"/>
  <c r="BM25" i="2"/>
  <c r="BN25" i="2"/>
  <c r="BL26" i="2"/>
  <c r="BM26" i="2"/>
  <c r="BN26" i="2"/>
  <c r="BN27" i="2"/>
  <c r="BL28" i="2"/>
  <c r="BM28" i="2"/>
  <c r="BN28" i="2"/>
  <c r="BL29" i="2"/>
  <c r="BM29" i="2"/>
  <c r="BN29" i="2"/>
  <c r="BL30" i="2"/>
  <c r="BM30" i="2"/>
  <c r="BN30" i="2"/>
  <c r="BL31" i="2"/>
  <c r="BM31" i="2"/>
  <c r="BN31" i="2"/>
  <c r="BL34" i="2"/>
  <c r="BM34" i="2"/>
  <c r="BN34" i="2"/>
  <c r="BN37" i="2"/>
  <c r="BL39" i="2"/>
  <c r="BM39" i="2"/>
  <c r="BN39" i="2"/>
  <c r="AW31" i="2"/>
  <c r="G10" i="6"/>
  <c r="G13" i="6" s="1"/>
  <c r="G11" i="6" l="1"/>
  <c r="AU20" i="2"/>
  <c r="R59" i="1"/>
  <c r="N31" i="2"/>
  <c r="E68" i="5"/>
  <c r="O31" i="2"/>
  <c r="W31" i="2" s="1"/>
  <c r="K31" i="2" l="1"/>
  <c r="U31" i="2" s="1"/>
  <c r="V31" i="2"/>
  <c r="E17" i="6"/>
  <c r="G6" i="6" l="1"/>
  <c r="C26" i="6"/>
  <c r="C27" i="6"/>
  <c r="C47" i="6"/>
  <c r="C48" i="6"/>
  <c r="C61" i="5"/>
  <c r="C47" i="5"/>
  <c r="C48" i="5"/>
  <c r="Z31" i="2" l="1"/>
  <c r="BI36" i="2"/>
  <c r="BN36" i="2" s="1"/>
  <c r="BI32" i="2"/>
  <c r="BN32" i="2" s="1"/>
  <c r="BI11" i="2"/>
  <c r="BI10" i="2"/>
  <c r="BG11" i="2"/>
  <c r="BI18" i="2"/>
  <c r="BJ31" i="2"/>
  <c r="BG18" i="2"/>
  <c r="BG35" i="2"/>
  <c r="BH31" i="2"/>
  <c r="BE37" i="2"/>
  <c r="BE36" i="2"/>
  <c r="BE32" i="2"/>
  <c r="BE27" i="2"/>
  <c r="BE13" i="2"/>
  <c r="BE12" i="2"/>
  <c r="BE11" i="2"/>
  <c r="BF31" i="2"/>
  <c r="BE18" i="2"/>
  <c r="BE15" i="2"/>
  <c r="BC11" i="2"/>
  <c r="BC35" i="2"/>
  <c r="BC18" i="2"/>
  <c r="BD31" i="2"/>
  <c r="BA11" i="2"/>
  <c r="BA10" i="2"/>
  <c r="BA12" i="2"/>
  <c r="BK12" i="2" s="1"/>
  <c r="BA35" i="2"/>
  <c r="BA18" i="2"/>
  <c r="BA15" i="2" s="1"/>
  <c r="BB31" i="2"/>
  <c r="BL18" i="2" l="1"/>
  <c r="BK35" i="2"/>
  <c r="BK18" i="2"/>
  <c r="BL36" i="2"/>
  <c r="BM36" i="2"/>
  <c r="BI9" i="2"/>
  <c r="BN10" i="2"/>
  <c r="BL12" i="2"/>
  <c r="BM12" i="2"/>
  <c r="BM18" i="2"/>
  <c r="BK10" i="2"/>
  <c r="BA9" i="2"/>
  <c r="BA8" i="2" s="1"/>
  <c r="BA7" i="2" s="1"/>
  <c r="BN11" i="2"/>
  <c r="BL13" i="2"/>
  <c r="BM13" i="2"/>
  <c r="BM11" i="2"/>
  <c r="BG9" i="2"/>
  <c r="BC15" i="2"/>
  <c r="BK15" i="2" s="1"/>
  <c r="BM27" i="2"/>
  <c r="BL27" i="2"/>
  <c r="BI15" i="2"/>
  <c r="BN18" i="2"/>
  <c r="BE35" i="2"/>
  <c r="BL35" i="2" s="1"/>
  <c r="BL37" i="2"/>
  <c r="BM37" i="2"/>
  <c r="BL11" i="2"/>
  <c r="BE9" i="2"/>
  <c r="BE8" i="2" s="1"/>
  <c r="BC9" i="2"/>
  <c r="BK11" i="2"/>
  <c r="BM32" i="2"/>
  <c r="BL32" i="2"/>
  <c r="BI35" i="2"/>
  <c r="BN35" i="2" s="1"/>
  <c r="BG15" i="2"/>
  <c r="BM15" i="2" s="1"/>
  <c r="BK9" i="2" l="1"/>
  <c r="BN15" i="2"/>
  <c r="BG8" i="2"/>
  <c r="BM8" i="2" s="1"/>
  <c r="BI8" i="2"/>
  <c r="BI7" i="2" s="1"/>
  <c r="BM35" i="2"/>
  <c r="BL15" i="2"/>
  <c r="BC8" i="2"/>
  <c r="BK8" i="2" s="1"/>
  <c r="BN9" i="2"/>
  <c r="BM9" i="2"/>
  <c r="BL9" i="2"/>
  <c r="BE7" i="2"/>
  <c r="BG7" i="2" l="1"/>
  <c r="BM7" i="2" s="1"/>
  <c r="BN8" i="2"/>
  <c r="BC7" i="2"/>
  <c r="BK7" i="2" s="1"/>
  <c r="BL8" i="2"/>
  <c r="BN7" i="2"/>
  <c r="AY37" i="2"/>
  <c r="AY36" i="2"/>
  <c r="AY35" i="2" s="1"/>
  <c r="AY18" i="2"/>
  <c r="AY13" i="2"/>
  <c r="AY9" i="2" s="1"/>
  <c r="AZ31" i="2"/>
  <c r="BL7" i="2" l="1"/>
  <c r="AY15" i="2"/>
  <c r="K9" i="6"/>
  <c r="L12" i="6" l="1"/>
  <c r="L14" i="6" s="1"/>
  <c r="M14" i="6" s="1"/>
  <c r="L9" i="6"/>
  <c r="L8" i="6" s="1"/>
  <c r="K8" i="6"/>
  <c r="AY8" i="2"/>
  <c r="DC12" i="1"/>
  <c r="DC13" i="1"/>
  <c r="DC14" i="1"/>
  <c r="DC15" i="1"/>
  <c r="DC16" i="1"/>
  <c r="DC18" i="1"/>
  <c r="DC19" i="1"/>
  <c r="DC20" i="1"/>
  <c r="DC21" i="1"/>
  <c r="DC22" i="1"/>
  <c r="DC24" i="1"/>
  <c r="DC25" i="1"/>
  <c r="DC26" i="1"/>
  <c r="DC27" i="1"/>
  <c r="DC29" i="1"/>
  <c r="DC30" i="1"/>
  <c r="DC31" i="1"/>
  <c r="DC32" i="1"/>
  <c r="DC33" i="1"/>
  <c r="DC34" i="1"/>
  <c r="DC35" i="1"/>
  <c r="DC36" i="1"/>
  <c r="DC37" i="1"/>
  <c r="DC38" i="1"/>
  <c r="DC39" i="1"/>
  <c r="DC40" i="1"/>
  <c r="DC41" i="1"/>
  <c r="DC42" i="1"/>
  <c r="DC43" i="1"/>
  <c r="DC44" i="1"/>
  <c r="DC45" i="1"/>
  <c r="DC46" i="1"/>
  <c r="DC47" i="1"/>
  <c r="DC48" i="1"/>
  <c r="DI12" i="1"/>
  <c r="DI13" i="1"/>
  <c r="DI14" i="1"/>
  <c r="DI15" i="1"/>
  <c r="DI16" i="1"/>
  <c r="DI18" i="1"/>
  <c r="DI19" i="1"/>
  <c r="DI20" i="1"/>
  <c r="DI21" i="1"/>
  <c r="DI22" i="1"/>
  <c r="DI24" i="1"/>
  <c r="DI25" i="1"/>
  <c r="DI26" i="1"/>
  <c r="DI27" i="1"/>
  <c r="DI29" i="1"/>
  <c r="DI30" i="1"/>
  <c r="DI31" i="1"/>
  <c r="DI32" i="1"/>
  <c r="DI33" i="1"/>
  <c r="DI34" i="1"/>
  <c r="DI35" i="1"/>
  <c r="DI36" i="1"/>
  <c r="DI37" i="1"/>
  <c r="DI38" i="1"/>
  <c r="DI39" i="1"/>
  <c r="DI40" i="1"/>
  <c r="DI41" i="1"/>
  <c r="DI42" i="1"/>
  <c r="DI43" i="1"/>
  <c r="DI44" i="1"/>
  <c r="DI45" i="1"/>
  <c r="DI46" i="1"/>
  <c r="DI47" i="1"/>
  <c r="DI48" i="1"/>
  <c r="DG12" i="1"/>
  <c r="DG13" i="1"/>
  <c r="DG14" i="1"/>
  <c r="DG15" i="1"/>
  <c r="DG16" i="1"/>
  <c r="DG18" i="1"/>
  <c r="DG19" i="1"/>
  <c r="DG20" i="1"/>
  <c r="DG21" i="1"/>
  <c r="DG22" i="1"/>
  <c r="DG24" i="1"/>
  <c r="DG25" i="1"/>
  <c r="DG26" i="1"/>
  <c r="DG27" i="1"/>
  <c r="DG29" i="1"/>
  <c r="DG30" i="1"/>
  <c r="DG31" i="1"/>
  <c r="DG32" i="1"/>
  <c r="DG33" i="1"/>
  <c r="DG34" i="1"/>
  <c r="DG35" i="1"/>
  <c r="DG36" i="1"/>
  <c r="DG37" i="1"/>
  <c r="DG38" i="1"/>
  <c r="DG39" i="1"/>
  <c r="DG40" i="1"/>
  <c r="DG41" i="1"/>
  <c r="DG42" i="1"/>
  <c r="DG43" i="1"/>
  <c r="DG44" i="1"/>
  <c r="DG45" i="1"/>
  <c r="DG46" i="1"/>
  <c r="DG47" i="1"/>
  <c r="DG48" i="1"/>
  <c r="DH9" i="1"/>
  <c r="DH10" i="1" s="1"/>
  <c r="DF9" i="1"/>
  <c r="DE12" i="1"/>
  <c r="DE13" i="1"/>
  <c r="DE14" i="1"/>
  <c r="DE15" i="1"/>
  <c r="DE16" i="1"/>
  <c r="DE18" i="1"/>
  <c r="DE19" i="1"/>
  <c r="DE20" i="1"/>
  <c r="DE21" i="1"/>
  <c r="DE22" i="1"/>
  <c r="DE24" i="1"/>
  <c r="DE25" i="1"/>
  <c r="DE26" i="1"/>
  <c r="DE27" i="1"/>
  <c r="DE29" i="1"/>
  <c r="DE30" i="1"/>
  <c r="DE31" i="1"/>
  <c r="DE32" i="1"/>
  <c r="DE33" i="1"/>
  <c r="DE34" i="1"/>
  <c r="DE35" i="1"/>
  <c r="DE36" i="1"/>
  <c r="DE37" i="1"/>
  <c r="DE38" i="1"/>
  <c r="DE39" i="1"/>
  <c r="DE40" i="1"/>
  <c r="DE41" i="1"/>
  <c r="DE42" i="1"/>
  <c r="DE43" i="1"/>
  <c r="DE44" i="1"/>
  <c r="DE45" i="1"/>
  <c r="DE46" i="1"/>
  <c r="DE47" i="1"/>
  <c r="DE48" i="1"/>
  <c r="DD9" i="1"/>
  <c r="DD8" i="1" s="1"/>
  <c r="DB9" i="1"/>
  <c r="DB10" i="1" s="1"/>
  <c r="DA48" i="1"/>
  <c r="DA47" i="1"/>
  <c r="DA46" i="1"/>
  <c r="DA45" i="1"/>
  <c r="DA44" i="1"/>
  <c r="DA43" i="1"/>
  <c r="DA42" i="1"/>
  <c r="DA41" i="1"/>
  <c r="DA40" i="1"/>
  <c r="DA39" i="1"/>
  <c r="DA38" i="1"/>
  <c r="DA37" i="1"/>
  <c r="DA36" i="1"/>
  <c r="DA35" i="1"/>
  <c r="DA34" i="1"/>
  <c r="DA33" i="1"/>
  <c r="DA32" i="1"/>
  <c r="DA31" i="1"/>
  <c r="DA30" i="1"/>
  <c r="DA29" i="1"/>
  <c r="DA27" i="1"/>
  <c r="DA26" i="1"/>
  <c r="DA25" i="1"/>
  <c r="DA24" i="1"/>
  <c r="DA22" i="1"/>
  <c r="DA21" i="1"/>
  <c r="DA20" i="1"/>
  <c r="DA19" i="1"/>
  <c r="DA18" i="1"/>
  <c r="DA16" i="1"/>
  <c r="DA15" i="1"/>
  <c r="DA14" i="1"/>
  <c r="DA13" i="1"/>
  <c r="DA12" i="1"/>
  <c r="CZ9" i="1"/>
  <c r="CZ8" i="1" s="1"/>
  <c r="CY12" i="1"/>
  <c r="CY13" i="1"/>
  <c r="CY14" i="1"/>
  <c r="CY15" i="1"/>
  <c r="CY16" i="1"/>
  <c r="CY18" i="1"/>
  <c r="CY19" i="1"/>
  <c r="CY20" i="1"/>
  <c r="CY21" i="1"/>
  <c r="CY22" i="1"/>
  <c r="CY24" i="1"/>
  <c r="CY25" i="1"/>
  <c r="CY26" i="1"/>
  <c r="CY27" i="1"/>
  <c r="CY29" i="1"/>
  <c r="CY30" i="1"/>
  <c r="CY31" i="1"/>
  <c r="CY32" i="1"/>
  <c r="CY33" i="1"/>
  <c r="CY34" i="1"/>
  <c r="CY35" i="1"/>
  <c r="CY36" i="1"/>
  <c r="CY37" i="1"/>
  <c r="CY38" i="1"/>
  <c r="CY39" i="1"/>
  <c r="CY40" i="1"/>
  <c r="CY41" i="1"/>
  <c r="CY42" i="1"/>
  <c r="CY43" i="1"/>
  <c r="CY44" i="1"/>
  <c r="CY45" i="1"/>
  <c r="CY46" i="1"/>
  <c r="CY47" i="1"/>
  <c r="CY48" i="1"/>
  <c r="CX9" i="1"/>
  <c r="CX8" i="1" s="1"/>
  <c r="S43" i="1"/>
  <c r="S37" i="1"/>
  <c r="M37" i="1"/>
  <c r="P43" i="1"/>
  <c r="S39" i="1"/>
  <c r="M43" i="1"/>
  <c r="M39" i="1"/>
  <c r="J39" i="1"/>
  <c r="DF8" i="1" l="1"/>
  <c r="DF10" i="1"/>
  <c r="DD10" i="1"/>
  <c r="DH8" i="1"/>
  <c r="DB8" i="1"/>
  <c r="CZ10" i="1"/>
  <c r="CX10" i="1"/>
  <c r="P39" i="1" l="1"/>
  <c r="J43" i="1"/>
  <c r="E57" i="5" l="1"/>
  <c r="D57" i="5"/>
  <c r="E36" i="5"/>
  <c r="D36" i="5"/>
  <c r="E36" i="6"/>
  <c r="D36" i="6"/>
  <c r="E57" i="6"/>
  <c r="D57" i="6"/>
  <c r="L40" i="1"/>
  <c r="H57" i="1"/>
  <c r="L57" i="1" s="1"/>
  <c r="F37" i="2" s="1"/>
  <c r="C36" i="6" l="1"/>
  <c r="BJ37" i="2"/>
  <c r="BD37" i="2"/>
  <c r="BH37" i="2"/>
  <c r="BF37" i="2"/>
  <c r="C57" i="6"/>
  <c r="C57" i="5"/>
  <c r="BB37" i="2"/>
  <c r="AZ37" i="2"/>
  <c r="H56" i="1"/>
  <c r="C36" i="5"/>
  <c r="J38" i="1" l="1"/>
  <c r="M40" i="1" l="1"/>
  <c r="J11" i="2" s="1"/>
  <c r="H11" i="1"/>
  <c r="DI11" i="1" l="1"/>
  <c r="DA11" i="1"/>
  <c r="DC11" i="1"/>
  <c r="CY11" i="1"/>
  <c r="DG11" i="1"/>
  <c r="DE11" i="1"/>
  <c r="D39" i="2"/>
  <c r="D43" i="114" s="1"/>
  <c r="D37" i="2"/>
  <c r="D36" i="2"/>
  <c r="C36" i="2" s="1"/>
  <c r="D34" i="2"/>
  <c r="D38" i="114" s="1"/>
  <c r="C38" i="114" s="1"/>
  <c r="E30" i="2"/>
  <c r="D30" i="2"/>
  <c r="AA30" i="2" s="1"/>
  <c r="D29" i="2"/>
  <c r="AA194" i="2" s="1"/>
  <c r="E28" i="2"/>
  <c r="AB28" i="2" s="1"/>
  <c r="D28" i="2"/>
  <c r="E27" i="2"/>
  <c r="D27" i="2"/>
  <c r="E26" i="2"/>
  <c r="AB26" i="2" s="1"/>
  <c r="D26" i="2"/>
  <c r="E25" i="2"/>
  <c r="AB25" i="2" s="1"/>
  <c r="D25" i="2"/>
  <c r="E24" i="2"/>
  <c r="AB24" i="2" s="1"/>
  <c r="D24" i="2"/>
  <c r="E23" i="2"/>
  <c r="AB23" i="2" s="1"/>
  <c r="D23" i="2"/>
  <c r="E22" i="2"/>
  <c r="AB22" i="2" s="1"/>
  <c r="D22" i="2"/>
  <c r="D21" i="2"/>
  <c r="E20" i="2"/>
  <c r="D20" i="2"/>
  <c r="D19" i="2"/>
  <c r="E17" i="2"/>
  <c r="AB17" i="2" s="1"/>
  <c r="D17" i="2"/>
  <c r="E16" i="2"/>
  <c r="D16" i="2"/>
  <c r="D13" i="2"/>
  <c r="D27" i="114" s="1"/>
  <c r="C27" i="114" s="1"/>
  <c r="D12" i="2"/>
  <c r="D26" i="114" s="1"/>
  <c r="C26" i="114" s="1"/>
  <c r="E11" i="2"/>
  <c r="E25" i="114" s="1"/>
  <c r="D11" i="2"/>
  <c r="D25" i="114" s="1"/>
  <c r="E10" i="2"/>
  <c r="D10" i="2"/>
  <c r="E122" i="11" s="1"/>
  <c r="C60" i="1"/>
  <c r="C59" i="1"/>
  <c r="C56" i="1"/>
  <c r="T56" i="1" s="1"/>
  <c r="C57" i="1"/>
  <c r="C53" i="1"/>
  <c r="C51" i="1"/>
  <c r="C50" i="1"/>
  <c r="C50" i="40" s="1"/>
  <c r="C48" i="1"/>
  <c r="C47" i="1"/>
  <c r="C47" i="170" s="1"/>
  <c r="D47" i="170" s="1"/>
  <c r="C45" i="1"/>
  <c r="C50" i="170" s="1"/>
  <c r="C44" i="1"/>
  <c r="C49" i="170" s="1"/>
  <c r="F46" i="1"/>
  <c r="G43" i="1"/>
  <c r="D43" i="1"/>
  <c r="C43" i="1"/>
  <c r="C46" i="170" s="1"/>
  <c r="G41" i="1"/>
  <c r="I20" i="158" s="1"/>
  <c r="G20" i="158" s="1"/>
  <c r="C41" i="1"/>
  <c r="C45" i="170" s="1"/>
  <c r="G39" i="1"/>
  <c r="D39" i="1"/>
  <c r="C42" i="170" s="1"/>
  <c r="C39" i="1"/>
  <c r="C41" i="170" s="1"/>
  <c r="C38" i="1"/>
  <c r="C38" i="170" s="1"/>
  <c r="G37" i="1"/>
  <c r="C37" i="1"/>
  <c r="C37" i="170" s="1"/>
  <c r="C36" i="1"/>
  <c r="C36" i="170" s="1"/>
  <c r="C34" i="1"/>
  <c r="C35" i="170" s="1"/>
  <c r="C33" i="1"/>
  <c r="C34" i="170" s="1"/>
  <c r="C32" i="1"/>
  <c r="C33" i="170" s="1"/>
  <c r="C31" i="1"/>
  <c r="C32" i="170" s="1"/>
  <c r="C30" i="1"/>
  <c r="C31" i="170" s="1"/>
  <c r="C29" i="1"/>
  <c r="C30" i="170" s="1"/>
  <c r="X25" i="2" l="1"/>
  <c r="X26" i="2"/>
  <c r="X24" i="2"/>
  <c r="X23" i="2"/>
  <c r="X22" i="2"/>
  <c r="X28" i="2"/>
  <c r="C43" i="170"/>
  <c r="D43" i="170" s="1"/>
  <c r="E26" i="158"/>
  <c r="AB26" i="158" s="1"/>
  <c r="C48" i="170"/>
  <c r="D48" i="170" s="1"/>
  <c r="G49" i="157"/>
  <c r="AA55" i="2"/>
  <c r="C82" i="1"/>
  <c r="F82" i="1" s="1"/>
  <c r="E20" i="158"/>
  <c r="I16" i="36"/>
  <c r="I16" i="158"/>
  <c r="F22" i="36"/>
  <c r="F22" i="158"/>
  <c r="C76" i="1"/>
  <c r="F76" i="1" s="1"/>
  <c r="E13" i="158"/>
  <c r="I22" i="36"/>
  <c r="I22" i="158"/>
  <c r="C78" i="1"/>
  <c r="F78" i="1" s="1"/>
  <c r="E16" i="158"/>
  <c r="C83" i="1"/>
  <c r="D83" i="1" s="1"/>
  <c r="E83" i="1" s="1"/>
  <c r="E22" i="158"/>
  <c r="C79" i="1"/>
  <c r="D79" i="1" s="1"/>
  <c r="E79" i="1" s="1"/>
  <c r="E17" i="158"/>
  <c r="C80" i="1"/>
  <c r="F80" i="1" s="1"/>
  <c r="G80" i="1" s="1"/>
  <c r="E18" i="158"/>
  <c r="C84" i="1"/>
  <c r="D84" i="1" s="1"/>
  <c r="E23" i="158"/>
  <c r="F18" i="36"/>
  <c r="F18" i="158"/>
  <c r="I18" i="36"/>
  <c r="I18" i="158"/>
  <c r="C85" i="1"/>
  <c r="D85" i="1" s="1"/>
  <c r="E24" i="158"/>
  <c r="C86" i="1"/>
  <c r="D86" i="1" s="1"/>
  <c r="E25" i="158"/>
  <c r="C77" i="1"/>
  <c r="F77" i="1" s="1"/>
  <c r="E15" i="158"/>
  <c r="AA45" i="2"/>
  <c r="G41" i="40"/>
  <c r="I20" i="36"/>
  <c r="G20" i="36" s="1"/>
  <c r="D82" i="1"/>
  <c r="D9" i="46"/>
  <c r="G9" i="46" s="1"/>
  <c r="C87" i="1"/>
  <c r="AB27" i="2"/>
  <c r="S122" i="11"/>
  <c r="N122" i="11"/>
  <c r="C25" i="114"/>
  <c r="V122" i="11"/>
  <c r="O122" i="11"/>
  <c r="X108" i="11"/>
  <c r="X122" i="11"/>
  <c r="D29" i="123"/>
  <c r="R122" i="11"/>
  <c r="D36" i="114"/>
  <c r="C36" i="114" s="1"/>
  <c r="W122" i="11"/>
  <c r="K122" i="11"/>
  <c r="C28" i="86"/>
  <c r="P122" i="11"/>
  <c r="D31" i="112"/>
  <c r="T122" i="11"/>
  <c r="D31" i="114"/>
  <c r="C31" i="114" s="1"/>
  <c r="M122" i="11"/>
  <c r="L122" i="11"/>
  <c r="D28" i="123"/>
  <c r="Q122" i="11"/>
  <c r="U122" i="11"/>
  <c r="E22" i="36"/>
  <c r="E24" i="118"/>
  <c r="E24" i="123"/>
  <c r="E28" i="118"/>
  <c r="E28" i="123"/>
  <c r="G37" i="40"/>
  <c r="C34" i="86"/>
  <c r="D33" i="123"/>
  <c r="C29" i="40"/>
  <c r="AF29" i="40" s="1"/>
  <c r="E17" i="36"/>
  <c r="C14" i="84"/>
  <c r="E29" i="118"/>
  <c r="E29" i="123"/>
  <c r="E33" i="118"/>
  <c r="E33" i="123"/>
  <c r="E23" i="36"/>
  <c r="E30" i="118"/>
  <c r="E30" i="123"/>
  <c r="C33" i="40"/>
  <c r="AF33" i="40" s="1"/>
  <c r="C16" i="84"/>
  <c r="E13" i="36"/>
  <c r="E27" i="118"/>
  <c r="E27" i="123"/>
  <c r="E15" i="36"/>
  <c r="C29" i="84"/>
  <c r="C37" i="40"/>
  <c r="AF37" i="40" s="1"/>
  <c r="E16" i="36"/>
  <c r="E24" i="114"/>
  <c r="E23" i="114" s="1"/>
  <c r="D33" i="112"/>
  <c r="D33" i="118"/>
  <c r="C42" i="116"/>
  <c r="C43" i="114"/>
  <c r="D30" i="114"/>
  <c r="C39" i="40"/>
  <c r="I39" i="40" s="1"/>
  <c r="E18" i="36"/>
  <c r="E30" i="114"/>
  <c r="D37" i="114"/>
  <c r="C45" i="40"/>
  <c r="E45" i="40" s="1"/>
  <c r="F45" i="40" s="1"/>
  <c r="E24" i="36"/>
  <c r="E37" i="114"/>
  <c r="C41" i="40"/>
  <c r="I41" i="40" s="1"/>
  <c r="E20" i="36"/>
  <c r="C47" i="40"/>
  <c r="I47" i="40" s="1"/>
  <c r="E25" i="36"/>
  <c r="C59" i="40"/>
  <c r="C20" i="39" s="1"/>
  <c r="C17" i="84"/>
  <c r="C38" i="84" s="1"/>
  <c r="C36" i="84" s="1"/>
  <c r="C48" i="40"/>
  <c r="I48" i="40" s="1"/>
  <c r="E26" i="36"/>
  <c r="D24" i="114"/>
  <c r="AG23" i="2"/>
  <c r="AL23" i="2" s="1"/>
  <c r="E28" i="112"/>
  <c r="AG24" i="2"/>
  <c r="AL24" i="2" s="1"/>
  <c r="E29" i="112"/>
  <c r="AG28" i="2"/>
  <c r="AL28" i="2" s="1"/>
  <c r="E33" i="112"/>
  <c r="AG17" i="2"/>
  <c r="AL17" i="2" s="1"/>
  <c r="E24" i="112"/>
  <c r="AG25" i="2"/>
  <c r="AL25" i="2" s="1"/>
  <c r="E30" i="112"/>
  <c r="AG22" i="2"/>
  <c r="AL22" i="2" s="1"/>
  <c r="E27" i="112"/>
  <c r="C41" i="49"/>
  <c r="D39" i="40"/>
  <c r="G39" i="40"/>
  <c r="D43" i="40"/>
  <c r="G43" i="40"/>
  <c r="AI56" i="1"/>
  <c r="AA32" i="36" s="1"/>
  <c r="D45" i="30"/>
  <c r="U36" i="1"/>
  <c r="C36" i="40"/>
  <c r="H51" i="1"/>
  <c r="N51" i="1" s="1"/>
  <c r="C51" i="40"/>
  <c r="C49" i="40" s="1"/>
  <c r="U30" i="1"/>
  <c r="C30" i="40"/>
  <c r="D38" i="1"/>
  <c r="F17" i="158" s="1"/>
  <c r="C38" i="40"/>
  <c r="H53" i="1"/>
  <c r="C53" i="40"/>
  <c r="U31" i="1"/>
  <c r="C31" i="40"/>
  <c r="T57" i="1"/>
  <c r="X57" i="1" s="1"/>
  <c r="O33" i="36" s="1"/>
  <c r="N33" i="36" s="1"/>
  <c r="L33" i="36" s="1"/>
  <c r="C56" i="40"/>
  <c r="C17" i="39" s="1"/>
  <c r="U43" i="1"/>
  <c r="V43" i="1" s="1"/>
  <c r="M22" i="36" s="1"/>
  <c r="C43" i="40"/>
  <c r="U32" i="1"/>
  <c r="C32" i="40"/>
  <c r="F44" i="1"/>
  <c r="H23" i="158" s="1"/>
  <c r="G23" i="158" s="1"/>
  <c r="C44" i="40"/>
  <c r="AF56" i="1"/>
  <c r="C55" i="40"/>
  <c r="F59" i="1"/>
  <c r="C58" i="40"/>
  <c r="C19" i="39" s="1"/>
  <c r="D50" i="40"/>
  <c r="AF50" i="40"/>
  <c r="U34" i="1"/>
  <c r="C34" i="40"/>
  <c r="O10" i="60"/>
  <c r="E10" i="41"/>
  <c r="T17" i="2"/>
  <c r="O16" i="60"/>
  <c r="E17" i="41"/>
  <c r="T23" i="2"/>
  <c r="O22" i="60"/>
  <c r="E23" i="41"/>
  <c r="O26" i="60"/>
  <c r="E27" i="41"/>
  <c r="N36" i="60"/>
  <c r="K36" i="60" s="1"/>
  <c r="D37" i="41"/>
  <c r="C37" i="2"/>
  <c r="N38" i="60"/>
  <c r="K38" i="60" s="1"/>
  <c r="D39" i="41"/>
  <c r="N10" i="60"/>
  <c r="D10" i="41"/>
  <c r="N11" i="60"/>
  <c r="D11" i="41"/>
  <c r="N18" i="60"/>
  <c r="D19" i="41"/>
  <c r="S24" i="2"/>
  <c r="N23" i="60"/>
  <c r="D24" i="41"/>
  <c r="N27" i="60"/>
  <c r="D28" i="41"/>
  <c r="O11" i="60"/>
  <c r="E11" i="41"/>
  <c r="E25" i="42" s="1"/>
  <c r="N19" i="60"/>
  <c r="D20" i="41"/>
  <c r="T24" i="2"/>
  <c r="O23" i="60"/>
  <c r="E24" i="41"/>
  <c r="O27" i="60"/>
  <c r="E28" i="41"/>
  <c r="N12" i="60"/>
  <c r="D12" i="41"/>
  <c r="O19" i="60"/>
  <c r="E20" i="41"/>
  <c r="S25" i="2"/>
  <c r="N24" i="60"/>
  <c r="D25" i="41"/>
  <c r="N28" i="60"/>
  <c r="D29" i="41"/>
  <c r="N13" i="60"/>
  <c r="K13" i="60" s="1"/>
  <c r="AF15" i="19" s="1"/>
  <c r="D13" i="41"/>
  <c r="S21" i="2"/>
  <c r="N20" i="60"/>
  <c r="K20" i="60" s="1"/>
  <c r="D21" i="41"/>
  <c r="C21" i="41" s="1"/>
  <c r="T25" i="2"/>
  <c r="O24" i="60"/>
  <c r="E25" i="41"/>
  <c r="N29" i="60"/>
  <c r="N48" i="60" s="1"/>
  <c r="D30" i="41"/>
  <c r="N15" i="60"/>
  <c r="D16" i="41"/>
  <c r="S22" i="2"/>
  <c r="N21" i="60"/>
  <c r="D22" i="41"/>
  <c r="N25" i="60"/>
  <c r="D26" i="41"/>
  <c r="O29" i="60"/>
  <c r="O48" i="60" s="1"/>
  <c r="E30" i="41"/>
  <c r="E37" i="42" s="1"/>
  <c r="T16" i="2"/>
  <c r="O15" i="60"/>
  <c r="E16" i="41"/>
  <c r="T22" i="2"/>
  <c r="O21" i="60"/>
  <c r="E22" i="41"/>
  <c r="O25" i="60"/>
  <c r="E26" i="41"/>
  <c r="N33" i="60"/>
  <c r="K33" i="60" s="1"/>
  <c r="D34" i="41"/>
  <c r="S17" i="2"/>
  <c r="N16" i="60"/>
  <c r="D17" i="41"/>
  <c r="S23" i="2"/>
  <c r="N22" i="60"/>
  <c r="D23" i="41"/>
  <c r="N26" i="60"/>
  <c r="D27" i="41"/>
  <c r="N35" i="60"/>
  <c r="D36" i="41"/>
  <c r="D35" i="2"/>
  <c r="C35" i="2" s="1"/>
  <c r="U29" i="1"/>
  <c r="C28" i="1"/>
  <c r="C29" i="170" s="1"/>
  <c r="C11" i="170" s="1"/>
  <c r="E25" i="7"/>
  <c r="I41" i="36" s="1"/>
  <c r="E25" i="8"/>
  <c r="D44" i="7"/>
  <c r="C44" i="7" s="1"/>
  <c r="C36" i="31" s="1"/>
  <c r="D44" i="8"/>
  <c r="E26" i="7"/>
  <c r="I42" i="36" s="1"/>
  <c r="E26" i="8"/>
  <c r="S20" i="2"/>
  <c r="G30" i="114" s="1"/>
  <c r="D31" i="7"/>
  <c r="D31" i="8"/>
  <c r="H47" i="36" s="1"/>
  <c r="D26" i="7"/>
  <c r="H42" i="36" s="1"/>
  <c r="D26" i="8"/>
  <c r="D27" i="7"/>
  <c r="D27" i="8"/>
  <c r="D38" i="7"/>
  <c r="D38" i="8"/>
  <c r="H54" i="36" s="1"/>
  <c r="D28" i="7"/>
  <c r="D28" i="8"/>
  <c r="E38" i="7"/>
  <c r="E38" i="8"/>
  <c r="I54" i="36" s="1"/>
  <c r="S19" i="2"/>
  <c r="G31" i="114" s="1"/>
  <c r="F31" i="114" s="1"/>
  <c r="D32" i="7"/>
  <c r="C32" i="7" s="1"/>
  <c r="D32" i="8"/>
  <c r="D37" i="7"/>
  <c r="C37" i="7" s="1"/>
  <c r="D37" i="8"/>
  <c r="H53" i="36" s="1"/>
  <c r="G53" i="36" s="1"/>
  <c r="E53" i="36" s="1"/>
  <c r="D39" i="7"/>
  <c r="C39" i="7" s="1"/>
  <c r="D39" i="8"/>
  <c r="T20" i="2"/>
  <c r="H30" i="114" s="1"/>
  <c r="E31" i="7"/>
  <c r="E31" i="8"/>
  <c r="I47" i="36" s="1"/>
  <c r="D152" i="2"/>
  <c r="D25" i="7"/>
  <c r="H41" i="36" s="1"/>
  <c r="D25" i="8"/>
  <c r="I28" i="2"/>
  <c r="AW28" i="2" s="1"/>
  <c r="J17" i="2"/>
  <c r="I20" i="2"/>
  <c r="AW20" i="2" s="1"/>
  <c r="J24" i="2"/>
  <c r="J28" i="2"/>
  <c r="J20" i="2"/>
  <c r="O20" i="2" s="1"/>
  <c r="I25" i="2"/>
  <c r="AW25" i="2" s="1"/>
  <c r="J27" i="2"/>
  <c r="I21" i="2"/>
  <c r="AW21" i="2" s="1"/>
  <c r="J25" i="2"/>
  <c r="O25" i="2" s="1"/>
  <c r="I30" i="2"/>
  <c r="I148" i="2" s="1"/>
  <c r="J10" i="2"/>
  <c r="J16" i="2"/>
  <c r="O16" i="2" s="1"/>
  <c r="J22" i="2"/>
  <c r="J26" i="2"/>
  <c r="J23" i="2"/>
  <c r="I10" i="2"/>
  <c r="I17" i="2"/>
  <c r="AW17" i="2" s="1"/>
  <c r="L60" i="1"/>
  <c r="T60" i="1"/>
  <c r="I26" i="2"/>
  <c r="AW26" i="2" s="1"/>
  <c r="J149" i="2"/>
  <c r="I147" i="2"/>
  <c r="J30" i="2"/>
  <c r="J147" i="2"/>
  <c r="I23" i="2"/>
  <c r="AW23" i="2" s="1"/>
  <c r="H50" i="1"/>
  <c r="F45" i="1"/>
  <c r="N45" i="1"/>
  <c r="N34" i="2"/>
  <c r="AW34" i="2"/>
  <c r="I16" i="2"/>
  <c r="I19" i="2"/>
  <c r="D18" i="2"/>
  <c r="D15" i="2" s="1"/>
  <c r="D29" i="114" s="1"/>
  <c r="E18" i="2"/>
  <c r="E15" i="2" s="1"/>
  <c r="E29" i="114" s="1"/>
  <c r="E45" i="1"/>
  <c r="D50" i="170" s="1"/>
  <c r="D78" i="1" l="1"/>
  <c r="M26" i="158"/>
  <c r="F84" i="1"/>
  <c r="F83" i="1"/>
  <c r="G83" i="1" s="1"/>
  <c r="X27" i="2"/>
  <c r="D80" i="1"/>
  <c r="E80" i="1" s="1"/>
  <c r="D77" i="1"/>
  <c r="F86" i="1"/>
  <c r="I40" i="36"/>
  <c r="G42" i="36"/>
  <c r="E42" i="36" s="1"/>
  <c r="F85" i="1"/>
  <c r="Z32" i="36"/>
  <c r="X108" i="159"/>
  <c r="C108" i="159" s="1"/>
  <c r="X108" i="161"/>
  <c r="X108" i="160"/>
  <c r="G47" i="36"/>
  <c r="E47" i="36" s="1"/>
  <c r="F79" i="1"/>
  <c r="G79" i="1" s="1"/>
  <c r="F8" i="158"/>
  <c r="D76" i="1"/>
  <c r="G54" i="36"/>
  <c r="E54" i="36" s="1"/>
  <c r="AE17" i="36"/>
  <c r="AF17" i="36"/>
  <c r="K17" i="158"/>
  <c r="M17" i="158"/>
  <c r="AB17" i="158"/>
  <c r="AB13" i="158"/>
  <c r="M13" i="158"/>
  <c r="K13" i="158"/>
  <c r="C39" i="8"/>
  <c r="H55" i="36"/>
  <c r="G55" i="36" s="1"/>
  <c r="E55" i="36" s="1"/>
  <c r="R26" i="36"/>
  <c r="AE26" i="36"/>
  <c r="AF26" i="36"/>
  <c r="R24" i="36"/>
  <c r="AE24" i="36"/>
  <c r="AF24" i="36"/>
  <c r="AE13" i="36"/>
  <c r="AF13" i="36"/>
  <c r="AB15" i="158"/>
  <c r="K15" i="158"/>
  <c r="M15" i="158"/>
  <c r="K22" i="158"/>
  <c r="AB22" i="158"/>
  <c r="M22" i="158"/>
  <c r="AE53" i="36"/>
  <c r="AF53" i="36"/>
  <c r="C28" i="7"/>
  <c r="C25" i="31" s="1"/>
  <c r="F25" i="31" s="1"/>
  <c r="H44" i="36"/>
  <c r="G44" i="36" s="1"/>
  <c r="E44" i="36" s="1"/>
  <c r="C75" i="1"/>
  <c r="C71" i="1" s="1"/>
  <c r="C90" i="1" s="1"/>
  <c r="E12" i="158"/>
  <c r="AE22" i="36"/>
  <c r="AF22" i="36"/>
  <c r="G41" i="36"/>
  <c r="E41" i="36" s="1"/>
  <c r="K25" i="158"/>
  <c r="M25" i="158"/>
  <c r="AB25" i="158"/>
  <c r="AB23" i="158"/>
  <c r="M23" i="158"/>
  <c r="K16" i="158"/>
  <c r="M16" i="158"/>
  <c r="AB16" i="158"/>
  <c r="C32" i="8"/>
  <c r="H48" i="36"/>
  <c r="G48" i="36" s="1"/>
  <c r="E48" i="36" s="1"/>
  <c r="R25" i="36"/>
  <c r="AE25" i="36"/>
  <c r="AF25" i="36"/>
  <c r="F9" i="158"/>
  <c r="R18" i="36"/>
  <c r="AE18" i="36"/>
  <c r="AF18" i="36"/>
  <c r="R16" i="36"/>
  <c r="AE16" i="36"/>
  <c r="AF16" i="36"/>
  <c r="AE15" i="36"/>
  <c r="AF15" i="36"/>
  <c r="M24" i="158"/>
  <c r="AB24" i="158"/>
  <c r="K18" i="158"/>
  <c r="M18" i="158"/>
  <c r="AB18" i="158"/>
  <c r="M20" i="158"/>
  <c r="AB20" i="158"/>
  <c r="K20" i="158"/>
  <c r="D12" i="8"/>
  <c r="H24" i="158"/>
  <c r="C27" i="7"/>
  <c r="C24" i="31" s="1"/>
  <c r="F24" i="31" s="1"/>
  <c r="H43" i="36"/>
  <c r="G43" i="36" s="1"/>
  <c r="E43" i="36" s="1"/>
  <c r="C44" i="8"/>
  <c r="H60" i="36"/>
  <c r="G60" i="36" s="1"/>
  <c r="E60" i="36" s="1"/>
  <c r="R20" i="36"/>
  <c r="AE20" i="36"/>
  <c r="AF20" i="36"/>
  <c r="AE23" i="36"/>
  <c r="AF23" i="36"/>
  <c r="Q17" i="36"/>
  <c r="R17" i="36"/>
  <c r="Q13" i="36"/>
  <c r="R13" i="36"/>
  <c r="K22" i="36"/>
  <c r="R22" i="36"/>
  <c r="K15" i="36"/>
  <c r="R15" i="36"/>
  <c r="Q23" i="36"/>
  <c r="R23" i="36"/>
  <c r="H24" i="36"/>
  <c r="D12" i="7"/>
  <c r="AC44" i="1"/>
  <c r="H23" i="36"/>
  <c r="G23" i="36" s="1"/>
  <c r="D38" i="40"/>
  <c r="F17" i="36"/>
  <c r="F8" i="36" s="1"/>
  <c r="X9" i="11"/>
  <c r="D10" i="46"/>
  <c r="D13" i="46" s="1"/>
  <c r="G78" i="1"/>
  <c r="E78" i="1"/>
  <c r="E76" i="1"/>
  <c r="G76" i="1"/>
  <c r="G77" i="1"/>
  <c r="E77" i="1"/>
  <c r="G85" i="1"/>
  <c r="E85" i="1"/>
  <c r="G86" i="1"/>
  <c r="E86" i="1"/>
  <c r="F87" i="1"/>
  <c r="D87" i="1"/>
  <c r="G82" i="1"/>
  <c r="E82" i="1"/>
  <c r="G84" i="1"/>
  <c r="E84" i="1"/>
  <c r="AG43" i="1"/>
  <c r="T22" i="158" s="1"/>
  <c r="O22" i="158" s="1"/>
  <c r="C108" i="11"/>
  <c r="J16" i="114"/>
  <c r="K17" i="36"/>
  <c r="E32" i="114"/>
  <c r="DG51" i="1"/>
  <c r="CY51" i="1"/>
  <c r="I37" i="40"/>
  <c r="E37" i="40"/>
  <c r="F37" i="40" s="1"/>
  <c r="Q22" i="36"/>
  <c r="C27" i="8"/>
  <c r="D11" i="43"/>
  <c r="C11" i="43" s="1"/>
  <c r="C28" i="8"/>
  <c r="D12" i="43"/>
  <c r="C12" i="43" s="1"/>
  <c r="C37" i="8"/>
  <c r="D19" i="43"/>
  <c r="C19" i="43" s="1"/>
  <c r="J122" i="11"/>
  <c r="E33" i="40"/>
  <c r="E39" i="40"/>
  <c r="F39" i="40" s="1"/>
  <c r="E29" i="40"/>
  <c r="F48" i="40"/>
  <c r="D10" i="42" s="1"/>
  <c r="AF48" i="40"/>
  <c r="AF41" i="40"/>
  <c r="G29" i="40"/>
  <c r="E41" i="40"/>
  <c r="F41" i="40"/>
  <c r="AF45" i="40"/>
  <c r="AF39" i="40"/>
  <c r="C28" i="123"/>
  <c r="X108" i="56"/>
  <c r="X9" i="56" s="1"/>
  <c r="C33" i="116"/>
  <c r="D27" i="118"/>
  <c r="C27" i="118" s="1"/>
  <c r="Q15" i="36"/>
  <c r="G33" i="40"/>
  <c r="D27" i="123"/>
  <c r="C27" i="123" s="1"/>
  <c r="F14" i="46"/>
  <c r="F15" i="46" s="1"/>
  <c r="F12" i="46"/>
  <c r="F13" i="46" s="1"/>
  <c r="C43" i="49"/>
  <c r="AA195" i="2"/>
  <c r="C33" i="118"/>
  <c r="D27" i="112"/>
  <c r="C27" i="112" s="1"/>
  <c r="C33" i="49"/>
  <c r="D21" i="112"/>
  <c r="C30" i="49"/>
  <c r="C32" i="86"/>
  <c r="C32" i="49"/>
  <c r="D31" i="123"/>
  <c r="D32" i="112"/>
  <c r="C36" i="49"/>
  <c r="D29" i="118"/>
  <c r="C29" i="118" s="1"/>
  <c r="C29" i="86"/>
  <c r="C34" i="116"/>
  <c r="C35" i="116"/>
  <c r="C30" i="86"/>
  <c r="D28" i="118"/>
  <c r="C28" i="118" s="1"/>
  <c r="D31" i="118"/>
  <c r="D29" i="112"/>
  <c r="C29" i="112" s="1"/>
  <c r="D32" i="118"/>
  <c r="C34" i="49"/>
  <c r="D28" i="112"/>
  <c r="C28" i="112" s="1"/>
  <c r="C37" i="116"/>
  <c r="D32" i="123"/>
  <c r="C33" i="86"/>
  <c r="G47" i="40"/>
  <c r="E47" i="40" s="1"/>
  <c r="AF47" i="40"/>
  <c r="K13" i="36"/>
  <c r="C33" i="112"/>
  <c r="C29" i="123"/>
  <c r="E32" i="118"/>
  <c r="E32" i="123"/>
  <c r="Y43" i="1"/>
  <c r="P22" i="36" s="1"/>
  <c r="E31" i="118"/>
  <c r="E31" i="123"/>
  <c r="D35" i="123"/>
  <c r="C36" i="86"/>
  <c r="C33" i="123"/>
  <c r="C30" i="84"/>
  <c r="C28" i="84" s="1"/>
  <c r="F28" i="84" s="1"/>
  <c r="C30" i="114"/>
  <c r="C31" i="86"/>
  <c r="D30" i="123"/>
  <c r="C30" i="123" s="1"/>
  <c r="D21" i="123"/>
  <c r="C23" i="86"/>
  <c r="C24" i="86"/>
  <c r="D22" i="123"/>
  <c r="AC45" i="1"/>
  <c r="D11" i="114"/>
  <c r="C11" i="114" s="1"/>
  <c r="F58" i="40"/>
  <c r="E58" i="40" s="1"/>
  <c r="D19" i="114"/>
  <c r="C19" i="114" s="1"/>
  <c r="D30" i="112"/>
  <c r="C30" i="112" s="1"/>
  <c r="C36" i="116"/>
  <c r="D30" i="118"/>
  <c r="C30" i="118" s="1"/>
  <c r="D35" i="112"/>
  <c r="D35" i="118"/>
  <c r="J37" i="114"/>
  <c r="C44" i="116"/>
  <c r="K18" i="36"/>
  <c r="Q18" i="36"/>
  <c r="E22" i="114"/>
  <c r="E21" i="114" s="1"/>
  <c r="D22" i="112"/>
  <c r="C22" i="112" s="1"/>
  <c r="C30" i="116"/>
  <c r="J31" i="114"/>
  <c r="I31" i="114" s="1"/>
  <c r="D22" i="118"/>
  <c r="C22" i="118" s="1"/>
  <c r="C24" i="114"/>
  <c r="C23" i="114" s="1"/>
  <c r="D23" i="114"/>
  <c r="D22" i="114" s="1"/>
  <c r="C37" i="114"/>
  <c r="K25" i="36"/>
  <c r="Q25" i="36"/>
  <c r="D21" i="118"/>
  <c r="J30" i="114"/>
  <c r="C31" i="116"/>
  <c r="Q26" i="36"/>
  <c r="D32" i="114"/>
  <c r="C29" i="114"/>
  <c r="C9" i="1"/>
  <c r="C10" i="1" s="1"/>
  <c r="E12" i="36"/>
  <c r="X56" i="59"/>
  <c r="G17" i="114"/>
  <c r="F17" i="114" s="1"/>
  <c r="K20" i="36"/>
  <c r="Q20" i="36"/>
  <c r="Q24" i="36"/>
  <c r="K16" i="36"/>
  <c r="Q16" i="36"/>
  <c r="F30" i="114"/>
  <c r="AG26" i="2"/>
  <c r="AL26" i="2" s="1"/>
  <c r="E31" i="112"/>
  <c r="C31" i="112" s="1"/>
  <c r="AG27" i="2"/>
  <c r="AL27" i="2" s="1"/>
  <c r="E32" i="112"/>
  <c r="C35" i="49"/>
  <c r="C29" i="49"/>
  <c r="D20" i="7"/>
  <c r="C20" i="7" s="1"/>
  <c r="C15" i="31" s="1"/>
  <c r="D20" i="8"/>
  <c r="C20" i="8" s="1"/>
  <c r="D9" i="40"/>
  <c r="D10" i="40" s="1"/>
  <c r="P25" i="2"/>
  <c r="C23" i="41"/>
  <c r="P24" i="2"/>
  <c r="X56" i="1"/>
  <c r="AH56" i="1"/>
  <c r="P22" i="2"/>
  <c r="K23" i="60"/>
  <c r="AF25" i="19" s="1"/>
  <c r="AF92" i="19" s="1"/>
  <c r="P23" i="2"/>
  <c r="C22" i="41"/>
  <c r="K22" i="60"/>
  <c r="AF24" i="19" s="1"/>
  <c r="AF89" i="19" s="1"/>
  <c r="K48" i="60"/>
  <c r="K16" i="60"/>
  <c r="M16" i="60" s="1"/>
  <c r="E31" i="40"/>
  <c r="F31" i="40" s="1"/>
  <c r="AF31" i="40"/>
  <c r="E38" i="40"/>
  <c r="F38" i="40" s="1"/>
  <c r="AF38" i="40"/>
  <c r="H69" i="40"/>
  <c r="I38" i="40"/>
  <c r="C27" i="41"/>
  <c r="I34" i="40"/>
  <c r="E34" i="40"/>
  <c r="G34" i="40" s="1"/>
  <c r="AF34" i="40"/>
  <c r="E48" i="40"/>
  <c r="I43" i="40"/>
  <c r="E43" i="40"/>
  <c r="F43" i="40" s="1"/>
  <c r="AF43" i="40"/>
  <c r="C25" i="41"/>
  <c r="E30" i="40"/>
  <c r="AF30" i="40"/>
  <c r="G30" i="40"/>
  <c r="C7" i="39"/>
  <c r="J7" i="39" s="1"/>
  <c r="M7" i="39" s="1"/>
  <c r="I49" i="40"/>
  <c r="AF49" i="40"/>
  <c r="C16" i="39"/>
  <c r="C15" i="39" s="1"/>
  <c r="C54" i="40"/>
  <c r="C52" i="40" s="1"/>
  <c r="F55" i="40"/>
  <c r="C28" i="40"/>
  <c r="V43" i="59"/>
  <c r="W43" i="59" s="1"/>
  <c r="J43" i="40"/>
  <c r="K43" i="40" s="1"/>
  <c r="T55" i="59"/>
  <c r="H55" i="40"/>
  <c r="T56" i="59"/>
  <c r="AP35" i="18" s="1"/>
  <c r="H56" i="40"/>
  <c r="AF51" i="40"/>
  <c r="D51" i="40"/>
  <c r="D49" i="40" s="1"/>
  <c r="E44" i="40"/>
  <c r="F44" i="40" s="1"/>
  <c r="AF44" i="40"/>
  <c r="C14" i="39"/>
  <c r="F53" i="40"/>
  <c r="AF36" i="40"/>
  <c r="I36" i="40"/>
  <c r="E36" i="40"/>
  <c r="G36" i="40" s="1"/>
  <c r="AF60" i="1"/>
  <c r="T59" i="59"/>
  <c r="H59" i="40"/>
  <c r="C24" i="41"/>
  <c r="AF32" i="40"/>
  <c r="E32" i="40"/>
  <c r="F32" i="40" s="1"/>
  <c r="K12" i="60"/>
  <c r="S49" i="60"/>
  <c r="D38" i="42"/>
  <c r="C38" i="42" s="1"/>
  <c r="C34" i="41"/>
  <c r="C30" i="39" s="1"/>
  <c r="T21" i="60"/>
  <c r="J22" i="41"/>
  <c r="C26" i="41"/>
  <c r="K15" i="60"/>
  <c r="T24" i="60"/>
  <c r="J25" i="41"/>
  <c r="N47" i="60"/>
  <c r="K47" i="60" s="1"/>
  <c r="K28" i="60"/>
  <c r="N63" i="60"/>
  <c r="X49" i="60"/>
  <c r="U49" i="60" s="1"/>
  <c r="D26" i="42"/>
  <c r="C26" i="42" s="1"/>
  <c r="C12" i="41"/>
  <c r="M12" i="41" s="1"/>
  <c r="T23" i="60"/>
  <c r="J24" i="41"/>
  <c r="D25" i="42"/>
  <c r="C25" i="42" s="1"/>
  <c r="C11" i="41"/>
  <c r="D41" i="42"/>
  <c r="C41" i="42" s="1"/>
  <c r="C37" i="41"/>
  <c r="C33" i="39" s="1"/>
  <c r="T22" i="60"/>
  <c r="J23" i="41"/>
  <c r="N60" i="60"/>
  <c r="K25" i="60"/>
  <c r="D40" i="42"/>
  <c r="D35" i="41"/>
  <c r="C35" i="41" s="1"/>
  <c r="C36" i="41"/>
  <c r="C32" i="39" s="1"/>
  <c r="D37" i="42"/>
  <c r="C37" i="42" s="1"/>
  <c r="C30" i="41"/>
  <c r="C29" i="39" s="1"/>
  <c r="AF21" i="19"/>
  <c r="M20" i="60"/>
  <c r="K24" i="60"/>
  <c r="D24" i="42"/>
  <c r="C10" i="41"/>
  <c r="D9" i="41"/>
  <c r="S19" i="60"/>
  <c r="I20" i="41"/>
  <c r="N34" i="60"/>
  <c r="K34" i="60" s="1"/>
  <c r="K35" i="60"/>
  <c r="S22" i="60"/>
  <c r="I23" i="41"/>
  <c r="N9" i="60"/>
  <c r="N68" i="60"/>
  <c r="K10" i="60"/>
  <c r="N72" i="60"/>
  <c r="N73" i="60" s="1"/>
  <c r="N45" i="60"/>
  <c r="C17" i="41"/>
  <c r="T15" i="60"/>
  <c r="J16" i="41"/>
  <c r="K21" i="60"/>
  <c r="P21" i="2"/>
  <c r="S20" i="60"/>
  <c r="I21" i="41"/>
  <c r="F21" i="41" s="1"/>
  <c r="H21" i="41" s="1"/>
  <c r="S24" i="60"/>
  <c r="I25" i="41"/>
  <c r="S23" i="60"/>
  <c r="I24" i="41"/>
  <c r="T16" i="60"/>
  <c r="J17" i="41"/>
  <c r="L30" i="61"/>
  <c r="AF35" i="19"/>
  <c r="L33" i="61"/>
  <c r="AF39" i="19"/>
  <c r="W11" i="20" s="1"/>
  <c r="S18" i="60"/>
  <c r="I19" i="41"/>
  <c r="D27" i="42"/>
  <c r="C27" i="42" s="1"/>
  <c r="C13" i="41"/>
  <c r="E30" i="42"/>
  <c r="E18" i="41"/>
  <c r="E15" i="41" s="1"/>
  <c r="E29" i="42" s="1"/>
  <c r="D31" i="42"/>
  <c r="C31" i="42" s="1"/>
  <c r="D18" i="41"/>
  <c r="D15" i="41" s="1"/>
  <c r="D29" i="42" s="1"/>
  <c r="C19" i="41"/>
  <c r="D43" i="42"/>
  <c r="C43" i="42" s="1"/>
  <c r="C39" i="41"/>
  <c r="C35" i="39" s="1"/>
  <c r="E24" i="42"/>
  <c r="E23" i="42" s="1"/>
  <c r="E9" i="41"/>
  <c r="K11" i="60"/>
  <c r="T19" i="60"/>
  <c r="J20" i="41"/>
  <c r="N61" i="60"/>
  <c r="K26" i="60"/>
  <c r="S21" i="60"/>
  <c r="I22" i="41"/>
  <c r="O17" i="60"/>
  <c r="O14" i="60" s="1"/>
  <c r="O46" i="60" s="1"/>
  <c r="C28" i="41"/>
  <c r="N17" i="60"/>
  <c r="N14" i="60" s="1"/>
  <c r="N46" i="60" s="1"/>
  <c r="K18" i="60"/>
  <c r="AF41" i="19"/>
  <c r="L35" i="61"/>
  <c r="O9" i="60"/>
  <c r="O45" i="60"/>
  <c r="D30" i="42"/>
  <c r="C20" i="41"/>
  <c r="S16" i="60"/>
  <c r="I17" i="41"/>
  <c r="C16" i="41"/>
  <c r="D36" i="42"/>
  <c r="C36" i="42" s="1"/>
  <c r="C29" i="41"/>
  <c r="N55" i="41"/>
  <c r="N62" i="60"/>
  <c r="K27" i="60"/>
  <c r="AI57" i="1"/>
  <c r="AA33" i="36" s="1"/>
  <c r="Z33" i="36" s="1"/>
  <c r="X33" i="36" s="1"/>
  <c r="AC33" i="36" s="1"/>
  <c r="AF57" i="1"/>
  <c r="G18" i="7"/>
  <c r="F18" i="7" s="1"/>
  <c r="G18" i="8"/>
  <c r="F18" i="8" s="1"/>
  <c r="C31" i="7"/>
  <c r="C28" i="31" s="1"/>
  <c r="C38" i="8"/>
  <c r="C26" i="8"/>
  <c r="G32" i="7"/>
  <c r="F32" i="7" s="1"/>
  <c r="P19" i="2"/>
  <c r="G32" i="8"/>
  <c r="P20" i="2"/>
  <c r="G31" i="7"/>
  <c r="G31" i="8"/>
  <c r="O47" i="36" s="1"/>
  <c r="D30" i="7"/>
  <c r="D30" i="8"/>
  <c r="H46" i="36" s="1"/>
  <c r="H31" i="7"/>
  <c r="H31" i="8"/>
  <c r="P47" i="36" s="1"/>
  <c r="C38" i="7"/>
  <c r="C31" i="31" s="1"/>
  <c r="C25" i="8"/>
  <c r="D24" i="8"/>
  <c r="C25" i="7"/>
  <c r="C22" i="31" s="1"/>
  <c r="F22" i="31" s="1"/>
  <c r="D24" i="7"/>
  <c r="C26" i="7"/>
  <c r="C23" i="31" s="1"/>
  <c r="E24" i="8"/>
  <c r="E30" i="7"/>
  <c r="E33" i="7" s="1"/>
  <c r="E30" i="8"/>
  <c r="C31" i="8"/>
  <c r="E24" i="7"/>
  <c r="C12" i="8"/>
  <c r="X60" i="1"/>
  <c r="J50" i="1"/>
  <c r="CY50" i="1"/>
  <c r="DG50" i="1"/>
  <c r="N50" i="1"/>
  <c r="AW16" i="2"/>
  <c r="AW30" i="2"/>
  <c r="F30" i="2"/>
  <c r="N30" i="2"/>
  <c r="AW19" i="2"/>
  <c r="A2" i="5"/>
  <c r="A2" i="6" s="1"/>
  <c r="F75" i="1" l="1"/>
  <c r="X9" i="159"/>
  <c r="AD33" i="36"/>
  <c r="X32" i="36"/>
  <c r="C108" i="160"/>
  <c r="X9" i="160"/>
  <c r="C108" i="161"/>
  <c r="X9" i="161"/>
  <c r="G10" i="46"/>
  <c r="D15" i="46"/>
  <c r="D75" i="1"/>
  <c r="N47" i="36"/>
  <c r="L47" i="36" s="1"/>
  <c r="Q47" i="36" s="1"/>
  <c r="H24" i="31"/>
  <c r="G17" i="7"/>
  <c r="F17" i="7" s="1"/>
  <c r="O32" i="36"/>
  <c r="K12" i="158"/>
  <c r="M12" i="158"/>
  <c r="E8" i="158"/>
  <c r="AB12" i="158"/>
  <c r="E33" i="8"/>
  <c r="I49" i="36" s="1"/>
  <c r="I46" i="36"/>
  <c r="I39" i="36" s="1"/>
  <c r="I38" i="36" s="1"/>
  <c r="F32" i="8"/>
  <c r="O48" i="36"/>
  <c r="N48" i="36" s="1"/>
  <c r="L48" i="36" s="1"/>
  <c r="AE43" i="36"/>
  <c r="AF43" i="36"/>
  <c r="AF44" i="36"/>
  <c r="G24" i="158"/>
  <c r="V33" i="158"/>
  <c r="Q33" i="158"/>
  <c r="G46" i="36"/>
  <c r="E46" i="36" s="1"/>
  <c r="H40" i="36"/>
  <c r="G20" i="114"/>
  <c r="G13" i="157"/>
  <c r="O36" i="36"/>
  <c r="AE12" i="36"/>
  <c r="AF12" i="36"/>
  <c r="AE60" i="36"/>
  <c r="AF60" i="36"/>
  <c r="R12" i="36"/>
  <c r="F28" i="31"/>
  <c r="AH145" i="11" s="1"/>
  <c r="G24" i="36"/>
  <c r="AM43" i="1"/>
  <c r="AS43" i="1" s="1"/>
  <c r="AB43" i="40" s="1"/>
  <c r="AC43" i="40" s="1"/>
  <c r="Y22" i="36"/>
  <c r="T22" i="36" s="1"/>
  <c r="F9" i="36"/>
  <c r="F31" i="31"/>
  <c r="H31" i="31"/>
  <c r="F71" i="1"/>
  <c r="F90" i="1" s="1"/>
  <c r="F99" i="1" s="1"/>
  <c r="C21" i="31"/>
  <c r="H21" i="31" s="1"/>
  <c r="H22" i="31"/>
  <c r="F23" i="31"/>
  <c r="H23" i="31"/>
  <c r="H28" i="31"/>
  <c r="H15" i="31"/>
  <c r="F15" i="31"/>
  <c r="E75" i="1"/>
  <c r="G75" i="1"/>
  <c r="D71" i="1"/>
  <c r="E87" i="1"/>
  <c r="G87" i="1"/>
  <c r="F33" i="40"/>
  <c r="C32" i="114"/>
  <c r="C108" i="56"/>
  <c r="C122" i="11"/>
  <c r="F29" i="40"/>
  <c r="AI43" i="1"/>
  <c r="G28" i="40"/>
  <c r="G9" i="40" s="1"/>
  <c r="D19" i="42"/>
  <c r="C19" i="42" s="1"/>
  <c r="C32" i="118"/>
  <c r="C32" i="112"/>
  <c r="C31" i="123"/>
  <c r="C31" i="118"/>
  <c r="E32" i="42"/>
  <c r="C32" i="123"/>
  <c r="G17" i="8"/>
  <c r="F17" i="8" s="1"/>
  <c r="M22" i="60"/>
  <c r="C42" i="86"/>
  <c r="D39" i="123"/>
  <c r="C22" i="123"/>
  <c r="X55" i="59"/>
  <c r="X54" i="59" s="1"/>
  <c r="X52" i="59" s="1"/>
  <c r="G16" i="114"/>
  <c r="AD56" i="59"/>
  <c r="AC56" i="59" s="1"/>
  <c r="N17" i="61" s="1"/>
  <c r="J17" i="114"/>
  <c r="C22" i="114"/>
  <c r="D39" i="112"/>
  <c r="C39" i="112" s="1"/>
  <c r="J40" i="114"/>
  <c r="D39" i="118"/>
  <c r="K12" i="36"/>
  <c r="Q12" i="36"/>
  <c r="E8" i="36"/>
  <c r="D8" i="40"/>
  <c r="D60" i="40" s="1"/>
  <c r="M23" i="60"/>
  <c r="F23" i="41"/>
  <c r="H23" i="41" s="1"/>
  <c r="Y43" i="59"/>
  <c r="X43" i="59" s="1"/>
  <c r="M43" i="40"/>
  <c r="L43" i="40" s="1"/>
  <c r="X43" i="1"/>
  <c r="J18" i="8"/>
  <c r="C12" i="39"/>
  <c r="X59" i="59"/>
  <c r="D9" i="30"/>
  <c r="AF19" i="19"/>
  <c r="AF70" i="19" s="1"/>
  <c r="AF71" i="19" s="1"/>
  <c r="F17" i="41"/>
  <c r="H17" i="41" s="1"/>
  <c r="F25" i="41"/>
  <c r="H25" i="41" s="1"/>
  <c r="F24" i="41"/>
  <c r="H24" i="41" s="1"/>
  <c r="J18" i="7"/>
  <c r="I18" i="7" s="1"/>
  <c r="AH57" i="1"/>
  <c r="E28" i="40"/>
  <c r="E9" i="40" s="1"/>
  <c r="C10" i="42"/>
  <c r="E53" i="40"/>
  <c r="D14" i="42"/>
  <c r="D17" i="39"/>
  <c r="AF56" i="40"/>
  <c r="K56" i="40"/>
  <c r="L56" i="40" s="1"/>
  <c r="G17" i="42" s="1"/>
  <c r="F17" i="42" s="1"/>
  <c r="AF28" i="40"/>
  <c r="I28" i="40"/>
  <c r="C9" i="40"/>
  <c r="E55" i="40"/>
  <c r="D16" i="42"/>
  <c r="U56" i="59"/>
  <c r="D20" i="39"/>
  <c r="AF59" i="40"/>
  <c r="K59" i="40"/>
  <c r="L59" i="40" s="1"/>
  <c r="G20" i="42" s="1"/>
  <c r="F20" i="42" s="1"/>
  <c r="N56" i="40"/>
  <c r="L69" i="40"/>
  <c r="AG38" i="40"/>
  <c r="AB43" i="59"/>
  <c r="P43" i="40"/>
  <c r="AP38" i="18"/>
  <c r="M20" i="61" s="1"/>
  <c r="P20" i="61" s="1"/>
  <c r="U59" i="59"/>
  <c r="D16" i="39"/>
  <c r="K55" i="40"/>
  <c r="L55" i="40" s="1"/>
  <c r="G16" i="42" s="1"/>
  <c r="AF55" i="40"/>
  <c r="H54" i="40"/>
  <c r="C13" i="39"/>
  <c r="AP34" i="18"/>
  <c r="AP33" i="18" s="1"/>
  <c r="AP31" i="18" s="1"/>
  <c r="U55" i="59"/>
  <c r="T54" i="59"/>
  <c r="F30" i="40"/>
  <c r="T17" i="60"/>
  <c r="E8" i="41"/>
  <c r="E7" i="41" s="1"/>
  <c r="AF23" i="19"/>
  <c r="AF86" i="19" s="1"/>
  <c r="M21" i="60"/>
  <c r="D39" i="42"/>
  <c r="C39" i="42" s="1"/>
  <c r="C40" i="42"/>
  <c r="F22" i="41"/>
  <c r="H22" i="41" s="1"/>
  <c r="S55" i="60"/>
  <c r="S17" i="60"/>
  <c r="P18" i="60"/>
  <c r="AF12" i="19"/>
  <c r="K9" i="60"/>
  <c r="M10" i="60"/>
  <c r="S56" i="60"/>
  <c r="P19" i="60"/>
  <c r="AF27" i="19"/>
  <c r="AF80" i="19" s="1"/>
  <c r="M25" i="60"/>
  <c r="S58" i="60"/>
  <c r="P21" i="60"/>
  <c r="E22" i="42"/>
  <c r="E21" i="42" s="1"/>
  <c r="S60" i="60"/>
  <c r="P23" i="60"/>
  <c r="D8" i="41"/>
  <c r="D7" i="41" s="1"/>
  <c r="M28" i="60"/>
  <c r="AF30" i="19"/>
  <c r="L25" i="61"/>
  <c r="W28" i="60"/>
  <c r="C28" i="39"/>
  <c r="M29" i="41"/>
  <c r="AF28" i="19"/>
  <c r="AF98" i="19" s="1"/>
  <c r="M26" i="60"/>
  <c r="W16" i="20"/>
  <c r="N8" i="60"/>
  <c r="N7" i="60" s="1"/>
  <c r="N77" i="60" s="1"/>
  <c r="C9" i="41"/>
  <c r="AF83" i="19"/>
  <c r="O8" i="60"/>
  <c r="O7" i="60" s="1"/>
  <c r="P24" i="60"/>
  <c r="S61" i="60"/>
  <c r="C24" i="42"/>
  <c r="C23" i="42" s="1"/>
  <c r="D23" i="42"/>
  <c r="D22" i="42" s="1"/>
  <c r="M11" i="60"/>
  <c r="AF13" i="19"/>
  <c r="AF124" i="19" s="1"/>
  <c r="G31" i="42"/>
  <c r="F31" i="42" s="1"/>
  <c r="F19" i="41"/>
  <c r="I18" i="41"/>
  <c r="G30" i="42"/>
  <c r="F20" i="41"/>
  <c r="H20" i="41" s="1"/>
  <c r="AF26" i="19"/>
  <c r="AF95" i="19" s="1"/>
  <c r="M24" i="60"/>
  <c r="S53" i="60"/>
  <c r="P16" i="60"/>
  <c r="AF18" i="19"/>
  <c r="K17" i="60"/>
  <c r="K14" i="60" s="1"/>
  <c r="M18" i="60"/>
  <c r="H30" i="42"/>
  <c r="J18" i="41"/>
  <c r="C18" i="41"/>
  <c r="C15" i="41" s="1"/>
  <c r="S59" i="60"/>
  <c r="P22" i="60"/>
  <c r="AF90" i="19"/>
  <c r="K46" i="60"/>
  <c r="C29" i="42"/>
  <c r="D32" i="42"/>
  <c r="S57" i="60"/>
  <c r="P20" i="60"/>
  <c r="AF38" i="19"/>
  <c r="L32" i="61"/>
  <c r="L31" i="61" s="1"/>
  <c r="AF93" i="19"/>
  <c r="M15" i="60"/>
  <c r="AF22" i="19"/>
  <c r="AF29" i="19"/>
  <c r="AF101" i="19" s="1"/>
  <c r="M27" i="60"/>
  <c r="C30" i="42"/>
  <c r="K45" i="60"/>
  <c r="M34" i="60"/>
  <c r="M12" i="60"/>
  <c r="AF14" i="19"/>
  <c r="AF127" i="19" s="1"/>
  <c r="W12" i="60"/>
  <c r="G21" i="7"/>
  <c r="G21" i="8"/>
  <c r="C24" i="8"/>
  <c r="F31" i="8"/>
  <c r="F31" i="7"/>
  <c r="C24" i="7"/>
  <c r="D23" i="8"/>
  <c r="D33" i="7"/>
  <c r="C33" i="7" s="1"/>
  <c r="C30" i="7"/>
  <c r="C27" i="31" s="1"/>
  <c r="H27" i="31" s="1"/>
  <c r="C30" i="8"/>
  <c r="D33" i="8"/>
  <c r="E23" i="8"/>
  <c r="E22" i="8" s="1"/>
  <c r="D23" i="7"/>
  <c r="E23" i="7"/>
  <c r="E22" i="7" s="1"/>
  <c r="C12" i="7"/>
  <c r="E10" i="5"/>
  <c r="V43" i="40" l="1"/>
  <c r="R47" i="36"/>
  <c r="W43" i="1"/>
  <c r="F46" i="170" s="1"/>
  <c r="O22" i="36"/>
  <c r="N22" i="36" s="1"/>
  <c r="AA22" i="36"/>
  <c r="Z22" i="36" s="1"/>
  <c r="V22" i="158"/>
  <c r="U33" i="158"/>
  <c r="P33" i="158"/>
  <c r="K8" i="158"/>
  <c r="E9" i="158"/>
  <c r="C33" i="8"/>
  <c r="H49" i="36"/>
  <c r="G49" i="36" s="1"/>
  <c r="E49" i="36" s="1"/>
  <c r="N36" i="36"/>
  <c r="R48" i="36"/>
  <c r="Q48" i="36"/>
  <c r="N32" i="36"/>
  <c r="O31" i="36"/>
  <c r="G40" i="36"/>
  <c r="E40" i="36" s="1"/>
  <c r="H39" i="36"/>
  <c r="C32" i="42"/>
  <c r="F70" i="1"/>
  <c r="F21" i="31"/>
  <c r="C18" i="31"/>
  <c r="F27" i="31"/>
  <c r="C30" i="31"/>
  <c r="F30" i="31" s="1"/>
  <c r="D90" i="1"/>
  <c r="G71" i="1"/>
  <c r="E71" i="1"/>
  <c r="F28" i="40"/>
  <c r="F9" i="40" s="1"/>
  <c r="F8" i="40" s="1"/>
  <c r="Z56" i="59"/>
  <c r="AQ35" i="18" s="1"/>
  <c r="G16" i="8"/>
  <c r="F16" i="8" s="1"/>
  <c r="C39" i="123"/>
  <c r="C43" i="86"/>
  <c r="D40" i="123"/>
  <c r="C40" i="123" s="1"/>
  <c r="K8" i="36"/>
  <c r="E9" i="36"/>
  <c r="I17" i="114"/>
  <c r="D40" i="112"/>
  <c r="C40" i="112" s="1"/>
  <c r="C38" i="112" s="1"/>
  <c r="D40" i="118"/>
  <c r="C40" i="118" s="1"/>
  <c r="J41" i="114"/>
  <c r="C39" i="118"/>
  <c r="I40" i="114"/>
  <c r="G15" i="114"/>
  <c r="F15" i="114" s="1"/>
  <c r="F16" i="114"/>
  <c r="AH43" i="1"/>
  <c r="H46" i="170" s="1"/>
  <c r="J46" i="170" s="1"/>
  <c r="S43" i="40"/>
  <c r="AE43" i="59"/>
  <c r="D21" i="42"/>
  <c r="D43" i="30"/>
  <c r="C43" i="30" s="1"/>
  <c r="X36" i="60"/>
  <c r="U36" i="60" s="1"/>
  <c r="N33" i="61" s="1"/>
  <c r="J42" i="8"/>
  <c r="J42" i="7"/>
  <c r="I42" i="7" s="1"/>
  <c r="D30" i="51"/>
  <c r="C30" i="51" s="1"/>
  <c r="X37" i="2"/>
  <c r="N37" i="41"/>
  <c r="J41" i="42" s="1"/>
  <c r="AK43" i="59"/>
  <c r="AQ43" i="59" s="1"/>
  <c r="AW43" i="59" s="1"/>
  <c r="BC43" i="59" s="1"/>
  <c r="BI43" i="59" s="1"/>
  <c r="BO43" i="59" s="1"/>
  <c r="Y43" i="40"/>
  <c r="T52" i="59"/>
  <c r="U52" i="59" s="1"/>
  <c r="U54" i="59"/>
  <c r="C16" i="42"/>
  <c r="AO43" i="1"/>
  <c r="AN43" i="1" s="1"/>
  <c r="Q43" i="40"/>
  <c r="W43" i="40"/>
  <c r="AH43" i="59"/>
  <c r="AI43" i="59" s="1"/>
  <c r="AC43" i="59"/>
  <c r="C14" i="42"/>
  <c r="E10" i="40"/>
  <c r="E8" i="40"/>
  <c r="C22" i="42"/>
  <c r="C21" i="42" s="1"/>
  <c r="AF54" i="40"/>
  <c r="K54" i="40"/>
  <c r="L54" i="40" s="1"/>
  <c r="AN43" i="59"/>
  <c r="C10" i="40"/>
  <c r="C8" i="40"/>
  <c r="C60" i="40" s="1"/>
  <c r="C6" i="39"/>
  <c r="G8" i="40"/>
  <c r="G10" i="40"/>
  <c r="E17" i="39"/>
  <c r="R56" i="40"/>
  <c r="F16" i="42"/>
  <c r="F15" i="42" s="1"/>
  <c r="G15" i="42"/>
  <c r="R23" i="60"/>
  <c r="AG25" i="19"/>
  <c r="AF102" i="19"/>
  <c r="K44" i="60"/>
  <c r="AG19" i="19"/>
  <c r="R16" i="60"/>
  <c r="F30" i="42"/>
  <c r="AF81" i="19"/>
  <c r="S54" i="60"/>
  <c r="F18" i="41"/>
  <c r="H18" i="41" s="1"/>
  <c r="H19" i="41"/>
  <c r="AF36" i="19"/>
  <c r="W10" i="20"/>
  <c r="L24" i="61"/>
  <c r="K51" i="60"/>
  <c r="M14" i="60"/>
  <c r="AG21" i="19"/>
  <c r="R20" i="60"/>
  <c r="AF128" i="19"/>
  <c r="AH128" i="19"/>
  <c r="AF77" i="19"/>
  <c r="AF20" i="19"/>
  <c r="AF73" i="19" s="1"/>
  <c r="AF74" i="19" s="1"/>
  <c r="R21" i="60"/>
  <c r="AG23" i="19"/>
  <c r="C24" i="39"/>
  <c r="C69" i="41"/>
  <c r="AG17" i="19"/>
  <c r="R19" i="60"/>
  <c r="AG24" i="19"/>
  <c r="R22" i="60"/>
  <c r="AF84" i="19"/>
  <c r="AF99" i="19"/>
  <c r="L23" i="61"/>
  <c r="K8" i="60"/>
  <c r="M9" i="60"/>
  <c r="K83" i="60"/>
  <c r="K84" i="60" s="1"/>
  <c r="M17" i="60"/>
  <c r="AF96" i="19"/>
  <c r="AF125" i="19"/>
  <c r="C23" i="39"/>
  <c r="C8" i="41"/>
  <c r="C7" i="41" s="1"/>
  <c r="AF121" i="19"/>
  <c r="AF11" i="19"/>
  <c r="AG26" i="19"/>
  <c r="R24" i="60"/>
  <c r="AF67" i="19"/>
  <c r="AG18" i="19"/>
  <c r="R18" i="60"/>
  <c r="P17" i="60"/>
  <c r="R17" i="60" s="1"/>
  <c r="AF87" i="19"/>
  <c r="C23" i="8"/>
  <c r="C23" i="7"/>
  <c r="J3" i="2"/>
  <c r="I3" i="2"/>
  <c r="J13" i="2"/>
  <c r="K46" i="1"/>
  <c r="L46" i="1" s="1"/>
  <c r="V46" i="1"/>
  <c r="N46" i="1"/>
  <c r="O46" i="1" s="1"/>
  <c r="Q42" i="1"/>
  <c r="R42" i="1" s="1"/>
  <c r="K42" i="1"/>
  <c r="L42" i="1" s="1"/>
  <c r="I46" i="1"/>
  <c r="I42" i="8" l="1"/>
  <c r="AA58" i="36"/>
  <c r="Z58" i="36" s="1"/>
  <c r="X58" i="36" s="1"/>
  <c r="L36" i="36"/>
  <c r="G39" i="36"/>
  <c r="Q22" i="158"/>
  <c r="P22" i="158" s="1"/>
  <c r="U22" i="158"/>
  <c r="L32" i="36"/>
  <c r="N31" i="36"/>
  <c r="K9" i="158"/>
  <c r="V22" i="36"/>
  <c r="U22" i="36" s="1"/>
  <c r="E35" i="31"/>
  <c r="D35" i="31"/>
  <c r="H30" i="31"/>
  <c r="H18" i="31"/>
  <c r="F18" i="31"/>
  <c r="F10" i="40"/>
  <c r="E90" i="1"/>
  <c r="G70" i="1"/>
  <c r="G90" i="1"/>
  <c r="G99" i="1" s="1"/>
  <c r="D38" i="118"/>
  <c r="D38" i="112"/>
  <c r="C38" i="118"/>
  <c r="C38" i="123"/>
  <c r="D38" i="123"/>
  <c r="R43" i="40"/>
  <c r="AJ43" i="59"/>
  <c r="E30" i="84"/>
  <c r="F30" i="84" s="1"/>
  <c r="C43" i="115"/>
  <c r="J39" i="114"/>
  <c r="I39" i="114" s="1"/>
  <c r="I41" i="114"/>
  <c r="AD43" i="59"/>
  <c r="K9" i="36"/>
  <c r="C43" i="48"/>
  <c r="C43" i="110"/>
  <c r="AF16" i="19"/>
  <c r="AF58" i="19" s="1"/>
  <c r="AH39" i="19"/>
  <c r="X11" i="20" s="1"/>
  <c r="X16" i="20" s="1"/>
  <c r="K37" i="41"/>
  <c r="E33" i="39" s="1"/>
  <c r="X43" i="40"/>
  <c r="Q56" i="40"/>
  <c r="J17" i="42"/>
  <c r="L22" i="61"/>
  <c r="L21" i="61" s="1"/>
  <c r="AT43" i="59"/>
  <c r="AO43" i="59"/>
  <c r="AP43" i="59" s="1"/>
  <c r="AU43" i="1"/>
  <c r="C10" i="39"/>
  <c r="C9" i="39" s="1"/>
  <c r="C8" i="39" s="1"/>
  <c r="G60" i="40"/>
  <c r="E8" i="42"/>
  <c r="D8" i="42"/>
  <c r="AF78" i="19"/>
  <c r="K90" i="60"/>
  <c r="N59" i="60"/>
  <c r="M8" i="60"/>
  <c r="K70" i="60"/>
  <c r="K72" i="60" s="1"/>
  <c r="K7" i="60"/>
  <c r="AF120" i="19"/>
  <c r="AF123" i="19" s="1"/>
  <c r="AF108" i="19"/>
  <c r="AF68" i="19"/>
  <c r="AF122" i="19"/>
  <c r="K89" i="60"/>
  <c r="W8" i="20"/>
  <c r="W15" i="20"/>
  <c r="I41" i="42"/>
  <c r="Q46" i="1"/>
  <c r="R46" i="1" s="1"/>
  <c r="N13" i="2" s="1"/>
  <c r="T46" i="1"/>
  <c r="F13" i="2"/>
  <c r="E39" i="36" l="1"/>
  <c r="L31" i="36"/>
  <c r="AC32" i="36"/>
  <c r="AD32" i="36"/>
  <c r="AC36" i="36"/>
  <c r="AD36" i="36"/>
  <c r="G35" i="31"/>
  <c r="AT43" i="1"/>
  <c r="AD43" i="40"/>
  <c r="AF56" i="19"/>
  <c r="AF111" i="19"/>
  <c r="AF112" i="19" s="1"/>
  <c r="AF54" i="19"/>
  <c r="AF61" i="19"/>
  <c r="AF79" i="19" s="1"/>
  <c r="AF10" i="19"/>
  <c r="AF105" i="19" s="1"/>
  <c r="T46" i="59"/>
  <c r="H46" i="40"/>
  <c r="L52" i="61"/>
  <c r="L57" i="61"/>
  <c r="L49" i="61"/>
  <c r="L50" i="61" s="1"/>
  <c r="E5" i="42"/>
  <c r="E45" i="42" s="1"/>
  <c r="E6" i="42" s="1"/>
  <c r="E7" i="42" s="1"/>
  <c r="E12" i="42"/>
  <c r="AU43" i="59"/>
  <c r="AV43" i="59" s="1"/>
  <c r="AZ43" i="59"/>
  <c r="D12" i="42"/>
  <c r="C8" i="42"/>
  <c r="I17" i="42"/>
  <c r="AF109" i="19"/>
  <c r="AF129" i="19"/>
  <c r="AF126" i="19"/>
  <c r="W13" i="20"/>
  <c r="U92" i="60"/>
  <c r="L29" i="60"/>
  <c r="M7" i="60"/>
  <c r="AP38" i="60"/>
  <c r="K87" i="60"/>
  <c r="AU38" i="60"/>
  <c r="AZ38" i="60"/>
  <c r="L19" i="60"/>
  <c r="AK38" i="60"/>
  <c r="AF38" i="60"/>
  <c r="L7" i="60"/>
  <c r="AA38" i="60"/>
  <c r="V38" i="60"/>
  <c r="K69" i="60"/>
  <c r="L23" i="60"/>
  <c r="L16" i="60"/>
  <c r="L22" i="60"/>
  <c r="L36" i="60"/>
  <c r="L38" i="60"/>
  <c r="L20" i="60"/>
  <c r="L25" i="60"/>
  <c r="L27" i="60"/>
  <c r="L34" i="60"/>
  <c r="L15" i="60"/>
  <c r="L21" i="60"/>
  <c r="L11" i="60"/>
  <c r="L24" i="60"/>
  <c r="L18" i="60"/>
  <c r="L12" i="60"/>
  <c r="L10" i="60"/>
  <c r="L28" i="60"/>
  <c r="L26" i="60"/>
  <c r="L35" i="60"/>
  <c r="V36" i="60"/>
  <c r="L9" i="60"/>
  <c r="L14" i="60"/>
  <c r="L17" i="60"/>
  <c r="AF94" i="19"/>
  <c r="U46" i="1"/>
  <c r="BJ13" i="2"/>
  <c r="BD13" i="2"/>
  <c r="BF13" i="2"/>
  <c r="BH13" i="2"/>
  <c r="BB13" i="2"/>
  <c r="AZ13" i="2"/>
  <c r="X46" i="1"/>
  <c r="G11" i="114" s="1"/>
  <c r="F11" i="114" s="1"/>
  <c r="D61" i="6"/>
  <c r="C61" i="6" s="1"/>
  <c r="E53" i="6"/>
  <c r="E52" i="6"/>
  <c r="E49" i="6"/>
  <c r="D49" i="6"/>
  <c r="D40" i="6"/>
  <c r="C40" i="6" s="1"/>
  <c r="D38" i="6"/>
  <c r="E37" i="6"/>
  <c r="E35" i="6"/>
  <c r="D35" i="6"/>
  <c r="E34" i="6"/>
  <c r="E32" i="6"/>
  <c r="E31" i="6"/>
  <c r="E28" i="6"/>
  <c r="D28" i="6"/>
  <c r="D23" i="6"/>
  <c r="D18" i="6"/>
  <c r="E16" i="6"/>
  <c r="E12" i="6"/>
  <c r="D12" i="6"/>
  <c r="D11" i="6"/>
  <c r="E9" i="6"/>
  <c r="D8" i="6"/>
  <c r="E49" i="5"/>
  <c r="D49" i="5"/>
  <c r="E28" i="5"/>
  <c r="D28" i="5"/>
  <c r="S13" i="2"/>
  <c r="G19" i="157" s="1"/>
  <c r="F19" i="157" s="1"/>
  <c r="K13" i="2"/>
  <c r="C13" i="2"/>
  <c r="D9" i="2"/>
  <c r="D8" i="2" s="1"/>
  <c r="E9" i="2"/>
  <c r="E8" i="2" s="1"/>
  <c r="E7" i="2" s="1"/>
  <c r="H58" i="1"/>
  <c r="H55" i="1" s="1"/>
  <c r="H52" i="1" s="1"/>
  <c r="F60" i="1"/>
  <c r="E46" i="1"/>
  <c r="E11" i="6"/>
  <c r="D20" i="114" l="1"/>
  <c r="C20" i="114" s="1"/>
  <c r="H36" i="36"/>
  <c r="G36" i="36" s="1"/>
  <c r="E36" i="36" s="1"/>
  <c r="AF100" i="19"/>
  <c r="AF82" i="19"/>
  <c r="AF97" i="19"/>
  <c r="AF72" i="19"/>
  <c r="AF69" i="19"/>
  <c r="T128" i="2"/>
  <c r="AF113" i="19"/>
  <c r="AF91" i="19"/>
  <c r="AF154" i="19"/>
  <c r="AF8" i="19"/>
  <c r="AF9" i="19" s="1"/>
  <c r="AF85" i="19"/>
  <c r="AF66" i="19"/>
  <c r="AF104" i="19"/>
  <c r="AF103" i="19"/>
  <c r="AF62" i="19"/>
  <c r="AF57" i="19"/>
  <c r="AF63" i="19"/>
  <c r="AF88" i="19"/>
  <c r="AF75" i="19"/>
  <c r="D15" i="30"/>
  <c r="C15" i="30" s="1"/>
  <c r="G27" i="114"/>
  <c r="F27" i="114" s="1"/>
  <c r="C30" i="85"/>
  <c r="G12" i="7"/>
  <c r="F12" i="7" s="1"/>
  <c r="W46" i="1"/>
  <c r="F12" i="8"/>
  <c r="AF46" i="40"/>
  <c r="K46" i="40"/>
  <c r="L46" i="40" s="1"/>
  <c r="G11" i="42" s="1"/>
  <c r="F11" i="42" s="1"/>
  <c r="U46" i="59"/>
  <c r="W46" i="59"/>
  <c r="X46" i="59" s="1"/>
  <c r="AA46" i="59"/>
  <c r="AC60" i="1"/>
  <c r="F59" i="40"/>
  <c r="E47" i="42"/>
  <c r="E49" i="42"/>
  <c r="C12" i="42"/>
  <c r="AF110" i="19"/>
  <c r="BF43" i="59"/>
  <c r="BA43" i="59"/>
  <c r="BB43" i="59" s="1"/>
  <c r="L8" i="60"/>
  <c r="AF116" i="19"/>
  <c r="AF117" i="19"/>
  <c r="AF106" i="19"/>
  <c r="S13" i="60"/>
  <c r="P13" i="60" s="1"/>
  <c r="AG15" i="19" s="1"/>
  <c r="I13" i="41"/>
  <c r="D7" i="2"/>
  <c r="Z13" i="2"/>
  <c r="G28" i="7"/>
  <c r="F28" i="7" s="1"/>
  <c r="P13" i="2"/>
  <c r="U13" i="2" s="1"/>
  <c r="G28" i="8"/>
  <c r="D21" i="8"/>
  <c r="C21" i="8" s="1"/>
  <c r="D21" i="7"/>
  <c r="C21" i="7" s="1"/>
  <c r="C16" i="31" s="1"/>
  <c r="F16" i="31" s="1"/>
  <c r="C49" i="6"/>
  <c r="V13" i="2"/>
  <c r="C28" i="6"/>
  <c r="C35" i="6"/>
  <c r="C49" i="5"/>
  <c r="W13" i="2"/>
  <c r="C12" i="6"/>
  <c r="C11" i="6"/>
  <c r="C28" i="5"/>
  <c r="F28" i="8" l="1"/>
  <c r="O44" i="36"/>
  <c r="N44" i="36" s="1"/>
  <c r="L44" i="36" s="1"/>
  <c r="AE36" i="36"/>
  <c r="AF36" i="36"/>
  <c r="Q36" i="36"/>
  <c r="R36" i="36"/>
  <c r="AF152" i="19"/>
  <c r="AF149" i="19"/>
  <c r="AF138" i="19"/>
  <c r="AF146" i="19"/>
  <c r="AF107" i="19"/>
  <c r="C18" i="85"/>
  <c r="C17" i="85" s="1"/>
  <c r="BG43" i="59"/>
  <c r="BH43" i="59" s="1"/>
  <c r="BL43" i="59"/>
  <c r="BM43" i="59" s="1"/>
  <c r="BN43" i="59" s="1"/>
  <c r="D20" i="42"/>
  <c r="C20" i="42" s="1"/>
  <c r="E59" i="40"/>
  <c r="G27" i="42"/>
  <c r="F27" i="42" s="1"/>
  <c r="F13" i="41"/>
  <c r="AF119" i="19"/>
  <c r="AF118" i="19"/>
  <c r="I158" i="2"/>
  <c r="O157" i="2"/>
  <c r="AD44" i="36" l="1"/>
  <c r="R44" i="36"/>
  <c r="S60" i="1"/>
  <c r="E19" i="5" l="1"/>
  <c r="E19" i="6"/>
  <c r="I29" i="2"/>
  <c r="I27" i="2"/>
  <c r="AW27" i="2" s="1"/>
  <c r="I24" i="2"/>
  <c r="AW24" i="2" s="1"/>
  <c r="I22" i="2"/>
  <c r="AW22" i="2" l="1"/>
  <c r="I18" i="2"/>
  <c r="D34" i="6"/>
  <c r="C34" i="6" s="1"/>
  <c r="AW29" i="2"/>
  <c r="AW18" i="2" l="1"/>
  <c r="I15" i="2"/>
  <c r="E23" i="6"/>
  <c r="O10" i="2"/>
  <c r="N58" i="1"/>
  <c r="J157" i="2"/>
  <c r="N10" i="2"/>
  <c r="E44" i="6" l="1"/>
  <c r="C23" i="6"/>
  <c r="D44" i="6"/>
  <c r="K10" i="2"/>
  <c r="C44" i="6" l="1"/>
  <c r="E152" i="2" l="1"/>
  <c r="D154" i="2"/>
  <c r="O153" i="2"/>
  <c r="O154" i="2" s="1"/>
  <c r="I154" i="2" l="1"/>
  <c r="D56" i="6"/>
  <c r="H151" i="2"/>
  <c r="T37" i="2" l="1"/>
  <c r="H23" i="157" s="1"/>
  <c r="T36" i="2"/>
  <c r="H22" i="157" s="1"/>
  <c r="H21" i="157" s="1"/>
  <c r="E18" i="30" l="1"/>
  <c r="T35" i="60"/>
  <c r="J36" i="41"/>
  <c r="E19" i="30"/>
  <c r="T36" i="60"/>
  <c r="T71" i="60" s="1"/>
  <c r="J37" i="41"/>
  <c r="W36" i="2"/>
  <c r="H41" i="7"/>
  <c r="W37" i="2"/>
  <c r="H42" i="7"/>
  <c r="V60" i="1"/>
  <c r="AA60" i="1" s="1"/>
  <c r="V59" i="1"/>
  <c r="AA59" i="1" s="1"/>
  <c r="Y58" i="1"/>
  <c r="V58" i="1"/>
  <c r="AA58" i="1" s="1"/>
  <c r="AG58" i="1" s="1"/>
  <c r="AG55" i="1" s="1"/>
  <c r="AG52" i="1" s="1"/>
  <c r="Y57" i="1"/>
  <c r="AK57" i="1" s="1"/>
  <c r="V57" i="1"/>
  <c r="AA57" i="1" s="1"/>
  <c r="Y56" i="1"/>
  <c r="V56" i="1"/>
  <c r="AA56" i="1" s="1"/>
  <c r="V55" i="1"/>
  <c r="AA55" i="1" s="1"/>
  <c r="Y53" i="1"/>
  <c r="V53" i="1"/>
  <c r="AA53" i="1" s="1"/>
  <c r="Y51" i="1"/>
  <c r="X51" i="1"/>
  <c r="AC51" i="1" s="1"/>
  <c r="Y50" i="1"/>
  <c r="X50" i="1"/>
  <c r="AC50" i="1" s="1"/>
  <c r="Y48" i="1"/>
  <c r="H10" i="114" s="1"/>
  <c r="F10" i="114" s="1"/>
  <c r="V48" i="1"/>
  <c r="AA48" i="1" s="1"/>
  <c r="Y45" i="1"/>
  <c r="W45" i="1" s="1"/>
  <c r="F50" i="170" s="1"/>
  <c r="J50" i="170" s="1"/>
  <c r="Z45" i="1"/>
  <c r="Y44" i="1"/>
  <c r="W44" i="1" s="1"/>
  <c r="Z44" i="1"/>
  <c r="AD43" i="1"/>
  <c r="AA43" i="1"/>
  <c r="Y42" i="1"/>
  <c r="W42" i="1" s="1"/>
  <c r="V42" i="1"/>
  <c r="AA42" i="1" s="1"/>
  <c r="Z40" i="1"/>
  <c r="Y38" i="1"/>
  <c r="X38" i="1" s="1"/>
  <c r="Z36" i="1"/>
  <c r="Z33" i="1"/>
  <c r="Y32" i="1"/>
  <c r="W32" i="1" s="1"/>
  <c r="F33" i="170" s="1"/>
  <c r="J33" i="170" s="1"/>
  <c r="Y31" i="1"/>
  <c r="V27" i="1"/>
  <c r="AA27" i="1" s="1"/>
  <c r="AM27" i="1" s="1"/>
  <c r="Z27" i="1"/>
  <c r="T26" i="1"/>
  <c r="E27" i="170" s="1"/>
  <c r="V23" i="1"/>
  <c r="Y22" i="1"/>
  <c r="T22" i="1"/>
  <c r="E23" i="170" s="1"/>
  <c r="Y21" i="1"/>
  <c r="W21" i="1" s="1"/>
  <c r="F22" i="170" s="1"/>
  <c r="J22" i="170" s="1"/>
  <c r="Z21" i="1"/>
  <c r="Y20" i="1"/>
  <c r="T20" i="1"/>
  <c r="E21" i="170" s="1"/>
  <c r="Y19" i="1"/>
  <c r="W19" i="1" s="1"/>
  <c r="F20" i="170" s="1"/>
  <c r="J20" i="170" s="1"/>
  <c r="Y18" i="1"/>
  <c r="V17" i="1"/>
  <c r="Y16" i="1"/>
  <c r="T16" i="1"/>
  <c r="Y15" i="1"/>
  <c r="W15" i="1" s="1"/>
  <c r="Y14" i="1"/>
  <c r="W14" i="1" s="1"/>
  <c r="Y13" i="1"/>
  <c r="W13" i="1" s="1"/>
  <c r="Y12" i="1"/>
  <c r="O30" i="2"/>
  <c r="S30" i="2"/>
  <c r="G25" i="157" s="1"/>
  <c r="N27" i="2"/>
  <c r="S27" i="2" s="1"/>
  <c r="W16" i="2"/>
  <c r="N16" i="2"/>
  <c r="S16" i="2" s="1"/>
  <c r="J39" i="2"/>
  <c r="J21" i="2"/>
  <c r="J19" i="2"/>
  <c r="J18" i="2" s="1"/>
  <c r="J15" i="2" s="1"/>
  <c r="S30" i="1"/>
  <c r="S29" i="1"/>
  <c r="X59" i="1"/>
  <c r="T58" i="1"/>
  <c r="N57" i="1"/>
  <c r="N56" i="1"/>
  <c r="Z48" i="1"/>
  <c r="Z47" i="1"/>
  <c r="Z43" i="1"/>
  <c r="Z42" i="1"/>
  <c r="Z41" i="1"/>
  <c r="Z38" i="1"/>
  <c r="Z37" i="1"/>
  <c r="Z35" i="1"/>
  <c r="Z34" i="1"/>
  <c r="M29" i="1"/>
  <c r="Z32" i="1"/>
  <c r="M30" i="1"/>
  <c r="Z25" i="1"/>
  <c r="Z24" i="1"/>
  <c r="Z19" i="1"/>
  <c r="Z14" i="1"/>
  <c r="Z13" i="1"/>
  <c r="G19" i="114" l="1"/>
  <c r="O35" i="36"/>
  <c r="G12" i="157"/>
  <c r="F17" i="170"/>
  <c r="E17" i="170"/>
  <c r="W38" i="1"/>
  <c r="O17" i="36"/>
  <c r="N17" i="36" s="1"/>
  <c r="D21" i="30"/>
  <c r="G37" i="114"/>
  <c r="AD58" i="1"/>
  <c r="AK58" i="1"/>
  <c r="Y57" i="59"/>
  <c r="Y56" i="59"/>
  <c r="W56" i="59" s="1"/>
  <c r="W57" i="1"/>
  <c r="D8" i="30"/>
  <c r="X58" i="59"/>
  <c r="L58" i="40"/>
  <c r="G19" i="42" s="1"/>
  <c r="H11" i="7"/>
  <c r="F11" i="7" s="1"/>
  <c r="H11" i="8"/>
  <c r="F11" i="8" s="1"/>
  <c r="W48" i="1"/>
  <c r="T57" i="59"/>
  <c r="AP36" i="18" s="1"/>
  <c r="H57" i="40"/>
  <c r="D18" i="39" s="1"/>
  <c r="D15" i="39" s="1"/>
  <c r="Y55" i="59"/>
  <c r="Y55" i="1"/>
  <c r="AD55" i="1" s="1"/>
  <c r="W56" i="1"/>
  <c r="J35" i="41"/>
  <c r="T34" i="60"/>
  <c r="T69" i="60" s="1"/>
  <c r="T70" i="60"/>
  <c r="E17" i="30"/>
  <c r="P16" i="2"/>
  <c r="S15" i="60"/>
  <c r="I16" i="41"/>
  <c r="S26" i="60"/>
  <c r="I27" i="41"/>
  <c r="S29" i="60"/>
  <c r="I30" i="41"/>
  <c r="T26" i="59"/>
  <c r="H26" i="40"/>
  <c r="T20" i="59"/>
  <c r="H20" i="40"/>
  <c r="Z22" i="1"/>
  <c r="T22" i="59"/>
  <c r="H22" i="40"/>
  <c r="T16" i="59"/>
  <c r="H16" i="40"/>
  <c r="AC59" i="1"/>
  <c r="G20" i="7"/>
  <c r="G20" i="8"/>
  <c r="H40" i="7"/>
  <c r="G38" i="7"/>
  <c r="G38" i="8"/>
  <c r="O54" i="36" s="1"/>
  <c r="AD50" i="1"/>
  <c r="AJ50" i="1" s="1"/>
  <c r="AP50" i="1" s="1"/>
  <c r="AV50" i="1" s="1"/>
  <c r="Y17" i="1"/>
  <c r="AD17" i="1" s="1"/>
  <c r="W18" i="1"/>
  <c r="F19" i="170" s="1"/>
  <c r="J19" i="170" s="1"/>
  <c r="AD56" i="1"/>
  <c r="W12" i="1"/>
  <c r="Y11" i="1"/>
  <c r="Z26" i="1"/>
  <c r="X26" i="1"/>
  <c r="U26" i="1"/>
  <c r="T23" i="1"/>
  <c r="AD44" i="1"/>
  <c r="AD51" i="1"/>
  <c r="AJ51" i="1" s="1"/>
  <c r="AP51" i="1" s="1"/>
  <c r="AV51" i="1" s="1"/>
  <c r="AD57" i="1"/>
  <c r="Z20" i="1"/>
  <c r="T17" i="1"/>
  <c r="E18" i="170" s="1"/>
  <c r="X20" i="1"/>
  <c r="AD53" i="1"/>
  <c r="AJ53" i="1"/>
  <c r="Y28" i="1"/>
  <c r="P12" i="36" s="1"/>
  <c r="W31" i="1"/>
  <c r="F32" i="170" s="1"/>
  <c r="J32" i="170" s="1"/>
  <c r="Z58" i="1"/>
  <c r="Z16" i="1"/>
  <c r="T11" i="1"/>
  <c r="AD42" i="1"/>
  <c r="AB42" i="1"/>
  <c r="AD48" i="1"/>
  <c r="AD45" i="1"/>
  <c r="AB45" i="1"/>
  <c r="Z56" i="1"/>
  <c r="Z57" i="1"/>
  <c r="V27" i="2"/>
  <c r="V30" i="2"/>
  <c r="AD13" i="1"/>
  <c r="AD14" i="1"/>
  <c r="AD24" i="1"/>
  <c r="AD27" i="1"/>
  <c r="AV27" i="1" s="1"/>
  <c r="AE27" i="1"/>
  <c r="G28" i="170" s="1"/>
  <c r="AD15" i="1"/>
  <c r="AK15" i="1"/>
  <c r="AD20" i="1"/>
  <c r="AE20" i="1"/>
  <c r="G21" i="170" s="1"/>
  <c r="AD25" i="1"/>
  <c r="AD31" i="1"/>
  <c r="AD16" i="1"/>
  <c r="AF16" i="1"/>
  <c r="AD21" i="1"/>
  <c r="AD26" i="1"/>
  <c r="AE26" i="1"/>
  <c r="G27" i="170" s="1"/>
  <c r="AD22" i="1"/>
  <c r="AE22" i="1"/>
  <c r="G23" i="170" s="1"/>
  <c r="AD19" i="1"/>
  <c r="AD23" i="1"/>
  <c r="AD32" i="1"/>
  <c r="AD12" i="1"/>
  <c r="AD18" i="1"/>
  <c r="AD38" i="1"/>
  <c r="K16" i="2"/>
  <c r="O39" i="2"/>
  <c r="E33" i="6"/>
  <c r="E30" i="6" s="1"/>
  <c r="T30" i="2"/>
  <c r="H25" i="157" s="1"/>
  <c r="F25" i="157" s="1"/>
  <c r="E56" i="6"/>
  <c r="C56" i="6" s="1"/>
  <c r="N53" i="1"/>
  <c r="U37" i="1"/>
  <c r="Y37" i="1" s="1"/>
  <c r="P16" i="36" s="1"/>
  <c r="U41" i="1"/>
  <c r="U47" i="1"/>
  <c r="U56" i="1"/>
  <c r="U38" i="1"/>
  <c r="U48" i="1"/>
  <c r="Z30" i="1"/>
  <c r="U44" i="1"/>
  <c r="Z18" i="1"/>
  <c r="U45" i="1"/>
  <c r="Z39" i="1"/>
  <c r="U57" i="1"/>
  <c r="Z29" i="1"/>
  <c r="U40" i="1"/>
  <c r="Y40" i="1" s="1"/>
  <c r="P19" i="36" s="1"/>
  <c r="Z31" i="1"/>
  <c r="P222" i="2"/>
  <c r="P220" i="2"/>
  <c r="F38" i="170" l="1"/>
  <c r="J38" i="170" s="1"/>
  <c r="E39" i="170"/>
  <c r="E24" i="170"/>
  <c r="L11" i="158"/>
  <c r="E12" i="170"/>
  <c r="E11" i="170" s="1"/>
  <c r="E10" i="170" s="1"/>
  <c r="L10" i="158"/>
  <c r="AH53" i="1"/>
  <c r="AO58" i="1"/>
  <c r="AL58" i="1"/>
  <c r="AP53" i="1"/>
  <c r="AP52" i="1" s="1"/>
  <c r="L11" i="36"/>
  <c r="R11" i="36" s="1"/>
  <c r="L10" i="36"/>
  <c r="R10" i="36" s="1"/>
  <c r="T9" i="1"/>
  <c r="H9" i="114"/>
  <c r="E21" i="30"/>
  <c r="C21" i="30" s="1"/>
  <c r="H37" i="114"/>
  <c r="F37" i="114" s="1"/>
  <c r="AF57" i="59"/>
  <c r="AR36" i="18" s="1"/>
  <c r="T57" i="40"/>
  <c r="F18" i="39" s="1"/>
  <c r="Y54" i="59"/>
  <c r="Y52" i="59" s="1"/>
  <c r="W55" i="59"/>
  <c r="W54" i="59" s="1"/>
  <c r="W52" i="59" s="1"/>
  <c r="Y52" i="1"/>
  <c r="Y40" i="59"/>
  <c r="X40" i="59" s="1"/>
  <c r="X71" i="59" s="1"/>
  <c r="M40" i="40"/>
  <c r="H10" i="7"/>
  <c r="H10" i="8"/>
  <c r="T11" i="2"/>
  <c r="H17" i="157" s="1"/>
  <c r="Y37" i="59"/>
  <c r="M37" i="40"/>
  <c r="AF56" i="59"/>
  <c r="AQ57" i="1"/>
  <c r="AO57" i="1"/>
  <c r="AF37" i="2" s="1"/>
  <c r="T56" i="40"/>
  <c r="G37" i="42"/>
  <c r="S63" i="60"/>
  <c r="F16" i="41"/>
  <c r="T29" i="60"/>
  <c r="P29" i="60" s="1"/>
  <c r="J30" i="41"/>
  <c r="H37" i="42" s="1"/>
  <c r="P15" i="60"/>
  <c r="S52" i="60"/>
  <c r="Z26" i="59"/>
  <c r="N26" i="40"/>
  <c r="AF26" i="40"/>
  <c r="H23" i="40"/>
  <c r="K26" i="40"/>
  <c r="AF27" i="1"/>
  <c r="Z27" i="59"/>
  <c r="AC27" i="59" s="1"/>
  <c r="AD27" i="59" s="1"/>
  <c r="N27" i="40"/>
  <c r="Q27" i="40" s="1"/>
  <c r="R27" i="40" s="1"/>
  <c r="W26" i="59"/>
  <c r="U26" i="59"/>
  <c r="U23" i="59" s="1"/>
  <c r="T23" i="59"/>
  <c r="AP12" i="18" s="1"/>
  <c r="AF22" i="1"/>
  <c r="Z22" i="59"/>
  <c r="AC22" i="59" s="1"/>
  <c r="AD22" i="59" s="1"/>
  <c r="N22" i="40"/>
  <c r="Q22" i="40" s="1"/>
  <c r="R22" i="40" s="1"/>
  <c r="K22" i="40"/>
  <c r="L22" i="40" s="1"/>
  <c r="AF22" i="40"/>
  <c r="W22" i="59"/>
  <c r="X22" i="59" s="1"/>
  <c r="U22" i="59"/>
  <c r="AF20" i="1"/>
  <c r="Z20" i="59"/>
  <c r="N20" i="40"/>
  <c r="D12" i="39"/>
  <c r="AF20" i="40"/>
  <c r="H17" i="40"/>
  <c r="K20" i="40"/>
  <c r="W20" i="59"/>
  <c r="U20" i="59"/>
  <c r="U17" i="59" s="1"/>
  <c r="T17" i="59"/>
  <c r="AP11" i="18" s="1"/>
  <c r="AF15" i="59"/>
  <c r="T15" i="40"/>
  <c r="J16" i="40"/>
  <c r="AF16" i="40"/>
  <c r="H11" i="40"/>
  <c r="U16" i="59"/>
  <c r="U11" i="59" s="1"/>
  <c r="T11" i="59"/>
  <c r="W30" i="2"/>
  <c r="H38" i="7"/>
  <c r="F38" i="7" s="1"/>
  <c r="H38" i="8"/>
  <c r="P30" i="2"/>
  <c r="AF26" i="1"/>
  <c r="AE23" i="1"/>
  <c r="AD11" i="1"/>
  <c r="AD37" i="1"/>
  <c r="S37" i="40"/>
  <c r="AK16" i="1"/>
  <c r="AI16" i="1"/>
  <c r="AE11" i="1"/>
  <c r="AI27" i="1"/>
  <c r="AH27" i="1" s="1"/>
  <c r="H28" i="170" s="1"/>
  <c r="W20" i="1"/>
  <c r="F21" i="170" s="1"/>
  <c r="AO22" i="1"/>
  <c r="AI22" i="1"/>
  <c r="AH22" i="1" s="1"/>
  <c r="H23" i="170" s="1"/>
  <c r="AN42" i="1"/>
  <c r="AE17" i="1"/>
  <c r="AI20" i="1"/>
  <c r="AI26" i="1"/>
  <c r="AL57" i="1"/>
  <c r="W26" i="1"/>
  <c r="F27" i="170" s="1"/>
  <c r="X23" i="1"/>
  <c r="O11" i="36" s="1"/>
  <c r="N11" i="36" s="1"/>
  <c r="AI58" i="1"/>
  <c r="X40" i="1"/>
  <c r="AU15" i="1"/>
  <c r="K15" i="7"/>
  <c r="T15" i="7" s="1"/>
  <c r="AK50" i="1"/>
  <c r="AF50" i="1"/>
  <c r="AK51" i="1"/>
  <c r="AF51" i="1"/>
  <c r="T53" i="1"/>
  <c r="V16" i="2"/>
  <c r="X37" i="1"/>
  <c r="T39" i="2"/>
  <c r="E54" i="6"/>
  <c r="E51" i="6" s="1"/>
  <c r="U39" i="1"/>
  <c r="E7" i="30" l="1"/>
  <c r="H11" i="157"/>
  <c r="L8" i="158"/>
  <c r="AA10" i="158"/>
  <c r="AC10" i="158" s="1"/>
  <c r="M10" i="158"/>
  <c r="AE73" i="1"/>
  <c r="G18" i="170"/>
  <c r="I18" i="170" s="1"/>
  <c r="AA11" i="158"/>
  <c r="AC11" i="158" s="1"/>
  <c r="M11" i="158"/>
  <c r="G9" i="114"/>
  <c r="F9" i="114" s="1"/>
  <c r="O19" i="36"/>
  <c r="N19" i="36" s="1"/>
  <c r="AI55" i="1"/>
  <c r="AI52" i="1" s="1"/>
  <c r="G34" i="157" s="1"/>
  <c r="AA34" i="36"/>
  <c r="E136" i="11"/>
  <c r="J19" i="8"/>
  <c r="G12" i="170"/>
  <c r="S10" i="158"/>
  <c r="N10" i="158"/>
  <c r="I39" i="170"/>
  <c r="F39" i="170"/>
  <c r="J39" i="170" s="1"/>
  <c r="E40" i="170"/>
  <c r="I40" i="170" s="1"/>
  <c r="G24" i="170"/>
  <c r="I24" i="170" s="1"/>
  <c r="N11" i="158"/>
  <c r="S11" i="158"/>
  <c r="H43" i="114"/>
  <c r="H30" i="157"/>
  <c r="W37" i="1"/>
  <c r="F37" i="170" s="1"/>
  <c r="O16" i="36"/>
  <c r="F38" i="8"/>
  <c r="P54" i="36"/>
  <c r="N54" i="36" s="1"/>
  <c r="L54" i="36" s="1"/>
  <c r="AI73" i="1"/>
  <c r="AJ73" i="1" s="1"/>
  <c r="AF73" i="1"/>
  <c r="AE74" i="1"/>
  <c r="S11" i="36"/>
  <c r="V11" i="36" s="1"/>
  <c r="U11" i="36" s="1"/>
  <c r="AE72" i="1"/>
  <c r="S10" i="36"/>
  <c r="Q11" i="36"/>
  <c r="M19" i="7"/>
  <c r="L19" i="7" s="1"/>
  <c r="M19" i="8"/>
  <c r="AJ57" i="59"/>
  <c r="AI57" i="59" s="1"/>
  <c r="AH58" i="1"/>
  <c r="AH55" i="1" s="1"/>
  <c r="J18" i="114"/>
  <c r="M18" i="114" s="1"/>
  <c r="T8" i="1"/>
  <c r="T10" i="1"/>
  <c r="V39" i="1"/>
  <c r="E42" i="170" s="1"/>
  <c r="E43" i="170" s="1"/>
  <c r="F43" i="170" s="1"/>
  <c r="Y39" i="1"/>
  <c r="P18" i="36" s="1"/>
  <c r="P8" i="36" s="1"/>
  <c r="D23" i="84"/>
  <c r="AF23" i="1"/>
  <c r="C14" i="117"/>
  <c r="X11" i="36"/>
  <c r="C14" i="111"/>
  <c r="C14" i="50"/>
  <c r="AF17" i="1"/>
  <c r="C13" i="117"/>
  <c r="C13" i="111"/>
  <c r="C13" i="50"/>
  <c r="AE9" i="1"/>
  <c r="X10" i="36"/>
  <c r="C12" i="117"/>
  <c r="C12" i="111"/>
  <c r="C12" i="50"/>
  <c r="Q10" i="36"/>
  <c r="L8" i="36"/>
  <c r="R8" i="36" s="1"/>
  <c r="E13" i="30"/>
  <c r="H25" i="114"/>
  <c r="H52" i="114"/>
  <c r="W10" i="114"/>
  <c r="M41" i="114"/>
  <c r="M17" i="114"/>
  <c r="R57" i="40"/>
  <c r="Q57" i="40" s="1"/>
  <c r="E26" i="30"/>
  <c r="T38" i="60"/>
  <c r="T72" i="60" s="1"/>
  <c r="J39" i="41"/>
  <c r="AD57" i="59"/>
  <c r="AC57" i="59" s="1"/>
  <c r="H9" i="42"/>
  <c r="W10" i="42" s="1"/>
  <c r="L40" i="40"/>
  <c r="G9" i="42" s="1"/>
  <c r="G10" i="7"/>
  <c r="F10" i="7" s="1"/>
  <c r="W40" i="1"/>
  <c r="F44" i="170" s="1"/>
  <c r="G10" i="8"/>
  <c r="F10" i="8" s="1"/>
  <c r="S11" i="2"/>
  <c r="G17" i="157" s="1"/>
  <c r="F17" i="157" s="1"/>
  <c r="H26" i="7"/>
  <c r="T11" i="60"/>
  <c r="T48" i="60" s="1"/>
  <c r="H26" i="8"/>
  <c r="P42" i="36" s="1"/>
  <c r="J11" i="41"/>
  <c r="H25" i="42" s="1"/>
  <c r="H53" i="8"/>
  <c r="W11" i="8"/>
  <c r="H53" i="7"/>
  <c r="W11" i="7"/>
  <c r="U9" i="1"/>
  <c r="R37" i="40"/>
  <c r="AK53" i="1"/>
  <c r="H53" i="40"/>
  <c r="L37" i="40"/>
  <c r="AE37" i="59"/>
  <c r="X37" i="59"/>
  <c r="F17" i="39"/>
  <c r="W56" i="40"/>
  <c r="X56" i="40" s="1"/>
  <c r="M17" i="42" s="1"/>
  <c r="AJ56" i="59"/>
  <c r="AI56" i="59" s="1"/>
  <c r="AN57" i="1"/>
  <c r="AL56" i="59"/>
  <c r="AU57" i="1"/>
  <c r="Z56" i="40"/>
  <c r="O17" i="61"/>
  <c r="P17" i="61" s="1"/>
  <c r="AR35" i="18"/>
  <c r="H16" i="41"/>
  <c r="AG22" i="19"/>
  <c r="R15" i="60"/>
  <c r="M26" i="61"/>
  <c r="AG31" i="19"/>
  <c r="R29" i="60"/>
  <c r="F30" i="41"/>
  <c r="F37" i="42"/>
  <c r="L26" i="40"/>
  <c r="L23" i="40" s="1"/>
  <c r="K23" i="40"/>
  <c r="AF23" i="40"/>
  <c r="I23" i="40"/>
  <c r="N23" i="40"/>
  <c r="Q26" i="40"/>
  <c r="X26" i="59"/>
  <c r="X23" i="59" s="1"/>
  <c r="W23" i="59"/>
  <c r="AC26" i="59"/>
  <c r="Z23" i="59"/>
  <c r="L20" i="40"/>
  <c r="L17" i="40" s="1"/>
  <c r="K17" i="40"/>
  <c r="AF17" i="40"/>
  <c r="I17" i="40"/>
  <c r="X20" i="59"/>
  <c r="X17" i="59" s="1"/>
  <c r="W17" i="59"/>
  <c r="M12" i="61"/>
  <c r="P12" i="61" s="1"/>
  <c r="Q20" i="40"/>
  <c r="N17" i="40"/>
  <c r="AC20" i="59"/>
  <c r="Z17" i="59"/>
  <c r="O11" i="40"/>
  <c r="H9" i="40"/>
  <c r="AF11" i="40"/>
  <c r="I11" i="40"/>
  <c r="AU16" i="1"/>
  <c r="AF16" i="59"/>
  <c r="AF11" i="59" s="1"/>
  <c r="T16" i="40"/>
  <c r="T11" i="40" s="1"/>
  <c r="K16" i="40"/>
  <c r="J11" i="40"/>
  <c r="W15" i="40"/>
  <c r="AP10" i="18"/>
  <c r="AA11" i="59"/>
  <c r="T9" i="59"/>
  <c r="AI15" i="59"/>
  <c r="M18" i="7"/>
  <c r="M18" i="8"/>
  <c r="AI37" i="1"/>
  <c r="W39" i="2"/>
  <c r="H44" i="8"/>
  <c r="P60" i="36" s="1"/>
  <c r="AF11" i="1"/>
  <c r="W23" i="1"/>
  <c r="F24" i="170" s="1"/>
  <c r="AK11" i="1"/>
  <c r="AL11" i="1" s="1"/>
  <c r="AH26" i="1"/>
  <c r="H27" i="170" s="1"/>
  <c r="AI23" i="1"/>
  <c r="J19" i="7"/>
  <c r="AO26" i="1"/>
  <c r="AL51" i="1"/>
  <c r="AQ51" i="1"/>
  <c r="AH20" i="1"/>
  <c r="H21" i="170" s="1"/>
  <c r="AI17" i="1"/>
  <c r="AU27" i="1"/>
  <c r="AO27" i="1"/>
  <c r="AN27" i="1" s="1"/>
  <c r="AR57" i="1"/>
  <c r="AH16" i="1"/>
  <c r="H17" i="170" s="1"/>
  <c r="AI11" i="1"/>
  <c r="AL50" i="1"/>
  <c r="AQ50" i="1"/>
  <c r="AO20" i="1"/>
  <c r="U53" i="1"/>
  <c r="Z53" i="1"/>
  <c r="E54" i="5"/>
  <c r="E53" i="5"/>
  <c r="E52" i="5"/>
  <c r="D38" i="5"/>
  <c r="E37" i="5"/>
  <c r="E35" i="5"/>
  <c r="D35" i="5"/>
  <c r="E34" i="5"/>
  <c r="D34" i="5"/>
  <c r="E32" i="5"/>
  <c r="E31" i="5"/>
  <c r="C27" i="5"/>
  <c r="C26" i="5"/>
  <c r="D23" i="5"/>
  <c r="D18" i="5"/>
  <c r="E16" i="5"/>
  <c r="E12" i="5"/>
  <c r="E11" i="5"/>
  <c r="D40" i="5"/>
  <c r="C40" i="5" s="1"/>
  <c r="E9" i="5"/>
  <c r="D8" i="5"/>
  <c r="P18" i="114" l="1"/>
  <c r="M18" i="42"/>
  <c r="L18" i="42" s="1"/>
  <c r="L18" i="114"/>
  <c r="Q10" i="158"/>
  <c r="P10" i="158" s="1"/>
  <c r="N8" i="158"/>
  <c r="X10" i="158"/>
  <c r="X8" i="158" s="1"/>
  <c r="Z10" i="158"/>
  <c r="AE11" i="36"/>
  <c r="AF11" i="36"/>
  <c r="AC11" i="36"/>
  <c r="AD11" i="36"/>
  <c r="AB10" i="158"/>
  <c r="Y10" i="158"/>
  <c r="S8" i="158"/>
  <c r="I12" i="170"/>
  <c r="G11" i="170"/>
  <c r="C12" i="116"/>
  <c r="V16" i="158"/>
  <c r="AA16" i="36"/>
  <c r="AE10" i="36"/>
  <c r="AF10" i="36"/>
  <c r="AC10" i="36"/>
  <c r="AD10" i="36"/>
  <c r="AA31" i="36"/>
  <c r="AA28" i="36" s="1"/>
  <c r="AB11" i="158"/>
  <c r="Y11" i="158"/>
  <c r="L7" i="158"/>
  <c r="L9" i="158"/>
  <c r="AA8" i="158"/>
  <c r="AC8" i="158" s="1"/>
  <c r="M8" i="158"/>
  <c r="V10" i="158"/>
  <c r="U10" i="158" s="1"/>
  <c r="AE71" i="1"/>
  <c r="AE90" i="1" s="1"/>
  <c r="Q11" i="158"/>
  <c r="P11" i="158" s="1"/>
  <c r="Z11" i="158"/>
  <c r="X11" i="158"/>
  <c r="AA11" i="36"/>
  <c r="Z11" i="36" s="1"/>
  <c r="V11" i="158"/>
  <c r="U11" i="158" s="1"/>
  <c r="AE10" i="1"/>
  <c r="AF9" i="1"/>
  <c r="P7" i="36"/>
  <c r="P9" i="36"/>
  <c r="R54" i="36"/>
  <c r="Q54" i="36"/>
  <c r="AG39" i="1"/>
  <c r="M18" i="36"/>
  <c r="M8" i="36" s="1"/>
  <c r="N16" i="36"/>
  <c r="P17" i="114"/>
  <c r="AK37" i="2"/>
  <c r="AI74" i="1"/>
  <c r="AJ74" i="1" s="1"/>
  <c r="AF74" i="1"/>
  <c r="AG73" i="1"/>
  <c r="AH73" i="1"/>
  <c r="AA10" i="36"/>
  <c r="Z10" i="36" s="1"/>
  <c r="S8" i="36"/>
  <c r="S7" i="36" s="1"/>
  <c r="S37" i="36" s="1"/>
  <c r="V10" i="36"/>
  <c r="AF72" i="1"/>
  <c r="AI72" i="1"/>
  <c r="S18" i="114"/>
  <c r="I18" i="114"/>
  <c r="R18" i="114" s="1"/>
  <c r="J15" i="114"/>
  <c r="S37" i="41"/>
  <c r="M41" i="42" s="1"/>
  <c r="L41" i="42" s="1"/>
  <c r="AC36" i="60"/>
  <c r="M42" i="7"/>
  <c r="C11" i="50"/>
  <c r="C10" i="50" s="1"/>
  <c r="C10" i="110"/>
  <c r="C9" i="110" s="1"/>
  <c r="C10" i="115"/>
  <c r="C9" i="115" s="1"/>
  <c r="C10" i="48"/>
  <c r="C9" i="48" s="1"/>
  <c r="M42" i="8"/>
  <c r="L42" i="8" s="1"/>
  <c r="AH23" i="1"/>
  <c r="H24" i="170" s="1"/>
  <c r="J24" i="170" s="1"/>
  <c r="C11" i="111"/>
  <c r="C10" i="111" s="1"/>
  <c r="AH17" i="1"/>
  <c r="H18" i="170" s="1"/>
  <c r="C11" i="117"/>
  <c r="C10" i="117" s="1"/>
  <c r="X8" i="36"/>
  <c r="L9" i="36"/>
  <c r="R9" i="36" s="1"/>
  <c r="L7" i="36"/>
  <c r="Q8" i="36"/>
  <c r="AH11" i="1"/>
  <c r="H12" i="170" s="1"/>
  <c r="D13" i="30"/>
  <c r="C13" i="30" s="1"/>
  <c r="G25" i="114"/>
  <c r="F25" i="114" s="1"/>
  <c r="N53" i="40"/>
  <c r="E14" i="84"/>
  <c r="C14" i="49"/>
  <c r="C15" i="116"/>
  <c r="L17" i="114"/>
  <c r="R17" i="114" s="1"/>
  <c r="S17" i="114"/>
  <c r="L41" i="114"/>
  <c r="AH37" i="1"/>
  <c r="H37" i="170" s="1"/>
  <c r="J37" i="170" s="1"/>
  <c r="C11" i="49"/>
  <c r="AF53" i="1"/>
  <c r="AP56" i="59"/>
  <c r="AO56" i="59" s="1"/>
  <c r="Q17" i="61" s="1"/>
  <c r="P41" i="114"/>
  <c r="J18" i="42"/>
  <c r="N18" i="61"/>
  <c r="Z57" i="59"/>
  <c r="AQ36" i="18" s="1"/>
  <c r="G26" i="7"/>
  <c r="F26" i="7" s="1"/>
  <c r="P11" i="2"/>
  <c r="I11" i="41"/>
  <c r="G26" i="8"/>
  <c r="S11" i="60"/>
  <c r="F9" i="42"/>
  <c r="V10" i="42"/>
  <c r="U10" i="42" s="1"/>
  <c r="Y39" i="59"/>
  <c r="Y9" i="59" s="1"/>
  <c r="M39" i="40"/>
  <c r="M9" i="40" s="1"/>
  <c r="AF53" i="59"/>
  <c r="T53" i="40"/>
  <c r="AD37" i="59"/>
  <c r="AK37" i="59"/>
  <c r="Y37" i="40"/>
  <c r="D14" i="39"/>
  <c r="D13" i="39" s="1"/>
  <c r="K53" i="40"/>
  <c r="AF53" i="40"/>
  <c r="H52" i="40"/>
  <c r="V39" i="59"/>
  <c r="J39" i="40"/>
  <c r="K39" i="40" s="1"/>
  <c r="G17" i="39"/>
  <c r="H17" i="39" s="1"/>
  <c r="AC56" i="40"/>
  <c r="AD56" i="40" s="1"/>
  <c r="P17" i="42" s="1"/>
  <c r="O17" i="42" s="1"/>
  <c r="AZ35" i="18"/>
  <c r="AR56" i="59"/>
  <c r="L17" i="42"/>
  <c r="AX35" i="18"/>
  <c r="AV35" i="18"/>
  <c r="AU35" i="18"/>
  <c r="D29" i="39"/>
  <c r="H30" i="41"/>
  <c r="O23" i="40"/>
  <c r="U23" i="40"/>
  <c r="AA23" i="59"/>
  <c r="AQ12" i="18"/>
  <c r="AG23" i="59"/>
  <c r="AD26" i="59"/>
  <c r="AD23" i="59" s="1"/>
  <c r="AC23" i="59"/>
  <c r="R26" i="40"/>
  <c r="R23" i="40" s="1"/>
  <c r="Q23" i="40"/>
  <c r="O17" i="40"/>
  <c r="U17" i="40"/>
  <c r="N9" i="40"/>
  <c r="AD20" i="59"/>
  <c r="AD17" i="59" s="1"/>
  <c r="AC17" i="59"/>
  <c r="R20" i="40"/>
  <c r="R17" i="40" s="1"/>
  <c r="Q17" i="40"/>
  <c r="E12" i="39"/>
  <c r="H12" i="39" s="1"/>
  <c r="AQ11" i="18"/>
  <c r="AA17" i="59"/>
  <c r="AG17" i="59"/>
  <c r="Z9" i="59"/>
  <c r="AA9" i="59" s="1"/>
  <c r="U11" i="40"/>
  <c r="AA11" i="40"/>
  <c r="T9" i="40"/>
  <c r="L16" i="40"/>
  <c r="L11" i="40" s="1"/>
  <c r="K11" i="40"/>
  <c r="AR10" i="18"/>
  <c r="AU10" i="18" s="1"/>
  <c r="AG11" i="59"/>
  <c r="AM11" i="59"/>
  <c r="AF9" i="59"/>
  <c r="AJ15" i="59"/>
  <c r="AJ11" i="59" s="1"/>
  <c r="AI11" i="59"/>
  <c r="U9" i="59"/>
  <c r="T10" i="59"/>
  <c r="T8" i="59"/>
  <c r="AP8" i="18"/>
  <c r="X15" i="40"/>
  <c r="X11" i="40" s="1"/>
  <c r="W11" i="40"/>
  <c r="H72" i="40"/>
  <c r="H8" i="40"/>
  <c r="I9" i="40"/>
  <c r="H10" i="40"/>
  <c r="D6" i="39"/>
  <c r="D5" i="39" s="1"/>
  <c r="AN37" i="1"/>
  <c r="P18" i="7"/>
  <c r="O18" i="7" s="1"/>
  <c r="P18" i="8"/>
  <c r="L18" i="7"/>
  <c r="AQ23" i="1"/>
  <c r="AU26" i="1"/>
  <c r="AU23" i="1" s="1"/>
  <c r="AL23" i="1"/>
  <c r="AO17" i="1"/>
  <c r="AR17" i="1"/>
  <c r="AL17" i="1"/>
  <c r="AO23" i="1"/>
  <c r="AL53" i="1"/>
  <c r="AQ53" i="1"/>
  <c r="E51" i="5"/>
  <c r="AQ11" i="1"/>
  <c r="X39" i="1"/>
  <c r="AA39" i="1"/>
  <c r="AD39" i="1"/>
  <c r="C35" i="5"/>
  <c r="C34" i="5"/>
  <c r="E14" i="39" l="1"/>
  <c r="R53" i="40"/>
  <c r="AA9" i="158"/>
  <c r="AC9" i="158" s="1"/>
  <c r="AE9" i="158"/>
  <c r="AB4" i="158"/>
  <c r="AB6" i="158"/>
  <c r="AB5" i="158"/>
  <c r="M9" i="158"/>
  <c r="V16" i="36"/>
  <c r="U16" i="36" s="1"/>
  <c r="Z16" i="36"/>
  <c r="AE8" i="158"/>
  <c r="AA7" i="158"/>
  <c r="AC7" i="158" s="1"/>
  <c r="AE7" i="158"/>
  <c r="AE27" i="158"/>
  <c r="AE14" i="158"/>
  <c r="AE24" i="158"/>
  <c r="AE20" i="158"/>
  <c r="AE22" i="158"/>
  <c r="AE19" i="158"/>
  <c r="AE16" i="158"/>
  <c r="AE26" i="158"/>
  <c r="AE23" i="158"/>
  <c r="AE13" i="158"/>
  <c r="AE15" i="158"/>
  <c r="AE18" i="158"/>
  <c r="AE25" i="158"/>
  <c r="AE21" i="158"/>
  <c r="AE17" i="158"/>
  <c r="AE12" i="158"/>
  <c r="AE11" i="158"/>
  <c r="AE10" i="158"/>
  <c r="U16" i="158"/>
  <c r="Q16" i="158"/>
  <c r="P16" i="158" s="1"/>
  <c r="X7" i="158"/>
  <c r="X9" i="158"/>
  <c r="T18" i="158"/>
  <c r="O18" i="158" s="1"/>
  <c r="O8" i="158" s="1"/>
  <c r="G42" i="170"/>
  <c r="G10" i="170"/>
  <c r="I10" i="170" s="1"/>
  <c r="I11" i="170"/>
  <c r="N9" i="158"/>
  <c r="N7" i="158"/>
  <c r="Z7" i="158" s="1"/>
  <c r="Z8" i="158"/>
  <c r="F26" i="8"/>
  <c r="O42" i="36"/>
  <c r="N42" i="36" s="1"/>
  <c r="L42" i="36" s="1"/>
  <c r="AE70" i="1"/>
  <c r="S7" i="158"/>
  <c r="Y8" i="158"/>
  <c r="S9" i="158"/>
  <c r="AG8" i="158"/>
  <c r="AB8" i="158"/>
  <c r="AM39" i="1"/>
  <c r="AS39" i="1" s="1"/>
  <c r="AU39" i="1" s="1"/>
  <c r="AD39" i="40" s="1"/>
  <c r="M7" i="36"/>
  <c r="M37" i="36" s="1"/>
  <c r="M9" i="36"/>
  <c r="W39" i="1"/>
  <c r="O18" i="36"/>
  <c r="Y18" i="36"/>
  <c r="Y8" i="36" s="1"/>
  <c r="Y7" i="36" s="1"/>
  <c r="Y37" i="36" s="1"/>
  <c r="AE8" i="36"/>
  <c r="AC8" i="36"/>
  <c r="AF8" i="36"/>
  <c r="AD8" i="36"/>
  <c r="AH9" i="40"/>
  <c r="AG9" i="40"/>
  <c r="AB39" i="40"/>
  <c r="S9" i="36"/>
  <c r="AG74" i="1"/>
  <c r="AH74" i="1"/>
  <c r="U10" i="36"/>
  <c r="AJ72" i="1"/>
  <c r="AJ71" i="1" s="1"/>
  <c r="AI71" i="1"/>
  <c r="AG72" i="1"/>
  <c r="AH72" i="1"/>
  <c r="AF71" i="1"/>
  <c r="AF10" i="1"/>
  <c r="O9" i="40"/>
  <c r="AJ9" i="40"/>
  <c r="AI9" i="40"/>
  <c r="Q9" i="36"/>
  <c r="X7" i="36"/>
  <c r="X9" i="36"/>
  <c r="E12" i="84"/>
  <c r="C18" i="115"/>
  <c r="S41" i="114"/>
  <c r="C18" i="48"/>
  <c r="C33" i="117" s="1"/>
  <c r="C18" i="110"/>
  <c r="K9" i="40"/>
  <c r="K8" i="40" s="1"/>
  <c r="L39" i="40"/>
  <c r="L9" i="40" s="1"/>
  <c r="L8" i="40" s="1"/>
  <c r="J9" i="40"/>
  <c r="J8" i="40" s="1"/>
  <c r="J60" i="40" s="1"/>
  <c r="AW10" i="18"/>
  <c r="P42" i="7"/>
  <c r="S42" i="7" s="1"/>
  <c r="P42" i="8"/>
  <c r="S42" i="8" s="1"/>
  <c r="X37" i="41"/>
  <c r="P41" i="42" s="1"/>
  <c r="S41" i="42" s="1"/>
  <c r="AH36" i="60"/>
  <c r="AV10" i="18"/>
  <c r="BH10" i="18" s="1"/>
  <c r="I18" i="42"/>
  <c r="F11" i="41"/>
  <c r="H11" i="41" s="1"/>
  <c r="G25" i="42"/>
  <c r="F25" i="42" s="1"/>
  <c r="P11" i="60"/>
  <c r="S48" i="60"/>
  <c r="AH39" i="59"/>
  <c r="X39" i="59"/>
  <c r="V9" i="59"/>
  <c r="AQ39" i="59"/>
  <c r="AW39" i="59" s="1"/>
  <c r="BC39" i="59" s="1"/>
  <c r="BI39" i="59" s="1"/>
  <c r="BO39" i="59" s="1"/>
  <c r="AK39" i="59"/>
  <c r="Y39" i="40"/>
  <c r="F14" i="39"/>
  <c r="W53" i="40"/>
  <c r="X53" i="40" s="1"/>
  <c r="M14" i="42" s="1"/>
  <c r="X37" i="40"/>
  <c r="AR32" i="18"/>
  <c r="AU32" i="18" s="1"/>
  <c r="AV32" i="18" s="1"/>
  <c r="AI53" i="59"/>
  <c r="AL53" i="59"/>
  <c r="Z53" i="40"/>
  <c r="AQ37" i="59"/>
  <c r="AJ37" i="59"/>
  <c r="I52" i="40"/>
  <c r="AF52" i="40"/>
  <c r="AU37" i="1"/>
  <c r="AD37" i="40" s="1"/>
  <c r="M10" i="40"/>
  <c r="M65" i="40" s="1"/>
  <c r="M8" i="40"/>
  <c r="AB39" i="59"/>
  <c r="P39" i="40"/>
  <c r="AI39" i="1"/>
  <c r="V18" i="158" s="1"/>
  <c r="Y10" i="59"/>
  <c r="Y66" i="59" s="1"/>
  <c r="Y8" i="59"/>
  <c r="L53" i="40"/>
  <c r="K52" i="40"/>
  <c r="AE39" i="59"/>
  <c r="S39" i="40"/>
  <c r="S17" i="42"/>
  <c r="R17" i="42" s="1"/>
  <c r="BD35" i="18"/>
  <c r="BA35" i="18"/>
  <c r="BB35" i="18"/>
  <c r="AX56" i="59"/>
  <c r="AU56" i="59"/>
  <c r="AV56" i="59"/>
  <c r="AQ123" i="18"/>
  <c r="AS12" i="18"/>
  <c r="AQ87" i="18"/>
  <c r="AV12" i="18"/>
  <c r="AW12" i="18"/>
  <c r="AU12" i="18"/>
  <c r="E6" i="39"/>
  <c r="N10" i="40"/>
  <c r="N8" i="40"/>
  <c r="O8" i="40" s="1"/>
  <c r="N87" i="40"/>
  <c r="N65" i="40"/>
  <c r="N90" i="40"/>
  <c r="AQ105" i="18"/>
  <c r="AQ8" i="18"/>
  <c r="AS11" i="18"/>
  <c r="AQ83" i="18"/>
  <c r="AV11" i="18"/>
  <c r="AU11" i="18"/>
  <c r="AW11" i="18"/>
  <c r="Z8" i="59"/>
  <c r="Z10" i="59"/>
  <c r="AA10" i="59" s="1"/>
  <c r="N6" i="61"/>
  <c r="N5" i="61" s="1"/>
  <c r="U8" i="59"/>
  <c r="T60" i="59"/>
  <c r="U60" i="59" s="1"/>
  <c r="AS10" i="18"/>
  <c r="AR8" i="18"/>
  <c r="AQ205" i="18"/>
  <c r="BF10" i="18"/>
  <c r="AO205" i="18"/>
  <c r="AQ203" i="18"/>
  <c r="AQ202" i="18"/>
  <c r="AR102" i="18"/>
  <c r="AR205" i="18"/>
  <c r="AR82" i="18"/>
  <c r="U10" i="59"/>
  <c r="T66" i="59"/>
  <c r="I8" i="40"/>
  <c r="F6" i="39"/>
  <c r="T8" i="40"/>
  <c r="U9" i="40"/>
  <c r="T10" i="40"/>
  <c r="AA9" i="40"/>
  <c r="H64" i="40"/>
  <c r="I10" i="40"/>
  <c r="M6" i="61"/>
  <c r="M5" i="61" s="1"/>
  <c r="AP9" i="18"/>
  <c r="AP7" i="18"/>
  <c r="O6" i="61"/>
  <c r="AG9" i="59"/>
  <c r="AF8" i="59"/>
  <c r="AM9" i="59"/>
  <c r="AF10" i="59"/>
  <c r="S18" i="8"/>
  <c r="S18" i="7"/>
  <c r="R18" i="7"/>
  <c r="AR23" i="1"/>
  <c r="AR11" i="1"/>
  <c r="AR53" i="1"/>
  <c r="E56" i="5"/>
  <c r="D56" i="5"/>
  <c r="Y60" i="1"/>
  <c r="D11" i="5"/>
  <c r="C11" i="5" s="1"/>
  <c r="AO39" i="1" l="1"/>
  <c r="AN39" i="1" s="1"/>
  <c r="T8" i="158"/>
  <c r="T9" i="158" s="1"/>
  <c r="AC5" i="158"/>
  <c r="AD5" i="158" s="1"/>
  <c r="AC6" i="158"/>
  <c r="AD6" i="158" s="1"/>
  <c r="Z9" i="158"/>
  <c r="AD9" i="158"/>
  <c r="AG9" i="158"/>
  <c r="Y9" i="158"/>
  <c r="AB9" i="158"/>
  <c r="AC4" i="158"/>
  <c r="AD4" i="158" s="1"/>
  <c r="H20" i="114"/>
  <c r="F20" i="114" s="1"/>
  <c r="H13" i="157"/>
  <c r="F13" i="157" s="1"/>
  <c r="AG10" i="40"/>
  <c r="AG20" i="158"/>
  <c r="AG19" i="158"/>
  <c r="AG26" i="158"/>
  <c r="AG23" i="158"/>
  <c r="Y7" i="158"/>
  <c r="AG17" i="158"/>
  <c r="AG24" i="158"/>
  <c r="AG18" i="158"/>
  <c r="AG27" i="158"/>
  <c r="AG7" i="158"/>
  <c r="AG21" i="158"/>
  <c r="AG22" i="158"/>
  <c r="AG13" i="158"/>
  <c r="AG14" i="158"/>
  <c r="AG15" i="158"/>
  <c r="AG25" i="158"/>
  <c r="AG12" i="158"/>
  <c r="AG16" i="158"/>
  <c r="AG10" i="158"/>
  <c r="AG11" i="158"/>
  <c r="F41" i="170"/>
  <c r="I42" i="170"/>
  <c r="G43" i="170"/>
  <c r="J14" i="42"/>
  <c r="Q53" i="40"/>
  <c r="R42" i="36"/>
  <c r="Q42" i="36"/>
  <c r="N18" i="36"/>
  <c r="T18" i="36"/>
  <c r="T8" i="36" s="1"/>
  <c r="T9" i="36" s="1"/>
  <c r="T7" i="158"/>
  <c r="O9" i="158"/>
  <c r="O7" i="158"/>
  <c r="Q18" i="158"/>
  <c r="U18" i="158"/>
  <c r="AD7" i="36"/>
  <c r="AC7" i="36"/>
  <c r="AE9" i="36"/>
  <c r="AC9" i="36"/>
  <c r="AF9" i="36"/>
  <c r="AD9" i="36"/>
  <c r="AG71" i="1"/>
  <c r="AG70" i="1" s="1"/>
  <c r="J6" i="39"/>
  <c r="H6" i="39"/>
  <c r="Y9" i="36"/>
  <c r="AH71" i="1"/>
  <c r="AH70" i="1" s="1"/>
  <c r="AH39" i="1"/>
  <c r="AA18" i="36"/>
  <c r="AF70" i="1"/>
  <c r="AF90" i="1"/>
  <c r="AI90" i="1"/>
  <c r="AI99" i="1" s="1"/>
  <c r="AI100" i="1" s="1"/>
  <c r="AI101" i="1" s="1"/>
  <c r="AI70" i="1"/>
  <c r="AJ90" i="1"/>
  <c r="AJ70" i="1"/>
  <c r="AY10" i="18"/>
  <c r="AH10" i="40"/>
  <c r="V39" i="40"/>
  <c r="V9" i="40" s="1"/>
  <c r="AK9" i="40"/>
  <c r="AI10" i="40"/>
  <c r="AJ10" i="40"/>
  <c r="J10" i="40"/>
  <c r="K10" i="40"/>
  <c r="K65" i="40" s="1"/>
  <c r="C33" i="50"/>
  <c r="C33" i="111"/>
  <c r="AW8" i="18"/>
  <c r="N93" i="40"/>
  <c r="L10" i="40"/>
  <c r="L65" i="40" s="1"/>
  <c r="E9" i="30"/>
  <c r="C9" i="30" s="1"/>
  <c r="Y59" i="59"/>
  <c r="W59" i="59" s="1"/>
  <c r="H21" i="7"/>
  <c r="F21" i="7" s="1"/>
  <c r="H21" i="8"/>
  <c r="F21" i="8" s="1"/>
  <c r="W60" i="1"/>
  <c r="S47" i="60"/>
  <c r="P48" i="60"/>
  <c r="AG13" i="19"/>
  <c r="R11" i="60"/>
  <c r="AV8" i="18"/>
  <c r="AY8" i="18" s="1"/>
  <c r="O10" i="40"/>
  <c r="AU8" i="18"/>
  <c r="V8" i="59"/>
  <c r="V60" i="59" s="1"/>
  <c r="V10" i="59"/>
  <c r="G14" i="42"/>
  <c r="R63" i="40"/>
  <c r="L52" i="40"/>
  <c r="L60" i="40" s="1"/>
  <c r="L14" i="42"/>
  <c r="W39" i="59"/>
  <c r="W9" i="59" s="1"/>
  <c r="X9" i="59"/>
  <c r="R39" i="40"/>
  <c r="P9" i="40"/>
  <c r="G14" i="39"/>
  <c r="AC53" i="40"/>
  <c r="AD53" i="40" s="1"/>
  <c r="P14" i="42" s="1"/>
  <c r="O14" i="42" s="1"/>
  <c r="AD39" i="59"/>
  <c r="AB9" i="59"/>
  <c r="AZ32" i="18"/>
  <c r="AO53" i="59"/>
  <c r="AP37" i="59"/>
  <c r="AW37" i="59"/>
  <c r="Y65" i="59"/>
  <c r="H8" i="42"/>
  <c r="O14" i="61"/>
  <c r="P14" i="61" s="1"/>
  <c r="AJ53" i="59"/>
  <c r="AH9" i="59"/>
  <c r="AJ39" i="59"/>
  <c r="AN39" i="59"/>
  <c r="BB56" i="59"/>
  <c r="BD56" i="59"/>
  <c r="BA56" i="59"/>
  <c r="BH35" i="18"/>
  <c r="BJ35" i="18"/>
  <c r="BG35" i="18"/>
  <c r="AA8" i="59"/>
  <c r="AY12" i="18"/>
  <c r="BH12" i="18"/>
  <c r="AR95" i="18"/>
  <c r="AV87" i="18"/>
  <c r="AY87" i="18" s="1"/>
  <c r="AQ95" i="18"/>
  <c r="AQ124" i="18"/>
  <c r="AV123" i="18"/>
  <c r="AY123" i="18" s="1"/>
  <c r="BE123" i="18" s="1"/>
  <c r="BH123" i="18" s="1"/>
  <c r="AR124" i="18"/>
  <c r="AQ153" i="18"/>
  <c r="AQ152" i="18"/>
  <c r="AQ66" i="18"/>
  <c r="AQ9" i="18"/>
  <c r="AQ7" i="18"/>
  <c r="AQ46" i="18" s="1"/>
  <c r="AQ106" i="18"/>
  <c r="AV105" i="18"/>
  <c r="AY105" i="18" s="1"/>
  <c r="BE105" i="18" s="1"/>
  <c r="BH105" i="18" s="1"/>
  <c r="AR106" i="18"/>
  <c r="AQ99" i="18"/>
  <c r="N63" i="40"/>
  <c r="E5" i="39"/>
  <c r="BH11" i="18"/>
  <c r="AY11" i="18"/>
  <c r="AV83" i="18"/>
  <c r="AY83" i="18" s="1"/>
  <c r="AQ81" i="18"/>
  <c r="AQ93" i="18" s="1"/>
  <c r="U8" i="40"/>
  <c r="AA8" i="40"/>
  <c r="AG10" i="59"/>
  <c r="AM10" i="59"/>
  <c r="AP39" i="18"/>
  <c r="AP63" i="18"/>
  <c r="AP46" i="18"/>
  <c r="AV82" i="18"/>
  <c r="AR81" i="18"/>
  <c r="AR153" i="18"/>
  <c r="AR152" i="18"/>
  <c r="BF8" i="18"/>
  <c r="AR7" i="18"/>
  <c r="AZ153" i="18"/>
  <c r="AR9" i="18"/>
  <c r="AR66" i="18"/>
  <c r="AS8" i="18"/>
  <c r="AG8" i="59"/>
  <c r="AM8" i="59"/>
  <c r="K64" i="40"/>
  <c r="M67" i="40"/>
  <c r="D10" i="39"/>
  <c r="K63" i="40"/>
  <c r="AR99" i="18"/>
  <c r="AZ103" i="18"/>
  <c r="BF103" i="18" s="1"/>
  <c r="AR103" i="18"/>
  <c r="AW103" i="18" s="1"/>
  <c r="AV102" i="18"/>
  <c r="G8" i="42"/>
  <c r="L67" i="40"/>
  <c r="K6" i="39"/>
  <c r="F5" i="39"/>
  <c r="L6" i="39"/>
  <c r="P6" i="61"/>
  <c r="O5" i="61"/>
  <c r="P5" i="61" s="1"/>
  <c r="U10" i="40"/>
  <c r="AA10" i="40"/>
  <c r="AT39" i="1"/>
  <c r="AS9" i="1"/>
  <c r="AD60" i="1"/>
  <c r="C56" i="5"/>
  <c r="P45" i="1"/>
  <c r="M41" i="1"/>
  <c r="T7" i="36" l="1"/>
  <c r="T37" i="36" s="1"/>
  <c r="H43" i="170"/>
  <c r="J43" i="170" s="1"/>
  <c r="I43" i="170"/>
  <c r="I14" i="42"/>
  <c r="J50" i="42"/>
  <c r="H41" i="170"/>
  <c r="J41" i="170" s="1"/>
  <c r="AG90" i="1"/>
  <c r="AH90" i="1"/>
  <c r="P18" i="158"/>
  <c r="V18" i="36"/>
  <c r="Z18" i="36"/>
  <c r="AJ99" i="1"/>
  <c r="AJ100" i="1" s="1"/>
  <c r="AJ101" i="1" s="1"/>
  <c r="AJ102" i="1" s="1"/>
  <c r="AJ91" i="1"/>
  <c r="X39" i="40"/>
  <c r="W39" i="40" s="1"/>
  <c r="W9" i="40" s="1"/>
  <c r="W10" i="40" s="1"/>
  <c r="M6" i="39"/>
  <c r="AK10" i="40"/>
  <c r="D17" i="84"/>
  <c r="D38" i="84" s="1"/>
  <c r="D36" i="84" s="1"/>
  <c r="D16" i="85"/>
  <c r="G16" i="85" s="1"/>
  <c r="AW95" i="18"/>
  <c r="R14" i="42"/>
  <c r="BH8" i="18"/>
  <c r="AW9" i="18"/>
  <c r="AU7" i="18"/>
  <c r="AW153" i="18"/>
  <c r="AW106" i="18"/>
  <c r="Q14" i="61"/>
  <c r="V14" i="61" s="1"/>
  <c r="AP53" i="59"/>
  <c r="X8" i="59"/>
  <c r="X10" i="59"/>
  <c r="X74" i="59"/>
  <c r="AI39" i="59"/>
  <c r="AI9" i="59" s="1"/>
  <c r="H12" i="42"/>
  <c r="W8" i="42"/>
  <c r="W14" i="42" s="1"/>
  <c r="W21" i="42" s="1"/>
  <c r="W30" i="42" s="1"/>
  <c r="W10" i="59"/>
  <c r="W8" i="59"/>
  <c r="AH10" i="59"/>
  <c r="AH8" i="59"/>
  <c r="AH60" i="59" s="1"/>
  <c r="AB8" i="59"/>
  <c r="AB60" i="59" s="1"/>
  <c r="AB10" i="59"/>
  <c r="AC39" i="59"/>
  <c r="AC9" i="59" s="1"/>
  <c r="S14" i="42"/>
  <c r="Q39" i="40"/>
  <c r="Q9" i="40" s="1"/>
  <c r="V10" i="40"/>
  <c r="V8" i="40"/>
  <c r="V60" i="40" s="1"/>
  <c r="BC37" i="59"/>
  <c r="AV37" i="59"/>
  <c r="H14" i="39"/>
  <c r="AP39" i="59"/>
  <c r="AO39" i="59" s="1"/>
  <c r="AO9" i="59" s="1"/>
  <c r="AT39" i="59"/>
  <c r="AN9" i="59"/>
  <c r="AB9" i="40"/>
  <c r="P10" i="40"/>
  <c r="P8" i="40"/>
  <c r="F14" i="42"/>
  <c r="G13" i="42"/>
  <c r="F13" i="42" s="1"/>
  <c r="BN35" i="18"/>
  <c r="BM35" i="18"/>
  <c r="BJ56" i="59"/>
  <c r="BG56" i="59"/>
  <c r="BH56" i="59"/>
  <c r="AV9" i="18"/>
  <c r="BH9" i="18" s="1"/>
  <c r="AW7" i="18"/>
  <c r="AV152" i="18"/>
  <c r="AY152" i="18" s="1"/>
  <c r="BE152" i="18" s="1"/>
  <c r="AU9" i="18"/>
  <c r="AW124" i="18"/>
  <c r="AQ63" i="18"/>
  <c r="AQ76" i="18" s="1"/>
  <c r="AQ61" i="18"/>
  <c r="AQ92" i="18"/>
  <c r="AQ45" i="18"/>
  <c r="AQ151" i="18"/>
  <c r="AQ96" i="18"/>
  <c r="AQ101" i="18" s="1"/>
  <c r="AQ80" i="18"/>
  <c r="AQ60" i="18"/>
  <c r="AQ154" i="18"/>
  <c r="AQ155" i="18"/>
  <c r="AQ62" i="18"/>
  <c r="AQ70" i="18"/>
  <c r="AQ67" i="18"/>
  <c r="AQ100" i="18"/>
  <c r="AV7" i="18"/>
  <c r="AX8" i="18" s="1"/>
  <c r="AS7" i="18"/>
  <c r="AS9" i="18"/>
  <c r="AY102" i="18"/>
  <c r="BE102" i="18" s="1"/>
  <c r="AR93" i="18"/>
  <c r="AW93" i="18" s="1"/>
  <c r="AZ93" i="18"/>
  <c r="BF93" i="18" s="1"/>
  <c r="AV81" i="18"/>
  <c r="AZ67" i="18"/>
  <c r="BF67" i="18" s="1"/>
  <c r="AR67" i="18"/>
  <c r="AV66" i="18"/>
  <c r="AY82" i="18"/>
  <c r="AR154" i="18"/>
  <c r="AR62" i="18"/>
  <c r="AZ155" i="18"/>
  <c r="AR70" i="18"/>
  <c r="BF9" i="18"/>
  <c r="AZ62" i="18"/>
  <c r="BF62" i="18" s="1"/>
  <c r="AR155" i="18"/>
  <c r="V8" i="42"/>
  <c r="G12" i="42"/>
  <c r="F8" i="42"/>
  <c r="AV99" i="18"/>
  <c r="BH99" i="18" s="1"/>
  <c r="AZ100" i="18"/>
  <c r="BF100" i="18" s="1"/>
  <c r="AR100" i="18"/>
  <c r="K5" i="39"/>
  <c r="L5" i="39"/>
  <c r="H5" i="39"/>
  <c r="AR92" i="18"/>
  <c r="AZ92" i="18"/>
  <c r="BF92" i="18" s="1"/>
  <c r="AZ61" i="18"/>
  <c r="BF61" i="18" s="1"/>
  <c r="BF7" i="18"/>
  <c r="AR46" i="18"/>
  <c r="AW46" i="18" s="1"/>
  <c r="AZ151" i="18"/>
  <c r="BF151" i="18" s="1"/>
  <c r="AR80" i="18"/>
  <c r="AR89" i="18" s="1"/>
  <c r="AR45" i="18"/>
  <c r="AR151" i="18"/>
  <c r="AR96" i="18"/>
  <c r="AR61" i="18"/>
  <c r="AR63" i="18"/>
  <c r="AR60" i="18"/>
  <c r="AP64" i="18"/>
  <c r="AS10" i="1"/>
  <c r="AS8" i="1"/>
  <c r="AN60" i="1"/>
  <c r="Q45" i="1"/>
  <c r="O45" i="1"/>
  <c r="I45" i="1"/>
  <c r="J45" i="1"/>
  <c r="K45" i="1" s="1"/>
  <c r="L45" i="1" s="1"/>
  <c r="J44" i="1"/>
  <c r="K44" i="1" s="1"/>
  <c r="L44" i="1" s="1"/>
  <c r="O44" i="1"/>
  <c r="I44" i="1"/>
  <c r="P26" i="1"/>
  <c r="J26" i="1"/>
  <c r="K26" i="1" s="1"/>
  <c r="L26" i="1" s="1"/>
  <c r="E60" i="1"/>
  <c r="E44" i="1"/>
  <c r="D49" i="170" s="1"/>
  <c r="U17" i="1"/>
  <c r="AC39" i="40" l="1"/>
  <c r="AC9" i="40" s="1"/>
  <c r="AC8" i="40" s="1"/>
  <c r="U18" i="36"/>
  <c r="G5" i="42"/>
  <c r="W8" i="40"/>
  <c r="F10" i="39" s="1"/>
  <c r="AB44" i="1"/>
  <c r="F17" i="84"/>
  <c r="C16" i="85"/>
  <c r="AW61" i="18"/>
  <c r="AV63" i="18"/>
  <c r="AQ64" i="18"/>
  <c r="AW100" i="18"/>
  <c r="AW155" i="18"/>
  <c r="AY9" i="18"/>
  <c r="AW92" i="18"/>
  <c r="AW62" i="18"/>
  <c r="F12" i="42"/>
  <c r="AX25" i="18"/>
  <c r="AT9" i="18"/>
  <c r="AX13" i="18"/>
  <c r="AX12" i="18"/>
  <c r="AV154" i="18"/>
  <c r="AX17" i="18"/>
  <c r="AX10" i="18"/>
  <c r="AX23" i="18"/>
  <c r="AX21" i="18"/>
  <c r="AX7" i="18"/>
  <c r="AX19" i="18"/>
  <c r="M10" i="61"/>
  <c r="AA2" i="59"/>
  <c r="AC8" i="59"/>
  <c r="AC10" i="59"/>
  <c r="X68" i="59"/>
  <c r="X66" i="59"/>
  <c r="AB10" i="40"/>
  <c r="AB8" i="40"/>
  <c r="AB60" i="40" s="1"/>
  <c r="X69" i="59"/>
  <c r="X72" i="59" s="1"/>
  <c r="W73" i="59" s="1"/>
  <c r="X60" i="59"/>
  <c r="X65" i="59"/>
  <c r="P60" i="40"/>
  <c r="P63" i="40"/>
  <c r="BI37" i="59"/>
  <c r="BB37" i="59"/>
  <c r="AN8" i="59"/>
  <c r="AN60" i="59" s="1"/>
  <c r="AN10" i="59"/>
  <c r="AO10" i="59"/>
  <c r="AO8" i="59"/>
  <c r="Q10" i="61" s="1"/>
  <c r="AZ39" i="59"/>
  <c r="AV39" i="59"/>
  <c r="AU39" i="59" s="1"/>
  <c r="AU9" i="59" s="1"/>
  <c r="AT9" i="59"/>
  <c r="Q8" i="40"/>
  <c r="Q10" i="40"/>
  <c r="AI8" i="59"/>
  <c r="AI10" i="59"/>
  <c r="BN56" i="59"/>
  <c r="BM56" i="59"/>
  <c r="AX27" i="18"/>
  <c r="AX26" i="18"/>
  <c r="AV45" i="18"/>
  <c r="AX24" i="18"/>
  <c r="AX16" i="18"/>
  <c r="AX11" i="18"/>
  <c r="AW67" i="18"/>
  <c r="AQ68" i="18"/>
  <c r="AQ89" i="18"/>
  <c r="AX89" i="18" s="1"/>
  <c r="AQ86" i="18"/>
  <c r="AQ88" i="18"/>
  <c r="AQ91" i="18"/>
  <c r="AQ110" i="18"/>
  <c r="AQ119" i="18"/>
  <c r="AQ126" i="18"/>
  <c r="AQ144" i="18"/>
  <c r="AQ113" i="18"/>
  <c r="AQ141" i="18"/>
  <c r="AQ147" i="18"/>
  <c r="AQ122" i="18"/>
  <c r="AQ135" i="18"/>
  <c r="AQ150" i="18"/>
  <c r="AQ116" i="18"/>
  <c r="AQ97" i="18"/>
  <c r="AQ132" i="18"/>
  <c r="AQ104" i="18"/>
  <c r="AQ138" i="18"/>
  <c r="AQ125" i="18"/>
  <c r="AQ107" i="18"/>
  <c r="AQ71" i="18"/>
  <c r="AQ72" i="18"/>
  <c r="AX28" i="18"/>
  <c r="AX18" i="18"/>
  <c r="AY7" i="18"/>
  <c r="AX9" i="18"/>
  <c r="AX14" i="18"/>
  <c r="BH7" i="18"/>
  <c r="AX20" i="18"/>
  <c r="U8" i="42"/>
  <c r="V14" i="42"/>
  <c r="AV46" i="18"/>
  <c r="AY81" i="18"/>
  <c r="AR68" i="18"/>
  <c r="AR76" i="18"/>
  <c r="AZ64" i="18"/>
  <c r="BF64" i="18" s="1"/>
  <c r="AR64" i="18"/>
  <c r="AR88" i="18"/>
  <c r="AR86" i="18"/>
  <c r="AV80" i="18"/>
  <c r="AR91" i="18"/>
  <c r="AR101" i="18"/>
  <c r="AV96" i="18"/>
  <c r="AR122" i="18"/>
  <c r="AR110" i="18"/>
  <c r="AZ97" i="18"/>
  <c r="BF97" i="18" s="1"/>
  <c r="AR150" i="18"/>
  <c r="AR147" i="18"/>
  <c r="AR125" i="18"/>
  <c r="AR144" i="18"/>
  <c r="AR107" i="18"/>
  <c r="AR113" i="18"/>
  <c r="AR132" i="18"/>
  <c r="AR141" i="18"/>
  <c r="AR119" i="18"/>
  <c r="AR116" i="18"/>
  <c r="AR126" i="18"/>
  <c r="AR135" i="18"/>
  <c r="AR97" i="18"/>
  <c r="AR138" i="18"/>
  <c r="AR104" i="18"/>
  <c r="AZ71" i="18"/>
  <c r="BF71" i="18" s="1"/>
  <c r="AV70" i="18"/>
  <c r="AR71" i="18"/>
  <c r="AR72" i="18"/>
  <c r="BH102" i="18"/>
  <c r="AT8" i="18"/>
  <c r="AT17" i="18"/>
  <c r="AT28" i="18"/>
  <c r="AT26" i="18"/>
  <c r="AT27" i="18"/>
  <c r="AT14" i="18"/>
  <c r="AT24" i="18"/>
  <c r="AT7" i="18"/>
  <c r="AT12" i="18"/>
  <c r="AT22" i="18"/>
  <c r="AT21" i="18"/>
  <c r="AT18" i="18"/>
  <c r="AT16" i="18"/>
  <c r="AT11" i="18"/>
  <c r="AT15" i="18"/>
  <c r="AT13" i="18"/>
  <c r="AT23" i="18"/>
  <c r="AT20" i="18"/>
  <c r="AT25" i="18"/>
  <c r="AT19" i="18"/>
  <c r="AT10" i="18"/>
  <c r="D12" i="5"/>
  <c r="V45" i="1"/>
  <c r="Q44" i="1"/>
  <c r="V44" i="1"/>
  <c r="AA44" i="1" s="1"/>
  <c r="Q26" i="1"/>
  <c r="V26" i="1"/>
  <c r="AA26" i="1" s="1"/>
  <c r="AM26" i="1" s="1"/>
  <c r="AA38" i="1"/>
  <c r="R45" i="1"/>
  <c r="AC10" i="40" l="1"/>
  <c r="G10" i="39"/>
  <c r="G11" i="39" s="1"/>
  <c r="AW64" i="18"/>
  <c r="AW71" i="18"/>
  <c r="AX91" i="18"/>
  <c r="F11" i="39"/>
  <c r="AW97" i="18"/>
  <c r="AX88" i="18"/>
  <c r="AZ9" i="59"/>
  <c r="BF39" i="59"/>
  <c r="BB39" i="59"/>
  <c r="BA39" i="59" s="1"/>
  <c r="BA9" i="59" s="1"/>
  <c r="V10" i="61"/>
  <c r="Q11" i="61"/>
  <c r="V11" i="61" s="1"/>
  <c r="BO37" i="59"/>
  <c r="BH37" i="59"/>
  <c r="O10" i="61"/>
  <c r="AI69" i="59"/>
  <c r="AI103" i="59"/>
  <c r="AI104" i="59" s="1"/>
  <c r="AC3" i="59"/>
  <c r="AB2" i="59"/>
  <c r="M11" i="61"/>
  <c r="M9" i="61"/>
  <c r="M8" i="61" s="1"/>
  <c r="AC2" i="59"/>
  <c r="N10" i="61"/>
  <c r="AC103" i="59"/>
  <c r="AC104" i="59" s="1"/>
  <c r="AC69" i="59"/>
  <c r="AU10" i="59"/>
  <c r="AU8" i="59"/>
  <c r="Q92" i="40"/>
  <c r="Q74" i="40"/>
  <c r="E10" i="39"/>
  <c r="Q66" i="40"/>
  <c r="Q67" i="40" s="1"/>
  <c r="Q63" i="40"/>
  <c r="AT8" i="59"/>
  <c r="AT60" i="59" s="1"/>
  <c r="AT10" i="59"/>
  <c r="AQ94" i="18"/>
  <c r="AQ90" i="18"/>
  <c r="AQ128" i="18"/>
  <c r="AQ127" i="18"/>
  <c r="AV86" i="18"/>
  <c r="AZ94" i="18"/>
  <c r="BF94" i="18" s="1"/>
  <c r="AR94" i="18"/>
  <c r="AR90" i="18"/>
  <c r="U14" i="42"/>
  <c r="V21" i="42"/>
  <c r="U21" i="42" s="1"/>
  <c r="AX123" i="18"/>
  <c r="AX120" i="18"/>
  <c r="AX114" i="18"/>
  <c r="AX145" i="18"/>
  <c r="AX111" i="18"/>
  <c r="AX117" i="18"/>
  <c r="AX96" i="18"/>
  <c r="AX136" i="18"/>
  <c r="AY96" i="18"/>
  <c r="BE96" i="18" s="1"/>
  <c r="AX108" i="18"/>
  <c r="AX105" i="18"/>
  <c r="AX139" i="18"/>
  <c r="AX142" i="18"/>
  <c r="AX148" i="18"/>
  <c r="AX133" i="18"/>
  <c r="AX102" i="18"/>
  <c r="AV126" i="18"/>
  <c r="AR127" i="18"/>
  <c r="AZ127" i="18"/>
  <c r="BF127" i="18" s="1"/>
  <c r="AR128" i="18"/>
  <c r="AX85" i="18"/>
  <c r="AX87" i="18"/>
  <c r="AY80" i="18"/>
  <c r="AX83" i="18"/>
  <c r="AX80" i="18"/>
  <c r="AX84" i="18"/>
  <c r="AX82" i="18"/>
  <c r="AX81" i="18"/>
  <c r="AA45" i="1"/>
  <c r="C12" i="5"/>
  <c r="H60" i="1"/>
  <c r="R60" i="1"/>
  <c r="D19" i="6" s="1"/>
  <c r="R26" i="1"/>
  <c r="R44" i="1"/>
  <c r="H10" i="39" l="1"/>
  <c r="AW94" i="18"/>
  <c r="AX90" i="18"/>
  <c r="BN37" i="59"/>
  <c r="O11" i="61"/>
  <c r="P10" i="61"/>
  <c r="E11" i="39"/>
  <c r="H11" i="39" s="1"/>
  <c r="N11" i="61"/>
  <c r="BA8" i="59"/>
  <c r="BA10" i="59"/>
  <c r="BL39" i="59"/>
  <c r="BH39" i="59"/>
  <c r="BG39" i="59" s="1"/>
  <c r="BG9" i="59" s="1"/>
  <c r="BF9" i="59"/>
  <c r="R66" i="40"/>
  <c r="AZ10" i="59"/>
  <c r="AZ8" i="59"/>
  <c r="AZ60" i="59" s="1"/>
  <c r="AW127" i="18"/>
  <c r="V30" i="42"/>
  <c r="U30" i="42" s="1"/>
  <c r="BG114" i="18"/>
  <c r="BG120" i="18"/>
  <c r="BG142" i="18"/>
  <c r="BG123" i="18"/>
  <c r="BG133" i="18"/>
  <c r="BG117" i="18"/>
  <c r="BG99" i="18"/>
  <c r="BG130" i="18"/>
  <c r="BG108" i="18"/>
  <c r="BG148" i="18"/>
  <c r="BG136" i="18"/>
  <c r="BG96" i="18"/>
  <c r="BG111" i="18"/>
  <c r="BH96" i="18"/>
  <c r="BG105" i="18"/>
  <c r="BG139" i="18"/>
  <c r="BG145" i="18"/>
  <c r="BG102" i="18"/>
  <c r="AY126" i="18"/>
  <c r="BE126" i="18" s="1"/>
  <c r="AX126" i="18"/>
  <c r="AY86" i="18"/>
  <c r="AX86" i="18"/>
  <c r="AV26" i="1"/>
  <c r="AN26" i="1"/>
  <c r="AG13" i="2"/>
  <c r="C19" i="6"/>
  <c r="N60" i="1"/>
  <c r="I39" i="2"/>
  <c r="K60" i="1"/>
  <c r="D19" i="5"/>
  <c r="Q60" i="1"/>
  <c r="J34" i="2"/>
  <c r="N27" i="114" l="1"/>
  <c r="T27" i="114" s="1"/>
  <c r="N28" i="8"/>
  <c r="L28" i="8" s="1"/>
  <c r="T13" i="41"/>
  <c r="P11" i="61"/>
  <c r="BF8" i="59"/>
  <c r="BF60" i="59" s="1"/>
  <c r="BF10" i="59"/>
  <c r="BG8" i="59"/>
  <c r="BG10" i="59"/>
  <c r="BN39" i="59"/>
  <c r="BM39" i="59" s="1"/>
  <c r="BM9" i="59" s="1"/>
  <c r="BL9" i="59"/>
  <c r="AD13" i="60"/>
  <c r="Z13" i="60" s="1"/>
  <c r="AI15" i="19" s="1"/>
  <c r="AJ15" i="19" s="1"/>
  <c r="BH126" i="18"/>
  <c r="BG126" i="18"/>
  <c r="N28" i="7"/>
  <c r="L28" i="7" s="1"/>
  <c r="AC13" i="2"/>
  <c r="AT44" i="1"/>
  <c r="AN44" i="1"/>
  <c r="Z60" i="1"/>
  <c r="AT60" i="1"/>
  <c r="C19" i="5"/>
  <c r="F39" i="2"/>
  <c r="D39" i="6"/>
  <c r="C39" i="6" s="1"/>
  <c r="D33" i="6"/>
  <c r="C33" i="6" s="1"/>
  <c r="N39" i="2"/>
  <c r="D39" i="5"/>
  <c r="C39" i="5" s="1"/>
  <c r="D33" i="5"/>
  <c r="U60" i="1"/>
  <c r="AB60" i="1"/>
  <c r="E38" i="5"/>
  <c r="C38" i="5" s="1"/>
  <c r="E38" i="6"/>
  <c r="C38" i="6" s="1"/>
  <c r="O34" i="2"/>
  <c r="E59" i="6" s="1"/>
  <c r="D59" i="6"/>
  <c r="Z37" i="2"/>
  <c r="C34" i="2"/>
  <c r="C32" i="2"/>
  <c r="C30" i="2"/>
  <c r="C29" i="2"/>
  <c r="T130" i="2" s="1"/>
  <c r="C28" i="2"/>
  <c r="C27" i="2"/>
  <c r="C26" i="2"/>
  <c r="C25" i="2"/>
  <c r="C24" i="2"/>
  <c r="C23" i="2"/>
  <c r="C22" i="2"/>
  <c r="C21" i="2"/>
  <c r="C20" i="2"/>
  <c r="E10" i="164" s="1"/>
  <c r="C19" i="2"/>
  <c r="C17" i="2"/>
  <c r="C16" i="2"/>
  <c r="L27" i="114" l="1"/>
  <c r="R27" i="114" s="1"/>
  <c r="X44" i="2"/>
  <c r="X43" i="2"/>
  <c r="H12" i="43"/>
  <c r="F12" i="43" s="1"/>
  <c r="K12" i="43"/>
  <c r="I12" i="43" s="1"/>
  <c r="C26" i="39"/>
  <c r="C25" i="84"/>
  <c r="C22" i="84"/>
  <c r="F22" i="84" s="1"/>
  <c r="C27" i="84"/>
  <c r="C23" i="84"/>
  <c r="BL8" i="59"/>
  <c r="BL60" i="59" s="1"/>
  <c r="BL10" i="59"/>
  <c r="BM10" i="59"/>
  <c r="BM8" i="59"/>
  <c r="N27" i="42"/>
  <c r="P13" i="41"/>
  <c r="AN15" i="19"/>
  <c r="AX15" i="19"/>
  <c r="AC134" i="2"/>
  <c r="AH134" i="2"/>
  <c r="AE13" i="2"/>
  <c r="T28" i="7"/>
  <c r="R28" i="7"/>
  <c r="R28" i="8"/>
  <c r="T28" i="8"/>
  <c r="Z29" i="2"/>
  <c r="H30" i="2"/>
  <c r="C59" i="6"/>
  <c r="C18" i="2"/>
  <c r="C15" i="2" s="1"/>
  <c r="E6" i="164" s="1"/>
  <c r="E9" i="164" s="1"/>
  <c r="AZ39" i="2"/>
  <c r="BJ39" i="2"/>
  <c r="BF39" i="2"/>
  <c r="BD39" i="2"/>
  <c r="BH39" i="2"/>
  <c r="BB39" i="2"/>
  <c r="S39" i="2"/>
  <c r="G30" i="157" s="1"/>
  <c r="F30" i="157" s="1"/>
  <c r="D60" i="6"/>
  <c r="C60" i="6" s="1"/>
  <c r="D54" i="5"/>
  <c r="C54" i="5" s="1"/>
  <c r="K39" i="2"/>
  <c r="D60" i="5"/>
  <c r="C60" i="5" s="1"/>
  <c r="D54" i="6"/>
  <c r="C54" i="6" s="1"/>
  <c r="F155" i="2"/>
  <c r="I37" i="2"/>
  <c r="D32" i="6" s="1"/>
  <c r="C32" i="6" s="1"/>
  <c r="D59" i="5"/>
  <c r="S34" i="2"/>
  <c r="G29" i="157" s="1"/>
  <c r="E59" i="5"/>
  <c r="T34" i="2"/>
  <c r="F41" i="1"/>
  <c r="G33" i="1"/>
  <c r="G30" i="1"/>
  <c r="AD30" i="1" s="1"/>
  <c r="G29" i="1"/>
  <c r="AD29" i="1" s="1"/>
  <c r="E12" i="164" l="1"/>
  <c r="H38" i="114"/>
  <c r="H29" i="157"/>
  <c r="F29" i="157" s="1"/>
  <c r="L27" i="42"/>
  <c r="T67" i="1"/>
  <c r="AA44" i="2"/>
  <c r="C21" i="84"/>
  <c r="D26" i="30"/>
  <c r="C26" i="30" s="1"/>
  <c r="G43" i="114"/>
  <c r="D25" i="30"/>
  <c r="G38" i="114"/>
  <c r="E25" i="30"/>
  <c r="T33" i="60"/>
  <c r="T68" i="60" s="1"/>
  <c r="J34" i="41"/>
  <c r="H38" i="42" s="1"/>
  <c r="S38" i="60"/>
  <c r="I39" i="41"/>
  <c r="S33" i="60"/>
  <c r="I34" i="41"/>
  <c r="R27" i="42"/>
  <c r="T27" i="42"/>
  <c r="W34" i="2"/>
  <c r="H39" i="7"/>
  <c r="H39" i="8"/>
  <c r="P55" i="36" s="1"/>
  <c r="G44" i="7"/>
  <c r="P39" i="2"/>
  <c r="G44" i="8"/>
  <c r="P34" i="2"/>
  <c r="G39" i="7"/>
  <c r="G39" i="8"/>
  <c r="O55" i="36" s="1"/>
  <c r="N55" i="36" s="1"/>
  <c r="L55" i="36" s="1"/>
  <c r="V34" i="2"/>
  <c r="AF34" i="2" s="1"/>
  <c r="AH34" i="2" s="1"/>
  <c r="AK34" i="2" s="1"/>
  <c r="V39" i="2"/>
  <c r="C59" i="5"/>
  <c r="N37" i="2"/>
  <c r="D53" i="6" s="1"/>
  <c r="C53" i="6" s="1"/>
  <c r="D32" i="5"/>
  <c r="C32" i="5" s="1"/>
  <c r="F38" i="114" l="1"/>
  <c r="Z44" i="2"/>
  <c r="F44" i="8"/>
  <c r="O60" i="36"/>
  <c r="N60" i="36" s="1"/>
  <c r="L60" i="36" s="1"/>
  <c r="R55" i="36"/>
  <c r="P38" i="114"/>
  <c r="O38" i="114" s="1"/>
  <c r="AH33" i="60"/>
  <c r="AE33" i="60" s="1"/>
  <c r="X34" i="41"/>
  <c r="P39" i="8"/>
  <c r="O39" i="8" s="1"/>
  <c r="P39" i="7"/>
  <c r="O39" i="7" s="1"/>
  <c r="C25" i="30"/>
  <c r="D27" i="84"/>
  <c r="D31" i="84"/>
  <c r="D34" i="84" s="1"/>
  <c r="D33" i="84" s="1"/>
  <c r="F43" i="114"/>
  <c r="F34" i="41"/>
  <c r="D30" i="39" s="1"/>
  <c r="G38" i="42"/>
  <c r="F38" i="42" s="1"/>
  <c r="I43" i="41"/>
  <c r="P33" i="60"/>
  <c r="S68" i="60"/>
  <c r="G43" i="42"/>
  <c r="F43" i="42" s="1"/>
  <c r="F39" i="41"/>
  <c r="D35" i="39" s="1"/>
  <c r="F39" i="7"/>
  <c r="S72" i="60"/>
  <c r="P38" i="60"/>
  <c r="F44" i="7"/>
  <c r="F39" i="8"/>
  <c r="S37" i="2"/>
  <c r="G23" i="157" s="1"/>
  <c r="F23" i="157" s="1"/>
  <c r="K37" i="2"/>
  <c r="D53" i="5"/>
  <c r="C53" i="5" s="1"/>
  <c r="K51" i="1"/>
  <c r="K50" i="1"/>
  <c r="Q51" i="1"/>
  <c r="Q50" i="1"/>
  <c r="P51" i="1"/>
  <c r="P50" i="1"/>
  <c r="R48" i="1"/>
  <c r="N12" i="2" s="1"/>
  <c r="Q48" i="1"/>
  <c r="K48" i="1"/>
  <c r="L48" i="1"/>
  <c r="I12" i="2" s="1"/>
  <c r="I48" i="1"/>
  <c r="O12" i="2"/>
  <c r="J12" i="2"/>
  <c r="AC60" i="36" l="1"/>
  <c r="AD60" i="36"/>
  <c r="Q60" i="36"/>
  <c r="R60" i="36"/>
  <c r="P38" i="42"/>
  <c r="O38" i="42" s="1"/>
  <c r="U34" i="41"/>
  <c r="G30" i="39" s="1"/>
  <c r="Q30" i="61"/>
  <c r="V30" i="61" s="1"/>
  <c r="AO35" i="19"/>
  <c r="AT35" i="19" s="1"/>
  <c r="W51" i="1"/>
  <c r="AI51" i="1" s="1"/>
  <c r="AO51" i="1" s="1"/>
  <c r="AU51" i="1" s="1"/>
  <c r="D19" i="30"/>
  <c r="C19" i="30" s="1"/>
  <c r="G41" i="114"/>
  <c r="F41" i="114" s="1"/>
  <c r="M30" i="61"/>
  <c r="AG35" i="19"/>
  <c r="R33" i="60"/>
  <c r="S36" i="60"/>
  <c r="I37" i="41"/>
  <c r="AG41" i="19"/>
  <c r="AJ41" i="19" s="1"/>
  <c r="M35" i="61"/>
  <c r="P35" i="61" s="1"/>
  <c r="R38" i="60"/>
  <c r="W50" i="1"/>
  <c r="AI50" i="1" s="1"/>
  <c r="AO50" i="1" s="1"/>
  <c r="AU50" i="1" s="1"/>
  <c r="G42" i="7"/>
  <c r="F42" i="7" s="1"/>
  <c r="P37" i="2"/>
  <c r="G42" i="8"/>
  <c r="V37" i="2"/>
  <c r="E46" i="6"/>
  <c r="E25" i="5"/>
  <c r="E25" i="6"/>
  <c r="D46" i="6"/>
  <c r="D16" i="6"/>
  <c r="C16" i="6" s="1"/>
  <c r="D25" i="6"/>
  <c r="D9" i="6"/>
  <c r="C9" i="6" s="1"/>
  <c r="E46" i="5"/>
  <c r="T12" i="2"/>
  <c r="H18" i="157" s="1"/>
  <c r="F18" i="157" s="1"/>
  <c r="D44" i="5"/>
  <c r="S10" i="2"/>
  <c r="G16" i="157" s="1"/>
  <c r="D16" i="5"/>
  <c r="C16" i="5" s="1"/>
  <c r="D9" i="5"/>
  <c r="C9" i="5" s="1"/>
  <c r="F16" i="2"/>
  <c r="BJ16" i="2" s="1"/>
  <c r="C12" i="2"/>
  <c r="S49" i="1"/>
  <c r="R49" i="1"/>
  <c r="Q49" i="1"/>
  <c r="P49" i="1"/>
  <c r="N49" i="1"/>
  <c r="M49" i="1"/>
  <c r="L49" i="1"/>
  <c r="K49" i="1"/>
  <c r="F53" i="1"/>
  <c r="H29" i="36" s="1"/>
  <c r="G29" i="36" s="1"/>
  <c r="E29" i="36" s="1"/>
  <c r="E26" i="1"/>
  <c r="D27" i="170" s="1"/>
  <c r="D17" i="1"/>
  <c r="AA17" i="1" s="1"/>
  <c r="D28" i="1"/>
  <c r="D23" i="1"/>
  <c r="AA23" i="1" s="1"/>
  <c r="D51" i="1"/>
  <c r="G49" i="1"/>
  <c r="F49" i="1"/>
  <c r="F48" i="1"/>
  <c r="H26" i="158" s="1"/>
  <c r="E48" i="1"/>
  <c r="AB48" i="1" s="1"/>
  <c r="D50" i="1"/>
  <c r="I43" i="1"/>
  <c r="E41" i="1"/>
  <c r="D45" i="170" s="1"/>
  <c r="Q39" i="1"/>
  <c r="I39" i="1"/>
  <c r="G36" i="1"/>
  <c r="E36" i="1"/>
  <c r="D36" i="170" s="1"/>
  <c r="E27" i="1"/>
  <c r="D28" i="170" s="1"/>
  <c r="N28" i="2"/>
  <c r="S28" i="2" s="1"/>
  <c r="O26" i="2"/>
  <c r="O17" i="2"/>
  <c r="W17" i="2" s="1"/>
  <c r="N17" i="2"/>
  <c r="K58" i="1"/>
  <c r="K57" i="1"/>
  <c r="F57" i="1"/>
  <c r="H33" i="36" s="1"/>
  <c r="G33" i="36" s="1"/>
  <c r="E33" i="36" s="1"/>
  <c r="F58" i="1"/>
  <c r="F56" i="1"/>
  <c r="H32" i="36" s="1"/>
  <c r="O41" i="1"/>
  <c r="S36" i="1"/>
  <c r="N28" i="1"/>
  <c r="H23" i="1"/>
  <c r="C10" i="2"/>
  <c r="C11" i="2"/>
  <c r="I11" i="2"/>
  <c r="F17" i="2"/>
  <c r="F19" i="2"/>
  <c r="N19" i="2"/>
  <c r="O19" i="2"/>
  <c r="W19" i="2" s="1"/>
  <c r="F20" i="2"/>
  <c r="N20" i="2"/>
  <c r="O21" i="2"/>
  <c r="W21" i="2" s="1"/>
  <c r="N21" i="2"/>
  <c r="F22" i="2"/>
  <c r="N22" i="2"/>
  <c r="O22" i="2"/>
  <c r="F23" i="2"/>
  <c r="N23" i="2"/>
  <c r="O23" i="2"/>
  <c r="W23" i="2" s="1"/>
  <c r="F24" i="2"/>
  <c r="N24" i="2"/>
  <c r="O24" i="2"/>
  <c r="W24" i="2" s="1"/>
  <c r="F25" i="2"/>
  <c r="N25" i="2"/>
  <c r="W25" i="2"/>
  <c r="F26" i="2"/>
  <c r="N26" i="2"/>
  <c r="S26" i="2" s="1"/>
  <c r="F27" i="2"/>
  <c r="O27" i="2"/>
  <c r="T27" i="2" s="1"/>
  <c r="F28" i="2"/>
  <c r="O28" i="2"/>
  <c r="T28" i="2" s="1"/>
  <c r="F29" i="2"/>
  <c r="N29" i="2"/>
  <c r="D55" i="6" s="1"/>
  <c r="O29" i="2"/>
  <c r="E55" i="6" s="1"/>
  <c r="I32" i="2"/>
  <c r="AW32" i="2" s="1"/>
  <c r="K34" i="2"/>
  <c r="T35" i="2"/>
  <c r="W35" i="2" s="1"/>
  <c r="F36" i="2"/>
  <c r="F35" i="2" s="1"/>
  <c r="C39" i="2"/>
  <c r="E33" i="5"/>
  <c r="E30" i="5" s="1"/>
  <c r="M11" i="1"/>
  <c r="S11" i="1"/>
  <c r="E12" i="1"/>
  <c r="D13" i="170" s="1"/>
  <c r="J12" i="1"/>
  <c r="K12" i="1" s="1"/>
  <c r="L12" i="1" s="1"/>
  <c r="P12" i="1"/>
  <c r="E13" i="1"/>
  <c r="D14" i="170" s="1"/>
  <c r="J13" i="1"/>
  <c r="K13" i="1" s="1"/>
  <c r="P13" i="1"/>
  <c r="E14" i="1"/>
  <c r="D15" i="170" s="1"/>
  <c r="J14" i="1"/>
  <c r="K14" i="1" s="1"/>
  <c r="L14" i="1" s="1"/>
  <c r="P14" i="1"/>
  <c r="E15" i="1"/>
  <c r="D16" i="170" s="1"/>
  <c r="J15" i="1"/>
  <c r="K15" i="1" s="1"/>
  <c r="L15" i="1" s="1"/>
  <c r="Z15" i="1"/>
  <c r="P15" i="1"/>
  <c r="D16" i="1"/>
  <c r="E16" i="1" s="1"/>
  <c r="D17" i="170" s="1"/>
  <c r="N17" i="1"/>
  <c r="E18" i="1"/>
  <c r="D19" i="170" s="1"/>
  <c r="J18" i="1"/>
  <c r="K18" i="1" s="1"/>
  <c r="L18" i="1" s="1"/>
  <c r="P18" i="1"/>
  <c r="E19" i="1"/>
  <c r="D20" i="170" s="1"/>
  <c r="J19" i="1"/>
  <c r="K19" i="1" s="1"/>
  <c r="L19" i="1" s="1"/>
  <c r="P19" i="1"/>
  <c r="E20" i="1"/>
  <c r="D21" i="170" s="1"/>
  <c r="J20" i="1"/>
  <c r="K20" i="1" s="1"/>
  <c r="L20" i="1" s="1"/>
  <c r="P20" i="1"/>
  <c r="E21" i="1"/>
  <c r="D22" i="170" s="1"/>
  <c r="J21" i="1"/>
  <c r="K21" i="1" s="1"/>
  <c r="P21" i="1"/>
  <c r="E22" i="1"/>
  <c r="D23" i="170" s="1"/>
  <c r="J22" i="1"/>
  <c r="P22" i="1"/>
  <c r="N23" i="1"/>
  <c r="E24" i="1"/>
  <c r="D25" i="170" s="1"/>
  <c r="J24" i="1"/>
  <c r="P24" i="1"/>
  <c r="E25" i="1"/>
  <c r="D26" i="170" s="1"/>
  <c r="J25" i="1"/>
  <c r="K25" i="1" s="1"/>
  <c r="L25" i="1" s="1"/>
  <c r="P25" i="1"/>
  <c r="G28" i="1"/>
  <c r="E29" i="1"/>
  <c r="D30" i="170" s="1"/>
  <c r="J29" i="1"/>
  <c r="K29" i="1" s="1"/>
  <c r="L29" i="1" s="1"/>
  <c r="P29" i="1"/>
  <c r="E30" i="1"/>
  <c r="D31" i="170" s="1"/>
  <c r="J30" i="1"/>
  <c r="K30" i="1" s="1"/>
  <c r="L30" i="1" s="1"/>
  <c r="P30" i="1"/>
  <c r="E31" i="1"/>
  <c r="D32" i="170" s="1"/>
  <c r="J31" i="1"/>
  <c r="K31" i="1" s="1"/>
  <c r="L31" i="1" s="1"/>
  <c r="P31" i="1"/>
  <c r="E32" i="1"/>
  <c r="D33" i="170" s="1"/>
  <c r="J32" i="1"/>
  <c r="P32" i="1"/>
  <c r="E33" i="1"/>
  <c r="D34" i="170" s="1"/>
  <c r="J33" i="1"/>
  <c r="K33" i="1" s="1"/>
  <c r="P33" i="1"/>
  <c r="E34" i="1"/>
  <c r="D35" i="170" s="1"/>
  <c r="G34" i="1"/>
  <c r="I34" i="1"/>
  <c r="J34" i="1"/>
  <c r="K34" i="1" s="1"/>
  <c r="M34" i="1"/>
  <c r="O34" i="1"/>
  <c r="P34" i="1"/>
  <c r="E35" i="1"/>
  <c r="J35" i="1"/>
  <c r="K35" i="1" s="1"/>
  <c r="M35" i="1"/>
  <c r="P35" i="1"/>
  <c r="S35" i="1"/>
  <c r="I36" i="1"/>
  <c r="J36" i="1"/>
  <c r="K36" i="1" s="1"/>
  <c r="M36" i="1"/>
  <c r="O36" i="1"/>
  <c r="P36" i="1"/>
  <c r="E37" i="1"/>
  <c r="D37" i="170" s="1"/>
  <c r="I37" i="1"/>
  <c r="J37" i="1"/>
  <c r="K37" i="1" s="1"/>
  <c r="L37" i="1" s="1"/>
  <c r="P37" i="1"/>
  <c r="E38" i="1"/>
  <c r="C39" i="170" s="1"/>
  <c r="I38" i="1"/>
  <c r="K38" i="1"/>
  <c r="L38" i="1" s="1"/>
  <c r="O38" i="1"/>
  <c r="K39" i="1"/>
  <c r="L39" i="1" s="1"/>
  <c r="F40" i="1"/>
  <c r="I40" i="1"/>
  <c r="J40" i="1"/>
  <c r="K40" i="1" s="1"/>
  <c r="O40" i="1"/>
  <c r="P40" i="1"/>
  <c r="I41" i="1"/>
  <c r="J41" i="1"/>
  <c r="K41" i="1" s="1"/>
  <c r="P41" i="1"/>
  <c r="G47" i="1"/>
  <c r="I25" i="158" s="1"/>
  <c r="G25" i="158" s="1"/>
  <c r="I47" i="1"/>
  <c r="J47" i="1"/>
  <c r="K47" i="1" s="1"/>
  <c r="M47" i="1"/>
  <c r="O47" i="1"/>
  <c r="P47" i="1"/>
  <c r="S47" i="1"/>
  <c r="J52" i="1"/>
  <c r="M52" i="1"/>
  <c r="P52" i="1"/>
  <c r="S52" i="1"/>
  <c r="C55" i="1"/>
  <c r="K56" i="1"/>
  <c r="L56" i="1"/>
  <c r="L58" i="1"/>
  <c r="E59" i="1"/>
  <c r="H59" i="1"/>
  <c r="K59" i="1" s="1"/>
  <c r="E18" i="6"/>
  <c r="C18" i="6" s="1"/>
  <c r="D9" i="114" l="1"/>
  <c r="C9" i="114" s="1"/>
  <c r="H19" i="158"/>
  <c r="G19" i="158" s="1"/>
  <c r="H19" i="36"/>
  <c r="G19" i="36" s="1"/>
  <c r="D39" i="170"/>
  <c r="C40" i="170"/>
  <c r="AE33" i="36"/>
  <c r="AF33" i="36"/>
  <c r="Q33" i="36"/>
  <c r="R33" i="36"/>
  <c r="I15" i="36"/>
  <c r="G15" i="36" s="1"/>
  <c r="I15" i="158"/>
  <c r="G15" i="158" s="1"/>
  <c r="F42" i="8"/>
  <c r="O58" i="36"/>
  <c r="N58" i="36" s="1"/>
  <c r="L58" i="36" s="1"/>
  <c r="G26" i="158"/>
  <c r="P32" i="158" s="1"/>
  <c r="Q32" i="158"/>
  <c r="V32" i="158"/>
  <c r="U32" i="158" s="1"/>
  <c r="I13" i="36"/>
  <c r="G13" i="36" s="1"/>
  <c r="I13" i="158"/>
  <c r="G13" i="158" s="1"/>
  <c r="I12" i="36"/>
  <c r="I12" i="158"/>
  <c r="G32" i="36"/>
  <c r="H31" i="36"/>
  <c r="H28" i="36" s="1"/>
  <c r="G28" i="36" s="1"/>
  <c r="AE29" i="36"/>
  <c r="AF29" i="36"/>
  <c r="G15" i="157"/>
  <c r="E47" i="1"/>
  <c r="I25" i="36"/>
  <c r="G25" i="36" s="1"/>
  <c r="D10" i="114"/>
  <c r="V10" i="114" s="1"/>
  <c r="U10" i="114" s="1"/>
  <c r="H26" i="36"/>
  <c r="F57" i="40"/>
  <c r="D18" i="114"/>
  <c r="C18" i="114" s="1"/>
  <c r="T127" i="2"/>
  <c r="U37" i="2"/>
  <c r="E14" i="30"/>
  <c r="C14" i="30" s="1"/>
  <c r="H26" i="114"/>
  <c r="F26" i="114" s="1"/>
  <c r="C15" i="85"/>
  <c r="C31" i="84"/>
  <c r="C34" i="84" s="1"/>
  <c r="C33" i="84" s="1"/>
  <c r="C15" i="84"/>
  <c r="C13" i="84" s="1"/>
  <c r="F30" i="1"/>
  <c r="F33" i="1"/>
  <c r="AB25" i="1"/>
  <c r="AB27" i="1"/>
  <c r="AB26" i="1"/>
  <c r="AB18" i="1"/>
  <c r="F22" i="1"/>
  <c r="AB15" i="1"/>
  <c r="AB12" i="1"/>
  <c r="AB13" i="1"/>
  <c r="F29" i="1"/>
  <c r="C12" i="84"/>
  <c r="R37" i="2"/>
  <c r="AG37" i="2" s="1"/>
  <c r="AC37" i="2" s="1"/>
  <c r="AE37" i="2" s="1"/>
  <c r="D30" i="84"/>
  <c r="D12" i="30"/>
  <c r="D11" i="30" s="1"/>
  <c r="G24" i="114"/>
  <c r="AC56" i="1"/>
  <c r="D40" i="114"/>
  <c r="D16" i="114"/>
  <c r="D41" i="114"/>
  <c r="C41" i="114" s="1"/>
  <c r="D17" i="114"/>
  <c r="C17" i="114" s="1"/>
  <c r="D15" i="7"/>
  <c r="G15" i="7" s="1"/>
  <c r="D14" i="114"/>
  <c r="E57" i="40"/>
  <c r="D18" i="42"/>
  <c r="C18" i="42" s="1"/>
  <c r="N42" i="7"/>
  <c r="L42" i="7" s="1"/>
  <c r="T37" i="41"/>
  <c r="P37" i="41" s="1"/>
  <c r="F33" i="39" s="1"/>
  <c r="AC57" i="1"/>
  <c r="F56" i="40"/>
  <c r="T26" i="60"/>
  <c r="P26" i="60" s="1"/>
  <c r="J27" i="41"/>
  <c r="F27" i="41" s="1"/>
  <c r="H27" i="41" s="1"/>
  <c r="T12" i="60"/>
  <c r="J12" i="41"/>
  <c r="S27" i="60"/>
  <c r="I28" i="41"/>
  <c r="AX41" i="19"/>
  <c r="AN41" i="19"/>
  <c r="S25" i="60"/>
  <c r="I26" i="41"/>
  <c r="G41" i="42"/>
  <c r="F37" i="41"/>
  <c r="D33" i="39" s="1"/>
  <c r="S71" i="60"/>
  <c r="P36" i="60"/>
  <c r="W28" i="2"/>
  <c r="T27" i="60"/>
  <c r="J28" i="41"/>
  <c r="S10" i="60"/>
  <c r="I10" i="41"/>
  <c r="P28" i="2"/>
  <c r="G9" i="1"/>
  <c r="G10" i="1" s="1"/>
  <c r="W12" i="2"/>
  <c r="H27" i="7"/>
  <c r="F27" i="7" s="1"/>
  <c r="H27" i="8"/>
  <c r="P12" i="2"/>
  <c r="Z12" i="2"/>
  <c r="W27" i="2"/>
  <c r="P27" i="2"/>
  <c r="G25" i="7"/>
  <c r="G24" i="7" s="1"/>
  <c r="G25" i="8"/>
  <c r="O41" i="36" s="1"/>
  <c r="F20" i="1"/>
  <c r="AC20" i="1" s="1"/>
  <c r="AB20" i="1"/>
  <c r="F38" i="1"/>
  <c r="AB38" i="1"/>
  <c r="F19" i="1"/>
  <c r="AC19" i="1" s="1"/>
  <c r="AB19" i="1"/>
  <c r="F31" i="1"/>
  <c r="AC31" i="1" s="1"/>
  <c r="AB31" i="1"/>
  <c r="F21" i="1"/>
  <c r="AC21" i="1" s="1"/>
  <c r="AB21" i="1"/>
  <c r="D11" i="7"/>
  <c r="AC48" i="1"/>
  <c r="D10" i="7"/>
  <c r="C10" i="7" s="1"/>
  <c r="C9" i="31" s="1"/>
  <c r="AC40" i="1"/>
  <c r="F32" i="1"/>
  <c r="AC32" i="1" s="1"/>
  <c r="AB32" i="1"/>
  <c r="F24" i="1"/>
  <c r="AC24" i="1" s="1"/>
  <c r="AB24" i="1"/>
  <c r="F37" i="1"/>
  <c r="H16" i="158" s="1"/>
  <c r="G16" i="158" s="1"/>
  <c r="AB37" i="1"/>
  <c r="F14" i="1"/>
  <c r="AC14" i="1" s="1"/>
  <c r="AB14" i="1"/>
  <c r="D17" i="8"/>
  <c r="C17" i="8" s="1"/>
  <c r="D41" i="7"/>
  <c r="D17" i="7"/>
  <c r="D41" i="8"/>
  <c r="H57" i="36" s="1"/>
  <c r="D42" i="7"/>
  <c r="C42" i="7" s="1"/>
  <c r="C35" i="31" s="1"/>
  <c r="F35" i="31" s="1"/>
  <c r="D18" i="7"/>
  <c r="C18" i="7" s="1"/>
  <c r="D42" i="8"/>
  <c r="E58" i="1"/>
  <c r="D19" i="8"/>
  <c r="C19" i="8" s="1"/>
  <c r="D10" i="8"/>
  <c r="R40" i="1"/>
  <c r="D15" i="6" s="1"/>
  <c r="Z11" i="1"/>
  <c r="U11" i="1"/>
  <c r="F12" i="1"/>
  <c r="AC12" i="1" s="1"/>
  <c r="D11" i="8"/>
  <c r="F13" i="1"/>
  <c r="AC13" i="1" s="1"/>
  <c r="AG12" i="2"/>
  <c r="AN48" i="1"/>
  <c r="E57" i="1"/>
  <c r="AB57" i="1" s="1"/>
  <c r="D18" i="8"/>
  <c r="C18" i="8" s="1"/>
  <c r="E53" i="1"/>
  <c r="D15" i="8"/>
  <c r="D66" i="8" s="1"/>
  <c r="M10" i="2"/>
  <c r="AL37" i="2"/>
  <c r="Q41" i="114" s="1"/>
  <c r="C25" i="6"/>
  <c r="C46" i="6"/>
  <c r="O28" i="1"/>
  <c r="U28" i="1"/>
  <c r="V25" i="2"/>
  <c r="V17" i="2"/>
  <c r="V22" i="2"/>
  <c r="V24" i="2"/>
  <c r="V21" i="2"/>
  <c r="V28" i="2"/>
  <c r="V26" i="2"/>
  <c r="V23" i="2"/>
  <c r="V20" i="2"/>
  <c r="CY23" i="1"/>
  <c r="DG23" i="1"/>
  <c r="DE23" i="1"/>
  <c r="DI23" i="1"/>
  <c r="DA23" i="1"/>
  <c r="DC23" i="1"/>
  <c r="D24" i="6"/>
  <c r="D22" i="6" s="1"/>
  <c r="I9" i="2"/>
  <c r="I8" i="2" s="1"/>
  <c r="W20" i="2"/>
  <c r="W22" i="2"/>
  <c r="O18" i="2"/>
  <c r="O15" i="2" s="1"/>
  <c r="T26" i="2"/>
  <c r="N18" i="2"/>
  <c r="N15" i="2" s="1"/>
  <c r="BJ30" i="2"/>
  <c r="BF30" i="2"/>
  <c r="BD30" i="2"/>
  <c r="BB30" i="2"/>
  <c r="BH30" i="2"/>
  <c r="AZ30" i="2"/>
  <c r="H150" i="2"/>
  <c r="C55" i="6"/>
  <c r="BD36" i="2"/>
  <c r="BH36" i="2"/>
  <c r="BF36" i="2"/>
  <c r="BJ36" i="2"/>
  <c r="BF29" i="2"/>
  <c r="BJ29" i="2"/>
  <c r="BD29" i="2"/>
  <c r="BH29" i="2"/>
  <c r="BH27" i="2"/>
  <c r="BD27" i="2"/>
  <c r="BJ27" i="2"/>
  <c r="BF27" i="2"/>
  <c r="BF26" i="2"/>
  <c r="BD26" i="2"/>
  <c r="BH26" i="2"/>
  <c r="BJ26" i="2"/>
  <c r="BJ25" i="2"/>
  <c r="BF25" i="2"/>
  <c r="BH25" i="2"/>
  <c r="BD25" i="2"/>
  <c r="BD24" i="2"/>
  <c r="BJ24" i="2"/>
  <c r="BH24" i="2"/>
  <c r="BF24" i="2"/>
  <c r="BF28" i="2"/>
  <c r="BJ28" i="2"/>
  <c r="BH28" i="2"/>
  <c r="BD28" i="2"/>
  <c r="BF23" i="2"/>
  <c r="BD23" i="2"/>
  <c r="BJ23" i="2"/>
  <c r="BH23" i="2"/>
  <c r="BD22" i="2"/>
  <c r="BF22" i="2"/>
  <c r="BJ22" i="2"/>
  <c r="BH22" i="2"/>
  <c r="BD20" i="2"/>
  <c r="BH20" i="2"/>
  <c r="BJ20" i="2"/>
  <c r="BF20" i="2"/>
  <c r="BD19" i="2"/>
  <c r="BJ19" i="2"/>
  <c r="BF19" i="2"/>
  <c r="BH19" i="2"/>
  <c r="BJ17" i="2"/>
  <c r="BF17" i="2"/>
  <c r="BD17" i="2"/>
  <c r="BH17" i="2"/>
  <c r="BD16" i="2"/>
  <c r="BF16" i="2"/>
  <c r="BH16" i="2"/>
  <c r="I36" i="2"/>
  <c r="BB36" i="2"/>
  <c r="AZ36" i="2"/>
  <c r="BB25" i="2"/>
  <c r="AZ25" i="2"/>
  <c r="BB27" i="2"/>
  <c r="AZ27" i="2"/>
  <c r="BB24" i="2"/>
  <c r="AZ24" i="2"/>
  <c r="BB17" i="2"/>
  <c r="AZ17" i="2"/>
  <c r="BB28" i="2"/>
  <c r="AZ28" i="2"/>
  <c r="BB19" i="2"/>
  <c r="AZ19" i="2"/>
  <c r="H26" i="2"/>
  <c r="BB26" i="2"/>
  <c r="AZ26" i="2"/>
  <c r="BB23" i="2"/>
  <c r="AZ23" i="2"/>
  <c r="BB20" i="2"/>
  <c r="AZ20" i="2"/>
  <c r="BB22" i="2"/>
  <c r="AZ22" i="2"/>
  <c r="BB29" i="2"/>
  <c r="AZ29" i="2"/>
  <c r="BB16" i="2"/>
  <c r="AZ16" i="2"/>
  <c r="D25" i="5"/>
  <c r="C25" i="5" s="1"/>
  <c r="D37" i="5"/>
  <c r="C37" i="5" s="1"/>
  <c r="D37" i="6"/>
  <c r="C37" i="6" s="1"/>
  <c r="C9" i="2"/>
  <c r="D29" i="5"/>
  <c r="D29" i="6"/>
  <c r="F11" i="2"/>
  <c r="E8" i="6"/>
  <c r="C8" i="6" s="1"/>
  <c r="D24" i="5"/>
  <c r="V10" i="2"/>
  <c r="R39" i="2"/>
  <c r="U39" i="2"/>
  <c r="X49" i="1"/>
  <c r="D46" i="5"/>
  <c r="C46" i="5" s="1"/>
  <c r="D55" i="5"/>
  <c r="S29" i="2"/>
  <c r="G24" i="157" s="1"/>
  <c r="E55" i="5"/>
  <c r="T29" i="2"/>
  <c r="V47" i="1"/>
  <c r="V35" i="1"/>
  <c r="AA35" i="1" s="1"/>
  <c r="V34" i="1"/>
  <c r="AA34" i="1" s="1"/>
  <c r="V30" i="1"/>
  <c r="AA30" i="1" s="1"/>
  <c r="V25" i="1"/>
  <c r="AA25" i="1" s="1"/>
  <c r="AM25" i="1" s="1"/>
  <c r="V19" i="1"/>
  <c r="AA19" i="1" s="1"/>
  <c r="V15" i="1"/>
  <c r="AA15" i="1" s="1"/>
  <c r="V14" i="1"/>
  <c r="AA14" i="1" s="1"/>
  <c r="V37" i="1"/>
  <c r="AA37" i="1" s="1"/>
  <c r="V31" i="1"/>
  <c r="AA31" i="1" s="1"/>
  <c r="V20" i="1"/>
  <c r="AA20" i="1" s="1"/>
  <c r="V52" i="1"/>
  <c r="AA52" i="1" s="1"/>
  <c r="V36" i="1"/>
  <c r="AA36" i="1" s="1"/>
  <c r="V32" i="1"/>
  <c r="AA32" i="1" s="1"/>
  <c r="V21" i="1"/>
  <c r="AA21" i="1" s="1"/>
  <c r="V12" i="1"/>
  <c r="AA12" i="1" s="1"/>
  <c r="V40" i="1"/>
  <c r="AA40" i="1" s="1"/>
  <c r="E18" i="5"/>
  <c r="C18" i="5" s="1"/>
  <c r="V41" i="1"/>
  <c r="AA41" i="1" s="1"/>
  <c r="V33" i="1"/>
  <c r="AA33" i="1" s="1"/>
  <c r="V29" i="1"/>
  <c r="AA29" i="1" s="1"/>
  <c r="V24" i="1"/>
  <c r="AA24" i="1" s="1"/>
  <c r="AM24" i="1" s="1"/>
  <c r="V22" i="1"/>
  <c r="AA22" i="1" s="1"/>
  <c r="V18" i="1"/>
  <c r="AA18" i="1" s="1"/>
  <c r="V13" i="1"/>
  <c r="AA13" i="1" s="1"/>
  <c r="R39" i="1"/>
  <c r="J51" i="1"/>
  <c r="V51" i="1" s="1"/>
  <c r="AA51" i="1" s="1"/>
  <c r="T51" i="1"/>
  <c r="Y49" i="1"/>
  <c r="D15" i="5"/>
  <c r="Y9" i="1"/>
  <c r="Y10" i="1" s="1"/>
  <c r="AD52" i="1"/>
  <c r="AD47" i="1"/>
  <c r="T50" i="1"/>
  <c r="E8" i="5"/>
  <c r="C8" i="5" s="1"/>
  <c r="H49" i="1"/>
  <c r="K24" i="1"/>
  <c r="L24" i="1" s="1"/>
  <c r="F12" i="2"/>
  <c r="H12" i="2" s="1"/>
  <c r="C33" i="5"/>
  <c r="F26" i="1"/>
  <c r="AC26" i="1" s="1"/>
  <c r="K12" i="2"/>
  <c r="K19" i="2"/>
  <c r="H16" i="2"/>
  <c r="C52" i="1"/>
  <c r="E43" i="1"/>
  <c r="D46" i="170" s="1"/>
  <c r="I53" i="1"/>
  <c r="Q56" i="1"/>
  <c r="Q41" i="1"/>
  <c r="Q36" i="1"/>
  <c r="Q31" i="1"/>
  <c r="Q23" i="1"/>
  <c r="Q18" i="1"/>
  <c r="Q13" i="1"/>
  <c r="Q33" i="1"/>
  <c r="Q32" i="1"/>
  <c r="Q24" i="1"/>
  <c r="Q19" i="1"/>
  <c r="Q14" i="1"/>
  <c r="Q47" i="1"/>
  <c r="Q35" i="1"/>
  <c r="Q29" i="1"/>
  <c r="Q25" i="1"/>
  <c r="Q20" i="1"/>
  <c r="K28" i="2"/>
  <c r="Q37" i="1"/>
  <c r="Q30" i="1"/>
  <c r="Q21" i="1"/>
  <c r="Q17" i="1"/>
  <c r="Q12" i="1"/>
  <c r="L36" i="1"/>
  <c r="F55" i="1"/>
  <c r="F52" i="1" s="1"/>
  <c r="E39" i="1"/>
  <c r="D41" i="170" s="1"/>
  <c r="K26" i="2"/>
  <c r="H27" i="2"/>
  <c r="K29" i="2"/>
  <c r="H20" i="2"/>
  <c r="L35" i="1"/>
  <c r="M33" i="1"/>
  <c r="L33" i="1" s="1"/>
  <c r="F32" i="2"/>
  <c r="H28" i="2"/>
  <c r="L55" i="1"/>
  <c r="K53" i="1"/>
  <c r="S33" i="1"/>
  <c r="S28" i="1" s="1"/>
  <c r="H28" i="1"/>
  <c r="Q22" i="1"/>
  <c r="N11" i="1"/>
  <c r="C49" i="1"/>
  <c r="C52" i="170" s="1"/>
  <c r="C51" i="170" s="1"/>
  <c r="C10" i="170" s="1"/>
  <c r="E56" i="1"/>
  <c r="P16" i="1"/>
  <c r="K27" i="2"/>
  <c r="S34" i="1"/>
  <c r="L34" i="1"/>
  <c r="F34" i="2"/>
  <c r="H17" i="2"/>
  <c r="K24" i="2"/>
  <c r="U24" i="2" s="1"/>
  <c r="H19" i="2"/>
  <c r="K25" i="2"/>
  <c r="U25" i="2" s="1"/>
  <c r="K23" i="2"/>
  <c r="U23" i="2" s="1"/>
  <c r="K22" i="2"/>
  <c r="U22" i="2" s="1"/>
  <c r="K17" i="2"/>
  <c r="P17" i="2" s="1"/>
  <c r="K21" i="2"/>
  <c r="F21" i="2"/>
  <c r="F18" i="2" s="1"/>
  <c r="F15" i="2" s="1"/>
  <c r="H15" i="2" s="1"/>
  <c r="K20" i="2"/>
  <c r="U20" i="2" s="1"/>
  <c r="O39" i="1"/>
  <c r="O37" i="1"/>
  <c r="Q34" i="1"/>
  <c r="J16" i="1"/>
  <c r="K16" i="1" s="1"/>
  <c r="L16" i="1" s="1"/>
  <c r="F27" i="1"/>
  <c r="L47" i="1"/>
  <c r="K43" i="1"/>
  <c r="L43" i="1" s="1"/>
  <c r="Q40" i="1"/>
  <c r="S40" i="1" s="1"/>
  <c r="O11" i="2" s="1"/>
  <c r="O9" i="2" s="1"/>
  <c r="J28" i="1"/>
  <c r="V28" i="1" s="1"/>
  <c r="AA28" i="1" s="1"/>
  <c r="L21" i="1"/>
  <c r="L41" i="1"/>
  <c r="R41" i="1" s="1"/>
  <c r="E11" i="1"/>
  <c r="D12" i="170" s="1"/>
  <c r="K22" i="1"/>
  <c r="L22" i="1" s="1"/>
  <c r="O17" i="1"/>
  <c r="L13" i="1"/>
  <c r="L23" i="1"/>
  <c r="K23" i="1" s="1"/>
  <c r="O43" i="1"/>
  <c r="Q43" i="1"/>
  <c r="H17" i="1"/>
  <c r="I11" i="1"/>
  <c r="N59" i="1"/>
  <c r="K32" i="1"/>
  <c r="L32" i="1" s="1"/>
  <c r="D11" i="1"/>
  <c r="D9" i="1" s="1"/>
  <c r="D49" i="1"/>
  <c r="F27" i="158" s="1"/>
  <c r="F7" i="158" s="1"/>
  <c r="E50" i="1"/>
  <c r="AB50" i="1" s="1"/>
  <c r="E51" i="1"/>
  <c r="AB51" i="1" s="1"/>
  <c r="Q15" i="1"/>
  <c r="E40" i="1"/>
  <c r="D44" i="170" s="1"/>
  <c r="E28" i="1"/>
  <c r="D29" i="170" s="1"/>
  <c r="E23" i="1"/>
  <c r="D24" i="170" s="1"/>
  <c r="E17" i="1"/>
  <c r="D18" i="170" s="1"/>
  <c r="F18" i="1"/>
  <c r="K55" i="1"/>
  <c r="K36" i="2"/>
  <c r="K35" i="2" s="1"/>
  <c r="F25" i="1"/>
  <c r="AC25" i="1" s="1"/>
  <c r="D11" i="170" l="1"/>
  <c r="H36" i="114"/>
  <c r="H24" i="157"/>
  <c r="F24" i="157"/>
  <c r="H17" i="158"/>
  <c r="G17" i="158" s="1"/>
  <c r="AC38" i="1"/>
  <c r="F27" i="8"/>
  <c r="P43" i="36"/>
  <c r="N43" i="36" s="1"/>
  <c r="L43" i="36" s="1"/>
  <c r="C10" i="114"/>
  <c r="G52" i="114"/>
  <c r="F52" i="114" s="1"/>
  <c r="O40" i="36"/>
  <c r="AD58" i="36"/>
  <c r="AC58" i="36"/>
  <c r="I8" i="158"/>
  <c r="G31" i="36"/>
  <c r="E32" i="36"/>
  <c r="C42" i="8"/>
  <c r="C31" i="39" s="1"/>
  <c r="H58" i="36"/>
  <c r="G58" i="36" s="1"/>
  <c r="E58" i="36" s="1"/>
  <c r="Q58" i="36" s="1"/>
  <c r="H12" i="157"/>
  <c r="F12" i="157" s="1"/>
  <c r="P35" i="36"/>
  <c r="G57" i="36"/>
  <c r="I8" i="36"/>
  <c r="I7" i="36" s="1"/>
  <c r="I37" i="36" s="1"/>
  <c r="I62" i="36" s="1"/>
  <c r="C88" i="1"/>
  <c r="C70" i="1" s="1"/>
  <c r="E27" i="158"/>
  <c r="J66" i="8"/>
  <c r="G53" i="8"/>
  <c r="F53" i="8" s="1"/>
  <c r="G26" i="36"/>
  <c r="AC37" i="1"/>
  <c r="H16" i="36"/>
  <c r="G16" i="36" s="1"/>
  <c r="H17" i="36"/>
  <c r="G17" i="36" s="1"/>
  <c r="AA49" i="1"/>
  <c r="F27" i="36"/>
  <c r="F7" i="36" s="1"/>
  <c r="F37" i="36" s="1"/>
  <c r="E9" i="1"/>
  <c r="H35" i="31"/>
  <c r="N26" i="114"/>
  <c r="N27" i="8"/>
  <c r="L27" i="8" s="1"/>
  <c r="U17" i="2"/>
  <c r="C15" i="7"/>
  <c r="C12" i="31" s="1"/>
  <c r="AD36" i="60"/>
  <c r="Z36" i="60" s="1"/>
  <c r="O33" i="61" s="1"/>
  <c r="T41" i="114"/>
  <c r="R41" i="114" s="1"/>
  <c r="O41" i="114"/>
  <c r="AB43" i="1"/>
  <c r="E27" i="36"/>
  <c r="E8" i="30"/>
  <c r="C8" i="30" s="1"/>
  <c r="D29" i="85"/>
  <c r="H19" i="114"/>
  <c r="F19" i="114" s="1"/>
  <c r="AB39" i="1"/>
  <c r="C13" i="85"/>
  <c r="AB40" i="1"/>
  <c r="C10" i="8"/>
  <c r="AB23" i="1"/>
  <c r="D20" i="30"/>
  <c r="G36" i="114"/>
  <c r="F36" i="114" s="1"/>
  <c r="G23" i="114"/>
  <c r="G14" i="114"/>
  <c r="C14" i="114"/>
  <c r="C22" i="39"/>
  <c r="C20" i="84"/>
  <c r="C19" i="84" s="1"/>
  <c r="C18" i="84" s="1"/>
  <c r="C16" i="114"/>
  <c r="D15" i="114"/>
  <c r="C15" i="114" s="1"/>
  <c r="C40" i="114"/>
  <c r="C39" i="114" s="1"/>
  <c r="C21" i="114" s="1"/>
  <c r="D39" i="114"/>
  <c r="D21" i="114" s="1"/>
  <c r="F28" i="1"/>
  <c r="AI36" i="60"/>
  <c r="AE36" i="60" s="1"/>
  <c r="Y37" i="41"/>
  <c r="E20" i="30"/>
  <c r="T28" i="60"/>
  <c r="J29" i="41"/>
  <c r="H36" i="42" s="1"/>
  <c r="F28" i="41"/>
  <c r="H28" i="41" s="1"/>
  <c r="Y58" i="59"/>
  <c r="M58" i="40"/>
  <c r="D17" i="42"/>
  <c r="E56" i="40"/>
  <c r="E54" i="40" s="1"/>
  <c r="E52" i="40" s="1"/>
  <c r="E60" i="40" s="1"/>
  <c r="F54" i="40"/>
  <c r="F52" i="40" s="1"/>
  <c r="F60" i="40" s="1"/>
  <c r="D31" i="5"/>
  <c r="C31" i="5" s="1"/>
  <c r="C30" i="5" s="1"/>
  <c r="I35" i="2"/>
  <c r="I7" i="2" s="1"/>
  <c r="R36" i="60"/>
  <c r="AG39" i="19"/>
  <c r="M33" i="61"/>
  <c r="P27" i="60"/>
  <c r="S64" i="60"/>
  <c r="H26" i="42"/>
  <c r="F26" i="42" s="1"/>
  <c r="F12" i="41"/>
  <c r="H12" i="41" s="1"/>
  <c r="G24" i="42"/>
  <c r="I9" i="41"/>
  <c r="F41" i="42"/>
  <c r="T49" i="60"/>
  <c r="P12" i="60"/>
  <c r="S9" i="60"/>
  <c r="I15" i="41"/>
  <c r="G29" i="42" s="1"/>
  <c r="AD12" i="60"/>
  <c r="Z12" i="60" s="1"/>
  <c r="T12" i="41"/>
  <c r="S28" i="60"/>
  <c r="I29" i="41"/>
  <c r="W26" i="2"/>
  <c r="T25" i="60"/>
  <c r="T14" i="60" s="1"/>
  <c r="T50" i="60" s="1"/>
  <c r="J26" i="41"/>
  <c r="J15" i="41" s="1"/>
  <c r="H29" i="42" s="1"/>
  <c r="H32" i="42" s="1"/>
  <c r="S62" i="60"/>
  <c r="S14" i="60"/>
  <c r="AG28" i="19"/>
  <c r="R26" i="60"/>
  <c r="C11" i="7"/>
  <c r="C10" i="31" s="1"/>
  <c r="C8" i="1"/>
  <c r="C5" i="39"/>
  <c r="J5" i="39" s="1"/>
  <c r="M5" i="39" s="1"/>
  <c r="G8" i="1"/>
  <c r="AC12" i="2"/>
  <c r="AC133" i="2" s="1"/>
  <c r="N27" i="7"/>
  <c r="AH37" i="2"/>
  <c r="AJ37" i="2" s="1"/>
  <c r="Q42" i="8"/>
  <c r="Q42" i="7"/>
  <c r="P26" i="2"/>
  <c r="U26" i="2" s="1"/>
  <c r="V11" i="8"/>
  <c r="U11" i="8" s="1"/>
  <c r="H20" i="7"/>
  <c r="F20" i="7" s="1"/>
  <c r="H20" i="8"/>
  <c r="F20" i="8" s="1"/>
  <c r="W59" i="1"/>
  <c r="AC49" i="1"/>
  <c r="W49" i="1"/>
  <c r="F52" i="170" s="1"/>
  <c r="F51" i="170" s="1"/>
  <c r="D16" i="8"/>
  <c r="C16" i="8" s="1"/>
  <c r="W29" i="2"/>
  <c r="H37" i="7"/>
  <c r="H37" i="8"/>
  <c r="P53" i="36" s="1"/>
  <c r="P29" i="2"/>
  <c r="G37" i="7"/>
  <c r="G37" i="8"/>
  <c r="O53" i="36" s="1"/>
  <c r="N53" i="36" s="1"/>
  <c r="L53" i="36" s="1"/>
  <c r="G24" i="8"/>
  <c r="D10" i="1"/>
  <c r="D8" i="1"/>
  <c r="Y8" i="1"/>
  <c r="H10" i="157" s="1"/>
  <c r="E55" i="1"/>
  <c r="AB56" i="1"/>
  <c r="C11" i="8"/>
  <c r="V11" i="7"/>
  <c r="U11" i="7" s="1"/>
  <c r="AT27" i="1"/>
  <c r="AC27" i="1"/>
  <c r="G53" i="7"/>
  <c r="F53" i="7" s="1"/>
  <c r="F17" i="1"/>
  <c r="AC18" i="1"/>
  <c r="AN51" i="1"/>
  <c r="AT51" i="1" s="1"/>
  <c r="F11" i="1"/>
  <c r="F15" i="7"/>
  <c r="D40" i="8"/>
  <c r="D22" i="8" s="1"/>
  <c r="C41" i="8"/>
  <c r="D16" i="7"/>
  <c r="C17" i="7"/>
  <c r="C41" i="7"/>
  <c r="D40" i="7"/>
  <c r="D22" i="7" s="1"/>
  <c r="O23" i="1"/>
  <c r="U23" i="1"/>
  <c r="AL12" i="2"/>
  <c r="AT26" i="1"/>
  <c r="AG9" i="1"/>
  <c r="AG10" i="1" s="1"/>
  <c r="AD49" i="1"/>
  <c r="W22" i="1"/>
  <c r="F23" i="170" s="1"/>
  <c r="C15" i="8"/>
  <c r="G15" i="8"/>
  <c r="C8" i="2"/>
  <c r="V12" i="2"/>
  <c r="AA47" i="1"/>
  <c r="Z51" i="1"/>
  <c r="AR51" i="1" s="1"/>
  <c r="V29" i="2"/>
  <c r="Z50" i="1"/>
  <c r="AR50" i="1" s="1"/>
  <c r="AD59" i="1"/>
  <c r="AD36" i="1"/>
  <c r="AD34" i="1"/>
  <c r="AD35" i="1"/>
  <c r="CS37" i="1"/>
  <c r="Z28" i="1"/>
  <c r="DI28" i="1"/>
  <c r="DA28" i="1"/>
  <c r="DG28" i="1"/>
  <c r="DC28" i="1"/>
  <c r="CY28" i="1"/>
  <c r="DE28" i="1"/>
  <c r="I17" i="1"/>
  <c r="DC17" i="1"/>
  <c r="CY17" i="1"/>
  <c r="DG17" i="1"/>
  <c r="DE17" i="1"/>
  <c r="DA17" i="1"/>
  <c r="DI17" i="1"/>
  <c r="CQ49" i="1"/>
  <c r="CR49" i="1" s="1"/>
  <c r="CY49" i="1"/>
  <c r="DG49" i="1"/>
  <c r="DI49" i="1"/>
  <c r="DC49" i="1"/>
  <c r="DE49" i="1"/>
  <c r="DA49" i="1"/>
  <c r="L53" i="1"/>
  <c r="L52" i="1" s="1"/>
  <c r="K52" i="1"/>
  <c r="BD34" i="2"/>
  <c r="BB34" i="2"/>
  <c r="BF34" i="2"/>
  <c r="BJ34" i="2"/>
  <c r="BH34" i="2"/>
  <c r="AZ34" i="2"/>
  <c r="T18" i="2"/>
  <c r="T15" i="2" s="1"/>
  <c r="W18" i="2"/>
  <c r="BB32" i="2"/>
  <c r="BD32" i="2"/>
  <c r="BH32" i="2"/>
  <c r="BF32" i="2"/>
  <c r="BJ32" i="2"/>
  <c r="AZ32" i="2"/>
  <c r="K18" i="2"/>
  <c r="K15" i="2" s="1"/>
  <c r="V19" i="2"/>
  <c r="S18" i="2"/>
  <c r="V18" i="2" s="1"/>
  <c r="BJ35" i="2"/>
  <c r="BF35" i="2"/>
  <c r="BH35" i="2"/>
  <c r="BD35" i="2"/>
  <c r="H11" i="2"/>
  <c r="BF11" i="2"/>
  <c r="BJ11" i="2"/>
  <c r="BH11" i="2"/>
  <c r="BD11" i="2"/>
  <c r="D31" i="6"/>
  <c r="D30" i="6" s="1"/>
  <c r="D21" i="6" s="1"/>
  <c r="N36" i="2"/>
  <c r="C55" i="5"/>
  <c r="M12" i="2"/>
  <c r="BF12" i="2"/>
  <c r="BD12" i="2"/>
  <c r="BJ12" i="2"/>
  <c r="BH12" i="2"/>
  <c r="BJ21" i="2"/>
  <c r="BD21" i="2"/>
  <c r="BF21" i="2"/>
  <c r="BH21" i="2"/>
  <c r="BB11" i="2"/>
  <c r="AZ11" i="2"/>
  <c r="BB12" i="2"/>
  <c r="AZ12" i="2"/>
  <c r="BB21" i="2"/>
  <c r="AZ21" i="2"/>
  <c r="BB35" i="2"/>
  <c r="R31" i="1"/>
  <c r="D22" i="5"/>
  <c r="S41" i="1"/>
  <c r="E29" i="5"/>
  <c r="C29" i="5" s="1"/>
  <c r="E29" i="6"/>
  <c r="C29" i="6" s="1"/>
  <c r="D10" i="5"/>
  <c r="D10" i="6"/>
  <c r="C10" i="6" s="1"/>
  <c r="J9" i="2"/>
  <c r="J8" i="2" s="1"/>
  <c r="J7" i="2" s="1"/>
  <c r="E24" i="6"/>
  <c r="N9" i="1"/>
  <c r="N10" i="1" s="1"/>
  <c r="H9" i="1"/>
  <c r="F43" i="1"/>
  <c r="H22" i="158" s="1"/>
  <c r="G22" i="158" s="1"/>
  <c r="I49" i="1"/>
  <c r="Z23" i="1"/>
  <c r="R34" i="2"/>
  <c r="R20" i="2"/>
  <c r="M28" i="2"/>
  <c r="U28" i="2"/>
  <c r="M19" i="2"/>
  <c r="U21" i="2"/>
  <c r="R22" i="2"/>
  <c r="R24" i="2"/>
  <c r="M27" i="2"/>
  <c r="M26" i="2"/>
  <c r="M16" i="2"/>
  <c r="R23" i="2"/>
  <c r="R17" i="2"/>
  <c r="R25" i="2"/>
  <c r="U51" i="1"/>
  <c r="AG51" i="1" s="1"/>
  <c r="AM51" i="1" s="1"/>
  <c r="AS51" i="1" s="1"/>
  <c r="U50" i="1"/>
  <c r="R43" i="1"/>
  <c r="P11" i="1"/>
  <c r="P9" i="1" s="1"/>
  <c r="P10" i="1" s="1"/>
  <c r="V16" i="1"/>
  <c r="AA16" i="1" s="1"/>
  <c r="J49" i="1"/>
  <c r="V50" i="1"/>
  <c r="AA50" i="1" s="1"/>
  <c r="AM23" i="1"/>
  <c r="AM9" i="1" s="1"/>
  <c r="E23" i="5"/>
  <c r="F10" i="2"/>
  <c r="E24" i="5"/>
  <c r="I23" i="1"/>
  <c r="F39" i="1"/>
  <c r="H18" i="158" s="1"/>
  <c r="G18" i="158" s="1"/>
  <c r="R33" i="1"/>
  <c r="R36" i="1"/>
  <c r="X36" i="1" s="1"/>
  <c r="R47" i="1"/>
  <c r="X47" i="1" s="1"/>
  <c r="R35" i="1"/>
  <c r="X35" i="1" s="1"/>
  <c r="E49" i="1"/>
  <c r="D52" i="170" s="1"/>
  <c r="D51" i="170" s="1"/>
  <c r="D10" i="170" s="1"/>
  <c r="R22" i="1"/>
  <c r="X22" i="1" s="1"/>
  <c r="R32" i="1"/>
  <c r="Q53" i="1"/>
  <c r="R21" i="1"/>
  <c r="R29" i="1"/>
  <c r="X29" i="1" s="1"/>
  <c r="AC29" i="1" s="1"/>
  <c r="R19" i="1"/>
  <c r="R18" i="1"/>
  <c r="R23" i="1"/>
  <c r="R12" i="1"/>
  <c r="R30" i="1"/>
  <c r="X30" i="1" s="1"/>
  <c r="X41" i="1"/>
  <c r="O20" i="36" s="1"/>
  <c r="R17" i="1"/>
  <c r="R25" i="1"/>
  <c r="R14" i="1"/>
  <c r="R13" i="1"/>
  <c r="R56" i="1"/>
  <c r="R20" i="1"/>
  <c r="Q28" i="1"/>
  <c r="R37" i="1"/>
  <c r="Q16" i="1"/>
  <c r="W16" i="1" s="1"/>
  <c r="O11" i="1"/>
  <c r="R24" i="1"/>
  <c r="M28" i="1"/>
  <c r="O49" i="1"/>
  <c r="I52" i="1"/>
  <c r="Q57" i="1"/>
  <c r="I55" i="1"/>
  <c r="R34" i="1"/>
  <c r="X34" i="1" s="1"/>
  <c r="I28" i="1"/>
  <c r="O53" i="1"/>
  <c r="K11" i="1"/>
  <c r="D50" i="6"/>
  <c r="M17" i="2"/>
  <c r="M20" i="2"/>
  <c r="H21" i="2"/>
  <c r="M21" i="2"/>
  <c r="J11" i="1"/>
  <c r="J9" i="1" s="1"/>
  <c r="J10" i="1" s="1"/>
  <c r="R15" i="1"/>
  <c r="L28" i="1"/>
  <c r="K28" i="1"/>
  <c r="L11" i="1"/>
  <c r="Q59" i="1"/>
  <c r="L17" i="1"/>
  <c r="K17" i="1" s="1"/>
  <c r="F23" i="1"/>
  <c r="H11" i="158" s="1"/>
  <c r="G11" i="158" s="1"/>
  <c r="N11" i="2"/>
  <c r="N9" i="2" s="1"/>
  <c r="H10" i="158" l="1"/>
  <c r="G10" i="158" s="1"/>
  <c r="H56" i="36"/>
  <c r="H38" i="36" s="1"/>
  <c r="C40" i="8"/>
  <c r="C22" i="8" s="1"/>
  <c r="C21" i="39"/>
  <c r="AD43" i="36"/>
  <c r="AC43" i="36"/>
  <c r="R43" i="36"/>
  <c r="Q43" i="36"/>
  <c r="L26" i="114"/>
  <c r="H11" i="43"/>
  <c r="F11" i="43" s="1"/>
  <c r="H9" i="157"/>
  <c r="D88" i="1"/>
  <c r="I9" i="36"/>
  <c r="H29" i="114"/>
  <c r="H32" i="114" s="1"/>
  <c r="H20" i="157"/>
  <c r="Q53" i="36"/>
  <c r="R53" i="36"/>
  <c r="AC53" i="36"/>
  <c r="AD53" i="36"/>
  <c r="I7" i="158"/>
  <c r="I9" i="158"/>
  <c r="N20" i="36"/>
  <c r="E57" i="36"/>
  <c r="G56" i="36"/>
  <c r="G38" i="36" s="1"/>
  <c r="E38" i="36" s="1"/>
  <c r="N35" i="36"/>
  <c r="P37" i="36"/>
  <c r="R58" i="36"/>
  <c r="AE27" i="36"/>
  <c r="AF27" i="36"/>
  <c r="AE58" i="36"/>
  <c r="AF58" i="36"/>
  <c r="AB27" i="158"/>
  <c r="M27" i="158"/>
  <c r="K27" i="158"/>
  <c r="E7" i="158"/>
  <c r="H12" i="36"/>
  <c r="H12" i="158"/>
  <c r="AE32" i="36"/>
  <c r="AF32" i="36"/>
  <c r="E31" i="36"/>
  <c r="Q32" i="36"/>
  <c r="R32" i="36"/>
  <c r="Q27" i="36"/>
  <c r="R27" i="36"/>
  <c r="H10" i="36"/>
  <c r="G10" i="36" s="1"/>
  <c r="AC23" i="1"/>
  <c r="H11" i="36"/>
  <c r="G11" i="36" s="1"/>
  <c r="AC43" i="1"/>
  <c r="H22" i="36"/>
  <c r="G22" i="36" s="1"/>
  <c r="G12" i="36"/>
  <c r="AC39" i="1"/>
  <c r="H18" i="36"/>
  <c r="G18" i="36" s="1"/>
  <c r="C40" i="7"/>
  <c r="C22" i="7" s="1"/>
  <c r="C34" i="31"/>
  <c r="C7" i="2"/>
  <c r="T66" i="1"/>
  <c r="F10" i="31"/>
  <c r="H10" i="31"/>
  <c r="E88" i="1"/>
  <c r="E70" i="1" s="1"/>
  <c r="D70" i="1"/>
  <c r="Q26" i="114"/>
  <c r="O26" i="114" s="1"/>
  <c r="Q27" i="7"/>
  <c r="O27" i="7" s="1"/>
  <c r="Q27" i="8"/>
  <c r="O27" i="8" s="1"/>
  <c r="E10" i="1"/>
  <c r="W15" i="2"/>
  <c r="AA36" i="60"/>
  <c r="AI39" i="19"/>
  <c r="Y11" i="20" s="1"/>
  <c r="Z11" i="20" s="1"/>
  <c r="AC11" i="20" s="1"/>
  <c r="AG8" i="1"/>
  <c r="AG61" i="1" s="1"/>
  <c r="K27" i="36"/>
  <c r="C20" i="30"/>
  <c r="P33" i="61"/>
  <c r="E7" i="36"/>
  <c r="E52" i="1"/>
  <c r="C14" i="85"/>
  <c r="C12" i="85" s="1"/>
  <c r="AB59" i="1"/>
  <c r="D15" i="85"/>
  <c r="D16" i="84"/>
  <c r="E8" i="114"/>
  <c r="E12" i="114" s="1"/>
  <c r="C25" i="85"/>
  <c r="D25" i="85"/>
  <c r="R29" i="2"/>
  <c r="AG29" i="2" s="1"/>
  <c r="D22" i="84"/>
  <c r="D13" i="114"/>
  <c r="E6" i="30"/>
  <c r="E5" i="30" s="1"/>
  <c r="H8" i="114"/>
  <c r="C13" i="114"/>
  <c r="G13" i="114"/>
  <c r="F13" i="114" s="1"/>
  <c r="F14" i="114"/>
  <c r="AB49" i="1"/>
  <c r="D14" i="8"/>
  <c r="Q41" i="42"/>
  <c r="U37" i="41"/>
  <c r="G33" i="39" s="1"/>
  <c r="H33" i="39" s="1"/>
  <c r="Q33" i="61"/>
  <c r="AO39" i="19"/>
  <c r="AD11" i="20" s="1"/>
  <c r="AJ36" i="60"/>
  <c r="H30" i="7"/>
  <c r="H33" i="7" s="1"/>
  <c r="E16" i="30"/>
  <c r="C17" i="42"/>
  <c r="C15" i="42" s="1"/>
  <c r="C13" i="42" s="1"/>
  <c r="C5" i="42" s="1"/>
  <c r="C45" i="42" s="1"/>
  <c r="D15" i="42"/>
  <c r="D13" i="42" s="1"/>
  <c r="D5" i="42" s="1"/>
  <c r="D45" i="42" s="1"/>
  <c r="H19" i="42"/>
  <c r="H58" i="40"/>
  <c r="M60" i="40"/>
  <c r="W58" i="59"/>
  <c r="W60" i="59" s="1"/>
  <c r="Y60" i="59"/>
  <c r="P25" i="60"/>
  <c r="AG27" i="19" s="1"/>
  <c r="S65" i="60"/>
  <c r="P28" i="60"/>
  <c r="T47" i="60"/>
  <c r="T46" i="60" s="1"/>
  <c r="P49" i="60"/>
  <c r="P47" i="60" s="1"/>
  <c r="G36" i="42"/>
  <c r="F36" i="42" s="1"/>
  <c r="F29" i="41"/>
  <c r="AI12" i="60"/>
  <c r="AE12" i="60" s="1"/>
  <c r="Y12" i="41"/>
  <c r="S51" i="60"/>
  <c r="S50" i="60"/>
  <c r="N26" i="42"/>
  <c r="P12" i="41"/>
  <c r="AG29" i="19"/>
  <c r="R27" i="60"/>
  <c r="AG14" i="19"/>
  <c r="R12" i="60"/>
  <c r="AI14" i="19"/>
  <c r="AI127" i="19" s="1"/>
  <c r="AB12" i="60"/>
  <c r="G32" i="42"/>
  <c r="F32" i="42" s="1"/>
  <c r="F29" i="42"/>
  <c r="D52" i="6"/>
  <c r="D51" i="6" s="1"/>
  <c r="N35" i="2"/>
  <c r="S35" i="2" s="1"/>
  <c r="F26" i="41"/>
  <c r="F37" i="8"/>
  <c r="G23" i="42"/>
  <c r="F37" i="7"/>
  <c r="O42" i="7"/>
  <c r="T42" i="7"/>
  <c r="R42" i="7" s="1"/>
  <c r="N37" i="7"/>
  <c r="T42" i="8"/>
  <c r="R42" i="8" s="1"/>
  <c r="O42" i="8"/>
  <c r="AH12" i="2"/>
  <c r="L27" i="7"/>
  <c r="AE12" i="2"/>
  <c r="C14" i="8"/>
  <c r="AC34" i="1"/>
  <c r="W34" i="1"/>
  <c r="AB16" i="1"/>
  <c r="W11" i="1"/>
  <c r="F12" i="170" s="1"/>
  <c r="Y61" i="1"/>
  <c r="H9" i="7"/>
  <c r="H7" i="7" s="1"/>
  <c r="H9" i="8"/>
  <c r="H7" i="8" s="1"/>
  <c r="AC41" i="1"/>
  <c r="W41" i="1"/>
  <c r="F45" i="170" s="1"/>
  <c r="AC35" i="1"/>
  <c r="W35" i="1"/>
  <c r="AB35" i="1" s="1"/>
  <c r="AC47" i="1"/>
  <c r="W47" i="1"/>
  <c r="AB47" i="1" s="1"/>
  <c r="AC36" i="1"/>
  <c r="W36" i="1"/>
  <c r="F36" i="170" s="1"/>
  <c r="J36" i="170" s="1"/>
  <c r="G14" i="8"/>
  <c r="U29" i="2"/>
  <c r="H30" i="8"/>
  <c r="P46" i="36" s="1"/>
  <c r="W30" i="1"/>
  <c r="F31" i="170" s="1"/>
  <c r="J31" i="170" s="1"/>
  <c r="AC30" i="1"/>
  <c r="W17" i="1"/>
  <c r="F18" i="170" s="1"/>
  <c r="J18" i="170" s="1"/>
  <c r="AB22" i="1"/>
  <c r="E8" i="1"/>
  <c r="X17" i="1"/>
  <c r="AC17" i="1" s="1"/>
  <c r="AC22" i="1"/>
  <c r="F9" i="1"/>
  <c r="F10" i="1" s="1"/>
  <c r="AM10" i="1"/>
  <c r="D14" i="7"/>
  <c r="C14" i="7" s="1"/>
  <c r="C16" i="7"/>
  <c r="C13" i="31" s="1"/>
  <c r="W29" i="1"/>
  <c r="F30" i="170" s="1"/>
  <c r="J30" i="170" s="1"/>
  <c r="X33" i="1"/>
  <c r="AL49" i="1"/>
  <c r="AR49" i="1"/>
  <c r="AG50" i="1"/>
  <c r="AM50" i="1" s="1"/>
  <c r="AS50" i="1" s="1"/>
  <c r="F15" i="8"/>
  <c r="S15" i="2"/>
  <c r="G20" i="157" s="1"/>
  <c r="AN50" i="1"/>
  <c r="AT50" i="1" s="1"/>
  <c r="U27" i="2"/>
  <c r="U16" i="2"/>
  <c r="Z49" i="1"/>
  <c r="U34" i="2"/>
  <c r="Z17" i="1"/>
  <c r="Z9" i="1" s="1"/>
  <c r="Z10" i="1" s="1"/>
  <c r="AD33" i="1"/>
  <c r="AD41" i="1"/>
  <c r="S36" i="2"/>
  <c r="G22" i="157" s="1"/>
  <c r="D52" i="5"/>
  <c r="C52" i="5" s="1"/>
  <c r="C51" i="5" s="1"/>
  <c r="DI9" i="1"/>
  <c r="H10" i="1"/>
  <c r="CY9" i="1"/>
  <c r="DC9" i="1"/>
  <c r="DA9" i="1"/>
  <c r="DG9" i="1"/>
  <c r="DE9" i="1"/>
  <c r="C31" i="6"/>
  <c r="C30" i="6" s="1"/>
  <c r="U19" i="2"/>
  <c r="U18" i="2" s="1"/>
  <c r="P18" i="2"/>
  <c r="P15" i="2" s="1"/>
  <c r="E50" i="5"/>
  <c r="E22" i="6"/>
  <c r="E21" i="6" s="1"/>
  <c r="C24" i="6"/>
  <c r="C22" i="6" s="1"/>
  <c r="C10" i="5"/>
  <c r="BF10" i="2"/>
  <c r="BJ10" i="2"/>
  <c r="BH10" i="2"/>
  <c r="BD10" i="2"/>
  <c r="U12" i="2"/>
  <c r="BF18" i="2"/>
  <c r="BH18" i="2"/>
  <c r="BD18" i="2"/>
  <c r="BJ18" i="2"/>
  <c r="BB10" i="2"/>
  <c r="AZ10" i="2"/>
  <c r="BB18" i="2"/>
  <c r="AZ18" i="2"/>
  <c r="AT37" i="1"/>
  <c r="CR37" i="1"/>
  <c r="E50" i="6"/>
  <c r="C50" i="6" s="1"/>
  <c r="P35" i="2"/>
  <c r="U35" i="2" s="1"/>
  <c r="D45" i="6"/>
  <c r="D43" i="6" s="1"/>
  <c r="E15" i="6"/>
  <c r="C15" i="6" s="1"/>
  <c r="C23" i="5"/>
  <c r="E22" i="5"/>
  <c r="E21" i="5" s="1"/>
  <c r="H10" i="2"/>
  <c r="F9" i="2"/>
  <c r="AZ9" i="2" s="1"/>
  <c r="M9" i="1"/>
  <c r="M10" i="1" s="1"/>
  <c r="L9" i="1"/>
  <c r="L10" i="1" s="1"/>
  <c r="K9" i="1"/>
  <c r="K10" i="1" s="1"/>
  <c r="S9" i="1"/>
  <c r="S10" i="1" s="1"/>
  <c r="D30" i="5"/>
  <c r="D21" i="5" s="1"/>
  <c r="CQ9" i="1"/>
  <c r="CR9" i="1" s="1"/>
  <c r="U49" i="1"/>
  <c r="AM8" i="1" s="1"/>
  <c r="AM61" i="1" s="1"/>
  <c r="AD40" i="1"/>
  <c r="D50" i="5"/>
  <c r="R19" i="2"/>
  <c r="R16" i="2"/>
  <c r="R27" i="2"/>
  <c r="R28" i="2"/>
  <c r="R26" i="2"/>
  <c r="R21" i="2"/>
  <c r="R12" i="2"/>
  <c r="D45" i="5"/>
  <c r="D43" i="5" s="1"/>
  <c r="E44" i="5"/>
  <c r="T10" i="2"/>
  <c r="H16" i="157" s="1"/>
  <c r="V11" i="1"/>
  <c r="V9" i="1" s="1"/>
  <c r="E15" i="5"/>
  <c r="C15" i="5" s="1"/>
  <c r="C24" i="5"/>
  <c r="N8" i="1"/>
  <c r="Q11" i="1"/>
  <c r="R16" i="1"/>
  <c r="X16" i="1" s="1"/>
  <c r="R28" i="1"/>
  <c r="P8" i="1"/>
  <c r="R53" i="1"/>
  <c r="X53" i="1" s="1"/>
  <c r="O29" i="36" s="1"/>
  <c r="D61" i="1"/>
  <c r="I9" i="1"/>
  <c r="H8" i="1"/>
  <c r="O9" i="1"/>
  <c r="R57" i="1"/>
  <c r="H18" i="2"/>
  <c r="M18" i="2"/>
  <c r="K11" i="2"/>
  <c r="AB34" i="1" l="1"/>
  <c r="F35" i="170"/>
  <c r="J35" i="170" s="1"/>
  <c r="C43" i="2"/>
  <c r="E5" i="164"/>
  <c r="R26" i="114"/>
  <c r="J12" i="170"/>
  <c r="T26" i="114"/>
  <c r="F20" i="157"/>
  <c r="H15" i="157"/>
  <c r="F16" i="157"/>
  <c r="F15" i="157" s="1"/>
  <c r="L35" i="36"/>
  <c r="G21" i="157"/>
  <c r="F22" i="157"/>
  <c r="F21" i="157" s="1"/>
  <c r="R31" i="36"/>
  <c r="Q31" i="36"/>
  <c r="E28" i="36"/>
  <c r="E37" i="36" s="1"/>
  <c r="E56" i="36"/>
  <c r="AB7" i="158"/>
  <c r="K7" i="158"/>
  <c r="M7" i="158"/>
  <c r="N29" i="36"/>
  <c r="L29" i="36" s="1"/>
  <c r="O28" i="36"/>
  <c r="G12" i="158"/>
  <c r="G8" i="158" s="1"/>
  <c r="H8" i="158"/>
  <c r="R7" i="36"/>
  <c r="AF7" i="36"/>
  <c r="AE7" i="36"/>
  <c r="G8" i="36"/>
  <c r="G7" i="36" s="1"/>
  <c r="G37" i="36" s="1"/>
  <c r="H8" i="36"/>
  <c r="C33" i="31"/>
  <c r="N36" i="114"/>
  <c r="AL29" i="2"/>
  <c r="Y16" i="20"/>
  <c r="AA16" i="20" s="1"/>
  <c r="Z21" i="20"/>
  <c r="AC21" i="20" s="1"/>
  <c r="R27" i="8"/>
  <c r="K11" i="43"/>
  <c r="I11" i="43" s="1"/>
  <c r="T29" i="41"/>
  <c r="N36" i="42" s="1"/>
  <c r="Q7" i="36"/>
  <c r="K7" i="36"/>
  <c r="K37" i="36" s="1"/>
  <c r="N37" i="8"/>
  <c r="H19" i="43" s="1"/>
  <c r="AD28" i="60"/>
  <c r="AB36" i="1"/>
  <c r="E5" i="114"/>
  <c r="E45" i="114" s="1"/>
  <c r="E6" i="114"/>
  <c r="E7" i="114" s="1"/>
  <c r="D21" i="84"/>
  <c r="C24" i="85"/>
  <c r="C33" i="85"/>
  <c r="AB17" i="1"/>
  <c r="C11" i="85"/>
  <c r="AB41" i="1"/>
  <c r="AB30" i="1"/>
  <c r="D12" i="84"/>
  <c r="F12" i="84" s="1"/>
  <c r="D33" i="85"/>
  <c r="D24" i="85"/>
  <c r="G7" i="23"/>
  <c r="G11" i="23" s="1"/>
  <c r="C10" i="84"/>
  <c r="E12" i="30"/>
  <c r="C12" i="30" s="1"/>
  <c r="C11" i="30" s="1"/>
  <c r="H24" i="114"/>
  <c r="H12" i="114"/>
  <c r="W8" i="114"/>
  <c r="W14" i="114" s="1"/>
  <c r="H51" i="114"/>
  <c r="H53" i="114" s="1"/>
  <c r="H54" i="114" s="1"/>
  <c r="H55" i="114" s="1"/>
  <c r="H6" i="114"/>
  <c r="H7" i="114" s="1"/>
  <c r="H5" i="114"/>
  <c r="D18" i="30"/>
  <c r="C18" i="30" s="1"/>
  <c r="C17" i="30" s="1"/>
  <c r="G40" i="114"/>
  <c r="D16" i="30"/>
  <c r="C16" i="30" s="1"/>
  <c r="G29" i="114"/>
  <c r="T41" i="42"/>
  <c r="O41" i="42"/>
  <c r="R41" i="42" s="1"/>
  <c r="P14" i="60"/>
  <c r="M24" i="61" s="1"/>
  <c r="AO36" i="60"/>
  <c r="AM36" i="60"/>
  <c r="AM34" i="60" s="1"/>
  <c r="AJ34" i="60" s="1"/>
  <c r="AJ14" i="19"/>
  <c r="AN14" i="19" s="1"/>
  <c r="H61" i="1"/>
  <c r="DI8" i="1"/>
  <c r="R25" i="60"/>
  <c r="AF58" i="40"/>
  <c r="D19" i="39"/>
  <c r="D9" i="39" s="1"/>
  <c r="D8" i="39" s="1"/>
  <c r="K58" i="40"/>
  <c r="K60" i="40" s="1"/>
  <c r="K62" i="40" s="1"/>
  <c r="H60" i="40"/>
  <c r="AF60" i="40" s="1"/>
  <c r="F19" i="42"/>
  <c r="F5" i="42" s="1"/>
  <c r="H5" i="42"/>
  <c r="D49" i="42"/>
  <c r="D47" i="42"/>
  <c r="D6" i="42"/>
  <c r="D7" i="42" s="1"/>
  <c r="C49" i="42"/>
  <c r="C6" i="42"/>
  <c r="AG12" i="60"/>
  <c r="AO14" i="19"/>
  <c r="AT14" i="19" s="1"/>
  <c r="AL12" i="60"/>
  <c r="H29" i="41"/>
  <c r="D28" i="39"/>
  <c r="T10" i="60"/>
  <c r="J10" i="41"/>
  <c r="Q26" i="42"/>
  <c r="U12" i="41"/>
  <c r="W12" i="41" s="1"/>
  <c r="C52" i="6"/>
  <c r="C51" i="6" s="1"/>
  <c r="R12" i="41"/>
  <c r="AG20" i="19"/>
  <c r="AG16" i="19" s="1"/>
  <c r="L26" i="42"/>
  <c r="S35" i="60"/>
  <c r="I36" i="41"/>
  <c r="R27" i="7"/>
  <c r="H26" i="41"/>
  <c r="F15" i="41"/>
  <c r="P50" i="60"/>
  <c r="P46" i="60" s="1"/>
  <c r="S46" i="60"/>
  <c r="R28" i="60"/>
  <c r="M25" i="61"/>
  <c r="AG30" i="19"/>
  <c r="T27" i="7"/>
  <c r="AI128" i="19"/>
  <c r="AJ127" i="19"/>
  <c r="AN127" i="19" s="1"/>
  <c r="AJ12" i="2"/>
  <c r="AH133" i="2"/>
  <c r="C11" i="39"/>
  <c r="T27" i="8"/>
  <c r="E63" i="1"/>
  <c r="G63" i="1"/>
  <c r="W53" i="1"/>
  <c r="H6" i="7"/>
  <c r="H13" i="7"/>
  <c r="H6" i="8"/>
  <c r="H8" i="8"/>
  <c r="H13" i="8"/>
  <c r="AB29" i="1"/>
  <c r="P36" i="2"/>
  <c r="G41" i="7"/>
  <c r="G41" i="8"/>
  <c r="O57" i="36" s="1"/>
  <c r="H25" i="7"/>
  <c r="H24" i="7" s="1"/>
  <c r="H25" i="8"/>
  <c r="P41" i="36" s="1"/>
  <c r="P10" i="2"/>
  <c r="U10" i="2" s="1"/>
  <c r="V15" i="2"/>
  <c r="G30" i="7"/>
  <c r="G30" i="8"/>
  <c r="H33" i="8"/>
  <c r="P49" i="36" s="1"/>
  <c r="AC53" i="1"/>
  <c r="AO53" i="1" s="1"/>
  <c r="F8" i="1"/>
  <c r="D8" i="114" s="1"/>
  <c r="D5" i="114" s="1"/>
  <c r="D45" i="114" s="1"/>
  <c r="AB11" i="1"/>
  <c r="X11" i="1"/>
  <c r="O10" i="36" s="1"/>
  <c r="AC16" i="1"/>
  <c r="AC11" i="1" s="1"/>
  <c r="W33" i="1"/>
  <c r="F34" i="170" s="1"/>
  <c r="AC33" i="1"/>
  <c r="V10" i="1"/>
  <c r="V8" i="1"/>
  <c r="Z8" i="1"/>
  <c r="E9" i="7"/>
  <c r="E7" i="7" s="1"/>
  <c r="AI33" i="1"/>
  <c r="AE8" i="1"/>
  <c r="AF8" i="1" s="1"/>
  <c r="AV24" i="1"/>
  <c r="AN24" i="1"/>
  <c r="AP23" i="1"/>
  <c r="AV21" i="1"/>
  <c r="AT21" i="1" s="1"/>
  <c r="AN21" i="1"/>
  <c r="AV19" i="1"/>
  <c r="AT19" i="1" s="1"/>
  <c r="AN19" i="1"/>
  <c r="AV12" i="1"/>
  <c r="AT12" i="1" s="1"/>
  <c r="AN12" i="1"/>
  <c r="AV15" i="1"/>
  <c r="AT15" i="1" s="1"/>
  <c r="AN15" i="1"/>
  <c r="AT32" i="1"/>
  <c r="AN32" i="1"/>
  <c r="AV18" i="1"/>
  <c r="AN18" i="1"/>
  <c r="AV14" i="1"/>
  <c r="AT14" i="1" s="1"/>
  <c r="AN14" i="1"/>
  <c r="AT34" i="1"/>
  <c r="AN34" i="1"/>
  <c r="AV25" i="1"/>
  <c r="AT25" i="1" s="1"/>
  <c r="AN25" i="1"/>
  <c r="AV13" i="1"/>
  <c r="AT13" i="1" s="1"/>
  <c r="AN13" i="1"/>
  <c r="AT47" i="1"/>
  <c r="AN47" i="1"/>
  <c r="X28" i="1"/>
  <c r="AV22" i="1"/>
  <c r="AT22" i="1" s="1"/>
  <c r="AN22" i="1"/>
  <c r="AT31" i="1"/>
  <c r="AN31" i="1"/>
  <c r="AV20" i="1"/>
  <c r="AT20" i="1" s="1"/>
  <c r="AN20" i="1"/>
  <c r="AT30" i="1"/>
  <c r="AN30" i="1"/>
  <c r="F14" i="8"/>
  <c r="E61" i="1"/>
  <c r="AP28" i="1"/>
  <c r="AN29" i="1"/>
  <c r="G61" i="1"/>
  <c r="E9" i="8"/>
  <c r="E65" i="8" s="1"/>
  <c r="E67" i="8" s="1"/>
  <c r="AT41" i="1"/>
  <c r="AT38" i="1"/>
  <c r="AU11" i="1"/>
  <c r="V36" i="2"/>
  <c r="V35" i="2"/>
  <c r="D51" i="5"/>
  <c r="AV16" i="1"/>
  <c r="AT16" i="1" s="1"/>
  <c r="C21" i="6"/>
  <c r="CY8" i="1"/>
  <c r="DA8" i="1"/>
  <c r="DE8" i="1"/>
  <c r="DG8" i="1"/>
  <c r="DC8" i="1"/>
  <c r="CY10" i="1"/>
  <c r="DI10" i="1"/>
  <c r="DC10" i="1"/>
  <c r="DG10" i="1"/>
  <c r="DE10" i="1"/>
  <c r="DA10" i="1"/>
  <c r="U15" i="2"/>
  <c r="F8" i="2"/>
  <c r="H8" i="2" s="1"/>
  <c r="C44" i="5"/>
  <c r="BH9" i="2"/>
  <c r="BD9" i="2"/>
  <c r="BJ9" i="2"/>
  <c r="BF9" i="2"/>
  <c r="BF15" i="2"/>
  <c r="BD15" i="2"/>
  <c r="BJ15" i="2"/>
  <c r="BH15" i="2"/>
  <c r="H9" i="2"/>
  <c r="BB9" i="2"/>
  <c r="BB15" i="2"/>
  <c r="AZ15" i="2"/>
  <c r="M8" i="1"/>
  <c r="E7" i="6" s="1"/>
  <c r="L8" i="1"/>
  <c r="R35" i="2"/>
  <c r="I8" i="1"/>
  <c r="K8" i="1"/>
  <c r="K61" i="1" s="1"/>
  <c r="E45" i="6"/>
  <c r="E43" i="6" s="1"/>
  <c r="C22" i="5"/>
  <c r="C21" i="5" s="1"/>
  <c r="V11" i="2"/>
  <c r="V9" i="2" s="1"/>
  <c r="S9" i="2"/>
  <c r="U11" i="2"/>
  <c r="K9" i="2"/>
  <c r="W10" i="2"/>
  <c r="AD28" i="1"/>
  <c r="AD9" i="1" s="1"/>
  <c r="AD10" i="1" s="1"/>
  <c r="AA11" i="1"/>
  <c r="AA9" i="1" s="1"/>
  <c r="AA10" i="1" s="1"/>
  <c r="Q9" i="1"/>
  <c r="Q10" i="1" s="1"/>
  <c r="R18" i="2"/>
  <c r="CQ8" i="1"/>
  <c r="CR8" i="1" s="1"/>
  <c r="C50" i="5"/>
  <c r="E45" i="5"/>
  <c r="E43" i="5" s="1"/>
  <c r="W11" i="2"/>
  <c r="O10" i="1"/>
  <c r="P61" i="1"/>
  <c r="S8" i="1"/>
  <c r="I10" i="1"/>
  <c r="R11" i="1"/>
  <c r="O8" i="1"/>
  <c r="J8" i="1"/>
  <c r="M15" i="2"/>
  <c r="M11" i="2"/>
  <c r="C10" i="85" l="1"/>
  <c r="C32" i="85" s="1"/>
  <c r="C34" i="85" s="1"/>
  <c r="E8" i="164"/>
  <c r="E11" i="164"/>
  <c r="N10" i="36"/>
  <c r="AC28" i="1"/>
  <c r="O12" i="36"/>
  <c r="N12" i="36" s="1"/>
  <c r="O26" i="42"/>
  <c r="H46" i="158"/>
  <c r="L46" i="158" s="1"/>
  <c r="H9" i="158"/>
  <c r="H7" i="158"/>
  <c r="G7" i="158"/>
  <c r="G9" i="158"/>
  <c r="AC29" i="36"/>
  <c r="AD29" i="36"/>
  <c r="L28" i="36"/>
  <c r="L37" i="36" s="1"/>
  <c r="Q29" i="36"/>
  <c r="R29" i="36"/>
  <c r="P40" i="36"/>
  <c r="N41" i="36"/>
  <c r="L41" i="36" s="1"/>
  <c r="N28" i="36"/>
  <c r="N57" i="36"/>
  <c r="O56" i="36"/>
  <c r="R35" i="36"/>
  <c r="F30" i="8"/>
  <c r="O46" i="36"/>
  <c r="H9" i="36"/>
  <c r="G9" i="36"/>
  <c r="H7" i="36"/>
  <c r="H37" i="36" s="1"/>
  <c r="H62" i="36" s="1"/>
  <c r="G62" i="36" s="1"/>
  <c r="E62" i="36" s="1"/>
  <c r="C17" i="31"/>
  <c r="T32" i="2"/>
  <c r="AW48" i="1"/>
  <c r="AW38" i="1"/>
  <c r="AW40" i="1"/>
  <c r="AW28" i="1"/>
  <c r="AI28" i="1"/>
  <c r="AW16" i="1"/>
  <c r="AW24" i="1"/>
  <c r="AW32" i="1"/>
  <c r="AW60" i="1"/>
  <c r="AW25" i="1"/>
  <c r="AW33" i="1"/>
  <c r="AW41" i="1"/>
  <c r="AW49" i="1"/>
  <c r="AW8" i="1"/>
  <c r="AW57" i="1"/>
  <c r="AW30" i="1"/>
  <c r="AW46" i="1"/>
  <c r="AW47" i="1"/>
  <c r="AW18" i="1"/>
  <c r="AW34" i="1"/>
  <c r="AW42" i="1"/>
  <c r="AW50" i="1"/>
  <c r="AW19" i="1"/>
  <c r="AW35" i="1"/>
  <c r="AW43" i="1"/>
  <c r="AW51" i="1"/>
  <c r="AW36" i="1"/>
  <c r="AW44" i="1"/>
  <c r="AW53" i="1"/>
  <c r="AW21" i="1"/>
  <c r="AW29" i="1"/>
  <c r="AW37" i="1"/>
  <c r="AW45" i="1"/>
  <c r="AW58" i="1"/>
  <c r="AW31" i="1"/>
  <c r="AW39" i="1"/>
  <c r="AW12" i="1"/>
  <c r="AW13" i="1"/>
  <c r="AW14" i="1"/>
  <c r="AW15" i="1"/>
  <c r="AW56" i="1"/>
  <c r="AW22" i="1"/>
  <c r="AW20" i="1"/>
  <c r="AW26" i="1"/>
  <c r="AW27" i="1"/>
  <c r="AW23" i="1"/>
  <c r="AW11" i="1"/>
  <c r="AW17" i="1"/>
  <c r="AW9" i="1"/>
  <c r="AW10" i="1"/>
  <c r="E11" i="30"/>
  <c r="D17" i="30"/>
  <c r="D14" i="84"/>
  <c r="F14" i="84" s="1"/>
  <c r="D13" i="85"/>
  <c r="D29" i="84"/>
  <c r="D28" i="84" s="1"/>
  <c r="G46" i="23"/>
  <c r="AB33" i="1"/>
  <c r="F29" i="114"/>
  <c r="G32" i="114"/>
  <c r="F32" i="114" s="1"/>
  <c r="W21" i="114"/>
  <c r="W30" i="114" s="1"/>
  <c r="C13" i="49"/>
  <c r="C12" i="49" s="1"/>
  <c r="C14" i="116"/>
  <c r="C13" i="116" s="1"/>
  <c r="J14" i="114"/>
  <c r="G39" i="114"/>
  <c r="F39" i="114" s="1"/>
  <c r="F40" i="114"/>
  <c r="H23" i="114"/>
  <c r="F24" i="114"/>
  <c r="F23" i="114" s="1"/>
  <c r="C11" i="84"/>
  <c r="C9" i="84"/>
  <c r="D12" i="114"/>
  <c r="C12" i="114" s="1"/>
  <c r="C8" i="114"/>
  <c r="C5" i="114" s="1"/>
  <c r="C45" i="114" s="1"/>
  <c r="D6" i="114"/>
  <c r="R14" i="60"/>
  <c r="P15" i="8"/>
  <c r="AX14" i="19"/>
  <c r="AT36" i="60"/>
  <c r="AR36" i="60"/>
  <c r="AR34" i="60" s="1"/>
  <c r="AO34" i="60" s="1"/>
  <c r="T26" i="42"/>
  <c r="H24" i="42"/>
  <c r="J9" i="41"/>
  <c r="F10" i="41"/>
  <c r="D24" i="39"/>
  <c r="H15" i="41"/>
  <c r="T9" i="60"/>
  <c r="P10" i="60"/>
  <c r="AK128" i="19"/>
  <c r="AJ128" i="19"/>
  <c r="AN128" i="19" s="1"/>
  <c r="G40" i="42"/>
  <c r="F36" i="41"/>
  <c r="I35" i="41"/>
  <c r="P35" i="60"/>
  <c r="S70" i="60"/>
  <c r="S34" i="60"/>
  <c r="R26" i="42"/>
  <c r="F63" i="1"/>
  <c r="E7" i="8"/>
  <c r="E8" i="8" s="1"/>
  <c r="J15" i="7"/>
  <c r="W28" i="1"/>
  <c r="F29" i="170" s="1"/>
  <c r="F11" i="170" s="1"/>
  <c r="F10" i="170" s="1"/>
  <c r="AB53" i="1"/>
  <c r="G33" i="7"/>
  <c r="F33" i="7" s="1"/>
  <c r="F30" i="7"/>
  <c r="H24" i="8"/>
  <c r="F25" i="8"/>
  <c r="F24" i="8" s="1"/>
  <c r="R10" i="2"/>
  <c r="F25" i="7"/>
  <c r="F24" i="7" s="1"/>
  <c r="F41" i="8"/>
  <c r="G40" i="8"/>
  <c r="F40" i="8" s="1"/>
  <c r="F41" i="7"/>
  <c r="G40" i="7"/>
  <c r="F40" i="7" s="1"/>
  <c r="U36" i="2"/>
  <c r="R36" i="2"/>
  <c r="AG36" i="2" s="1"/>
  <c r="G33" i="8"/>
  <c r="X9" i="1"/>
  <c r="X10" i="1" s="1"/>
  <c r="V61" i="1"/>
  <c r="AA8" i="1"/>
  <c r="AD8" i="1"/>
  <c r="AV23" i="1"/>
  <c r="AV28" i="1"/>
  <c r="D9" i="7"/>
  <c r="E13" i="7"/>
  <c r="W9" i="7"/>
  <c r="W15" i="7" s="1"/>
  <c r="W22" i="7" s="1"/>
  <c r="W31" i="7" s="1"/>
  <c r="E6" i="7"/>
  <c r="E46" i="7" s="1"/>
  <c r="E8" i="7" s="1"/>
  <c r="H52" i="7"/>
  <c r="H54" i="7" s="1"/>
  <c r="H55" i="7" s="1"/>
  <c r="H56" i="7" s="1"/>
  <c r="AT11" i="1"/>
  <c r="AN23" i="1"/>
  <c r="AV17" i="1"/>
  <c r="AH33" i="1"/>
  <c r="H34" i="170" s="1"/>
  <c r="AN17" i="1"/>
  <c r="AN16" i="1"/>
  <c r="AN11" i="1" s="1"/>
  <c r="AO11" i="1"/>
  <c r="AP11" i="1"/>
  <c r="AR33" i="1"/>
  <c r="AK28" i="1"/>
  <c r="AK9" i="1" s="1"/>
  <c r="AL9" i="1" s="1"/>
  <c r="AT57" i="1"/>
  <c r="AV11" i="1"/>
  <c r="AC9" i="1"/>
  <c r="AC10" i="1" s="1"/>
  <c r="AN28" i="1"/>
  <c r="AT18" i="1"/>
  <c r="AT17" i="1" s="1"/>
  <c r="AT24" i="1"/>
  <c r="AT23" i="1" s="1"/>
  <c r="AT29" i="1"/>
  <c r="E6" i="8"/>
  <c r="E46" i="8" s="1"/>
  <c r="E13" i="8"/>
  <c r="H52" i="8"/>
  <c r="H54" i="8" s="1"/>
  <c r="H55" i="8" s="1"/>
  <c r="H56" i="8" s="1"/>
  <c r="W9" i="8"/>
  <c r="W15" i="8" s="1"/>
  <c r="W22" i="8" s="1"/>
  <c r="W31" i="8" s="1"/>
  <c r="F61" i="1"/>
  <c r="D9" i="8"/>
  <c r="R9" i="1"/>
  <c r="R10" i="1" s="1"/>
  <c r="L61" i="1"/>
  <c r="D7" i="5"/>
  <c r="D6" i="5" s="1"/>
  <c r="D41" i="5" s="1"/>
  <c r="E6" i="6"/>
  <c r="U8" i="1"/>
  <c r="CP28" i="1"/>
  <c r="AU21" i="2"/>
  <c r="AU22" i="2" s="1"/>
  <c r="F7" i="2"/>
  <c r="W9" i="2"/>
  <c r="U9" i="2"/>
  <c r="BJ8" i="2"/>
  <c r="BF8" i="2"/>
  <c r="BD8" i="2"/>
  <c r="BH8" i="2"/>
  <c r="BB8" i="2"/>
  <c r="AZ8" i="2"/>
  <c r="T9" i="2"/>
  <c r="M61" i="1"/>
  <c r="E7" i="5"/>
  <c r="E6" i="5" s="1"/>
  <c r="D7" i="6"/>
  <c r="C45" i="6"/>
  <c r="C43" i="6" s="1"/>
  <c r="P9" i="2"/>
  <c r="E14" i="6"/>
  <c r="E13" i="6" s="1"/>
  <c r="R11" i="2"/>
  <c r="C45" i="5"/>
  <c r="C43" i="5" s="1"/>
  <c r="R15" i="2"/>
  <c r="U10" i="1"/>
  <c r="Q8" i="1"/>
  <c r="E14" i="5"/>
  <c r="E13" i="5" s="1"/>
  <c r="J61" i="1"/>
  <c r="S61" i="1"/>
  <c r="AA12" i="36" l="1"/>
  <c r="V12" i="158"/>
  <c r="O8" i="36"/>
  <c r="N8" i="36"/>
  <c r="R37" i="36"/>
  <c r="N40" i="36"/>
  <c r="L40" i="36" s="1"/>
  <c r="N46" i="36"/>
  <c r="L46" i="36" s="1"/>
  <c r="F33" i="8"/>
  <c r="O49" i="36"/>
  <c r="N49" i="36" s="1"/>
  <c r="L49" i="36" s="1"/>
  <c r="L57" i="36"/>
  <c r="N56" i="36"/>
  <c r="T33" i="2"/>
  <c r="H28" i="157" s="1"/>
  <c r="F28" i="157" s="1"/>
  <c r="H27" i="157"/>
  <c r="H47" i="158"/>
  <c r="L47" i="158" s="1"/>
  <c r="Q28" i="36"/>
  <c r="R28" i="36"/>
  <c r="R41" i="36"/>
  <c r="Q41" i="36"/>
  <c r="Z12" i="36"/>
  <c r="D7" i="8"/>
  <c r="D8" i="8" s="1"/>
  <c r="D65" i="8"/>
  <c r="D67" i="8" s="1"/>
  <c r="D7" i="7"/>
  <c r="D8" i="7" s="1"/>
  <c r="D13" i="7"/>
  <c r="C13" i="7" s="1"/>
  <c r="M15" i="8"/>
  <c r="L15" i="8" s="1"/>
  <c r="I15" i="8"/>
  <c r="C20" i="115"/>
  <c r="E13" i="85"/>
  <c r="G13" i="85" s="1"/>
  <c r="AH28" i="1"/>
  <c r="H29" i="170" s="1"/>
  <c r="D20" i="84"/>
  <c r="AB28" i="1"/>
  <c r="AB9" i="1" s="1"/>
  <c r="AB10" i="1" s="1"/>
  <c r="E23" i="30"/>
  <c r="H34" i="114"/>
  <c r="I14" i="114"/>
  <c r="M14" i="114"/>
  <c r="P14" i="114"/>
  <c r="J13" i="114"/>
  <c r="C6" i="114"/>
  <c r="D7" i="114"/>
  <c r="C7" i="114" s="1"/>
  <c r="C20" i="48"/>
  <c r="C35" i="50" s="1"/>
  <c r="C20" i="110"/>
  <c r="M15" i="7"/>
  <c r="L15" i="7" s="1"/>
  <c r="AY36" i="60"/>
  <c r="BB36" i="60" s="1"/>
  <c r="BB34" i="60" s="1"/>
  <c r="AY34" i="60" s="1"/>
  <c r="AW36" i="60"/>
  <c r="AW34" i="60" s="1"/>
  <c r="AT34" i="60" s="1"/>
  <c r="J32" i="41"/>
  <c r="H34" i="42" s="1"/>
  <c r="T31" i="60"/>
  <c r="N41" i="7"/>
  <c r="N40" i="7" s="1"/>
  <c r="AD35" i="60"/>
  <c r="AD34" i="60" s="1"/>
  <c r="T36" i="41"/>
  <c r="T35" i="41" s="1"/>
  <c r="D32" i="39"/>
  <c r="D31" i="39" s="1"/>
  <c r="F35" i="41"/>
  <c r="H35" i="41" s="1"/>
  <c r="AG12" i="19"/>
  <c r="AG11" i="19" s="1"/>
  <c r="R10" i="60"/>
  <c r="P9" i="60"/>
  <c r="F40" i="42"/>
  <c r="G39" i="42"/>
  <c r="F39" i="42" s="1"/>
  <c r="AG38" i="19"/>
  <c r="AG36" i="19" s="1"/>
  <c r="M32" i="61"/>
  <c r="R35" i="60"/>
  <c r="H10" i="41"/>
  <c r="F9" i="41"/>
  <c r="P34" i="60"/>
  <c r="R34" i="60" s="1"/>
  <c r="S69" i="60"/>
  <c r="H23" i="42"/>
  <c r="F24" i="42"/>
  <c r="F23" i="42" s="1"/>
  <c r="F22" i="42" s="1"/>
  <c r="I15" i="7"/>
  <c r="X8" i="1"/>
  <c r="G10" i="157" s="1"/>
  <c r="AU53" i="1"/>
  <c r="P15" i="7" s="1"/>
  <c r="AN53" i="1"/>
  <c r="W9" i="1"/>
  <c r="H35" i="8"/>
  <c r="P51" i="36" s="1"/>
  <c r="H35" i="7"/>
  <c r="W32" i="2"/>
  <c r="AL36" i="2"/>
  <c r="Q40" i="114" s="1"/>
  <c r="AG35" i="2"/>
  <c r="AA61" i="1"/>
  <c r="AC8" i="1"/>
  <c r="AK10" i="1"/>
  <c r="AL10" i="1" s="1"/>
  <c r="AK8" i="1"/>
  <c r="AL8" i="1" s="1"/>
  <c r="D6" i="7"/>
  <c r="D46" i="7" s="1"/>
  <c r="C9" i="7"/>
  <c r="AO28" i="1"/>
  <c r="AL28" i="1"/>
  <c r="AR28" i="1"/>
  <c r="O15" i="8"/>
  <c r="D6" i="8"/>
  <c r="D46" i="8" s="1"/>
  <c r="C9" i="8"/>
  <c r="C6" i="8" s="1"/>
  <c r="C46" i="8" s="1"/>
  <c r="D13" i="8"/>
  <c r="R8" i="1"/>
  <c r="D14" i="6" s="1"/>
  <c r="C14" i="6" s="1"/>
  <c r="AV7" i="2"/>
  <c r="C7" i="6"/>
  <c r="C6" i="6" s="1"/>
  <c r="C71" i="6" s="1"/>
  <c r="D6" i="6"/>
  <c r="D71" i="6" s="1"/>
  <c r="E5" i="5"/>
  <c r="E5" i="6"/>
  <c r="E71" i="6"/>
  <c r="E41" i="6"/>
  <c r="G15" i="2"/>
  <c r="BJ7" i="2"/>
  <c r="E41" i="5"/>
  <c r="C41" i="5" s="1"/>
  <c r="C7" i="5"/>
  <c r="C6" i="5" s="1"/>
  <c r="M9" i="2"/>
  <c r="R58" i="1"/>
  <c r="Q58" i="1"/>
  <c r="N55" i="1"/>
  <c r="J29" i="170" l="1"/>
  <c r="N7" i="36"/>
  <c r="N37" i="36" s="1"/>
  <c r="N9" i="36"/>
  <c r="O7" i="36"/>
  <c r="O37" i="36" s="1"/>
  <c r="O9" i="36"/>
  <c r="U12" i="158"/>
  <c r="H14" i="157"/>
  <c r="H31" i="157" s="1"/>
  <c r="Q49" i="36"/>
  <c r="R49" i="36"/>
  <c r="R46" i="36"/>
  <c r="Q46" i="36"/>
  <c r="R40" i="36"/>
  <c r="Q40" i="36"/>
  <c r="F10" i="157"/>
  <c r="R57" i="36"/>
  <c r="Q57" i="36"/>
  <c r="L56" i="36"/>
  <c r="C7" i="8"/>
  <c r="C13" i="8"/>
  <c r="E12" i="31"/>
  <c r="D12" i="31"/>
  <c r="C7" i="7"/>
  <c r="C8" i="31"/>
  <c r="S15" i="8"/>
  <c r="S14" i="114"/>
  <c r="Q39" i="114"/>
  <c r="T40" i="114"/>
  <c r="T39" i="114" s="1"/>
  <c r="AB8" i="1"/>
  <c r="G9" i="7"/>
  <c r="G7" i="7" s="1"/>
  <c r="G8" i="114"/>
  <c r="E24" i="30"/>
  <c r="C24" i="30" s="1"/>
  <c r="H35" i="114"/>
  <c r="O14" i="114"/>
  <c r="L14" i="114"/>
  <c r="C35" i="111"/>
  <c r="C35" i="117"/>
  <c r="F21" i="42"/>
  <c r="AT53" i="1"/>
  <c r="S15" i="7"/>
  <c r="W10" i="1"/>
  <c r="AI35" i="60"/>
  <c r="AI34" i="60" s="1"/>
  <c r="Y36" i="41"/>
  <c r="G9" i="8"/>
  <c r="G52" i="8" s="1"/>
  <c r="D6" i="30"/>
  <c r="M23" i="61"/>
  <c r="R9" i="60"/>
  <c r="D23" i="39"/>
  <c r="H9" i="41"/>
  <c r="M31" i="61"/>
  <c r="T32" i="60"/>
  <c r="J33" i="41"/>
  <c r="O15" i="7"/>
  <c r="R15" i="7" s="1"/>
  <c r="Q41" i="8"/>
  <c r="Q41" i="7"/>
  <c r="C8" i="7"/>
  <c r="W8" i="1"/>
  <c r="W33" i="2"/>
  <c r="W8" i="2" s="1"/>
  <c r="P33" i="2"/>
  <c r="H36" i="8"/>
  <c r="H36" i="7"/>
  <c r="H23" i="7" s="1"/>
  <c r="H22" i="7" s="1"/>
  <c r="H46" i="7" s="1"/>
  <c r="T8" i="2"/>
  <c r="T7" i="2" s="1"/>
  <c r="AL35" i="2"/>
  <c r="AT33" i="1"/>
  <c r="AT28" i="1" s="1"/>
  <c r="AU28" i="1"/>
  <c r="D14" i="5"/>
  <c r="C14" i="5" s="1"/>
  <c r="C6" i="7"/>
  <c r="C46" i="7" s="1"/>
  <c r="R15" i="8"/>
  <c r="C8" i="8"/>
  <c r="AD61" i="1"/>
  <c r="AU7" i="2"/>
  <c r="D41" i="6"/>
  <c r="C41" i="6" s="1"/>
  <c r="D66" i="6"/>
  <c r="D68" i="6" s="1"/>
  <c r="D69" i="6" s="1"/>
  <c r="AU8" i="2"/>
  <c r="C67" i="6"/>
  <c r="AV8" i="2"/>
  <c r="AV9" i="2" s="1"/>
  <c r="AV10" i="2" s="1"/>
  <c r="AV11" i="2" s="1"/>
  <c r="AV12" i="2" s="1"/>
  <c r="AV13" i="2" s="1"/>
  <c r="AV15" i="2" s="1"/>
  <c r="AV17" i="2" s="1"/>
  <c r="O32" i="2"/>
  <c r="E58" i="6" s="1"/>
  <c r="E42" i="6" s="1"/>
  <c r="CP13" i="1"/>
  <c r="R9" i="2"/>
  <c r="R55" i="1"/>
  <c r="X58" i="1"/>
  <c r="X57" i="59" s="1"/>
  <c r="N52" i="1"/>
  <c r="T55" i="1"/>
  <c r="Q55" i="1"/>
  <c r="R56" i="36" l="1"/>
  <c r="Q56" i="36"/>
  <c r="F36" i="8"/>
  <c r="P52" i="36"/>
  <c r="F52" i="8"/>
  <c r="G54" i="8"/>
  <c r="F12" i="31"/>
  <c r="H12" i="31"/>
  <c r="G12" i="31"/>
  <c r="C7" i="31"/>
  <c r="F8" i="31"/>
  <c r="C11" i="31"/>
  <c r="H8" i="31"/>
  <c r="R14" i="114"/>
  <c r="F9" i="7"/>
  <c r="F7" i="7" s="1"/>
  <c r="G13" i="7"/>
  <c r="F13" i="7" s="1"/>
  <c r="E10" i="30"/>
  <c r="E27" i="30" s="1"/>
  <c r="V9" i="7"/>
  <c r="V15" i="7" s="1"/>
  <c r="V22" i="7" s="1"/>
  <c r="G52" i="7"/>
  <c r="G54" i="7" s="1"/>
  <c r="F54" i="7" s="1"/>
  <c r="D30" i="85"/>
  <c r="D10" i="84"/>
  <c r="D11" i="84" s="1"/>
  <c r="D11" i="85"/>
  <c r="D26" i="84"/>
  <c r="F35" i="114"/>
  <c r="H22" i="114"/>
  <c r="H21" i="114" s="1"/>
  <c r="H45" i="114" s="1"/>
  <c r="G12" i="114"/>
  <c r="F12" i="114" s="1"/>
  <c r="G51" i="114"/>
  <c r="F8" i="114"/>
  <c r="F5" i="114" s="1"/>
  <c r="G5" i="114"/>
  <c r="V8" i="114"/>
  <c r="G6" i="114"/>
  <c r="H7" i="23"/>
  <c r="Q40" i="42"/>
  <c r="Y35" i="41"/>
  <c r="G6" i="8"/>
  <c r="G13" i="8"/>
  <c r="F13" i="8" s="1"/>
  <c r="G7" i="8"/>
  <c r="F9" i="8"/>
  <c r="F6" i="8" s="1"/>
  <c r="V9" i="8"/>
  <c r="V15" i="8" s="1"/>
  <c r="V22" i="8" s="1"/>
  <c r="U22" i="8" s="1"/>
  <c r="C6" i="30"/>
  <c r="H35" i="42"/>
  <c r="H22" i="42" s="1"/>
  <c r="H21" i="42" s="1"/>
  <c r="H45" i="42" s="1"/>
  <c r="F33" i="41"/>
  <c r="D27" i="39" s="1"/>
  <c r="J8" i="41"/>
  <c r="J7" i="41" s="1"/>
  <c r="P32" i="60"/>
  <c r="T8" i="60"/>
  <c r="T7" i="60" s="1"/>
  <c r="U33" i="2"/>
  <c r="X63" i="1"/>
  <c r="Q40" i="7"/>
  <c r="T41" i="7"/>
  <c r="Q40" i="8"/>
  <c r="T41" i="8"/>
  <c r="W63" i="1"/>
  <c r="Y63" i="1"/>
  <c r="N36" i="7"/>
  <c r="T36" i="7" s="1"/>
  <c r="F36" i="7"/>
  <c r="H8" i="7"/>
  <c r="G19" i="7"/>
  <c r="X55" i="1"/>
  <c r="X52" i="1" s="1"/>
  <c r="W58" i="1"/>
  <c r="W55" i="1" s="1"/>
  <c r="H23" i="8"/>
  <c r="H22" i="8" s="1"/>
  <c r="H46" i="8" s="1"/>
  <c r="AC58" i="1"/>
  <c r="Z55" i="1"/>
  <c r="T52" i="1"/>
  <c r="W151" i="2"/>
  <c r="O8" i="2"/>
  <c r="O7" i="2" s="1"/>
  <c r="AU10" i="2"/>
  <c r="AU9" i="2"/>
  <c r="E20" i="6"/>
  <c r="E62" i="6" s="1"/>
  <c r="E69" i="5" s="1"/>
  <c r="E72" i="6"/>
  <c r="E73" i="6" s="1"/>
  <c r="E58" i="5"/>
  <c r="E42" i="5" s="1"/>
  <c r="E20" i="5" s="1"/>
  <c r="N32" i="2"/>
  <c r="N8" i="2" s="1"/>
  <c r="N7" i="2" s="1"/>
  <c r="O52" i="1"/>
  <c r="N61" i="1"/>
  <c r="U55" i="1"/>
  <c r="AS55" i="1" s="1"/>
  <c r="Q52" i="1"/>
  <c r="R52" i="1"/>
  <c r="D7" i="30" l="1"/>
  <c r="C7" i="30" s="1"/>
  <c r="C5" i="30" s="1"/>
  <c r="G11" i="157"/>
  <c r="N52" i="36"/>
  <c r="L52" i="36" s="1"/>
  <c r="P39" i="36"/>
  <c r="P38" i="36" s="1"/>
  <c r="P62" i="36" s="1"/>
  <c r="J169" i="11"/>
  <c r="C6" i="31"/>
  <c r="F52" i="7"/>
  <c r="G55" i="7"/>
  <c r="F55" i="7" s="1"/>
  <c r="D14" i="85"/>
  <c r="D12" i="85" s="1"/>
  <c r="D10" i="85" s="1"/>
  <c r="U15" i="7"/>
  <c r="U9" i="7"/>
  <c r="G7" i="114"/>
  <c r="F7" i="114" s="1"/>
  <c r="F6" i="114"/>
  <c r="U8" i="114"/>
  <c r="V14" i="114"/>
  <c r="W52" i="1"/>
  <c r="D15" i="84"/>
  <c r="D13" i="84" s="1"/>
  <c r="D9" i="84" s="1"/>
  <c r="F51" i="114"/>
  <c r="G53" i="114"/>
  <c r="AB55" i="1"/>
  <c r="H11" i="23"/>
  <c r="H46" i="23"/>
  <c r="F7" i="8"/>
  <c r="G8" i="8"/>
  <c r="F8" i="8" s="1"/>
  <c r="D5" i="30"/>
  <c r="Q39" i="42"/>
  <c r="T40" i="42"/>
  <c r="T39" i="42" s="1"/>
  <c r="U15" i="8"/>
  <c r="U9" i="8"/>
  <c r="M29" i="61"/>
  <c r="AG34" i="19"/>
  <c r="H47" i="42"/>
  <c r="H49" i="42"/>
  <c r="H6" i="42"/>
  <c r="H7" i="42" s="1"/>
  <c r="H56" i="42"/>
  <c r="D11" i="39"/>
  <c r="AC55" i="1"/>
  <c r="G55" i="8"/>
  <c r="F55" i="8" s="1"/>
  <c r="T40" i="8"/>
  <c r="T40" i="7"/>
  <c r="F54" i="8"/>
  <c r="M36" i="7"/>
  <c r="AC33" i="2"/>
  <c r="AB58" i="1"/>
  <c r="F19" i="7"/>
  <c r="F16" i="7" s="1"/>
  <c r="G16" i="7"/>
  <c r="G14" i="7" s="1"/>
  <c r="V31" i="7"/>
  <c r="U31" i="7" s="1"/>
  <c r="U22" i="7"/>
  <c r="V31" i="8"/>
  <c r="U31" i="8" s="1"/>
  <c r="K19" i="7"/>
  <c r="AJ55" i="1"/>
  <c r="T61" i="1"/>
  <c r="U52" i="1"/>
  <c r="Z52" i="1"/>
  <c r="D58" i="6"/>
  <c r="D42" i="6" s="1"/>
  <c r="D20" i="6" s="1"/>
  <c r="S32" i="2"/>
  <c r="G27" i="157" s="1"/>
  <c r="G11" i="2"/>
  <c r="G12" i="2"/>
  <c r="BF7" i="2"/>
  <c r="BD7" i="2"/>
  <c r="BH7" i="2"/>
  <c r="BB7" i="2"/>
  <c r="C68" i="5"/>
  <c r="E62" i="5"/>
  <c r="R61" i="1"/>
  <c r="D17" i="6"/>
  <c r="D13" i="6" s="1"/>
  <c r="D5" i="6" s="1"/>
  <c r="D58" i="5"/>
  <c r="K32" i="2"/>
  <c r="D17" i="5"/>
  <c r="D13" i="5" s="1"/>
  <c r="D5" i="5" s="1"/>
  <c r="Q61" i="1"/>
  <c r="AB52" i="1" l="1"/>
  <c r="F11" i="157"/>
  <c r="F9" i="157" s="1"/>
  <c r="G9" i="157"/>
  <c r="F27" i="157"/>
  <c r="F14" i="157" s="1"/>
  <c r="G14" i="157"/>
  <c r="R52" i="36"/>
  <c r="AC52" i="36"/>
  <c r="AD52" i="36"/>
  <c r="AJ52" i="1"/>
  <c r="G56" i="7"/>
  <c r="F56" i="7" s="1"/>
  <c r="G54" i="114"/>
  <c r="F54" i="114" s="1"/>
  <c r="F53" i="114"/>
  <c r="U14" i="114"/>
  <c r="V21" i="114"/>
  <c r="U21" i="114" s="1"/>
  <c r="D23" i="30"/>
  <c r="C23" i="30" s="1"/>
  <c r="C10" i="30" s="1"/>
  <c r="G34" i="114"/>
  <c r="T19" i="7"/>
  <c r="S8" i="2"/>
  <c r="S7" i="2" s="1"/>
  <c r="S31" i="60"/>
  <c r="I32" i="41"/>
  <c r="AC144" i="2"/>
  <c r="AH144" i="2"/>
  <c r="G56" i="8"/>
  <c r="F56" i="8" s="1"/>
  <c r="L36" i="7"/>
  <c r="R36" i="7" s="1"/>
  <c r="S36" i="7"/>
  <c r="G6" i="7"/>
  <c r="F14" i="7"/>
  <c r="F6" i="7" s="1"/>
  <c r="P32" i="2"/>
  <c r="G35" i="7"/>
  <c r="G23" i="7" s="1"/>
  <c r="G22" i="7" s="1"/>
  <c r="G35" i="8"/>
  <c r="X61" i="1"/>
  <c r="AC61" i="1" s="1"/>
  <c r="AC52" i="1"/>
  <c r="K16" i="7"/>
  <c r="I19" i="7"/>
  <c r="AN58" i="1"/>
  <c r="AQ58" i="1" s="1"/>
  <c r="W61" i="1"/>
  <c r="AB61" i="1" s="1"/>
  <c r="AS52" i="1"/>
  <c r="AS61" i="1" s="1"/>
  <c r="W152" i="2"/>
  <c r="W155" i="2" s="1"/>
  <c r="V32" i="2"/>
  <c r="W7" i="2"/>
  <c r="C58" i="5"/>
  <c r="C42" i="5" s="1"/>
  <c r="C20" i="5" s="1"/>
  <c r="D42" i="5"/>
  <c r="D20" i="5" s="1"/>
  <c r="C58" i="6"/>
  <c r="C42" i="6" s="1"/>
  <c r="C20" i="6" s="1"/>
  <c r="C17" i="6"/>
  <c r="C13" i="6" s="1"/>
  <c r="C5" i="6" s="1"/>
  <c r="C17" i="5"/>
  <c r="C13" i="5" s="1"/>
  <c r="C5" i="5" s="1"/>
  <c r="G7" i="2"/>
  <c r="H7" i="2"/>
  <c r="G17" i="2"/>
  <c r="G8" i="2"/>
  <c r="G9" i="2"/>
  <c r="G32" i="2"/>
  <c r="G10" i="2"/>
  <c r="G20" i="2"/>
  <c r="G26" i="2"/>
  <c r="G16" i="2"/>
  <c r="D14" i="31" l="1"/>
  <c r="E14" i="31"/>
  <c r="G14" i="31" s="1"/>
  <c r="E30" i="30"/>
  <c r="H34" i="157"/>
  <c r="F34" i="157" s="1"/>
  <c r="G23" i="8"/>
  <c r="O51" i="36"/>
  <c r="G31" i="157"/>
  <c r="F31" i="157" s="1"/>
  <c r="P19" i="8"/>
  <c r="S19" i="8" s="1"/>
  <c r="AL57" i="59"/>
  <c r="AZ36" i="18" s="1"/>
  <c r="Z57" i="40"/>
  <c r="AU58" i="1"/>
  <c r="T16" i="7"/>
  <c r="G55" i="114"/>
  <c r="F55" i="114" s="1"/>
  <c r="D10" i="30"/>
  <c r="D27" i="30" s="1"/>
  <c r="C27" i="30" s="1"/>
  <c r="D18" i="85"/>
  <c r="D17" i="85" s="1"/>
  <c r="D32" i="85" s="1"/>
  <c r="D34" i="85" s="1"/>
  <c r="V30" i="114"/>
  <c r="U30" i="114" s="1"/>
  <c r="D25" i="84"/>
  <c r="D19" i="84" s="1"/>
  <c r="D18" i="84" s="1"/>
  <c r="F34" i="114"/>
  <c r="F22" i="114" s="1"/>
  <c r="F21" i="114" s="1"/>
  <c r="G22" i="114"/>
  <c r="G21" i="114" s="1"/>
  <c r="G45" i="114" s="1"/>
  <c r="F45" i="114" s="1"/>
  <c r="G34" i="42"/>
  <c r="G22" i="42" s="1"/>
  <c r="G21" i="42" s="1"/>
  <c r="G45" i="42" s="1"/>
  <c r="F32" i="41"/>
  <c r="I8" i="41"/>
  <c r="I7" i="41" s="1"/>
  <c r="X31" i="60"/>
  <c r="N32" i="41"/>
  <c r="S8" i="60"/>
  <c r="S7" i="60" s="1"/>
  <c r="S41" i="60" s="1"/>
  <c r="P31" i="60"/>
  <c r="P8" i="2"/>
  <c r="P7" i="2" s="1"/>
  <c r="Q9" i="2" s="1"/>
  <c r="U32" i="2"/>
  <c r="U152" i="2" s="1"/>
  <c r="V152" i="2"/>
  <c r="V8" i="2"/>
  <c r="V7" i="2" s="1"/>
  <c r="F35" i="8"/>
  <c r="F23" i="8" s="1"/>
  <c r="F22" i="8" s="1"/>
  <c r="F35" i="7"/>
  <c r="F23" i="7" s="1"/>
  <c r="F22" i="7" s="1"/>
  <c r="G46" i="7"/>
  <c r="G5" i="6"/>
  <c r="G7" i="6" s="1"/>
  <c r="AV55" i="1"/>
  <c r="K14" i="7"/>
  <c r="U151" i="2"/>
  <c r="V151" i="2"/>
  <c r="W153" i="2"/>
  <c r="D62" i="6"/>
  <c r="C62" i="6" s="1"/>
  <c r="C66" i="6" s="1"/>
  <c r="C68" i="6" s="1"/>
  <c r="D72" i="6"/>
  <c r="D73" i="6" s="1"/>
  <c r="C72" i="6"/>
  <c r="C73" i="6" s="1"/>
  <c r="D62" i="5"/>
  <c r="C62" i="5" s="1"/>
  <c r="K30" i="2"/>
  <c r="G18" i="39" l="1"/>
  <c r="H18" i="39" s="1"/>
  <c r="AC57" i="40"/>
  <c r="AD57" i="40"/>
  <c r="P18" i="42" s="1"/>
  <c r="H14" i="31"/>
  <c r="F14" i="31"/>
  <c r="F7" i="31" s="1"/>
  <c r="D7" i="31"/>
  <c r="N51" i="36"/>
  <c r="L51" i="36" s="1"/>
  <c r="O39" i="36"/>
  <c r="P19" i="7"/>
  <c r="AP57" i="59"/>
  <c r="AO57" i="59" s="1"/>
  <c r="Q18" i="61" s="1"/>
  <c r="AT58" i="1"/>
  <c r="R7" i="2"/>
  <c r="P124" i="2"/>
  <c r="P125" i="2" s="1"/>
  <c r="M20" i="8"/>
  <c r="M20" i="7"/>
  <c r="J34" i="42"/>
  <c r="AJ58" i="59"/>
  <c r="X58" i="40"/>
  <c r="D26" i="39"/>
  <c r="D22" i="39" s="1"/>
  <c r="D21" i="39" s="1"/>
  <c r="D48" i="39" s="1"/>
  <c r="F8" i="41"/>
  <c r="G6" i="42"/>
  <c r="G7" i="42" s="1"/>
  <c r="F7" i="42" s="1"/>
  <c r="F45" i="42"/>
  <c r="G47" i="42"/>
  <c r="G49" i="42"/>
  <c r="M28" i="61"/>
  <c r="M22" i="61" s="1"/>
  <c r="P8" i="60"/>
  <c r="AG33" i="19"/>
  <c r="V155" i="2"/>
  <c r="J35" i="7"/>
  <c r="U155" i="2"/>
  <c r="G8" i="7"/>
  <c r="F8" i="7" s="1"/>
  <c r="F46" i="7"/>
  <c r="G22" i="8"/>
  <c r="G46" i="8" s="1"/>
  <c r="AV52" i="1"/>
  <c r="J35" i="8"/>
  <c r="J45" i="7"/>
  <c r="T14" i="7"/>
  <c r="M30" i="2"/>
  <c r="K150" i="2"/>
  <c r="K8" i="2"/>
  <c r="K7" i="2" s="1"/>
  <c r="G5" i="5"/>
  <c r="E71" i="5"/>
  <c r="C69" i="5"/>
  <c r="C70" i="5" s="1"/>
  <c r="C71" i="5" s="1"/>
  <c r="V153" i="2"/>
  <c r="H7" i="31" l="1"/>
  <c r="D36" i="31"/>
  <c r="D18" i="43"/>
  <c r="AA51" i="36"/>
  <c r="O18" i="42"/>
  <c r="S18" i="42"/>
  <c r="R18" i="42" s="1"/>
  <c r="O38" i="36"/>
  <c r="O62" i="36" s="1"/>
  <c r="N62" i="36" s="1"/>
  <c r="L62" i="36" s="1"/>
  <c r="R62" i="36" s="1"/>
  <c r="N39" i="36"/>
  <c r="R51" i="36"/>
  <c r="O19" i="7"/>
  <c r="S19" i="7"/>
  <c r="R19" i="7" s="1"/>
  <c r="P7" i="60"/>
  <c r="R8" i="60"/>
  <c r="M21" i="61"/>
  <c r="M57" i="61"/>
  <c r="M19" i="42"/>
  <c r="F7" i="41"/>
  <c r="G8" i="41" s="1"/>
  <c r="H8" i="41"/>
  <c r="AG10" i="19"/>
  <c r="F6" i="42"/>
  <c r="F56" i="42"/>
  <c r="F57" i="42" s="1"/>
  <c r="F49" i="42"/>
  <c r="F46" i="8"/>
  <c r="G50" i="8"/>
  <c r="I45" i="7"/>
  <c r="S45" i="7"/>
  <c r="R45" i="7" s="1"/>
  <c r="U30" i="2"/>
  <c r="U8" i="2" s="1"/>
  <c r="M8" i="2"/>
  <c r="R30" i="2"/>
  <c r="F36" i="31" l="1"/>
  <c r="H36" i="31"/>
  <c r="L39" i="36"/>
  <c r="N38" i="36"/>
  <c r="L38" i="36" s="1"/>
  <c r="P134" i="60"/>
  <c r="AG8" i="19"/>
  <c r="AG9" i="19" s="1"/>
  <c r="G10" i="41"/>
  <c r="G17" i="41"/>
  <c r="G20" i="41"/>
  <c r="G23" i="41"/>
  <c r="G24" i="41"/>
  <c r="G29" i="41"/>
  <c r="G7" i="41"/>
  <c r="G25" i="41"/>
  <c r="G18" i="41"/>
  <c r="G27" i="41"/>
  <c r="G35" i="41"/>
  <c r="G22" i="41"/>
  <c r="G11" i="41"/>
  <c r="G28" i="41"/>
  <c r="G15" i="41"/>
  <c r="G16" i="41"/>
  <c r="G12" i="41"/>
  <c r="G9" i="41"/>
  <c r="G21" i="41"/>
  <c r="H7" i="41"/>
  <c r="G30" i="41"/>
  <c r="G26" i="41"/>
  <c r="G19" i="41"/>
  <c r="Q33" i="60"/>
  <c r="Q11" i="60"/>
  <c r="Q10" i="60"/>
  <c r="Q12" i="60"/>
  <c r="Q15" i="60"/>
  <c r="Q20" i="60"/>
  <c r="Q21" i="60"/>
  <c r="Q13" i="60"/>
  <c r="Q23" i="60"/>
  <c r="Q35" i="60"/>
  <c r="Q38" i="60"/>
  <c r="Q28" i="60"/>
  <c r="Q25" i="60"/>
  <c r="Q30" i="60"/>
  <c r="Q34" i="60"/>
  <c r="P2" i="60"/>
  <c r="Q14" i="60"/>
  <c r="Q7" i="60"/>
  <c r="Q18" i="60"/>
  <c r="Q26" i="60"/>
  <c r="Q17" i="60"/>
  <c r="Q29" i="60"/>
  <c r="Q16" i="60"/>
  <c r="Q9" i="60"/>
  <c r="Q36" i="60"/>
  <c r="Q27" i="60"/>
  <c r="Q19" i="60"/>
  <c r="Q24" i="60"/>
  <c r="Q22" i="60"/>
  <c r="R7" i="60"/>
  <c r="U7" i="2"/>
  <c r="R8" i="2"/>
  <c r="L11" i="2"/>
  <c r="L12" i="2"/>
  <c r="E70" i="5"/>
  <c r="E72" i="5" s="1"/>
  <c r="L7" i="2"/>
  <c r="L10" i="2"/>
  <c r="L26" i="2"/>
  <c r="L20" i="2"/>
  <c r="L16" i="2"/>
  <c r="L17" i="2"/>
  <c r="L8" i="2"/>
  <c r="L9" i="2"/>
  <c r="L15" i="2"/>
  <c r="L32" i="2"/>
  <c r="M7" i="2"/>
  <c r="R38" i="36" l="1"/>
  <c r="Q38" i="36"/>
  <c r="R39" i="36"/>
  <c r="Q39" i="36"/>
  <c r="Q8" i="60"/>
  <c r="Q29" i="2"/>
  <c r="Q12" i="2"/>
  <c r="Q24" i="2"/>
  <c r="Q30" i="2"/>
  <c r="Q26" i="2"/>
  <c r="Q10" i="2"/>
  <c r="Q32" i="2"/>
  <c r="Q15" i="2"/>
  <c r="Q36" i="2"/>
  <c r="Q39" i="2"/>
  <c r="Q8" i="2"/>
  <c r="Q21" i="2"/>
  <c r="Q7" i="2"/>
  <c r="Q25" i="2"/>
  <c r="Q27" i="2"/>
  <c r="Q37" i="2"/>
  <c r="Q17" i="2"/>
  <c r="Q19" i="2"/>
  <c r="Q22" i="2"/>
  <c r="Q28" i="2"/>
  <c r="Q20" i="2"/>
  <c r="Q11" i="2"/>
  <c r="Q18" i="2"/>
  <c r="Q16" i="2"/>
  <c r="Q34" i="2"/>
  <c r="Q23" i="2"/>
  <c r="Q35" i="2"/>
  <c r="U153" i="2"/>
  <c r="U59" i="1"/>
  <c r="Z59" i="1"/>
  <c r="C61" i="1"/>
  <c r="Z61" i="1" s="1"/>
  <c r="J38" i="114" l="1"/>
  <c r="I38" i="114" s="1"/>
  <c r="C40" i="86"/>
  <c r="D49" i="30"/>
  <c r="C49" i="30" s="1"/>
  <c r="M38" i="114"/>
  <c r="L38" i="114" s="1"/>
  <c r="X34" i="2"/>
  <c r="X33" i="60"/>
  <c r="U33" i="60" s="1"/>
  <c r="N34" i="41"/>
  <c r="J39" i="8"/>
  <c r="AA55" i="36" s="1"/>
  <c r="Z55" i="36" s="1"/>
  <c r="X55" i="36" s="1"/>
  <c r="J39" i="7"/>
  <c r="U61" i="1"/>
  <c r="X39" i="2"/>
  <c r="Z39" i="2" l="1"/>
  <c r="E31" i="84"/>
  <c r="C44" i="115"/>
  <c r="C44" i="110"/>
  <c r="C44" i="48"/>
  <c r="AF55" i="36"/>
  <c r="AD55" i="36"/>
  <c r="I39" i="8"/>
  <c r="D21" i="43"/>
  <c r="C21" i="43" s="1"/>
  <c r="C40" i="110"/>
  <c r="E27" i="84"/>
  <c r="F27" i="84" s="1"/>
  <c r="C40" i="115"/>
  <c r="R38" i="114"/>
  <c r="S38" i="114"/>
  <c r="C40" i="48"/>
  <c r="AC33" i="60"/>
  <c r="Z33" i="60" s="1"/>
  <c r="S34" i="41"/>
  <c r="J38" i="42"/>
  <c r="K34" i="41"/>
  <c r="E30" i="39" s="1"/>
  <c r="Z34" i="2"/>
  <c r="N30" i="61"/>
  <c r="AH35" i="19"/>
  <c r="M39" i="8"/>
  <c r="M39" i="7"/>
  <c r="L39" i="7" s="1"/>
  <c r="AC34" i="2"/>
  <c r="I39" i="7"/>
  <c r="E20" i="31" s="1"/>
  <c r="G20" i="31" s="1"/>
  <c r="AE39" i="2"/>
  <c r="AY7" i="2"/>
  <c r="AZ7" i="2" s="1"/>
  <c r="AZ35" i="2"/>
  <c r="E34" i="84" l="1"/>
  <c r="E33" i="84" s="1"/>
  <c r="F31" i="84"/>
  <c r="S39" i="8"/>
  <c r="G21" i="43"/>
  <c r="J21" i="43"/>
  <c r="I38" i="42"/>
  <c r="M38" i="42"/>
  <c r="L38" i="42" s="1"/>
  <c r="P34" i="41"/>
  <c r="F30" i="39" s="1"/>
  <c r="H30" i="39" s="1"/>
  <c r="O30" i="61"/>
  <c r="P30" i="61" s="1"/>
  <c r="AI35" i="19"/>
  <c r="AE34" i="2"/>
  <c r="AH145" i="2"/>
  <c r="AC145" i="2"/>
  <c r="S39" i="7"/>
  <c r="R39" i="7"/>
  <c r="L39" i="8"/>
  <c r="AJ34" i="2"/>
  <c r="R38" i="42" l="1"/>
  <c r="S38" i="42"/>
  <c r="AJ35" i="19"/>
  <c r="R39" i="8"/>
  <c r="AQ9" i="1"/>
  <c r="AT46" i="1"/>
  <c r="AN35" i="19" l="1"/>
  <c r="AX35" i="19"/>
  <c r="AQ10" i="1"/>
  <c r="AQ8" i="1"/>
  <c r="AR45" i="1"/>
  <c r="AU45" i="1"/>
  <c r="AR10" i="1" l="1"/>
  <c r="AR8" i="1"/>
  <c r="AR9" i="1"/>
  <c r="AJ13" i="2"/>
  <c r="AT45" i="1"/>
  <c r="X25" i="60" l="1"/>
  <c r="N26" i="41"/>
  <c r="Y24" i="60"/>
  <c r="O25" i="41"/>
  <c r="X19" i="60"/>
  <c r="N20" i="41"/>
  <c r="X24" i="60"/>
  <c r="N25" i="41"/>
  <c r="X26" i="60"/>
  <c r="N27" i="41"/>
  <c r="D25" i="51"/>
  <c r="X29" i="60"/>
  <c r="N30" i="41"/>
  <c r="X23" i="60"/>
  <c r="N24" i="41"/>
  <c r="X21" i="60"/>
  <c r="N22" i="41"/>
  <c r="Y20" i="60"/>
  <c r="O21" i="41"/>
  <c r="X27" i="60"/>
  <c r="N28" i="41"/>
  <c r="Y16" i="60"/>
  <c r="O17" i="41"/>
  <c r="Y26" i="60"/>
  <c r="O27" i="41"/>
  <c r="Y22" i="60"/>
  <c r="O23" i="41"/>
  <c r="X22" i="60"/>
  <c r="N23" i="41"/>
  <c r="Y21" i="60"/>
  <c r="O22" i="41"/>
  <c r="Y25" i="60"/>
  <c r="O26" i="41"/>
  <c r="Y18" i="60"/>
  <c r="O19" i="41"/>
  <c r="Y23" i="60"/>
  <c r="O24" i="41"/>
  <c r="Y27" i="60"/>
  <c r="O28" i="41"/>
  <c r="D22" i="51"/>
  <c r="C22" i="51" s="1"/>
  <c r="X18" i="60"/>
  <c r="N19" i="41"/>
  <c r="D21" i="51"/>
  <c r="Z23" i="2"/>
  <c r="Z24" i="2"/>
  <c r="Z25" i="2"/>
  <c r="J32" i="7"/>
  <c r="I32" i="7" s="1"/>
  <c r="E29" i="31" s="1"/>
  <c r="G29" i="31" s="1"/>
  <c r="J32" i="8"/>
  <c r="AA48" i="36" s="1"/>
  <c r="Z48" i="36" s="1"/>
  <c r="X48" i="36" s="1"/>
  <c r="J31" i="7"/>
  <c r="J31" i="8"/>
  <c r="Z22" i="2"/>
  <c r="J38" i="7"/>
  <c r="J38" i="8"/>
  <c r="C35" i="115"/>
  <c r="D15" i="43" l="1"/>
  <c r="AA47" i="36"/>
  <c r="AC48" i="36"/>
  <c r="AD48" i="36"/>
  <c r="AE48" i="36"/>
  <c r="AF48" i="36"/>
  <c r="D20" i="43"/>
  <c r="AA54" i="36"/>
  <c r="I32" i="8"/>
  <c r="D16" i="43"/>
  <c r="C16" i="43" s="1"/>
  <c r="C35" i="48"/>
  <c r="C35" i="110"/>
  <c r="K25" i="41"/>
  <c r="M25" i="41" s="1"/>
  <c r="K23" i="41"/>
  <c r="M23" i="41" s="1"/>
  <c r="U22" i="60"/>
  <c r="W22" i="60" s="1"/>
  <c r="N32" i="8"/>
  <c r="U24" i="60"/>
  <c r="W24" i="60" s="1"/>
  <c r="K22" i="41"/>
  <c r="M22" i="41" s="1"/>
  <c r="U26" i="60"/>
  <c r="AH28" i="19" s="1"/>
  <c r="AD21" i="60"/>
  <c r="T22" i="41"/>
  <c r="AD27" i="60"/>
  <c r="T28" i="41"/>
  <c r="AD26" i="60"/>
  <c r="T27" i="41"/>
  <c r="U27" i="60"/>
  <c r="U21" i="60"/>
  <c r="X50" i="60"/>
  <c r="K28" i="41"/>
  <c r="N54" i="41"/>
  <c r="AD25" i="60"/>
  <c r="T26" i="41"/>
  <c r="J37" i="42"/>
  <c r="J31" i="42"/>
  <c r="K19" i="41"/>
  <c r="AD23" i="60"/>
  <c r="T24" i="41"/>
  <c r="AD24" i="60"/>
  <c r="T25" i="41"/>
  <c r="U18" i="60"/>
  <c r="K31" i="42"/>
  <c r="T31" i="42" s="1"/>
  <c r="AD20" i="60"/>
  <c r="T21" i="41"/>
  <c r="K24" i="41"/>
  <c r="N52" i="41"/>
  <c r="K26" i="41"/>
  <c r="AD22" i="60"/>
  <c r="T23" i="41"/>
  <c r="U23" i="60"/>
  <c r="U25" i="60"/>
  <c r="AD18" i="60"/>
  <c r="T19" i="41"/>
  <c r="AD16" i="60"/>
  <c r="T17" i="41"/>
  <c r="N53" i="41"/>
  <c r="K27" i="41"/>
  <c r="J30" i="42"/>
  <c r="Z26" i="2"/>
  <c r="Z27" i="2"/>
  <c r="Z28" i="2"/>
  <c r="Z19" i="2"/>
  <c r="T32" i="8" l="1"/>
  <c r="H16" i="43"/>
  <c r="K16" i="43"/>
  <c r="W26" i="60"/>
  <c r="AH24" i="19"/>
  <c r="AH89" i="19" s="1"/>
  <c r="AH26" i="19"/>
  <c r="AH95" i="19" s="1"/>
  <c r="M26" i="41"/>
  <c r="M28" i="41"/>
  <c r="AH29" i="19"/>
  <c r="W27" i="60"/>
  <c r="AH98" i="19"/>
  <c r="M27" i="41"/>
  <c r="AH27" i="19"/>
  <c r="W25" i="60"/>
  <c r="M24" i="41"/>
  <c r="W18" i="60"/>
  <c r="AH18" i="19"/>
  <c r="M19" i="41"/>
  <c r="AH25" i="19"/>
  <c r="W23" i="60"/>
  <c r="I31" i="42"/>
  <c r="AH23" i="19"/>
  <c r="W21" i="60"/>
  <c r="AH90" i="19" l="1"/>
  <c r="AH96" i="19"/>
  <c r="AH80" i="19"/>
  <c r="AH99" i="19"/>
  <c r="AH92" i="19"/>
  <c r="AH67" i="19"/>
  <c r="AH86" i="19"/>
  <c r="AH101" i="19"/>
  <c r="AH102" i="19" l="1"/>
  <c r="AH81" i="19"/>
  <c r="AH68" i="19"/>
  <c r="AH93" i="19"/>
  <c r="AH87" i="19"/>
  <c r="N48" i="41" l="1"/>
  <c r="C7" i="42" l="1"/>
  <c r="U31" i="18" l="1"/>
  <c r="U39" i="18" s="1"/>
  <c r="T32" i="18" l="1"/>
  <c r="T31" i="18" s="1"/>
  <c r="W31" i="18"/>
  <c r="W39" i="18" s="1"/>
  <c r="AA35" i="2" l="1"/>
  <c r="X36" i="2"/>
  <c r="J41" i="7"/>
  <c r="J40" i="7" s="1"/>
  <c r="D29" i="51"/>
  <c r="D28" i="51" s="1"/>
  <c r="D42" i="30"/>
  <c r="C42" i="30" s="1"/>
  <c r="C41" i="30" s="1"/>
  <c r="J41" i="8"/>
  <c r="AA57" i="36" s="1"/>
  <c r="N36" i="41"/>
  <c r="J40" i="42" s="1"/>
  <c r="I40" i="42" s="1"/>
  <c r="X35" i="60"/>
  <c r="X34" i="60" s="1"/>
  <c r="AA56" i="36" l="1"/>
  <c r="Z57" i="36"/>
  <c r="C47" i="116"/>
  <c r="C41" i="86"/>
  <c r="C42" i="110"/>
  <c r="C41" i="110" s="1"/>
  <c r="E29" i="84"/>
  <c r="C42" i="115"/>
  <c r="C41" i="115" s="1"/>
  <c r="X35" i="2"/>
  <c r="Z35" i="2" s="1"/>
  <c r="C42" i="48"/>
  <c r="C41" i="48" s="1"/>
  <c r="C46" i="49"/>
  <c r="U35" i="60"/>
  <c r="AH38" i="19" s="1"/>
  <c r="X10" i="20" s="1"/>
  <c r="C29" i="51"/>
  <c r="C28" i="51" s="1"/>
  <c r="D41" i="30"/>
  <c r="N35" i="41"/>
  <c r="K35" i="41" s="1"/>
  <c r="M35" i="41" s="1"/>
  <c r="K36" i="41"/>
  <c r="E32" i="39" s="1"/>
  <c r="E31" i="39" s="1"/>
  <c r="U34" i="60"/>
  <c r="J39" i="42"/>
  <c r="J40" i="8"/>
  <c r="I41" i="8"/>
  <c r="I41" i="7"/>
  <c r="Z36" i="2"/>
  <c r="X57" i="36" l="1"/>
  <c r="Z56" i="36"/>
  <c r="I40" i="7"/>
  <c r="D34" i="31"/>
  <c r="E34" i="31"/>
  <c r="AH36" i="19"/>
  <c r="V35" i="60"/>
  <c r="N32" i="61"/>
  <c r="N31" i="61" s="1"/>
  <c r="E28" i="84"/>
  <c r="F29" i="84"/>
  <c r="V34" i="60"/>
  <c r="I40" i="8"/>
  <c r="I39" i="42"/>
  <c r="X8" i="20"/>
  <c r="X15" i="20"/>
  <c r="X56" i="36" l="1"/>
  <c r="AE57" i="36"/>
  <c r="AF57" i="36"/>
  <c r="AC57" i="36"/>
  <c r="AD57" i="36"/>
  <c r="G34" i="31"/>
  <c r="G33" i="31" s="1"/>
  <c r="E33" i="31"/>
  <c r="F34" i="31"/>
  <c r="F33" i="31" s="1"/>
  <c r="F17" i="31" s="1"/>
  <c r="D33" i="31"/>
  <c r="D17" i="31" s="1"/>
  <c r="H34" i="31"/>
  <c r="X13" i="20"/>
  <c r="AF56" i="36" l="1"/>
  <c r="AE56" i="36"/>
  <c r="AC56" i="36"/>
  <c r="AD56" i="36"/>
  <c r="H33" i="31"/>
  <c r="H17" i="31"/>
  <c r="AE52" i="1"/>
  <c r="N55" i="40"/>
  <c r="N54" i="40" s="1"/>
  <c r="N52" i="40" s="1"/>
  <c r="AW52" i="1" l="1"/>
  <c r="AW55" i="1"/>
  <c r="E15" i="84"/>
  <c r="F15" i="84" s="1"/>
  <c r="E16" i="39"/>
  <c r="E15" i="39" s="1"/>
  <c r="R55" i="40"/>
  <c r="AK55" i="1"/>
  <c r="AK52" i="1" s="1"/>
  <c r="AQ56" i="1"/>
  <c r="AL56" i="1"/>
  <c r="T55" i="40"/>
  <c r="AF55" i="59"/>
  <c r="AO56" i="1"/>
  <c r="AF55" i="1"/>
  <c r="AH52" i="1"/>
  <c r="AH160" i="1" s="1"/>
  <c r="J17" i="7"/>
  <c r="J16" i="7" s="1"/>
  <c r="AD55" i="59"/>
  <c r="J17" i="8"/>
  <c r="R54" i="40" l="1"/>
  <c r="R52" i="40" s="1"/>
  <c r="E13" i="84"/>
  <c r="F13" i="84" s="1"/>
  <c r="E14" i="85"/>
  <c r="E12" i="85" s="1"/>
  <c r="C21" i="110"/>
  <c r="C19" i="110" s="1"/>
  <c r="C21" i="115"/>
  <c r="C19" i="115" s="1"/>
  <c r="AF36" i="2"/>
  <c r="AF35" i="2" s="1"/>
  <c r="M16" i="114"/>
  <c r="C21" i="48"/>
  <c r="AF54" i="59"/>
  <c r="AF52" i="59" s="1"/>
  <c r="AR34" i="18"/>
  <c r="T54" i="40"/>
  <c r="T52" i="40" s="1"/>
  <c r="F16" i="39"/>
  <c r="F15" i="39" s="1"/>
  <c r="W55" i="40"/>
  <c r="J16" i="8"/>
  <c r="J16" i="42"/>
  <c r="J15" i="42" s="1"/>
  <c r="Q55" i="40"/>
  <c r="D30" i="30"/>
  <c r="AF52" i="1"/>
  <c r="N78" i="40"/>
  <c r="I17" i="7"/>
  <c r="AQ55" i="1"/>
  <c r="AR56" i="1"/>
  <c r="Z55" i="40"/>
  <c r="Z54" i="40" s="1"/>
  <c r="AU56" i="1"/>
  <c r="AL55" i="59"/>
  <c r="AL55" i="1"/>
  <c r="AC55" i="59"/>
  <c r="AD54" i="59"/>
  <c r="AD52" i="59" s="1"/>
  <c r="AN56" i="1"/>
  <c r="AN55" i="1" s="1"/>
  <c r="AN52" i="1" s="1"/>
  <c r="M17" i="7"/>
  <c r="M17" i="8"/>
  <c r="M16" i="8" s="1"/>
  <c r="M14" i="8" s="1"/>
  <c r="AO55" i="1"/>
  <c r="AO52" i="1" s="1"/>
  <c r="AJ55" i="59"/>
  <c r="D13" i="31" l="1"/>
  <c r="D6" i="31" s="1"/>
  <c r="D39" i="31" s="1"/>
  <c r="E13" i="31"/>
  <c r="G13" i="31" s="1"/>
  <c r="Q54" i="40"/>
  <c r="Q52" i="40" s="1"/>
  <c r="M41" i="7"/>
  <c r="L41" i="7" s="1"/>
  <c r="G14" i="85"/>
  <c r="M40" i="114"/>
  <c r="M39" i="114" s="1"/>
  <c r="AC36" i="2"/>
  <c r="AE36" i="2" s="1"/>
  <c r="AC35" i="60"/>
  <c r="Z35" i="60" s="1"/>
  <c r="S36" i="41"/>
  <c r="M40" i="42" s="1"/>
  <c r="M41" i="8"/>
  <c r="L41" i="8" s="1"/>
  <c r="G12" i="85"/>
  <c r="C36" i="111"/>
  <c r="C34" i="111" s="1"/>
  <c r="C36" i="117"/>
  <c r="C34" i="117" s="1"/>
  <c r="AK36" i="2"/>
  <c r="P40" i="114" s="1"/>
  <c r="P16" i="114"/>
  <c r="S16" i="114" s="1"/>
  <c r="M15" i="114"/>
  <c r="C36" i="50"/>
  <c r="C34" i="50" s="1"/>
  <c r="C19" i="48"/>
  <c r="L17" i="7"/>
  <c r="M16" i="7"/>
  <c r="Z55" i="59"/>
  <c r="AC54" i="59"/>
  <c r="AC52" i="59" s="1"/>
  <c r="N16" i="61"/>
  <c r="N15" i="61" s="1"/>
  <c r="C30" i="30"/>
  <c r="F13" i="39"/>
  <c r="G16" i="39"/>
  <c r="G15" i="39" s="1"/>
  <c r="AC55" i="40"/>
  <c r="AC54" i="40" s="1"/>
  <c r="Z52" i="40"/>
  <c r="W54" i="40"/>
  <c r="W52" i="40" s="1"/>
  <c r="X55" i="40"/>
  <c r="AL52" i="1"/>
  <c r="I16" i="7"/>
  <c r="J14" i="7"/>
  <c r="AU55" i="1"/>
  <c r="AU52" i="1" s="1"/>
  <c r="P17" i="8"/>
  <c r="AT56" i="1"/>
  <c r="AT55" i="1" s="1"/>
  <c r="AT52" i="1" s="1"/>
  <c r="AP55" i="59"/>
  <c r="P17" i="7"/>
  <c r="J14" i="8"/>
  <c r="AR55" i="1"/>
  <c r="AQ52" i="1"/>
  <c r="E13" i="39"/>
  <c r="AJ54" i="59"/>
  <c r="AJ52" i="59" s="1"/>
  <c r="AI55" i="59"/>
  <c r="I16" i="42"/>
  <c r="AR33" i="18"/>
  <c r="AR31" i="18" s="1"/>
  <c r="AU34" i="18"/>
  <c r="AU33" i="18" s="1"/>
  <c r="AU31" i="18" s="1"/>
  <c r="AV34" i="18"/>
  <c r="AV33" i="18" s="1"/>
  <c r="AV31" i="18" s="1"/>
  <c r="AX34" i="18"/>
  <c r="AZ34" i="18"/>
  <c r="AZ33" i="18" s="1"/>
  <c r="AZ31" i="18" s="1"/>
  <c r="AL54" i="59"/>
  <c r="AL52" i="59" s="1"/>
  <c r="AR55" i="59"/>
  <c r="M40" i="7" l="1"/>
  <c r="AC34" i="60"/>
  <c r="L40" i="114"/>
  <c r="S40" i="114"/>
  <c r="R40" i="114" s="1"/>
  <c r="F13" i="31"/>
  <c r="F6" i="31" s="1"/>
  <c r="H6" i="31"/>
  <c r="S35" i="41"/>
  <c r="P35" i="41" s="1"/>
  <c r="P36" i="41"/>
  <c r="F32" i="39" s="1"/>
  <c r="AC35" i="2"/>
  <c r="AE35" i="2" s="1"/>
  <c r="M40" i="8"/>
  <c r="L40" i="8" s="1"/>
  <c r="AH36" i="2"/>
  <c r="AJ36" i="2" s="1"/>
  <c r="P41" i="7"/>
  <c r="S41" i="7" s="1"/>
  <c r="R41" i="7" s="1"/>
  <c r="R40" i="7" s="1"/>
  <c r="X36" i="41"/>
  <c r="P40" i="42" s="1"/>
  <c r="P41" i="8"/>
  <c r="S41" i="8" s="1"/>
  <c r="S40" i="8" s="1"/>
  <c r="R40" i="8" s="1"/>
  <c r="AK35" i="2"/>
  <c r="AH35" i="60"/>
  <c r="AE35" i="60" s="1"/>
  <c r="L39" i="114"/>
  <c r="M13" i="114"/>
  <c r="P15" i="114"/>
  <c r="S15" i="114" s="1"/>
  <c r="P39" i="114"/>
  <c r="O40" i="114"/>
  <c r="L40" i="7"/>
  <c r="O32" i="61"/>
  <c r="AI38" i="19"/>
  <c r="AA35" i="60"/>
  <c r="M39" i="42"/>
  <c r="L40" i="42"/>
  <c r="Z34" i="60"/>
  <c r="H16" i="39"/>
  <c r="H15" i="39" s="1"/>
  <c r="H13" i="39" s="1"/>
  <c r="I14" i="7"/>
  <c r="AQ34" i="18"/>
  <c r="AQ33" i="18" s="1"/>
  <c r="AQ31" i="18" s="1"/>
  <c r="Z54" i="59"/>
  <c r="Z52" i="59" s="1"/>
  <c r="O17" i="7"/>
  <c r="R17" i="7" s="1"/>
  <c r="P16" i="7"/>
  <c r="L16" i="7"/>
  <c r="M14" i="7"/>
  <c r="AR52" i="1"/>
  <c r="X54" i="40"/>
  <c r="X52" i="40" s="1"/>
  <c r="M16" i="42"/>
  <c r="O16" i="61"/>
  <c r="AI54" i="59"/>
  <c r="AI52" i="59" s="1"/>
  <c r="AO55" i="59"/>
  <c r="AP54" i="59"/>
  <c r="AP52" i="59" s="1"/>
  <c r="I15" i="42"/>
  <c r="J13" i="42"/>
  <c r="P16" i="8"/>
  <c r="AX33" i="18"/>
  <c r="AX31" i="18" s="1"/>
  <c r="BB34" i="18"/>
  <c r="BB33" i="18" s="1"/>
  <c r="BB31" i="18" s="1"/>
  <c r="BD34" i="18"/>
  <c r="BA34" i="18"/>
  <c r="BA33" i="18" s="1"/>
  <c r="BA31" i="18" s="1"/>
  <c r="AC52" i="40"/>
  <c r="AD55" i="40"/>
  <c r="AD54" i="40" s="1"/>
  <c r="AR54" i="59"/>
  <c r="AR52" i="59" s="1"/>
  <c r="AR60" i="59" s="1"/>
  <c r="AV55" i="59"/>
  <c r="AV54" i="59" s="1"/>
  <c r="AV52" i="59" s="1"/>
  <c r="AU55" i="59"/>
  <c r="AU54" i="59" s="1"/>
  <c r="AU52" i="59" s="1"/>
  <c r="AU60" i="59" s="1"/>
  <c r="AX55" i="59"/>
  <c r="S17" i="7"/>
  <c r="N13" i="61"/>
  <c r="S17" i="8"/>
  <c r="S39" i="114" l="1"/>
  <c r="R39" i="114" s="1"/>
  <c r="AH35" i="2"/>
  <c r="AJ35" i="2" s="1"/>
  <c r="P40" i="7"/>
  <c r="O40" i="7" s="1"/>
  <c r="U36" i="41"/>
  <c r="G32" i="39" s="1"/>
  <c r="G31" i="39" s="1"/>
  <c r="O41" i="8"/>
  <c r="O41" i="7"/>
  <c r="X35" i="41"/>
  <c r="U35" i="41" s="1"/>
  <c r="P40" i="8"/>
  <c r="O40" i="8" s="1"/>
  <c r="S40" i="7"/>
  <c r="AH34" i="60"/>
  <c r="AE34" i="60" s="1"/>
  <c r="R41" i="8"/>
  <c r="P13" i="114"/>
  <c r="O39" i="114"/>
  <c r="AI36" i="19"/>
  <c r="Y10" i="20"/>
  <c r="P32" i="61"/>
  <c r="O31" i="61"/>
  <c r="S40" i="42"/>
  <c r="S39" i="42" s="1"/>
  <c r="P39" i="42"/>
  <c r="O40" i="42"/>
  <c r="R40" i="42" s="1"/>
  <c r="R39" i="42" s="1"/>
  <c r="G13" i="39"/>
  <c r="F31" i="39"/>
  <c r="L39" i="42"/>
  <c r="Q32" i="61"/>
  <c r="Q31" i="61" s="1"/>
  <c r="AO38" i="19"/>
  <c r="P14" i="8"/>
  <c r="S16" i="8"/>
  <c r="BD55" i="59"/>
  <c r="BA55" i="59"/>
  <c r="BA54" i="59" s="1"/>
  <c r="BA52" i="59" s="1"/>
  <c r="BA60" i="59" s="1"/>
  <c r="BB55" i="59"/>
  <c r="BB54" i="59" s="1"/>
  <c r="BB52" i="59" s="1"/>
  <c r="AX54" i="59"/>
  <c r="AX52" i="59" s="1"/>
  <c r="AX60" i="59" s="1"/>
  <c r="AD52" i="40"/>
  <c r="P16" i="42"/>
  <c r="S16" i="42" s="1"/>
  <c r="L16" i="42"/>
  <c r="M15" i="42"/>
  <c r="P16" i="61"/>
  <c r="O16" i="7"/>
  <c r="P14" i="7"/>
  <c r="L14" i="7"/>
  <c r="I13" i="42"/>
  <c r="AO54" i="59"/>
  <c r="AO52" i="59" s="1"/>
  <c r="Q16" i="61"/>
  <c r="Q15" i="61" s="1"/>
  <c r="S16" i="7"/>
  <c r="R16" i="7" s="1"/>
  <c r="BH34" i="18"/>
  <c r="BH33" i="18" s="1"/>
  <c r="BH31" i="18" s="1"/>
  <c r="BG34" i="18"/>
  <c r="BG33" i="18" s="1"/>
  <c r="BG31" i="18" s="1"/>
  <c r="BD33" i="18"/>
  <c r="BD31" i="18" s="1"/>
  <c r="BJ34" i="18"/>
  <c r="S13" i="114" l="1"/>
  <c r="P31" i="61"/>
  <c r="AD10" i="20"/>
  <c r="AD8" i="20" s="1"/>
  <c r="AO36" i="19"/>
  <c r="V31" i="61"/>
  <c r="H32" i="39"/>
  <c r="H31" i="39" s="1"/>
  <c r="O39" i="42"/>
  <c r="Y8" i="20"/>
  <c r="Y15" i="20"/>
  <c r="AA15" i="20" s="1"/>
  <c r="Z10" i="20"/>
  <c r="AC10" i="20" s="1"/>
  <c r="Z20" i="20"/>
  <c r="BD54" i="59"/>
  <c r="BD52" i="59" s="1"/>
  <c r="BD60" i="59" s="1"/>
  <c r="BH55" i="59"/>
  <c r="BH54" i="59" s="1"/>
  <c r="BH52" i="59" s="1"/>
  <c r="BJ55" i="59"/>
  <c r="BG55" i="59"/>
  <c r="BG54" i="59" s="1"/>
  <c r="BG52" i="59" s="1"/>
  <c r="BG60" i="59" s="1"/>
  <c r="O14" i="7"/>
  <c r="R16" i="42"/>
  <c r="S15" i="42"/>
  <c r="R15" i="42" s="1"/>
  <c r="S14" i="8"/>
  <c r="V15" i="61"/>
  <c r="Q13" i="61"/>
  <c r="V13" i="61" s="1"/>
  <c r="M13" i="42"/>
  <c r="L15" i="42"/>
  <c r="BJ33" i="18"/>
  <c r="BJ31" i="18" s="1"/>
  <c r="BN34" i="18"/>
  <c r="BN33" i="18" s="1"/>
  <c r="BN31" i="18" s="1"/>
  <c r="BM34" i="18"/>
  <c r="BM33" i="18" s="1"/>
  <c r="BM31" i="18" s="1"/>
  <c r="S14" i="7"/>
  <c r="O16" i="42"/>
  <c r="P15" i="42"/>
  <c r="Y13" i="20" l="1"/>
  <c r="AA13" i="20" s="1"/>
  <c r="Z8" i="20"/>
  <c r="AC20" i="20"/>
  <c r="Z18" i="20"/>
  <c r="R14" i="7"/>
  <c r="BJ54" i="59"/>
  <c r="BJ52" i="59" s="1"/>
  <c r="BJ60" i="59" s="1"/>
  <c r="BN55" i="59"/>
  <c r="BN54" i="59" s="1"/>
  <c r="BN52" i="59" s="1"/>
  <c r="BM55" i="59"/>
  <c r="BM54" i="59" s="1"/>
  <c r="BM52" i="59" s="1"/>
  <c r="BM60" i="59" s="1"/>
  <c r="P13" i="42"/>
  <c r="O15" i="42"/>
  <c r="L13" i="42"/>
  <c r="AB10" i="20" l="1"/>
  <c r="AB8" i="20"/>
  <c r="AB9" i="20"/>
  <c r="AC8" i="20"/>
  <c r="O13" i="42"/>
  <c r="S13" i="42"/>
  <c r="R13" i="42" l="1"/>
  <c r="C36" i="15" l="1"/>
  <c r="AY9" i="15"/>
  <c r="BI9" i="15" s="1"/>
  <c r="C33" i="15"/>
  <c r="D36" i="15"/>
  <c r="D33" i="15"/>
  <c r="N36" i="15" l="1"/>
  <c r="M36" i="15"/>
  <c r="BJ9" i="15"/>
  <c r="AY10" i="15"/>
  <c r="BJ10" i="15" s="1"/>
  <c r="FD33" i="15"/>
  <c r="FF33" i="15"/>
  <c r="D9" i="15"/>
  <c r="M33" i="15"/>
  <c r="FC33" i="15"/>
  <c r="N33" i="15"/>
  <c r="FE33" i="15"/>
  <c r="C9" i="15"/>
  <c r="AZ9" i="15"/>
  <c r="AI9" i="16" s="1"/>
  <c r="AP9" i="16" l="1"/>
  <c r="AI8" i="16"/>
  <c r="AI28" i="16" s="1"/>
  <c r="AO9" i="16"/>
  <c r="C9" i="16"/>
  <c r="C8" i="16" s="1"/>
  <c r="BI10" i="15"/>
  <c r="FD9" i="15"/>
  <c r="FF9" i="15"/>
  <c r="D10" i="15"/>
  <c r="FC9" i="15"/>
  <c r="N9" i="15"/>
  <c r="C10" i="15"/>
  <c r="FE9" i="15"/>
  <c r="M9" i="15"/>
  <c r="AZ10" i="15"/>
  <c r="AZ39" i="15"/>
  <c r="AI30" i="16" l="1"/>
  <c r="AI23" i="16"/>
  <c r="FC10" i="15"/>
  <c r="M10" i="15"/>
  <c r="N10" i="15"/>
  <c r="FE10" i="15"/>
  <c r="FF10" i="15"/>
  <c r="FD10" i="15"/>
  <c r="AZ41" i="15"/>
  <c r="D39" i="15"/>
  <c r="D41" i="15" s="1"/>
  <c r="AI38" i="16" l="1"/>
  <c r="AI39" i="16"/>
  <c r="AI41" i="16"/>
  <c r="C30" i="16"/>
  <c r="C28" i="16" s="1"/>
  <c r="C23" i="16" s="1"/>
  <c r="AI40" i="16"/>
  <c r="BF44" i="15"/>
  <c r="BF53" i="15"/>
  <c r="BF54" i="15" s="1"/>
  <c r="BF55" i="15" s="1"/>
  <c r="BF56" i="15" s="1"/>
  <c r="BD42" i="15"/>
  <c r="C41" i="16" l="1"/>
  <c r="C39" i="16"/>
  <c r="C38" i="16"/>
  <c r="C40" i="16"/>
  <c r="BF45" i="15"/>
  <c r="AL36" i="16" s="1"/>
  <c r="AL39" i="16" s="1"/>
  <c r="BD43" i="15"/>
  <c r="AK33" i="16" s="1"/>
  <c r="H42" i="15"/>
  <c r="AL38" i="16" l="1"/>
  <c r="AL40" i="16"/>
  <c r="AL41" i="16"/>
  <c r="AM41" i="16" s="1"/>
  <c r="AM40" i="16"/>
  <c r="CS31" i="16"/>
  <c r="CR31" i="16"/>
  <c r="CT31" i="16"/>
  <c r="CR29" i="16"/>
  <c r="N12" i="12" s="1"/>
  <c r="CT29" i="16"/>
  <c r="CS29" i="16"/>
  <c r="BF60" i="15"/>
  <c r="AK30" i="16"/>
  <c r="E33" i="16"/>
  <c r="H43" i="15"/>
  <c r="H17" i="45"/>
  <c r="V20" i="153" l="1"/>
  <c r="V20" i="162"/>
  <c r="AL31" i="16"/>
  <c r="AP31" i="16" s="1"/>
  <c r="AM38" i="16"/>
  <c r="AL25" i="16"/>
  <c r="AO25" i="16" s="1"/>
  <c r="AL29" i="16"/>
  <c r="AM39" i="16"/>
  <c r="AL43" i="16"/>
  <c r="C72" i="149"/>
  <c r="V20" i="13"/>
  <c r="N13" i="53"/>
  <c r="V20" i="54"/>
  <c r="N14" i="12"/>
  <c r="Z25" i="16"/>
  <c r="X25" i="16"/>
  <c r="V24" i="16"/>
  <c r="Y25" i="16"/>
  <c r="N24" i="16"/>
  <c r="Q25" i="16"/>
  <c r="R25" i="16"/>
  <c r="P25" i="16"/>
  <c r="CX24" i="16"/>
  <c r="CX28" i="16" s="1"/>
  <c r="CX23" i="16" s="1"/>
  <c r="CZ25" i="16"/>
  <c r="DA25" i="16"/>
  <c r="DB25" i="16"/>
  <c r="BV25" i="16"/>
  <c r="BT25" i="16"/>
  <c r="BR24" i="16"/>
  <c r="BR28" i="16" s="1"/>
  <c r="BR23" i="16" s="1"/>
  <c r="BR42" i="16" s="1"/>
  <c r="BU25" i="16"/>
  <c r="CC25" i="16"/>
  <c r="BZ24" i="16"/>
  <c r="CD25" i="16"/>
  <c r="CB25" i="16"/>
  <c r="DA29" i="16"/>
  <c r="DB29" i="16"/>
  <c r="CZ29" i="16"/>
  <c r="AH25" i="16"/>
  <c r="AG25" i="16"/>
  <c r="AF25" i="16"/>
  <c r="AD24" i="16"/>
  <c r="AD28" i="16" s="1"/>
  <c r="AD23" i="16" s="1"/>
  <c r="AD42" i="16" s="1"/>
  <c r="AW25" i="16"/>
  <c r="AV25" i="16"/>
  <c r="AT24" i="16"/>
  <c r="AX25" i="16"/>
  <c r="CL25" i="16"/>
  <c r="CK25" i="16"/>
  <c r="CJ25" i="16"/>
  <c r="CH24" i="16"/>
  <c r="CT25" i="16"/>
  <c r="CR25" i="16"/>
  <c r="CS25" i="16"/>
  <c r="CP24" i="16"/>
  <c r="BM25" i="16"/>
  <c r="BN25" i="16"/>
  <c r="BL25" i="16"/>
  <c r="BJ24" i="16"/>
  <c r="BJ28" i="16" s="1"/>
  <c r="BJ23" i="16" s="1"/>
  <c r="BJ42" i="16" s="1"/>
  <c r="AK28" i="16"/>
  <c r="AK23" i="16" s="1"/>
  <c r="E30" i="16"/>
  <c r="E28" i="16" s="1"/>
  <c r="E23" i="16" s="1"/>
  <c r="H13" i="45"/>
  <c r="D14" i="45"/>
  <c r="X20" i="153" l="1"/>
  <c r="X20" i="162"/>
  <c r="AN31" i="16"/>
  <c r="G14" i="12" s="1"/>
  <c r="AO31" i="16"/>
  <c r="DA23" i="16"/>
  <c r="CX42" i="16"/>
  <c r="AN25" i="16"/>
  <c r="G8" i="12" s="1"/>
  <c r="AP25" i="16"/>
  <c r="AL24" i="16"/>
  <c r="AP24" i="16" s="1"/>
  <c r="AL44" i="16"/>
  <c r="H11" i="17"/>
  <c r="I11" i="17" s="1"/>
  <c r="AN29" i="16"/>
  <c r="G12" i="12" s="1"/>
  <c r="AO29" i="16"/>
  <c r="AP29" i="16"/>
  <c r="C74" i="142"/>
  <c r="G15" i="53"/>
  <c r="N28" i="16"/>
  <c r="N30" i="16" s="1"/>
  <c r="Q30" i="16" s="1"/>
  <c r="CH28" i="16"/>
  <c r="V28" i="16"/>
  <c r="V23" i="16" s="1"/>
  <c r="V42" i="16" s="1"/>
  <c r="BZ28" i="16"/>
  <c r="AT28" i="16"/>
  <c r="AS38" i="16" s="1"/>
  <c r="CP28" i="16"/>
  <c r="CP23" i="16" s="1"/>
  <c r="CP42" i="16" s="1"/>
  <c r="C74" i="149"/>
  <c r="X20" i="13"/>
  <c r="N15" i="53"/>
  <c r="X20" i="54"/>
  <c r="O12" i="12"/>
  <c r="K8" i="12"/>
  <c r="BT24" i="16"/>
  <c r="BT28" i="16" s="1"/>
  <c r="BT23" i="16" s="1"/>
  <c r="BT42" i="16" s="1"/>
  <c r="J8" i="12"/>
  <c r="BL24" i="16"/>
  <c r="BL28" i="16" s="1"/>
  <c r="BL23" i="16" s="1"/>
  <c r="BL42" i="16" s="1"/>
  <c r="CK24" i="16"/>
  <c r="CL24" i="16"/>
  <c r="AG24" i="16"/>
  <c r="AH24" i="16"/>
  <c r="CB24" i="16"/>
  <c r="L8" i="12"/>
  <c r="R24" i="16"/>
  <c r="Q24" i="16"/>
  <c r="BU24" i="16"/>
  <c r="BV24" i="16"/>
  <c r="H8" i="12"/>
  <c r="AV24" i="16"/>
  <c r="C14" i="17"/>
  <c r="M8" i="12"/>
  <c r="CJ24" i="16"/>
  <c r="CJ28" i="16" s="1"/>
  <c r="CJ23" i="16" s="1"/>
  <c r="CJ42" i="16" s="1"/>
  <c r="F8" i="12"/>
  <c r="AF24" i="16"/>
  <c r="AF28" i="16" s="1"/>
  <c r="AF23" i="16" s="1"/>
  <c r="AF42" i="16" s="1"/>
  <c r="AW24" i="16"/>
  <c r="AX24" i="16"/>
  <c r="CS24" i="16"/>
  <c r="CT24" i="16"/>
  <c r="C17" i="17"/>
  <c r="C10" i="17"/>
  <c r="CD24" i="16"/>
  <c r="CC24" i="16"/>
  <c r="O8" i="12"/>
  <c r="CZ24" i="16"/>
  <c r="Y24" i="16"/>
  <c r="Z24" i="16"/>
  <c r="C18" i="17"/>
  <c r="C16" i="17"/>
  <c r="DA24" i="16"/>
  <c r="DB24" i="16"/>
  <c r="E8" i="12"/>
  <c r="X24" i="16"/>
  <c r="X28" i="16" s="1"/>
  <c r="X23" i="16" s="1"/>
  <c r="X42" i="16" s="1"/>
  <c r="BM24" i="16"/>
  <c r="BN24" i="16"/>
  <c r="C12" i="17"/>
  <c r="N8" i="12"/>
  <c r="CR24" i="16"/>
  <c r="C15" i="17"/>
  <c r="D8" i="12"/>
  <c r="P24" i="16"/>
  <c r="P28" i="16" s="1"/>
  <c r="D10" i="12" s="1"/>
  <c r="H5" i="45"/>
  <c r="S21" i="153" l="1"/>
  <c r="R21" i="153" s="1"/>
  <c r="S21" i="162"/>
  <c r="R21" i="162" s="1"/>
  <c r="S11" i="153"/>
  <c r="R11" i="153" s="1"/>
  <c r="S11" i="162"/>
  <c r="R11" i="162" s="1"/>
  <c r="S17" i="153"/>
  <c r="R17" i="153" s="1"/>
  <c r="S17" i="162"/>
  <c r="R17" i="162" s="1"/>
  <c r="S13" i="153"/>
  <c r="R13" i="153" s="1"/>
  <c r="S13" i="162"/>
  <c r="V21" i="153"/>
  <c r="V21" i="162"/>
  <c r="X13" i="153"/>
  <c r="X13" i="162"/>
  <c r="S16" i="153"/>
  <c r="R16" i="153" s="1"/>
  <c r="S16" i="162"/>
  <c r="R16" i="162" s="1"/>
  <c r="S10" i="153"/>
  <c r="S10" i="162"/>
  <c r="R10" i="162" s="1"/>
  <c r="S18" i="153"/>
  <c r="R18" i="153" s="1"/>
  <c r="S18" i="162"/>
  <c r="R18" i="162" s="1"/>
  <c r="S19" i="153"/>
  <c r="R19" i="153" s="1"/>
  <c r="S19" i="162"/>
  <c r="R19" i="162" s="1"/>
  <c r="S14" i="153"/>
  <c r="R14" i="153" s="1"/>
  <c r="S14" i="162"/>
  <c r="R14" i="162" s="1"/>
  <c r="S12" i="153"/>
  <c r="R12" i="153" s="1"/>
  <c r="S12" i="162"/>
  <c r="R12" i="162" s="1"/>
  <c r="C11" i="17"/>
  <c r="S20" i="153"/>
  <c r="R20" i="153" s="1"/>
  <c r="S20" i="162"/>
  <c r="R20" i="162" s="1"/>
  <c r="V13" i="153"/>
  <c r="V13" i="162"/>
  <c r="X13" i="54"/>
  <c r="X13" i="13"/>
  <c r="R10" i="153"/>
  <c r="AN24" i="16"/>
  <c r="AO24" i="16"/>
  <c r="CF38" i="16"/>
  <c r="CH30" i="16"/>
  <c r="AT23" i="16"/>
  <c r="AT42" i="16" s="1"/>
  <c r="V13" i="13"/>
  <c r="V13" i="54"/>
  <c r="C72" i="142"/>
  <c r="G13" i="53"/>
  <c r="CH23" i="16"/>
  <c r="CH42" i="16" s="1"/>
  <c r="N23" i="16"/>
  <c r="N42" i="16" s="1"/>
  <c r="BZ23" i="16"/>
  <c r="BZ42" i="16" s="1"/>
  <c r="CB36" i="16"/>
  <c r="BZ30" i="16"/>
  <c r="CC30" i="16" s="1"/>
  <c r="CB28" i="16"/>
  <c r="AV28" i="16"/>
  <c r="AV23" i="16" s="1"/>
  <c r="AV42" i="16" s="1"/>
  <c r="CZ28" i="16"/>
  <c r="CZ23" i="16" s="1"/>
  <c r="CZ42" i="16" s="1"/>
  <c r="BN23" i="16"/>
  <c r="BM23" i="16"/>
  <c r="Y23" i="16"/>
  <c r="Z23" i="16"/>
  <c r="S18" i="54"/>
  <c r="R18" i="54" s="1"/>
  <c r="C68" i="147"/>
  <c r="C66" i="147" s="1"/>
  <c r="S18" i="13"/>
  <c r="R18" i="13" s="1"/>
  <c r="L9" i="53"/>
  <c r="L7" i="53" s="1"/>
  <c r="L6" i="12"/>
  <c r="C68" i="150"/>
  <c r="C66" i="150" s="1"/>
  <c r="O6" i="12"/>
  <c r="S21" i="13"/>
  <c r="R21" i="13" s="1"/>
  <c r="O9" i="53"/>
  <c r="O7" i="53" s="1"/>
  <c r="S21" i="54"/>
  <c r="R21" i="54" s="1"/>
  <c r="AG23" i="16"/>
  <c r="AH23" i="16"/>
  <c r="C68" i="141"/>
  <c r="C66" i="141" s="1"/>
  <c r="S12" i="54"/>
  <c r="R12" i="54" s="1"/>
  <c r="F9" i="53"/>
  <c r="F7" i="53" s="1"/>
  <c r="F6" i="12"/>
  <c r="S12" i="13"/>
  <c r="R12" i="13" s="1"/>
  <c r="DB23" i="16"/>
  <c r="CT28" i="16"/>
  <c r="CS28" i="16"/>
  <c r="CP30" i="16"/>
  <c r="C68" i="148"/>
  <c r="C66" i="148" s="1"/>
  <c r="S19" i="13"/>
  <c r="R19" i="13" s="1"/>
  <c r="M6" i="12"/>
  <c r="S19" i="54"/>
  <c r="R19" i="54" s="1"/>
  <c r="M9" i="53"/>
  <c r="M7" i="53" s="1"/>
  <c r="AG28" i="16"/>
  <c r="AD30" i="16"/>
  <c r="AH28" i="16"/>
  <c r="C68" i="145"/>
  <c r="C66" i="145" s="1"/>
  <c r="J9" i="53"/>
  <c r="J7" i="53" s="1"/>
  <c r="S16" i="13"/>
  <c r="R16" i="13" s="1"/>
  <c r="J6" i="12"/>
  <c r="S16" i="54"/>
  <c r="R16" i="54" s="1"/>
  <c r="BU28" i="16"/>
  <c r="BV28" i="16"/>
  <c r="BR30" i="16"/>
  <c r="C68" i="139"/>
  <c r="S10" i="13"/>
  <c r="S10" i="54"/>
  <c r="D9" i="53"/>
  <c r="D6" i="12"/>
  <c r="C68" i="140"/>
  <c r="C66" i="140" s="1"/>
  <c r="S11" i="54"/>
  <c r="R11" i="54" s="1"/>
  <c r="E9" i="53"/>
  <c r="E7" i="53" s="1"/>
  <c r="S11" i="13"/>
  <c r="R11" i="13" s="1"/>
  <c r="E6" i="12"/>
  <c r="CC28" i="16"/>
  <c r="CD28" i="16"/>
  <c r="R28" i="16"/>
  <c r="Q28" i="16"/>
  <c r="C68" i="146"/>
  <c r="C66" i="146" s="1"/>
  <c r="K6" i="12"/>
  <c r="K9" i="53"/>
  <c r="K7" i="53" s="1"/>
  <c r="S17" i="54"/>
  <c r="R17" i="54" s="1"/>
  <c r="S17" i="13"/>
  <c r="R17" i="13" s="1"/>
  <c r="C68" i="149"/>
  <c r="C66" i="149" s="1"/>
  <c r="S20" i="13"/>
  <c r="R20" i="13" s="1"/>
  <c r="S20" i="54"/>
  <c r="R20" i="54" s="1"/>
  <c r="N9" i="53"/>
  <c r="N7" i="53" s="1"/>
  <c r="N6" i="12"/>
  <c r="BV23" i="16"/>
  <c r="BU23" i="16"/>
  <c r="CX30" i="16"/>
  <c r="DA28" i="16"/>
  <c r="DB28" i="16"/>
  <c r="BN28" i="16"/>
  <c r="BJ30" i="16"/>
  <c r="BM28" i="16"/>
  <c r="V30" i="16"/>
  <c r="Y28" i="16"/>
  <c r="Z28" i="16"/>
  <c r="C72" i="150"/>
  <c r="V21" i="13"/>
  <c r="O13" i="53"/>
  <c r="V21" i="54"/>
  <c r="AX28" i="16"/>
  <c r="AT30" i="16"/>
  <c r="AW28" i="16"/>
  <c r="CR28" i="16"/>
  <c r="CR23" i="16" s="1"/>
  <c r="CR42" i="16" s="1"/>
  <c r="C68" i="142"/>
  <c r="C66" i="142" s="1"/>
  <c r="S13" i="13"/>
  <c r="R13" i="13" s="1"/>
  <c r="G9" i="53"/>
  <c r="G7" i="53" s="1"/>
  <c r="S13" i="54"/>
  <c r="R13" i="54" s="1"/>
  <c r="G6" i="12"/>
  <c r="C19" i="17"/>
  <c r="C68" i="143"/>
  <c r="C66" i="143" s="1"/>
  <c r="S14" i="54"/>
  <c r="R14" i="54" s="1"/>
  <c r="H9" i="53"/>
  <c r="H7" i="53" s="1"/>
  <c r="H6" i="12"/>
  <c r="S14" i="13"/>
  <c r="R14" i="13" s="1"/>
  <c r="CK28" i="16"/>
  <c r="CL28" i="16"/>
  <c r="AN21" i="16"/>
  <c r="F21" i="16"/>
  <c r="I21" i="16" s="1"/>
  <c r="H31" i="45"/>
  <c r="AN33" i="16" s="1"/>
  <c r="R13" i="162" l="1"/>
  <c r="P23" i="16"/>
  <c r="P42" i="16" s="1"/>
  <c r="AW23" i="16"/>
  <c r="AX23" i="16"/>
  <c r="CK23" i="16"/>
  <c r="CC23" i="16"/>
  <c r="CB23" i="16"/>
  <c r="CB42" i="16" s="1"/>
  <c r="CB30" i="16"/>
  <c r="CB37" i="16"/>
  <c r="Q23" i="16"/>
  <c r="R23" i="16"/>
  <c r="CD23" i="16"/>
  <c r="CL23" i="16"/>
  <c r="H21" i="16"/>
  <c r="O44" i="10"/>
  <c r="M10" i="12"/>
  <c r="M5" i="12" s="1"/>
  <c r="CJ30" i="16"/>
  <c r="CR30" i="16"/>
  <c r="N10" i="12"/>
  <c r="H10" i="12"/>
  <c r="H5" i="12" s="1"/>
  <c r="AV30" i="16"/>
  <c r="R10" i="13"/>
  <c r="F10" i="12"/>
  <c r="F5" i="12" s="1"/>
  <c r="AF30" i="16"/>
  <c r="DA30" i="16"/>
  <c r="DB30" i="16"/>
  <c r="CD30" i="16"/>
  <c r="L10" i="12"/>
  <c r="L5" i="12" s="1"/>
  <c r="C9" i="17"/>
  <c r="R10" i="54"/>
  <c r="CS23" i="16"/>
  <c r="CT23" i="16"/>
  <c r="AH30" i="16"/>
  <c r="AG30" i="16"/>
  <c r="CZ30" i="16"/>
  <c r="O10" i="12"/>
  <c r="O5" i="12" s="1"/>
  <c r="X30" i="16"/>
  <c r="E10" i="12"/>
  <c r="E5" i="12" s="1"/>
  <c r="AW30" i="16"/>
  <c r="AX30" i="16"/>
  <c r="Y30" i="16"/>
  <c r="Z30" i="16"/>
  <c r="BT30" i="16"/>
  <c r="K10" i="12"/>
  <c r="K5" i="12" s="1"/>
  <c r="C66" i="139"/>
  <c r="BL30" i="16"/>
  <c r="J10" i="12"/>
  <c r="J5" i="12" s="1"/>
  <c r="BV30" i="16"/>
  <c r="BU30" i="16"/>
  <c r="CT30" i="16"/>
  <c r="CS30" i="16"/>
  <c r="D7" i="53"/>
  <c r="CL30" i="16"/>
  <c r="CK30" i="16"/>
  <c r="BN30" i="16"/>
  <c r="BM30" i="16"/>
  <c r="R30" i="16"/>
  <c r="D5" i="12"/>
  <c r="P30" i="16"/>
  <c r="AO21" i="16"/>
  <c r="G15" i="12"/>
  <c r="H33" i="45"/>
  <c r="H32" i="45"/>
  <c r="Y13" i="153" l="1"/>
  <c r="Y13" i="162"/>
  <c r="Q44" i="10"/>
  <c r="O44" i="52"/>
  <c r="C44" i="10"/>
  <c r="F11" i="53"/>
  <c r="F13" i="12"/>
  <c r="C70" i="141"/>
  <c r="C65" i="141" s="1"/>
  <c r="K13" i="12"/>
  <c r="C70" i="146"/>
  <c r="C65" i="146" s="1"/>
  <c r="K11" i="53"/>
  <c r="C70" i="140"/>
  <c r="C65" i="140" s="1"/>
  <c r="E11" i="53"/>
  <c r="E13" i="12"/>
  <c r="J11" i="53"/>
  <c r="C70" i="145"/>
  <c r="C65" i="145" s="1"/>
  <c r="J13" i="12"/>
  <c r="O13" i="12"/>
  <c r="C70" i="150"/>
  <c r="C65" i="150" s="1"/>
  <c r="O11" i="53"/>
  <c r="N5" i="12"/>
  <c r="C70" i="149"/>
  <c r="C65" i="149" s="1"/>
  <c r="N13" i="12"/>
  <c r="N11" i="53"/>
  <c r="L13" i="12"/>
  <c r="L11" i="53"/>
  <c r="C70" i="147"/>
  <c r="C65" i="147" s="1"/>
  <c r="D13" i="12"/>
  <c r="C70" i="139"/>
  <c r="C65" i="139" s="1"/>
  <c r="D11" i="53"/>
  <c r="C70" i="143"/>
  <c r="C65" i="143" s="1"/>
  <c r="H13" i="12"/>
  <c r="H11" i="53"/>
  <c r="M11" i="53"/>
  <c r="M13" i="12"/>
  <c r="C70" i="148"/>
  <c r="C65" i="148" s="1"/>
  <c r="C75" i="142"/>
  <c r="Y13" i="13"/>
  <c r="G16" i="53"/>
  <c r="Y13" i="54"/>
  <c r="AL15" i="16"/>
  <c r="W12" i="153" l="1"/>
  <c r="U12" i="153" s="1"/>
  <c r="Q12" i="153" s="1"/>
  <c r="W12" i="162"/>
  <c r="U12" i="162" s="1"/>
  <c r="Q12" i="162" s="1"/>
  <c r="E44" i="10"/>
  <c r="AJ59" i="1" s="1"/>
  <c r="P13" i="162"/>
  <c r="P22" i="162" s="1"/>
  <c r="P13" i="153"/>
  <c r="P22" i="153" s="1"/>
  <c r="W18" i="153"/>
  <c r="U18" i="153" s="1"/>
  <c r="Q18" i="153" s="1"/>
  <c r="W18" i="162"/>
  <c r="U18" i="162" s="1"/>
  <c r="Q18" i="162" s="1"/>
  <c r="W21" i="153"/>
  <c r="U21" i="153" s="1"/>
  <c r="Q21" i="153" s="1"/>
  <c r="W21" i="162"/>
  <c r="U21" i="162" s="1"/>
  <c r="Q21" i="162" s="1"/>
  <c r="W20" i="153"/>
  <c r="U20" i="153" s="1"/>
  <c r="Q20" i="153" s="1"/>
  <c r="W20" i="162"/>
  <c r="U20" i="162" s="1"/>
  <c r="Q20" i="162" s="1"/>
  <c r="W11" i="153"/>
  <c r="U11" i="153" s="1"/>
  <c r="Q11" i="153" s="1"/>
  <c r="W11" i="162"/>
  <c r="U11" i="162" s="1"/>
  <c r="Q11" i="162" s="1"/>
  <c r="W14" i="153"/>
  <c r="U14" i="153" s="1"/>
  <c r="Q14" i="153" s="1"/>
  <c r="W14" i="162"/>
  <c r="U14" i="162" s="1"/>
  <c r="Q14" i="162" s="1"/>
  <c r="W16" i="153"/>
  <c r="U16" i="153" s="1"/>
  <c r="Q16" i="153" s="1"/>
  <c r="W16" i="162"/>
  <c r="U16" i="162" s="1"/>
  <c r="Q16" i="162" s="1"/>
  <c r="W17" i="153"/>
  <c r="U17" i="153" s="1"/>
  <c r="Q17" i="153" s="1"/>
  <c r="W17" i="162"/>
  <c r="U17" i="162" s="1"/>
  <c r="Q17" i="162" s="1"/>
  <c r="W10" i="153"/>
  <c r="U10" i="153" s="1"/>
  <c r="W10" i="162"/>
  <c r="W19" i="153"/>
  <c r="U19" i="153" s="1"/>
  <c r="Q19" i="153" s="1"/>
  <c r="W19" i="162"/>
  <c r="U19" i="162" s="1"/>
  <c r="Q19" i="162" s="1"/>
  <c r="H35" i="157"/>
  <c r="AB35" i="36"/>
  <c r="AL33" i="16"/>
  <c r="AO33" i="16" s="1"/>
  <c r="D14" i="53"/>
  <c r="D6" i="53"/>
  <c r="E29" i="85"/>
  <c r="K19" i="114"/>
  <c r="I19" i="114" s="1"/>
  <c r="E31" i="30"/>
  <c r="C31" i="30" s="1"/>
  <c r="AH59" i="1"/>
  <c r="AE58" i="59"/>
  <c r="S58" i="40"/>
  <c r="K20" i="7"/>
  <c r="I20" i="7" s="1"/>
  <c r="E15" i="31" s="1"/>
  <c r="K20" i="8"/>
  <c r="I20" i="8" s="1"/>
  <c r="Q44" i="52"/>
  <c r="E44" i="52" s="1"/>
  <c r="C44" i="52"/>
  <c r="P13" i="54"/>
  <c r="P22" i="54" s="1"/>
  <c r="P13" i="13"/>
  <c r="P22" i="13" s="1"/>
  <c r="C47" i="142"/>
  <c r="C47" i="138" s="1"/>
  <c r="J14" i="53"/>
  <c r="J6" i="53"/>
  <c r="W16" i="13"/>
  <c r="U16" i="13" s="1"/>
  <c r="Q16" i="13" s="1"/>
  <c r="W16" i="54"/>
  <c r="U16" i="54" s="1"/>
  <c r="Q16" i="54" s="1"/>
  <c r="C73" i="145"/>
  <c r="C73" i="146"/>
  <c r="W17" i="54"/>
  <c r="U17" i="54" s="1"/>
  <c r="Q17" i="54" s="1"/>
  <c r="W17" i="13"/>
  <c r="U17" i="13" s="1"/>
  <c r="Q17" i="13" s="1"/>
  <c r="C73" i="149"/>
  <c r="W20" i="13"/>
  <c r="U20" i="13" s="1"/>
  <c r="Q20" i="13" s="1"/>
  <c r="W20" i="54"/>
  <c r="U20" i="54" s="1"/>
  <c r="Q20" i="54" s="1"/>
  <c r="W11" i="54"/>
  <c r="U11" i="54" s="1"/>
  <c r="Q11" i="54" s="1"/>
  <c r="C73" i="140"/>
  <c r="W11" i="13"/>
  <c r="U11" i="13" s="1"/>
  <c r="Q11" i="13" s="1"/>
  <c r="W12" i="54"/>
  <c r="U12" i="54" s="1"/>
  <c r="Q12" i="54" s="1"/>
  <c r="W12" i="13"/>
  <c r="U12" i="13" s="1"/>
  <c r="Q12" i="13" s="1"/>
  <c r="C73" i="141"/>
  <c r="O14" i="53"/>
  <c r="O6" i="53"/>
  <c r="N14" i="53"/>
  <c r="N6" i="53"/>
  <c r="C73" i="148"/>
  <c r="W19" i="54"/>
  <c r="U19" i="54" s="1"/>
  <c r="Q19" i="54" s="1"/>
  <c r="W19" i="13"/>
  <c r="U19" i="13" s="1"/>
  <c r="Q19" i="13" s="1"/>
  <c r="H14" i="53"/>
  <c r="H6" i="53"/>
  <c r="F14" i="53"/>
  <c r="F6" i="53"/>
  <c r="C73" i="143"/>
  <c r="W14" i="54"/>
  <c r="U14" i="54" s="1"/>
  <c r="Q14" i="54" s="1"/>
  <c r="W14" i="13"/>
  <c r="U14" i="13" s="1"/>
  <c r="Q14" i="13" s="1"/>
  <c r="C73" i="147"/>
  <c r="W18" i="54"/>
  <c r="U18" i="54" s="1"/>
  <c r="Q18" i="54" s="1"/>
  <c r="W18" i="13"/>
  <c r="U18" i="13" s="1"/>
  <c r="Q18" i="13" s="1"/>
  <c r="C73" i="139"/>
  <c r="W10" i="54"/>
  <c r="U10" i="54" s="1"/>
  <c r="Q10" i="54" s="1"/>
  <c r="W10" i="13"/>
  <c r="U10" i="13" s="1"/>
  <c r="Q10" i="13" s="1"/>
  <c r="M14" i="53"/>
  <c r="M6" i="53"/>
  <c r="L14" i="53"/>
  <c r="L6" i="53"/>
  <c r="E14" i="53"/>
  <c r="E6" i="53"/>
  <c r="W21" i="13"/>
  <c r="U21" i="13" s="1"/>
  <c r="Q21" i="13" s="1"/>
  <c r="W21" i="54"/>
  <c r="U21" i="54" s="1"/>
  <c r="Q21" i="54" s="1"/>
  <c r="C73" i="150"/>
  <c r="K14" i="53"/>
  <c r="K6" i="53"/>
  <c r="AN15" i="16"/>
  <c r="O41" i="10" s="1"/>
  <c r="AL12" i="16"/>
  <c r="AL8" i="16" s="1"/>
  <c r="AL28" i="16" s="1"/>
  <c r="AL23" i="16" s="1"/>
  <c r="AL42" i="16" s="1"/>
  <c r="F15" i="16"/>
  <c r="I15" i="16" s="1"/>
  <c r="U10" i="162" l="1"/>
  <c r="Z35" i="36"/>
  <c r="F35" i="157"/>
  <c r="G15" i="31"/>
  <c r="Q10" i="153"/>
  <c r="K19" i="42"/>
  <c r="I19" i="42" s="1"/>
  <c r="Q58" i="40"/>
  <c r="Q60" i="40" s="1"/>
  <c r="AC58" i="59"/>
  <c r="C22" i="110"/>
  <c r="C22" i="48"/>
  <c r="C22" i="115"/>
  <c r="E15" i="85"/>
  <c r="G15" i="85" s="1"/>
  <c r="AE59" i="1"/>
  <c r="O38" i="10"/>
  <c r="Q41" i="10"/>
  <c r="O41" i="52"/>
  <c r="C41" i="10"/>
  <c r="AO12" i="16"/>
  <c r="F12" i="16"/>
  <c r="AN12" i="16"/>
  <c r="H15" i="16"/>
  <c r="M13" i="153" l="1"/>
  <c r="M13" i="162"/>
  <c r="Q10" i="162"/>
  <c r="X35" i="36"/>
  <c r="J13" i="153"/>
  <c r="M22" i="153"/>
  <c r="C37" i="111"/>
  <c r="C37" i="50"/>
  <c r="C37" i="117"/>
  <c r="Z58" i="59"/>
  <c r="N19" i="61"/>
  <c r="N9" i="61" s="1"/>
  <c r="N8" i="61" s="1"/>
  <c r="AC60" i="59"/>
  <c r="AC66" i="59" s="1"/>
  <c r="N58" i="40"/>
  <c r="E16" i="84"/>
  <c r="F16" i="84" s="1"/>
  <c r="AF59" i="1"/>
  <c r="AW59" i="1"/>
  <c r="AE61" i="1"/>
  <c r="AN8" i="16"/>
  <c r="AN28" i="16" s="1"/>
  <c r="AN23" i="16" s="1"/>
  <c r="AN42" i="16" s="1"/>
  <c r="H12" i="16"/>
  <c r="Q41" i="52"/>
  <c r="O38" i="52"/>
  <c r="C41" i="52"/>
  <c r="C44" i="142"/>
  <c r="M13" i="13"/>
  <c r="M13" i="54"/>
  <c r="F11" i="129" s="1"/>
  <c r="Q38" i="10"/>
  <c r="E41" i="10"/>
  <c r="E138" i="11" s="1"/>
  <c r="O36" i="10"/>
  <c r="C38" i="10"/>
  <c r="I12" i="16"/>
  <c r="J12" i="16"/>
  <c r="AO8" i="16"/>
  <c r="AP8" i="16"/>
  <c r="J13" i="162" l="1"/>
  <c r="M22" i="162"/>
  <c r="C11" i="129"/>
  <c r="C20" i="129" s="1"/>
  <c r="F20" i="129"/>
  <c r="AF35" i="36"/>
  <c r="AC35" i="36"/>
  <c r="AD35" i="36"/>
  <c r="H13" i="153"/>
  <c r="J22" i="153"/>
  <c r="K19" i="8"/>
  <c r="AB34" i="36" s="1"/>
  <c r="E19" i="39"/>
  <c r="E9" i="39" s="1"/>
  <c r="E8" i="39" s="1"/>
  <c r="N60" i="40"/>
  <c r="AQ37" i="18"/>
  <c r="AQ39" i="18" s="1"/>
  <c r="Z60" i="59"/>
  <c r="E38" i="10"/>
  <c r="AW61" i="1"/>
  <c r="AF61" i="1"/>
  <c r="G10" i="12"/>
  <c r="C70" i="142" s="1"/>
  <c r="J13" i="54"/>
  <c r="M22" i="54"/>
  <c r="Q36" i="10"/>
  <c r="C36" i="10"/>
  <c r="J13" i="13"/>
  <c r="M22" i="13"/>
  <c r="O36" i="52"/>
  <c r="C38" i="52"/>
  <c r="Q38" i="52"/>
  <c r="E38" i="52" s="1"/>
  <c r="E41" i="52"/>
  <c r="C41" i="142"/>
  <c r="C39" i="142" s="1"/>
  <c r="C44" i="138"/>
  <c r="C41" i="138" s="1"/>
  <c r="C39" i="138" s="1"/>
  <c r="AP28" i="16"/>
  <c r="AL30" i="16"/>
  <c r="AO28" i="16"/>
  <c r="AN30" i="16"/>
  <c r="K18" i="8" l="1"/>
  <c r="K16" i="114"/>
  <c r="AB31" i="36"/>
  <c r="AB28" i="36" s="1"/>
  <c r="Z34" i="36"/>
  <c r="H13" i="162"/>
  <c r="J22" i="162"/>
  <c r="D13" i="153"/>
  <c r="H22" i="153"/>
  <c r="N19" i="8"/>
  <c r="I19" i="8"/>
  <c r="C50" i="49"/>
  <c r="C48" i="49" s="1"/>
  <c r="G13" i="12"/>
  <c r="G5" i="12"/>
  <c r="G11" i="53"/>
  <c r="G14" i="53" s="1"/>
  <c r="D48" i="123"/>
  <c r="D38" i="51"/>
  <c r="D48" i="112"/>
  <c r="D48" i="118"/>
  <c r="C51" i="116"/>
  <c r="C49" i="116" s="1"/>
  <c r="Q36" i="52"/>
  <c r="C36" i="52"/>
  <c r="C65" i="142"/>
  <c r="H13" i="13"/>
  <c r="J22" i="13"/>
  <c r="Q45" i="10"/>
  <c r="E36" i="10"/>
  <c r="AE118" i="11" s="1"/>
  <c r="H13" i="54"/>
  <c r="J22" i="54"/>
  <c r="AP30" i="16"/>
  <c r="AO30" i="16"/>
  <c r="AP23" i="16"/>
  <c r="AO23" i="16"/>
  <c r="Z28" i="36" l="1"/>
  <c r="X34" i="36"/>
  <c r="Z31" i="36"/>
  <c r="AE118" i="160"/>
  <c r="AE118" i="161"/>
  <c r="AE118" i="159"/>
  <c r="K15" i="114"/>
  <c r="N16" i="114"/>
  <c r="I16" i="114"/>
  <c r="D13" i="162"/>
  <c r="H22" i="162"/>
  <c r="N18" i="8"/>
  <c r="I18" i="8"/>
  <c r="W13" i="153"/>
  <c r="U13" i="153" s="1"/>
  <c r="W13" i="162"/>
  <c r="C73" i="142"/>
  <c r="G6" i="53"/>
  <c r="W13" i="13"/>
  <c r="U13" i="13" s="1"/>
  <c r="W13" i="54"/>
  <c r="U13" i="54" s="1"/>
  <c r="Q19" i="8"/>
  <c r="O19" i="8" s="1"/>
  <c r="L19" i="8"/>
  <c r="AE9" i="11"/>
  <c r="C118" i="11"/>
  <c r="AE118" i="56"/>
  <c r="N17" i="8"/>
  <c r="K16" i="8"/>
  <c r="E28" i="85" s="1"/>
  <c r="E21" i="85" s="1"/>
  <c r="I17" i="8"/>
  <c r="D45" i="123"/>
  <c r="D45" i="118"/>
  <c r="D35" i="51"/>
  <c r="D45" i="112"/>
  <c r="D13" i="13"/>
  <c r="H22" i="13"/>
  <c r="D13" i="54"/>
  <c r="H22" i="54"/>
  <c r="Q45" i="52"/>
  <c r="E36" i="52"/>
  <c r="C118" i="161" l="1"/>
  <c r="AE9" i="161"/>
  <c r="AF34" i="36"/>
  <c r="AD34" i="36"/>
  <c r="X31" i="36"/>
  <c r="C118" i="159"/>
  <c r="AE9" i="159"/>
  <c r="Q18" i="8"/>
  <c r="L18" i="8"/>
  <c r="N15" i="114"/>
  <c r="Q16" i="114"/>
  <c r="L16" i="114"/>
  <c r="K13" i="114"/>
  <c r="I15" i="114"/>
  <c r="C118" i="160"/>
  <c r="AE9" i="160"/>
  <c r="U13" i="162"/>
  <c r="Q13" i="153"/>
  <c r="R19" i="8"/>
  <c r="T19" i="8"/>
  <c r="AE9" i="56"/>
  <c r="C118" i="56"/>
  <c r="C12" i="86"/>
  <c r="K14" i="8"/>
  <c r="I16" i="8"/>
  <c r="Q17" i="8"/>
  <c r="Q16" i="8" s="1"/>
  <c r="L17" i="8"/>
  <c r="N16" i="8"/>
  <c r="G28" i="85"/>
  <c r="Q13" i="54"/>
  <c r="Q13" i="13"/>
  <c r="J44" i="114" l="1"/>
  <c r="I13" i="114"/>
  <c r="T16" i="114"/>
  <c r="Q15" i="114"/>
  <c r="O16" i="114"/>
  <c r="R16" i="114" s="1"/>
  <c r="N13" i="114"/>
  <c r="L15" i="114"/>
  <c r="X28" i="36"/>
  <c r="AC31" i="36"/>
  <c r="AD31" i="36"/>
  <c r="AE31" i="36"/>
  <c r="AF31" i="36"/>
  <c r="O18" i="8"/>
  <c r="R18" i="8" s="1"/>
  <c r="T18" i="8"/>
  <c r="Q13" i="162"/>
  <c r="O17" i="8"/>
  <c r="R17" i="8" s="1"/>
  <c r="T17" i="8"/>
  <c r="N14" i="8"/>
  <c r="L16" i="8"/>
  <c r="E19" i="85"/>
  <c r="G21" i="85"/>
  <c r="J45" i="8"/>
  <c r="AA61" i="36" s="1"/>
  <c r="Z61" i="36" s="1"/>
  <c r="X61" i="36" s="1"/>
  <c r="E26" i="85"/>
  <c r="AB130" i="2"/>
  <c r="I14" i="8"/>
  <c r="T16" i="8"/>
  <c r="AE28" i="36" l="1"/>
  <c r="AF28" i="36"/>
  <c r="AC28" i="36"/>
  <c r="AD28" i="36"/>
  <c r="X37" i="36"/>
  <c r="M44" i="114"/>
  <c r="L44" i="114" s="1"/>
  <c r="L13" i="114"/>
  <c r="T15" i="114"/>
  <c r="Q13" i="114"/>
  <c r="O15" i="114"/>
  <c r="R15" i="114" s="1"/>
  <c r="I44" i="114"/>
  <c r="AC61" i="36"/>
  <c r="AD61" i="36"/>
  <c r="AE61" i="36"/>
  <c r="AF61" i="36"/>
  <c r="M45" i="8"/>
  <c r="L45" i="8" s="1"/>
  <c r="L14" i="8"/>
  <c r="I45" i="8"/>
  <c r="G19" i="85"/>
  <c r="G26" i="85"/>
  <c r="Q14" i="8"/>
  <c r="O16" i="8"/>
  <c r="R16" i="8" s="1"/>
  <c r="T13" i="114" l="1"/>
  <c r="P44" i="114"/>
  <c r="O44" i="114" s="1"/>
  <c r="O13" i="114"/>
  <c r="R13" i="114" s="1"/>
  <c r="R44" i="114"/>
  <c r="AD37" i="36"/>
  <c r="AC37" i="36"/>
  <c r="AF37" i="36"/>
  <c r="AE37" i="36"/>
  <c r="P45" i="8"/>
  <c r="S45" i="8" s="1"/>
  <c r="O14" i="8"/>
  <c r="R14" i="8" s="1"/>
  <c r="T14" i="8"/>
  <c r="CF31" i="15"/>
  <c r="I31" i="15"/>
  <c r="L31" i="15" s="1"/>
  <c r="CE31" i="15"/>
  <c r="U30" i="10"/>
  <c r="W30" i="10" s="1"/>
  <c r="E30" i="10" s="1"/>
  <c r="AJ40" i="1" s="1"/>
  <c r="CD32" i="15"/>
  <c r="U29" i="10"/>
  <c r="C29" i="10" s="1"/>
  <c r="S44" i="114" l="1"/>
  <c r="AP40" i="1"/>
  <c r="AV40" i="1" s="1"/>
  <c r="AE40" i="40" s="1"/>
  <c r="W19" i="158"/>
  <c r="AB19" i="36"/>
  <c r="AI40" i="1"/>
  <c r="K9" i="114"/>
  <c r="K10" i="8"/>
  <c r="AE40" i="59"/>
  <c r="S40" i="40"/>
  <c r="K10" i="7"/>
  <c r="O45" i="8"/>
  <c r="U29" i="52"/>
  <c r="W29" i="52" s="1"/>
  <c r="E29" i="52" s="1"/>
  <c r="C30" i="144"/>
  <c r="C30" i="138" s="1"/>
  <c r="J32" i="15"/>
  <c r="BB27" i="16"/>
  <c r="BB10" i="16"/>
  <c r="CD30" i="15"/>
  <c r="CC30" i="15"/>
  <c r="K31" i="15"/>
  <c r="C31" i="144"/>
  <c r="C31" i="138" s="1"/>
  <c r="CE32" i="15"/>
  <c r="CE30" i="15" s="1"/>
  <c r="U28" i="10"/>
  <c r="U7" i="10" s="1"/>
  <c r="I32" i="15"/>
  <c r="C30" i="10"/>
  <c r="C28" i="10" s="1"/>
  <c r="C7" i="10" s="1"/>
  <c r="C8" i="10" s="1"/>
  <c r="CF32" i="15"/>
  <c r="U30" i="52"/>
  <c r="W29" i="10"/>
  <c r="C29" i="138" l="1"/>
  <c r="C8" i="138" s="1"/>
  <c r="C9" i="138" s="1"/>
  <c r="E31" i="138"/>
  <c r="V19" i="158"/>
  <c r="AA19" i="36"/>
  <c r="C15" i="153"/>
  <c r="C22" i="153" s="1"/>
  <c r="C15" i="162"/>
  <c r="C22" i="162" s="1"/>
  <c r="W19" i="36"/>
  <c r="W8" i="36" s="1"/>
  <c r="AB8" i="36"/>
  <c r="W31" i="158"/>
  <c r="R19" i="158"/>
  <c r="W8" i="158"/>
  <c r="C29" i="52"/>
  <c r="AD40" i="59"/>
  <c r="AD9" i="59" s="1"/>
  <c r="AE9" i="59"/>
  <c r="K53" i="7"/>
  <c r="Z11" i="7"/>
  <c r="R40" i="40"/>
  <c r="J9" i="42" s="1"/>
  <c r="K9" i="42"/>
  <c r="K53" i="8"/>
  <c r="Z11" i="8"/>
  <c r="Z10" i="114"/>
  <c r="K52" i="114"/>
  <c r="N9" i="114"/>
  <c r="AK40" i="59"/>
  <c r="AG11" i="2"/>
  <c r="S14" i="155" s="1"/>
  <c r="AO40" i="1"/>
  <c r="Y40" i="40"/>
  <c r="N10" i="8"/>
  <c r="N10" i="7"/>
  <c r="J9" i="114"/>
  <c r="AA11" i="2"/>
  <c r="G40" i="157" s="1"/>
  <c r="J10" i="8"/>
  <c r="J53" i="8" s="1"/>
  <c r="AH40" i="1"/>
  <c r="H44" i="170" s="1"/>
  <c r="J10" i="7"/>
  <c r="R45" i="8"/>
  <c r="J30" i="15"/>
  <c r="J9" i="15" s="1"/>
  <c r="CD9" i="15"/>
  <c r="CD40" i="15"/>
  <c r="C30" i="52"/>
  <c r="C28" i="52" s="1"/>
  <c r="C7" i="52" s="1"/>
  <c r="C8" i="52" s="1"/>
  <c r="W30" i="52"/>
  <c r="U28" i="52"/>
  <c r="U7" i="52" s="1"/>
  <c r="U8" i="52" s="1"/>
  <c r="CF30" i="15"/>
  <c r="I30" i="15"/>
  <c r="I9" i="15" s="1"/>
  <c r="CC9" i="15"/>
  <c r="F10" i="16"/>
  <c r="BD10" i="16"/>
  <c r="H10" i="16" s="1"/>
  <c r="BE10" i="16"/>
  <c r="BF10" i="16"/>
  <c r="BE27" i="16"/>
  <c r="F27" i="16"/>
  <c r="BD27" i="16"/>
  <c r="I9" i="12" s="1"/>
  <c r="BF27" i="16"/>
  <c r="W28" i="10"/>
  <c r="W7" i="10" s="1"/>
  <c r="E29" i="10"/>
  <c r="K32" i="15"/>
  <c r="L32" i="15"/>
  <c r="D30" i="10"/>
  <c r="C29" i="144"/>
  <c r="C8" i="144" s="1"/>
  <c r="C9" i="144" s="1"/>
  <c r="U8" i="10"/>
  <c r="C15" i="54"/>
  <c r="C22" i="54" s="1"/>
  <c r="C15" i="13"/>
  <c r="C22" i="13" s="1"/>
  <c r="AB9" i="36" l="1"/>
  <c r="AB7" i="36"/>
  <c r="AB37" i="36" s="1"/>
  <c r="W7" i="36"/>
  <c r="W37" i="36" s="1"/>
  <c r="W9" i="36"/>
  <c r="J44" i="170"/>
  <c r="V19" i="36"/>
  <c r="Z19" i="36"/>
  <c r="W9" i="158"/>
  <c r="W34" i="158" s="1"/>
  <c r="W7" i="158"/>
  <c r="W29" i="158" s="1"/>
  <c r="E15" i="153"/>
  <c r="E15" i="162"/>
  <c r="T15" i="153"/>
  <c r="T15" i="162"/>
  <c r="V31" i="158"/>
  <c r="U31" i="158" s="1"/>
  <c r="Q19" i="158"/>
  <c r="U19" i="158"/>
  <c r="T14" i="155"/>
  <c r="D14" i="155"/>
  <c r="E14" i="155" s="1"/>
  <c r="R31" i="158"/>
  <c r="R8" i="158"/>
  <c r="F15" i="153"/>
  <c r="F22" i="153" s="1"/>
  <c r="D15" i="153"/>
  <c r="D22" i="153" s="1"/>
  <c r="E22" i="153"/>
  <c r="E23" i="153" s="1"/>
  <c r="T22" i="153"/>
  <c r="N25" i="114"/>
  <c r="AD11" i="60"/>
  <c r="N26" i="7"/>
  <c r="T11" i="41"/>
  <c r="N25" i="42" s="1"/>
  <c r="N26" i="8"/>
  <c r="N52" i="114"/>
  <c r="AC10" i="114"/>
  <c r="I9" i="42"/>
  <c r="Y10" i="42"/>
  <c r="I9" i="114"/>
  <c r="Y10" i="114"/>
  <c r="X10" i="114" s="1"/>
  <c r="J52" i="114"/>
  <c r="I52" i="114" s="1"/>
  <c r="Q9" i="114"/>
  <c r="Q10" i="7"/>
  <c r="Q10" i="8"/>
  <c r="T10" i="8" s="1"/>
  <c r="AL11" i="2"/>
  <c r="AU40" i="1"/>
  <c r="AD40" i="40" s="1"/>
  <c r="AQ40" i="59"/>
  <c r="AV9" i="1"/>
  <c r="I10" i="8"/>
  <c r="I53" i="8"/>
  <c r="Y11" i="8"/>
  <c r="X11" i="8" s="1"/>
  <c r="F112" i="11"/>
  <c r="C17" i="86"/>
  <c r="D15" i="112"/>
  <c r="C22" i="116"/>
  <c r="D15" i="123"/>
  <c r="C21" i="49"/>
  <c r="D36" i="30"/>
  <c r="D15" i="118"/>
  <c r="J25" i="114"/>
  <c r="X11" i="60"/>
  <c r="J26" i="7"/>
  <c r="J26" i="8"/>
  <c r="AA42" i="36" s="1"/>
  <c r="N11" i="41"/>
  <c r="D15" i="51"/>
  <c r="AC11" i="7"/>
  <c r="N53" i="7"/>
  <c r="AJ40" i="59"/>
  <c r="AJ9" i="59" s="1"/>
  <c r="AK9" i="59"/>
  <c r="AC11" i="8"/>
  <c r="N53" i="8"/>
  <c r="N9" i="42"/>
  <c r="AC10" i="42" s="1"/>
  <c r="X40" i="40"/>
  <c r="M9" i="42" s="1"/>
  <c r="AE114" i="59"/>
  <c r="AE8" i="59"/>
  <c r="AE10" i="59"/>
  <c r="AE112" i="59"/>
  <c r="Z10" i="42"/>
  <c r="I10" i="7"/>
  <c r="D9" i="31" s="1"/>
  <c r="J53" i="7"/>
  <c r="I53" i="7" s="1"/>
  <c r="Y11" i="7"/>
  <c r="X11" i="7" s="1"/>
  <c r="M9" i="114"/>
  <c r="M10" i="8"/>
  <c r="AN40" i="1"/>
  <c r="M10" i="7"/>
  <c r="AF11" i="2"/>
  <c r="S13" i="155" s="1"/>
  <c r="AD10" i="59"/>
  <c r="AD8" i="59"/>
  <c r="AD112" i="59"/>
  <c r="AD114" i="59"/>
  <c r="C69" i="144"/>
  <c r="C69" i="138" s="1"/>
  <c r="T15" i="54"/>
  <c r="T22" i="54" s="1"/>
  <c r="T15" i="13"/>
  <c r="T22" i="13" s="1"/>
  <c r="I10" i="53"/>
  <c r="C10" i="53" s="1"/>
  <c r="C9" i="12"/>
  <c r="AB11" i="2" s="1"/>
  <c r="I10" i="16"/>
  <c r="J10" i="16"/>
  <c r="L30" i="15"/>
  <c r="K30" i="15"/>
  <c r="E30" i="52"/>
  <c r="E28" i="52" s="1"/>
  <c r="E7" i="52" s="1"/>
  <c r="W28" i="52"/>
  <c r="W7" i="52" s="1"/>
  <c r="J27" i="16"/>
  <c r="I27" i="16"/>
  <c r="W45" i="10"/>
  <c r="E45" i="10" s="1"/>
  <c r="E15" i="13"/>
  <c r="W8" i="10"/>
  <c r="E15" i="54"/>
  <c r="W46" i="10"/>
  <c r="E28" i="10"/>
  <c r="E7" i="10" s="1"/>
  <c r="E46" i="10" s="1"/>
  <c r="D29" i="10"/>
  <c r="H27" i="16"/>
  <c r="CD39" i="15"/>
  <c r="CD41" i="15" s="1"/>
  <c r="CD10" i="15"/>
  <c r="BB9" i="16"/>
  <c r="BB8" i="16" s="1"/>
  <c r="CF9" i="15"/>
  <c r="CC10" i="15"/>
  <c r="CE9" i="15"/>
  <c r="J40" i="15"/>
  <c r="P19" i="158" l="1"/>
  <c r="Q31" i="158"/>
  <c r="Q8" i="158"/>
  <c r="U19" i="36"/>
  <c r="U8" i="36" s="1"/>
  <c r="V8" i="36"/>
  <c r="S12" i="155"/>
  <c r="D13" i="155"/>
  <c r="T13" i="155"/>
  <c r="T12" i="155" s="1"/>
  <c r="F112" i="160"/>
  <c r="F112" i="161"/>
  <c r="F112" i="159"/>
  <c r="T22" i="162"/>
  <c r="W36" i="158"/>
  <c r="W35" i="158"/>
  <c r="X11" i="2"/>
  <c r="H40" i="157"/>
  <c r="F40" i="157" s="1"/>
  <c r="F15" i="162"/>
  <c r="F22" i="162" s="1"/>
  <c r="D15" i="162"/>
  <c r="D22" i="162" s="1"/>
  <c r="E22" i="162"/>
  <c r="E23" i="162" s="1"/>
  <c r="R7" i="158"/>
  <c r="R29" i="158" s="1"/>
  <c r="W41" i="158" s="1"/>
  <c r="W42" i="158" s="1"/>
  <c r="R9" i="158"/>
  <c r="R34" i="158" s="1"/>
  <c r="W40" i="158" s="1"/>
  <c r="F9" i="31"/>
  <c r="G9" i="31"/>
  <c r="H9" i="31"/>
  <c r="D11" i="31"/>
  <c r="AC112" i="59"/>
  <c r="AV10" i="1"/>
  <c r="AV8" i="1"/>
  <c r="Q9" i="42"/>
  <c r="AE9" i="40"/>
  <c r="AE10" i="40" s="1"/>
  <c r="M25" i="114"/>
  <c r="L25" i="114" s="1"/>
  <c r="M26" i="8"/>
  <c r="AC11" i="60"/>
  <c r="Z11" i="60" s="1"/>
  <c r="M26" i="7"/>
  <c r="L26" i="7" s="1"/>
  <c r="S11" i="41"/>
  <c r="AC11" i="2"/>
  <c r="L9" i="42"/>
  <c r="AB10" i="42"/>
  <c r="AA10" i="42" s="1"/>
  <c r="F9" i="11"/>
  <c r="D112" i="11"/>
  <c r="F112" i="56"/>
  <c r="AP40" i="59"/>
  <c r="AP9" i="59" s="1"/>
  <c r="AQ9" i="59"/>
  <c r="AW40" i="59"/>
  <c r="L10" i="7"/>
  <c r="M53" i="7"/>
  <c r="L53" i="7" s="1"/>
  <c r="AB11" i="7"/>
  <c r="AA11" i="7" s="1"/>
  <c r="J25" i="42"/>
  <c r="P9" i="114"/>
  <c r="P10" i="8"/>
  <c r="S10" i="8" s="1"/>
  <c r="P10" i="7"/>
  <c r="AK11" i="2"/>
  <c r="AT40" i="1"/>
  <c r="AT9" i="1" s="1"/>
  <c r="AU9" i="1"/>
  <c r="D10" i="43"/>
  <c r="Q25" i="114"/>
  <c r="Y11" i="41"/>
  <c r="Q25" i="42" s="1"/>
  <c r="Q26" i="7"/>
  <c r="AI11" i="60"/>
  <c r="Q26" i="8"/>
  <c r="K10" i="43" s="1"/>
  <c r="X10" i="42"/>
  <c r="AD71" i="59"/>
  <c r="AD60" i="59"/>
  <c r="M53" i="8"/>
  <c r="L53" i="8" s="1"/>
  <c r="L10" i="8"/>
  <c r="AB11" i="8"/>
  <c r="AA11" i="8" s="1"/>
  <c r="Q53" i="8"/>
  <c r="AF11" i="8"/>
  <c r="E36" i="30"/>
  <c r="C36" i="30" s="1"/>
  <c r="E15" i="112"/>
  <c r="C15" i="112" s="1"/>
  <c r="K25" i="114"/>
  <c r="E15" i="51"/>
  <c r="C15" i="51" s="1"/>
  <c r="K26" i="8"/>
  <c r="Y11" i="60"/>
  <c r="U11" i="60" s="1"/>
  <c r="K26" i="7"/>
  <c r="I26" i="7" s="1"/>
  <c r="E23" i="31" s="1"/>
  <c r="G23" i="31" s="1"/>
  <c r="O11" i="41"/>
  <c r="K25" i="42" s="1"/>
  <c r="E15" i="118"/>
  <c r="C15" i="118" s="1"/>
  <c r="E15" i="123"/>
  <c r="C15" i="123" s="1"/>
  <c r="Z114" i="59"/>
  <c r="L9" i="114"/>
  <c r="M52" i="114"/>
  <c r="L52" i="114" s="1"/>
  <c r="AB10" i="114"/>
  <c r="AA10" i="114" s="1"/>
  <c r="AK8" i="59"/>
  <c r="AK71" i="59" s="1"/>
  <c r="AK10" i="59"/>
  <c r="AF11" i="7"/>
  <c r="Q53" i="7"/>
  <c r="AE71" i="59"/>
  <c r="AE60" i="59"/>
  <c r="AJ10" i="59"/>
  <c r="AJ8" i="59"/>
  <c r="T9" i="114"/>
  <c r="Q52" i="114"/>
  <c r="AF10" i="114"/>
  <c r="T10" i="7"/>
  <c r="BD9" i="16"/>
  <c r="BD8" i="16" s="1"/>
  <c r="F9" i="16"/>
  <c r="F8" i="16" s="1"/>
  <c r="BE9" i="16"/>
  <c r="BF9" i="16"/>
  <c r="CF10" i="15"/>
  <c r="CE10" i="15"/>
  <c r="CD44" i="15"/>
  <c r="CD53" i="15"/>
  <c r="CD54" i="15" s="1"/>
  <c r="CD55" i="15" s="1"/>
  <c r="CD56" i="15" s="1"/>
  <c r="E22" i="54"/>
  <c r="E23" i="54" s="1"/>
  <c r="F15" i="54"/>
  <c r="F22" i="54" s="1"/>
  <c r="D15" i="54"/>
  <c r="D22" i="54" s="1"/>
  <c r="W45" i="52"/>
  <c r="E45" i="52" s="1"/>
  <c r="W46" i="52"/>
  <c r="W8" i="52"/>
  <c r="E8" i="52"/>
  <c r="E46" i="52"/>
  <c r="F15" i="13"/>
  <c r="F22" i="13" s="1"/>
  <c r="D15" i="13"/>
  <c r="D22" i="13" s="1"/>
  <c r="E22" i="13"/>
  <c r="E23" i="13" s="1"/>
  <c r="J39" i="15"/>
  <c r="J41" i="15" s="1"/>
  <c r="J53" i="15" s="1"/>
  <c r="J54" i="15" s="1"/>
  <c r="J55" i="15" s="1"/>
  <c r="J56" i="15" s="1"/>
  <c r="J10" i="15"/>
  <c r="E8" i="10"/>
  <c r="L9" i="15"/>
  <c r="I10" i="15"/>
  <c r="K9" i="15"/>
  <c r="F11" i="31" l="1"/>
  <c r="H11" i="31"/>
  <c r="D12" i="155"/>
  <c r="E13" i="155"/>
  <c r="E12" i="155" s="1"/>
  <c r="Z69" i="2"/>
  <c r="Z11" i="2"/>
  <c r="T126" i="2"/>
  <c r="V9" i="36"/>
  <c r="V7" i="36"/>
  <c r="V37" i="36" s="1"/>
  <c r="I26" i="8"/>
  <c r="AB42" i="36"/>
  <c r="Z42" i="36" s="1"/>
  <c r="X42" i="36" s="1"/>
  <c r="C28" i="48"/>
  <c r="U7" i="36"/>
  <c r="U37" i="36" s="1"/>
  <c r="U9" i="36"/>
  <c r="C28" i="115"/>
  <c r="R36" i="158"/>
  <c r="R35" i="158"/>
  <c r="Q7" i="158"/>
  <c r="Q29" i="158" s="1"/>
  <c r="Q9" i="158"/>
  <c r="Q34" i="158" s="1"/>
  <c r="C28" i="110"/>
  <c r="E9" i="71"/>
  <c r="D112" i="159"/>
  <c r="C112" i="159" s="1"/>
  <c r="F9" i="159"/>
  <c r="P31" i="158"/>
  <c r="P8" i="158"/>
  <c r="D112" i="161"/>
  <c r="C112" i="161" s="1"/>
  <c r="F9" i="161"/>
  <c r="D112" i="160"/>
  <c r="C112" i="160" s="1"/>
  <c r="F9" i="160"/>
  <c r="H10" i="43"/>
  <c r="T26" i="7"/>
  <c r="K11" i="41"/>
  <c r="M11" i="41" s="1"/>
  <c r="O10" i="8"/>
  <c r="R10" i="8" s="1"/>
  <c r="P53" i="8"/>
  <c r="O53" i="8" s="1"/>
  <c r="AE11" i="8"/>
  <c r="AD11" i="8" s="1"/>
  <c r="I25" i="42"/>
  <c r="D112" i="56"/>
  <c r="F9" i="56"/>
  <c r="AI13" i="19"/>
  <c r="AI124" i="19" s="1"/>
  <c r="AB11" i="60"/>
  <c r="AP8" i="59"/>
  <c r="AP10" i="59"/>
  <c r="S9" i="114"/>
  <c r="O9" i="114"/>
  <c r="R9" i="114" s="1"/>
  <c r="P52" i="114"/>
  <c r="O52" i="114" s="1"/>
  <c r="AE10" i="114"/>
  <c r="AD10" i="114" s="1"/>
  <c r="L26" i="8"/>
  <c r="G10" i="43"/>
  <c r="T25" i="114"/>
  <c r="P53" i="7"/>
  <c r="O53" i="7" s="1"/>
  <c r="O10" i="7"/>
  <c r="R10" i="7" s="1"/>
  <c r="AE11" i="7"/>
  <c r="AD11" i="7" s="1"/>
  <c r="S10" i="7"/>
  <c r="Q8" i="114"/>
  <c r="Q9" i="7"/>
  <c r="Q9" i="8"/>
  <c r="AH13" i="19"/>
  <c r="W11" i="60"/>
  <c r="P25" i="114"/>
  <c r="O25" i="114" s="1"/>
  <c r="P26" i="8"/>
  <c r="AH11" i="2"/>
  <c r="P26" i="7"/>
  <c r="AH11" i="60"/>
  <c r="AE11" i="60" s="1"/>
  <c r="X11" i="41"/>
  <c r="P11" i="41"/>
  <c r="R11" i="41" s="1"/>
  <c r="M25" i="42"/>
  <c r="L25" i="42" s="1"/>
  <c r="AJ71" i="59"/>
  <c r="AJ60" i="59"/>
  <c r="AE8" i="40"/>
  <c r="BC40" i="59"/>
  <c r="AV40" i="59"/>
  <c r="AV9" i="59" s="1"/>
  <c r="AW9" i="59"/>
  <c r="P9" i="42"/>
  <c r="AD9" i="40"/>
  <c r="AU8" i="1"/>
  <c r="AU10" i="1"/>
  <c r="E10" i="43"/>
  <c r="C10" i="43" s="1"/>
  <c r="T26" i="8"/>
  <c r="T25" i="42"/>
  <c r="AT8" i="1"/>
  <c r="AT10" i="1"/>
  <c r="AQ10" i="59"/>
  <c r="AQ8" i="59"/>
  <c r="C112" i="11"/>
  <c r="AC132" i="2"/>
  <c r="AE11" i="2"/>
  <c r="AF10" i="42"/>
  <c r="T9" i="42"/>
  <c r="I25" i="114"/>
  <c r="L10" i="15"/>
  <c r="K10" i="15"/>
  <c r="J9" i="16"/>
  <c r="I9" i="16"/>
  <c r="I8" i="16"/>
  <c r="BF8" i="16"/>
  <c r="BE8" i="16"/>
  <c r="H9" i="16"/>
  <c r="H8" i="16" s="1"/>
  <c r="J44" i="15"/>
  <c r="I38" i="16" s="1"/>
  <c r="CD45" i="15"/>
  <c r="BB36" i="16" s="1"/>
  <c r="R42" i="158" l="1"/>
  <c r="W43" i="158" s="1"/>
  <c r="R45" i="158"/>
  <c r="F10" i="43"/>
  <c r="P9" i="158"/>
  <c r="P34" i="158" s="1"/>
  <c r="P7" i="158"/>
  <c r="P29" i="158" s="1"/>
  <c r="Q35" i="158"/>
  <c r="Q36" i="158"/>
  <c r="Q45" i="158" s="1"/>
  <c r="AC42" i="36"/>
  <c r="AD42" i="36"/>
  <c r="AE42" i="36"/>
  <c r="AF42" i="36"/>
  <c r="BB41" i="16"/>
  <c r="BB40" i="16"/>
  <c r="BB38" i="16"/>
  <c r="BB39" i="16"/>
  <c r="S25" i="114"/>
  <c r="R25" i="114"/>
  <c r="AW10" i="59"/>
  <c r="AW8" i="59"/>
  <c r="AW60" i="59" s="1"/>
  <c r="BI40" i="59"/>
  <c r="BB40" i="59"/>
  <c r="BB9" i="59" s="1"/>
  <c r="BC9" i="59"/>
  <c r="AO13" i="19"/>
  <c r="AT13" i="19" s="1"/>
  <c r="AL11" i="60"/>
  <c r="AG11" i="60"/>
  <c r="AH124" i="19"/>
  <c r="AI125" i="19" s="1"/>
  <c r="AJ13" i="19"/>
  <c r="AN13" i="19" s="1"/>
  <c r="L7" i="23"/>
  <c r="AT63" i="1"/>
  <c r="U11" i="41"/>
  <c r="W11" i="41" s="1"/>
  <c r="P25" i="42"/>
  <c r="O25" i="42" s="1"/>
  <c r="R25" i="42" s="1"/>
  <c r="O26" i="7"/>
  <c r="R26" i="7" s="1"/>
  <c r="S26" i="7"/>
  <c r="AV63" i="1"/>
  <c r="P9" i="7"/>
  <c r="P8" i="114"/>
  <c r="P9" i="8"/>
  <c r="AU63" i="1"/>
  <c r="Q8" i="42"/>
  <c r="AE67" i="40"/>
  <c r="AJ11" i="2"/>
  <c r="AH132" i="2"/>
  <c r="Q13" i="8"/>
  <c r="AF9" i="8"/>
  <c r="AF15" i="8" s="1"/>
  <c r="AF22" i="8" s="1"/>
  <c r="AF31" i="8" s="1"/>
  <c r="C112" i="56"/>
  <c r="AD10" i="40"/>
  <c r="AD8" i="40"/>
  <c r="O26" i="8"/>
  <c r="R26" i="8" s="1"/>
  <c r="J10" i="43"/>
  <c r="I10" i="43" s="1"/>
  <c r="AF9" i="7"/>
  <c r="AF15" i="7" s="1"/>
  <c r="AF22" i="7" s="1"/>
  <c r="AF31" i="7" s="1"/>
  <c r="Q13" i="7"/>
  <c r="AV10" i="59"/>
  <c r="AV8" i="59"/>
  <c r="AV60" i="59" s="1"/>
  <c r="O9" i="42"/>
  <c r="R9" i="42" s="1"/>
  <c r="AE10" i="42"/>
  <c r="AD10" i="42" s="1"/>
  <c r="S9" i="42"/>
  <c r="Q12" i="114"/>
  <c r="AF8" i="114"/>
  <c r="AF14" i="114" s="1"/>
  <c r="AF21" i="114" s="1"/>
  <c r="AF30" i="114" s="1"/>
  <c r="S26" i="8"/>
  <c r="BB33" i="16"/>
  <c r="F36" i="16"/>
  <c r="CD60" i="15"/>
  <c r="J8" i="16"/>
  <c r="J45" i="15"/>
  <c r="J60" i="15" s="1"/>
  <c r="J17" i="45"/>
  <c r="S17" i="45" s="1"/>
  <c r="P36" i="158" l="1"/>
  <c r="P45" i="158" s="1"/>
  <c r="P35" i="158"/>
  <c r="W45" i="158"/>
  <c r="W46" i="158" s="1"/>
  <c r="W44" i="158"/>
  <c r="AX13" i="19"/>
  <c r="S25" i="42"/>
  <c r="AD67" i="40"/>
  <c r="P8" i="42"/>
  <c r="P13" i="8"/>
  <c r="O13" i="8" s="1"/>
  <c r="O9" i="8"/>
  <c r="AE9" i="8"/>
  <c r="BC10" i="59"/>
  <c r="BC8" i="59"/>
  <c r="BC60" i="59" s="1"/>
  <c r="P12" i="114"/>
  <c r="O12" i="114" s="1"/>
  <c r="AE8" i="114"/>
  <c r="O8" i="114"/>
  <c r="BB10" i="59"/>
  <c r="BB8" i="59"/>
  <c r="BB60" i="59" s="1"/>
  <c r="Q12" i="42"/>
  <c r="AF8" i="42"/>
  <c r="AF14" i="42" s="1"/>
  <c r="AF21" i="42" s="1"/>
  <c r="AF30" i="42" s="1"/>
  <c r="O9" i="7"/>
  <c r="AE9" i="7"/>
  <c r="P13" i="7"/>
  <c r="O13" i="7" s="1"/>
  <c r="L46" i="23"/>
  <c r="L11" i="23"/>
  <c r="BI9" i="59"/>
  <c r="BO40" i="59"/>
  <c r="BH40" i="59"/>
  <c r="BH9" i="59" s="1"/>
  <c r="AH125" i="19"/>
  <c r="AJ124" i="19"/>
  <c r="AN124" i="19" s="1"/>
  <c r="BC40" i="16"/>
  <c r="F40" i="16"/>
  <c r="G40" i="16" s="1"/>
  <c r="BC38" i="16"/>
  <c r="BB25" i="16"/>
  <c r="F25" i="16" s="1"/>
  <c r="F38" i="16"/>
  <c r="G38" i="16" s="1"/>
  <c r="BC41" i="16"/>
  <c r="BB31" i="16"/>
  <c r="F41" i="16"/>
  <c r="G41" i="16" s="1"/>
  <c r="BB43" i="16"/>
  <c r="BC39" i="16"/>
  <c r="BB29" i="16"/>
  <c r="F39" i="16"/>
  <c r="G39" i="16" s="1"/>
  <c r="D17" i="45"/>
  <c r="J13" i="45"/>
  <c r="U52" i="158" l="1"/>
  <c r="S51" i="158"/>
  <c r="BN40" i="59"/>
  <c r="BN9" i="59" s="1"/>
  <c r="BO9" i="59"/>
  <c r="AD9" i="8"/>
  <c r="AE15" i="8"/>
  <c r="BH10" i="59"/>
  <c r="BH8" i="59"/>
  <c r="BH60" i="59" s="1"/>
  <c r="BI8" i="59"/>
  <c r="BI60" i="59" s="1"/>
  <c r="BI10" i="59"/>
  <c r="AE15" i="7"/>
  <c r="AD9" i="7"/>
  <c r="AK125" i="19"/>
  <c r="AJ125" i="19"/>
  <c r="AN125" i="19" s="1"/>
  <c r="P12" i="42"/>
  <c r="O12" i="42" s="1"/>
  <c r="AE8" i="42"/>
  <c r="O8" i="42"/>
  <c r="AE14" i="114"/>
  <c r="AD8" i="114"/>
  <c r="BF25" i="16"/>
  <c r="BB24" i="16"/>
  <c r="BB28" i="16" s="1"/>
  <c r="BB23" i="16" s="1"/>
  <c r="BB42" i="16" s="1"/>
  <c r="BD25" i="16"/>
  <c r="I8" i="12" s="1"/>
  <c r="BE25" i="16"/>
  <c r="BF31" i="16"/>
  <c r="BE31" i="16"/>
  <c r="BD31" i="16"/>
  <c r="F31" i="16"/>
  <c r="BF29" i="16"/>
  <c r="BE29" i="16"/>
  <c r="BD29" i="16"/>
  <c r="F29" i="16"/>
  <c r="BB44" i="16"/>
  <c r="F44" i="16" s="1"/>
  <c r="H13" i="17"/>
  <c r="I13" i="17" s="1"/>
  <c r="I20" i="17" s="1"/>
  <c r="F43" i="16"/>
  <c r="J25" i="16"/>
  <c r="I25" i="16"/>
  <c r="F24" i="16"/>
  <c r="D13" i="45"/>
  <c r="J5" i="45"/>
  <c r="BE24" i="16" l="1"/>
  <c r="S15" i="153"/>
  <c r="S15" i="162"/>
  <c r="BF24" i="16"/>
  <c r="S22" i="153"/>
  <c r="R15" i="153"/>
  <c r="AE14" i="42"/>
  <c r="AD8" i="42"/>
  <c r="AE21" i="114"/>
  <c r="AD21" i="114" s="1"/>
  <c r="AD14" i="114"/>
  <c r="AD15" i="8"/>
  <c r="AE22" i="8"/>
  <c r="AD22" i="8" s="1"/>
  <c r="BO8" i="59"/>
  <c r="BO60" i="59" s="1"/>
  <c r="BO10" i="59"/>
  <c r="AE22" i="7"/>
  <c r="AD22" i="7" s="1"/>
  <c r="AD15" i="7"/>
  <c r="BN10" i="59"/>
  <c r="BN8" i="59"/>
  <c r="BN60" i="59" s="1"/>
  <c r="I29" i="16"/>
  <c r="J29" i="16"/>
  <c r="BD24" i="16"/>
  <c r="H25" i="16"/>
  <c r="H24" i="16" s="1"/>
  <c r="I12" i="12"/>
  <c r="H29" i="16"/>
  <c r="H54" i="16" s="1"/>
  <c r="H55" i="16" s="1"/>
  <c r="I31" i="16"/>
  <c r="J31" i="16"/>
  <c r="I14" i="12"/>
  <c r="H31" i="16"/>
  <c r="J24" i="16"/>
  <c r="I24" i="16"/>
  <c r="C68" i="144"/>
  <c r="I6" i="12"/>
  <c r="I9" i="53"/>
  <c r="S15" i="54"/>
  <c r="S15" i="13"/>
  <c r="C8" i="12"/>
  <c r="D5" i="45"/>
  <c r="J31" i="45"/>
  <c r="BD33" i="16" s="1"/>
  <c r="S22" i="162" l="1"/>
  <c r="R15" i="162"/>
  <c r="R22" i="162" s="1"/>
  <c r="X15" i="153"/>
  <c r="X22" i="153" s="1"/>
  <c r="X15" i="162"/>
  <c r="X22" i="162" s="1"/>
  <c r="V15" i="153"/>
  <c r="V22" i="153" s="1"/>
  <c r="V15" i="162"/>
  <c r="BD28" i="16"/>
  <c r="BD23" i="16" s="1"/>
  <c r="BD42" i="16" s="1"/>
  <c r="R22" i="153"/>
  <c r="AE30" i="114"/>
  <c r="AD30" i="114" s="1"/>
  <c r="AE31" i="7"/>
  <c r="AD31" i="7" s="1"/>
  <c r="AE31" i="8"/>
  <c r="AD31" i="8" s="1"/>
  <c r="AE21" i="42"/>
  <c r="AD21" i="42" s="1"/>
  <c r="AD14" i="42"/>
  <c r="C6" i="12"/>
  <c r="AB10" i="2"/>
  <c r="C74" i="144"/>
  <c r="C74" i="138" s="1"/>
  <c r="X15" i="54"/>
  <c r="X22" i="54" s="1"/>
  <c r="X15" i="13"/>
  <c r="X22" i="13" s="1"/>
  <c r="I15" i="53"/>
  <c r="C15" i="53" s="1"/>
  <c r="C14" i="12"/>
  <c r="AB30" i="2" s="1"/>
  <c r="C72" i="144"/>
  <c r="C72" i="138" s="1"/>
  <c r="V15" i="54"/>
  <c r="V22" i="54" s="1"/>
  <c r="V15" i="13"/>
  <c r="V22" i="13" s="1"/>
  <c r="I13" i="53"/>
  <c r="C13" i="53" s="1"/>
  <c r="C12" i="12"/>
  <c r="AB20" i="2" s="1"/>
  <c r="R15" i="54"/>
  <c r="R22" i="54" s="1"/>
  <c r="S22" i="54"/>
  <c r="R15" i="13"/>
  <c r="R22" i="13" s="1"/>
  <c r="S22" i="13"/>
  <c r="H20" i="17"/>
  <c r="I7" i="53"/>
  <c r="C9" i="53"/>
  <c r="C7" i="53" s="1"/>
  <c r="C66" i="144"/>
  <c r="C68" i="138"/>
  <c r="C66" i="138" s="1"/>
  <c r="J32" i="45"/>
  <c r="D32" i="45" s="1"/>
  <c r="J33" i="45"/>
  <c r="D33" i="45" s="1"/>
  <c r="D31" i="45"/>
  <c r="AB55" i="2" l="1"/>
  <c r="H49" i="157"/>
  <c r="F49" i="157" s="1"/>
  <c r="X30" i="2"/>
  <c r="X41" i="2" s="1"/>
  <c r="AA43" i="2"/>
  <c r="Z43" i="2" s="1"/>
  <c r="E132" i="11"/>
  <c r="G132" i="11" s="1"/>
  <c r="H39" i="157"/>
  <c r="H38" i="157" s="1"/>
  <c r="V22" i="162"/>
  <c r="AB42" i="2"/>
  <c r="AE30" i="42"/>
  <c r="AD30" i="42" s="1"/>
  <c r="AG10" i="2"/>
  <c r="S11" i="155" s="1"/>
  <c r="AB9" i="2"/>
  <c r="X20" i="2"/>
  <c r="F10" i="164" s="1"/>
  <c r="E41" i="16"/>
  <c r="E39" i="16"/>
  <c r="AB181" i="2"/>
  <c r="E35" i="30"/>
  <c r="E34" i="30" s="1"/>
  <c r="E14" i="112"/>
  <c r="E12" i="112" s="1"/>
  <c r="E14" i="123"/>
  <c r="E12" i="123" s="1"/>
  <c r="E14" i="118"/>
  <c r="E12" i="118" s="1"/>
  <c r="K24" i="114"/>
  <c r="K23" i="114" s="1"/>
  <c r="Y10" i="60"/>
  <c r="K25" i="7"/>
  <c r="K24" i="7" s="1"/>
  <c r="O10" i="41"/>
  <c r="O9" i="41" s="1"/>
  <c r="E14" i="51"/>
  <c r="E12" i="51" s="1"/>
  <c r="K25" i="8"/>
  <c r="E38" i="16"/>
  <c r="AB152" i="2"/>
  <c r="AG20" i="2"/>
  <c r="AL20" i="2" s="1"/>
  <c r="E21" i="112"/>
  <c r="C21" i="112" s="1"/>
  <c r="E21" i="118"/>
  <c r="C21" i="118" s="1"/>
  <c r="E21" i="123"/>
  <c r="C21" i="123" s="1"/>
  <c r="K30" i="114"/>
  <c r="I30" i="114" s="1"/>
  <c r="AB18" i="2"/>
  <c r="K31" i="8"/>
  <c r="AB47" i="36" s="1"/>
  <c r="Z47" i="36" s="1"/>
  <c r="X47" i="36" s="1"/>
  <c r="K31" i="7"/>
  <c r="I31" i="7" s="1"/>
  <c r="E28" i="31" s="1"/>
  <c r="G28" i="31" s="1"/>
  <c r="E21" i="51"/>
  <c r="C21" i="51" s="1"/>
  <c r="O20" i="41"/>
  <c r="Y19" i="60"/>
  <c r="E35" i="112"/>
  <c r="C35" i="112" s="1"/>
  <c r="AB195" i="2"/>
  <c r="AG30" i="2"/>
  <c r="AL30" i="2" s="1"/>
  <c r="K37" i="114"/>
  <c r="I37" i="114" s="1"/>
  <c r="E35" i="118"/>
  <c r="C35" i="118" s="1"/>
  <c r="E35" i="123"/>
  <c r="C35" i="123" s="1"/>
  <c r="E45" i="30"/>
  <c r="C45" i="30" s="1"/>
  <c r="O30" i="41"/>
  <c r="K38" i="8"/>
  <c r="AB54" i="36" s="1"/>
  <c r="Z54" i="36" s="1"/>
  <c r="X54" i="36" s="1"/>
  <c r="E25" i="51"/>
  <c r="C25" i="51" s="1"/>
  <c r="K38" i="7"/>
  <c r="I38" i="7" s="1"/>
  <c r="E31" i="31" s="1"/>
  <c r="G31" i="31" s="1"/>
  <c r="Y29" i="60"/>
  <c r="C13" i="17"/>
  <c r="C20" i="17" s="1"/>
  <c r="I15" i="12"/>
  <c r="F33" i="16"/>
  <c r="I33" i="16" s="1"/>
  <c r="I35" i="16" s="1"/>
  <c r="I39" i="16" s="1"/>
  <c r="I40" i="16" s="1"/>
  <c r="BE33" i="16"/>
  <c r="AE54" i="36" l="1"/>
  <c r="AF54" i="36"/>
  <c r="AC54" i="36"/>
  <c r="AD54" i="36"/>
  <c r="K24" i="8"/>
  <c r="AB41" i="36"/>
  <c r="AB40" i="36" s="1"/>
  <c r="Y15" i="153"/>
  <c r="Y22" i="153" s="1"/>
  <c r="Y15" i="162"/>
  <c r="Y22" i="162" s="1"/>
  <c r="Z30" i="2"/>
  <c r="AC47" i="36"/>
  <c r="AE47" i="36"/>
  <c r="AF47" i="36"/>
  <c r="AD47" i="36"/>
  <c r="X55" i="2"/>
  <c r="T11" i="155"/>
  <c r="D11" i="155"/>
  <c r="AL10" i="2"/>
  <c r="AL9" i="2" s="1"/>
  <c r="AG9" i="2"/>
  <c r="K37" i="42"/>
  <c r="I37" i="42" s="1"/>
  <c r="I58" i="42" s="1"/>
  <c r="K30" i="41"/>
  <c r="C34" i="115"/>
  <c r="C34" i="110"/>
  <c r="C34" i="48"/>
  <c r="Z20" i="2"/>
  <c r="K30" i="42"/>
  <c r="I30" i="42" s="1"/>
  <c r="O18" i="41"/>
  <c r="K20" i="41"/>
  <c r="E20" i="43"/>
  <c r="C20" i="43" s="1"/>
  <c r="I38" i="8"/>
  <c r="Y17" i="60"/>
  <c r="U19" i="60"/>
  <c r="E9" i="43"/>
  <c r="E8" i="43" s="1"/>
  <c r="Y50" i="60"/>
  <c r="U50" i="60" s="1"/>
  <c r="U29" i="60"/>
  <c r="K24" i="42"/>
  <c r="K23" i="42" s="1"/>
  <c r="N24" i="114"/>
  <c r="N23" i="114" s="1"/>
  <c r="AD10" i="60"/>
  <c r="T10" i="41"/>
  <c r="N25" i="8"/>
  <c r="N24" i="8" s="1"/>
  <c r="N25" i="7"/>
  <c r="N24" i="7" s="1"/>
  <c r="C38" i="110"/>
  <c r="C38" i="48"/>
  <c r="E23" i="84"/>
  <c r="F23" i="84" s="1"/>
  <c r="T131" i="2"/>
  <c r="C38" i="115"/>
  <c r="E15" i="43"/>
  <c r="I31" i="8"/>
  <c r="N30" i="114"/>
  <c r="AG18" i="2"/>
  <c r="AD19" i="60"/>
  <c r="T20" i="41"/>
  <c r="N31" i="8"/>
  <c r="N31" i="7"/>
  <c r="Y47" i="60"/>
  <c r="Y9" i="60"/>
  <c r="N37" i="114"/>
  <c r="AD29" i="60"/>
  <c r="N38" i="7"/>
  <c r="T30" i="41"/>
  <c r="N38" i="8"/>
  <c r="C75" i="144"/>
  <c r="C75" i="138" s="1"/>
  <c r="Y15" i="13"/>
  <c r="Y22" i="13" s="1"/>
  <c r="I16" i="53"/>
  <c r="C16" i="53" s="1"/>
  <c r="Y15" i="54"/>
  <c r="Y22" i="54" s="1"/>
  <c r="C15" i="12"/>
  <c r="AB32" i="2" s="1"/>
  <c r="H51" i="157" s="1"/>
  <c r="F51" i="157" s="1"/>
  <c r="BB30" i="16"/>
  <c r="BE28" i="16"/>
  <c r="BF28" i="16"/>
  <c r="H33" i="16"/>
  <c r="I10" i="12"/>
  <c r="E11" i="155" l="1"/>
  <c r="AP59" i="1"/>
  <c r="X32" i="2"/>
  <c r="H20" i="43"/>
  <c r="N30" i="42"/>
  <c r="T18" i="41"/>
  <c r="C15" i="43"/>
  <c r="N24" i="42"/>
  <c r="N23" i="42" s="1"/>
  <c r="T9" i="41"/>
  <c r="W29" i="60"/>
  <c r="N26" i="61"/>
  <c r="AH31" i="19"/>
  <c r="AD17" i="60"/>
  <c r="AD9" i="60"/>
  <c r="N37" i="42"/>
  <c r="E29" i="39"/>
  <c r="K45" i="41"/>
  <c r="M30" i="41"/>
  <c r="E36" i="123"/>
  <c r="C36" i="123" s="1"/>
  <c r="K34" i="114"/>
  <c r="O32" i="41"/>
  <c r="E36" i="118"/>
  <c r="C36" i="118" s="1"/>
  <c r="E36" i="112"/>
  <c r="C36" i="112" s="1"/>
  <c r="E26" i="51"/>
  <c r="C26" i="51" s="1"/>
  <c r="E47" i="30"/>
  <c r="C47" i="30" s="1"/>
  <c r="K35" i="8"/>
  <c r="AB51" i="36" s="1"/>
  <c r="Z51" i="36" s="1"/>
  <c r="X51" i="36" s="1"/>
  <c r="Y31" i="60"/>
  <c r="U31" i="60" s="1"/>
  <c r="K35" i="7"/>
  <c r="I35" i="7" s="1"/>
  <c r="E19" i="31" s="1"/>
  <c r="G19" i="31" s="1"/>
  <c r="AH17" i="19"/>
  <c r="W19" i="60"/>
  <c r="H15" i="43"/>
  <c r="H9" i="43"/>
  <c r="M20" i="41"/>
  <c r="C70" i="144"/>
  <c r="I13" i="12"/>
  <c r="I11" i="53"/>
  <c r="I5" i="12"/>
  <c r="C10" i="12"/>
  <c r="C5" i="12" s="1"/>
  <c r="BD30" i="16"/>
  <c r="H30" i="16" s="1"/>
  <c r="BF23" i="16"/>
  <c r="BE23" i="16"/>
  <c r="BF30" i="16"/>
  <c r="F30" i="16"/>
  <c r="F28" i="16" s="1"/>
  <c r="F23" i="16" s="1"/>
  <c r="BE30" i="16"/>
  <c r="AF51" i="36" l="1"/>
  <c r="AD51" i="36"/>
  <c r="AC51" i="36"/>
  <c r="W15" i="153"/>
  <c r="U15" i="153" s="1"/>
  <c r="W15" i="162"/>
  <c r="W22" i="153"/>
  <c r="H8" i="43"/>
  <c r="E18" i="43"/>
  <c r="C18" i="43" s="1"/>
  <c r="I35" i="8"/>
  <c r="T132" i="2"/>
  <c r="Z32" i="2"/>
  <c r="C39" i="48"/>
  <c r="E25" i="84"/>
  <c r="C39" i="115"/>
  <c r="C39" i="110"/>
  <c r="N19" i="114"/>
  <c r="N20" i="7"/>
  <c r="AK58" i="59"/>
  <c r="AN59" i="1"/>
  <c r="AK59" i="1"/>
  <c r="N20" i="8"/>
  <c r="Y58" i="40"/>
  <c r="AH64" i="19"/>
  <c r="K34" i="42"/>
  <c r="I34" i="42" s="1"/>
  <c r="K32" i="41"/>
  <c r="E26" i="39" s="1"/>
  <c r="I34" i="114"/>
  <c r="N28" i="61"/>
  <c r="AH33" i="19"/>
  <c r="H28" i="16"/>
  <c r="H60" i="16" s="1"/>
  <c r="I14" i="53"/>
  <c r="C14" i="53" s="1"/>
  <c r="I6" i="53"/>
  <c r="C11" i="53"/>
  <c r="C6" i="53" s="1"/>
  <c r="C73" i="144"/>
  <c r="C73" i="138" s="1"/>
  <c r="W15" i="13"/>
  <c r="W15" i="54"/>
  <c r="C13" i="12"/>
  <c r="AB16" i="2" s="1"/>
  <c r="C65" i="144"/>
  <c r="C70" i="138"/>
  <c r="C65" i="138" s="1"/>
  <c r="J30" i="16"/>
  <c r="I30" i="16"/>
  <c r="J28" i="16"/>
  <c r="W22" i="162" l="1"/>
  <c r="U15" i="162"/>
  <c r="U22" i="153"/>
  <c r="Q15" i="153"/>
  <c r="Q22" i="153" s="1"/>
  <c r="N19" i="42"/>
  <c r="T58" i="40"/>
  <c r="W58" i="40"/>
  <c r="AB136" i="2"/>
  <c r="L20" i="8"/>
  <c r="L20" i="7"/>
  <c r="AK60" i="59"/>
  <c r="AI58" i="59"/>
  <c r="AI60" i="59" s="1"/>
  <c r="AF58" i="59"/>
  <c r="AK61" i="1"/>
  <c r="AL61" i="1" s="1"/>
  <c r="L19" i="114"/>
  <c r="AH65" i="19"/>
  <c r="H23" i="16"/>
  <c r="C35" i="16" s="1"/>
  <c r="U15" i="54"/>
  <c r="W22" i="54"/>
  <c r="U15" i="13"/>
  <c r="W22" i="13"/>
  <c r="I28" i="16"/>
  <c r="F42" i="16"/>
  <c r="Q15" i="162" l="1"/>
  <c r="Q22" i="162" s="1"/>
  <c r="U22" i="162"/>
  <c r="AB137" i="2"/>
  <c r="AG16" i="2"/>
  <c r="AL16" i="2" s="1"/>
  <c r="E25" i="112"/>
  <c r="E25" i="123"/>
  <c r="E25" i="118"/>
  <c r="Y15" i="60"/>
  <c r="O16" i="41"/>
  <c r="AB15" i="2"/>
  <c r="L19" i="42"/>
  <c r="O19" i="61"/>
  <c r="O18" i="61"/>
  <c r="AR37" i="18"/>
  <c r="AR39" i="18" s="1"/>
  <c r="AF60" i="59"/>
  <c r="F19" i="39"/>
  <c r="F9" i="39" s="1"/>
  <c r="F8" i="39" s="1"/>
  <c r="T60" i="40"/>
  <c r="W64" i="40"/>
  <c r="W60" i="40"/>
  <c r="H42" i="16"/>
  <c r="C36" i="16"/>
  <c r="C37" i="16" s="1"/>
  <c r="I36" i="16" s="1"/>
  <c r="Q15" i="13"/>
  <c r="Q22" i="13" s="1"/>
  <c r="U22" i="13"/>
  <c r="Q15" i="54"/>
  <c r="Q22" i="54" s="1"/>
  <c r="U22" i="54"/>
  <c r="J23" i="16"/>
  <c r="I23" i="16"/>
  <c r="J165" i="11" l="1"/>
  <c r="H44" i="157"/>
  <c r="H37" i="157" s="1"/>
  <c r="Y14" i="60"/>
  <c r="O15" i="41"/>
  <c r="P18" i="61"/>
  <c r="P15" i="61" s="1"/>
  <c r="P13" i="61" s="1"/>
  <c r="O15" i="61"/>
  <c r="O13" i="61" s="1"/>
  <c r="P19" i="61"/>
  <c r="O9" i="61"/>
  <c r="E19" i="123"/>
  <c r="E11" i="123" s="1"/>
  <c r="E19" i="118"/>
  <c r="E11" i="118" s="1"/>
  <c r="K30" i="7"/>
  <c r="E19" i="51"/>
  <c r="E11" i="51" s="1"/>
  <c r="E44" i="51" s="1"/>
  <c r="AB191" i="2"/>
  <c r="AB192" i="2" s="1"/>
  <c r="K29" i="114"/>
  <c r="S131" i="2"/>
  <c r="AB151" i="2"/>
  <c r="K30" i="8"/>
  <c r="AB46" i="36" s="1"/>
  <c r="AB165" i="2"/>
  <c r="AB166" i="2" s="1"/>
  <c r="E19" i="112"/>
  <c r="E11" i="112" s="1"/>
  <c r="E40" i="30"/>
  <c r="AB8" i="2"/>
  <c r="AB54" i="2" s="1"/>
  <c r="AB56" i="2" s="1"/>
  <c r="E40" i="16"/>
  <c r="E36" i="16"/>
  <c r="T16" i="41"/>
  <c r="AD15" i="60"/>
  <c r="AG15" i="2"/>
  <c r="AB39" i="36" l="1"/>
  <c r="AB38" i="36" s="1"/>
  <c r="AB62" i="36" s="1"/>
  <c r="AB119" i="2"/>
  <c r="E23" i="51"/>
  <c r="AB216" i="2"/>
  <c r="K23" i="7"/>
  <c r="K22" i="7" s="1"/>
  <c r="K33" i="7"/>
  <c r="E23" i="123"/>
  <c r="AB7" i="2"/>
  <c r="AB149" i="2"/>
  <c r="K32" i="114"/>
  <c r="K22" i="114"/>
  <c r="N29" i="114"/>
  <c r="N30" i="8"/>
  <c r="N30" i="7"/>
  <c r="E33" i="30"/>
  <c r="P9" i="61"/>
  <c r="O8" i="61"/>
  <c r="P8" i="61" s="1"/>
  <c r="K29" i="42"/>
  <c r="O8" i="41"/>
  <c r="O7" i="41" s="1"/>
  <c r="Y48" i="60"/>
  <c r="Y8" i="60"/>
  <c r="E23" i="112"/>
  <c r="AD14" i="60"/>
  <c r="T15" i="41"/>
  <c r="K33" i="8"/>
  <c r="AB49" i="36" s="1"/>
  <c r="K23" i="8"/>
  <c r="E23" i="118"/>
  <c r="E17" i="43" l="1"/>
  <c r="N29" i="42"/>
  <c r="N33" i="8"/>
  <c r="K32" i="42"/>
  <c r="K22" i="42"/>
  <c r="K21" i="42" s="1"/>
  <c r="N32" i="114"/>
  <c r="N33" i="7"/>
  <c r="K21" i="114"/>
  <c r="Y7" i="60"/>
  <c r="Y56" i="60"/>
  <c r="E30" i="85"/>
  <c r="G30" i="85" s="1"/>
  <c r="K22" i="8"/>
  <c r="Y52" i="60"/>
  <c r="N32" i="42" l="1"/>
  <c r="E14" i="43"/>
  <c r="E7" i="43" s="1"/>
  <c r="Y54" i="60"/>
  <c r="Y57" i="60"/>
  <c r="H17" i="43"/>
  <c r="H14" i="43" l="1"/>
  <c r="AJ9" i="1" l="1"/>
  <c r="AJ10" i="1" s="1"/>
  <c r="S41" i="40"/>
  <c r="S9" i="40" s="1"/>
  <c r="AI41" i="1"/>
  <c r="AN41" i="1"/>
  <c r="AN9" i="1" s="1"/>
  <c r="AI9" i="1" l="1"/>
  <c r="AI10" i="1" s="1"/>
  <c r="V20" i="158"/>
  <c r="AA20" i="36"/>
  <c r="Y41" i="40"/>
  <c r="X41" i="40" s="1"/>
  <c r="X9" i="40" s="1"/>
  <c r="X10" i="40" s="1"/>
  <c r="AP9" i="1"/>
  <c r="AP10" i="1" s="1"/>
  <c r="R41" i="40"/>
  <c r="R9" i="40" s="1"/>
  <c r="R10" i="40" s="1"/>
  <c r="AI8" i="1"/>
  <c r="G33" i="157" s="1"/>
  <c r="AO9" i="1"/>
  <c r="AN10" i="1"/>
  <c r="AN8" i="1"/>
  <c r="AC124" i="2" s="1"/>
  <c r="AH41" i="1"/>
  <c r="H45" i="170" s="1"/>
  <c r="S10" i="40"/>
  <c r="S8" i="40"/>
  <c r="AJ8" i="1"/>
  <c r="Z20" i="36" l="1"/>
  <c r="Z8" i="36" s="1"/>
  <c r="AA8" i="36"/>
  <c r="J45" i="170"/>
  <c r="H11" i="170"/>
  <c r="H33" i="157"/>
  <c r="H32" i="157" s="1"/>
  <c r="H55" i="157" s="1"/>
  <c r="U20" i="158"/>
  <c r="U8" i="158" s="1"/>
  <c r="V8" i="158"/>
  <c r="F33" i="157"/>
  <c r="F32" i="157" s="1"/>
  <c r="G32" i="157"/>
  <c r="Y9" i="40"/>
  <c r="Y8" i="40" s="1"/>
  <c r="AP8" i="1"/>
  <c r="N9" i="8" s="1"/>
  <c r="N7" i="8" s="1"/>
  <c r="X8" i="40"/>
  <c r="M8" i="42" s="1"/>
  <c r="R8" i="40"/>
  <c r="R60" i="40" s="1"/>
  <c r="K7" i="23"/>
  <c r="AN63" i="1"/>
  <c r="AN61" i="1"/>
  <c r="AC123" i="2" s="1"/>
  <c r="AO10" i="1"/>
  <c r="AO8" i="1"/>
  <c r="AH9" i="1"/>
  <c r="AI61" i="1"/>
  <c r="C9" i="49"/>
  <c r="C10" i="116"/>
  <c r="D29" i="30"/>
  <c r="J9" i="7"/>
  <c r="J8" i="114"/>
  <c r="J9" i="8"/>
  <c r="S60" i="40"/>
  <c r="S67" i="40"/>
  <c r="K8" i="42"/>
  <c r="AJ61" i="1"/>
  <c r="E25" i="85"/>
  <c r="E29" i="30"/>
  <c r="E28" i="30" s="1"/>
  <c r="E51" i="30" s="1"/>
  <c r="K9" i="8"/>
  <c r="K9" i="7"/>
  <c r="K8" i="114"/>
  <c r="V7" i="158" l="1"/>
  <c r="V29" i="158" s="1"/>
  <c r="V9" i="158"/>
  <c r="V34" i="158" s="1"/>
  <c r="U7" i="158"/>
  <c r="U29" i="158" s="1"/>
  <c r="U9" i="158"/>
  <c r="U34" i="158" s="1"/>
  <c r="H10" i="170"/>
  <c r="J10" i="170" s="1"/>
  <c r="J11" i="170"/>
  <c r="AA7" i="36"/>
  <c r="AA37" i="36" s="1"/>
  <c r="AA9" i="36"/>
  <c r="Z9" i="36"/>
  <c r="Z7" i="36"/>
  <c r="Z37" i="36" s="1"/>
  <c r="AH10" i="1"/>
  <c r="AH157" i="1"/>
  <c r="K13" i="8"/>
  <c r="K63" i="8" s="1"/>
  <c r="K7" i="8"/>
  <c r="K65" i="8"/>
  <c r="K67" i="8" s="1"/>
  <c r="J52" i="8"/>
  <c r="J65" i="8"/>
  <c r="J67" i="8" s="1"/>
  <c r="J7" i="8"/>
  <c r="J8" i="8" s="1"/>
  <c r="J13" i="8"/>
  <c r="J63" i="8" s="1"/>
  <c r="J7" i="7"/>
  <c r="J8" i="7" s="1"/>
  <c r="J13" i="7"/>
  <c r="AP61" i="1"/>
  <c r="N9" i="7"/>
  <c r="N7" i="7" s="1"/>
  <c r="N8" i="7" s="1"/>
  <c r="AP63" i="1"/>
  <c r="N8" i="114"/>
  <c r="N51" i="114" s="1"/>
  <c r="N53" i="114" s="1"/>
  <c r="Y10" i="40"/>
  <c r="R67" i="40"/>
  <c r="X67" i="40"/>
  <c r="X60" i="40"/>
  <c r="J8" i="42"/>
  <c r="J12" i="42" s="1"/>
  <c r="AH8" i="1"/>
  <c r="K12" i="42"/>
  <c r="Z8" i="42"/>
  <c r="Z14" i="42" s="1"/>
  <c r="K5" i="42"/>
  <c r="K45" i="42" s="1"/>
  <c r="C8" i="49"/>
  <c r="C10" i="49"/>
  <c r="E24" i="85"/>
  <c r="G24" i="85" s="1"/>
  <c r="G25" i="85"/>
  <c r="E33" i="85"/>
  <c r="Y60" i="40"/>
  <c r="Y67" i="40"/>
  <c r="N8" i="42"/>
  <c r="L8" i="42" s="1"/>
  <c r="AC9" i="8"/>
  <c r="AC15" i="8" s="1"/>
  <c r="N13" i="8"/>
  <c r="Q52" i="8"/>
  <c r="Q54" i="8" s="1"/>
  <c r="N8" i="8"/>
  <c r="N6" i="8"/>
  <c r="N52" i="8"/>
  <c r="N54" i="8" s="1"/>
  <c r="K51" i="114"/>
  <c r="K53" i="114" s="1"/>
  <c r="Z8" i="114"/>
  <c r="Z14" i="114" s="1"/>
  <c r="K6" i="114"/>
  <c r="K7" i="114" s="1"/>
  <c r="K12" i="114"/>
  <c r="K5" i="114"/>
  <c r="AB129" i="2"/>
  <c r="Y9" i="8"/>
  <c r="J6" i="8"/>
  <c r="I9" i="8"/>
  <c r="I7" i="8" s="1"/>
  <c r="AO63" i="1"/>
  <c r="AO61" i="1"/>
  <c r="M9" i="7"/>
  <c r="M8" i="114"/>
  <c r="S8" i="114" s="1"/>
  <c r="M9" i="8"/>
  <c r="M7" i="8" s="1"/>
  <c r="Z9" i="7"/>
  <c r="Z15" i="7" s="1"/>
  <c r="K52" i="7"/>
  <c r="K54" i="7" s="1"/>
  <c r="K13" i="7"/>
  <c r="K6" i="7"/>
  <c r="K7" i="7"/>
  <c r="K8" i="7" s="1"/>
  <c r="K11" i="23"/>
  <c r="K46" i="23"/>
  <c r="J52" i="7"/>
  <c r="Y9" i="7"/>
  <c r="J6" i="7"/>
  <c r="I9" i="7"/>
  <c r="I7" i="7" s="1"/>
  <c r="M12" i="42"/>
  <c r="AB8" i="42"/>
  <c r="M5" i="42"/>
  <c r="C11" i="116"/>
  <c r="C9" i="116"/>
  <c r="J12" i="114"/>
  <c r="J51" i="114"/>
  <c r="J5" i="114"/>
  <c r="J6" i="114"/>
  <c r="J7" i="114" s="1"/>
  <c r="Y8" i="114"/>
  <c r="I8" i="114"/>
  <c r="T9" i="8"/>
  <c r="Z9" i="8"/>
  <c r="Z15" i="8" s="1"/>
  <c r="K49" i="8"/>
  <c r="K52" i="8"/>
  <c r="K54" i="8" s="1"/>
  <c r="K6" i="8"/>
  <c r="C29" i="30"/>
  <c r="C28" i="30" s="1"/>
  <c r="D28" i="30"/>
  <c r="N52" i="7" l="1"/>
  <c r="N54" i="7" s="1"/>
  <c r="U35" i="158"/>
  <c r="U36" i="158"/>
  <c r="U40" i="158" s="1"/>
  <c r="V36" i="158"/>
  <c r="V35" i="158"/>
  <c r="AH249" i="1"/>
  <c r="AH250" i="1"/>
  <c r="E8" i="31"/>
  <c r="E7" i="31" s="1"/>
  <c r="E6" i="31" s="1"/>
  <c r="AH156" i="1"/>
  <c r="N5" i="114"/>
  <c r="N6" i="114"/>
  <c r="N7" i="114" s="1"/>
  <c r="AC32" i="114" s="1"/>
  <c r="AC33" i="114" s="1"/>
  <c r="AC36" i="114" s="1"/>
  <c r="AC37" i="114" s="1"/>
  <c r="N12" i="114"/>
  <c r="T12" i="114" s="1"/>
  <c r="T8" i="114"/>
  <c r="AC8" i="114"/>
  <c r="AC14" i="114" s="1"/>
  <c r="K69" i="8"/>
  <c r="K68" i="8"/>
  <c r="Q51" i="114"/>
  <c r="Q53" i="114" s="1"/>
  <c r="Q54" i="114" s="1"/>
  <c r="Q55" i="114" s="1"/>
  <c r="I13" i="8"/>
  <c r="I63" i="8" s="1"/>
  <c r="J58" i="8"/>
  <c r="J69" i="8"/>
  <c r="J68" i="8"/>
  <c r="J54" i="8"/>
  <c r="AH61" i="1"/>
  <c r="I61" i="23"/>
  <c r="Q52" i="7"/>
  <c r="Q54" i="7" s="1"/>
  <c r="Q55" i="7" s="1"/>
  <c r="Q56" i="7" s="1"/>
  <c r="T9" i="7"/>
  <c r="N6" i="7"/>
  <c r="N13" i="7"/>
  <c r="T13" i="7" s="1"/>
  <c r="AC9" i="7"/>
  <c r="AC15" i="7" s="1"/>
  <c r="AC22" i="7" s="1"/>
  <c r="AC31" i="7" s="1"/>
  <c r="S9" i="7"/>
  <c r="M7" i="7"/>
  <c r="M8" i="7" s="1"/>
  <c r="J5" i="42"/>
  <c r="Y8" i="42"/>
  <c r="Y14" i="42" s="1"/>
  <c r="I8" i="42"/>
  <c r="I5" i="42" s="1"/>
  <c r="S8" i="42"/>
  <c r="T8" i="42"/>
  <c r="Y33" i="7"/>
  <c r="Y34" i="7" s="1"/>
  <c r="Y37" i="7" s="1"/>
  <c r="Y38" i="7" s="1"/>
  <c r="J58" i="7"/>
  <c r="J59" i="7" s="1"/>
  <c r="J60" i="7" s="1"/>
  <c r="J61" i="7" s="1"/>
  <c r="I8" i="7"/>
  <c r="K46" i="7"/>
  <c r="AB9" i="8"/>
  <c r="M6" i="8"/>
  <c r="M8" i="8"/>
  <c r="P52" i="8"/>
  <c r="L9" i="8"/>
  <c r="L7" i="8" s="1"/>
  <c r="M52" i="8"/>
  <c r="M13" i="8"/>
  <c r="I6" i="8"/>
  <c r="Z21" i="42"/>
  <c r="Z30" i="42" s="1"/>
  <c r="K58" i="7"/>
  <c r="K59" i="7" s="1"/>
  <c r="K60" i="7" s="1"/>
  <c r="K61" i="7" s="1"/>
  <c r="Z33" i="7"/>
  <c r="Z34" i="7" s="1"/>
  <c r="Z37" i="7" s="1"/>
  <c r="Z38" i="7" s="1"/>
  <c r="I6" i="7"/>
  <c r="M5" i="114"/>
  <c r="P51" i="114"/>
  <c r="M51" i="114"/>
  <c r="AB8" i="114"/>
  <c r="M12" i="114"/>
  <c r="S12" i="114" s="1"/>
  <c r="M6" i="114"/>
  <c r="M7" i="114" s="1"/>
  <c r="L8" i="114"/>
  <c r="R8" i="114" s="1"/>
  <c r="N58" i="7"/>
  <c r="N59" i="7" s="1"/>
  <c r="N60" i="7" s="1"/>
  <c r="N61" i="7" s="1"/>
  <c r="AC33" i="7"/>
  <c r="AC34" i="7" s="1"/>
  <c r="AC37" i="7" s="1"/>
  <c r="AC38" i="7" s="1"/>
  <c r="K46" i="8"/>
  <c r="X8" i="114"/>
  <c r="Y14" i="114"/>
  <c r="AC21" i="114"/>
  <c r="AC30" i="114" s="1"/>
  <c r="K55" i="7"/>
  <c r="K56" i="7" s="1"/>
  <c r="M13" i="7"/>
  <c r="AB9" i="7"/>
  <c r="M6" i="7"/>
  <c r="P52" i="7"/>
  <c r="M52" i="7"/>
  <c r="L9" i="7"/>
  <c r="S9" i="8"/>
  <c r="K62" i="114"/>
  <c r="K50" i="114"/>
  <c r="Q55" i="8"/>
  <c r="K45" i="114"/>
  <c r="J57" i="114"/>
  <c r="J58" i="114" s="1"/>
  <c r="J59" i="114" s="1"/>
  <c r="J60" i="114" s="1"/>
  <c r="I7" i="114"/>
  <c r="Y32" i="114"/>
  <c r="Y33" i="114" s="1"/>
  <c r="Y36" i="114" s="1"/>
  <c r="Y37" i="114" s="1"/>
  <c r="L5" i="42"/>
  <c r="Z32" i="114"/>
  <c r="Z33" i="114" s="1"/>
  <c r="Z36" i="114" s="1"/>
  <c r="Z37" i="114" s="1"/>
  <c r="K57" i="114"/>
  <c r="K58" i="114" s="1"/>
  <c r="K59" i="114" s="1"/>
  <c r="K60" i="114" s="1"/>
  <c r="N51" i="8"/>
  <c r="N55" i="8"/>
  <c r="AG32" i="2" s="1"/>
  <c r="S12" i="42"/>
  <c r="I12" i="42"/>
  <c r="Y15" i="7"/>
  <c r="X9" i="7"/>
  <c r="Z22" i="7"/>
  <c r="Z31" i="7" s="1"/>
  <c r="Y15" i="8"/>
  <c r="X9" i="8"/>
  <c r="Z21" i="114"/>
  <c r="Z30" i="114" s="1"/>
  <c r="AC22" i="8"/>
  <c r="AC31" i="8" s="1"/>
  <c r="AB131" i="2"/>
  <c r="AB132" i="2"/>
  <c r="I6" i="114"/>
  <c r="I5" i="114"/>
  <c r="K8" i="8"/>
  <c r="N54" i="114"/>
  <c r="N55" i="114" s="1"/>
  <c r="N55" i="7"/>
  <c r="N56" i="7" s="1"/>
  <c r="Z22" i="8"/>
  <c r="Z31" i="8" s="1"/>
  <c r="I51" i="114"/>
  <c r="I50" i="114" s="1"/>
  <c r="J53" i="114"/>
  <c r="I52" i="7"/>
  <c r="J54" i="7"/>
  <c r="I52" i="8"/>
  <c r="N12" i="42"/>
  <c r="L12" i="42" s="1"/>
  <c r="AC8" i="42"/>
  <c r="AC14" i="42" s="1"/>
  <c r="N5" i="42"/>
  <c r="K47" i="42"/>
  <c r="K49" i="42"/>
  <c r="C16" i="110"/>
  <c r="AH63" i="1"/>
  <c r="C16" i="115"/>
  <c r="I7" i="23"/>
  <c r="E10" i="84"/>
  <c r="E11" i="85"/>
  <c r="E10" i="85" s="1"/>
  <c r="C16" i="48"/>
  <c r="AJ63" i="1"/>
  <c r="AI63" i="1"/>
  <c r="T13" i="8"/>
  <c r="K55" i="8"/>
  <c r="K56" i="8" s="1"/>
  <c r="AB174" i="2" s="1"/>
  <c r="J50" i="114"/>
  <c r="J62" i="114"/>
  <c r="I12" i="114"/>
  <c r="AB14" i="42"/>
  <c r="I13" i="7"/>
  <c r="K54" i="114"/>
  <c r="K55" i="114" s="1"/>
  <c r="K6" i="42"/>
  <c r="K7" i="42" s="1"/>
  <c r="Z32" i="42" s="1"/>
  <c r="Z33" i="42" s="1"/>
  <c r="Z36" i="42" s="1"/>
  <c r="Z37" i="42" s="1"/>
  <c r="N62" i="114" l="1"/>
  <c r="N50" i="114"/>
  <c r="N57" i="114"/>
  <c r="N58" i="114" s="1"/>
  <c r="N59" i="114" s="1"/>
  <c r="N60" i="114" s="1"/>
  <c r="V45" i="158"/>
  <c r="V41" i="158"/>
  <c r="V42" i="158" s="1"/>
  <c r="U49" i="158"/>
  <c r="V52" i="158" s="1"/>
  <c r="S52" i="158"/>
  <c r="E11" i="31"/>
  <c r="G11" i="31" s="1"/>
  <c r="G8" i="31"/>
  <c r="G7" i="31" s="1"/>
  <c r="G6" i="31" s="1"/>
  <c r="AH243" i="1"/>
  <c r="AH244" i="1"/>
  <c r="AH162" i="1"/>
  <c r="AH164" i="1"/>
  <c r="AC33" i="8"/>
  <c r="AC34" i="8" s="1"/>
  <c r="AC37" i="8" s="1"/>
  <c r="AC38" i="8" s="1"/>
  <c r="K58" i="8"/>
  <c r="C123" i="11"/>
  <c r="O123" i="11" s="1"/>
  <c r="J71" i="8"/>
  <c r="J72" i="8" s="1"/>
  <c r="J73" i="8" s="1"/>
  <c r="I8" i="8"/>
  <c r="AL32" i="2"/>
  <c r="L13" i="7"/>
  <c r="R13" i="7" s="1"/>
  <c r="R8" i="42"/>
  <c r="I62" i="23"/>
  <c r="J61" i="23"/>
  <c r="X8" i="42"/>
  <c r="R9" i="7"/>
  <c r="L7" i="7"/>
  <c r="N58" i="8"/>
  <c r="S13" i="7"/>
  <c r="T12" i="42"/>
  <c r="T124" i="2"/>
  <c r="L13" i="8"/>
  <c r="R13" i="8" s="1"/>
  <c r="M51" i="8"/>
  <c r="L51" i="8" s="1"/>
  <c r="I62" i="114"/>
  <c r="C15" i="48"/>
  <c r="C17" i="48"/>
  <c r="Y33" i="8"/>
  <c r="Y34" i="8" s="1"/>
  <c r="Y37" i="8" s="1"/>
  <c r="Y38" i="8" s="1"/>
  <c r="L6" i="114"/>
  <c r="L5" i="114"/>
  <c r="L52" i="8"/>
  <c r="L54" i="8" s="1"/>
  <c r="M54" i="8"/>
  <c r="AA9" i="7"/>
  <c r="AB15" i="7"/>
  <c r="C15" i="110"/>
  <c r="C17" i="110"/>
  <c r="E11" i="84"/>
  <c r="F11" i="84" s="1"/>
  <c r="E9" i="84"/>
  <c r="F9" i="84" s="1"/>
  <c r="F10" i="84"/>
  <c r="N63" i="114"/>
  <c r="N64" i="114" s="1"/>
  <c r="N65" i="114" s="1"/>
  <c r="N66" i="114" s="1"/>
  <c r="AB33" i="7"/>
  <c r="AB34" i="7" s="1"/>
  <c r="AB37" i="7" s="1"/>
  <c r="AB38" i="7" s="1"/>
  <c r="M58" i="7"/>
  <c r="M59" i="7" s="1"/>
  <c r="M60" i="7" s="1"/>
  <c r="M61" i="7" s="1"/>
  <c r="L8" i="7"/>
  <c r="L12" i="114"/>
  <c r="R12" i="114" s="1"/>
  <c r="M50" i="114"/>
  <c r="L50" i="114" s="1"/>
  <c r="M62" i="114"/>
  <c r="O52" i="8"/>
  <c r="P54" i="8"/>
  <c r="X33" i="7"/>
  <c r="I58" i="7"/>
  <c r="I59" i="7" s="1"/>
  <c r="I60" i="7" s="1"/>
  <c r="I61" i="7" s="1"/>
  <c r="G11" i="85"/>
  <c r="N56" i="8"/>
  <c r="L6" i="7"/>
  <c r="AA8" i="114"/>
  <c r="AB14" i="114"/>
  <c r="AB33" i="8"/>
  <c r="AB34" i="8" s="1"/>
  <c r="AB37" i="8" s="1"/>
  <c r="AB38" i="8" s="1"/>
  <c r="L8" i="8"/>
  <c r="M58" i="8"/>
  <c r="M59" i="8" s="1"/>
  <c r="M60" i="8" s="1"/>
  <c r="M61" i="8" s="1"/>
  <c r="AF125" i="2" s="1"/>
  <c r="AF20" i="2" s="1"/>
  <c r="J54" i="114"/>
  <c r="I54" i="114" s="1"/>
  <c r="I53" i="114"/>
  <c r="L6" i="8"/>
  <c r="AB21" i="42"/>
  <c r="AB30" i="42" s="1"/>
  <c r="AA14" i="42"/>
  <c r="I11" i="23"/>
  <c r="I46" i="23"/>
  <c r="J7" i="23"/>
  <c r="X14" i="42"/>
  <c r="Y21" i="42"/>
  <c r="X21" i="42" s="1"/>
  <c r="X32" i="114"/>
  <c r="I57" i="114"/>
  <c r="I58" i="114" s="1"/>
  <c r="I59" i="114" s="1"/>
  <c r="I60" i="114" s="1"/>
  <c r="L52" i="7"/>
  <c r="M54" i="7"/>
  <c r="L51" i="114"/>
  <c r="L53" i="114" s="1"/>
  <c r="M53" i="114"/>
  <c r="AC21" i="42"/>
  <c r="AC30" i="42" s="1"/>
  <c r="M57" i="114"/>
  <c r="M58" i="114" s="1"/>
  <c r="M59" i="114" s="1"/>
  <c r="M60" i="114" s="1"/>
  <c r="AB32" i="114"/>
  <c r="AB33" i="114" s="1"/>
  <c r="AB36" i="114" s="1"/>
  <c r="AB37" i="114" s="1"/>
  <c r="L7" i="114"/>
  <c r="I54" i="8"/>
  <c r="J55" i="8"/>
  <c r="AB220" i="2"/>
  <c r="AB176" i="2"/>
  <c r="AB218" i="2"/>
  <c r="AB179" i="2"/>
  <c r="AA8" i="42"/>
  <c r="C17" i="115"/>
  <c r="C15" i="115"/>
  <c r="Y22" i="7"/>
  <c r="X22" i="7" s="1"/>
  <c r="X15" i="7"/>
  <c r="Q56" i="8"/>
  <c r="P54" i="7"/>
  <c r="O52" i="7"/>
  <c r="O51" i="114"/>
  <c r="P53" i="114"/>
  <c r="AA9" i="8"/>
  <c r="AB15" i="8"/>
  <c r="X15" i="8"/>
  <c r="Y22" i="8"/>
  <c r="X22" i="8" s="1"/>
  <c r="S13" i="8"/>
  <c r="I54" i="7"/>
  <c r="J55" i="7"/>
  <c r="I55" i="7" s="1"/>
  <c r="K59" i="8"/>
  <c r="K60" i="8" s="1"/>
  <c r="K61" i="8" s="1"/>
  <c r="AB125" i="2" s="1"/>
  <c r="Z33" i="8"/>
  <c r="Z34" i="8" s="1"/>
  <c r="Z37" i="8" s="1"/>
  <c r="Z38" i="8" s="1"/>
  <c r="R12" i="42"/>
  <c r="Y21" i="114"/>
  <c r="X21" i="114" s="1"/>
  <c r="X14" i="114"/>
  <c r="R9" i="8"/>
  <c r="U45" i="158" l="1"/>
  <c r="U46" i="158" s="1"/>
  <c r="V46" i="158"/>
  <c r="L123" i="11"/>
  <c r="V123" i="11"/>
  <c r="N124" i="11"/>
  <c r="N148" i="11" s="1"/>
  <c r="O124" i="11"/>
  <c r="O148" i="11" s="1"/>
  <c r="L124" i="11"/>
  <c r="L148" i="11" s="1"/>
  <c r="S124" i="11"/>
  <c r="S125" i="11" s="1"/>
  <c r="K124" i="11"/>
  <c r="K148" i="11" s="1"/>
  <c r="P124" i="11"/>
  <c r="P148" i="11" s="1"/>
  <c r="T124" i="11"/>
  <c r="T148" i="11" s="1"/>
  <c r="V124" i="11"/>
  <c r="V125" i="11" s="1"/>
  <c r="U123" i="11"/>
  <c r="N123" i="11"/>
  <c r="W123" i="11"/>
  <c r="S123" i="11"/>
  <c r="M124" i="11"/>
  <c r="M148" i="11" s="1"/>
  <c r="Q124" i="11"/>
  <c r="Q148" i="11" s="1"/>
  <c r="U124" i="11"/>
  <c r="U148" i="11" s="1"/>
  <c r="W124" i="11"/>
  <c r="W125" i="11" s="1"/>
  <c r="X123" i="11"/>
  <c r="Q123" i="11"/>
  <c r="T123" i="11"/>
  <c r="M123" i="11"/>
  <c r="P123" i="11"/>
  <c r="R124" i="11"/>
  <c r="R148" i="11" s="1"/>
  <c r="R123" i="11"/>
  <c r="E124" i="11"/>
  <c r="E125" i="11" s="1"/>
  <c r="E126" i="11" s="1"/>
  <c r="D126" i="11" s="1"/>
  <c r="K123" i="11"/>
  <c r="X124" i="11"/>
  <c r="X148" i="11" s="1"/>
  <c r="N59" i="8"/>
  <c r="N60" i="8" s="1"/>
  <c r="N61" i="8" s="1"/>
  <c r="AG125" i="2" s="1"/>
  <c r="W148" i="11"/>
  <c r="O125" i="11"/>
  <c r="O149" i="11" s="1"/>
  <c r="T32" i="41"/>
  <c r="T8" i="41" s="1"/>
  <c r="T7" i="41" s="1"/>
  <c r="AG8" i="2"/>
  <c r="AG7" i="2" s="1"/>
  <c r="N35" i="8"/>
  <c r="H18" i="43" s="1"/>
  <c r="H7" i="43" s="1"/>
  <c r="N34" i="114"/>
  <c r="N22" i="114" s="1"/>
  <c r="N35" i="7"/>
  <c r="N23" i="7" s="1"/>
  <c r="N22" i="7" s="1"/>
  <c r="N46" i="7" s="1"/>
  <c r="AD31" i="60"/>
  <c r="AD8" i="60" s="1"/>
  <c r="AD7" i="60" s="1"/>
  <c r="AV59" i="1"/>
  <c r="Q19" i="114" s="1"/>
  <c r="J59" i="8"/>
  <c r="J60" i="8" s="1"/>
  <c r="J61" i="8" s="1"/>
  <c r="I55" i="8"/>
  <c r="I56" i="8" s="1"/>
  <c r="J56" i="8"/>
  <c r="I56" i="7"/>
  <c r="J56" i="7"/>
  <c r="M54" i="114"/>
  <c r="L54" i="114" s="1"/>
  <c r="AA21" i="42"/>
  <c r="L62" i="114"/>
  <c r="M63" i="114"/>
  <c r="M64" i="114" s="1"/>
  <c r="M65" i="114" s="1"/>
  <c r="M66" i="114" s="1"/>
  <c r="P54" i="114"/>
  <c r="O54" i="114" s="1"/>
  <c r="O53" i="114"/>
  <c r="G10" i="85"/>
  <c r="Y31" i="8"/>
  <c r="X31" i="8" s="1"/>
  <c r="P55" i="7"/>
  <c r="O55" i="7" s="1"/>
  <c r="O54" i="7"/>
  <c r="M55" i="7"/>
  <c r="L55" i="7" s="1"/>
  <c r="L54" i="7"/>
  <c r="Y30" i="42"/>
  <c r="X30" i="42" s="1"/>
  <c r="AB215" i="2"/>
  <c r="AB219" i="2"/>
  <c r="AB21" i="114"/>
  <c r="AA21" i="114" s="1"/>
  <c r="AA14" i="114"/>
  <c r="AB236" i="2"/>
  <c r="AB221" i="2"/>
  <c r="AB237" i="2"/>
  <c r="Y30" i="114"/>
  <c r="X30" i="114" s="1"/>
  <c r="AA15" i="8"/>
  <c r="AB22" i="8"/>
  <c r="AA22" i="8" s="1"/>
  <c r="AA33" i="7"/>
  <c r="L58" i="7"/>
  <c r="L59" i="7" s="1"/>
  <c r="L60" i="7" s="1"/>
  <c r="L61" i="7" s="1"/>
  <c r="C32" i="50"/>
  <c r="C31" i="50" s="1"/>
  <c r="C30" i="50" s="1"/>
  <c r="C32" i="117"/>
  <c r="C31" i="117" s="1"/>
  <c r="C30" i="117" s="1"/>
  <c r="C32" i="111"/>
  <c r="C31" i="111" s="1"/>
  <c r="C30" i="111" s="1"/>
  <c r="Q35" i="8"/>
  <c r="Q35" i="7"/>
  <c r="AI31" i="60"/>
  <c r="Q34" i="114"/>
  <c r="T34" i="114" s="1"/>
  <c r="Y32" i="41"/>
  <c r="Q34" i="42" s="1"/>
  <c r="AA33" i="8"/>
  <c r="L58" i="8"/>
  <c r="L59" i="8" s="1"/>
  <c r="L60" i="8" s="1"/>
  <c r="L61" i="8" s="1"/>
  <c r="AA15" i="7"/>
  <c r="AB22" i="7"/>
  <c r="AA22" i="7" s="1"/>
  <c r="X33" i="8"/>
  <c r="I58" i="8"/>
  <c r="I59" i="8" s="1"/>
  <c r="I60" i="8" s="1"/>
  <c r="I61" i="8" s="1"/>
  <c r="AA30" i="42"/>
  <c r="L57" i="114"/>
  <c r="L58" i="114" s="1"/>
  <c r="L59" i="114" s="1"/>
  <c r="L60" i="114" s="1"/>
  <c r="AA32" i="114"/>
  <c r="I55" i="114"/>
  <c r="Y31" i="7"/>
  <c r="X31" i="7" s="1"/>
  <c r="AB199" i="2"/>
  <c r="AB200" i="2" s="1"/>
  <c r="AB202" i="2"/>
  <c r="J55" i="114"/>
  <c r="O54" i="8"/>
  <c r="P55" i="8"/>
  <c r="M55" i="8"/>
  <c r="AF32" i="2" s="1"/>
  <c r="V148" i="11" l="1"/>
  <c r="N125" i="11"/>
  <c r="N126" i="11" s="1"/>
  <c r="S148" i="11"/>
  <c r="J148" i="11" s="1"/>
  <c r="L125" i="11"/>
  <c r="L149" i="11" s="1"/>
  <c r="L147" i="11" s="1"/>
  <c r="AK32" i="2"/>
  <c r="T125" i="11"/>
  <c r="T149" i="11" s="1"/>
  <c r="P125" i="11"/>
  <c r="P126" i="11" s="1"/>
  <c r="M125" i="11"/>
  <c r="M149" i="11" s="1"/>
  <c r="M147" i="11" s="1"/>
  <c r="M153" i="11" s="1"/>
  <c r="AA220" i="2"/>
  <c r="AA221" i="2" s="1"/>
  <c r="AA223" i="2" s="1"/>
  <c r="E139" i="11"/>
  <c r="E144" i="11" s="1"/>
  <c r="E145" i="11" s="1"/>
  <c r="R125" i="11"/>
  <c r="R126" i="11" s="1"/>
  <c r="J124" i="11"/>
  <c r="K125" i="11"/>
  <c r="K126" i="11" s="1"/>
  <c r="Q125" i="11"/>
  <c r="Q126" i="11" s="1"/>
  <c r="U125" i="11"/>
  <c r="U149" i="11" s="1"/>
  <c r="U147" i="11" s="1"/>
  <c r="U153" i="11" s="1"/>
  <c r="L126" i="11"/>
  <c r="D124" i="11"/>
  <c r="O126" i="11"/>
  <c r="X125" i="11"/>
  <c r="X149" i="11" s="1"/>
  <c r="X147" i="11" s="1"/>
  <c r="X153" i="11" s="1"/>
  <c r="S126" i="11"/>
  <c r="S149" i="11"/>
  <c r="AA174" i="2"/>
  <c r="V126" i="11"/>
  <c r="V149" i="11"/>
  <c r="V147" i="11" s="1"/>
  <c r="V153" i="11" s="1"/>
  <c r="N149" i="11"/>
  <c r="N147" i="11" s="1"/>
  <c r="N153" i="11" s="1"/>
  <c r="E127" i="11"/>
  <c r="E130" i="11" s="1"/>
  <c r="D125" i="11"/>
  <c r="O147" i="11"/>
  <c r="W126" i="11"/>
  <c r="W149" i="11"/>
  <c r="N34" i="42"/>
  <c r="N22" i="42" s="1"/>
  <c r="N21" i="42" s="1"/>
  <c r="N45" i="42" s="1"/>
  <c r="T35" i="7"/>
  <c r="AE58" i="40"/>
  <c r="AE60" i="40" s="1"/>
  <c r="N23" i="8"/>
  <c r="N49" i="8" s="1"/>
  <c r="K18" i="43"/>
  <c r="AV61" i="1"/>
  <c r="AQ58" i="59"/>
  <c r="AQ60" i="59" s="1"/>
  <c r="AQ68" i="59" s="1"/>
  <c r="Q20" i="8"/>
  <c r="Q7" i="8" s="1"/>
  <c r="Q8" i="8" s="1"/>
  <c r="Q20" i="7"/>
  <c r="Q7" i="7" s="1"/>
  <c r="Q8" i="7" s="1"/>
  <c r="AU59" i="1"/>
  <c r="M56" i="8"/>
  <c r="L56" i="8" s="1"/>
  <c r="AA125" i="2"/>
  <c r="P56" i="7"/>
  <c r="O56" i="7" s="1"/>
  <c r="P55" i="114"/>
  <c r="O55" i="114" s="1"/>
  <c r="AB30" i="114"/>
  <c r="AA30" i="114" s="1"/>
  <c r="AB31" i="7"/>
  <c r="AA31" i="7" s="1"/>
  <c r="T35" i="8"/>
  <c r="AB31" i="8"/>
  <c r="AA31" i="8" s="1"/>
  <c r="M56" i="7"/>
  <c r="L56" i="7" s="1"/>
  <c r="O55" i="8"/>
  <c r="P56" i="8"/>
  <c r="O56" i="8" s="1"/>
  <c r="T19" i="114"/>
  <c r="Q62" i="114"/>
  <c r="Q63" i="114" s="1"/>
  <c r="Q64" i="114" s="1"/>
  <c r="Q65" i="114" s="1"/>
  <c r="Q66" i="114" s="1"/>
  <c r="Q6" i="114"/>
  <c r="Q7" i="114" s="1"/>
  <c r="Q5" i="114"/>
  <c r="L55" i="8"/>
  <c r="AF25" i="2"/>
  <c r="AF30" i="2"/>
  <c r="AF22" i="2"/>
  <c r="AF24" i="2"/>
  <c r="AF27" i="2"/>
  <c r="AF31" i="2"/>
  <c r="AF28" i="2"/>
  <c r="AF23" i="2"/>
  <c r="AF19" i="2"/>
  <c r="AF26" i="2"/>
  <c r="AF29" i="2"/>
  <c r="M55" i="114"/>
  <c r="L55" i="114" s="1"/>
  <c r="N21" i="114"/>
  <c r="S147" i="11" l="1"/>
  <c r="S153" i="11" s="1"/>
  <c r="T126" i="11"/>
  <c r="M126" i="11"/>
  <c r="C124" i="11"/>
  <c r="R149" i="11"/>
  <c r="R147" i="11" s="1"/>
  <c r="R153" i="11" s="1"/>
  <c r="U126" i="11"/>
  <c r="P149" i="11"/>
  <c r="P147" i="11" s="1"/>
  <c r="P153" i="11" s="1"/>
  <c r="P154" i="11" s="1"/>
  <c r="Q149" i="11"/>
  <c r="Q147" i="11" s="1"/>
  <c r="Q153" i="11" s="1"/>
  <c r="Q154" i="11" s="1"/>
  <c r="J125" i="11"/>
  <c r="C125" i="11" s="1"/>
  <c r="K149" i="11"/>
  <c r="K147" i="11" s="1"/>
  <c r="T157" i="11"/>
  <c r="J157" i="11" s="1"/>
  <c r="D143" i="11" s="1"/>
  <c r="D140" i="11"/>
  <c r="X126" i="11"/>
  <c r="AA215" i="2"/>
  <c r="AA175" i="2"/>
  <c r="AA224" i="2" s="1"/>
  <c r="AA179" i="2"/>
  <c r="AA218" i="2"/>
  <c r="AA219" i="2" s="1"/>
  <c r="T34" i="42"/>
  <c r="D137" i="11"/>
  <c r="E131" i="11"/>
  <c r="W147" i="11"/>
  <c r="W153" i="11" s="1"/>
  <c r="T147" i="11"/>
  <c r="N22" i="8"/>
  <c r="N46" i="8" s="1"/>
  <c r="Q19" i="42"/>
  <c r="T19" i="42" s="1"/>
  <c r="Q6" i="8"/>
  <c r="T6" i="8" s="1"/>
  <c r="T20" i="8"/>
  <c r="Q6" i="7"/>
  <c r="T6" i="7" s="1"/>
  <c r="T20" i="7"/>
  <c r="AF33" i="8"/>
  <c r="AF34" i="8" s="1"/>
  <c r="AF37" i="8" s="1"/>
  <c r="AF38" i="8" s="1"/>
  <c r="Q58" i="8"/>
  <c r="Q59" i="8" s="1"/>
  <c r="Q60" i="8" s="1"/>
  <c r="Q61" i="8" s="1"/>
  <c r="AL125" i="2" s="1"/>
  <c r="AC19" i="2"/>
  <c r="S19" i="41"/>
  <c r="M31" i="114"/>
  <c r="M32" i="8"/>
  <c r="M32" i="7"/>
  <c r="AC18" i="60"/>
  <c r="AC22" i="2"/>
  <c r="S22" i="41"/>
  <c r="P22" i="41" s="1"/>
  <c r="AC21" i="60"/>
  <c r="Z21" i="60" s="1"/>
  <c r="AF33" i="7"/>
  <c r="AF34" i="7" s="1"/>
  <c r="AF37" i="7" s="1"/>
  <c r="AF38" i="7" s="1"/>
  <c r="Q58" i="7"/>
  <c r="Q59" i="7" s="1"/>
  <c r="Q60" i="7" s="1"/>
  <c r="Q61" i="7" s="1"/>
  <c r="AC30" i="2"/>
  <c r="AC29" i="60"/>
  <c r="Z29" i="60" s="1"/>
  <c r="M38" i="7"/>
  <c r="M38" i="8"/>
  <c r="M37" i="114"/>
  <c r="S30" i="41"/>
  <c r="AF32" i="114"/>
  <c r="AF33" i="114" s="1"/>
  <c r="AF36" i="114" s="1"/>
  <c r="AF37" i="114" s="1"/>
  <c r="Q57" i="114"/>
  <c r="Q58" i="114" s="1"/>
  <c r="Q59" i="114" s="1"/>
  <c r="Q60" i="114" s="1"/>
  <c r="S23" i="41"/>
  <c r="P23" i="41" s="1"/>
  <c r="AC23" i="2"/>
  <c r="AC22" i="60"/>
  <c r="Z22" i="60" s="1"/>
  <c r="S28" i="41"/>
  <c r="P28" i="41" s="1"/>
  <c r="AC28" i="2"/>
  <c r="AC27" i="60"/>
  <c r="Z27" i="60" s="1"/>
  <c r="S25" i="41"/>
  <c r="P25" i="41" s="1"/>
  <c r="AC25" i="2"/>
  <c r="AC24" i="60"/>
  <c r="Z24" i="60" s="1"/>
  <c r="AC32" i="2"/>
  <c r="M34" i="114"/>
  <c r="M35" i="7"/>
  <c r="S32" i="41"/>
  <c r="M35" i="8"/>
  <c r="AC31" i="60"/>
  <c r="Z31" i="60" s="1"/>
  <c r="N47" i="42"/>
  <c r="N49" i="42"/>
  <c r="N6" i="42"/>
  <c r="N7" i="42" s="1"/>
  <c r="AC32" i="42" s="1"/>
  <c r="AC33" i="42" s="1"/>
  <c r="AC36" i="42" s="1"/>
  <c r="AC37" i="42" s="1"/>
  <c r="AC20" i="2"/>
  <c r="G10" i="164" s="1"/>
  <c r="M31" i="7"/>
  <c r="M30" i="114"/>
  <c r="S20" i="41"/>
  <c r="M31" i="8"/>
  <c r="AC19" i="60"/>
  <c r="Z19" i="60" s="1"/>
  <c r="P35" i="8"/>
  <c r="P35" i="7"/>
  <c r="O35" i="7" s="1"/>
  <c r="X32" i="41"/>
  <c r="AH32" i="2"/>
  <c r="P34" i="114"/>
  <c r="O34" i="114" s="1"/>
  <c r="AH31" i="60"/>
  <c r="AE31" i="60" s="1"/>
  <c r="M34" i="8"/>
  <c r="M33" i="114"/>
  <c r="AC31" i="2"/>
  <c r="M34" i="7"/>
  <c r="S31" i="41"/>
  <c r="AC30" i="60"/>
  <c r="Z30" i="60" s="1"/>
  <c r="AC24" i="2"/>
  <c r="S24" i="41"/>
  <c r="P24" i="41" s="1"/>
  <c r="AC23" i="60"/>
  <c r="Z23" i="60" s="1"/>
  <c r="N45" i="114"/>
  <c r="M37" i="8"/>
  <c r="AC29" i="2"/>
  <c r="M36" i="114"/>
  <c r="M37" i="7"/>
  <c r="AC28" i="60"/>
  <c r="Z28" i="60" s="1"/>
  <c r="S29" i="41"/>
  <c r="AK29" i="2"/>
  <c r="AC26" i="2"/>
  <c r="S26" i="41"/>
  <c r="P26" i="41" s="1"/>
  <c r="AC25" i="60"/>
  <c r="Z25" i="60" s="1"/>
  <c r="S27" i="41"/>
  <c r="P27" i="41" s="1"/>
  <c r="AC27" i="2"/>
  <c r="AC26" i="60"/>
  <c r="Z26" i="60" s="1"/>
  <c r="T5" i="114"/>
  <c r="AA176" i="2" l="1"/>
  <c r="J126" i="11"/>
  <c r="C126" i="11" s="1"/>
  <c r="J149" i="11"/>
  <c r="I149" i="11" s="1"/>
  <c r="T153" i="11"/>
  <c r="Q5" i="42"/>
  <c r="J147" i="11"/>
  <c r="E111" i="11"/>
  <c r="G131" i="11"/>
  <c r="E133" i="11"/>
  <c r="L35" i="8"/>
  <c r="S35" i="8"/>
  <c r="G18" i="43"/>
  <c r="F18" i="43" s="1"/>
  <c r="L32" i="7"/>
  <c r="G19" i="43"/>
  <c r="F19" i="43" s="1"/>
  <c r="L37" i="8"/>
  <c r="S34" i="7"/>
  <c r="L34" i="7"/>
  <c r="AE20" i="2"/>
  <c r="P32" i="41"/>
  <c r="F26" i="39" s="1"/>
  <c r="M34" i="42"/>
  <c r="AC142" i="2"/>
  <c r="AE30" i="2"/>
  <c r="AE22" i="2"/>
  <c r="G16" i="43"/>
  <c r="F16" i="43" s="1"/>
  <c r="L32" i="8"/>
  <c r="R25" i="41"/>
  <c r="L35" i="7"/>
  <c r="R35" i="7" s="1"/>
  <c r="S35" i="7"/>
  <c r="S33" i="114"/>
  <c r="L33" i="114"/>
  <c r="S34" i="114"/>
  <c r="L34" i="114"/>
  <c r="R34" i="114" s="1"/>
  <c r="AE28" i="2"/>
  <c r="P19" i="41"/>
  <c r="M31" i="42"/>
  <c r="P31" i="41"/>
  <c r="F25" i="39" s="1"/>
  <c r="M33" i="42"/>
  <c r="R22" i="41"/>
  <c r="AE31" i="2"/>
  <c r="AC143" i="2"/>
  <c r="P29" i="41"/>
  <c r="M36" i="42"/>
  <c r="S34" i="8"/>
  <c r="L34" i="8"/>
  <c r="AB19" i="60"/>
  <c r="AI17" i="19"/>
  <c r="AE32" i="2"/>
  <c r="R28" i="41"/>
  <c r="M37" i="42"/>
  <c r="P30" i="41"/>
  <c r="AE19" i="2"/>
  <c r="AE26" i="2"/>
  <c r="L31" i="7"/>
  <c r="AB27" i="60"/>
  <c r="AI29" i="19"/>
  <c r="P37" i="8"/>
  <c r="S37" i="8" s="1"/>
  <c r="P36" i="114"/>
  <c r="S36" i="114" s="1"/>
  <c r="X29" i="41"/>
  <c r="P37" i="7"/>
  <c r="S37" i="7" s="1"/>
  <c r="AH28" i="60"/>
  <c r="R27" i="41"/>
  <c r="AB28" i="60"/>
  <c r="O25" i="61"/>
  <c r="P25" i="61" s="1"/>
  <c r="AI30" i="19"/>
  <c r="AB23" i="60"/>
  <c r="AI25" i="19"/>
  <c r="L31" i="8"/>
  <c r="G15" i="43"/>
  <c r="L37" i="114"/>
  <c r="AC141" i="2"/>
  <c r="AE29" i="2"/>
  <c r="U32" i="41"/>
  <c r="G26" i="39" s="1"/>
  <c r="P34" i="42"/>
  <c r="O34" i="42" s="1"/>
  <c r="AB29" i="60"/>
  <c r="O26" i="61"/>
  <c r="P26" i="61" s="1"/>
  <c r="AI31" i="19"/>
  <c r="AE27" i="2"/>
  <c r="AB25" i="60"/>
  <c r="AI27" i="19"/>
  <c r="Q28" i="61"/>
  <c r="V28" i="61" s="1"/>
  <c r="AO33" i="19"/>
  <c r="AT33" i="19" s="1"/>
  <c r="T5" i="42"/>
  <c r="L37" i="7"/>
  <c r="R24" i="41"/>
  <c r="M30" i="42"/>
  <c r="P20" i="41"/>
  <c r="AU61" i="1"/>
  <c r="AT59" i="1"/>
  <c r="AQ59" i="1"/>
  <c r="P20" i="7"/>
  <c r="P7" i="7" s="1"/>
  <c r="AD58" i="40"/>
  <c r="P19" i="114"/>
  <c r="P20" i="8"/>
  <c r="P7" i="8" s="1"/>
  <c r="AP58" i="59"/>
  <c r="AB24" i="60"/>
  <c r="AI26" i="19"/>
  <c r="AB22" i="60"/>
  <c r="AI24" i="19"/>
  <c r="G20" i="43"/>
  <c r="F20" i="43" s="1"/>
  <c r="L38" i="8"/>
  <c r="AH29" i="2"/>
  <c r="AL31" i="2"/>
  <c r="R23" i="41"/>
  <c r="AB26" i="60"/>
  <c r="AI28" i="19"/>
  <c r="J18" i="43"/>
  <c r="I18" i="43" s="1"/>
  <c r="O35" i="8"/>
  <c r="L31" i="114"/>
  <c r="R26" i="41"/>
  <c r="L36" i="114"/>
  <c r="AE24" i="2"/>
  <c r="O27" i="61"/>
  <c r="P27" i="61" s="1"/>
  <c r="AI32" i="19"/>
  <c r="AJ32" i="2"/>
  <c r="L30" i="114"/>
  <c r="O28" i="61"/>
  <c r="P28" i="61" s="1"/>
  <c r="AI33" i="19"/>
  <c r="AE25" i="2"/>
  <c r="AE23" i="2"/>
  <c r="L38" i="7"/>
  <c r="AB21" i="60"/>
  <c r="AI23" i="19"/>
  <c r="Z18" i="60"/>
  <c r="E111" i="159" l="1"/>
  <c r="D111" i="159" s="1"/>
  <c r="E111" i="161"/>
  <c r="E111" i="160"/>
  <c r="D142" i="11"/>
  <c r="T154" i="11"/>
  <c r="E134" i="11"/>
  <c r="G134" i="11" s="1"/>
  <c r="G133" i="11"/>
  <c r="D111" i="11"/>
  <c r="E9" i="11"/>
  <c r="E111" i="56"/>
  <c r="Y22" i="41"/>
  <c r="AI21" i="60"/>
  <c r="AN21" i="60" s="1"/>
  <c r="AS21" i="60" s="1"/>
  <c r="AX21" i="60" s="1"/>
  <c r="BC21" i="60" s="1"/>
  <c r="F15" i="43"/>
  <c r="Q34" i="8"/>
  <c r="AH31" i="2"/>
  <c r="Q34" i="7"/>
  <c r="Y31" i="41"/>
  <c r="Q33" i="114"/>
  <c r="AI30" i="60"/>
  <c r="Y28" i="41"/>
  <c r="AI27" i="60"/>
  <c r="AN27" i="60" s="1"/>
  <c r="AS27" i="60" s="1"/>
  <c r="AX27" i="60" s="1"/>
  <c r="BC27" i="60" s="1"/>
  <c r="AJ24" i="19"/>
  <c r="AI89" i="19"/>
  <c r="S19" i="114"/>
  <c r="P5" i="114"/>
  <c r="P62" i="114"/>
  <c r="P6" i="114"/>
  <c r="P7" i="114" s="1"/>
  <c r="O19" i="114"/>
  <c r="AJ27" i="19"/>
  <c r="AI80" i="19"/>
  <c r="AJ31" i="19"/>
  <c r="Y16" i="41"/>
  <c r="AI15" i="60"/>
  <c r="P36" i="42"/>
  <c r="S36" i="42" s="1"/>
  <c r="AH141" i="2"/>
  <c r="AJ29" i="2"/>
  <c r="L31" i="42"/>
  <c r="Y21" i="41"/>
  <c r="AI20" i="60"/>
  <c r="AN20" i="60" s="1"/>
  <c r="AS20" i="60" s="1"/>
  <c r="AX20" i="60" s="1"/>
  <c r="BC20" i="60" s="1"/>
  <c r="Q37" i="8"/>
  <c r="Q36" i="114"/>
  <c r="T36" i="114" s="1"/>
  <c r="Y29" i="41"/>
  <c r="Q36" i="42" s="1"/>
  <c r="T36" i="42" s="1"/>
  <c r="Q37" i="7"/>
  <c r="T37" i="7" s="1"/>
  <c r="AI28" i="60"/>
  <c r="AN28" i="60" s="1"/>
  <c r="AS28" i="60" s="1"/>
  <c r="AX28" i="60" s="1"/>
  <c r="BC28" i="60" s="1"/>
  <c r="P8" i="7"/>
  <c r="P6" i="7"/>
  <c r="S20" i="7"/>
  <c r="O20" i="7"/>
  <c r="O7" i="7" s="1"/>
  <c r="L30" i="42"/>
  <c r="J19" i="43"/>
  <c r="AJ17" i="19"/>
  <c r="AI64" i="19"/>
  <c r="R19" i="41"/>
  <c r="AJ30" i="19"/>
  <c r="Y26" i="41"/>
  <c r="AI25" i="60"/>
  <c r="AN25" i="60" s="1"/>
  <c r="AS25" i="60" s="1"/>
  <c r="AX25" i="60" s="1"/>
  <c r="BC25" i="60" s="1"/>
  <c r="AC58" i="40"/>
  <c r="AC60" i="40" s="1"/>
  <c r="AD60" i="40"/>
  <c r="Z58" i="40"/>
  <c r="P19" i="42"/>
  <c r="Q31" i="7"/>
  <c r="T31" i="7" s="1"/>
  <c r="Y20" i="41"/>
  <c r="Q30" i="42" s="1"/>
  <c r="T30" i="42" s="1"/>
  <c r="Q30" i="114"/>
  <c r="T30" i="114" s="1"/>
  <c r="AI19" i="60"/>
  <c r="AN19" i="60" s="1"/>
  <c r="AS19" i="60" s="1"/>
  <c r="AX19" i="60" s="1"/>
  <c r="BC19" i="60" s="1"/>
  <c r="Q31" i="8"/>
  <c r="Q38" i="8"/>
  <c r="Q37" i="114"/>
  <c r="T37" i="114" s="1"/>
  <c r="Y30" i="41"/>
  <c r="Q37" i="42" s="1"/>
  <c r="T37" i="42" s="1"/>
  <c r="AI29" i="60"/>
  <c r="AN29" i="60" s="1"/>
  <c r="AS29" i="60" s="1"/>
  <c r="AX29" i="60" s="1"/>
  <c r="BC29" i="60" s="1"/>
  <c r="Q38" i="7"/>
  <c r="T38" i="7" s="1"/>
  <c r="AI95" i="19"/>
  <c r="AJ26" i="19"/>
  <c r="AR59" i="1"/>
  <c r="AQ61" i="1"/>
  <c r="AR61" i="1" s="1"/>
  <c r="AL58" i="59"/>
  <c r="AJ29" i="19"/>
  <c r="AI101" i="19"/>
  <c r="AJ23" i="19"/>
  <c r="AI86" i="19"/>
  <c r="AJ28" i="19"/>
  <c r="AI98" i="19"/>
  <c r="S20" i="8"/>
  <c r="P6" i="8"/>
  <c r="P8" i="8"/>
  <c r="O20" i="8"/>
  <c r="O7" i="8" s="1"/>
  <c r="AL18" i="2"/>
  <c r="AL15" i="2" s="1"/>
  <c r="Y19" i="41"/>
  <c r="AI18" i="60"/>
  <c r="R20" i="41"/>
  <c r="Y27" i="41"/>
  <c r="AI26" i="60"/>
  <c r="AN26" i="60" s="1"/>
  <c r="AS26" i="60" s="1"/>
  <c r="AX26" i="60" s="1"/>
  <c r="BC26" i="60" s="1"/>
  <c r="Y23" i="41"/>
  <c r="AI22" i="60"/>
  <c r="AN22" i="60" s="1"/>
  <c r="AS22" i="60" s="1"/>
  <c r="AX22" i="60" s="1"/>
  <c r="BC22" i="60" s="1"/>
  <c r="AJ25" i="19"/>
  <c r="AI92" i="19"/>
  <c r="R30" i="41"/>
  <c r="F29" i="39"/>
  <c r="S33" i="42"/>
  <c r="L33" i="42"/>
  <c r="AB18" i="60"/>
  <c r="AI18" i="19"/>
  <c r="Q24" i="114"/>
  <c r="Q23" i="114" s="1"/>
  <c r="Q25" i="7"/>
  <c r="Q24" i="7" s="1"/>
  <c r="Q25" i="8"/>
  <c r="Q24" i="8" s="1"/>
  <c r="Y10" i="41"/>
  <c r="Y9" i="41" s="1"/>
  <c r="AI10" i="60"/>
  <c r="Y24" i="41"/>
  <c r="AI23" i="60"/>
  <c r="AN23" i="60" s="1"/>
  <c r="AS23" i="60" s="1"/>
  <c r="AX23" i="60" s="1"/>
  <c r="BC23" i="60" s="1"/>
  <c r="AT61" i="1"/>
  <c r="AH123" i="2" s="1"/>
  <c r="AH124" i="2"/>
  <c r="AM28" i="60"/>
  <c r="L37" i="42"/>
  <c r="L36" i="42"/>
  <c r="L34" i="42"/>
  <c r="R34" i="42" s="1"/>
  <c r="S34" i="42"/>
  <c r="AJ33" i="19"/>
  <c r="AX33" i="19" s="1"/>
  <c r="AJ32" i="19"/>
  <c r="AI114" i="19"/>
  <c r="Y17" i="41"/>
  <c r="AI16" i="60"/>
  <c r="AN16" i="60" s="1"/>
  <c r="AS16" i="60" s="1"/>
  <c r="AX16" i="60" s="1"/>
  <c r="BC16" i="60" s="1"/>
  <c r="Y25" i="41"/>
  <c r="AI24" i="60"/>
  <c r="AN24" i="60" s="1"/>
  <c r="AS24" i="60" s="1"/>
  <c r="AX24" i="60" s="1"/>
  <c r="BC24" i="60" s="1"/>
  <c r="AP60" i="59"/>
  <c r="AP68" i="59" s="1"/>
  <c r="AO58" i="59"/>
  <c r="R29" i="41"/>
  <c r="F28" i="39"/>
  <c r="H26" i="39"/>
  <c r="R35" i="8"/>
  <c r="E9" i="159" l="1"/>
  <c r="D111" i="160"/>
  <c r="D9" i="160" s="1"/>
  <c r="E9" i="160"/>
  <c r="D111" i="161"/>
  <c r="E9" i="161"/>
  <c r="C111" i="159"/>
  <c r="C9" i="159" s="1"/>
  <c r="D9" i="159"/>
  <c r="D111" i="56"/>
  <c r="E9" i="56"/>
  <c r="AA10" i="2"/>
  <c r="C111" i="11"/>
  <c r="D9" i="11"/>
  <c r="O37" i="7"/>
  <c r="R37" i="7" s="1"/>
  <c r="AE28" i="60"/>
  <c r="Q25" i="61" s="1"/>
  <c r="V25" i="61" s="1"/>
  <c r="O36" i="114"/>
  <c r="R36" i="114" s="1"/>
  <c r="Q30" i="8"/>
  <c r="Q23" i="8" s="1"/>
  <c r="Q29" i="114"/>
  <c r="Q30" i="7"/>
  <c r="T24" i="114"/>
  <c r="T23" i="114" s="1"/>
  <c r="AL8" i="2"/>
  <c r="AL7" i="2" s="1"/>
  <c r="AZ37" i="18"/>
  <c r="AZ39" i="18" s="1"/>
  <c r="AL60" i="59"/>
  <c r="O36" i="42"/>
  <c r="R36" i="42" s="1"/>
  <c r="P63" i="114"/>
  <c r="P64" i="114" s="1"/>
  <c r="P65" i="114" s="1"/>
  <c r="P66" i="114" s="1"/>
  <c r="O62" i="114"/>
  <c r="AE32" i="114"/>
  <c r="AE33" i="114" s="1"/>
  <c r="AE36" i="114" s="1"/>
  <c r="AE37" i="114" s="1"/>
  <c r="P57" i="114"/>
  <c r="P58" i="114" s="1"/>
  <c r="P59" i="114" s="1"/>
  <c r="P60" i="114" s="1"/>
  <c r="O7" i="114"/>
  <c r="T37" i="8"/>
  <c r="K19" i="43"/>
  <c r="I19" i="43" s="1"/>
  <c r="AJ18" i="19"/>
  <c r="AI67" i="19"/>
  <c r="P58" i="8"/>
  <c r="P59" i="8" s="1"/>
  <c r="P60" i="8" s="1"/>
  <c r="P61" i="8" s="1"/>
  <c r="AK125" i="2" s="1"/>
  <c r="O8" i="8"/>
  <c r="AE33" i="8"/>
  <c r="AE34" i="8" s="1"/>
  <c r="AE37" i="8" s="1"/>
  <c r="AE38" i="8" s="1"/>
  <c r="AI87" i="19"/>
  <c r="AJ86" i="19"/>
  <c r="P5" i="42"/>
  <c r="S19" i="42"/>
  <c r="O19" i="42"/>
  <c r="R20" i="7"/>
  <c r="R7" i="7" s="1"/>
  <c r="O33" i="114"/>
  <c r="R33" i="114" s="1"/>
  <c r="T33" i="114"/>
  <c r="R20" i="8"/>
  <c r="R7" i="8" s="1"/>
  <c r="O6" i="8"/>
  <c r="AI65" i="19"/>
  <c r="AJ64" i="19"/>
  <c r="AN15" i="60"/>
  <c r="AJ28" i="60"/>
  <c r="AR28" i="60"/>
  <c r="AI9" i="60"/>
  <c r="AN10" i="60"/>
  <c r="AI17" i="60"/>
  <c r="AI14" i="60" s="1"/>
  <c r="AN18" i="60"/>
  <c r="AN26" i="19"/>
  <c r="T38" i="8"/>
  <c r="K20" i="43"/>
  <c r="Z60" i="40"/>
  <c r="G19" i="39"/>
  <c r="G9" i="39" s="1"/>
  <c r="G8" i="39" s="1"/>
  <c r="S6" i="7"/>
  <c r="AN31" i="19"/>
  <c r="AI90" i="19"/>
  <c r="AJ89" i="19"/>
  <c r="Q33" i="42"/>
  <c r="U31" i="41"/>
  <c r="O37" i="8"/>
  <c r="R37" i="8" s="1"/>
  <c r="AE30" i="60"/>
  <c r="AN30" i="60"/>
  <c r="AJ114" i="19"/>
  <c r="Q24" i="42"/>
  <c r="Q23" i="42" s="1"/>
  <c r="AJ92" i="19"/>
  <c r="AI93" i="19"/>
  <c r="Y18" i="41"/>
  <c r="Y15" i="41" s="1"/>
  <c r="Q29" i="42" s="1"/>
  <c r="S6" i="8"/>
  <c r="AJ101" i="19"/>
  <c r="AI102" i="19"/>
  <c r="AI96" i="19"/>
  <c r="AJ95" i="19"/>
  <c r="K15" i="43"/>
  <c r="T31" i="8"/>
  <c r="AE33" i="7"/>
  <c r="AE34" i="7" s="1"/>
  <c r="AE37" i="7" s="1"/>
  <c r="AE38" i="7" s="1"/>
  <c r="P58" i="7"/>
  <c r="P59" i="7" s="1"/>
  <c r="P60" i="7" s="1"/>
  <c r="P61" i="7" s="1"/>
  <c r="O8" i="7"/>
  <c r="AN24" i="19"/>
  <c r="O34" i="7"/>
  <c r="R34" i="7" s="1"/>
  <c r="T34" i="7"/>
  <c r="AN28" i="19"/>
  <c r="U29" i="41"/>
  <c r="AN33" i="19"/>
  <c r="S5" i="114"/>
  <c r="AO60" i="59"/>
  <c r="AO68" i="59" s="1"/>
  <c r="Q19" i="61"/>
  <c r="AN32" i="19"/>
  <c r="T25" i="8"/>
  <c r="T24" i="8" s="1"/>
  <c r="K9" i="43"/>
  <c r="K8" i="43" s="1"/>
  <c r="AN25" i="19"/>
  <c r="AN23" i="19"/>
  <c r="AN17" i="19"/>
  <c r="AJ31" i="2"/>
  <c r="AH143" i="2"/>
  <c r="AN30" i="19"/>
  <c r="O6" i="7"/>
  <c r="AN27" i="19"/>
  <c r="T25" i="7"/>
  <c r="T24" i="7" s="1"/>
  <c r="AI99" i="19"/>
  <c r="AJ98" i="19"/>
  <c r="AN29" i="19"/>
  <c r="AJ80" i="19"/>
  <c r="AI81" i="19"/>
  <c r="R19" i="114"/>
  <c r="R6" i="114" s="1"/>
  <c r="O6" i="114"/>
  <c r="O5" i="114"/>
  <c r="O34" i="8"/>
  <c r="R34" i="8" s="1"/>
  <c r="T34" i="8"/>
  <c r="G39" i="157" l="1"/>
  <c r="C111" i="161"/>
  <c r="C9" i="161" s="1"/>
  <c r="D9" i="161"/>
  <c r="C111" i="160"/>
  <c r="C9" i="160" s="1"/>
  <c r="G38" i="157"/>
  <c r="F39" i="157"/>
  <c r="F38" i="157" s="1"/>
  <c r="AA9" i="2"/>
  <c r="J24" i="114"/>
  <c r="J23" i="114" s="1"/>
  <c r="D14" i="118"/>
  <c r="D14" i="123"/>
  <c r="D12" i="123" s="1"/>
  <c r="D14" i="112"/>
  <c r="C16" i="86"/>
  <c r="C14" i="86" s="1"/>
  <c r="AA181" i="2"/>
  <c r="C20" i="49"/>
  <c r="C21" i="116"/>
  <c r="N10" i="41"/>
  <c r="J25" i="7"/>
  <c r="J25" i="8"/>
  <c r="AA41" i="36" s="1"/>
  <c r="D14" i="51"/>
  <c r="X10" i="60"/>
  <c r="AA129" i="2"/>
  <c r="X10" i="2"/>
  <c r="X9" i="2" s="1"/>
  <c r="AF10" i="2"/>
  <c r="D35" i="30"/>
  <c r="D34" i="30" s="1"/>
  <c r="C111" i="56"/>
  <c r="D9" i="56"/>
  <c r="AK30" i="2"/>
  <c r="AG28" i="60"/>
  <c r="Q49" i="8"/>
  <c r="AO30" i="19"/>
  <c r="AT30" i="19" s="1"/>
  <c r="AX30" i="19" s="1"/>
  <c r="Q22" i="114"/>
  <c r="Q21" i="114" s="1"/>
  <c r="Q45" i="114" s="1"/>
  <c r="Q23" i="7"/>
  <c r="Q22" i="7" s="1"/>
  <c r="Q46" i="7" s="1"/>
  <c r="T46" i="7" s="1"/>
  <c r="T29" i="42"/>
  <c r="Q32" i="42"/>
  <c r="T32" i="42" s="1"/>
  <c r="AN101" i="19"/>
  <c r="AN95" i="19"/>
  <c r="AK19" i="2"/>
  <c r="AK22" i="2"/>
  <c r="AK26" i="2"/>
  <c r="AK23" i="2"/>
  <c r="AK25" i="2"/>
  <c r="AK24" i="2"/>
  <c r="AK20" i="2"/>
  <c r="AK28" i="2"/>
  <c r="AK27" i="2"/>
  <c r="AD32" i="114"/>
  <c r="O57" i="114"/>
  <c r="O58" i="114" s="1"/>
  <c r="O59" i="114" s="1"/>
  <c r="O60" i="114" s="1"/>
  <c r="AN9" i="60"/>
  <c r="AS10" i="60"/>
  <c r="AJ96" i="19"/>
  <c r="AK96" i="19"/>
  <c r="Q22" i="42"/>
  <c r="Q21" i="42" s="1"/>
  <c r="Q45" i="42" s="1"/>
  <c r="T24" i="42"/>
  <c r="T23" i="42" s="1"/>
  <c r="AN114" i="19"/>
  <c r="AK90" i="19"/>
  <c r="AJ90" i="19"/>
  <c r="H19" i="39"/>
  <c r="H9" i="39" s="1"/>
  <c r="H8" i="39" s="1"/>
  <c r="AI8" i="60"/>
  <c r="AI7" i="60" s="1"/>
  <c r="AN86" i="19"/>
  <c r="AJ67" i="19"/>
  <c r="AI68" i="19"/>
  <c r="AN17" i="60"/>
  <c r="AN14" i="60" s="1"/>
  <c r="AS18" i="60"/>
  <c r="AK81" i="19"/>
  <c r="AJ81" i="19"/>
  <c r="AN98" i="19"/>
  <c r="Y8" i="41"/>
  <c r="Y7" i="41" s="1"/>
  <c r="AO28" i="60"/>
  <c r="AW28" i="60"/>
  <c r="AJ65" i="19"/>
  <c r="AK65" i="19"/>
  <c r="AJ87" i="19"/>
  <c r="AK87" i="19"/>
  <c r="V19" i="61"/>
  <c r="Q9" i="61"/>
  <c r="AK102" i="19"/>
  <c r="AJ102" i="19"/>
  <c r="AJ30" i="60"/>
  <c r="AS30" i="60"/>
  <c r="G25" i="39"/>
  <c r="H25" i="39" s="1"/>
  <c r="AL28" i="60"/>
  <c r="T30" i="7"/>
  <c r="T23" i="7" s="1"/>
  <c r="T22" i="7" s="1"/>
  <c r="Q33" i="7"/>
  <c r="T33" i="7" s="1"/>
  <c r="AK99" i="19"/>
  <c r="AJ99" i="19"/>
  <c r="W29" i="41"/>
  <c r="G28" i="39"/>
  <c r="H28" i="39" s="1"/>
  <c r="AJ93" i="19"/>
  <c r="AK93" i="19"/>
  <c r="AN80" i="19"/>
  <c r="R6" i="7"/>
  <c r="AN92" i="19"/>
  <c r="Q27" i="61"/>
  <c r="V27" i="61" s="1"/>
  <c r="AG30" i="60"/>
  <c r="AO32" i="19"/>
  <c r="AT32" i="19" s="1"/>
  <c r="O33" i="42"/>
  <c r="R33" i="42" s="1"/>
  <c r="T33" i="42"/>
  <c r="AS15" i="60"/>
  <c r="R6" i="8"/>
  <c r="O5" i="42"/>
  <c r="AN18" i="19"/>
  <c r="T29" i="114"/>
  <c r="Q32" i="114"/>
  <c r="T32" i="114" s="1"/>
  <c r="AN89" i="19"/>
  <c r="O58" i="8"/>
  <c r="O59" i="8" s="1"/>
  <c r="O60" i="8" s="1"/>
  <c r="O61" i="8" s="1"/>
  <c r="AD33" i="8"/>
  <c r="AD33" i="7"/>
  <c r="O58" i="7"/>
  <c r="O59" i="7" s="1"/>
  <c r="O60" i="7" s="1"/>
  <c r="O61" i="7" s="1"/>
  <c r="AN64" i="19"/>
  <c r="R5" i="114"/>
  <c r="R19" i="42"/>
  <c r="S5" i="42"/>
  <c r="T30" i="8"/>
  <c r="Q33" i="8"/>
  <c r="Z67" i="2" l="1"/>
  <c r="X67" i="2"/>
  <c r="Z41" i="36"/>
  <c r="X41" i="36" s="1"/>
  <c r="AA40" i="36"/>
  <c r="D9" i="43"/>
  <c r="D8" i="43" s="1"/>
  <c r="J24" i="8"/>
  <c r="I25" i="8"/>
  <c r="I24" i="8" s="1"/>
  <c r="D12" i="112"/>
  <c r="C14" i="112"/>
  <c r="C12" i="112" s="1"/>
  <c r="J24" i="7"/>
  <c r="I25" i="7"/>
  <c r="E22" i="31" s="1"/>
  <c r="C14" i="123"/>
  <c r="C12" i="123" s="1"/>
  <c r="C35" i="30"/>
  <c r="C34" i="30" s="1"/>
  <c r="J24" i="42"/>
  <c r="J23" i="42" s="1"/>
  <c r="N60" i="41"/>
  <c r="N64" i="41"/>
  <c r="N65" i="41" s="1"/>
  <c r="N9" i="41"/>
  <c r="K10" i="41"/>
  <c r="D12" i="118"/>
  <c r="C14" i="118"/>
  <c r="C12" i="118" s="1"/>
  <c r="AF9" i="2"/>
  <c r="S10" i="155"/>
  <c r="M25" i="8"/>
  <c r="M25" i="7"/>
  <c r="AC10" i="2"/>
  <c r="M24" i="114"/>
  <c r="M23" i="114" s="1"/>
  <c r="S10" i="41"/>
  <c r="AC10" i="60"/>
  <c r="I24" i="114"/>
  <c r="I23" i="114" s="1"/>
  <c r="C27" i="115"/>
  <c r="C27" i="48"/>
  <c r="C27" i="110"/>
  <c r="Z10" i="2"/>
  <c r="T125" i="2"/>
  <c r="E8" i="71"/>
  <c r="E6" i="71" s="1"/>
  <c r="C19" i="49"/>
  <c r="C20" i="116"/>
  <c r="X47" i="60"/>
  <c r="U47" i="60" s="1"/>
  <c r="X9" i="60"/>
  <c r="U10" i="60"/>
  <c r="AK10" i="2"/>
  <c r="AK9" i="2" s="1"/>
  <c r="D12" i="51"/>
  <c r="C14" i="51"/>
  <c r="C12" i="51" s="1"/>
  <c r="T23" i="8"/>
  <c r="Q22" i="8"/>
  <c r="T22" i="8" s="1"/>
  <c r="T22" i="114"/>
  <c r="T33" i="8"/>
  <c r="K17" i="43"/>
  <c r="K14" i="43" s="1"/>
  <c r="K7" i="43" s="1"/>
  <c r="AX32" i="19"/>
  <c r="AN102" i="19"/>
  <c r="AN87" i="19"/>
  <c r="AT28" i="60"/>
  <c r="BB28" i="60"/>
  <c r="AY28" i="60" s="1"/>
  <c r="X27" i="41"/>
  <c r="U27" i="41" s="1"/>
  <c r="AH27" i="2"/>
  <c r="AH26" i="60"/>
  <c r="X25" i="41"/>
  <c r="U25" i="41" s="1"/>
  <c r="AH25" i="2"/>
  <c r="AH24" i="60"/>
  <c r="AQ28" i="60"/>
  <c r="AN67" i="19"/>
  <c r="AS9" i="60"/>
  <c r="AX10" i="60"/>
  <c r="X28" i="41"/>
  <c r="U28" i="41" s="1"/>
  <c r="AH28" i="2"/>
  <c r="AH27" i="60"/>
  <c r="AN90" i="19"/>
  <c r="AN8" i="60"/>
  <c r="AN7" i="60" s="1"/>
  <c r="AN99" i="19"/>
  <c r="AN96" i="19"/>
  <c r="X23" i="41"/>
  <c r="U23" i="41" s="1"/>
  <c r="AH23" i="2"/>
  <c r="AH22" i="60"/>
  <c r="AN81" i="19"/>
  <c r="P30" i="114"/>
  <c r="P31" i="7"/>
  <c r="AH20" i="2"/>
  <c r="X20" i="41"/>
  <c r="P31" i="8"/>
  <c r="AH19" i="60"/>
  <c r="AH26" i="2"/>
  <c r="X26" i="41"/>
  <c r="U26" i="41" s="1"/>
  <c r="AH25" i="60"/>
  <c r="P38" i="7"/>
  <c r="AH30" i="2"/>
  <c r="P37" i="114"/>
  <c r="P38" i="8"/>
  <c r="X30" i="41"/>
  <c r="AH29" i="60"/>
  <c r="AX15" i="60"/>
  <c r="AN93" i="19"/>
  <c r="AO30" i="60"/>
  <c r="AX30" i="60"/>
  <c r="AN65" i="19"/>
  <c r="T22" i="42"/>
  <c r="T21" i="42" s="1"/>
  <c r="P31" i="114"/>
  <c r="P32" i="8"/>
  <c r="P32" i="7"/>
  <c r="AH19" i="2"/>
  <c r="X19" i="41"/>
  <c r="AH18" i="60"/>
  <c r="R5" i="42"/>
  <c r="Q8" i="61"/>
  <c r="V8" i="61" s="1"/>
  <c r="V9" i="61"/>
  <c r="AS17" i="60"/>
  <c r="AS14" i="60" s="1"/>
  <c r="AX18" i="60"/>
  <c r="AH22" i="2"/>
  <c r="X22" i="41"/>
  <c r="U22" i="41" s="1"/>
  <c r="AH21" i="60"/>
  <c r="T21" i="114"/>
  <c r="T45" i="114"/>
  <c r="AL30" i="60"/>
  <c r="AJ68" i="19"/>
  <c r="AK68" i="19"/>
  <c r="Q47" i="42"/>
  <c r="Q49" i="42"/>
  <c r="T45" i="42"/>
  <c r="Q6" i="42"/>
  <c r="Q7" i="42" s="1"/>
  <c r="AF32" i="42" s="1"/>
  <c r="AF33" i="42" s="1"/>
  <c r="AF36" i="42" s="1"/>
  <c r="AF37" i="42" s="1"/>
  <c r="AH24" i="2"/>
  <c r="X24" i="41"/>
  <c r="U24" i="41" s="1"/>
  <c r="AH23" i="60"/>
  <c r="Z40" i="36" l="1"/>
  <c r="X40" i="36" s="1"/>
  <c r="AE41" i="36"/>
  <c r="AC41" i="36"/>
  <c r="AF41" i="36"/>
  <c r="AD41" i="36"/>
  <c r="P25" i="8"/>
  <c r="P24" i="8" s="1"/>
  <c r="P25" i="7"/>
  <c r="P24" i="7" s="1"/>
  <c r="P24" i="114"/>
  <c r="P23" i="114" s="1"/>
  <c r="AH10" i="2"/>
  <c r="AH9" i="2" s="1"/>
  <c r="AH10" i="60"/>
  <c r="AH9" i="60" s="1"/>
  <c r="X10" i="41"/>
  <c r="X9" i="41" s="1"/>
  <c r="L24" i="114"/>
  <c r="L23" i="114" s="1"/>
  <c r="K9" i="41"/>
  <c r="M10" i="41"/>
  <c r="N50" i="41"/>
  <c r="AC9" i="2"/>
  <c r="AE9" i="2" s="1"/>
  <c r="AE10" i="2"/>
  <c r="AC131" i="2"/>
  <c r="AC139" i="2" s="1"/>
  <c r="I24" i="7"/>
  <c r="M24" i="7"/>
  <c r="L25" i="7"/>
  <c r="L24" i="7" s="1"/>
  <c r="M24" i="8"/>
  <c r="G9" i="43"/>
  <c r="L25" i="8"/>
  <c r="L24" i="8" s="1"/>
  <c r="D10" i="155"/>
  <c r="T10" i="155"/>
  <c r="T9" i="155" s="1"/>
  <c r="T8" i="155" s="1"/>
  <c r="T7" i="155" s="1"/>
  <c r="S9" i="155"/>
  <c r="S8" i="155" s="1"/>
  <c r="S7" i="155" s="1"/>
  <c r="I24" i="42"/>
  <c r="I23" i="42" s="1"/>
  <c r="W10" i="60"/>
  <c r="AH12" i="19"/>
  <c r="U9" i="60"/>
  <c r="AC9" i="60"/>
  <c r="Z10" i="60"/>
  <c r="C26" i="110"/>
  <c r="E20" i="84"/>
  <c r="F20" i="84" s="1"/>
  <c r="C26" i="115"/>
  <c r="C26" i="48"/>
  <c r="Z9" i="2"/>
  <c r="S9" i="41"/>
  <c r="M24" i="42"/>
  <c r="M23" i="42" s="1"/>
  <c r="P10" i="41"/>
  <c r="C9" i="43"/>
  <c r="C8" i="43" s="1"/>
  <c r="Q46" i="8"/>
  <c r="T46" i="8" s="1"/>
  <c r="AX9" i="60"/>
  <c r="BC10" i="60"/>
  <c r="BC9" i="60" s="1"/>
  <c r="AJ25" i="2"/>
  <c r="AV28" i="60"/>
  <c r="AE18" i="60"/>
  <c r="AM18" i="60"/>
  <c r="AM19" i="60"/>
  <c r="AE19" i="60"/>
  <c r="W28" i="41"/>
  <c r="AN68" i="19"/>
  <c r="AE21" i="60"/>
  <c r="AM21" i="60"/>
  <c r="AE29" i="60"/>
  <c r="AM29" i="60"/>
  <c r="AE23" i="60"/>
  <c r="AM23" i="60"/>
  <c r="T49" i="42"/>
  <c r="T47" i="42"/>
  <c r="T6" i="42"/>
  <c r="T7" i="42" s="1"/>
  <c r="W22" i="41"/>
  <c r="P37" i="42"/>
  <c r="U30" i="41"/>
  <c r="AJ20" i="2"/>
  <c r="AS8" i="60"/>
  <c r="AS7" i="60" s="1"/>
  <c r="W25" i="41"/>
  <c r="AE24" i="60"/>
  <c r="AM24" i="60"/>
  <c r="AJ19" i="2"/>
  <c r="W24" i="41"/>
  <c r="AJ22" i="2"/>
  <c r="O32" i="7"/>
  <c r="R32" i="7" s="1"/>
  <c r="S32" i="7"/>
  <c r="O38" i="8"/>
  <c r="R38" i="8" s="1"/>
  <c r="J20" i="43"/>
  <c r="I20" i="43" s="1"/>
  <c r="S38" i="8"/>
  <c r="O31" i="7"/>
  <c r="R31" i="7" s="1"/>
  <c r="S31" i="7"/>
  <c r="AE22" i="60"/>
  <c r="AM22" i="60"/>
  <c r="AE26" i="60"/>
  <c r="AM26" i="60"/>
  <c r="O37" i="114"/>
  <c r="R37" i="114" s="1"/>
  <c r="S37" i="114"/>
  <c r="AJ23" i="2"/>
  <c r="AJ27" i="2"/>
  <c r="P31" i="42"/>
  <c r="U19" i="41"/>
  <c r="O31" i="8"/>
  <c r="R31" i="8" s="1"/>
  <c r="J15" i="43"/>
  <c r="S31" i="8"/>
  <c r="BA28" i="60"/>
  <c r="AE25" i="60"/>
  <c r="AM25" i="60"/>
  <c r="O31" i="114"/>
  <c r="R31" i="114" s="1"/>
  <c r="S31" i="114"/>
  <c r="AJ30" i="2"/>
  <c r="AH142" i="2"/>
  <c r="W26" i="41"/>
  <c r="W23" i="41"/>
  <c r="W27" i="41"/>
  <c r="AT30" i="60"/>
  <c r="BC30" i="60"/>
  <c r="AY30" i="60" s="1"/>
  <c r="AJ28" i="2"/>
  <c r="BC15" i="60"/>
  <c r="U20" i="41"/>
  <c r="P30" i="42"/>
  <c r="AJ24" i="2"/>
  <c r="O32" i="8"/>
  <c r="R32" i="8" s="1"/>
  <c r="J16" i="43"/>
  <c r="I16" i="43" s="1"/>
  <c r="S32" i="8"/>
  <c r="O30" i="114"/>
  <c r="R30" i="114" s="1"/>
  <c r="S30" i="114"/>
  <c r="AX17" i="60"/>
  <c r="AX14" i="60" s="1"/>
  <c r="BC18" i="60"/>
  <c r="BC17" i="60" s="1"/>
  <c r="O38" i="7"/>
  <c r="R38" i="7" s="1"/>
  <c r="S38" i="7"/>
  <c r="AJ26" i="2"/>
  <c r="AE27" i="60"/>
  <c r="AM27" i="60"/>
  <c r="O25" i="8" l="1"/>
  <c r="O24" i="8" s="1"/>
  <c r="O25" i="7"/>
  <c r="O24" i="7" s="1"/>
  <c r="O24" i="114"/>
  <c r="O23" i="114" s="1"/>
  <c r="S25" i="8"/>
  <c r="S24" i="8" s="1"/>
  <c r="J9" i="43"/>
  <c r="J8" i="43" s="1"/>
  <c r="AE40" i="36"/>
  <c r="AC40" i="36"/>
  <c r="AF40" i="36"/>
  <c r="AD40" i="36"/>
  <c r="S24" i="114"/>
  <c r="S23" i="114" s="1"/>
  <c r="AM10" i="60"/>
  <c r="AJ10" i="60" s="1"/>
  <c r="S25" i="7"/>
  <c r="S24" i="7" s="1"/>
  <c r="AH131" i="2"/>
  <c r="AH139" i="2" s="1"/>
  <c r="AJ10" i="2"/>
  <c r="P24" i="42"/>
  <c r="P23" i="42" s="1"/>
  <c r="U10" i="41"/>
  <c r="U9" i="41" s="1"/>
  <c r="AE10" i="60"/>
  <c r="AO12" i="19" s="1"/>
  <c r="E10" i="155"/>
  <c r="E9" i="155" s="1"/>
  <c r="E8" i="155" s="1"/>
  <c r="E7" i="155" s="1"/>
  <c r="D9" i="155"/>
  <c r="D8" i="155" s="1"/>
  <c r="D7" i="155" s="1"/>
  <c r="W9" i="60"/>
  <c r="N23" i="61"/>
  <c r="AH121" i="19"/>
  <c r="AH11" i="19"/>
  <c r="G8" i="43"/>
  <c r="F9" i="43"/>
  <c r="F8" i="43" s="1"/>
  <c r="E23" i="39"/>
  <c r="M9" i="41"/>
  <c r="K75" i="41"/>
  <c r="K76" i="41" s="1"/>
  <c r="P9" i="41"/>
  <c r="R10" i="41"/>
  <c r="E21" i="31"/>
  <c r="G21" i="31" s="1"/>
  <c r="G22" i="31"/>
  <c r="L24" i="42"/>
  <c r="L23" i="42" s="1"/>
  <c r="AB10" i="60"/>
  <c r="Z9" i="60"/>
  <c r="AI12" i="19"/>
  <c r="AJ12" i="19" s="1"/>
  <c r="AN12" i="19" s="1"/>
  <c r="AX8" i="60"/>
  <c r="AX7" i="60" s="1"/>
  <c r="AG29" i="60"/>
  <c r="Q26" i="61"/>
  <c r="V26" i="61" s="1"/>
  <c r="AO31" i="19"/>
  <c r="AT31" i="19" s="1"/>
  <c r="AG27" i="60"/>
  <c r="AO29" i="19"/>
  <c r="AT29" i="19" s="1"/>
  <c r="I15" i="43"/>
  <c r="AJ22" i="60"/>
  <c r="AR22" i="60"/>
  <c r="AO26" i="19"/>
  <c r="AT26" i="19" s="1"/>
  <c r="AG24" i="60"/>
  <c r="G29" i="39"/>
  <c r="H29" i="39" s="1"/>
  <c r="AJ21" i="60"/>
  <c r="AR21" i="60"/>
  <c r="AG18" i="60"/>
  <c r="AO18" i="19"/>
  <c r="AT18" i="19" s="1"/>
  <c r="AJ27" i="60"/>
  <c r="AR27" i="60"/>
  <c r="AJ18" i="60"/>
  <c r="AR18" i="60"/>
  <c r="O37" i="42"/>
  <c r="R37" i="42" s="1"/>
  <c r="S37" i="42"/>
  <c r="W19" i="41"/>
  <c r="AG26" i="60"/>
  <c r="AO28" i="19"/>
  <c r="AT28" i="19" s="1"/>
  <c r="I9" i="43"/>
  <c r="I8" i="43" s="1"/>
  <c r="R25" i="7"/>
  <c r="R24" i="7" s="1"/>
  <c r="O30" i="42"/>
  <c r="R30" i="42" s="1"/>
  <c r="S30" i="42"/>
  <c r="AJ25" i="60"/>
  <c r="AR25" i="60"/>
  <c r="O31" i="42"/>
  <c r="R31" i="42" s="1"/>
  <c r="S31" i="42"/>
  <c r="R25" i="8"/>
  <c r="R24" i="8" s="1"/>
  <c r="W20" i="41"/>
  <c r="AG25" i="60"/>
  <c r="AO27" i="19"/>
  <c r="AT27" i="19" s="1"/>
  <c r="R24" i="114"/>
  <c r="R23" i="114" s="1"/>
  <c r="AJ24" i="60"/>
  <c r="AR24" i="60"/>
  <c r="AJ26" i="60"/>
  <c r="AR26" i="60"/>
  <c r="AG22" i="60"/>
  <c r="AO24" i="19"/>
  <c r="AT24" i="19" s="1"/>
  <c r="AO23" i="19"/>
  <c r="AT23" i="19" s="1"/>
  <c r="AG21" i="60"/>
  <c r="BC14" i="60"/>
  <c r="BC8" i="60" s="1"/>
  <c r="BC7" i="60" s="1"/>
  <c r="AJ23" i="60"/>
  <c r="AR23" i="60"/>
  <c r="AG19" i="60"/>
  <c r="AO17" i="19"/>
  <c r="AJ9" i="2"/>
  <c r="AG23" i="60"/>
  <c r="AO25" i="19"/>
  <c r="AT25" i="19" s="1"/>
  <c r="AJ29" i="60"/>
  <c r="AR29" i="60"/>
  <c r="AJ19" i="60"/>
  <c r="AR19" i="60"/>
  <c r="AM9" i="60" l="1"/>
  <c r="AR10" i="60"/>
  <c r="AW10" i="60" s="1"/>
  <c r="AG10" i="60"/>
  <c r="AE9" i="60"/>
  <c r="AG9" i="60" s="1"/>
  <c r="W10" i="41"/>
  <c r="S24" i="42"/>
  <c r="S23" i="42" s="1"/>
  <c r="O24" i="42"/>
  <c r="O23" i="42" s="1"/>
  <c r="AH108" i="19"/>
  <c r="AH120" i="19"/>
  <c r="AI121" i="19"/>
  <c r="AI11" i="19"/>
  <c r="F23" i="39"/>
  <c r="R9" i="41"/>
  <c r="AH122" i="19"/>
  <c r="O23" i="61"/>
  <c r="P23" i="61" s="1"/>
  <c r="AB9" i="60"/>
  <c r="N51" i="60"/>
  <c r="AW19" i="60"/>
  <c r="AO19" i="60"/>
  <c r="AO24" i="60"/>
  <c r="AW24" i="60"/>
  <c r="AO27" i="60"/>
  <c r="AW27" i="60"/>
  <c r="AL21" i="60"/>
  <c r="AL26" i="60"/>
  <c r="AO21" i="60"/>
  <c r="AW21" i="60"/>
  <c r="AT12" i="19"/>
  <c r="AO11" i="19"/>
  <c r="AL25" i="60"/>
  <c r="AO18" i="60"/>
  <c r="AW18" i="60"/>
  <c r="AL10" i="60"/>
  <c r="AJ9" i="60"/>
  <c r="AR9" i="60"/>
  <c r="AX24" i="19"/>
  <c r="AL18" i="60"/>
  <c r="AX26" i="19"/>
  <c r="AX31" i="19"/>
  <c r="AL24" i="60"/>
  <c r="AW25" i="60"/>
  <c r="AO25" i="60"/>
  <c r="AL27" i="60"/>
  <c r="AX18" i="19"/>
  <c r="AO22" i="60"/>
  <c r="AW22" i="60"/>
  <c r="AX29" i="19"/>
  <c r="AL19" i="60"/>
  <c r="AX23" i="19"/>
  <c r="AT17" i="19"/>
  <c r="AO29" i="60"/>
  <c r="AW29" i="60"/>
  <c r="AL23" i="60"/>
  <c r="AX27" i="19"/>
  <c r="AX28" i="19"/>
  <c r="AL22" i="60"/>
  <c r="AX25" i="19"/>
  <c r="AO23" i="60"/>
  <c r="AW23" i="60"/>
  <c r="AL29" i="60"/>
  <c r="AO26" i="60"/>
  <c r="AW26" i="60"/>
  <c r="W9" i="41"/>
  <c r="G23" i="39"/>
  <c r="N43" i="41"/>
  <c r="Q23" i="61" l="1"/>
  <c r="AO10" i="60"/>
  <c r="R24" i="42"/>
  <c r="R23" i="42" s="1"/>
  <c r="AI184" i="19"/>
  <c r="AI120" i="19"/>
  <c r="AI123" i="19" s="1"/>
  <c r="AI108" i="19"/>
  <c r="AI109" i="19" s="1"/>
  <c r="AI122" i="19"/>
  <c r="AJ122" i="19" s="1"/>
  <c r="AN122" i="19" s="1"/>
  <c r="AJ11" i="19"/>
  <c r="AN11" i="19" s="1"/>
  <c r="AJ121" i="19"/>
  <c r="AN121" i="19" s="1"/>
  <c r="AH126" i="19"/>
  <c r="AH129" i="19"/>
  <c r="AH123" i="19"/>
  <c r="AH109" i="19"/>
  <c r="AT22" i="60"/>
  <c r="BB22" i="60"/>
  <c r="AY22" i="60" s="1"/>
  <c r="AQ22" i="60"/>
  <c r="AT18" i="60"/>
  <c r="BB18" i="60"/>
  <c r="AT24" i="60"/>
  <c r="BB24" i="60"/>
  <c r="AY24" i="60" s="1"/>
  <c r="AT26" i="60"/>
  <c r="BB26" i="60"/>
  <c r="AY26" i="60" s="1"/>
  <c r="AT29" i="60"/>
  <c r="BB29" i="60"/>
  <c r="AY29" i="60" s="1"/>
  <c r="AQ24" i="60"/>
  <c r="AQ26" i="60"/>
  <c r="AQ23" i="60"/>
  <c r="AQ29" i="60"/>
  <c r="V23" i="61"/>
  <c r="AW9" i="60"/>
  <c r="BB10" i="60"/>
  <c r="AT10" i="60"/>
  <c r="AQ18" i="60"/>
  <c r="BB23" i="60"/>
  <c r="AY23" i="60" s="1"/>
  <c r="AT23" i="60"/>
  <c r="AT21" i="60"/>
  <c r="BB21" i="60"/>
  <c r="AY21" i="60" s="1"/>
  <c r="AQ19" i="60"/>
  <c r="H23" i="39"/>
  <c r="AX17" i="19"/>
  <c r="AL9" i="60"/>
  <c r="AQ21" i="60"/>
  <c r="BB27" i="60"/>
  <c r="AY27" i="60" s="1"/>
  <c r="AT27" i="60"/>
  <c r="AT19" i="60"/>
  <c r="BB19" i="60"/>
  <c r="AY19" i="60" s="1"/>
  <c r="AT25" i="60"/>
  <c r="BB25" i="60"/>
  <c r="AY25" i="60" s="1"/>
  <c r="AX12" i="19"/>
  <c r="AQ25" i="60"/>
  <c r="AQ10" i="60"/>
  <c r="AO9" i="60"/>
  <c r="AT11" i="19"/>
  <c r="AQ27" i="60"/>
  <c r="AJ108" i="19" l="1"/>
  <c r="AN108" i="19" s="1"/>
  <c r="AJ120" i="19"/>
  <c r="AN120" i="19" s="1"/>
  <c r="AK109" i="19"/>
  <c r="AJ109" i="19"/>
  <c r="AN109" i="19" s="1"/>
  <c r="AJ123" i="19"/>
  <c r="AN123" i="19" s="1"/>
  <c r="AI126" i="19"/>
  <c r="AJ126" i="19" s="1"/>
  <c r="AN126" i="19" s="1"/>
  <c r="AI129" i="19"/>
  <c r="AJ129" i="19" s="1"/>
  <c r="AN129" i="19" s="1"/>
  <c r="AK122" i="19"/>
  <c r="AV18" i="60"/>
  <c r="AV25" i="60"/>
  <c r="BA23" i="60"/>
  <c r="AV29" i="60"/>
  <c r="BA24" i="60"/>
  <c r="AV22" i="60"/>
  <c r="BA25" i="60"/>
  <c r="AV23" i="60"/>
  <c r="BA19" i="60"/>
  <c r="BA26" i="60"/>
  <c r="AV24" i="60"/>
  <c r="AX11" i="19"/>
  <c r="AV19" i="60"/>
  <c r="AV26" i="60"/>
  <c r="BA22" i="60"/>
  <c r="AQ9" i="60"/>
  <c r="BA29" i="60"/>
  <c r="AV27" i="60"/>
  <c r="BA27" i="60"/>
  <c r="BA21" i="60"/>
  <c r="AV10" i="60"/>
  <c r="AT9" i="60"/>
  <c r="AV21" i="60"/>
  <c r="BB9" i="60"/>
  <c r="AY10" i="60"/>
  <c r="AY18" i="60"/>
  <c r="BA10" i="60" l="1"/>
  <c r="AY9" i="60"/>
  <c r="AV9" i="60"/>
  <c r="BA18" i="60"/>
  <c r="BA9" i="60" l="1"/>
  <c r="O106" i="56" l="1"/>
  <c r="O10" i="11"/>
  <c r="O9" i="11" s="1"/>
  <c r="O153" i="11" s="1"/>
  <c r="J106" i="56" l="1"/>
  <c r="C106" i="56" s="1"/>
  <c r="O154" i="11"/>
  <c r="O161" i="11"/>
  <c r="O162" i="11" s="1"/>
  <c r="O75" i="56"/>
  <c r="O10" i="56" s="1"/>
  <c r="O9" i="56" s="1"/>
  <c r="AA21" i="2"/>
  <c r="X21" i="2" l="1"/>
  <c r="AA18" i="2"/>
  <c r="C32" i="116"/>
  <c r="C29" i="116" s="1"/>
  <c r="D26" i="123"/>
  <c r="C26" i="123" s="1"/>
  <c r="D26" i="112"/>
  <c r="C26" i="112" s="1"/>
  <c r="C27" i="86"/>
  <c r="D26" i="118"/>
  <c r="C26" i="118" s="1"/>
  <c r="C31" i="49"/>
  <c r="C28" i="49" s="1"/>
  <c r="X20" i="60"/>
  <c r="N21" i="41"/>
  <c r="AF21" i="2"/>
  <c r="S21" i="41" l="1"/>
  <c r="AF18" i="2"/>
  <c r="AC21" i="2"/>
  <c r="AC20" i="60"/>
  <c r="AK21" i="2"/>
  <c r="N47" i="41"/>
  <c r="K21" i="41"/>
  <c r="N18" i="41"/>
  <c r="X17" i="60"/>
  <c r="U20" i="60"/>
  <c r="Z21" i="2"/>
  <c r="X18" i="2"/>
  <c r="M21" i="41" l="1"/>
  <c r="K18" i="41"/>
  <c r="AK18" i="2"/>
  <c r="AH21" i="2"/>
  <c r="X21" i="41"/>
  <c r="AH20" i="60"/>
  <c r="Z18" i="2"/>
  <c r="Z20" i="60"/>
  <c r="AC17" i="60"/>
  <c r="AE21" i="2"/>
  <c r="AC18" i="2"/>
  <c r="W20" i="60"/>
  <c r="AH21" i="19"/>
  <c r="U17" i="60"/>
  <c r="P21" i="41"/>
  <c r="S18" i="41"/>
  <c r="AH83" i="19" l="1"/>
  <c r="AB20" i="60"/>
  <c r="AI21" i="19"/>
  <c r="Z17" i="60"/>
  <c r="U21" i="41"/>
  <c r="X18" i="41"/>
  <c r="AJ21" i="2"/>
  <c r="AH18" i="2"/>
  <c r="AE18" i="2"/>
  <c r="R21" i="41"/>
  <c r="P18" i="41"/>
  <c r="M18" i="41"/>
  <c r="W17" i="60"/>
  <c r="AM20" i="60"/>
  <c r="AH17" i="60"/>
  <c r="AE20" i="60"/>
  <c r="AB17" i="60" l="1"/>
  <c r="AI83" i="19"/>
  <c r="AJ83" i="19" s="1"/>
  <c r="AJ18" i="2"/>
  <c r="AJ21" i="19"/>
  <c r="AE17" i="60"/>
  <c r="AG20" i="60"/>
  <c r="AO21" i="19"/>
  <c r="AH84" i="19"/>
  <c r="R18" i="41"/>
  <c r="W21" i="41"/>
  <c r="U18" i="41"/>
  <c r="AJ20" i="60"/>
  <c r="AR20" i="60"/>
  <c r="AM17" i="60"/>
  <c r="AN21" i="19" l="1"/>
  <c r="AI84" i="19"/>
  <c r="AJ84" i="19" s="1"/>
  <c r="W18" i="41"/>
  <c r="AG17" i="60"/>
  <c r="AO20" i="60"/>
  <c r="AR17" i="60"/>
  <c r="AW20" i="60"/>
  <c r="AL20" i="60"/>
  <c r="AJ17" i="60"/>
  <c r="AN83" i="19"/>
  <c r="AT21" i="19"/>
  <c r="AT20" i="60" l="1"/>
  <c r="AW17" i="60"/>
  <c r="BB20" i="60"/>
  <c r="AN84" i="19"/>
  <c r="AK84" i="19"/>
  <c r="AO17" i="60"/>
  <c r="AQ20" i="60"/>
  <c r="AX21" i="19"/>
  <c r="AL17" i="60"/>
  <c r="AY20" i="60" l="1"/>
  <c r="BB17" i="60"/>
  <c r="AQ17" i="60"/>
  <c r="AT17" i="60"/>
  <c r="AV20" i="60"/>
  <c r="BA20" i="60" l="1"/>
  <c r="AY17" i="60"/>
  <c r="AV17" i="60"/>
  <c r="BA17" i="60" l="1"/>
  <c r="B24" i="49" l="1"/>
  <c r="B18" i="118"/>
  <c r="B25" i="116" l="1"/>
  <c r="B15" i="71"/>
  <c r="J80" i="11"/>
  <c r="C80" i="11" s="1"/>
  <c r="K75" i="56" l="1"/>
  <c r="J76" i="11"/>
  <c r="C76" i="11" s="1"/>
  <c r="C75" i="11" s="1"/>
  <c r="K10" i="11"/>
  <c r="K9" i="11" s="1"/>
  <c r="C10" i="11" l="1"/>
  <c r="C9" i="11" s="1"/>
  <c r="K10" i="56"/>
  <c r="K9" i="56" s="1"/>
  <c r="K161" i="11"/>
  <c r="K162" i="11" s="1"/>
  <c r="K153" i="11"/>
  <c r="AA16" i="2"/>
  <c r="C26" i="49" l="1"/>
  <c r="C27" i="116"/>
  <c r="D25" i="118"/>
  <c r="C25" i="118" s="1"/>
  <c r="D25" i="112"/>
  <c r="C25" i="112" s="1"/>
  <c r="C26" i="86"/>
  <c r="D25" i="123"/>
  <c r="C25" i="123" s="1"/>
  <c r="N16" i="41"/>
  <c r="X15" i="60"/>
  <c r="X16" i="2"/>
  <c r="AF16" i="2"/>
  <c r="K154" i="11"/>
  <c r="K16" i="41" l="1"/>
  <c r="U15" i="60"/>
  <c r="AC16" i="2"/>
  <c r="AC15" i="60"/>
  <c r="S16" i="41"/>
  <c r="AK16" i="2"/>
  <c r="Z16" i="2"/>
  <c r="Z15" i="60" l="1"/>
  <c r="AE16" i="2"/>
  <c r="W15" i="60"/>
  <c r="AH22" i="19"/>
  <c r="AH15" i="60"/>
  <c r="X16" i="41"/>
  <c r="AH16" i="2"/>
  <c r="P16" i="41"/>
  <c r="M16" i="41"/>
  <c r="AB15" i="60" l="1"/>
  <c r="AI22" i="19"/>
  <c r="AJ22" i="19" s="1"/>
  <c r="R16" i="41"/>
  <c r="AJ16" i="2"/>
  <c r="U16" i="41"/>
  <c r="AH77" i="19"/>
  <c r="AH20" i="19"/>
  <c r="AM15" i="60"/>
  <c r="AE15" i="60"/>
  <c r="AN22" i="19" l="1"/>
  <c r="W16" i="41"/>
  <c r="AI77" i="19"/>
  <c r="AJ77" i="19" s="1"/>
  <c r="AI20" i="19"/>
  <c r="AJ20" i="19" s="1"/>
  <c r="AH73" i="19"/>
  <c r="AG15" i="60"/>
  <c r="AO22" i="19"/>
  <c r="AH78" i="19"/>
  <c r="AR15" i="60"/>
  <c r="AJ15" i="60"/>
  <c r="AL15" i="60" l="1"/>
  <c r="AN77" i="19"/>
  <c r="AW15" i="60"/>
  <c r="AO15" i="60"/>
  <c r="AT22" i="19"/>
  <c r="AO20" i="19"/>
  <c r="AH74" i="19"/>
  <c r="AN20" i="19"/>
  <c r="AI73" i="19"/>
  <c r="AJ73" i="19" s="1"/>
  <c r="AI78" i="19"/>
  <c r="AN73" i="19" l="1"/>
  <c r="AJ78" i="19"/>
  <c r="AK78" i="19"/>
  <c r="AX22" i="19"/>
  <c r="AT20" i="19"/>
  <c r="AI74" i="19"/>
  <c r="AQ15" i="60"/>
  <c r="BB15" i="60"/>
  <c r="AT15" i="60"/>
  <c r="AY15" i="60" l="1"/>
  <c r="AV15" i="60"/>
  <c r="AN78" i="19"/>
  <c r="AJ74" i="19"/>
  <c r="AX20" i="19"/>
  <c r="AK74" i="19"/>
  <c r="AN74" i="19" l="1"/>
  <c r="BA15" i="60"/>
  <c r="L75" i="56"/>
  <c r="L10" i="56" s="1"/>
  <c r="L9" i="56" s="1"/>
  <c r="J10" i="11"/>
  <c r="J9" i="11" s="1"/>
  <c r="L10" i="11"/>
  <c r="L9" i="11" s="1"/>
  <c r="J75" i="56" l="1"/>
  <c r="C75" i="56" s="1"/>
  <c r="L161" i="11"/>
  <c r="L162" i="11" s="1"/>
  <c r="L153" i="11"/>
  <c r="AA17" i="2"/>
  <c r="I147" i="11"/>
  <c r="J161" i="11"/>
  <c r="J162" i="11" s="1"/>
  <c r="D152" i="11" s="1"/>
  <c r="J164" i="11"/>
  <c r="J166" i="11" s="1"/>
  <c r="J168" i="11" s="1"/>
  <c r="J170" i="11" s="1"/>
  <c r="J10" i="56" l="1"/>
  <c r="J9" i="56" s="1"/>
  <c r="D24" i="112"/>
  <c r="C24" i="112" s="1"/>
  <c r="C27" i="49"/>
  <c r="C25" i="49" s="1"/>
  <c r="C18" i="49" s="1"/>
  <c r="C17" i="49" s="1"/>
  <c r="D24" i="123"/>
  <c r="C24" i="123" s="1"/>
  <c r="D24" i="118"/>
  <c r="C24" i="118" s="1"/>
  <c r="N17" i="41"/>
  <c r="X16" i="60"/>
  <c r="AA15" i="2"/>
  <c r="AF17" i="2"/>
  <c r="X17" i="2"/>
  <c r="C28" i="116"/>
  <c r="C26" i="116" s="1"/>
  <c r="C19" i="116" s="1"/>
  <c r="C18" i="116" s="1"/>
  <c r="C25" i="86"/>
  <c r="J153" i="11"/>
  <c r="L154" i="11"/>
  <c r="J154" i="11" s="1"/>
  <c r="D141" i="11" s="1"/>
  <c r="D144" i="11" s="1"/>
  <c r="D145" i="11" s="1"/>
  <c r="D147" i="11" s="1"/>
  <c r="D151" i="11" s="1"/>
  <c r="D153" i="11" s="1"/>
  <c r="G44" i="157" l="1"/>
  <c r="AA8" i="2"/>
  <c r="C10" i="56"/>
  <c r="C9" i="56" s="1"/>
  <c r="X14" i="60"/>
  <c r="U16" i="60"/>
  <c r="K17" i="41"/>
  <c r="N15" i="41"/>
  <c r="AK17" i="2"/>
  <c r="AF15" i="2"/>
  <c r="AC16" i="60"/>
  <c r="S17" i="41"/>
  <c r="AC17" i="2"/>
  <c r="D19" i="112"/>
  <c r="D19" i="123"/>
  <c r="AA151" i="2"/>
  <c r="D19" i="51"/>
  <c r="S130" i="2"/>
  <c r="AA165" i="2"/>
  <c r="AA166" i="2" s="1"/>
  <c r="H61" i="16"/>
  <c r="H62" i="16" s="1"/>
  <c r="H63" i="16" s="1"/>
  <c r="D19" i="118"/>
  <c r="AA191" i="2"/>
  <c r="AA192" i="2" s="1"/>
  <c r="D40" i="30"/>
  <c r="C21" i="86"/>
  <c r="C13" i="86" s="1"/>
  <c r="J30" i="7"/>
  <c r="J30" i="8"/>
  <c r="AA46" i="36" s="1"/>
  <c r="J29" i="114"/>
  <c r="Z17" i="2"/>
  <c r="X15" i="2"/>
  <c r="X108" i="2" l="1"/>
  <c r="F6" i="164"/>
  <c r="C19" i="123"/>
  <c r="C11" i="123" s="1"/>
  <c r="D11" i="123"/>
  <c r="AA58" i="2"/>
  <c r="AA59" i="2" s="1"/>
  <c r="AA57" i="2"/>
  <c r="C46" i="86"/>
  <c r="AA54" i="2"/>
  <c r="AA56" i="2" s="1"/>
  <c r="Z46" i="36"/>
  <c r="X46" i="36" s="1"/>
  <c r="AA39" i="36"/>
  <c r="F44" i="157"/>
  <c r="F37" i="157" s="1"/>
  <c r="G37" i="157"/>
  <c r="G55" i="157" s="1"/>
  <c r="F55" i="157" s="1"/>
  <c r="J33" i="7"/>
  <c r="J23" i="7"/>
  <c r="J22" i="7" s="1"/>
  <c r="J46" i="7" s="1"/>
  <c r="I30" i="7"/>
  <c r="S15" i="41"/>
  <c r="P17" i="41"/>
  <c r="Z16" i="60"/>
  <c r="AC14" i="60"/>
  <c r="AC8" i="60" s="1"/>
  <c r="AC7" i="60" s="1"/>
  <c r="J23" i="8"/>
  <c r="J33" i="8"/>
  <c r="AA49" i="36" s="1"/>
  <c r="Z49" i="36" s="1"/>
  <c r="X49" i="36" s="1"/>
  <c r="I30" i="8"/>
  <c r="M29" i="114"/>
  <c r="AF8" i="2"/>
  <c r="AF7" i="2" s="1"/>
  <c r="M30" i="7"/>
  <c r="M30" i="8"/>
  <c r="AA149" i="2"/>
  <c r="AA119" i="2"/>
  <c r="AA7" i="2"/>
  <c r="C19" i="51"/>
  <c r="C11" i="51" s="1"/>
  <c r="D23" i="51"/>
  <c r="C23" i="51" s="1"/>
  <c r="D11" i="51"/>
  <c r="D44" i="51" s="1"/>
  <c r="D45" i="51" s="1"/>
  <c r="AH16" i="60"/>
  <c r="X17" i="41"/>
  <c r="AK15" i="2"/>
  <c r="AH17" i="2"/>
  <c r="C40" i="30"/>
  <c r="C33" i="30" s="1"/>
  <c r="D33" i="30"/>
  <c r="D51" i="30" s="1"/>
  <c r="C51" i="30" s="1"/>
  <c r="N8" i="41"/>
  <c r="N7" i="41" s="1"/>
  <c r="J29" i="42"/>
  <c r="Z15" i="2"/>
  <c r="E21" i="84"/>
  <c r="C32" i="48"/>
  <c r="T129" i="2"/>
  <c r="C32" i="115"/>
  <c r="C32" i="110"/>
  <c r="H58" i="16"/>
  <c r="H59" i="16" s="1"/>
  <c r="X8" i="2"/>
  <c r="D23" i="123"/>
  <c r="C23" i="123" s="1"/>
  <c r="M17" i="41"/>
  <c r="K15" i="41"/>
  <c r="J32" i="114"/>
  <c r="J22" i="114"/>
  <c r="I29" i="114"/>
  <c r="D11" i="118"/>
  <c r="D23" i="118"/>
  <c r="C23" i="118" s="1"/>
  <c r="C19" i="118"/>
  <c r="C11" i="118" s="1"/>
  <c r="C19" i="112"/>
  <c r="C11" i="112" s="1"/>
  <c r="D23" i="112"/>
  <c r="C23" i="112" s="1"/>
  <c r="D11" i="112"/>
  <c r="W16" i="60"/>
  <c r="U14" i="60"/>
  <c r="AH19" i="19"/>
  <c r="AE17" i="2"/>
  <c r="AC15" i="2"/>
  <c r="G6" i="164" s="1"/>
  <c r="X48" i="60"/>
  <c r="X8" i="60"/>
  <c r="G9" i="164" l="1"/>
  <c r="G12" i="164"/>
  <c r="F9" i="164"/>
  <c r="F12" i="164"/>
  <c r="Y54" i="2"/>
  <c r="Y55" i="2" s="1"/>
  <c r="X54" i="2"/>
  <c r="X56" i="2" s="1"/>
  <c r="X57" i="2"/>
  <c r="AE49" i="36"/>
  <c r="AF49" i="36"/>
  <c r="AC49" i="36"/>
  <c r="AD49" i="36"/>
  <c r="AA38" i="36"/>
  <c r="AA62" i="36" s="1"/>
  <c r="Z62" i="36" s="1"/>
  <c r="X62" i="36" s="1"/>
  <c r="AF62" i="36" s="1"/>
  <c r="Z39" i="36"/>
  <c r="AC46" i="36"/>
  <c r="AE46" i="36"/>
  <c r="AD46" i="36"/>
  <c r="AF46" i="36"/>
  <c r="J21" i="114"/>
  <c r="S129" i="2"/>
  <c r="T135" i="2"/>
  <c r="T136" i="2" s="1"/>
  <c r="C36" i="48"/>
  <c r="C25" i="48"/>
  <c r="C24" i="48" s="1"/>
  <c r="AJ17" i="2"/>
  <c r="AH15" i="2"/>
  <c r="R17" i="41"/>
  <c r="P15" i="41"/>
  <c r="AE15" i="2"/>
  <c r="AC8" i="2"/>
  <c r="AC140" i="2"/>
  <c r="AC148" i="2" s="1"/>
  <c r="Z8" i="2"/>
  <c r="Y124" i="2"/>
  <c r="X7" i="2"/>
  <c r="C47" i="86"/>
  <c r="C48" i="86" s="1"/>
  <c r="E19" i="84"/>
  <c r="F21" i="84"/>
  <c r="AK8" i="2"/>
  <c r="AK7" i="2" s="1"/>
  <c r="P29" i="114"/>
  <c r="P30" i="8"/>
  <c r="P30" i="7"/>
  <c r="S30" i="7" s="1"/>
  <c r="S23" i="7" s="1"/>
  <c r="S22" i="7" s="1"/>
  <c r="I33" i="8"/>
  <c r="D17" i="43"/>
  <c r="S8" i="41"/>
  <c r="S7" i="41" s="1"/>
  <c r="M29" i="42"/>
  <c r="I23" i="8"/>
  <c r="U48" i="60"/>
  <c r="X52" i="60"/>
  <c r="I32" i="114"/>
  <c r="K43" i="41"/>
  <c r="M15" i="41"/>
  <c r="K8" i="41"/>
  <c r="K82" i="41" s="1"/>
  <c r="E24" i="39"/>
  <c r="X15" i="41"/>
  <c r="U17" i="41"/>
  <c r="J49" i="8"/>
  <c r="J22" i="8"/>
  <c r="I23" i="7"/>
  <c r="I22" i="7" s="1"/>
  <c r="I46" i="7" s="1"/>
  <c r="E27" i="31"/>
  <c r="G27" i="31" s="1"/>
  <c r="I22" i="114"/>
  <c r="X56" i="60"/>
  <c r="U56" i="60" s="1"/>
  <c r="X7" i="60"/>
  <c r="E18" i="85"/>
  <c r="C164" i="11"/>
  <c r="C36" i="110"/>
  <c r="C25" i="110"/>
  <c r="C24" i="110" s="1"/>
  <c r="AH14" i="60"/>
  <c r="AH8" i="60" s="1"/>
  <c r="AH7" i="60" s="1"/>
  <c r="AE16" i="60"/>
  <c r="AM16" i="60"/>
  <c r="L30" i="8"/>
  <c r="L23" i="8" s="1"/>
  <c r="M23" i="8"/>
  <c r="M33" i="8"/>
  <c r="L29" i="114"/>
  <c r="L22" i="114" s="1"/>
  <c r="L21" i="114" s="1"/>
  <c r="L45" i="114" s="1"/>
  <c r="M22" i="114"/>
  <c r="M21" i="114" s="1"/>
  <c r="M45" i="114" s="1"/>
  <c r="M32" i="114"/>
  <c r="L32" i="114" s="1"/>
  <c r="AH70" i="19"/>
  <c r="AH16" i="19"/>
  <c r="J22" i="42"/>
  <c r="J21" i="42" s="1"/>
  <c r="J45" i="42" s="1"/>
  <c r="J32" i="42"/>
  <c r="I29" i="42"/>
  <c r="M33" i="7"/>
  <c r="L33" i="7" s="1"/>
  <c r="M23" i="7"/>
  <c r="M22" i="7" s="1"/>
  <c r="M46" i="7" s="1"/>
  <c r="L30" i="7"/>
  <c r="L23" i="7" s="1"/>
  <c r="L22" i="7" s="1"/>
  <c r="L46" i="7" s="1"/>
  <c r="AB16" i="60"/>
  <c r="Z14" i="60"/>
  <c r="AI19" i="19"/>
  <c r="C36" i="115"/>
  <c r="C25" i="115"/>
  <c r="C24" i="115" s="1"/>
  <c r="W14" i="60"/>
  <c r="N24" i="61"/>
  <c r="N22" i="61" s="1"/>
  <c r="U8" i="60"/>
  <c r="N49" i="41"/>
  <c r="N69" i="41"/>
  <c r="I33" i="7"/>
  <c r="F5" i="164" l="1"/>
  <c r="F11" i="164"/>
  <c r="F8" i="164"/>
  <c r="Y8" i="2"/>
  <c r="X62" i="2"/>
  <c r="X66" i="2"/>
  <c r="X39" i="36"/>
  <c r="Z38" i="36"/>
  <c r="X38" i="36" s="1"/>
  <c r="AI70" i="19"/>
  <c r="AJ70" i="19" s="1"/>
  <c r="AI16" i="19"/>
  <c r="AJ16" i="19" s="1"/>
  <c r="I22" i="42"/>
  <c r="W17" i="41"/>
  <c r="U15" i="41"/>
  <c r="P8" i="41"/>
  <c r="R15" i="41"/>
  <c r="F24" i="39"/>
  <c r="F22" i="39" s="1"/>
  <c r="U89" i="60"/>
  <c r="W8" i="60"/>
  <c r="U7" i="60"/>
  <c r="C17" i="43"/>
  <c r="C14" i="43" s="1"/>
  <c r="C7" i="43" s="1"/>
  <c r="C24" i="43" s="1"/>
  <c r="D14" i="43"/>
  <c r="D7" i="43" s="1"/>
  <c r="E22" i="39"/>
  <c r="U90" i="60"/>
  <c r="O24" i="61"/>
  <c r="AB14" i="60"/>
  <c r="Z8" i="60"/>
  <c r="Z90" i="60" s="1"/>
  <c r="J47" i="42"/>
  <c r="J58" i="42"/>
  <c r="J49" i="42"/>
  <c r="J6" i="42"/>
  <c r="J7" i="42" s="1"/>
  <c r="G17" i="43"/>
  <c r="L33" i="8"/>
  <c r="E42" i="31"/>
  <c r="F40" i="31"/>
  <c r="E41" i="31"/>
  <c r="E40" i="31"/>
  <c r="G18" i="31"/>
  <c r="E30" i="31"/>
  <c r="G30" i="31" s="1"/>
  <c r="E18" i="31"/>
  <c r="E36" i="31" s="1"/>
  <c r="G36" i="31" s="1"/>
  <c r="X54" i="60"/>
  <c r="U52" i="60"/>
  <c r="U54" i="60" s="1"/>
  <c r="AJ15" i="2"/>
  <c r="AH140" i="2"/>
  <c r="AH148" i="2" s="1"/>
  <c r="AH8" i="2"/>
  <c r="F19" i="84"/>
  <c r="E18" i="84"/>
  <c r="F18" i="84" s="1"/>
  <c r="I32" i="42"/>
  <c r="AH111" i="19"/>
  <c r="AH58" i="19"/>
  <c r="AH54" i="19"/>
  <c r="AH56" i="19"/>
  <c r="AH10" i="19"/>
  <c r="AH61" i="19"/>
  <c r="AH72" i="19" s="1"/>
  <c r="M22" i="8"/>
  <c r="M46" i="8" s="1"/>
  <c r="M49" i="8"/>
  <c r="G18" i="85"/>
  <c r="E17" i="85"/>
  <c r="K81" i="41"/>
  <c r="K7" i="41"/>
  <c r="L8" i="41" s="1"/>
  <c r="M8" i="41"/>
  <c r="N51" i="41"/>
  <c r="K48" i="41"/>
  <c r="K62" i="41"/>
  <c r="K64" i="41" s="1"/>
  <c r="P23" i="7"/>
  <c r="P22" i="7" s="1"/>
  <c r="P46" i="7" s="1"/>
  <c r="S46" i="7" s="1"/>
  <c r="S7" i="7" s="1"/>
  <c r="P33" i="7"/>
  <c r="O30" i="7"/>
  <c r="Y28" i="2"/>
  <c r="Y37" i="2"/>
  <c r="Y27" i="2"/>
  <c r="Y11" i="2"/>
  <c r="Y22" i="2"/>
  <c r="Y23" i="2"/>
  <c r="Y29" i="2"/>
  <c r="Y24" i="2"/>
  <c r="Y34" i="2"/>
  <c r="Y39" i="2"/>
  <c r="Y30" i="2"/>
  <c r="Y32" i="2"/>
  <c r="Y21" i="2"/>
  <c r="Y12" i="2"/>
  <c r="Y25" i="2"/>
  <c r="Y36" i="2"/>
  <c r="Y16" i="2"/>
  <c r="Y18" i="2"/>
  <c r="Y7" i="2"/>
  <c r="Y10" i="2"/>
  <c r="Y31" i="2"/>
  <c r="Y26" i="2"/>
  <c r="Z7" i="2"/>
  <c r="Y20" i="2"/>
  <c r="Y35" i="2"/>
  <c r="Y13" i="2"/>
  <c r="Y19" i="2"/>
  <c r="Y123" i="2"/>
  <c r="C11" i="86"/>
  <c r="Y9" i="2"/>
  <c r="D54" i="123"/>
  <c r="D55" i="123" s="1"/>
  <c r="D54" i="112"/>
  <c r="D55" i="112" s="1"/>
  <c r="D54" i="118"/>
  <c r="D55" i="118" s="1"/>
  <c r="Y17" i="2"/>
  <c r="Y15" i="2"/>
  <c r="J45" i="114"/>
  <c r="AH71" i="19"/>
  <c r="L49" i="8"/>
  <c r="L22" i="8"/>
  <c r="L46" i="8" s="1"/>
  <c r="J46" i="8"/>
  <c r="I22" i="8"/>
  <c r="P23" i="8"/>
  <c r="O30" i="8"/>
  <c r="O23" i="8" s="1"/>
  <c r="R23" i="8" s="1"/>
  <c r="P33" i="8"/>
  <c r="S33" i="8" s="1"/>
  <c r="AD124" i="2"/>
  <c r="AE8" i="2"/>
  <c r="AC7" i="2"/>
  <c r="AC129" i="2"/>
  <c r="AC136" i="2" s="1"/>
  <c r="I21" i="114"/>
  <c r="N57" i="61"/>
  <c r="N52" i="61"/>
  <c r="N49" i="61"/>
  <c r="N50" i="61" s="1"/>
  <c r="N21" i="61"/>
  <c r="AM14" i="60"/>
  <c r="AM8" i="60" s="1"/>
  <c r="AM7" i="60" s="1"/>
  <c r="AR16" i="60"/>
  <c r="AJ16" i="60"/>
  <c r="O29" i="114"/>
  <c r="O22" i="114" s="1"/>
  <c r="O21" i="114" s="1"/>
  <c r="O45" i="114" s="1"/>
  <c r="P32" i="114"/>
  <c r="P22" i="114"/>
  <c r="P21" i="114" s="1"/>
  <c r="P45" i="114" s="1"/>
  <c r="Y148" i="2"/>
  <c r="S30" i="8"/>
  <c r="P29" i="42"/>
  <c r="X8" i="41"/>
  <c r="X7" i="41" s="1"/>
  <c r="AJ19" i="19"/>
  <c r="AG16" i="60"/>
  <c r="AE14" i="60"/>
  <c r="AO19" i="19"/>
  <c r="L29" i="42"/>
  <c r="L22" i="42" s="1"/>
  <c r="L21" i="42" s="1"/>
  <c r="L45" i="42" s="1"/>
  <c r="M22" i="42"/>
  <c r="M21" i="42" s="1"/>
  <c r="M45" i="42" s="1"/>
  <c r="M32" i="42"/>
  <c r="L32" i="42" s="1"/>
  <c r="S29" i="114"/>
  <c r="AD8" i="2" l="1"/>
  <c r="G5" i="164"/>
  <c r="AE38" i="36"/>
  <c r="AC38" i="36"/>
  <c r="AF38" i="36"/>
  <c r="AD38" i="36"/>
  <c r="AE39" i="36"/>
  <c r="AC39" i="36"/>
  <c r="AF39" i="36"/>
  <c r="AD39" i="36"/>
  <c r="S22" i="114"/>
  <c r="N50" i="60"/>
  <c r="N52" i="60" s="1"/>
  <c r="N65" i="60" s="1"/>
  <c r="T7" i="7"/>
  <c r="T8" i="7" s="1"/>
  <c r="S8" i="7"/>
  <c r="L6" i="42"/>
  <c r="L49" i="42"/>
  <c r="AJ14" i="60"/>
  <c r="AL16" i="60"/>
  <c r="P7" i="41"/>
  <c r="P81" i="41"/>
  <c r="R8" i="41"/>
  <c r="I46" i="8"/>
  <c r="E32" i="85"/>
  <c r="E34" i="85" s="1"/>
  <c r="F17" i="85"/>
  <c r="G17" i="85"/>
  <c r="AN16" i="19"/>
  <c r="AJ10" i="19"/>
  <c r="AM16" i="19" s="1"/>
  <c r="P82" i="41"/>
  <c r="AC137" i="2"/>
  <c r="AC138" i="2" s="1"/>
  <c r="AD148" i="2" s="1"/>
  <c r="AY128" i="19"/>
  <c r="AY165" i="19"/>
  <c r="AY108" i="19"/>
  <c r="AY123" i="19"/>
  <c r="AY145" i="19"/>
  <c r="AY164" i="19"/>
  <c r="AY53" i="19"/>
  <c r="AY109" i="19"/>
  <c r="AY68" i="19"/>
  <c r="AY125" i="19"/>
  <c r="AY157" i="19"/>
  <c r="AY175" i="19"/>
  <c r="AY27" i="19"/>
  <c r="AY101" i="19"/>
  <c r="AY81" i="19"/>
  <c r="AY176" i="19"/>
  <c r="AY25" i="19"/>
  <c r="AY89" i="19"/>
  <c r="AY161" i="19"/>
  <c r="AY133" i="19"/>
  <c r="AY77" i="19"/>
  <c r="AY30" i="19"/>
  <c r="AY139" i="19"/>
  <c r="AY44" i="19"/>
  <c r="AY129" i="19"/>
  <c r="AY99" i="19"/>
  <c r="AY33" i="19"/>
  <c r="AY16" i="19"/>
  <c r="AY59" i="19"/>
  <c r="AY73" i="19"/>
  <c r="AY178" i="19"/>
  <c r="AY93" i="19"/>
  <c r="AY48" i="19"/>
  <c r="AY153" i="19"/>
  <c r="AY35" i="19"/>
  <c r="AY135" i="19"/>
  <c r="AY137" i="19"/>
  <c r="AY28" i="19"/>
  <c r="AY84" i="19"/>
  <c r="AY131" i="19"/>
  <c r="AY171" i="19"/>
  <c r="AY78" i="19"/>
  <c r="AY52" i="19"/>
  <c r="AY150" i="19"/>
  <c r="AY50" i="19"/>
  <c r="AY18" i="19"/>
  <c r="AY127" i="19"/>
  <c r="AY134" i="19"/>
  <c r="AY67" i="19"/>
  <c r="AY86" i="19"/>
  <c r="AY121" i="19"/>
  <c r="AY156" i="19"/>
  <c r="AY23" i="19"/>
  <c r="AY46" i="19"/>
  <c r="AY80" i="19"/>
  <c r="AY122" i="19"/>
  <c r="AY162" i="19"/>
  <c r="AY155" i="19"/>
  <c r="AY102" i="19"/>
  <c r="AY76" i="19"/>
  <c r="AY41" i="19"/>
  <c r="AY31" i="19"/>
  <c r="AY47" i="19"/>
  <c r="AY45" i="19"/>
  <c r="AY29" i="19"/>
  <c r="AY96" i="19"/>
  <c r="AY158" i="19"/>
  <c r="AY26" i="19"/>
  <c r="AY115" i="19"/>
  <c r="AY95" i="19"/>
  <c r="AY32" i="19"/>
  <c r="AY166" i="19"/>
  <c r="AY167" i="19"/>
  <c r="AY49" i="19"/>
  <c r="AY172" i="19"/>
  <c r="AY22" i="19"/>
  <c r="AY43" i="19"/>
  <c r="AY83" i="19"/>
  <c r="AY21" i="19"/>
  <c r="AY132" i="19"/>
  <c r="AY168" i="19"/>
  <c r="AY98" i="19"/>
  <c r="AY60" i="19"/>
  <c r="AY124" i="19"/>
  <c r="AY130" i="19"/>
  <c r="AY17" i="19"/>
  <c r="AY24" i="19"/>
  <c r="AY65" i="19"/>
  <c r="AY151" i="19"/>
  <c r="AY36" i="19"/>
  <c r="AY169" i="19"/>
  <c r="AY90" i="19"/>
  <c r="AY20" i="19"/>
  <c r="AY126" i="19"/>
  <c r="AY74" i="19"/>
  <c r="AY120" i="19"/>
  <c r="AY159" i="19"/>
  <c r="AY136" i="19"/>
  <c r="AY51" i="19"/>
  <c r="AY55" i="19"/>
  <c r="AY114" i="19"/>
  <c r="AY160" i="19"/>
  <c r="AY42" i="19"/>
  <c r="AY64" i="19"/>
  <c r="AY148" i="19"/>
  <c r="AY147" i="19"/>
  <c r="AI54" i="19"/>
  <c r="AJ54" i="19" s="1"/>
  <c r="AY179" i="19"/>
  <c r="AY163" i="19"/>
  <c r="AY177" i="19"/>
  <c r="AY87" i="19"/>
  <c r="AY170" i="19"/>
  <c r="AY173" i="19"/>
  <c r="AY174" i="19"/>
  <c r="AI61" i="19"/>
  <c r="AI72" i="19" s="1"/>
  <c r="AJ72" i="19" s="1"/>
  <c r="AY92" i="19"/>
  <c r="AI56" i="19"/>
  <c r="AJ56" i="19" s="1"/>
  <c r="AI58" i="19"/>
  <c r="AJ58" i="19" s="1"/>
  <c r="AI10" i="19"/>
  <c r="AZ70" i="19" s="1"/>
  <c r="AI111" i="19"/>
  <c r="AJ111" i="19" s="1"/>
  <c r="G14" i="43"/>
  <c r="G7" i="43" s="1"/>
  <c r="F17" i="43"/>
  <c r="F14" i="43" s="1"/>
  <c r="F7" i="43" s="1"/>
  <c r="F24" i="43" s="1"/>
  <c r="O22" i="61"/>
  <c r="W26" i="61" s="1"/>
  <c r="P24" i="61"/>
  <c r="AT19" i="19"/>
  <c r="AO16" i="19"/>
  <c r="I7" i="42"/>
  <c r="X32" i="42" s="1"/>
  <c r="Y32" i="42"/>
  <c r="Y33" i="42" s="1"/>
  <c r="Y36" i="42" s="1"/>
  <c r="Y37" i="42" s="1"/>
  <c r="J51" i="42"/>
  <c r="J52" i="42" s="1"/>
  <c r="I21" i="42"/>
  <c r="I45" i="42" s="1"/>
  <c r="O32" i="114"/>
  <c r="R32" i="114" s="1"/>
  <c r="S32" i="114"/>
  <c r="AE7" i="2"/>
  <c r="AD24" i="2"/>
  <c r="AD16" i="2"/>
  <c r="AD34" i="2"/>
  <c r="AD35" i="2"/>
  <c r="AD39" i="2"/>
  <c r="AD25" i="2"/>
  <c r="AD27" i="2"/>
  <c r="AD31" i="2"/>
  <c r="AD23" i="2"/>
  <c r="AD123" i="2"/>
  <c r="AD19" i="2"/>
  <c r="AD20" i="2"/>
  <c r="AD12" i="2"/>
  <c r="AD28" i="2"/>
  <c r="AD10" i="2"/>
  <c r="AD29" i="2"/>
  <c r="AD36" i="2"/>
  <c r="AD30" i="2"/>
  <c r="AD7" i="2"/>
  <c r="AD37" i="2"/>
  <c r="AD11" i="2"/>
  <c r="AD18" i="2"/>
  <c r="AD9" i="2"/>
  <c r="AD26" i="2"/>
  <c r="AD13" i="2"/>
  <c r="AD22" i="2"/>
  <c r="AD21" i="2"/>
  <c r="AD32" i="2"/>
  <c r="AD17" i="2"/>
  <c r="AD15" i="2"/>
  <c r="AN70" i="19"/>
  <c r="AH112" i="19"/>
  <c r="U8" i="41"/>
  <c r="W15" i="41"/>
  <c r="G24" i="39"/>
  <c r="N45" i="41"/>
  <c r="AY70" i="19"/>
  <c r="AI71" i="19"/>
  <c r="AK71" i="19" s="1"/>
  <c r="I61" i="42"/>
  <c r="J22" i="39"/>
  <c r="E21" i="39"/>
  <c r="E48" i="39" s="1"/>
  <c r="R21" i="114"/>
  <c r="I45" i="114"/>
  <c r="R45" i="114" s="1"/>
  <c r="J18" i="31"/>
  <c r="G17" i="31"/>
  <c r="AO16" i="60"/>
  <c r="AW16" i="60"/>
  <c r="AR14" i="60"/>
  <c r="AR8" i="60" s="1"/>
  <c r="AR7" i="60" s="1"/>
  <c r="AE8" i="60"/>
  <c r="Q24" i="61"/>
  <c r="AG14" i="60"/>
  <c r="AN19" i="19"/>
  <c r="R30" i="8"/>
  <c r="S45" i="114"/>
  <c r="S6" i="114" s="1"/>
  <c r="O23" i="7"/>
  <c r="O22" i="7" s="1"/>
  <c r="O46" i="7" s="1"/>
  <c r="R46" i="7" s="1"/>
  <c r="R30" i="7"/>
  <c r="R23" i="7" s="1"/>
  <c r="R22" i="7" s="1"/>
  <c r="AH91" i="19"/>
  <c r="AH62" i="19"/>
  <c r="AH97" i="19"/>
  <c r="AH75" i="19"/>
  <c r="AH88" i="19"/>
  <c r="AH103" i="19"/>
  <c r="AH79" i="19"/>
  <c r="AH82" i="19"/>
  <c r="AH69" i="19"/>
  <c r="AH66" i="19"/>
  <c r="AH85" i="19"/>
  <c r="AH63" i="19"/>
  <c r="AH94" i="19"/>
  <c r="AH100" i="19"/>
  <c r="Z89" i="60"/>
  <c r="Z7" i="60"/>
  <c r="AB8" i="60"/>
  <c r="AY19" i="19"/>
  <c r="O49" i="8"/>
  <c r="O22" i="8"/>
  <c r="O46" i="8" s="1"/>
  <c r="V27" i="60"/>
  <c r="V29" i="60"/>
  <c r="V22" i="60"/>
  <c r="V15" i="60"/>
  <c r="V26" i="60"/>
  <c r="V24" i="60"/>
  <c r="V19" i="60"/>
  <c r="V17" i="60"/>
  <c r="V28" i="60"/>
  <c r="V11" i="60"/>
  <c r="V18" i="60"/>
  <c r="V21" i="60"/>
  <c r="V12" i="60"/>
  <c r="W7" i="60"/>
  <c r="V7" i="60"/>
  <c r="V23" i="60"/>
  <c r="U41" i="60"/>
  <c r="U2" i="60"/>
  <c r="V10" i="60"/>
  <c r="V20" i="60"/>
  <c r="V25" i="60"/>
  <c r="V9" i="60"/>
  <c r="AA9" i="60"/>
  <c r="V16" i="60"/>
  <c r="V14" i="60"/>
  <c r="P49" i="8"/>
  <c r="P22" i="8"/>
  <c r="AH7" i="2"/>
  <c r="AJ8" i="2"/>
  <c r="AI124" i="2"/>
  <c r="AH129" i="2"/>
  <c r="AH136" i="2" s="1"/>
  <c r="M47" i="42"/>
  <c r="M49" i="42"/>
  <c r="M6" i="42"/>
  <c r="M7" i="42" s="1"/>
  <c r="P32" i="42"/>
  <c r="O32" i="42" s="1"/>
  <c r="R32" i="42" s="1"/>
  <c r="O29" i="42"/>
  <c r="O22" i="42" s="1"/>
  <c r="O21" i="42" s="1"/>
  <c r="O45" i="42" s="1"/>
  <c r="P22" i="42"/>
  <c r="P21" i="42" s="1"/>
  <c r="P45" i="42" s="1"/>
  <c r="S29" i="42"/>
  <c r="S22" i="42" s="1"/>
  <c r="S21" i="42" s="1"/>
  <c r="S23" i="8"/>
  <c r="R22" i="114"/>
  <c r="O33" i="8"/>
  <c r="R33" i="8" s="1"/>
  <c r="J17" i="43"/>
  <c r="S21" i="114"/>
  <c r="O33" i="7"/>
  <c r="R33" i="7" s="1"/>
  <c r="S33" i="7"/>
  <c r="L22" i="41"/>
  <c r="L10" i="41"/>
  <c r="L37" i="41"/>
  <c r="Q35" i="41"/>
  <c r="L39" i="41"/>
  <c r="P84" i="41"/>
  <c r="L16" i="41"/>
  <c r="Q36" i="41"/>
  <c r="L24" i="41"/>
  <c r="L7" i="41"/>
  <c r="L30" i="41"/>
  <c r="L26" i="41"/>
  <c r="L12" i="41"/>
  <c r="L18" i="41"/>
  <c r="V37" i="41"/>
  <c r="L35" i="41"/>
  <c r="Q39" i="41"/>
  <c r="L25" i="41"/>
  <c r="V39" i="41"/>
  <c r="L20" i="41"/>
  <c r="L11" i="41"/>
  <c r="L21" i="41"/>
  <c r="L9" i="41"/>
  <c r="L28" i="41"/>
  <c r="L23" i="41"/>
  <c r="K61" i="41"/>
  <c r="M7" i="41"/>
  <c r="L19" i="41"/>
  <c r="V36" i="41"/>
  <c r="L27" i="41"/>
  <c r="Q37" i="41"/>
  <c r="L29" i="41"/>
  <c r="L36" i="41"/>
  <c r="L17" i="41"/>
  <c r="L15" i="41"/>
  <c r="AH154" i="19"/>
  <c r="AH105" i="19"/>
  <c r="AH8" i="19"/>
  <c r="AH57" i="19"/>
  <c r="AH104" i="19"/>
  <c r="K22" i="39"/>
  <c r="F21" i="39"/>
  <c r="F48" i="39" s="1"/>
  <c r="R29" i="114"/>
  <c r="G8" i="164" l="1"/>
  <c r="G11" i="164"/>
  <c r="AM70" i="19"/>
  <c r="AM19" i="19"/>
  <c r="AJ61" i="19"/>
  <c r="AN61" i="19" s="1"/>
  <c r="E17" i="31"/>
  <c r="S32" i="42"/>
  <c r="R8" i="7"/>
  <c r="AN72" i="19"/>
  <c r="AM72" i="19"/>
  <c r="AN58" i="19"/>
  <c r="AM58" i="19"/>
  <c r="V24" i="61"/>
  <c r="Q22" i="61"/>
  <c r="AH106" i="19"/>
  <c r="AH116" i="19"/>
  <c r="AH117" i="19"/>
  <c r="AH110" i="19"/>
  <c r="AH107" i="19"/>
  <c r="AX19" i="19"/>
  <c r="AZ29" i="19"/>
  <c r="AZ98" i="19"/>
  <c r="AZ24" i="19"/>
  <c r="AZ21" i="19"/>
  <c r="AZ95" i="19"/>
  <c r="AZ45" i="19"/>
  <c r="AZ32" i="19"/>
  <c r="AZ87" i="19"/>
  <c r="AZ43" i="19"/>
  <c r="AZ83" i="19"/>
  <c r="AZ89" i="19"/>
  <c r="AZ46" i="19"/>
  <c r="AZ102" i="19"/>
  <c r="AZ60" i="19"/>
  <c r="AZ59" i="19"/>
  <c r="AZ96" i="19"/>
  <c r="AZ13" i="19"/>
  <c r="AZ10" i="19"/>
  <c r="AZ20" i="19"/>
  <c r="AZ81" i="19"/>
  <c r="AZ50" i="19"/>
  <c r="AZ90" i="19"/>
  <c r="AZ11" i="19"/>
  <c r="AZ123" i="19"/>
  <c r="AZ74" i="19"/>
  <c r="AZ64" i="19"/>
  <c r="AZ22" i="19"/>
  <c r="AZ84" i="19"/>
  <c r="AZ23" i="19"/>
  <c r="AZ73" i="19"/>
  <c r="AZ126" i="19"/>
  <c r="AZ35" i="19"/>
  <c r="AZ44" i="19"/>
  <c r="AZ17" i="19"/>
  <c r="AZ42" i="19"/>
  <c r="AZ101" i="19"/>
  <c r="AZ78" i="19"/>
  <c r="AZ25" i="19"/>
  <c r="AZ114" i="19"/>
  <c r="AZ86" i="19"/>
  <c r="AZ76" i="19"/>
  <c r="AZ49" i="19"/>
  <c r="AZ139" i="19"/>
  <c r="AZ65" i="19"/>
  <c r="AZ99" i="19"/>
  <c r="AZ55" i="19"/>
  <c r="AZ18" i="19"/>
  <c r="AZ14" i="19"/>
  <c r="AZ33" i="19"/>
  <c r="AZ77" i="19"/>
  <c r="AZ125" i="19"/>
  <c r="AZ53" i="19"/>
  <c r="AZ92" i="19"/>
  <c r="AZ47" i="19"/>
  <c r="AZ51" i="19"/>
  <c r="AZ12" i="19"/>
  <c r="AZ48" i="19"/>
  <c r="AZ124" i="19"/>
  <c r="AZ93" i="19"/>
  <c r="AZ36" i="19"/>
  <c r="AZ26" i="19"/>
  <c r="AZ120" i="19"/>
  <c r="AZ129" i="19"/>
  <c r="AZ30" i="19"/>
  <c r="AZ68" i="19"/>
  <c r="AZ136" i="19"/>
  <c r="AZ108" i="19"/>
  <c r="AZ121" i="19"/>
  <c r="AZ80" i="19"/>
  <c r="AZ127" i="19"/>
  <c r="AZ122" i="19"/>
  <c r="AZ137" i="19"/>
  <c r="AZ67" i="19"/>
  <c r="AZ41" i="19"/>
  <c r="AZ130" i="19"/>
  <c r="AZ135" i="19"/>
  <c r="AZ133" i="19"/>
  <c r="AZ131" i="19"/>
  <c r="AZ28" i="19"/>
  <c r="AZ27" i="19"/>
  <c r="AZ128" i="19"/>
  <c r="AZ31" i="19"/>
  <c r="AZ109" i="19"/>
  <c r="AZ15" i="19"/>
  <c r="AZ115" i="19"/>
  <c r="AZ132" i="19"/>
  <c r="AI104" i="19"/>
  <c r="AJ104" i="19" s="1"/>
  <c r="AZ52" i="19"/>
  <c r="AZ134" i="19"/>
  <c r="AI57" i="19"/>
  <c r="AI105" i="19"/>
  <c r="AI113" i="19" s="1"/>
  <c r="AI154" i="19"/>
  <c r="AY154" i="19" s="1"/>
  <c r="AI8" i="19"/>
  <c r="AZ19" i="19"/>
  <c r="AY71" i="19"/>
  <c r="AZ71" i="19"/>
  <c r="W8" i="41"/>
  <c r="U81" i="41"/>
  <c r="U7" i="41"/>
  <c r="R29" i="42"/>
  <c r="AZ58" i="19"/>
  <c r="AY58" i="19"/>
  <c r="AM10" i="19"/>
  <c r="AM120" i="19"/>
  <c r="AM89" i="19"/>
  <c r="AM46" i="19"/>
  <c r="AM80" i="19"/>
  <c r="AM134" i="19"/>
  <c r="AM60" i="19"/>
  <c r="AM12" i="19"/>
  <c r="AM24" i="19"/>
  <c r="AM53" i="19"/>
  <c r="AM47" i="19"/>
  <c r="AM49" i="19"/>
  <c r="AM84" i="19"/>
  <c r="AM76" i="19"/>
  <c r="AM50" i="19"/>
  <c r="AM17" i="19"/>
  <c r="AM114" i="19"/>
  <c r="AM83" i="19"/>
  <c r="AM27" i="19"/>
  <c r="AM25" i="19"/>
  <c r="AM133" i="19"/>
  <c r="AM135" i="19"/>
  <c r="AM48" i="19"/>
  <c r="AM108" i="19"/>
  <c r="AM74" i="19"/>
  <c r="AM102" i="19"/>
  <c r="AM28" i="19"/>
  <c r="AM65" i="19"/>
  <c r="AM92" i="19"/>
  <c r="AM125" i="19"/>
  <c r="AM77" i="19"/>
  <c r="AM59" i="19"/>
  <c r="AM109" i="19"/>
  <c r="AM64" i="19"/>
  <c r="AM128" i="19"/>
  <c r="AM51" i="19"/>
  <c r="AM136" i="19"/>
  <c r="AM52" i="19"/>
  <c r="AM115" i="19"/>
  <c r="AM20" i="19"/>
  <c r="AM22" i="19"/>
  <c r="AM67" i="19"/>
  <c r="AM96" i="19"/>
  <c r="AM129" i="19"/>
  <c r="AM32" i="19"/>
  <c r="AM137" i="19"/>
  <c r="AM101" i="19"/>
  <c r="AM93" i="19"/>
  <c r="AM99" i="19"/>
  <c r="AM21" i="19"/>
  <c r="AM73" i="19"/>
  <c r="AM15" i="19"/>
  <c r="AM29" i="19"/>
  <c r="AM26" i="19"/>
  <c r="AM124" i="19"/>
  <c r="AM42" i="19"/>
  <c r="AM127" i="19"/>
  <c r="AM122" i="19"/>
  <c r="AM123" i="19"/>
  <c r="AM13" i="19"/>
  <c r="AM86" i="19"/>
  <c r="AM31" i="19"/>
  <c r="AM130" i="19"/>
  <c r="AM11" i="19"/>
  <c r="AM44" i="19"/>
  <c r="AM41" i="19"/>
  <c r="AM23" i="19"/>
  <c r="AM81" i="19"/>
  <c r="AM78" i="19"/>
  <c r="AM98" i="19"/>
  <c r="AM90" i="19"/>
  <c r="AM45" i="19"/>
  <c r="AM95" i="19"/>
  <c r="AM14" i="19"/>
  <c r="AM55" i="19"/>
  <c r="AM43" i="19"/>
  <c r="AM33" i="19"/>
  <c r="AM68" i="19"/>
  <c r="AM30" i="19"/>
  <c r="AM87" i="19"/>
  <c r="AM132" i="19"/>
  <c r="AM121" i="19"/>
  <c r="AM18" i="19"/>
  <c r="AM35" i="19"/>
  <c r="AM126" i="19"/>
  <c r="AJ8" i="19"/>
  <c r="AM131" i="19"/>
  <c r="AM139" i="19"/>
  <c r="R46" i="8"/>
  <c r="AJ8" i="60"/>
  <c r="AL14" i="60"/>
  <c r="AY72" i="19"/>
  <c r="AZ72" i="19"/>
  <c r="U82" i="41"/>
  <c r="AY56" i="19"/>
  <c r="AZ56" i="19"/>
  <c r="R22" i="8"/>
  <c r="AM56" i="19"/>
  <c r="AN56" i="19"/>
  <c r="T6" i="114"/>
  <c r="T7" i="114" s="1"/>
  <c r="S7" i="114"/>
  <c r="AE7" i="60"/>
  <c r="AF8" i="60" s="1"/>
  <c r="AG8" i="60"/>
  <c r="AH113" i="19"/>
  <c r="I47" i="42"/>
  <c r="I49" i="42"/>
  <c r="I6" i="42"/>
  <c r="I56" i="42" s="1"/>
  <c r="I57" i="42" s="1"/>
  <c r="I59" i="42" s="1"/>
  <c r="R45" i="42"/>
  <c r="R6" i="42" s="1"/>
  <c r="P49" i="42"/>
  <c r="P47" i="42"/>
  <c r="P6" i="42"/>
  <c r="P7" i="42" s="1"/>
  <c r="V8" i="60"/>
  <c r="AN54" i="19"/>
  <c r="AM54" i="19"/>
  <c r="AN111" i="19"/>
  <c r="AM111" i="19"/>
  <c r="O52" i="61"/>
  <c r="O57" i="61"/>
  <c r="O49" i="61"/>
  <c r="O50" i="61" s="1"/>
  <c r="O21" i="61"/>
  <c r="P21" i="61" s="1"/>
  <c r="P22" i="61"/>
  <c r="AI91" i="19"/>
  <c r="AJ91" i="19" s="1"/>
  <c r="AI85" i="19"/>
  <c r="AJ85" i="19" s="1"/>
  <c r="AZ61" i="19"/>
  <c r="AI62" i="19"/>
  <c r="AI100" i="19"/>
  <c r="AJ100" i="19" s="1"/>
  <c r="AI82" i="19"/>
  <c r="AJ82" i="19" s="1"/>
  <c r="AI66" i="19"/>
  <c r="AJ66" i="19" s="1"/>
  <c r="AI88" i="19"/>
  <c r="AJ88" i="19" s="1"/>
  <c r="AI97" i="19"/>
  <c r="AJ97" i="19" s="1"/>
  <c r="AI103" i="19"/>
  <c r="AJ103" i="19" s="1"/>
  <c r="AY61" i="19"/>
  <c r="AI75" i="19"/>
  <c r="AJ75" i="19" s="1"/>
  <c r="AI63" i="19"/>
  <c r="AJ63" i="19" s="1"/>
  <c r="AI94" i="19"/>
  <c r="AJ94" i="19" s="1"/>
  <c r="AI79" i="19"/>
  <c r="AJ79" i="19" s="1"/>
  <c r="AI69" i="19"/>
  <c r="AJ69" i="19" s="1"/>
  <c r="AZ54" i="19"/>
  <c r="AY54" i="19"/>
  <c r="AZ16" i="19"/>
  <c r="S45" i="42"/>
  <c r="AH149" i="19"/>
  <c r="AH152" i="19"/>
  <c r="AH138" i="19"/>
  <c r="AH9" i="19"/>
  <c r="AH146" i="19"/>
  <c r="O6" i="42"/>
  <c r="O49" i="42"/>
  <c r="Q9" i="41"/>
  <c r="Q18" i="41"/>
  <c r="Q26" i="41"/>
  <c r="Q19" i="41"/>
  <c r="Q16" i="41"/>
  <c r="Q7" i="41"/>
  <c r="Q23" i="41"/>
  <c r="Q21" i="41"/>
  <c r="Q24" i="41"/>
  <c r="Q30" i="41"/>
  <c r="Q20" i="41"/>
  <c r="Q12" i="41"/>
  <c r="Q28" i="41"/>
  <c r="Q11" i="41"/>
  <c r="Q25" i="41"/>
  <c r="Q10" i="41"/>
  <c r="Q22" i="41"/>
  <c r="Q27" i="41"/>
  <c r="Q29" i="41"/>
  <c r="R7" i="41"/>
  <c r="Q17" i="41"/>
  <c r="Q15" i="41"/>
  <c r="AI19" i="2"/>
  <c r="AI36" i="2"/>
  <c r="AI28" i="2"/>
  <c r="AI26" i="2"/>
  <c r="AI16" i="2"/>
  <c r="AJ7" i="2"/>
  <c r="AI23" i="2"/>
  <c r="AI22" i="2"/>
  <c r="AI30" i="2"/>
  <c r="AI34" i="2"/>
  <c r="AI25" i="2"/>
  <c r="AI21" i="2"/>
  <c r="AI35" i="2"/>
  <c r="AI12" i="2"/>
  <c r="AI29" i="2"/>
  <c r="AI18" i="2"/>
  <c r="AI20" i="2"/>
  <c r="AI123" i="2"/>
  <c r="AI24" i="2"/>
  <c r="AI9" i="2"/>
  <c r="AI37" i="2"/>
  <c r="AI11" i="2"/>
  <c r="AI7" i="2"/>
  <c r="AI39" i="2"/>
  <c r="AI10" i="2"/>
  <c r="AI13" i="2"/>
  <c r="AI32" i="2"/>
  <c r="AI31" i="2"/>
  <c r="AI27" i="2"/>
  <c r="AI17" i="2"/>
  <c r="AI15" i="2"/>
  <c r="AI8" i="2"/>
  <c r="AT16" i="60"/>
  <c r="BB16" i="60"/>
  <c r="AW14" i="60"/>
  <c r="AW8" i="60" s="1"/>
  <c r="AW7" i="60" s="1"/>
  <c r="G22" i="39"/>
  <c r="H24" i="39"/>
  <c r="H22" i="39" s="1"/>
  <c r="N42" i="41"/>
  <c r="N44" i="41" s="1"/>
  <c r="Q8" i="41"/>
  <c r="AH137" i="2"/>
  <c r="AH138" i="2" s="1"/>
  <c r="AI148" i="2" s="1"/>
  <c r="J14" i="43"/>
  <c r="J7" i="43" s="1"/>
  <c r="I17" i="43"/>
  <c r="I14" i="43" s="1"/>
  <c r="I7" i="43" s="1"/>
  <c r="I24" i="43" s="1"/>
  <c r="L7" i="42"/>
  <c r="AA32" i="42" s="1"/>
  <c r="AB32" i="42"/>
  <c r="AB33" i="42" s="1"/>
  <c r="AB36" i="42" s="1"/>
  <c r="AB37" i="42" s="1"/>
  <c r="P46" i="8"/>
  <c r="S46" i="8" s="1"/>
  <c r="S7" i="8" s="1"/>
  <c r="S22" i="8"/>
  <c r="AA18" i="60"/>
  <c r="AA24" i="60"/>
  <c r="AA10" i="60"/>
  <c r="AA28" i="60"/>
  <c r="AA15" i="60"/>
  <c r="AA30" i="60"/>
  <c r="AA23" i="60"/>
  <c r="AA12" i="60"/>
  <c r="AA25" i="60"/>
  <c r="AA11" i="60"/>
  <c r="AA34" i="60"/>
  <c r="AB7" i="60"/>
  <c r="AA20" i="60"/>
  <c r="AA27" i="60"/>
  <c r="AA7" i="60"/>
  <c r="Z2" i="60"/>
  <c r="AA26" i="60"/>
  <c r="AA17" i="60"/>
  <c r="AA19" i="60"/>
  <c r="AA22" i="60"/>
  <c r="AA21" i="60"/>
  <c r="AA29" i="60"/>
  <c r="AA16" i="60"/>
  <c r="AA14" i="60"/>
  <c r="AO14" i="60"/>
  <c r="AQ16" i="60"/>
  <c r="AT16" i="19"/>
  <c r="AO10" i="19"/>
  <c r="AO8" i="19" s="1"/>
  <c r="AY111" i="19"/>
  <c r="AZ111" i="19"/>
  <c r="AI112" i="19"/>
  <c r="AJ112" i="19" s="1"/>
  <c r="AJ71" i="19"/>
  <c r="AM61" i="19" l="1"/>
  <c r="AL61" i="19"/>
  <c r="AJ154" i="19"/>
  <c r="AA8" i="60"/>
  <c r="AL56" i="19"/>
  <c r="AL111" i="19"/>
  <c r="AL54" i="19"/>
  <c r="AM69" i="19"/>
  <c r="AL69" i="19"/>
  <c r="AN69" i="19"/>
  <c r="AL112" i="19"/>
  <c r="AN112" i="19"/>
  <c r="AM112" i="19"/>
  <c r="AM79" i="19"/>
  <c r="AN79" i="19"/>
  <c r="AL79" i="19"/>
  <c r="AN75" i="19"/>
  <c r="AL75" i="19"/>
  <c r="AM75" i="19"/>
  <c r="AZ62" i="19"/>
  <c r="AY62" i="19"/>
  <c r="AT8" i="19"/>
  <c r="AO9" i="19"/>
  <c r="AP9" i="19"/>
  <c r="AN66" i="19"/>
  <c r="AM66" i="19"/>
  <c r="AL66" i="19"/>
  <c r="V11" i="41"/>
  <c r="V27" i="41"/>
  <c r="V31" i="41"/>
  <c r="V21" i="41"/>
  <c r="V35" i="41"/>
  <c r="V28" i="41"/>
  <c r="V9" i="41"/>
  <c r="V20" i="41"/>
  <c r="V24" i="41"/>
  <c r="V18" i="41"/>
  <c r="V25" i="41"/>
  <c r="V19" i="41"/>
  <c r="V26" i="41"/>
  <c r="V29" i="41"/>
  <c r="W7" i="41"/>
  <c r="V12" i="41"/>
  <c r="V7" i="41"/>
  <c r="V22" i="41"/>
  <c r="V10" i="41"/>
  <c r="V16" i="41"/>
  <c r="V30" i="41"/>
  <c r="V23" i="41"/>
  <c r="V17" i="41"/>
  <c r="V15" i="41"/>
  <c r="AZ113" i="19"/>
  <c r="AY113" i="19"/>
  <c r="AL100" i="19"/>
  <c r="AM100" i="19"/>
  <c r="AN100" i="19"/>
  <c r="N46" i="41"/>
  <c r="N57" i="41" s="1"/>
  <c r="AN103" i="19"/>
  <c r="AM103" i="19"/>
  <c r="AL103" i="19"/>
  <c r="AZ63" i="19"/>
  <c r="AY63" i="19"/>
  <c r="AZ100" i="19"/>
  <c r="AY100" i="19"/>
  <c r="AZ105" i="19"/>
  <c r="AI110" i="19"/>
  <c r="AJ110" i="19" s="1"/>
  <c r="AI106" i="19"/>
  <c r="AK106" i="19" s="1"/>
  <c r="AY105" i="19"/>
  <c r="AI107" i="19"/>
  <c r="AJ107" i="19" s="1"/>
  <c r="AI117" i="19"/>
  <c r="AJ117" i="19" s="1"/>
  <c r="AI116" i="19"/>
  <c r="AJ116" i="19" s="1"/>
  <c r="Q21" i="61"/>
  <c r="V21" i="61" s="1"/>
  <c r="Q57" i="61"/>
  <c r="Q52" i="61"/>
  <c r="V22" i="61"/>
  <c r="X24" i="61" s="1"/>
  <c r="Q49" i="61"/>
  <c r="Q50" i="61" s="1"/>
  <c r="AY75" i="19"/>
  <c r="AZ75" i="19"/>
  <c r="AY57" i="19"/>
  <c r="AZ57" i="19"/>
  <c r="T7" i="8"/>
  <c r="T8" i="8" s="1"/>
  <c r="S8" i="8"/>
  <c r="AM94" i="19"/>
  <c r="AL94" i="19"/>
  <c r="AN94" i="19"/>
  <c r="AX16" i="19"/>
  <c r="AT10" i="19"/>
  <c r="AW16" i="19" s="1"/>
  <c r="AJ62" i="19"/>
  <c r="AY103" i="19"/>
  <c r="AZ103" i="19"/>
  <c r="AZ85" i="19"/>
  <c r="AY85" i="19"/>
  <c r="AE32" i="42"/>
  <c r="AE33" i="42" s="1"/>
  <c r="AE36" i="42" s="1"/>
  <c r="AE37" i="42" s="1"/>
  <c r="O7" i="42"/>
  <c r="AD32" i="42" s="1"/>
  <c r="AJ113" i="19"/>
  <c r="AL42" i="19"/>
  <c r="AL52" i="19"/>
  <c r="AL80" i="19"/>
  <c r="AN8" i="19"/>
  <c r="AL51" i="19"/>
  <c r="AL134" i="19"/>
  <c r="AL73" i="19"/>
  <c r="AL101" i="19"/>
  <c r="AL78" i="19"/>
  <c r="AL26" i="19"/>
  <c r="AL53" i="19"/>
  <c r="AL59" i="19"/>
  <c r="AL121" i="19"/>
  <c r="AL125" i="19"/>
  <c r="AL27" i="19"/>
  <c r="AL67" i="19"/>
  <c r="AL32" i="19"/>
  <c r="AL74" i="19"/>
  <c r="AL95" i="19"/>
  <c r="AL48" i="19"/>
  <c r="AL122" i="19"/>
  <c r="AL65" i="19"/>
  <c r="AL11" i="19"/>
  <c r="AL68" i="19"/>
  <c r="AL22" i="19"/>
  <c r="AL99" i="19"/>
  <c r="AL41" i="19"/>
  <c r="AL109" i="19"/>
  <c r="AL14" i="19"/>
  <c r="AL33" i="19"/>
  <c r="AL43" i="19"/>
  <c r="AL133" i="19"/>
  <c r="AL30" i="19"/>
  <c r="AL102" i="19"/>
  <c r="AL49" i="19"/>
  <c r="AL92" i="19"/>
  <c r="AL81" i="19"/>
  <c r="AL120" i="19"/>
  <c r="AL64" i="19"/>
  <c r="AL135" i="19"/>
  <c r="AL29" i="19"/>
  <c r="AL83" i="19"/>
  <c r="AL90" i="19"/>
  <c r="AL17" i="19"/>
  <c r="AL47" i="19"/>
  <c r="AL130" i="19"/>
  <c r="AL76" i="19"/>
  <c r="AL126" i="19"/>
  <c r="AL93" i="19"/>
  <c r="AL28" i="19"/>
  <c r="AL55" i="19"/>
  <c r="AL23" i="19"/>
  <c r="AL60" i="19"/>
  <c r="AL20" i="19"/>
  <c r="AL46" i="19"/>
  <c r="AL86" i="19"/>
  <c r="AL84" i="19"/>
  <c r="AL98" i="19"/>
  <c r="AL45" i="19"/>
  <c r="AL89" i="19"/>
  <c r="AL18" i="19"/>
  <c r="AL129" i="19"/>
  <c r="AL25" i="19"/>
  <c r="AL13" i="19"/>
  <c r="AL87" i="19"/>
  <c r="AL50" i="19"/>
  <c r="AL115" i="19"/>
  <c r="AL132" i="19"/>
  <c r="AL77" i="19"/>
  <c r="AL137" i="19"/>
  <c r="AL31" i="19"/>
  <c r="AL15" i="19"/>
  <c r="AL96" i="19"/>
  <c r="AL21" i="19"/>
  <c r="AL114" i="19"/>
  <c r="AL139" i="19"/>
  <c r="AL124" i="19"/>
  <c r="AL136" i="19"/>
  <c r="AL128" i="19"/>
  <c r="AL35" i="19"/>
  <c r="AL108" i="19"/>
  <c r="AL123" i="19"/>
  <c r="AL44" i="19"/>
  <c r="AL12" i="19"/>
  <c r="AL8" i="19"/>
  <c r="AL127" i="19"/>
  <c r="AL24" i="19"/>
  <c r="AL131" i="19"/>
  <c r="AL16" i="19"/>
  <c r="AL70" i="19"/>
  <c r="AL19" i="19"/>
  <c r="AL58" i="19"/>
  <c r="S47" i="42"/>
  <c r="S49" i="42"/>
  <c r="S6" i="42"/>
  <c r="S7" i="42" s="1"/>
  <c r="R7" i="42" s="1"/>
  <c r="AL88" i="19"/>
  <c r="AM88" i="19"/>
  <c r="AN88" i="19"/>
  <c r="AT14" i="60"/>
  <c r="AV16" i="60"/>
  <c r="AK62" i="19"/>
  <c r="AZ97" i="19"/>
  <c r="AY97" i="19"/>
  <c r="AY91" i="19"/>
  <c r="AZ91" i="19"/>
  <c r="R22" i="42"/>
  <c r="R51" i="42" s="1"/>
  <c r="AN104" i="19"/>
  <c r="AL104" i="19"/>
  <c r="AM104" i="19"/>
  <c r="AY104" i="19"/>
  <c r="AZ104" i="19"/>
  <c r="AH119" i="19"/>
  <c r="AH118" i="19"/>
  <c r="AY16" i="60"/>
  <c r="BB14" i="60"/>
  <c r="BB8" i="60" s="1"/>
  <c r="BB7" i="60" s="1"/>
  <c r="AL82" i="19"/>
  <c r="AM82" i="19"/>
  <c r="AN82" i="19"/>
  <c r="P57" i="61"/>
  <c r="P52" i="61"/>
  <c r="P49" i="61"/>
  <c r="P50" i="61" s="1"/>
  <c r="AQ14" i="60"/>
  <c r="AO8" i="60"/>
  <c r="L22" i="39"/>
  <c r="M22" i="39" s="1"/>
  <c r="G21" i="39"/>
  <c r="G48" i="39" s="1"/>
  <c r="AY79" i="19"/>
  <c r="AZ79" i="19"/>
  <c r="AY66" i="19"/>
  <c r="AZ66" i="19"/>
  <c r="AJ57" i="19"/>
  <c r="AF35" i="60"/>
  <c r="AF9" i="60"/>
  <c r="AF17" i="60"/>
  <c r="AF21" i="60"/>
  <c r="AF36" i="60"/>
  <c r="AF22" i="60"/>
  <c r="AF24" i="60"/>
  <c r="AG7" i="60"/>
  <c r="AE2" i="60"/>
  <c r="AF23" i="60"/>
  <c r="AF7" i="60"/>
  <c r="AF11" i="60"/>
  <c r="AF20" i="60"/>
  <c r="AF15" i="60"/>
  <c r="AF18" i="60"/>
  <c r="AF19" i="60"/>
  <c r="AF33" i="60"/>
  <c r="AF34" i="60"/>
  <c r="AF27" i="60"/>
  <c r="AF30" i="60"/>
  <c r="AF10" i="60"/>
  <c r="AF29" i="60"/>
  <c r="AF28" i="60"/>
  <c r="AF12" i="60"/>
  <c r="AF26" i="60"/>
  <c r="AF25" i="60"/>
  <c r="AF16" i="60"/>
  <c r="AF14" i="60"/>
  <c r="AL8" i="60"/>
  <c r="AJ7" i="60"/>
  <c r="AK8" i="60" s="1"/>
  <c r="V8" i="41"/>
  <c r="AH183" i="19"/>
  <c r="AZ9" i="19"/>
  <c r="AI9" i="19"/>
  <c r="AK9" i="19" s="1"/>
  <c r="AZ8" i="19"/>
  <c r="AI138" i="19"/>
  <c r="AI149" i="19"/>
  <c r="AY149" i="19" s="1"/>
  <c r="AI183" i="19"/>
  <c r="AI152" i="19"/>
  <c r="AY152" i="19" s="1"/>
  <c r="AI146" i="19"/>
  <c r="AY146" i="19" s="1"/>
  <c r="AL72" i="19"/>
  <c r="AL63" i="19"/>
  <c r="AM63" i="19"/>
  <c r="AN63" i="19"/>
  <c r="AM71" i="19"/>
  <c r="AL71" i="19"/>
  <c r="AN71" i="19"/>
  <c r="J24" i="39"/>
  <c r="AZ69" i="19"/>
  <c r="AY69" i="19"/>
  <c r="AY88" i="19"/>
  <c r="AZ88" i="19"/>
  <c r="AY112" i="19"/>
  <c r="AZ112" i="19"/>
  <c r="AL91" i="19"/>
  <c r="AN91" i="19"/>
  <c r="AM91" i="19"/>
  <c r="AN97" i="19"/>
  <c r="AM97" i="19"/>
  <c r="AL97" i="19"/>
  <c r="AN85" i="19"/>
  <c r="AL85" i="19"/>
  <c r="AM85" i="19"/>
  <c r="AK112" i="19"/>
  <c r="AZ94" i="19"/>
  <c r="AY94" i="19"/>
  <c r="AY82" i="19"/>
  <c r="AZ82" i="19"/>
  <c r="R49" i="42"/>
  <c r="J9" i="39"/>
  <c r="R7" i="114"/>
  <c r="AL10" i="19"/>
  <c r="AJ105" i="19"/>
  <c r="AJ149" i="19" l="1"/>
  <c r="AJ106" i="19"/>
  <c r="AN106" i="19" s="1"/>
  <c r="AU9" i="19"/>
  <c r="AL107" i="19"/>
  <c r="AM107" i="19"/>
  <c r="AN107" i="19"/>
  <c r="AI119" i="19"/>
  <c r="AJ119" i="19" s="1"/>
  <c r="AZ117" i="19"/>
  <c r="AY117" i="19"/>
  <c r="AI118" i="19"/>
  <c r="AL57" i="19"/>
  <c r="AM57" i="19"/>
  <c r="AN57" i="19"/>
  <c r="AL110" i="19"/>
  <c r="AM110" i="19"/>
  <c r="AN110" i="19"/>
  <c r="AZ138" i="19"/>
  <c r="AY138" i="19"/>
  <c r="AN116" i="19"/>
  <c r="AM116" i="19"/>
  <c r="AL116" i="19"/>
  <c r="BA16" i="60"/>
  <c r="AY14" i="60"/>
  <c r="AJ146" i="19"/>
  <c r="X23" i="61"/>
  <c r="V49" i="61"/>
  <c r="V50" i="61" s="1"/>
  <c r="V52" i="61"/>
  <c r="AZ106" i="19"/>
  <c r="AY106" i="19"/>
  <c r="AJ138" i="19"/>
  <c r="R50" i="42"/>
  <c r="R21" i="42"/>
  <c r="AM113" i="19"/>
  <c r="AL113" i="19"/>
  <c r="AN113" i="19"/>
  <c r="AM62" i="19"/>
  <c r="AN62" i="19"/>
  <c r="AL62" i="19"/>
  <c r="R8" i="8"/>
  <c r="AY110" i="19"/>
  <c r="AZ110" i="19"/>
  <c r="AQ8" i="60"/>
  <c r="AO7" i="60"/>
  <c r="AM105" i="19"/>
  <c r="AL105" i="19"/>
  <c r="AN105" i="19"/>
  <c r="AV130" i="19"/>
  <c r="AV35" i="19"/>
  <c r="AV93" i="19"/>
  <c r="AV116" i="19"/>
  <c r="AV94" i="19"/>
  <c r="AV91" i="19"/>
  <c r="AV111" i="19"/>
  <c r="AV14" i="19"/>
  <c r="AV20" i="19"/>
  <c r="AV77" i="19"/>
  <c r="AV112" i="19"/>
  <c r="AV13" i="19"/>
  <c r="AV68" i="19"/>
  <c r="AV51" i="19"/>
  <c r="AV134" i="19"/>
  <c r="AV135" i="19"/>
  <c r="AV52" i="19"/>
  <c r="AV50" i="19"/>
  <c r="AV30" i="19"/>
  <c r="AV136" i="19"/>
  <c r="AV89" i="19"/>
  <c r="AV26" i="19"/>
  <c r="AV70" i="19"/>
  <c r="AV107" i="19"/>
  <c r="AV46" i="19"/>
  <c r="AV121" i="19"/>
  <c r="AV79" i="19"/>
  <c r="AV132" i="19"/>
  <c r="AV128" i="19"/>
  <c r="AV69" i="19"/>
  <c r="AV97" i="19"/>
  <c r="AV66" i="19"/>
  <c r="AV29" i="19"/>
  <c r="AV15" i="19"/>
  <c r="AV58" i="19"/>
  <c r="AV124" i="19"/>
  <c r="AV109" i="19"/>
  <c r="AV98" i="19"/>
  <c r="AV127" i="19"/>
  <c r="AV95" i="19"/>
  <c r="AV96" i="19"/>
  <c r="AV139" i="19"/>
  <c r="AV80" i="19"/>
  <c r="AV120" i="19"/>
  <c r="AV133" i="19"/>
  <c r="AV115" i="19"/>
  <c r="AV11" i="19"/>
  <c r="AV110" i="19"/>
  <c r="AV36" i="19"/>
  <c r="AV56" i="19"/>
  <c r="AV86" i="19"/>
  <c r="AV74" i="19"/>
  <c r="AV25" i="19"/>
  <c r="AV102" i="19"/>
  <c r="AV104" i="19"/>
  <c r="AV100" i="19"/>
  <c r="AV12" i="19"/>
  <c r="AV61" i="19"/>
  <c r="AV18" i="19"/>
  <c r="AV108" i="19"/>
  <c r="AV53" i="19"/>
  <c r="AV57" i="19"/>
  <c r="AV84" i="19"/>
  <c r="AV119" i="19"/>
  <c r="AV92" i="19"/>
  <c r="AV78" i="19"/>
  <c r="AV113" i="19"/>
  <c r="AV83" i="19"/>
  <c r="AV44" i="19"/>
  <c r="AV122" i="19"/>
  <c r="AV82" i="19"/>
  <c r="AV47" i="19"/>
  <c r="AV90" i="19"/>
  <c r="AV55" i="19"/>
  <c r="AX8" i="19"/>
  <c r="AV126" i="19"/>
  <c r="AV45" i="19"/>
  <c r="AV31" i="19"/>
  <c r="AV62" i="19"/>
  <c r="AV85" i="19"/>
  <c r="AV49" i="19"/>
  <c r="AV43" i="19"/>
  <c r="AV33" i="19"/>
  <c r="AV125" i="19"/>
  <c r="AV41" i="19"/>
  <c r="AV65" i="19"/>
  <c r="AV28" i="19"/>
  <c r="AV64" i="19"/>
  <c r="AV118" i="19"/>
  <c r="AV72" i="19"/>
  <c r="AV21" i="19"/>
  <c r="AV88" i="19"/>
  <c r="AV76" i="19"/>
  <c r="AV27" i="19"/>
  <c r="AV54" i="19"/>
  <c r="AV23" i="19"/>
  <c r="AV73" i="19"/>
  <c r="AV99" i="19"/>
  <c r="AV137" i="19"/>
  <c r="AV8" i="19"/>
  <c r="AV123" i="19"/>
  <c r="AV103" i="19"/>
  <c r="AV24" i="19"/>
  <c r="AV87" i="19"/>
  <c r="AV106" i="19"/>
  <c r="AV131" i="19"/>
  <c r="AV75" i="19"/>
  <c r="AV17" i="19"/>
  <c r="AV117" i="19"/>
  <c r="AV22" i="19"/>
  <c r="AV42" i="19"/>
  <c r="AV59" i="19"/>
  <c r="AV129" i="19"/>
  <c r="AV81" i="19"/>
  <c r="AV63" i="19"/>
  <c r="AV71" i="19"/>
  <c r="AV101" i="19"/>
  <c r="AV32" i="19"/>
  <c r="AV105" i="19"/>
  <c r="AV67" i="19"/>
  <c r="AV48" i="19"/>
  <c r="AV60" i="19"/>
  <c r="AV114" i="19"/>
  <c r="AV138" i="19"/>
  <c r="AV19" i="19"/>
  <c r="AT8" i="60"/>
  <c r="AV14" i="60"/>
  <c r="AZ107" i="19"/>
  <c r="AY107" i="19"/>
  <c r="AK11" i="60"/>
  <c r="AK9" i="60"/>
  <c r="AK34" i="60"/>
  <c r="AK7" i="60"/>
  <c r="AK29" i="60"/>
  <c r="AK13" i="60"/>
  <c r="AK17" i="60"/>
  <c r="AK12" i="60"/>
  <c r="AJ2" i="60"/>
  <c r="AL7" i="60"/>
  <c r="AK24" i="60"/>
  <c r="AK15" i="60"/>
  <c r="AK25" i="60"/>
  <c r="AK27" i="60"/>
  <c r="AK22" i="60"/>
  <c r="AK28" i="60"/>
  <c r="AK19" i="60"/>
  <c r="AK26" i="60"/>
  <c r="AK36" i="60"/>
  <c r="AK10" i="60"/>
  <c r="AK35" i="60"/>
  <c r="AK30" i="60"/>
  <c r="AK20" i="60"/>
  <c r="AK18" i="60"/>
  <c r="AK21" i="60"/>
  <c r="AK23" i="60"/>
  <c r="AK33" i="60"/>
  <c r="AK16" i="60"/>
  <c r="AK14" i="60"/>
  <c r="J23" i="39"/>
  <c r="H21" i="39"/>
  <c r="H48" i="39" s="1"/>
  <c r="AM106" i="19"/>
  <c r="AJ152" i="19"/>
  <c r="AM117" i="19"/>
  <c r="AL117" i="19"/>
  <c r="AN117" i="19"/>
  <c r="AW53" i="19"/>
  <c r="AW26" i="19"/>
  <c r="AW107" i="19"/>
  <c r="AW20" i="19"/>
  <c r="AW62" i="19"/>
  <c r="AW59" i="19"/>
  <c r="AW113" i="19"/>
  <c r="AW45" i="19"/>
  <c r="AW51" i="19"/>
  <c r="AW124" i="19"/>
  <c r="AW127" i="19"/>
  <c r="AW76" i="19"/>
  <c r="AW91" i="19"/>
  <c r="AW10" i="19"/>
  <c r="AW112" i="19"/>
  <c r="AW87" i="19"/>
  <c r="AW42" i="19"/>
  <c r="AW104" i="19"/>
  <c r="AW36" i="19"/>
  <c r="AW44" i="19"/>
  <c r="AW65" i="19"/>
  <c r="AW134" i="19"/>
  <c r="AW95" i="19"/>
  <c r="AW68" i="19"/>
  <c r="AW98" i="19"/>
  <c r="AW101" i="19"/>
  <c r="AX10" i="19"/>
  <c r="AW96" i="19"/>
  <c r="AW130" i="19"/>
  <c r="AW82" i="19"/>
  <c r="AW18" i="19"/>
  <c r="AW129" i="19"/>
  <c r="AW78" i="19"/>
  <c r="AW33" i="19"/>
  <c r="AW71" i="19"/>
  <c r="AW54" i="19"/>
  <c r="AW30" i="19"/>
  <c r="AW55" i="19"/>
  <c r="AW137" i="19"/>
  <c r="AW97" i="19"/>
  <c r="AW138" i="19"/>
  <c r="AW70" i="19"/>
  <c r="AW123" i="19"/>
  <c r="AW118" i="19"/>
  <c r="AW28" i="19"/>
  <c r="AW102" i="19"/>
  <c r="AW72" i="19"/>
  <c r="AW12" i="19"/>
  <c r="AW92" i="19"/>
  <c r="AW61" i="19"/>
  <c r="AW35" i="19"/>
  <c r="AW23" i="19"/>
  <c r="AW22" i="19"/>
  <c r="AW106" i="19"/>
  <c r="AW74" i="19"/>
  <c r="AW132" i="19"/>
  <c r="AW136" i="19"/>
  <c r="AW135" i="19"/>
  <c r="AW115" i="19"/>
  <c r="AW56" i="19"/>
  <c r="AW86" i="19"/>
  <c r="AW27" i="19"/>
  <c r="AW88" i="19"/>
  <c r="AW43" i="19"/>
  <c r="AW133" i="19"/>
  <c r="AW121" i="19"/>
  <c r="AW117" i="19"/>
  <c r="AW90" i="19"/>
  <c r="AW57" i="19"/>
  <c r="AW85" i="19"/>
  <c r="AW73" i="19"/>
  <c r="AW48" i="19"/>
  <c r="AW116" i="19"/>
  <c r="AW60" i="19"/>
  <c r="AW128" i="19"/>
  <c r="AW126" i="19"/>
  <c r="AW110" i="19"/>
  <c r="AW50" i="19"/>
  <c r="AW94" i="19"/>
  <c r="AW32" i="19"/>
  <c r="AW103" i="19"/>
  <c r="AW46" i="19"/>
  <c r="AW29" i="19"/>
  <c r="AW105" i="19"/>
  <c r="AV10" i="19"/>
  <c r="AW15" i="19"/>
  <c r="AW81" i="19"/>
  <c r="AW119" i="19"/>
  <c r="AW11" i="19"/>
  <c r="AW114" i="19"/>
  <c r="AW125" i="19"/>
  <c r="AW17" i="19"/>
  <c r="AW58" i="19"/>
  <c r="AW31" i="19"/>
  <c r="AW77" i="19"/>
  <c r="AW80" i="19"/>
  <c r="AW25" i="19"/>
  <c r="AW63" i="19"/>
  <c r="AW84" i="19"/>
  <c r="AW139" i="19"/>
  <c r="AW122" i="19"/>
  <c r="AW21" i="19"/>
  <c r="AW79" i="19"/>
  <c r="AW66" i="19"/>
  <c r="AW89" i="19"/>
  <c r="AW14" i="19"/>
  <c r="AW108" i="19"/>
  <c r="AW111" i="19"/>
  <c r="AW47" i="19"/>
  <c r="AW64" i="19"/>
  <c r="AW13" i="19"/>
  <c r="AW120" i="19"/>
  <c r="AW93" i="19"/>
  <c r="AW24" i="19"/>
  <c r="AW69" i="19"/>
  <c r="AW100" i="19"/>
  <c r="AW49" i="19"/>
  <c r="AW83" i="19"/>
  <c r="AW131" i="19"/>
  <c r="AW99" i="19"/>
  <c r="AW41" i="19"/>
  <c r="AW109" i="19"/>
  <c r="AW67" i="19"/>
  <c r="AW75" i="19"/>
  <c r="AW52" i="19"/>
  <c r="AW19" i="19"/>
  <c r="AV16" i="19"/>
  <c r="AZ116" i="19"/>
  <c r="AY116" i="19"/>
  <c r="AL106" i="19" l="1"/>
  <c r="AM119" i="19"/>
  <c r="AL119" i="19"/>
  <c r="AN119" i="19"/>
  <c r="AZ118" i="19"/>
  <c r="AY118" i="19"/>
  <c r="AK118" i="19"/>
  <c r="AP17" i="60"/>
  <c r="AP26" i="60"/>
  <c r="AP23" i="60"/>
  <c r="AP10" i="60"/>
  <c r="AP33" i="60"/>
  <c r="AP20" i="60"/>
  <c r="AP36" i="60"/>
  <c r="AP29" i="60"/>
  <c r="AP25" i="60"/>
  <c r="AP13" i="60"/>
  <c r="AP22" i="60"/>
  <c r="AO2" i="60"/>
  <c r="AP15" i="60"/>
  <c r="AP35" i="60"/>
  <c r="AQ7" i="60"/>
  <c r="AP30" i="60"/>
  <c r="AP27" i="60"/>
  <c r="AP28" i="60"/>
  <c r="AP12" i="60"/>
  <c r="AP19" i="60"/>
  <c r="AP7" i="60"/>
  <c r="AP18" i="60"/>
  <c r="AP24" i="60"/>
  <c r="AP9" i="60"/>
  <c r="AP21" i="60"/>
  <c r="AP34" i="60"/>
  <c r="AP11" i="60"/>
  <c r="AP16" i="60"/>
  <c r="AP14" i="60"/>
  <c r="AM138" i="19"/>
  <c r="AN138" i="19"/>
  <c r="AL138" i="19"/>
  <c r="BA14" i="60"/>
  <c r="AY8" i="60"/>
  <c r="AZ119" i="19"/>
  <c r="AY119" i="19"/>
  <c r="AP8" i="60"/>
  <c r="AJ118" i="19"/>
  <c r="AT7" i="60"/>
  <c r="AU8" i="60" s="1"/>
  <c r="AV8" i="60"/>
  <c r="BA8" i="60" l="1"/>
  <c r="AY7" i="60"/>
  <c r="AZ8" i="60" s="1"/>
  <c r="AU28" i="60"/>
  <c r="AU35" i="60"/>
  <c r="AU30" i="60"/>
  <c r="AU25" i="60"/>
  <c r="AU22" i="60"/>
  <c r="AU29" i="60"/>
  <c r="AU23" i="60"/>
  <c r="AU15" i="60"/>
  <c r="AU36" i="60"/>
  <c r="AU10" i="60"/>
  <c r="AV7" i="60"/>
  <c r="AU18" i="60"/>
  <c r="AU26" i="60"/>
  <c r="AU21" i="60"/>
  <c r="AU24" i="60"/>
  <c r="AU17" i="60"/>
  <c r="AU27" i="60"/>
  <c r="AU19" i="60"/>
  <c r="AU34" i="60"/>
  <c r="AT2" i="60"/>
  <c r="AU33" i="60"/>
  <c r="AU9" i="60"/>
  <c r="AU7" i="60"/>
  <c r="AU13" i="60"/>
  <c r="AU20" i="60"/>
  <c r="AU11" i="60"/>
  <c r="AU12" i="60"/>
  <c r="AU16" i="60"/>
  <c r="AU14" i="60"/>
  <c r="AL118" i="19"/>
  <c r="AM118" i="19"/>
  <c r="AN118" i="19"/>
  <c r="AZ35" i="60" l="1"/>
  <c r="AZ7" i="60"/>
  <c r="AZ23" i="60"/>
  <c r="AZ34" i="60"/>
  <c r="AZ18" i="60"/>
  <c r="AZ24" i="60"/>
  <c r="AZ29" i="60"/>
  <c r="AZ15" i="60"/>
  <c r="AY2" i="60"/>
  <c r="AZ11" i="60"/>
  <c r="AZ25" i="60"/>
  <c r="AZ12" i="60"/>
  <c r="AZ36" i="60"/>
  <c r="AZ27" i="60"/>
  <c r="AZ17" i="60"/>
  <c r="AZ10" i="60"/>
  <c r="AZ28" i="60"/>
  <c r="AZ33" i="60"/>
  <c r="BA7" i="60"/>
  <c r="AZ19" i="60"/>
  <c r="AZ9" i="60"/>
  <c r="AZ30" i="60"/>
  <c r="AZ21" i="60"/>
  <c r="AZ13" i="60"/>
  <c r="AZ22" i="60"/>
  <c r="AZ26" i="60"/>
  <c r="AZ20" i="60"/>
  <c r="AZ16" i="60"/>
  <c r="AZ14" i="60"/>
</calcChain>
</file>

<file path=xl/comments1.xml><?xml version="1.0" encoding="utf-8"?>
<comments xmlns="http://schemas.openxmlformats.org/spreadsheetml/2006/main">
  <authors>
    <author>Windows User</author>
  </authors>
  <commentList>
    <comment ref="B40" authorId="0" shapeId="0">
      <text>
        <r>
          <rPr>
            <b/>
            <sz val="9"/>
            <color indexed="81"/>
            <rFont val="Tahoma"/>
            <family val="2"/>
          </rPr>
          <t>Windows User:</t>
        </r>
        <r>
          <rPr>
            <sz val="9"/>
            <color indexed="81"/>
            <rFont val="Tahoma"/>
            <family val="2"/>
          </rPr>
          <t xml:space="preserve">
Tất cả lấy theo số của Phương</t>
        </r>
      </text>
    </comment>
    <comment ref="D46" authorId="0" shapeId="0">
      <text>
        <r>
          <rPr>
            <b/>
            <sz val="9"/>
            <color indexed="81"/>
            <rFont val="Tahoma"/>
            <family val="2"/>
          </rPr>
          <t>Windows User:</t>
        </r>
        <r>
          <rPr>
            <sz val="9"/>
            <color indexed="81"/>
            <rFont val="Tahoma"/>
            <family val="2"/>
          </rPr>
          <t xml:space="preserve">
KH Phương</t>
        </r>
      </text>
    </comment>
  </commentList>
</comments>
</file>

<file path=xl/comments10.xml><?xml version="1.0" encoding="utf-8"?>
<comments xmlns="http://schemas.openxmlformats.org/spreadsheetml/2006/main">
  <authors>
    <author>Author</author>
  </authors>
  <commentList>
    <comment ref="C6" authorId="0" shapeId="0">
      <text>
        <r>
          <rPr>
            <b/>
            <sz val="9"/>
            <color indexed="81"/>
            <rFont val="Tahoma"/>
            <family val="2"/>
          </rPr>
          <t>Author:</t>
        </r>
        <r>
          <rPr>
            <sz val="9"/>
            <color indexed="81"/>
            <rFont val="Tahoma"/>
            <family val="2"/>
          </rPr>
          <t xml:space="preserve">
chuyển sót của SỞ giáo dục và đào tạo
</t>
        </r>
      </text>
    </comment>
  </commentList>
</comments>
</file>

<file path=xl/comments11.xml><?xml version="1.0" encoding="utf-8"?>
<comments xmlns="http://schemas.openxmlformats.org/spreadsheetml/2006/main">
  <authors>
    <author>Windows User</author>
  </authors>
  <commentList>
    <comment ref="B53" authorId="0" shapeId="0">
      <text>
        <r>
          <rPr>
            <b/>
            <sz val="9"/>
            <color indexed="81"/>
            <rFont val="Tahoma"/>
            <family val="2"/>
          </rPr>
          <t>Windows User:</t>
        </r>
        <r>
          <rPr>
            <sz val="9"/>
            <color indexed="81"/>
            <rFont val="Tahoma"/>
            <family val="2"/>
          </rPr>
          <t xml:space="preserve">
Tất cả lấy theo số của Phương</t>
        </r>
      </text>
    </comment>
    <comment ref="D54" authorId="0" shapeId="0">
      <text>
        <r>
          <rPr>
            <b/>
            <sz val="9"/>
            <color indexed="81"/>
            <rFont val="Tahoma"/>
            <family val="2"/>
          </rPr>
          <t>Windows User:</t>
        </r>
        <r>
          <rPr>
            <sz val="9"/>
            <color indexed="81"/>
            <rFont val="Tahoma"/>
            <family val="2"/>
          </rPr>
          <t xml:space="preserve">
KH Phương</t>
        </r>
      </text>
    </comment>
  </commentList>
</comments>
</file>

<file path=xl/comments12.xml><?xml version="1.0" encoding="utf-8"?>
<comments xmlns="http://schemas.openxmlformats.org/spreadsheetml/2006/main">
  <authors>
    <author>pc</author>
  </authors>
  <commentList>
    <comment ref="AA13" authorId="0" shapeId="0">
      <text>
        <r>
          <rPr>
            <b/>
            <sz val="9"/>
            <color indexed="81"/>
            <rFont val="Tahoma"/>
            <family val="2"/>
          </rPr>
          <t>pc:</t>
        </r>
        <r>
          <rPr>
            <sz val="9"/>
            <color indexed="81"/>
            <rFont val="Tahoma"/>
            <family val="2"/>
          </rPr>
          <t xml:space="preserve">
Nội dung NQ 16; phân khai chi tiết tiền sử dụng đất cấp tỉnh</t>
        </r>
      </text>
    </comment>
    <comment ref="AF21" authorId="0" shapeId="0">
      <text>
        <r>
          <rPr>
            <b/>
            <sz val="9"/>
            <color indexed="81"/>
            <rFont val="Tahoma"/>
            <family val="2"/>
          </rPr>
          <t>pc:</t>
        </r>
        <r>
          <rPr>
            <sz val="9"/>
            <color indexed="81"/>
            <rFont val="Tahoma"/>
            <family val="2"/>
          </rPr>
          <t xml:space="preserve">
Trung ương bổ sung 1.424.800 triệu đồng;
ĐP phân khai 1.824.800 triệu đồng</t>
        </r>
      </text>
    </comment>
    <comment ref="AI21" authorId="0" shapeId="0">
      <text>
        <r>
          <rPr>
            <b/>
            <sz val="9"/>
            <color indexed="81"/>
            <rFont val="Tahoma"/>
            <family val="2"/>
          </rPr>
          <t>pc:</t>
        </r>
        <r>
          <rPr>
            <sz val="9"/>
            <color indexed="81"/>
            <rFont val="Tahoma"/>
            <family val="2"/>
          </rPr>
          <t xml:space="preserve">
Trung ương bổ sung 1.424.800 triệu đồng;
ĐP phân khai 1.824.800 triệu đồng</t>
        </r>
      </text>
    </comment>
    <comment ref="AB24" authorId="0" shapeId="0">
      <text>
        <r>
          <rPr>
            <b/>
            <sz val="9"/>
            <color indexed="81"/>
            <rFont val="Tahoma"/>
            <family val="2"/>
          </rPr>
          <t>pc:</t>
        </r>
        <r>
          <rPr>
            <sz val="9"/>
            <color indexed="81"/>
            <rFont val="Tahoma"/>
            <family val="2"/>
          </rPr>
          <t xml:space="preserve">
Chương trình phục hồi phát triển KT-XH
</t>
        </r>
      </text>
    </comment>
    <comment ref="AC24" authorId="0" shapeId="0">
      <text>
        <r>
          <rPr>
            <b/>
            <sz val="14"/>
            <color indexed="81"/>
            <rFont val="Times New Roman"/>
            <family val="1"/>
          </rPr>
          <t>pc:</t>
        </r>
        <r>
          <rPr>
            <sz val="14"/>
            <color indexed="81"/>
            <rFont val="Times New Roman"/>
            <family val="1"/>
          </rPr>
          <t xml:space="preserve">
Tăng 880.500 Gồm:
1. Dự án mua sắm trang thiết bị 02 trung tâm y tế huyện = 135.500 triệu đồng.
2. Dự án thành phần 1 Cao tốc An Hữu-cao Lãnh = 745.000 triệu đồng.</t>
        </r>
      </text>
    </comment>
    <comment ref="AE24" authorId="0" shapeId="0">
      <text>
        <r>
          <rPr>
            <b/>
            <sz val="9"/>
            <color indexed="81"/>
            <rFont val="Tahoma"/>
            <family val="2"/>
          </rPr>
          <t>pc:</t>
        </r>
        <r>
          <rPr>
            <sz val="9"/>
            <color indexed="81"/>
            <rFont val="Tahoma"/>
            <family val="2"/>
          </rPr>
          <t xml:space="preserve">
Dự phòng ngân sách trung ương năm 2022 = 86.000 triệu đồng</t>
        </r>
      </text>
    </comment>
    <comment ref="AD25" authorId="0" shapeId="0">
      <text>
        <r>
          <rPr>
            <b/>
            <sz val="9"/>
            <color indexed="81"/>
            <rFont val="Tahoma"/>
            <family val="2"/>
          </rPr>
          <t>pc:</t>
        </r>
        <r>
          <rPr>
            <sz val="9"/>
            <color indexed="81"/>
            <rFont val="Tahoma"/>
            <family val="2"/>
          </rPr>
          <t xml:space="preserve">
Bổ sung thêm 64.780 triệu đồng</t>
        </r>
      </text>
    </comment>
    <comment ref="AB33" authorId="0" shapeId="0">
      <text>
        <r>
          <rPr>
            <b/>
            <sz val="9"/>
            <color indexed="81"/>
            <rFont val="Tahoma"/>
            <family val="2"/>
          </rPr>
          <t>pc:</t>
        </r>
        <r>
          <rPr>
            <sz val="9"/>
            <color indexed="81"/>
            <rFont val="Tahoma"/>
            <family val="2"/>
          </rPr>
          <t xml:space="preserve">
Dự kiến sử dụng tăng thu XSKT năm 2022: 119.574,631 triệu đồng để bù chênh lệch giữa Sở Kế hoạch trình và Kết luận kiểm toán = 360.990 triệu đồng</t>
        </r>
      </text>
    </comment>
    <comment ref="AE33" authorId="0" shapeId="0">
      <text>
        <r>
          <rPr>
            <b/>
            <sz val="9"/>
            <color indexed="81"/>
            <rFont val="Tahoma"/>
            <family val="2"/>
          </rPr>
          <t>pc:</t>
        </r>
        <r>
          <rPr>
            <sz val="9"/>
            <color indexed="81"/>
            <rFont val="Tahoma"/>
            <family val="2"/>
          </rPr>
          <t xml:space="preserve">
Tăng thu XSKT năm 2022 - 124.165 triệu đồng; hỗ trợ 03 thành phố theo Nghị quyết, chủ trương tỉnh ủy</t>
        </r>
      </text>
    </comment>
    <comment ref="Y37" authorId="0" shapeId="0">
      <text>
        <r>
          <rPr>
            <b/>
            <sz val="14"/>
            <color indexed="81"/>
            <rFont val="Times New Roman"/>
            <family val="1"/>
          </rPr>
          <t>pc:</t>
        </r>
        <r>
          <rPr>
            <sz val="14"/>
            <color indexed="81"/>
            <rFont val="Times New Roman"/>
            <family val="1"/>
          </rPr>
          <t xml:space="preserve">
Sở Kế hoạch và Đầu tư trình không trình tiền sử dụng đất cấp tỉnh</t>
        </r>
      </text>
    </comment>
  </commentList>
</comments>
</file>

<file path=xl/comments13.xml><?xml version="1.0" encoding="utf-8"?>
<comments xmlns="http://schemas.openxmlformats.org/spreadsheetml/2006/main">
  <authors>
    <author>quangbx</author>
    <author>Quangbxdth</author>
  </authors>
  <commentList>
    <comment ref="B14" authorId="0" shapeId="0">
      <text>
        <r>
          <rPr>
            <b/>
            <sz val="8"/>
            <color indexed="81"/>
            <rFont val="Tahoma"/>
            <family val="2"/>
          </rPr>
          <t>quangbx:</t>
        </r>
        <r>
          <rPr>
            <sz val="8"/>
            <color indexed="81"/>
            <rFont val="Tahoma"/>
            <family val="2"/>
          </rPr>
          <t xml:space="preserve">
</t>
        </r>
        <r>
          <rPr>
            <sz val="10"/>
            <color indexed="81"/>
            <rFont val="Tahoma"/>
            <family val="2"/>
          </rPr>
          <t>Đảm bảo tỷ lệ chi tiền lương, phụ cấp, các khoản có tính chất lương (bảo hiểm xã hội, bảo hiểm y tế, bảo hiểm thất nghiệp, kinh phí công đoàn, học bổng cho học sinh dân tộc nội trú) tối đa 81%</t>
        </r>
      </text>
    </comment>
    <comment ref="B15" authorId="0" shapeId="0">
      <text>
        <r>
          <rPr>
            <b/>
            <sz val="8"/>
            <color indexed="81"/>
            <rFont val="Tahoma"/>
            <family val="2"/>
          </rPr>
          <t>quangbx:</t>
        </r>
        <r>
          <rPr>
            <sz val="8"/>
            <color indexed="81"/>
            <rFont val="Tahoma"/>
            <family val="2"/>
          </rPr>
          <t xml:space="preserve">
Đảm bảo </t>
        </r>
        <r>
          <rPr>
            <sz val="10"/>
            <color indexed="81"/>
            <rFont val="Tahoma"/>
            <family val="2"/>
          </rPr>
          <t>tỷ lệ chi thường xuyên cho hoạt động giảng dạy và học tập (không kể lương và có tính chất lương) nhỏ hơn 19% so với tổng chi sự nghiệp giáo dục, sẽ được bổ sung để đảm bảo tỷ lệ chi tiền lương, phụ cấp, các khoản có tính chất lương (bảo hiểm xã hội, bảo hiểm y tế, bảo hiểm thất nghiệp, kinh phí công đoàn, học bổng cho học sinh dân tộc nội trú) tối đa 81% (chưa kể chi từ nguồn thu học phí).
Đối với các địa phương có tỷ lệ dân số thuộc vùng đặc biệt khó khăn và vùng khó khăn cao hơn mức bình quân chung của cả nước, chi khác đảm bảo tỷ lệ tối thiểu là 20%.</t>
        </r>
      </text>
    </comment>
    <comment ref="E23" authorId="0" shapeId="0">
      <text>
        <r>
          <rPr>
            <b/>
            <sz val="8"/>
            <color indexed="81"/>
            <rFont val="Tahoma"/>
            <family val="2"/>
          </rPr>
          <t>quangbx:</t>
        </r>
        <r>
          <rPr>
            <sz val="8"/>
            <color indexed="81"/>
            <rFont val="Tahoma"/>
            <family val="2"/>
          </rPr>
          <t xml:space="preserve">
</t>
        </r>
        <r>
          <rPr>
            <sz val="9"/>
            <color indexed="81"/>
            <rFont val="Tahoma"/>
            <family val="2"/>
          </rPr>
          <t>Định mức phân bổ tại Điều này đã bao gồm kinh phí thực hiện các loại hình đào tạo, dạy nghề (chính quy, tại chức, cử tuyển, đào tạo lại, , đào tạo nghề cho thanh niên hoàn thành nghĩa vụ quân sự, nghĩa vụ công an, thanh niên tình nguyện. các loại hình đào tạo dạy nghề khác), các cấp đào tạo, dạy nghề, trung tâm chính trị tỉnh, huyện,... của địa phương.</t>
        </r>
      </text>
    </comment>
    <comment ref="D36" authorId="1" shapeId="0">
      <text>
        <r>
          <rPr>
            <b/>
            <sz val="9"/>
            <color indexed="81"/>
            <rFont val="Tahoma"/>
            <family val="2"/>
          </rPr>
          <t>Quangbxdth:</t>
        </r>
        <r>
          <rPr>
            <sz val="9"/>
            <color indexed="81"/>
            <rFont val="Tahoma"/>
            <family val="2"/>
          </rPr>
          <t xml:space="preserve">
Định mức phân bổ tại khoản này đã bao gồm: Các chế độ chính sách phụ cấp đặc thù ngành y tế và tăng kinh phí cho công tác dự phòng để thực hiện Nghị quyết số 18/2008/QH12 ngày 03 tháng 6 năm 2008 của của Quốc hội. Căn cứ vào khả năng ngân sách, các địa phương phân bổ chi sự nghiệp y tế thực hiện Nghị quyết này của Quốc hội đảm bảo nguồn thực hiện nhiệm vụ y tế dự phòng (chưa kể nguồn thu dịch vụ khám, chữa bệnh).</t>
        </r>
      </text>
    </comment>
    <comment ref="C55" authorId="1" shapeId="0">
      <text>
        <r>
          <rPr>
            <b/>
            <sz val="9"/>
            <color indexed="81"/>
            <rFont val="Tahoma"/>
            <family val="2"/>
          </rPr>
          <t>Quangbxdth:</t>
        </r>
        <r>
          <rPr>
            <sz val="9"/>
            <color indexed="81"/>
            <rFont val="Tahoma"/>
            <family val="2"/>
          </rPr>
          <t xml:space="preserve">
Phân bổ thêm cho địa phương có thành lập các đơn vị hành chính (mang tính đặc thù riêng) như: Sở Ngoại vụ, kiến trúc, Ban dân tộc ở cấp tỉnh,.... được bổ sung thêm theo mức 2.040 triệu đồng/đơn vị hành chính cấp tỉnh (tăng 70% so với định mức 59: 1.200 triệu đồng/đơn vị).</t>
        </r>
      </text>
    </comment>
    <comment ref="B66" authorId="0" shapeId="0">
      <text>
        <r>
          <rPr>
            <b/>
            <sz val="8"/>
            <color indexed="81"/>
            <rFont val="Tahoma"/>
            <family val="2"/>
          </rPr>
          <t>quangbx:</t>
        </r>
        <r>
          <rPr>
            <sz val="8"/>
            <color indexed="81"/>
            <rFont val="Tahoma"/>
            <family val="2"/>
          </rPr>
          <t xml:space="preserve">
</t>
        </r>
        <r>
          <rPr>
            <sz val="10"/>
            <color indexed="81"/>
            <rFont val="Tahoma"/>
            <family val="2"/>
          </rPr>
          <t>Đảm bảo tỷ lệ chi lương, phụ cấp và các khoản có tính chất lương tối đa bằng 75%</t>
        </r>
      </text>
    </comment>
    <comment ref="D70" authorId="0" shapeId="0">
      <text>
        <r>
          <rPr>
            <b/>
            <sz val="8"/>
            <color indexed="81"/>
            <rFont val="Tahoma"/>
            <family val="2"/>
          </rPr>
          <t>quangbx:</t>
        </r>
        <r>
          <rPr>
            <sz val="8"/>
            <color indexed="81"/>
            <rFont val="Tahoma"/>
            <family val="2"/>
          </rPr>
          <t xml:space="preserve">
Chưa kể địa phương có di sản văn hoá, các di sản quốc gia quan trọng được NSTW bổ sung có mục tiêu cho NSĐP theo CTMTQG được cấp có thẩm quyền phê duyệt</t>
        </r>
      </text>
    </comment>
    <comment ref="B127" authorId="0" shapeId="0">
      <text>
        <r>
          <rPr>
            <b/>
            <sz val="8"/>
            <color indexed="81"/>
            <rFont val="Tahoma"/>
            <family val="2"/>
          </rPr>
          <t>quangbx:</t>
        </r>
        <r>
          <rPr>
            <sz val="8"/>
            <color indexed="81"/>
            <rFont val="Tahoma"/>
            <family val="2"/>
          </rPr>
          <t xml:space="preserve">
Chưa kể trường hợp có phát sinh nhiệm vụ đặc biệt về quốc phòng, thực hiện cơ chế bổ sung có mục tiêu từ NSTW cho NSĐP để thực hiện nhiệm vụ</t>
        </r>
      </text>
    </comment>
    <comment ref="B129" authorId="0" shapeId="0">
      <text>
        <r>
          <rPr>
            <b/>
            <sz val="8"/>
            <color indexed="81"/>
            <rFont val="Tahoma"/>
            <family val="2"/>
          </rPr>
          <t>quangbx:</t>
        </r>
        <r>
          <rPr>
            <sz val="8"/>
            <color indexed="81"/>
            <rFont val="Tahoma"/>
            <family val="2"/>
          </rPr>
          <t xml:space="preserve">
2017: Tỉnh tiếp giáp với 2 tỉnh bạn trở lên được phân bổ hệ số 1,1 lần/xã biên giới
2021: 2.000 triệu đồng/1 xã biên giới</t>
        </r>
      </text>
    </comment>
    <comment ref="B146" authorId="0" shapeId="0">
      <text>
        <r>
          <rPr>
            <b/>
            <sz val="8"/>
            <color indexed="81"/>
            <rFont val="Tahoma"/>
            <family val="2"/>
          </rPr>
          <t>quangbx:</t>
        </r>
        <r>
          <rPr>
            <sz val="8"/>
            <color indexed="81"/>
            <rFont val="Tahoma"/>
            <family val="2"/>
          </rPr>
          <t xml:space="preserve">
Chưa kể trường hợp có phát sinh nhiệm vụ đặc biệt về an ninh, thực hiện cơ chế bổ sung có mục tiêu từ NSTW cho NSĐP để thực hiện nhiệm vụ</t>
        </r>
      </text>
    </comment>
    <comment ref="B148" authorId="0" shapeId="0">
      <text>
        <r>
          <rPr>
            <b/>
            <sz val="8"/>
            <color indexed="81"/>
            <rFont val="Tahoma"/>
            <family val="2"/>
          </rPr>
          <t>quangbx:</t>
        </r>
        <r>
          <rPr>
            <sz val="8"/>
            <color indexed="81"/>
            <rFont val="Tahoma"/>
            <family val="2"/>
          </rPr>
          <t xml:space="preserve">
2017: Tỉnh tiếp giáp với 2 tỉnh bạn trở lên được phân bổ hệ số 1,1 lần/xã biên giới
2021: 2.000 triệu đồng/1 xã biên giới</t>
        </r>
      </text>
    </comment>
    <comment ref="B170" authorId="1" shapeId="0">
      <text>
        <r>
          <rPr>
            <b/>
            <sz val="9"/>
            <color indexed="81"/>
            <rFont val="Tahoma"/>
            <family val="2"/>
          </rPr>
          <t>Quangbxdth:</t>
        </r>
        <r>
          <rPr>
            <sz val="9"/>
            <color indexed="81"/>
            <rFont val="Tahoma"/>
            <family val="2"/>
          </rPr>
          <t xml:space="preserve">
Đối với các năm trong thời kỳ ổn định ngân sách, trường hợp địa phương được cơ quan có thẩm quyền ở Trung ương công nhận nâng cấp đô thị, giao Bộ Tài chính bổ sung từ ngân sách trung ương cho các địa phương nhận bổ sung cân đối từ ngân sách trung ương</t>
        </r>
      </text>
    </comment>
    <comment ref="B183" authorId="1" shapeId="0">
      <text>
        <r>
          <rPr>
            <b/>
            <sz val="9"/>
            <color indexed="81"/>
            <rFont val="Tahoma"/>
            <family val="2"/>
          </rPr>
          <t>Quangbxdth:</t>
        </r>
        <r>
          <rPr>
            <sz val="9"/>
            <color indexed="81"/>
            <rFont val="Tahoma"/>
            <family val="2"/>
          </rPr>
          <t xml:space="preserve">
a) Đối với dân số đô thị đặc biệt hệ số 15; đối với đô thị loại I hệ số 7; đối với đô thị loại II đến IV hệ số 2; vùng còn lại hệ số 1;
b) Về hệ số theo mật độ dân số: trên 2.000 người/km2 hệ số 15; trên 1.000 - 2.000 người/km2 hệ số 6; trên 750 - 1.000 người/km2 hệ số 2,5; trên 500 - 750 người/km2 hệ số 1,8; từ 500 người/km2 trở xuống hệ số 1.</t>
        </r>
      </text>
    </comment>
    <comment ref="B184" authorId="1" shapeId="0">
      <text>
        <r>
          <rPr>
            <b/>
            <sz val="9"/>
            <color indexed="81"/>
            <rFont val="Tahoma"/>
            <family val="2"/>
          </rPr>
          <t>Quangbxdth:</t>
        </r>
        <r>
          <rPr>
            <sz val="9"/>
            <color indexed="81"/>
            <rFont val="Tahoma"/>
            <family val="2"/>
          </rPr>
          <t xml:space="preserve">
Trong đó:
- Giá trị GDP ngành công nghiệp và xây dựng của tỉnh A lấy theo số liệu thực hiện năm 2018 do Tổng cục Thống kê cung cấp.
 +</t>
        </r>
        <r>
          <rPr>
            <b/>
            <sz val="9"/>
            <color indexed="81"/>
            <rFont val="Tahoma"/>
            <family val="2"/>
          </rPr>
          <t xml:space="preserve"> Chi sự nghiệp môi trường (tỉnh A) = Tổng chi sự nghiệp môi trường ngân sách địa phương x  30%  x Giá trị GDP ngành công nghiệp và xây dựng trên địa bàn tỉnh A/Giá trị GDP ngành công nghiệp và xây dựng toàn quốc</t>
        </r>
        <r>
          <rPr>
            <sz val="9"/>
            <color indexed="81"/>
            <rFont val="Tahoma"/>
            <family val="2"/>
          </rPr>
          <t xml:space="preserve">
- Diện tích rừng tự nhiên của tỉnh A lấy theo số liệu thực hiện năm 2018 do Bộ Nông nghiệp và Phát triển nông thôn cung cấp.
 </t>
        </r>
        <r>
          <rPr>
            <b/>
            <sz val="9"/>
            <color indexed="81"/>
            <rFont val="Tahoma"/>
            <family val="2"/>
          </rPr>
          <t>+ Chi sự nghiệp môi trường (tỉnh A) = Tổng chi sự nghiệp môi trường ngân sách địa phương x  22%  x Diện tích rừng tự nhiên của địa phương (ha)/Tổng diện tích rừng tự nhiên toàn quốc (ha)</t>
        </r>
        <r>
          <rPr>
            <sz val="9"/>
            <color indexed="81"/>
            <rFont val="Tahoma"/>
            <family val="2"/>
          </rPr>
          <t xml:space="preserve">
</t>
        </r>
      </text>
    </comment>
    <comment ref="B193" authorId="1" shapeId="0">
      <text>
        <r>
          <rPr>
            <b/>
            <sz val="9"/>
            <color indexed="81"/>
            <rFont val="Tahoma"/>
            <family val="2"/>
          </rPr>
          <t>Quangbxdth:</t>
        </r>
        <r>
          <rPr>
            <sz val="9"/>
            <color indexed="81"/>
            <rFont val="Tahoma"/>
            <family val="2"/>
          </rPr>
          <t xml:space="preserve">
</t>
        </r>
        <r>
          <rPr>
            <sz val="10"/>
            <color indexed="81"/>
            <rFont val="Tahoma"/>
            <family val="2"/>
          </rPr>
          <t>Các tỉnh, thành phố trực thuộc Trung ương khó khăn hoặc có dân số thấp, được phân bổ thêm theo tỷ lệ phần trăm (%) số chi tính theo định mức dân số như sau: Các địa phương thuộc khu vực Đồng bằng sông Cửu Long được phân bổ thêm 15%; các địa phương có dân số dưới 550 nghìn dân được phân bổ thêm 20%; các địa phương có dân số từ 550 nghìn dân đến dưới 700 nghìn dân được phân bổ thêm 18%; các địa phương có dân số từ 700 - 1.000 nghìn dân được phân bổ thêm 16%. Trường hợp địa phương đáp ứng từ hai tiêu chí trở lên, chỉ được phân bổ theo tiêu chí hỗ trợ cao nhất.</t>
        </r>
      </text>
    </comment>
    <comment ref="B197" authorId="1" shapeId="0">
      <text>
        <r>
          <rPr>
            <b/>
            <sz val="9"/>
            <color indexed="81"/>
            <rFont val="Tahoma"/>
            <family val="2"/>
          </rPr>
          <t>Quangbxdth:</t>
        </r>
        <r>
          <rPr>
            <sz val="9"/>
            <color indexed="81"/>
            <rFont val="Tahoma"/>
            <family val="2"/>
          </rPr>
          <t xml:space="preserve">
</t>
        </r>
        <r>
          <rPr>
            <sz val="10"/>
            <color indexed="81"/>
            <rFont val="Tahoma"/>
            <family val="2"/>
          </rPr>
          <t xml:space="preserve">Các tỉnh, thành phố có cơ chế, chính sách đặc thù, có tỷ lệ điều tiết về ngân sách trung ương được phân bổ thêm theo tỷ lệ phần trăm (%) số chi tính theo định mức dân số như sau:
Thành phố Hà Nội, thành phố Hồ Chí Minh được phân bổ thêm 80%.
Các thành phố trực thuộc Trung ương (Hải Phòng, Đà Nẵng, Cần Thơ) được phân bổ thêm 70%.
Các địa phương có đóng góp về ngân sách trung ương từ 40% trở lên được phân bổ thêm 60%; các địa phương có tỷ lệ điều tiết về ngân sách trung ương từ 15% đến dưới 40% được phân bổ thêm 50%; các địa phương có tỷ lệ điều tiết về ngân sách trung ương còn lại được phân bổ thêm 40%. 
Các tỉnh Thanh Hóa, Nghệ An và Thừa Thiên Huế được phân bổ thêm 45%.
</t>
        </r>
      </text>
    </comment>
  </commentList>
</comments>
</file>

<file path=xl/comments14.xml><?xml version="1.0" encoding="utf-8"?>
<comments xmlns="http://schemas.openxmlformats.org/spreadsheetml/2006/main">
  <authors>
    <author>quangbx</author>
  </authors>
  <commentList>
    <comment ref="B84" authorId="0" shapeId="0">
      <text>
        <r>
          <rPr>
            <b/>
            <sz val="8"/>
            <color indexed="81"/>
            <rFont val="Tahoma"/>
            <family val="2"/>
          </rPr>
          <t>quangbx:</t>
        </r>
        <r>
          <rPr>
            <sz val="8"/>
            <color indexed="81"/>
            <rFont val="Tahoma"/>
            <family val="2"/>
          </rPr>
          <t xml:space="preserve">
Tổng số xã: 144 xã, gồm:
+ Xã loại :70 xã;
+ Xã loại 2: 67 xã;
+ Xã loại 3: 7 xã.</t>
        </r>
      </text>
    </comment>
    <comment ref="B85" authorId="0" shapeId="0">
      <text>
        <r>
          <rPr>
            <b/>
            <sz val="8"/>
            <color indexed="81"/>
            <rFont val="Tahoma"/>
            <family val="2"/>
          </rPr>
          <t>quangbx:</t>
        </r>
        <r>
          <rPr>
            <sz val="8"/>
            <color indexed="81"/>
            <rFont val="Tahoma"/>
            <family val="2"/>
          </rPr>
          <t xml:space="preserve">
- Phụ cấp chức vụ lãnh đạo: từ 0,15 đến 0,3
- Phụ cấp thâm niên vượt khung: 
- Phụ cấp theo loại xã: 10% (loại 1); 5% (loại 2); 
- Phụ cấp kiêm nhiệm chức danh: 20% (mức lương hiện hưởng, công các phụ cấp lãnh đạo, phụ cấp thâm niên vượt khung và hệ số chênh lệch bảo lưu (nếu có)
- Phụ cấp công vụ 0,25</t>
        </r>
      </text>
    </comment>
    <comment ref="B105" authorId="0" shapeId="0">
      <text>
        <r>
          <rPr>
            <b/>
            <sz val="8"/>
            <color indexed="81"/>
            <rFont val="Tahoma"/>
            <family val="2"/>
          </rPr>
          <t>quangbx:
Tổng biên khối Đảng Tỉnh, huyện: 765 biên chế, gồm:</t>
        </r>
        <r>
          <rPr>
            <sz val="8"/>
            <color indexed="81"/>
            <rFont val="Tahoma"/>
            <family val="2"/>
          </rPr>
          <t xml:space="preserve">
- Biên chế khối Đảng cấp Tỉnh: 249.
- Biên chế khối Đảng cấp huyện: 516
</t>
        </r>
      </text>
    </comment>
    <comment ref="B137" authorId="0" shapeId="0">
      <text>
        <r>
          <rPr>
            <b/>
            <sz val="8"/>
            <color indexed="81"/>
            <rFont val="Tahoma"/>
            <family val="2"/>
          </rPr>
          <t>quangbx:</t>
        </r>
        <r>
          <rPr>
            <sz val="8"/>
            <color indexed="81"/>
            <rFont val="Tahoma"/>
            <family val="2"/>
          </rPr>
          <t xml:space="preserve">
Lực lượng dân quân tự vệ chưa có</t>
        </r>
      </text>
    </comment>
    <comment ref="B156" authorId="0" shapeId="0">
      <text>
        <r>
          <rPr>
            <b/>
            <sz val="8"/>
            <color indexed="81"/>
            <rFont val="Tahoma"/>
            <family val="2"/>
          </rPr>
          <t>quangbx:</t>
        </r>
        <r>
          <rPr>
            <sz val="8"/>
            <color indexed="81"/>
            <rFont val="Tahoma"/>
            <family val="2"/>
          </rPr>
          <t xml:space="preserve">
Lưu ý: Kinh phí hoạt động của Ban Chỉ đạo , phòng chống lụt, bão  và tìm kiếm cứu nạn địa phương:
1. Tổ chức hội họp; công tác phí; trực tiếp đi chỉ đạo tại nơi xảy ra thiên tai; dịch vụ công cộng; vật tư văn phòng; thông tin liên lạc; thu thập số liệu phục vụ phòng chống thiên tai.
2. Trực ban phòng, chống lụt, bão tại văn phòng thường trực.
3. Tập huấn, huấn luyện, đào tạo, diễn tập về công tác phòng, chống lụt, bão và tìm kiếm cứu nạn.
4. Phổ biến, tuyên truyền, nâng cao nhận thức cộng đồng về pháp luật và kiến thức thiên tai hằng năm. 
5. Bồi thường và thanh toán vật tư, phương tiện, nhiên liệu và chi trả thù lao cho cá nhân, tổ chức được huy động tham gia xử lý các tình huống khẩn cấp về phòng, chống lụt, bão và tìm kiếm cứu nạn. 
6. Chi cho các hoạt động khen thưởng các cá nhân, tổ chức có thành tích trong công tác phòng, chống lụt, bão và tìm kiếm cứu nạn.
</t>
        </r>
      </text>
    </comment>
  </commentList>
</comments>
</file>

<file path=xl/comments15.xml><?xml version="1.0" encoding="utf-8"?>
<comments xmlns="http://schemas.openxmlformats.org/spreadsheetml/2006/main">
  <authors>
    <author>pc</author>
    <author>quangbx</author>
  </authors>
  <commentList>
    <comment ref="D3" authorId="0" shapeId="0">
      <text>
        <r>
          <rPr>
            <b/>
            <sz val="9"/>
            <color indexed="81"/>
            <rFont val="Tahoma"/>
            <family val="2"/>
          </rPr>
          <t>pc:</t>
        </r>
        <r>
          <rPr>
            <sz val="9"/>
            <color indexed="81"/>
            <rFont val="Tahoma"/>
            <family val="2"/>
          </rPr>
          <t xml:space="preserve">
Không bao gồm viện trợ và Huy động đóng góp</t>
        </r>
      </text>
    </comment>
    <comment ref="N3" authorId="1" shapeId="0">
      <text>
        <r>
          <rPr>
            <b/>
            <sz val="9"/>
            <color indexed="81"/>
            <rFont val="Tahoma"/>
            <family val="2"/>
          </rPr>
          <t>quangbx:</t>
        </r>
        <r>
          <rPr>
            <sz val="9"/>
            <color indexed="81"/>
            <rFont val="Tahoma"/>
            <family val="2"/>
          </rPr>
          <t xml:space="preserve">
Theo Thông báo 9197/TB-BTC ngày 13/8/2021 của BTC Về số kiểm tra thu chi NSNN năm 2022 và dự kiến số thu chi NSNN năm 2023-2024
</t>
        </r>
        <r>
          <rPr>
            <b/>
            <sz val="9"/>
            <color indexed="81"/>
            <rFont val="Tahoma"/>
            <family val="2"/>
          </rPr>
          <t xml:space="preserve">Năm 2022: </t>
        </r>
        <r>
          <rPr>
            <sz val="9"/>
            <color indexed="81"/>
            <rFont val="Tahoma"/>
            <family val="2"/>
          </rPr>
          <t xml:space="preserve">
-Số thu nội địa: 8.158.000 triệu đồng.
-Số chi cân đối NSĐP: 12..440.198 triệu đồng.
</t>
        </r>
        <r>
          <rPr>
            <b/>
            <sz val="9"/>
            <color indexed="81"/>
            <rFont val="Tahoma"/>
            <family val="2"/>
          </rPr>
          <t xml:space="preserve">Năm 2023: </t>
        </r>
        <r>
          <rPr>
            <sz val="9"/>
            <color indexed="81"/>
            <rFont val="Tahoma"/>
            <family val="2"/>
          </rPr>
          <t xml:space="preserve">
-Số thu nội địa: 8.836.000 triệu đồng, tăng 8% so với dự toán năm 2022.
-Số chi cân đối NSĐP: 12..440.198 triệu đồng.
</t>
        </r>
        <r>
          <rPr>
            <b/>
            <sz val="9"/>
            <color indexed="81"/>
            <rFont val="Tahoma"/>
            <family val="2"/>
          </rPr>
          <t xml:space="preserve">Năm 2024: </t>
        </r>
        <r>
          <rPr>
            <sz val="9"/>
            <color indexed="81"/>
            <rFont val="Tahoma"/>
            <family val="2"/>
          </rPr>
          <t xml:space="preserve">
-Số thu nội địa: 9.712.000 triệu đồng, tăng 10% so với dự toán năm 2023.
-Số chi cân đối NSĐP: 12..440.198 triệu đồng.
</t>
        </r>
        <r>
          <rPr>
            <b/>
            <sz val="9"/>
            <color indexed="81"/>
            <rFont val="Tahoma"/>
            <family val="2"/>
          </rPr>
          <t>Tổng giai đoạn 2022-2024:</t>
        </r>
        <r>
          <rPr>
            <sz val="9"/>
            <color indexed="81"/>
            <rFont val="Tahoma"/>
            <family val="2"/>
          </rPr>
          <t xml:space="preserve">
-Số thu nội địa: 26.706.000 triệu đồng
-Số chi cân đối NSĐP: 37..320.594 triệu đồng.
</t>
        </r>
      </text>
    </comment>
  </commentList>
</comments>
</file>

<file path=xl/comments16.xml><?xml version="1.0" encoding="utf-8"?>
<comments xmlns="http://schemas.openxmlformats.org/spreadsheetml/2006/main">
  <authors>
    <author>pc</author>
    <author>quangbx</author>
  </authors>
  <commentList>
    <comment ref="D3" authorId="0" shapeId="0">
      <text>
        <r>
          <rPr>
            <b/>
            <sz val="9"/>
            <color indexed="81"/>
            <rFont val="Tahoma"/>
            <family val="2"/>
          </rPr>
          <t>pc:</t>
        </r>
        <r>
          <rPr>
            <sz val="9"/>
            <color indexed="81"/>
            <rFont val="Tahoma"/>
            <family val="2"/>
          </rPr>
          <t xml:space="preserve">
Không bao gồm viện trợ và Huy động đóng góp</t>
        </r>
      </text>
    </comment>
    <comment ref="S3" authorId="1" shapeId="0">
      <text>
        <r>
          <rPr>
            <b/>
            <sz val="9"/>
            <color indexed="81"/>
            <rFont val="Tahoma"/>
            <family val="2"/>
          </rPr>
          <t>quangbx:</t>
        </r>
        <r>
          <rPr>
            <sz val="9"/>
            <color indexed="81"/>
            <rFont val="Tahoma"/>
            <family val="2"/>
          </rPr>
          <t xml:space="preserve">
Theo Thông báo 9197/TB-BTC ngày 13/8/2021 của BTC Về số kiểm tra thu chi NSNN năm 2022 và dự kiến số thu chi NSNN năm 2023-2024
</t>
        </r>
        <r>
          <rPr>
            <b/>
            <sz val="9"/>
            <color indexed="81"/>
            <rFont val="Tahoma"/>
            <family val="2"/>
          </rPr>
          <t xml:space="preserve">Năm 2022: </t>
        </r>
        <r>
          <rPr>
            <sz val="9"/>
            <color indexed="81"/>
            <rFont val="Tahoma"/>
            <family val="2"/>
          </rPr>
          <t xml:space="preserve">
-Số thu nội địa: 8.158.000 triệu đồng.
-Số chi cân đối NSĐP: 12..440.198 triệu đồng.
</t>
        </r>
        <r>
          <rPr>
            <b/>
            <sz val="9"/>
            <color indexed="81"/>
            <rFont val="Tahoma"/>
            <family val="2"/>
          </rPr>
          <t xml:space="preserve">Năm 2023: </t>
        </r>
        <r>
          <rPr>
            <sz val="9"/>
            <color indexed="81"/>
            <rFont val="Tahoma"/>
            <family val="2"/>
          </rPr>
          <t xml:space="preserve">
-Số thu nội địa: 8.836.000 triệu đồng, tăng 8% so với dự toán năm 2022.
-Số chi cân đối NSĐP: 12..440.198 triệu đồng.
</t>
        </r>
        <r>
          <rPr>
            <b/>
            <sz val="9"/>
            <color indexed="81"/>
            <rFont val="Tahoma"/>
            <family val="2"/>
          </rPr>
          <t xml:space="preserve">Năm 2024: </t>
        </r>
        <r>
          <rPr>
            <sz val="9"/>
            <color indexed="81"/>
            <rFont val="Tahoma"/>
            <family val="2"/>
          </rPr>
          <t xml:space="preserve">
-Số thu nội địa: 9.712.000 triệu đồng, tăng 10% so với dự toán năm 2023.
-Số chi cân đối NSĐP: 12..440.198 triệu đồng.
</t>
        </r>
        <r>
          <rPr>
            <b/>
            <sz val="9"/>
            <color indexed="81"/>
            <rFont val="Tahoma"/>
            <family val="2"/>
          </rPr>
          <t>Tổng giai đoạn 2022-2024:</t>
        </r>
        <r>
          <rPr>
            <sz val="9"/>
            <color indexed="81"/>
            <rFont val="Tahoma"/>
            <family val="2"/>
          </rPr>
          <t xml:space="preserve">
-Số thu nội địa: 26.706.000 triệu đồng
-Số chi cân đối NSĐP: 37..320.594 triệu đồng.
</t>
        </r>
      </text>
    </comment>
  </commentList>
</comments>
</file>

<file path=xl/comments17.xml><?xml version="1.0" encoding="utf-8"?>
<comments xmlns="http://schemas.openxmlformats.org/spreadsheetml/2006/main">
  <authors>
    <author>quangbxdth</author>
    <author>Quangbxdth</author>
  </authors>
  <commentList>
    <comment ref="B10" authorId="0" shapeId="0">
      <text>
        <r>
          <rPr>
            <b/>
            <sz val="9"/>
            <color indexed="81"/>
            <rFont val="Tahoma"/>
            <family val="2"/>
          </rPr>
          <t>quangbxdth:</t>
        </r>
        <r>
          <rPr>
            <sz val="9"/>
            <color indexed="81"/>
            <rFont val="Tahoma"/>
            <family val="2"/>
          </rPr>
          <t xml:space="preserve">
Doanh nghiệp nhà nước do trung ương quản lý là doanh nghiệp do bộ, cơ quan ngang bộ, cơ quan thuộc Chính phủ, cơ quan khác ở trung ương đại diện Nhà nước chủ sở hữu 100% vốn điều lệ.</t>
        </r>
      </text>
    </comment>
    <comment ref="B11" authorId="0" shapeId="0">
      <text>
        <r>
          <rPr>
            <b/>
            <sz val="9"/>
            <color indexed="81"/>
            <rFont val="Tahoma"/>
            <family val="2"/>
          </rPr>
          <t>quangbxdth:</t>
        </r>
        <r>
          <rPr>
            <sz val="9"/>
            <color indexed="81"/>
            <rFont val="Tahoma"/>
            <family val="2"/>
          </rPr>
          <t xml:space="preserve">
Doanh nghiệp nhà nước do địa phương quản lý là doanh nghiệp do Ủy ban nhân dân cấp tỉnh đại diện Nhà nước chủ sở hữu 100% vốn điều lệ.</t>
        </r>
      </text>
    </comment>
    <comment ref="B12" authorId="0" shapeId="0">
      <text>
        <r>
          <rPr>
            <b/>
            <sz val="9"/>
            <color indexed="81"/>
            <rFont val="Tahoma"/>
            <family val="2"/>
          </rPr>
          <t>quangbxdth:</t>
        </r>
        <r>
          <rPr>
            <sz val="9"/>
            <color indexed="81"/>
            <rFont val="Tahoma"/>
            <family val="2"/>
          </rPr>
          <t xml:space="preserve">
Doanh nghiệp có vốn đầu tư nước ngoài là các doanh nghiệp mà phần vốn do tổ chức, cá nhân nước ngoài sở hữu từ 51% vốn điều lệ trở lên hoặc có đa số thành viên hợp danh là cá nhân nước ngoài đối với tổ chức kinh tế là công ty hợp danh.</t>
        </r>
      </text>
    </comment>
    <comment ref="B13" authorId="0" shapeId="0">
      <text>
        <r>
          <rPr>
            <b/>
            <sz val="9"/>
            <color indexed="81"/>
            <rFont val="Tahoma"/>
            <family val="2"/>
          </rPr>
          <t>quangbxdth:</t>
        </r>
        <r>
          <rPr>
            <sz val="9"/>
            <color indexed="81"/>
            <rFont val="Tahoma"/>
            <family val="2"/>
          </rPr>
          <t xml:space="preserve">
Doanh nghiệp khu vực kinh tế ngoài quốc doanh là các doanh nghiệp thành lập theo Luật doanh nghiệp, Luật các tổ chức tín dụng, trừ các doanh nghiệp nhà nước do trung ương, địa phương quản lý, doanh nghiệp có vốn đầu tư nước ngoài nêu trên.</t>
        </r>
      </text>
    </comment>
    <comment ref="B137" authorId="1" shapeId="0">
      <text>
        <r>
          <rPr>
            <b/>
            <sz val="9"/>
            <color indexed="81"/>
            <rFont val="Tahoma"/>
            <family val="2"/>
          </rPr>
          <t>Quangbxdth:</t>
        </r>
        <r>
          <rPr>
            <sz val="9"/>
            <color indexed="81"/>
            <rFont val="Tahoma"/>
            <family val="2"/>
          </rPr>
          <t xml:space="preserve">
Không kể thu vay nợ gốc</t>
        </r>
      </text>
    </comment>
  </commentList>
</comments>
</file>

<file path=xl/comments18.xml><?xml version="1.0" encoding="utf-8"?>
<comments xmlns="http://schemas.openxmlformats.org/spreadsheetml/2006/main">
  <authors>
    <author>quangbx</author>
    <author>Quangbxdth</author>
    <author>quangbxdth</author>
  </authors>
  <commentList>
    <comment ref="C8" authorId="0" shapeId="0">
      <text>
        <r>
          <rPr>
            <b/>
            <sz val="9"/>
            <color indexed="81"/>
            <rFont val="Tahoma"/>
            <family val="2"/>
          </rPr>
          <t>quangbx:</t>
        </r>
        <r>
          <rPr>
            <sz val="9"/>
            <color indexed="81"/>
            <rFont val="Tahoma"/>
            <family val="2"/>
          </rPr>
          <t xml:space="preserve">
6.818.777 triệu đồng</t>
        </r>
      </text>
    </comment>
    <comment ref="E8" authorId="1" shapeId="0">
      <text>
        <r>
          <rPr>
            <b/>
            <sz val="9"/>
            <color indexed="81"/>
            <rFont val="Tahoma"/>
            <family val="2"/>
          </rPr>
          <t>Quangbxdth:</t>
        </r>
        <r>
          <rPr>
            <sz val="9"/>
            <color indexed="81"/>
            <rFont val="Tahoma"/>
            <family val="2"/>
          </rPr>
          <t xml:space="preserve">
5.809.777 trđ`</t>
        </r>
      </text>
    </comment>
    <comment ref="V38" authorId="2" shapeId="0">
      <text>
        <r>
          <rPr>
            <b/>
            <sz val="9"/>
            <color indexed="81"/>
            <rFont val="Tahoma"/>
            <family val="2"/>
          </rPr>
          <t>quangbxdth:</t>
        </r>
        <r>
          <rPr>
            <sz val="9"/>
            <color indexed="81"/>
            <rFont val="Tahoma"/>
            <family val="2"/>
          </rPr>
          <t xml:space="preserve">
tỷ lệ: 40% điiều tiết NSTW, còn địa phuong huong 60%</t>
        </r>
      </text>
    </comment>
    <comment ref="AB38" authorId="2" shapeId="0">
      <text>
        <r>
          <rPr>
            <b/>
            <sz val="9"/>
            <color indexed="81"/>
            <rFont val="Tahoma"/>
            <family val="2"/>
          </rPr>
          <t>quangbxdth:</t>
        </r>
        <r>
          <rPr>
            <sz val="9"/>
            <color indexed="81"/>
            <rFont val="Tahoma"/>
            <family val="2"/>
          </rPr>
          <t xml:space="preserve">
tỷ lệ: 40% điiều tiết NSTW, còn địa phuong huong 60%</t>
        </r>
      </text>
    </comment>
    <comment ref="C39" authorId="1" shapeId="0">
      <text>
        <r>
          <rPr>
            <b/>
            <sz val="10"/>
            <color indexed="81"/>
            <rFont val="Tahoma"/>
            <family val="2"/>
          </rPr>
          <t>Quangbxdth:</t>
        </r>
        <r>
          <rPr>
            <sz val="10"/>
            <color indexed="81"/>
            <rFont val="Tahoma"/>
            <family val="2"/>
          </rPr>
          <t xml:space="preserve">
Tr.đó:+ Phí BVMT đối với khai thác khoáng sản: 46.000 trđ</t>
        </r>
      </text>
    </comment>
    <comment ref="D39" authorId="1" shapeId="0">
      <text>
        <r>
          <rPr>
            <b/>
            <sz val="9"/>
            <color indexed="81"/>
            <rFont val="Tahoma"/>
            <family val="2"/>
          </rPr>
          <t>Quangbxdth:</t>
        </r>
        <r>
          <rPr>
            <sz val="9"/>
            <color indexed="81"/>
            <rFont val="Tahoma"/>
            <family val="2"/>
          </rPr>
          <t xml:space="preserve">
Lệ phí cấp căn cước công dân: 15,9 tỷ đồng</t>
        </r>
      </text>
    </comment>
    <comment ref="G39" authorId="0" shapeId="0">
      <text>
        <r>
          <rPr>
            <b/>
            <sz val="8"/>
            <color indexed="81"/>
            <rFont val="Tahoma"/>
            <family val="2"/>
          </rPr>
          <t>quangbx:</t>
        </r>
        <r>
          <rPr>
            <sz val="8"/>
            <color indexed="81"/>
            <rFont val="Tahoma"/>
            <family val="2"/>
          </rPr>
          <t xml:space="preserve">
59.500 trđ</t>
        </r>
      </text>
    </comment>
    <comment ref="H39" authorId="1" shapeId="0">
      <text>
        <r>
          <rPr>
            <b/>
            <sz val="10"/>
            <color indexed="81"/>
            <rFont val="Tahoma"/>
            <family val="2"/>
          </rPr>
          <t>Quangbxdth:</t>
        </r>
        <r>
          <rPr>
            <sz val="10"/>
            <color indexed="81"/>
            <rFont val="Tahoma"/>
            <family val="2"/>
          </rPr>
          <t xml:space="preserve">
Tr.đó:+ Phí BVMT đối với khai thác khoáng sản: 45.000 trđ</t>
        </r>
      </text>
    </comment>
    <comment ref="R39" authorId="1" shapeId="0">
      <text>
        <r>
          <rPr>
            <b/>
            <sz val="10"/>
            <color indexed="81"/>
            <rFont val="Tahoma"/>
            <family val="2"/>
          </rPr>
          <t>Quangbxdth:</t>
        </r>
        <r>
          <rPr>
            <sz val="10"/>
            <color indexed="81"/>
            <rFont val="Tahoma"/>
            <family val="2"/>
          </rPr>
          <t xml:space="preserve">
TW giao 105,000 triệu đồng
Tr.đó:+ Phí BVMT đối với khai thác khoáng sản: 37.000 trđ
         + Phí BVMT đối với nước thải: 17.500 trđ</t>
        </r>
      </text>
    </comment>
    <comment ref="Z39" authorId="2" shapeId="0">
      <text>
        <r>
          <rPr>
            <b/>
            <sz val="9"/>
            <color indexed="81"/>
            <rFont val="Tahoma"/>
            <family val="2"/>
          </rPr>
          <t>quangbxdth:</t>
        </r>
        <r>
          <rPr>
            <sz val="9"/>
            <color indexed="81"/>
            <rFont val="Tahoma"/>
            <family val="2"/>
          </rPr>
          <t xml:space="preserve">
Phí Tw: 30.000 trđ
phí bảo vệ môi trường khai thác khoáng sản: 41.000 trđ
Phí môn bải: 17.400 trđ
phí còn lại của ĐP: 44.600 trđ</t>
        </r>
      </text>
    </comment>
    <comment ref="N40" authorId="0" shapeId="0">
      <text>
        <r>
          <rPr>
            <b/>
            <sz val="9"/>
            <color indexed="81"/>
            <rFont val="Tahoma"/>
            <family val="2"/>
          </rPr>
          <t>quangbx:</t>
        </r>
        <r>
          <rPr>
            <sz val="9"/>
            <color indexed="81"/>
            <rFont val="Tahoma"/>
            <family val="2"/>
          </rPr>
          <t xml:space="preserve">
TW giao 850 tỷ đồng</t>
        </r>
      </text>
    </comment>
    <comment ref="C43" authorId="1" shapeId="0">
      <text>
        <r>
          <rPr>
            <b/>
            <sz val="9"/>
            <color indexed="81"/>
            <rFont val="Tahoma"/>
            <family val="2"/>
          </rPr>
          <t>Quangbxdth:</t>
        </r>
        <r>
          <rPr>
            <sz val="9"/>
            <color indexed="81"/>
            <rFont val="Tahoma"/>
            <family val="2"/>
          </rPr>
          <t xml:space="preserve">
Tr.đó: - Thu phạt vi phạm ATGT: 47.000 trđ</t>
        </r>
      </text>
    </comment>
    <comment ref="K43" authorId="2" shapeId="0">
      <text>
        <r>
          <rPr>
            <b/>
            <sz val="9"/>
            <color indexed="81"/>
            <rFont val="Tahoma"/>
            <family val="2"/>
          </rPr>
          <t>quangbxdth:</t>
        </r>
        <r>
          <rPr>
            <sz val="9"/>
            <color indexed="81"/>
            <rFont val="Tahoma"/>
            <family val="2"/>
          </rPr>
          <t xml:space="preserve">
Trong đó : phạt ATGT: 46.000 trđ</t>
        </r>
      </text>
    </comment>
    <comment ref="C45" authorId="0" shapeId="0">
      <text>
        <r>
          <rPr>
            <b/>
            <sz val="9"/>
            <color indexed="81"/>
            <rFont val="Tahoma"/>
            <family val="2"/>
          </rPr>
          <t>quangbx:</t>
        </r>
        <r>
          <rPr>
            <sz val="9"/>
            <color indexed="81"/>
            <rFont val="Tahoma"/>
            <family val="2"/>
          </rPr>
          <t xml:space="preserve">
98,777 tỷ đồng</t>
        </r>
      </text>
    </comment>
    <comment ref="C48" authorId="2" shapeId="0">
      <text>
        <r>
          <rPr>
            <b/>
            <sz val="9"/>
            <color indexed="81"/>
            <rFont val="Tahoma"/>
            <family val="2"/>
          </rPr>
          <t>quangbxdth:</t>
        </r>
        <r>
          <rPr>
            <sz val="9"/>
            <color indexed="81"/>
            <rFont val="Tahoma"/>
            <family val="2"/>
          </rPr>
          <t xml:space="preserve">
TW giao 1.383 tỷ đồng
 (ngày 29/11/2019-QĐ 1704/QĐ-TTg và QĐ 2503/QĐ-BTC)
ĐP giao: 1.460 tỷ đồng</t>
        </r>
      </text>
    </comment>
    <comment ref="C53" authorId="2" shapeId="0">
      <text>
        <r>
          <rPr>
            <b/>
            <sz val="9"/>
            <color indexed="81"/>
            <rFont val="Tahoma"/>
            <family val="2"/>
          </rPr>
          <t>quangbxdth:</t>
        </r>
        <r>
          <rPr>
            <sz val="9"/>
            <color indexed="81"/>
            <rFont val="Tahoma"/>
            <family val="2"/>
          </rPr>
          <t xml:space="preserve">
+4.693.126 trđ (năm 2017)
+ 94.000 trd (# năm 2019)
</t>
        </r>
      </text>
    </comment>
    <comment ref="R53" authorId="1" shapeId="0">
      <text>
        <r>
          <rPr>
            <b/>
            <sz val="9"/>
            <color indexed="81"/>
            <rFont val="Tahoma"/>
            <family val="2"/>
          </rPr>
          <t>Quangbxdth:</t>
        </r>
        <r>
          <rPr>
            <sz val="9"/>
            <color indexed="81"/>
            <rFont val="Tahoma"/>
            <family val="2"/>
          </rPr>
          <t xml:space="preserve">
6.487.488 trđ</t>
        </r>
      </text>
    </comment>
    <comment ref="C59" authorId="1"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H59" authorId="1"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N59" authorId="1" shapeId="0">
      <text>
        <r>
          <rPr>
            <b/>
            <sz val="9"/>
            <color indexed="81"/>
            <rFont val="Tahoma"/>
            <family val="2"/>
          </rPr>
          <t>Quangbxdth:</t>
        </r>
        <r>
          <rPr>
            <sz val="9"/>
            <color indexed="81"/>
            <rFont val="Tahoma"/>
            <family val="2"/>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 ref="T59" authorId="1"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Z59" authorId="1"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List>
</comments>
</file>

<file path=xl/comments19.xml><?xml version="1.0" encoding="utf-8"?>
<comments xmlns="http://schemas.openxmlformats.org/spreadsheetml/2006/main">
  <authors>
    <author>quangbx</author>
    <author>Quangbxdth</author>
    <author>Quangbx</author>
    <author>Windows User</author>
    <author>quangbxdth</author>
  </authors>
  <commentList>
    <comment ref="K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K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K9" authorId="1" shapeId="0">
      <text>
        <r>
          <rPr>
            <b/>
            <sz val="9"/>
            <color indexed="81"/>
            <rFont val="Tahoma"/>
            <family val="2"/>
          </rPr>
          <t>Quangbxdth:</t>
        </r>
        <r>
          <rPr>
            <sz val="9"/>
            <color indexed="81"/>
            <rFont val="Tahoma"/>
            <family val="2"/>
          </rPr>
          <t xml:space="preserve">
TW hướng dẫn: 3.226.904 triệu đồng, trong đó: TSDĐ: 850.000 triệu đồng, XSKT: 1.600.000 triệu đồng, XDCBTT: 776.904 triệu đồng, đã bao gồm chi trả nợ vay gốc từ nguồn bội thu theo kế hoạch phải thu phải trả năm 2023 cho  NHPT: 247.800 triệu đồng</t>
        </r>
      </text>
    </comment>
    <comment ref="N9" authorId="1" shapeId="0">
      <text>
        <r>
          <rPr>
            <b/>
            <sz val="9"/>
            <color indexed="81"/>
            <rFont val="Tahoma"/>
            <family val="2"/>
          </rPr>
          <t>Quangbxdth:</t>
        </r>
        <r>
          <rPr>
            <sz val="9"/>
            <color indexed="81"/>
            <rFont val="Tahoma"/>
            <family val="2"/>
          </rPr>
          <t xml:space="preserve">
TW hướng dẫn: 3.226.904 triệu đồng, trong đó: TSDĐ: 850.000 triệu đồng, XSKT: 1.600.000 triệu đồng, XDCBTT: 776.904 triệu đồng, đã bao gồm chi trả nợ vay gốc từ nguồn bội thu theo kế hoạch phải thu phải trả năm 2023 cho  NHPT: 247.800 triệu đồng</t>
        </r>
      </text>
    </comment>
    <comment ref="C10" authorId="2" shapeId="0">
      <text>
        <r>
          <rPr>
            <b/>
            <sz val="9"/>
            <color indexed="81"/>
            <rFont val="Tahoma"/>
            <family val="2"/>
          </rPr>
          <t>Quangbx:</t>
        </r>
        <r>
          <rPr>
            <sz val="9"/>
            <color indexed="81"/>
            <rFont val="Tahoma"/>
            <family val="2"/>
          </rPr>
          <t xml:space="preserve">
-- Tw hướng dẫn: 951.580 trđ, trong đó chưa kể phần trả nợ gốc 23,4 tỷ đồng</t>
        </r>
      </text>
    </comment>
    <comment ref="K10" authorId="2" shapeId="0">
      <text>
        <r>
          <rPr>
            <b/>
            <sz val="9"/>
            <color indexed="81"/>
            <rFont val="Tahoma"/>
            <family val="2"/>
          </rPr>
          <t>Quangbx:</t>
        </r>
        <r>
          <rPr>
            <sz val="9"/>
            <color indexed="81"/>
            <rFont val="Tahoma"/>
            <family val="2"/>
          </rPr>
          <t xml:space="preserve">
- Tw hướng dẫn:  776.904 trđ, trong đó bao gồm phần trả nợ gốc 247.000 triệu đồng, nếu loại trừ 247.800 trđ là 1.023.904 trđ
- ĐP dự kiiến;
- 1.061.000 trđ, bao gồm trả nợ gốc: 247.000 trđ, nếu loại trừ 247.000 trđ là 814.000 trđ</t>
        </r>
      </text>
    </comment>
    <comment ref="K11" authorId="0" shapeId="0">
      <text>
        <r>
          <rPr>
            <b/>
            <sz val="9"/>
            <color indexed="81"/>
            <rFont val="Segoe UI"/>
            <family val="2"/>
          </rPr>
          <t>quangbx:</t>
        </r>
        <r>
          <rPr>
            <sz val="9"/>
            <color indexed="81"/>
            <rFont val="Segoe UI"/>
            <family val="2"/>
          </rPr>
          <t xml:space="preserve">
TW hướng dẫn: 850 tỷ đồng</t>
        </r>
      </text>
    </comment>
    <comment ref="N11" authorId="0" shapeId="0">
      <text>
        <r>
          <rPr>
            <b/>
            <sz val="9"/>
            <color indexed="81"/>
            <rFont val="Segoe UI"/>
            <family val="2"/>
          </rPr>
          <t>quangbx:</t>
        </r>
        <r>
          <rPr>
            <sz val="9"/>
            <color indexed="81"/>
            <rFont val="Segoe UI"/>
            <family val="2"/>
          </rPr>
          <t xml:space="preserve">
Đầu tư cụm công nghiệp Quảng Khánh (giai đoạn 1)</t>
        </r>
      </text>
    </comment>
    <comment ref="C15" authorId="0" shapeId="0">
      <text>
        <r>
          <rPr>
            <b/>
            <sz val="9"/>
            <color indexed="81"/>
            <rFont val="Segoe UI"/>
            <family val="2"/>
          </rPr>
          <t>quangbx:</t>
        </r>
        <r>
          <rPr>
            <sz val="9"/>
            <color indexed="81"/>
            <rFont val="Segoe UI"/>
            <family val="2"/>
          </rPr>
          <t xml:space="preserve">
BTC giao: 9.045.866 trd</t>
        </r>
      </text>
    </comment>
    <comment ref="K15" authorId="1" shapeId="0">
      <text>
        <r>
          <rPr>
            <b/>
            <sz val="9"/>
            <color indexed="81"/>
            <rFont val="Tahoma"/>
            <family val="2"/>
          </rPr>
          <t>Quangbxdth:</t>
        </r>
        <r>
          <rPr>
            <sz val="9"/>
            <color indexed="81"/>
            <rFont val="Tahoma"/>
            <family val="2"/>
          </rPr>
          <t xml:space="preserve">
Năm 2023: 9.402.554 trđ
</t>
        </r>
      </text>
    </comment>
    <comment ref="K16" authorId="1" shapeId="0">
      <text>
        <r>
          <rPr>
            <b/>
            <sz val="9"/>
            <color indexed="81"/>
            <rFont val="Tahoma"/>
            <family val="2"/>
          </rPr>
          <t>Quangbxdth:</t>
        </r>
        <r>
          <rPr>
            <sz val="9"/>
            <color indexed="81"/>
            <rFont val="Tahoma"/>
            <family val="2"/>
          </rPr>
          <t xml:space="preserve">
Định mức: 1.560.129 trđ</t>
        </r>
      </text>
    </comment>
    <comment ref="C17" authorId="2" shapeId="0">
      <text>
        <r>
          <rPr>
            <b/>
            <sz val="9"/>
            <color indexed="81"/>
            <rFont val="Tahoma"/>
            <family val="2"/>
          </rPr>
          <t>Quangbx:</t>
        </r>
        <r>
          <rPr>
            <sz val="9"/>
            <color indexed="81"/>
            <rFont val="Tahoma"/>
            <family val="2"/>
          </rPr>
          <t xml:space="preserve">
Tw hướng dẫn: 99.374 trđ
(CL: 44.095 trđ)</t>
        </r>
      </text>
    </comment>
    <comment ref="K17" authorId="2" shapeId="0">
      <text>
        <r>
          <rPr>
            <b/>
            <sz val="9"/>
            <color indexed="81"/>
            <rFont val="Tahoma"/>
            <family val="2"/>
          </rPr>
          <t>Quangbx:</t>
        </r>
        <r>
          <rPr>
            <sz val="9"/>
            <color indexed="81"/>
            <rFont val="Tahoma"/>
            <family val="2"/>
          </rPr>
          <t xml:space="preserve">
-Định mức: 59.674 trđ
</t>
        </r>
      </text>
    </comment>
    <comment ref="C19" authorId="3" shapeId="0">
      <text>
        <r>
          <rPr>
            <b/>
            <sz val="9"/>
            <color indexed="81"/>
            <rFont val="Tahoma"/>
            <family val="2"/>
          </rPr>
          <t>quangbx:</t>
        </r>
        <r>
          <rPr>
            <sz val="9"/>
            <color indexed="81"/>
            <rFont val="Tahoma"/>
            <family val="2"/>
          </rPr>
          <t xml:space="preserve">
Tw hướng dẫn: 27.026 trđ</t>
        </r>
      </text>
    </comment>
    <comment ref="K19" authorId="3" shapeId="0">
      <text>
        <r>
          <rPr>
            <b/>
            <sz val="9"/>
            <color indexed="81"/>
            <rFont val="Tahoma"/>
            <family val="2"/>
          </rPr>
          <t>quangbx:</t>
        </r>
        <r>
          <rPr>
            <sz val="9"/>
            <color indexed="81"/>
            <rFont val="Tahoma"/>
            <family val="2"/>
          </rPr>
          <t xml:space="preserve">
Tw hướng dẫn: 27.918 trđ</t>
        </r>
      </text>
    </comment>
    <comment ref="K20" authorId="4" shapeId="0">
      <text>
        <r>
          <rPr>
            <b/>
            <sz val="9"/>
            <color indexed="81"/>
            <rFont val="Tahoma"/>
            <family val="2"/>
          </rPr>
          <t>quangbxdth:</t>
        </r>
        <r>
          <rPr>
            <sz val="9"/>
            <color indexed="81"/>
            <rFont val="Tahoma"/>
            <family val="2"/>
          </rPr>
          <t xml:space="preserve">
- Định mức: 4.090.257 trđ
- Năm 2023: TW hướng dẫn: 4.179.745 trđ, cao hơn năm 2022 số tiền: 89.488 trđ, do tăng chính sách, đối tượng,….</t>
        </r>
      </text>
    </comment>
    <comment ref="K21" authorId="1" shapeId="0">
      <text>
        <r>
          <rPr>
            <b/>
            <sz val="9"/>
            <color indexed="81"/>
            <rFont val="Tahoma"/>
            <family val="2"/>
          </rPr>
          <t>Quangbxdth:</t>
        </r>
        <r>
          <rPr>
            <sz val="9"/>
            <color indexed="81"/>
            <rFont val="Tahoma"/>
            <family val="2"/>
          </rPr>
          <t xml:space="preserve">
Định mức: 760.427 trđ</t>
        </r>
      </text>
    </comment>
    <comment ref="K22" authorId="4" shapeId="0">
      <text>
        <r>
          <rPr>
            <b/>
            <sz val="9"/>
            <color indexed="81"/>
            <rFont val="Tahoma"/>
            <family val="2"/>
          </rPr>
          <t>quangbxdth:</t>
        </r>
        <r>
          <rPr>
            <sz val="9"/>
            <color indexed="81"/>
            <rFont val="Tahoma"/>
            <family val="2"/>
          </rPr>
          <t xml:space="preserve">
- Định mức: 73.993 trđ
</t>
        </r>
      </text>
    </comment>
    <comment ref="K23" authorId="4" shapeId="0">
      <text>
        <r>
          <rPr>
            <b/>
            <sz val="9"/>
            <color indexed="81"/>
            <rFont val="Tahoma"/>
            <family val="2"/>
          </rPr>
          <t>quangbxdth:</t>
        </r>
        <r>
          <rPr>
            <sz val="9"/>
            <color indexed="81"/>
            <rFont val="Tahoma"/>
            <family val="2"/>
          </rPr>
          <t xml:space="preserve">
- Định mức: 44.408 trđ
</t>
        </r>
      </text>
    </comment>
    <comment ref="K24" authorId="4" shapeId="0">
      <text>
        <r>
          <rPr>
            <b/>
            <sz val="9"/>
            <color indexed="81"/>
            <rFont val="Tahoma"/>
            <family val="2"/>
          </rPr>
          <t>quangbxdth:</t>
        </r>
        <r>
          <rPr>
            <sz val="9"/>
            <color indexed="81"/>
            <rFont val="Tahoma"/>
            <family val="2"/>
          </rPr>
          <t xml:space="preserve">
- Định mức: 38.158 trđ
</t>
        </r>
      </text>
    </comment>
    <comment ref="K25" authorId="4" shapeId="0">
      <text>
        <r>
          <rPr>
            <b/>
            <sz val="9"/>
            <color indexed="81"/>
            <rFont val="Tahoma"/>
            <family val="2"/>
          </rPr>
          <t>quangbxdth:</t>
        </r>
        <r>
          <rPr>
            <sz val="9"/>
            <color indexed="81"/>
            <rFont val="Tahoma"/>
            <family val="2"/>
          </rPr>
          <t xml:space="preserve">
- Định mức theo dân số: 85.555 trđ
- Tiêu chí bổ sung: 454.829 trđ</t>
        </r>
      </text>
    </comment>
    <comment ref="K27" authorId="4" shapeId="0">
      <text>
        <r>
          <rPr>
            <b/>
            <sz val="9"/>
            <color indexed="81"/>
            <rFont val="Tahoma"/>
            <family val="2"/>
          </rPr>
          <t>quangbxdth:</t>
        </r>
        <r>
          <rPr>
            <sz val="9"/>
            <color indexed="81"/>
            <rFont val="Tahoma"/>
            <family val="2"/>
          </rPr>
          <t xml:space="preserve">
- Định mức AN-QP: 212.148 trđ (QP: 140.846 trđ; AN: 71.302 trđ)
</t>
        </r>
      </text>
    </comment>
    <comment ref="K28" authorId="4" shapeId="0">
      <text>
        <r>
          <rPr>
            <b/>
            <sz val="9"/>
            <color indexed="81"/>
            <rFont val="Tahoma"/>
            <family val="2"/>
          </rPr>
          <t>quangbxdth:</t>
        </r>
        <r>
          <rPr>
            <sz val="9"/>
            <color indexed="81"/>
            <rFont val="Tahoma"/>
            <family val="2"/>
          </rPr>
          <t xml:space="preserve">
- Định mức: 43.035 trđ
</t>
        </r>
      </text>
    </comment>
    <comment ref="K29" authorId="0" shapeId="0">
      <text>
        <r>
          <rPr>
            <b/>
            <sz val="8"/>
            <color indexed="81"/>
            <rFont val="Tahoma"/>
            <family val="2"/>
          </rPr>
          <t>quangbx:</t>
        </r>
        <r>
          <rPr>
            <sz val="8"/>
            <color indexed="81"/>
            <rFont val="Tahoma"/>
            <family val="2"/>
          </rPr>
          <t xml:space="preserve">
TW hướng dẫn: 1.400 trđ</t>
        </r>
      </text>
    </comment>
    <comment ref="C30" authorId="0" shapeId="0">
      <text>
        <r>
          <rPr>
            <b/>
            <sz val="8"/>
            <color indexed="81"/>
            <rFont val="Tahoma"/>
            <family val="2"/>
          </rPr>
          <t>quangbx:</t>
        </r>
        <r>
          <rPr>
            <sz val="8"/>
            <color indexed="81"/>
            <rFont val="Tahoma"/>
            <family val="2"/>
          </rPr>
          <t xml:space="preserve">
TW hướng dẫn: 252.266 trđ
</t>
        </r>
      </text>
    </comment>
    <comment ref="K30" authorId="4" shapeId="0">
      <text>
        <r>
          <rPr>
            <b/>
            <sz val="9"/>
            <color indexed="81"/>
            <rFont val="Tahoma"/>
            <family val="2"/>
          </rPr>
          <t>quangbxdth:</t>
        </r>
        <r>
          <rPr>
            <sz val="9"/>
            <color indexed="81"/>
            <rFont val="Tahoma"/>
            <family val="2"/>
          </rPr>
          <t xml:space="preserve">
- Định mức: 43.035 trđ
</t>
        </r>
      </text>
    </comment>
    <comment ref="K31" authorId="1" shapeId="0">
      <text>
        <r>
          <rPr>
            <b/>
            <sz val="9"/>
            <color indexed="81"/>
            <rFont val="Tahoma"/>
            <family val="2"/>
          </rPr>
          <t>Quangbxdth:</t>
        </r>
        <r>
          <rPr>
            <sz val="9"/>
            <color indexed="81"/>
            <rFont val="Tahoma"/>
            <family val="2"/>
          </rPr>
          <t xml:space="preserve">
tạo nguồn và tích lũy cho giai đoạn 2021-2025</t>
        </r>
      </text>
    </comment>
    <comment ref="K34" authorId="4" shapeId="0">
      <text>
        <r>
          <rPr>
            <b/>
            <sz val="9"/>
            <color indexed="81"/>
            <rFont val="Tahoma"/>
            <family val="2"/>
          </rPr>
          <t>quangbxdth:</t>
        </r>
        <r>
          <rPr>
            <sz val="9"/>
            <color indexed="81"/>
            <rFont val="Tahoma"/>
            <family val="2"/>
          </rPr>
          <t xml:space="preserve">
TW hướng dẫn: 2.100 trđ</t>
        </r>
      </text>
    </comment>
    <comment ref="K39" authorId="1" shapeId="0">
      <text>
        <r>
          <rPr>
            <b/>
            <sz val="9"/>
            <color indexed="81"/>
            <rFont val="Tahoma"/>
            <family val="2"/>
          </rPr>
          <t>Quangbxdth:</t>
        </r>
        <r>
          <rPr>
            <sz val="9"/>
            <color indexed="81"/>
            <rFont val="Tahoma"/>
            <family val="2"/>
          </rPr>
          <t xml:space="preserve">
TW: 31.500 trđ</t>
        </r>
      </text>
    </comment>
  </commentList>
</comments>
</file>

<file path=xl/comments2.xml><?xml version="1.0" encoding="utf-8"?>
<comments xmlns="http://schemas.openxmlformats.org/spreadsheetml/2006/main">
  <authors>
    <author>pc</author>
    <author>quangbx</author>
    <author>Quangbxdth</author>
    <author>quangbxdth</author>
  </authors>
  <commentList>
    <comment ref="T4" authorId="0" shapeId="0">
      <text>
        <r>
          <rPr>
            <b/>
            <sz val="9"/>
            <color indexed="81"/>
            <rFont val="Tahoma"/>
            <family val="2"/>
          </rPr>
          <t>pc:</t>
        </r>
        <r>
          <rPr>
            <sz val="9"/>
            <color indexed="81"/>
            <rFont val="Tahoma"/>
            <family val="2"/>
          </rPr>
          <t xml:space="preserve">
Số này ước lại theo số liệu mới của Cục Thuế Đồng Tháp.</t>
        </r>
      </text>
    </comment>
    <comment ref="Z4" authorId="0" shapeId="0">
      <text>
        <r>
          <rPr>
            <b/>
            <sz val="9"/>
            <color indexed="81"/>
            <rFont val="Tahoma"/>
            <family val="2"/>
          </rPr>
          <t>pc:
Năm xây dựng nên lấy làm gốc theo số thảo luận</t>
        </r>
        <r>
          <rPr>
            <sz val="9"/>
            <color indexed="81"/>
            <rFont val="Tahoma"/>
            <family val="2"/>
          </rPr>
          <t xml:space="preserve">
</t>
        </r>
      </text>
    </comment>
    <comment ref="C8" authorId="1" shapeId="0">
      <text>
        <r>
          <rPr>
            <b/>
            <sz val="9"/>
            <color indexed="81"/>
            <rFont val="Tahoma"/>
            <family val="2"/>
          </rPr>
          <t>quangbx:</t>
        </r>
        <r>
          <rPr>
            <sz val="9"/>
            <color indexed="81"/>
            <rFont val="Tahoma"/>
            <family val="2"/>
          </rPr>
          <t xml:space="preserve">
6.818.777 triệu đồng</t>
        </r>
      </text>
    </comment>
    <comment ref="E8" authorId="2" shapeId="0">
      <text>
        <r>
          <rPr>
            <b/>
            <sz val="9"/>
            <color indexed="81"/>
            <rFont val="Tahoma"/>
            <family val="2"/>
          </rPr>
          <t>Quangbxdth:</t>
        </r>
        <r>
          <rPr>
            <sz val="9"/>
            <color indexed="81"/>
            <rFont val="Tahoma"/>
            <family val="2"/>
          </rPr>
          <t xml:space="preserve">
5.809.777 trđ`</t>
        </r>
      </text>
    </comment>
    <comment ref="N10" authorId="0" shapeId="0">
      <text>
        <r>
          <rPr>
            <b/>
            <sz val="9"/>
            <color indexed="81"/>
            <rFont val="Tahoma"/>
            <family val="2"/>
          </rPr>
          <t>pc:</t>
        </r>
        <r>
          <rPr>
            <sz val="9"/>
            <color indexed="81"/>
            <rFont val="Tahoma"/>
            <family val="2"/>
          </rPr>
          <t xml:space="preserve">
Chú ý số CPH không đưa vào cân đối</t>
        </r>
      </text>
    </comment>
    <comment ref="V38" authorId="3" shapeId="0">
      <text>
        <r>
          <rPr>
            <b/>
            <sz val="9"/>
            <color indexed="81"/>
            <rFont val="Tahoma"/>
            <family val="2"/>
          </rPr>
          <t>quangbxdth:</t>
        </r>
        <r>
          <rPr>
            <sz val="9"/>
            <color indexed="81"/>
            <rFont val="Tahoma"/>
            <family val="2"/>
          </rPr>
          <t xml:space="preserve">
tỷ lệ: 40% điiều tiết NSTW, còn địa phuong huong 60%</t>
        </r>
      </text>
    </comment>
    <comment ref="AB38" authorId="3" shapeId="0">
      <text>
        <r>
          <rPr>
            <b/>
            <sz val="9"/>
            <color indexed="81"/>
            <rFont val="Tahoma"/>
            <family val="2"/>
          </rPr>
          <t>quangbxdth:</t>
        </r>
        <r>
          <rPr>
            <sz val="9"/>
            <color indexed="81"/>
            <rFont val="Tahoma"/>
            <family val="2"/>
          </rPr>
          <t xml:space="preserve">
tỷ lệ: 40% điiều tiết NSTW, còn địa phuong huong 60%</t>
        </r>
      </text>
    </comment>
    <comment ref="AH38" authorId="3" shapeId="0">
      <text>
        <r>
          <rPr>
            <b/>
            <sz val="9"/>
            <color indexed="81"/>
            <rFont val="Tahoma"/>
            <family val="2"/>
          </rPr>
          <t>quangbxdth:</t>
        </r>
        <r>
          <rPr>
            <sz val="9"/>
            <color indexed="81"/>
            <rFont val="Tahoma"/>
            <family val="2"/>
          </rPr>
          <t xml:space="preserve">
tỷ lệ: 40% điiều tiết NSTW, còn địa phuong huong 60%</t>
        </r>
      </text>
    </comment>
    <comment ref="AN38" authorId="3" shapeId="0">
      <text>
        <r>
          <rPr>
            <b/>
            <sz val="9"/>
            <color indexed="81"/>
            <rFont val="Tahoma"/>
            <family val="2"/>
          </rPr>
          <t>quangbxdth:</t>
        </r>
        <r>
          <rPr>
            <sz val="9"/>
            <color indexed="81"/>
            <rFont val="Tahoma"/>
            <family val="2"/>
          </rPr>
          <t xml:space="preserve">
tỷ lệ: 40% điiều tiết NSTW, còn địa phuong huong 60%</t>
        </r>
      </text>
    </comment>
    <comment ref="AT38" authorId="3" shapeId="0">
      <text>
        <r>
          <rPr>
            <b/>
            <sz val="9"/>
            <color indexed="81"/>
            <rFont val="Tahoma"/>
            <family val="2"/>
          </rPr>
          <t>quangbxdth:</t>
        </r>
        <r>
          <rPr>
            <sz val="9"/>
            <color indexed="81"/>
            <rFont val="Tahoma"/>
            <family val="2"/>
          </rPr>
          <t xml:space="preserve">
tỷ lệ: 40% điiều tiết NSTW, còn địa phuong huong 60%</t>
        </r>
      </text>
    </comment>
    <comment ref="AZ38" authorId="3" shapeId="0">
      <text>
        <r>
          <rPr>
            <b/>
            <sz val="9"/>
            <color indexed="81"/>
            <rFont val="Tahoma"/>
            <family val="2"/>
          </rPr>
          <t>quangbxdth:</t>
        </r>
        <r>
          <rPr>
            <sz val="9"/>
            <color indexed="81"/>
            <rFont val="Tahoma"/>
            <family val="2"/>
          </rPr>
          <t xml:space="preserve">
tỷ lệ: 40% điiều tiết NSTW, còn địa phuong huong 60%</t>
        </r>
      </text>
    </comment>
    <comment ref="BF38" authorId="3" shapeId="0">
      <text>
        <r>
          <rPr>
            <b/>
            <sz val="9"/>
            <color indexed="81"/>
            <rFont val="Tahoma"/>
            <family val="2"/>
          </rPr>
          <t>quangbxdth:</t>
        </r>
        <r>
          <rPr>
            <sz val="9"/>
            <color indexed="81"/>
            <rFont val="Tahoma"/>
            <family val="2"/>
          </rPr>
          <t xml:space="preserve">
tỷ lệ: 40% điiều tiết NSTW, còn địa phuong huong 60%</t>
        </r>
      </text>
    </comment>
    <comment ref="BL38" authorId="3" shapeId="0">
      <text>
        <r>
          <rPr>
            <b/>
            <sz val="9"/>
            <color indexed="81"/>
            <rFont val="Tahoma"/>
            <family val="2"/>
          </rPr>
          <t>quangbxdth:</t>
        </r>
        <r>
          <rPr>
            <sz val="9"/>
            <color indexed="81"/>
            <rFont val="Tahoma"/>
            <family val="2"/>
          </rPr>
          <t xml:space="preserve">
tỷ lệ: 40% điiều tiết NSTW, còn địa phuong huong 60%</t>
        </r>
      </text>
    </comment>
    <comment ref="C39" authorId="2" shapeId="0">
      <text>
        <r>
          <rPr>
            <b/>
            <sz val="10"/>
            <color indexed="81"/>
            <rFont val="Tahoma"/>
            <family val="2"/>
          </rPr>
          <t>Quangbxdth:</t>
        </r>
        <r>
          <rPr>
            <sz val="10"/>
            <color indexed="81"/>
            <rFont val="Tahoma"/>
            <family val="2"/>
          </rPr>
          <t xml:space="preserve">
Tr.đó:+ Phí BVMT đối với khai thác khoáng sản: 46.000 trđ</t>
        </r>
      </text>
    </comment>
    <comment ref="D39" authorId="2" shapeId="0">
      <text>
        <r>
          <rPr>
            <b/>
            <sz val="9"/>
            <color indexed="81"/>
            <rFont val="Tahoma"/>
            <family val="2"/>
          </rPr>
          <t>Quangbxdth:</t>
        </r>
        <r>
          <rPr>
            <sz val="9"/>
            <color indexed="81"/>
            <rFont val="Tahoma"/>
            <family val="2"/>
          </rPr>
          <t xml:space="preserve">
Lệ phí cấp căn cước công dân: 15,9 tỷ đồng</t>
        </r>
      </text>
    </comment>
    <comment ref="G39" authorId="1" shapeId="0">
      <text>
        <r>
          <rPr>
            <b/>
            <sz val="8"/>
            <color indexed="81"/>
            <rFont val="Tahoma"/>
            <family val="2"/>
          </rPr>
          <t>quangbx:</t>
        </r>
        <r>
          <rPr>
            <sz val="8"/>
            <color indexed="81"/>
            <rFont val="Tahoma"/>
            <family val="2"/>
          </rPr>
          <t xml:space="preserve">
59.500 trđ</t>
        </r>
      </text>
    </comment>
    <comment ref="H39" authorId="2" shapeId="0">
      <text>
        <r>
          <rPr>
            <b/>
            <sz val="10"/>
            <color indexed="81"/>
            <rFont val="Tahoma"/>
            <family val="2"/>
          </rPr>
          <t>Quangbxdth:</t>
        </r>
        <r>
          <rPr>
            <sz val="10"/>
            <color indexed="81"/>
            <rFont val="Tahoma"/>
            <family val="2"/>
          </rPr>
          <t xml:space="preserve">
Tr.đó:+ Phí BVMT đối với khai thác khoáng sản: 45.000 trđ</t>
        </r>
      </text>
    </comment>
    <comment ref="R39" authorId="2" shapeId="0">
      <text>
        <r>
          <rPr>
            <b/>
            <sz val="10"/>
            <color indexed="81"/>
            <rFont val="Tahoma"/>
            <family val="2"/>
          </rPr>
          <t>Quangbxdth:</t>
        </r>
        <r>
          <rPr>
            <sz val="10"/>
            <color indexed="81"/>
            <rFont val="Tahoma"/>
            <family val="2"/>
          </rPr>
          <t xml:space="preserve">
TW giao 105,000 triệu đồng
Tr.đó:+ Phí BVMT đối với khai thác khoáng sản: 37.000 trđ
         + Phí BVMT đối với nước thải: 17.500 trđ</t>
        </r>
      </text>
    </comment>
    <comment ref="AF39" authorId="3" shapeId="0">
      <text>
        <r>
          <rPr>
            <b/>
            <sz val="9"/>
            <color indexed="81"/>
            <rFont val="Tahoma"/>
            <family val="2"/>
          </rPr>
          <t>quangbxdth:</t>
        </r>
        <r>
          <rPr>
            <sz val="9"/>
            <color indexed="81"/>
            <rFont val="Tahoma"/>
            <family val="2"/>
          </rPr>
          <t xml:space="preserve">
Phí Tw: 30.000 trđ
phí bảo vệ môi trường khai thác khoáng sản: 41.000 trđ
Phí môn bải: 17.400 trđ
phí còn lại của ĐP: 44.600 trđ</t>
        </r>
      </text>
    </comment>
    <comment ref="N40" authorId="1" shapeId="0">
      <text>
        <r>
          <rPr>
            <b/>
            <sz val="9"/>
            <color indexed="81"/>
            <rFont val="Tahoma"/>
            <family val="2"/>
          </rPr>
          <t>quangbx:</t>
        </r>
        <r>
          <rPr>
            <sz val="9"/>
            <color indexed="81"/>
            <rFont val="Tahoma"/>
            <family val="2"/>
          </rPr>
          <t xml:space="preserve">
TW giao 850 tỷ đồng</t>
        </r>
      </text>
    </comment>
    <comment ref="C43" authorId="2" shapeId="0">
      <text>
        <r>
          <rPr>
            <b/>
            <sz val="9"/>
            <color indexed="81"/>
            <rFont val="Tahoma"/>
            <family val="2"/>
          </rPr>
          <t>Quangbxdth:</t>
        </r>
        <r>
          <rPr>
            <sz val="9"/>
            <color indexed="81"/>
            <rFont val="Tahoma"/>
            <family val="2"/>
          </rPr>
          <t xml:space="preserve">
Tr.đó: - Thu phạt vi phạm ATGT: 47.000 trđ</t>
        </r>
      </text>
    </comment>
    <comment ref="K43" authorId="3" shapeId="0">
      <text>
        <r>
          <rPr>
            <b/>
            <sz val="9"/>
            <color indexed="81"/>
            <rFont val="Tahoma"/>
            <family val="2"/>
          </rPr>
          <t>quangbxdth:</t>
        </r>
        <r>
          <rPr>
            <sz val="9"/>
            <color indexed="81"/>
            <rFont val="Tahoma"/>
            <family val="2"/>
          </rPr>
          <t xml:space="preserve">
Trong đó : phạt ATGT: 46.000 trđ</t>
        </r>
      </text>
    </comment>
    <comment ref="C45" authorId="1" shapeId="0">
      <text>
        <r>
          <rPr>
            <b/>
            <sz val="9"/>
            <color indexed="81"/>
            <rFont val="Tahoma"/>
            <family val="2"/>
          </rPr>
          <t>quangbx:</t>
        </r>
        <r>
          <rPr>
            <sz val="9"/>
            <color indexed="81"/>
            <rFont val="Tahoma"/>
            <family val="2"/>
          </rPr>
          <t xml:space="preserve">
98,777 tỷ đồng</t>
        </r>
      </text>
    </comment>
    <comment ref="C48" authorId="3" shapeId="0">
      <text>
        <r>
          <rPr>
            <b/>
            <sz val="9"/>
            <color indexed="81"/>
            <rFont val="Tahoma"/>
            <family val="2"/>
          </rPr>
          <t>quangbxdth:</t>
        </r>
        <r>
          <rPr>
            <sz val="9"/>
            <color indexed="81"/>
            <rFont val="Tahoma"/>
            <family val="2"/>
          </rPr>
          <t xml:space="preserve">
TW giao 1.383 tỷ đồng
 (ngày 29/11/2019-QĐ 1704/QĐ-TTg và QĐ 2503/QĐ-BTC)
ĐP giao: 1.460 tỷ đồng</t>
        </r>
      </text>
    </comment>
    <comment ref="C53" authorId="3" shapeId="0">
      <text>
        <r>
          <rPr>
            <b/>
            <sz val="9"/>
            <color indexed="81"/>
            <rFont val="Tahoma"/>
            <family val="2"/>
          </rPr>
          <t>quangbxdth:</t>
        </r>
        <r>
          <rPr>
            <sz val="9"/>
            <color indexed="81"/>
            <rFont val="Tahoma"/>
            <family val="2"/>
          </rPr>
          <t xml:space="preserve">
+4.693.126 trđ (năm 2017)
+ 94.000 trd (# năm 2019)
</t>
        </r>
      </text>
    </comment>
    <comment ref="R53" authorId="2" shapeId="0">
      <text>
        <r>
          <rPr>
            <b/>
            <sz val="9"/>
            <color indexed="81"/>
            <rFont val="Tahoma"/>
            <family val="2"/>
          </rPr>
          <t>Quangbxdth:</t>
        </r>
        <r>
          <rPr>
            <sz val="9"/>
            <color indexed="81"/>
            <rFont val="Tahoma"/>
            <family val="2"/>
          </rPr>
          <t xml:space="preserve">
6.487.488 trđ</t>
        </r>
      </text>
    </comment>
    <comment ref="C59" authorId="2"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H59" authorId="2"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N59" authorId="2" shapeId="0">
      <text>
        <r>
          <rPr>
            <b/>
            <sz val="9"/>
            <color indexed="81"/>
            <rFont val="Tahoma"/>
            <family val="2"/>
          </rPr>
          <t>Quangbxdth:</t>
        </r>
        <r>
          <rPr>
            <sz val="9"/>
            <color indexed="81"/>
            <rFont val="Tahoma"/>
            <family val="2"/>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 ref="AF59" authorId="2"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List>
</comments>
</file>

<file path=xl/comments20.xml><?xml version="1.0" encoding="utf-8"?>
<comments xmlns="http://schemas.openxmlformats.org/spreadsheetml/2006/main">
  <authors>
    <author>pc</author>
  </authors>
  <commentList>
    <comment ref="E15" authorId="0" shapeId="0">
      <text>
        <r>
          <rPr>
            <b/>
            <sz val="9"/>
            <color indexed="81"/>
            <rFont val="Tahoma"/>
            <family val="2"/>
          </rPr>
          <t>pc:</t>
        </r>
        <r>
          <rPr>
            <sz val="9"/>
            <color indexed="81"/>
            <rFont val="Tahoma"/>
            <family val="2"/>
          </rPr>
          <t xml:space="preserve">
Trừ CCTL và Trợ cấp cân đối tăng thêm để đảm bảo số BSMT</t>
        </r>
      </text>
    </comment>
  </commentList>
</comments>
</file>

<file path=xl/comments21.xml><?xml version="1.0" encoding="utf-8"?>
<comments xmlns="http://schemas.openxmlformats.org/spreadsheetml/2006/main">
  <authors>
    <author>Administrator</author>
  </authors>
  <commentList>
    <comment ref="U20" authorId="0" shapeId="0">
      <text>
        <r>
          <rPr>
            <b/>
            <sz val="8"/>
            <color indexed="81"/>
            <rFont val="Tahoma"/>
            <family val="2"/>
          </rPr>
          <t>Administrator:</t>
        </r>
        <r>
          <rPr>
            <sz val="8"/>
            <color indexed="81"/>
            <rFont val="Tahoma"/>
            <family val="2"/>
          </rPr>
          <t xml:space="preserve">
50% tăng thu so với dự toán HĐND giao</t>
        </r>
      </text>
    </comment>
  </commentList>
</comments>
</file>

<file path=xl/comments22.xml><?xml version="1.0" encoding="utf-8"?>
<comments xmlns="http://schemas.openxmlformats.org/spreadsheetml/2006/main">
  <authors>
    <author>Administrator</author>
    <author>pc</author>
  </authors>
  <commentList>
    <comment ref="U20" authorId="0" shapeId="0">
      <text>
        <r>
          <rPr>
            <b/>
            <sz val="8"/>
            <color indexed="81"/>
            <rFont val="Tahoma"/>
            <family val="2"/>
          </rPr>
          <t>Administrator:</t>
        </r>
        <r>
          <rPr>
            <sz val="8"/>
            <color indexed="81"/>
            <rFont val="Tahoma"/>
            <family val="2"/>
          </rPr>
          <t xml:space="preserve">
50% tăng thu so với dự toán HĐND giao</t>
        </r>
      </text>
    </comment>
    <comment ref="G55" authorId="1" shapeId="0">
      <text>
        <r>
          <rPr>
            <b/>
            <sz val="9"/>
            <color indexed="81"/>
            <rFont val="Tahoma"/>
            <family val="2"/>
          </rPr>
          <t>pc:</t>
        </r>
        <r>
          <rPr>
            <sz val="9"/>
            <color indexed="81"/>
            <rFont val="Tahoma"/>
            <family val="2"/>
          </rPr>
          <t xml:space="preserve">
Trình xử lý hụt thu theo huy định</t>
        </r>
      </text>
    </comment>
    <comment ref="H55" authorId="1" shapeId="0">
      <text>
        <r>
          <rPr>
            <b/>
            <sz val="9"/>
            <color indexed="81"/>
            <rFont val="Tahoma"/>
            <family val="2"/>
          </rPr>
          <t>pc:</t>
        </r>
        <r>
          <rPr>
            <sz val="9"/>
            <color indexed="81"/>
            <rFont val="Tahoma"/>
            <family val="2"/>
          </rPr>
          <t xml:space="preserve">
Trình phân khai theo khoản 2, Điều 59 Luật NSNN</t>
        </r>
      </text>
    </comment>
  </commentList>
</comments>
</file>

<file path=xl/comments23.xml><?xml version="1.0" encoding="utf-8"?>
<comments xmlns="http://schemas.openxmlformats.org/spreadsheetml/2006/main">
  <authors>
    <author>Quangbxdth</author>
  </authors>
  <commentList>
    <comment ref="B36" authorId="0" shapeId="0">
      <text>
        <r>
          <rPr>
            <b/>
            <sz val="9"/>
            <color indexed="81"/>
            <rFont val="Tahoma"/>
            <family val="2"/>
          </rPr>
          <t>Quangbxdth:</t>
        </r>
        <r>
          <rPr>
            <sz val="9"/>
            <color indexed="81"/>
            <rFont val="Tahoma"/>
            <family val="2"/>
          </rPr>
          <t xml:space="preserve">
Số: 625/NQ-UBTVQH14 ngày 10/01/2019 của Ủy ban Thường vụ Quốc hội VỀ VIỆC THÀNH LẬP THỊ TRẤN THƯỜNG THỚI TIỀN THUỘC HUYỆN HỒNG NGỰ, TỈNH ĐỒNG THÁP 
</t>
        </r>
      </text>
    </comment>
    <comment ref="B40" authorId="0" shapeId="0">
      <text>
        <r>
          <rPr>
            <b/>
            <sz val="9"/>
            <color indexed="81"/>
            <rFont val="Tahoma"/>
            <family val="2"/>
          </rPr>
          <t>Quangbxdth:</t>
        </r>
        <r>
          <rPr>
            <sz val="9"/>
            <color indexed="81"/>
            <rFont val="Tahoma"/>
            <family val="2"/>
          </rPr>
          <t xml:space="preserve">
Dự kiến nhập 2 xã Thường Thới Hậu B và Thường Lạc thành 01 xã Thường Lạc</t>
        </r>
      </text>
    </comment>
  </commentList>
</comments>
</file>

<file path=xl/comments24.xml><?xml version="1.0" encoding="utf-8"?>
<comments xmlns="http://schemas.openxmlformats.org/spreadsheetml/2006/main">
  <authors>
    <author>Quangbxdth</author>
  </authors>
  <commentList>
    <comment ref="B35" authorId="0" shapeId="0">
      <text>
        <r>
          <rPr>
            <b/>
            <sz val="9"/>
            <color indexed="81"/>
            <rFont val="Tahoma"/>
            <family val="2"/>
          </rPr>
          <t>Quangbxdth:</t>
        </r>
        <r>
          <rPr>
            <sz val="9"/>
            <color indexed="81"/>
            <rFont val="Tahoma"/>
            <family val="2"/>
          </rPr>
          <t xml:space="preserve">
Số: 625/NQ-UBTVQH14 ngày 10/01/2019 của Ủy ban Thường vụ Quốc hội VỀ VIỆC THÀNH LẬP THỊ TRẤN THƯỜNG THỚI TIỀN THUỘC HUYỆN HỒNG NGỰ, TỈNH ĐỒNG THÁP 
</t>
        </r>
      </text>
    </comment>
    <comment ref="B39" authorId="0" shapeId="0">
      <text>
        <r>
          <rPr>
            <b/>
            <sz val="9"/>
            <color indexed="81"/>
            <rFont val="Tahoma"/>
            <family val="2"/>
          </rPr>
          <t>Quangbxdth:</t>
        </r>
        <r>
          <rPr>
            <sz val="9"/>
            <color indexed="81"/>
            <rFont val="Tahoma"/>
            <family val="2"/>
          </rPr>
          <t xml:space="preserve">
Dự kiến nhập 2 xã Thường Thới Hậu B và Thường Lạc thành 01 xã Thường Lạc</t>
        </r>
      </text>
    </comment>
  </commentList>
</comments>
</file>

<file path=xl/comments25.xml><?xml version="1.0" encoding="utf-8"?>
<comments xmlns="http://schemas.openxmlformats.org/spreadsheetml/2006/main">
  <authors>
    <author>quangbxdth</author>
    <author>pc</author>
  </authors>
  <commentList>
    <comment ref="D15" authorId="0" shapeId="0">
      <text>
        <r>
          <rPr>
            <b/>
            <sz val="9"/>
            <color indexed="81"/>
            <rFont val="Tahoma"/>
            <family val="2"/>
          </rPr>
          <t>quangbxdth:</t>
        </r>
        <r>
          <rPr>
            <sz val="9"/>
            <color indexed="81"/>
            <rFont val="Tahoma"/>
            <family val="2"/>
          </rPr>
          <t xml:space="preserve">
Bổ sung vốn điều lệ Quỹ Phát triển đất</t>
        </r>
      </text>
    </comment>
    <comment ref="D24" authorId="1" shapeId="0">
      <text>
        <r>
          <rPr>
            <b/>
            <sz val="9"/>
            <color indexed="81"/>
            <rFont val="Tahoma"/>
            <family val="2"/>
          </rPr>
          <t>pc:</t>
        </r>
        <r>
          <rPr>
            <sz val="9"/>
            <color indexed="81"/>
            <rFont val="Tahoma"/>
            <family val="2"/>
          </rPr>
          <t xml:space="preserve">
Lấy từ Phụ lục số 02</t>
        </r>
      </text>
    </comment>
    <comment ref="E24" authorId="1" shapeId="0">
      <text>
        <r>
          <rPr>
            <b/>
            <sz val="9"/>
            <color indexed="81"/>
            <rFont val="Tahoma"/>
            <family val="2"/>
          </rPr>
          <t>pc:</t>
        </r>
        <r>
          <rPr>
            <sz val="9"/>
            <color indexed="81"/>
            <rFont val="Tahoma"/>
            <family val="2"/>
          </rPr>
          <t xml:space="preserve">
Lấy từ Phụ lục số 02</t>
        </r>
      </text>
    </comment>
  </commentList>
</comments>
</file>

<file path=xl/comments26.xml><?xml version="1.0" encoding="utf-8"?>
<comments xmlns="http://schemas.openxmlformats.org/spreadsheetml/2006/main">
  <authors>
    <author>pc</author>
  </authors>
  <commentList>
    <comment ref="D32" authorId="0" shapeId="0">
      <text>
        <r>
          <rPr>
            <b/>
            <sz val="9"/>
            <color indexed="81"/>
            <rFont val="Tahoma"/>
            <family val="2"/>
          </rPr>
          <t>pc:</t>
        </r>
        <r>
          <rPr>
            <sz val="9"/>
            <color indexed="81"/>
            <rFont val="Tahoma"/>
            <family val="2"/>
          </rPr>
          <t xml:space="preserve">
Lấy từ biểu bổ sung 247.800 triệu đồng</t>
        </r>
      </text>
    </comment>
  </commentList>
</comments>
</file>

<file path=xl/comments27.xml><?xml version="1.0" encoding="utf-8"?>
<comments xmlns="http://schemas.openxmlformats.org/spreadsheetml/2006/main">
  <authors>
    <author>pc</author>
    <author>Windows User</author>
    <author>Quangbxdth</author>
  </authors>
  <commentList>
    <comment ref="AJ6" authorId="0" shapeId="0">
      <text/>
    </comment>
    <comment ref="AE19" authorId="0" shapeId="0">
      <text>
        <r>
          <rPr>
            <b/>
            <sz val="12"/>
            <color indexed="81"/>
            <rFont val="Times New Roman"/>
            <family val="1"/>
          </rPr>
          <t>- Trừ 30 triệu cho đảm bảo theo Trung ương</t>
        </r>
        <r>
          <rPr>
            <sz val="9"/>
            <color indexed="81"/>
            <rFont val="Tahoma"/>
            <family val="2"/>
          </rPr>
          <t xml:space="preserve">
</t>
        </r>
      </text>
    </comment>
    <comment ref="AE21" authorId="0" shapeId="0">
      <text>
        <r>
          <rPr>
            <b/>
            <sz val="14"/>
            <color indexed="81"/>
            <rFont val="Times New Roman"/>
            <family val="1"/>
          </rPr>
          <t>- Cộng cho đảm bảo theo TW</t>
        </r>
        <r>
          <rPr>
            <sz val="9"/>
            <color indexed="81"/>
            <rFont val="Tahoma"/>
            <family val="2"/>
          </rPr>
          <t xml:space="preserve">
</t>
        </r>
      </text>
    </comment>
    <comment ref="H23" authorId="1" shapeId="0">
      <text>
        <r>
          <rPr>
            <b/>
            <sz val="9"/>
            <color indexed="81"/>
            <rFont val="Tahoma"/>
            <family val="2"/>
          </rPr>
          <t>Windows User:</t>
        </r>
        <r>
          <rPr>
            <sz val="9"/>
            <color indexed="81"/>
            <rFont val="Tahoma"/>
            <family val="2"/>
          </rPr>
          <t xml:space="preserve">
</t>
        </r>
      </text>
    </comment>
    <comment ref="N23" authorId="1" shapeId="0">
      <text>
        <r>
          <rPr>
            <b/>
            <sz val="9"/>
            <color indexed="81"/>
            <rFont val="Tahoma"/>
            <family val="2"/>
          </rPr>
          <t>Windows User:</t>
        </r>
        <r>
          <rPr>
            <sz val="9"/>
            <color indexed="81"/>
            <rFont val="Tahoma"/>
            <family val="2"/>
          </rPr>
          <t xml:space="preserve">
</t>
        </r>
      </text>
    </comment>
    <comment ref="AE28" authorId="0" shapeId="0">
      <text>
        <r>
          <rPr>
            <b/>
            <sz val="14"/>
            <color indexed="81"/>
            <rFont val="Times New Roman"/>
            <family val="1"/>
          </rPr>
          <t>Trung ương dự kiến giao 1.652.000 triệu đồng; Đia phương giao 1.701.000 triệu đồng; tăng 49.000 triệu đồng</t>
        </r>
      </text>
    </comment>
    <comment ref="T38" authorId="0" shapeId="0">
      <text>
        <r>
          <rPr>
            <b/>
            <sz val="9"/>
            <color indexed="81"/>
            <rFont val="Tahoma"/>
            <family val="2"/>
          </rPr>
          <t>Cuoc hop ngay 10/7/2023</t>
        </r>
      </text>
    </comment>
    <comment ref="C40" authorId="0" shapeId="0">
      <text>
        <r>
          <rPr>
            <b/>
            <sz val="12"/>
            <color indexed="81"/>
            <rFont val="Times New Roman"/>
            <family val="1"/>
          </rPr>
          <t>pc:</t>
        </r>
        <r>
          <rPr>
            <sz val="12"/>
            <color indexed="81"/>
            <rFont val="Times New Roman"/>
            <family val="1"/>
          </rPr>
          <t xml:space="preserve">
Trung ương giao 850.000 triệu đồng</t>
        </r>
      </text>
    </comment>
    <comment ref="L40" authorId="0" shapeId="0">
      <text>
        <r>
          <rPr>
            <b/>
            <sz val="9"/>
            <color indexed="81"/>
            <rFont val="Tahoma"/>
            <family val="2"/>
          </rPr>
          <t>pc:</t>
        </r>
        <r>
          <rPr>
            <sz val="9"/>
            <color indexed="81"/>
            <rFont val="Tahoma"/>
            <family val="2"/>
          </rPr>
          <t xml:space="preserve">
</t>
        </r>
        <r>
          <rPr>
            <sz val="12"/>
            <color indexed="81"/>
            <rFont val="Times New Roman"/>
            <family val="1"/>
          </rPr>
          <t>Số thực thu cấp tỉnh đến 30/4/2023</t>
        </r>
      </text>
    </comment>
    <comment ref="AE40" authorId="0" shapeId="0">
      <text>
        <r>
          <rPr>
            <sz val="14"/>
            <color indexed="81"/>
            <rFont val="Times New Roman"/>
            <family val="1"/>
          </rPr>
          <t>Trung ương dự kiến giao = 1.200.000 triệu đồng</t>
        </r>
        <r>
          <rPr>
            <b/>
            <sz val="14"/>
            <color indexed="81"/>
            <rFont val="Times New Roman"/>
            <family val="1"/>
          </rPr>
          <t>; Giao lại 1.470.000 triệu đồng; Số chốt 1.770 triệu đồng, tăng 300 tỷ</t>
        </r>
      </text>
    </comment>
    <comment ref="AJ40" authorId="0" shapeId="0">
      <text/>
    </comment>
    <comment ref="AE41" authorId="0" shapeId="0">
      <text>
        <r>
          <rPr>
            <sz val="12"/>
            <color indexed="81"/>
            <rFont val="Times New Roman"/>
            <family val="1"/>
          </rPr>
          <t>Trung ương dự kiến giao: 155.000 triệu đồng;
Địa phương giao 315.000 triệu đồng, tăng 160.000 triệu đồng.</t>
        </r>
      </text>
    </comment>
    <comment ref="AE46" authorId="0" shapeId="0">
      <text>
        <r>
          <rPr>
            <sz val="14"/>
            <color indexed="81"/>
            <rFont val="Times New Roman"/>
            <family val="1"/>
          </rPr>
          <t xml:space="preserve">- Trừ 500 tỷ ra theo ý kiến chủ trì cuộc họp Thường trực Tỉnh ủy ngày 30/11/2023 </t>
        </r>
      </text>
    </comment>
    <comment ref="AE48" authorId="0" shapeId="0">
      <text>
        <r>
          <rPr>
            <b/>
            <sz val="9"/>
            <color indexed="81"/>
            <rFont val="Tahoma"/>
            <family val="2"/>
          </rPr>
          <t>pc:</t>
        </r>
        <r>
          <rPr>
            <sz val="9"/>
            <color indexed="81"/>
            <rFont val="Tahoma"/>
            <family val="2"/>
          </rPr>
          <t xml:space="preserve">
TW = 1.850.000 triệu đồng</t>
        </r>
      </text>
    </comment>
    <comment ref="AE49" authorId="0" shapeId="0">
      <text>
        <r>
          <rPr>
            <sz val="12"/>
            <color indexed="81"/>
            <rFont val="Times New Roman"/>
            <family val="1"/>
          </rPr>
          <t>Trung ương giao: 157.000 triệu đồng</t>
        </r>
      </text>
    </comment>
    <comment ref="AE56" authorId="0" shapeId="0">
      <text>
        <r>
          <rPr>
            <b/>
            <sz val="9"/>
            <color indexed="81"/>
            <rFont val="Tahoma"/>
            <family val="2"/>
          </rPr>
          <t>Thay lại số này</t>
        </r>
        <r>
          <rPr>
            <sz val="9"/>
            <color indexed="81"/>
            <rFont val="Tahoma"/>
            <family val="2"/>
          </rPr>
          <t xml:space="preserve">
</t>
        </r>
      </text>
    </comment>
    <comment ref="AE57" authorId="0" shape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L59" authorId="2" shapeId="0">
      <text>
        <r>
          <rPr>
            <b/>
            <sz val="9"/>
            <color indexed="81"/>
            <rFont val="Tahoma"/>
            <family val="2"/>
          </rPr>
          <t>Quangbxdth:</t>
        </r>
        <r>
          <rPr>
            <sz val="9"/>
            <color indexed="81"/>
            <rFont val="Tahoma"/>
            <family val="2"/>
          </rPr>
          <t xml:space="preserve">
</t>
        </r>
      </text>
    </comment>
    <comment ref="AJ59" authorId="0" shapeId="0">
      <text>
        <r>
          <rPr>
            <b/>
            <sz val="9"/>
            <color indexed="81"/>
            <rFont val="Tahoma"/>
            <family val="2"/>
          </rPr>
          <t>pc:</t>
        </r>
        <r>
          <rPr>
            <sz val="9"/>
            <color indexed="81"/>
            <rFont val="Tahoma"/>
            <family val="2"/>
          </rPr>
          <t xml:space="preserve">
Chênh lệch nhu cầu và 50% Dự toán, so dự toán</t>
        </r>
      </text>
    </comment>
  </commentList>
</comments>
</file>

<file path=xl/comments28.xml><?xml version="1.0" encoding="utf-8"?>
<comments xmlns="http://schemas.openxmlformats.org/spreadsheetml/2006/main">
  <authors>
    <author>pc</author>
    <author>quangbxdth</author>
    <author>Quangbxdth</author>
  </authors>
  <commentList>
    <comment ref="X4" authorId="0" shapeId="0">
      <text>
        <r>
          <rPr>
            <b/>
            <sz val="14"/>
            <color indexed="81"/>
            <rFont val="Times New Roman"/>
            <family val="1"/>
          </rPr>
          <t>pc:
- Chú ý phụ lục 4, Phụ lục 6</t>
        </r>
        <r>
          <rPr>
            <sz val="14"/>
            <color indexed="81"/>
            <rFont val="Times New Roman"/>
            <family val="1"/>
          </rPr>
          <t xml:space="preserve">
</t>
        </r>
      </text>
    </comment>
    <comment ref="AY5" authorId="0" shapeId="0">
      <text>
        <r>
          <rPr>
            <b/>
            <sz val="12"/>
            <color indexed="81"/>
            <rFont val="Times New Roman"/>
            <family val="1"/>
          </rPr>
          <t xml:space="preserve">- Thu chuyển nguồn làm lương cấp tỉnh = 499.710 triệu đồng (6 tháng cuối năm 2017)
- Chi tạo nguồn CCTL cấp tỉnh 188.600 triệu đồng; Cấp huyện 74.000 triệu đồng (tương ứng 50% tăng thu cấp huyện) </t>
        </r>
        <r>
          <rPr>
            <sz val="9"/>
            <color indexed="81"/>
            <rFont val="Tahoma"/>
            <family val="2"/>
          </rPr>
          <t xml:space="preserve">
</t>
        </r>
      </text>
    </comment>
    <comment ref="AU9" authorId="0" shapeId="0">
      <text>
        <r>
          <rPr>
            <b/>
            <sz val="9"/>
            <color indexed="81"/>
            <rFont val="Tahoma"/>
            <family val="2"/>
          </rPr>
          <t>pc:</t>
        </r>
        <r>
          <rPr>
            <sz val="9"/>
            <color indexed="81"/>
            <rFont val="Tahoma"/>
            <family val="2"/>
          </rPr>
          <t xml:space="preserve">
Giảm nguồn CCTL tương ứng</t>
        </r>
      </text>
    </comment>
    <comment ref="AV9" authorId="0" shapeId="0">
      <text>
        <r>
          <rPr>
            <b/>
            <sz val="9"/>
            <color indexed="81"/>
            <rFont val="Tahoma"/>
            <family val="2"/>
          </rPr>
          <t>pc:</t>
        </r>
        <r>
          <rPr>
            <sz val="9"/>
            <color indexed="81"/>
            <rFont val="Tahoma"/>
            <family val="2"/>
          </rPr>
          <t xml:space="preserve">
Giành nguồn CCTL tương ứng 70%</t>
        </r>
      </text>
    </comment>
    <comment ref="X10" authorId="0" shapeId="0">
      <text>
        <r>
          <rPr>
            <b/>
            <sz val="14"/>
            <color indexed="81"/>
            <rFont val="Times New Roman"/>
            <family val="1"/>
          </rPr>
          <t>Trung ương giao chi đầu tư xây dựng cơ bản (vốn trong nước) = 1.070.186 triệu đồng; Bao gồm chi trả nợ gốc 13.000 triệu đồng</t>
        </r>
        <r>
          <rPr>
            <sz val="9"/>
            <color indexed="81"/>
            <rFont val="Tahoma"/>
            <family val="2"/>
          </rPr>
          <t xml:space="preserve">
</t>
        </r>
      </text>
    </comment>
    <comment ref="AU10" authorId="0" shapeId="0">
      <text>
        <r>
          <rPr>
            <b/>
            <sz val="9"/>
            <color indexed="81"/>
            <rFont val="Tahoma"/>
            <family val="2"/>
          </rPr>
          <t>pc:</t>
        </r>
        <r>
          <rPr>
            <sz val="9"/>
            <color indexed="81"/>
            <rFont val="Tahoma"/>
            <family val="2"/>
          </rPr>
          <t xml:space="preserve">
Giảm các nhiệm vụ chi tưởng ứng </t>
        </r>
      </text>
    </comment>
    <comment ref="AV10" authorId="0" shapeId="0">
      <text>
        <r>
          <rPr>
            <b/>
            <sz val="9"/>
            <color indexed="81"/>
            <rFont val="Tahoma"/>
            <family val="2"/>
          </rPr>
          <t>pc:</t>
        </r>
        <r>
          <rPr>
            <sz val="9"/>
            <color indexed="81"/>
            <rFont val="Tahoma"/>
            <family val="2"/>
          </rPr>
          <t xml:space="preserve">
1. Phân khai số tăng thu
(50% Chi XDCB)
</t>
        </r>
      </text>
    </comment>
    <comment ref="AV11" authorId="0" shapeId="0">
      <text>
        <r>
          <rPr>
            <b/>
            <sz val="9"/>
            <color indexed="81"/>
            <rFont val="Tahoma"/>
            <family val="2"/>
          </rPr>
          <t>pc:</t>
        </r>
        <r>
          <rPr>
            <sz val="9"/>
            <color indexed="81"/>
            <rFont val="Tahoma"/>
            <family val="2"/>
          </rPr>
          <t xml:space="preserve">
XDCB = 50%</t>
        </r>
      </text>
    </comment>
    <comment ref="BA11" authorId="0" shapeId="0">
      <text>
        <r>
          <rPr>
            <b/>
            <sz val="9"/>
            <color indexed="81"/>
            <rFont val="Tahoma"/>
            <family val="2"/>
          </rPr>
          <t>pc:</t>
        </r>
        <r>
          <rPr>
            <sz val="9"/>
            <color indexed="81"/>
            <rFont val="Tahoma"/>
            <family val="2"/>
          </rPr>
          <t xml:space="preserve">
Chi trả cụm tuyến dân cư</t>
        </r>
      </text>
    </comment>
    <comment ref="AV13" authorId="0" shapeId="0">
      <text>
        <r>
          <rPr>
            <b/>
            <sz val="12"/>
            <color indexed="81"/>
            <rFont val="Times New Roman"/>
            <family val="1"/>
          </rPr>
          <t>pc:</t>
        </r>
        <r>
          <rPr>
            <sz val="12"/>
            <color indexed="81"/>
            <rFont val="Times New Roman"/>
            <family val="1"/>
          </rPr>
          <t xml:space="preserve">
Sự nghiệp kinh tế (Phân tăng thu)</t>
        </r>
      </text>
    </comment>
    <comment ref="X14" authorId="0" shapeId="0">
      <text>
        <r>
          <rPr>
            <sz val="12"/>
            <color indexed="81"/>
            <rFont val="Times New Roman"/>
            <family val="1"/>
          </rPr>
          <t>Ủy thác qua NHCS</t>
        </r>
      </text>
    </comment>
    <comment ref="X15" authorId="0" shapeId="0">
      <text>
        <r>
          <rPr>
            <b/>
            <sz val="14"/>
            <color indexed="81"/>
            <rFont val="Times New Roman"/>
            <family val="1"/>
          </rPr>
          <t>- Dự toán chi thường xuyên trung ương giao năm 2024: 10.426.978 triệu đồng</t>
        </r>
        <r>
          <rPr>
            <sz val="9"/>
            <color indexed="81"/>
            <rFont val="Tahoma"/>
            <family val="2"/>
          </rPr>
          <t xml:space="preserve">
</t>
        </r>
      </text>
    </comment>
    <comment ref="N16" authorId="1" shapeId="0">
      <text>
        <r>
          <rPr>
            <b/>
            <sz val="9"/>
            <color indexed="81"/>
            <rFont val="Tahoma"/>
            <family val="2"/>
          </rPr>
          <t>quangbxdth:</t>
        </r>
        <r>
          <rPr>
            <sz val="9"/>
            <color indexed="81"/>
            <rFont val="Tahoma"/>
            <family val="2"/>
          </rPr>
          <t xml:space="preserve">
Chi phòng chống dich bệnh: 30.270 trđ</t>
        </r>
      </text>
    </comment>
    <comment ref="X19" authorId="0" shapeId="0">
      <text>
        <r>
          <rPr>
            <sz val="14"/>
            <color indexed="81"/>
            <rFont val="Times New Roman"/>
            <family val="1"/>
          </rPr>
          <t>Sự nghiệp Khoa học - Công nghệ trung ương giao năm 2024</t>
        </r>
        <r>
          <rPr>
            <b/>
            <sz val="14"/>
            <color indexed="81"/>
            <rFont val="Times New Roman"/>
            <family val="1"/>
          </rPr>
          <t xml:space="preserve">: 29.314 triệu đồng </t>
        </r>
        <r>
          <rPr>
            <sz val="14"/>
            <color indexed="81"/>
            <rFont val="Times New Roman"/>
            <family val="1"/>
          </rPr>
          <t>(Kinh phí tối thiểu địa phương phải bố trí năm 2024)</t>
        </r>
      </text>
    </comment>
    <comment ref="X20" authorId="0" shapeId="0">
      <text>
        <r>
          <rPr>
            <sz val="14"/>
            <color indexed="81"/>
            <rFont val="Times New Roman"/>
            <family val="1"/>
          </rPr>
          <t xml:space="preserve">Sự nghiệp Giáo dục và Đào tạo trung ương giao năm 2024: </t>
        </r>
        <r>
          <rPr>
            <b/>
            <sz val="14"/>
            <color indexed="81"/>
            <rFont val="Times New Roman"/>
            <family val="1"/>
          </rPr>
          <t>4.650.946 triệu đồn</t>
        </r>
        <r>
          <rPr>
            <sz val="14"/>
            <color indexed="81"/>
            <rFont val="Times New Roman"/>
            <family val="1"/>
          </rPr>
          <t>g (Kinh phí tối thiểu địa phương phải bố trí năm 2024)</t>
        </r>
      </text>
    </comment>
    <comment ref="X30" authorId="0" shapeId="0">
      <text>
        <r>
          <rPr>
            <sz val="14"/>
            <color indexed="81"/>
            <rFont val="Times New Roman"/>
            <family val="1"/>
          </rPr>
          <t>Dự phòng ngân sách trung ương giao năm 2024:</t>
        </r>
        <r>
          <rPr>
            <b/>
            <sz val="14"/>
            <color indexed="81"/>
            <rFont val="Times New Roman"/>
            <family val="1"/>
          </rPr>
          <t xml:space="preserve"> 308.869 triệu đồng; </t>
        </r>
        <r>
          <rPr>
            <sz val="14"/>
            <color indexed="81"/>
            <rFont val="Times New Roman"/>
            <family val="1"/>
          </rPr>
          <t>Mức tối thiểu địa phương bố trí dự phòng năm 2024</t>
        </r>
        <r>
          <rPr>
            <sz val="9"/>
            <color indexed="81"/>
            <rFont val="Tahoma"/>
            <family val="2"/>
          </rPr>
          <t xml:space="preserve">
</t>
        </r>
      </text>
    </comment>
    <comment ref="O32" authorId="2" shapeId="0">
      <text>
        <r>
          <rPr>
            <b/>
            <sz val="9"/>
            <color indexed="81"/>
            <rFont val="Tahoma"/>
            <family val="2"/>
          </rPr>
          <t>Quangbxdth:</t>
        </r>
        <r>
          <rPr>
            <sz val="9"/>
            <color indexed="81"/>
            <rFont val="Tahoma"/>
            <family val="2"/>
          </rPr>
          <t xml:space="preserve">
-sử dụng nguồn CCTL cho Covid 19: 31.657 trđ (TpCL, TpSĐ, Hồng Ngự, Tấn Hồng, Thanh Bình và Lấp Vò
- giảm tiếp 39.054 trđ để đảm bảo cân đối NSH</t>
        </r>
      </text>
    </comment>
    <comment ref="AB172" authorId="0" shapeId="0">
      <text>
        <r>
          <rPr>
            <b/>
            <sz val="9"/>
            <color indexed="81"/>
            <rFont val="Tahoma"/>
            <family val="2"/>
          </rPr>
          <t>pc:</t>
        </r>
        <r>
          <rPr>
            <sz val="9"/>
            <color indexed="81"/>
            <rFont val="Tahoma"/>
            <family val="2"/>
          </rPr>
          <t xml:space="preserve">
Phí 2024</t>
        </r>
      </text>
    </comment>
    <comment ref="AB216" authorId="0" shapeId="0">
      <text>
        <r>
          <rPr>
            <b/>
            <sz val="9"/>
            <color indexed="81"/>
            <rFont val="Tahoma"/>
            <family val="2"/>
          </rPr>
          <t>pc:</t>
        </r>
        <r>
          <rPr>
            <sz val="9"/>
            <color indexed="81"/>
            <rFont val="Tahoma"/>
            <family val="2"/>
          </rPr>
          <t xml:space="preserve">
Thu thêm để đảm bảo nguồn</t>
        </r>
      </text>
    </comment>
    <comment ref="AB220" authorId="0" shapeId="0">
      <text>
        <r>
          <rPr>
            <b/>
            <sz val="9"/>
            <color indexed="81"/>
            <rFont val="Tahoma"/>
            <family val="2"/>
          </rPr>
          <t>pc:</t>
        </r>
        <r>
          <rPr>
            <sz val="9"/>
            <color indexed="81"/>
            <rFont val="Tahoma"/>
            <family val="2"/>
          </rPr>
          <t xml:space="preserve">
Thu thêm để đảm bảo nguồn chi</t>
        </r>
      </text>
    </comment>
    <comment ref="AB233" authorId="0" shapeId="0">
      <text>
        <r>
          <rPr>
            <b/>
            <sz val="9"/>
            <color indexed="81"/>
            <rFont val="Tahoma"/>
            <family val="2"/>
          </rPr>
          <t>pc:</t>
        </r>
        <r>
          <rPr>
            <sz val="9"/>
            <color indexed="81"/>
            <rFont val="Tahoma"/>
            <family val="2"/>
          </rPr>
          <t xml:space="preserve">
Thu thêm để đảm bảo nguồn</t>
        </r>
      </text>
    </comment>
    <comment ref="AB237" authorId="0" shapeId="0">
      <text>
        <r>
          <rPr>
            <b/>
            <sz val="9"/>
            <color indexed="81"/>
            <rFont val="Tahoma"/>
            <family val="2"/>
          </rPr>
          <t>pc:</t>
        </r>
        <r>
          <rPr>
            <sz val="9"/>
            <color indexed="81"/>
            <rFont val="Tahoma"/>
            <family val="2"/>
          </rPr>
          <t xml:space="preserve">
Thu để đảm bảo chi</t>
        </r>
      </text>
    </comment>
  </commentList>
</comments>
</file>

<file path=xl/comments29.xml><?xml version="1.0" encoding="utf-8"?>
<comments xmlns="http://schemas.openxmlformats.org/spreadsheetml/2006/main">
  <authors>
    <author>pc</author>
    <author>Administrator</author>
  </authors>
  <commentList>
    <comment ref="J12" authorId="0" shapeId="0">
      <text>
        <r>
          <rPr>
            <b/>
            <sz val="9"/>
            <color indexed="81"/>
            <rFont val="Tahoma"/>
            <family val="2"/>
          </rPr>
          <t>pc:</t>
        </r>
        <r>
          <rPr>
            <sz val="9"/>
            <color indexed="81"/>
            <rFont val="Tahoma"/>
            <family val="2"/>
          </rPr>
          <t xml:space="preserve">
Xem lại (Nếu đưa toàn bộ vào Chi đầu tư); Còn Không đưa lên thì chia ra 50 lương, 50 vào chi các lĩnh vực</t>
        </r>
      </text>
    </comment>
    <comment ref="J15" authorId="0" shapeId="0">
      <text>
        <r>
          <rPr>
            <b/>
            <sz val="9"/>
            <color indexed="81"/>
            <rFont val="Tahoma"/>
            <family val="2"/>
          </rPr>
          <t>pc:</t>
        </r>
        <r>
          <rPr>
            <sz val="9"/>
            <color indexed="81"/>
            <rFont val="Tahoma"/>
            <family val="2"/>
          </rPr>
          <t xml:space="preserve">
Trong đó: Bổ sung tăng thêm của năm 2024: 129.700 triệu đồng (2% x 6.487.488 triệu đồng)</t>
        </r>
      </text>
    </comment>
    <comment ref="U21" authorId="1" shapeId="0">
      <text>
        <r>
          <rPr>
            <b/>
            <sz val="8"/>
            <color indexed="81"/>
            <rFont val="Tahoma"/>
            <family val="2"/>
          </rPr>
          <t>Administrator:</t>
        </r>
        <r>
          <rPr>
            <sz val="8"/>
            <color indexed="81"/>
            <rFont val="Tahoma"/>
            <family val="2"/>
          </rPr>
          <t xml:space="preserve">
50% tăng thu so với dự toán HĐND giao</t>
        </r>
      </text>
    </comment>
    <comment ref="G56" authorId="0" shapeId="0">
      <text>
        <r>
          <rPr>
            <b/>
            <sz val="9"/>
            <color indexed="81"/>
            <rFont val="Tahoma"/>
            <family val="2"/>
          </rPr>
          <t>pc:</t>
        </r>
        <r>
          <rPr>
            <sz val="9"/>
            <color indexed="81"/>
            <rFont val="Tahoma"/>
            <family val="2"/>
          </rPr>
          <t xml:space="preserve">
Trình xử lý hụt thu theo huy định</t>
        </r>
      </text>
    </comment>
    <comment ref="H56" authorId="0" shapeId="0">
      <text>
        <r>
          <rPr>
            <b/>
            <sz val="9"/>
            <color indexed="81"/>
            <rFont val="Tahoma"/>
            <family val="2"/>
          </rPr>
          <t>pc:</t>
        </r>
        <r>
          <rPr>
            <sz val="9"/>
            <color indexed="81"/>
            <rFont val="Tahoma"/>
            <family val="2"/>
          </rPr>
          <t xml:space="preserve">
Trình phân khai theo khoản 2, Điều 59 Luật NSNN</t>
        </r>
      </text>
    </comment>
  </commentList>
</comments>
</file>

<file path=xl/comments3.xml><?xml version="1.0" encoding="utf-8"?>
<comments xmlns="http://schemas.openxmlformats.org/spreadsheetml/2006/main">
  <authors>
    <author>quangbx</author>
    <author>Quangbxdth</author>
    <author>Quangbx</author>
    <author>Windows User</author>
    <author>quangbxdth</author>
  </authors>
  <commentList>
    <comment ref="K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P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S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T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U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X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Y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Z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AC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AD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AE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AH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AI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C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D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E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F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K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L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N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O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P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Q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S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T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U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V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X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Y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Z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A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C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D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E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H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I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K9" authorId="1" shapeId="0">
      <text>
        <r>
          <rPr>
            <b/>
            <sz val="9"/>
            <color indexed="81"/>
            <rFont val="Tahoma"/>
            <family val="2"/>
          </rPr>
          <t>Quangbxdth:</t>
        </r>
        <r>
          <rPr>
            <sz val="9"/>
            <color indexed="81"/>
            <rFont val="Tahoma"/>
            <family val="2"/>
          </rPr>
          <t xml:space="preserve">
TW hướng dẫn: 3.226.904 triệu đồng, trong đó: TSDĐ: 850.000 triệu đồng, XSKT: 1.600.000 triệu đồng, XDCBTT: 776.904 triệu đồng, đã bao gồm chi trả nợ vay gốc từ nguồn bội thu theo kế hoạch phải thu phải trả năm 2023 cho  NHPT: 247.800 triệu đồng</t>
        </r>
      </text>
    </comment>
    <comment ref="P9" authorId="1" shapeId="0">
      <text>
        <r>
          <rPr>
            <b/>
            <sz val="9"/>
            <color indexed="81"/>
            <rFont val="Tahoma"/>
            <family val="2"/>
          </rPr>
          <t>Quangbxdth:</t>
        </r>
        <r>
          <rPr>
            <sz val="9"/>
            <color indexed="81"/>
            <rFont val="Tahoma"/>
            <family val="2"/>
          </rPr>
          <t xml:space="preserve">
TW hướng dẫn: 3.226.904 triệu đồng, trong đó: TSDĐ: 850.000 triệu đồng, XSKT: 1.600.000 triệu đồng, XDCBTT: 776.904 triệu đồng, đã bao gồm chi trả nợ vay gốc từ nguồn bội thu theo kế hoạch phải thu phải trả năm 2023 cho  NHPT: 247.800 triệu đồng</t>
        </r>
      </text>
    </comment>
    <comment ref="C10" authorId="2" shapeId="0">
      <text>
        <r>
          <rPr>
            <b/>
            <sz val="9"/>
            <color indexed="81"/>
            <rFont val="Tahoma"/>
            <family val="2"/>
          </rPr>
          <t>Quangbx:</t>
        </r>
        <r>
          <rPr>
            <sz val="9"/>
            <color indexed="81"/>
            <rFont val="Tahoma"/>
            <family val="2"/>
          </rPr>
          <t xml:space="preserve">
-- Tw hướng dẫn: 951.580 trđ, trong đó chưa kể phần trả nợ gốc 23,4 tỷ đồng</t>
        </r>
      </text>
    </comment>
    <comment ref="K10" authorId="2" shapeId="0">
      <text>
        <r>
          <rPr>
            <b/>
            <sz val="9"/>
            <color indexed="81"/>
            <rFont val="Tahoma"/>
            <family val="2"/>
          </rPr>
          <t>Quangbx:</t>
        </r>
        <r>
          <rPr>
            <sz val="9"/>
            <color indexed="81"/>
            <rFont val="Tahoma"/>
            <family val="2"/>
          </rPr>
          <t xml:space="preserve">
- Tw hướng dẫn:  776.904 trđ, trong đó bao gồm phần trả nợ gốc 247.000 triệu đồng, nếu loại trừ 247.800 trđ là 1.023.904 trđ
- ĐP dự kiiến;
- 1.061.000 trđ, bao gồm trả nợ gốc: 247.000 trđ, nếu loại trừ 247.000 trđ là 814.000 trđ</t>
        </r>
      </text>
    </comment>
    <comment ref="P10" authorId="2" shapeId="0">
      <text>
        <r>
          <rPr>
            <b/>
            <sz val="9"/>
            <color indexed="81"/>
            <rFont val="Tahoma"/>
            <family val="2"/>
          </rPr>
          <t>Quangbx:</t>
        </r>
        <r>
          <rPr>
            <sz val="9"/>
            <color indexed="81"/>
            <rFont val="Tahoma"/>
            <family val="2"/>
          </rPr>
          <t xml:space="preserve">
- Tw hướng dẫn:  776.904 trđ, trong đó bao gồm phần trả nợ gốc 247.000 triệu đồng, nếu loại trừ 247.800 trđ là 1.023.904 trđ
- ĐP dự kiiến;
- 1.061.000 trđ, bao gồm trả nợ gốc: 247.000 trđ, nếu loại trừ 247.000 trđ là 814.000 trđ</t>
        </r>
      </text>
    </comment>
    <comment ref="K11" authorId="0" shapeId="0">
      <text>
        <r>
          <rPr>
            <b/>
            <sz val="9"/>
            <color indexed="81"/>
            <rFont val="Segoe UI"/>
            <family val="2"/>
          </rPr>
          <t>quangbx:</t>
        </r>
        <r>
          <rPr>
            <sz val="9"/>
            <color indexed="81"/>
            <rFont val="Segoe UI"/>
            <family val="2"/>
          </rPr>
          <t xml:space="preserve">
TW hướng dẫn: 850 tỷ đồng</t>
        </r>
      </text>
    </comment>
    <comment ref="N11" authorId="0" shapeId="0">
      <text>
        <r>
          <rPr>
            <b/>
            <sz val="9"/>
            <color indexed="81"/>
            <rFont val="Segoe UI"/>
            <family val="2"/>
          </rPr>
          <t>quangbx:</t>
        </r>
        <r>
          <rPr>
            <sz val="9"/>
            <color indexed="81"/>
            <rFont val="Segoe UI"/>
            <family val="2"/>
          </rPr>
          <t xml:space="preserve">
Đầu tư cụm công nghiệp Quảng Khánh (giai đoạn 1)</t>
        </r>
      </text>
    </comment>
    <comment ref="P11" authorId="0" shapeId="0">
      <text>
        <r>
          <rPr>
            <b/>
            <sz val="9"/>
            <color indexed="81"/>
            <rFont val="Segoe UI"/>
            <family val="2"/>
          </rPr>
          <t>quangbx:</t>
        </r>
        <r>
          <rPr>
            <sz val="9"/>
            <color indexed="81"/>
            <rFont val="Segoe UI"/>
            <family val="2"/>
          </rPr>
          <t xml:space="preserve">
TW hướng dẫn: 850 tỷ đồng</t>
        </r>
      </text>
    </comment>
    <comment ref="C14" authorId="0" shapeId="0">
      <text>
        <r>
          <rPr>
            <b/>
            <sz val="9"/>
            <color indexed="81"/>
            <rFont val="Segoe UI"/>
            <family val="2"/>
          </rPr>
          <t>quangbx:</t>
        </r>
        <r>
          <rPr>
            <sz val="9"/>
            <color indexed="81"/>
            <rFont val="Segoe UI"/>
            <family val="2"/>
          </rPr>
          <t xml:space="preserve">
BTC giao: 9.045.866 trd</t>
        </r>
      </text>
    </comment>
    <comment ref="K14" authorId="1" shapeId="0">
      <text>
        <r>
          <rPr>
            <b/>
            <sz val="9"/>
            <color indexed="81"/>
            <rFont val="Tahoma"/>
            <family val="2"/>
          </rPr>
          <t>Quangbxdth:</t>
        </r>
        <r>
          <rPr>
            <sz val="9"/>
            <color indexed="81"/>
            <rFont val="Tahoma"/>
            <family val="2"/>
          </rPr>
          <t xml:space="preserve">
Năm 2023: 9.402.554 trđ
</t>
        </r>
      </text>
    </comment>
    <comment ref="P14" authorId="1" shapeId="0">
      <text>
        <r>
          <rPr>
            <b/>
            <sz val="9"/>
            <color indexed="81"/>
            <rFont val="Tahoma"/>
            <family val="2"/>
          </rPr>
          <t>Quangbxdth:</t>
        </r>
        <r>
          <rPr>
            <sz val="9"/>
            <color indexed="81"/>
            <rFont val="Tahoma"/>
            <family val="2"/>
          </rPr>
          <t xml:space="preserve">
Năm 2023: 9.402.554 trđ
</t>
        </r>
      </text>
    </comment>
    <comment ref="K15" authorId="1" shapeId="0">
      <text>
        <r>
          <rPr>
            <b/>
            <sz val="9"/>
            <color indexed="81"/>
            <rFont val="Tahoma"/>
            <family val="2"/>
          </rPr>
          <t>Quangbxdth:</t>
        </r>
        <r>
          <rPr>
            <sz val="9"/>
            <color indexed="81"/>
            <rFont val="Tahoma"/>
            <family val="2"/>
          </rPr>
          <t xml:space="preserve">
Định mức: 1.560.129 trđ</t>
        </r>
      </text>
    </comment>
    <comment ref="C16" authorId="2" shapeId="0">
      <text>
        <r>
          <rPr>
            <b/>
            <sz val="9"/>
            <color indexed="81"/>
            <rFont val="Tahoma"/>
            <family val="2"/>
          </rPr>
          <t>Quangbx:</t>
        </r>
        <r>
          <rPr>
            <sz val="9"/>
            <color indexed="81"/>
            <rFont val="Tahoma"/>
            <family val="2"/>
          </rPr>
          <t xml:space="preserve">
Tw hướng dẫn: 99.374 trđ
(CL: 44.095 trđ)</t>
        </r>
      </text>
    </comment>
    <comment ref="K16" authorId="2" shapeId="0">
      <text>
        <r>
          <rPr>
            <b/>
            <sz val="9"/>
            <color indexed="81"/>
            <rFont val="Tahoma"/>
            <family val="2"/>
          </rPr>
          <t>Quangbx:</t>
        </r>
        <r>
          <rPr>
            <sz val="9"/>
            <color indexed="81"/>
            <rFont val="Tahoma"/>
            <family val="2"/>
          </rPr>
          <t xml:space="preserve">
-Định mức: 59.674 trđ
</t>
        </r>
      </text>
    </comment>
    <comment ref="C18" authorId="3" shapeId="0">
      <text>
        <r>
          <rPr>
            <b/>
            <sz val="9"/>
            <color indexed="81"/>
            <rFont val="Tahoma"/>
            <family val="2"/>
          </rPr>
          <t>quangbx:</t>
        </r>
        <r>
          <rPr>
            <sz val="9"/>
            <color indexed="81"/>
            <rFont val="Tahoma"/>
            <family val="2"/>
          </rPr>
          <t xml:space="preserve">
Tw hướng dẫn: 27.026 trđ</t>
        </r>
      </text>
    </comment>
    <comment ref="K18" authorId="3" shapeId="0">
      <text>
        <r>
          <rPr>
            <b/>
            <sz val="9"/>
            <color indexed="81"/>
            <rFont val="Tahoma"/>
            <family val="2"/>
          </rPr>
          <t>quangbx:</t>
        </r>
        <r>
          <rPr>
            <sz val="9"/>
            <color indexed="81"/>
            <rFont val="Tahoma"/>
            <family val="2"/>
          </rPr>
          <t xml:space="preserve">
Tw hướng dẫn: 27.918 trđ</t>
        </r>
      </text>
    </comment>
    <comment ref="K19" authorId="4" shapeId="0">
      <text>
        <r>
          <rPr>
            <b/>
            <sz val="9"/>
            <color indexed="81"/>
            <rFont val="Tahoma"/>
            <family val="2"/>
          </rPr>
          <t>quangbxdth:</t>
        </r>
        <r>
          <rPr>
            <sz val="9"/>
            <color indexed="81"/>
            <rFont val="Tahoma"/>
            <family val="2"/>
          </rPr>
          <t xml:space="preserve">
- Định mức: 4.090.257 trđ
- Năm 2023: TW hướng dẫn: 4.179.745 trđ, cao hơn năm 2022 số tiền: 89.488 trđ, do tăng chính sách, đối tượng,….</t>
        </r>
      </text>
    </comment>
    <comment ref="K20" authorId="1" shapeId="0">
      <text>
        <r>
          <rPr>
            <b/>
            <sz val="9"/>
            <color indexed="81"/>
            <rFont val="Tahoma"/>
            <family val="2"/>
          </rPr>
          <t>Quangbxdth:</t>
        </r>
        <r>
          <rPr>
            <sz val="9"/>
            <color indexed="81"/>
            <rFont val="Tahoma"/>
            <family val="2"/>
          </rPr>
          <t xml:space="preserve">
Định mức: 760.427 trđ</t>
        </r>
      </text>
    </comment>
    <comment ref="K21" authorId="4" shapeId="0">
      <text>
        <r>
          <rPr>
            <b/>
            <sz val="9"/>
            <color indexed="81"/>
            <rFont val="Tahoma"/>
            <family val="2"/>
          </rPr>
          <t>quangbxdth:</t>
        </r>
        <r>
          <rPr>
            <sz val="9"/>
            <color indexed="81"/>
            <rFont val="Tahoma"/>
            <family val="2"/>
          </rPr>
          <t xml:space="preserve">
- Định mức: 73.993 trđ
</t>
        </r>
      </text>
    </comment>
    <comment ref="K22" authorId="4" shapeId="0">
      <text>
        <r>
          <rPr>
            <b/>
            <sz val="9"/>
            <color indexed="81"/>
            <rFont val="Tahoma"/>
            <family val="2"/>
          </rPr>
          <t>quangbxdth:</t>
        </r>
        <r>
          <rPr>
            <sz val="9"/>
            <color indexed="81"/>
            <rFont val="Tahoma"/>
            <family val="2"/>
          </rPr>
          <t xml:space="preserve">
- Định mức: 44.408 trđ
</t>
        </r>
      </text>
    </comment>
    <comment ref="K23" authorId="4" shapeId="0">
      <text>
        <r>
          <rPr>
            <b/>
            <sz val="9"/>
            <color indexed="81"/>
            <rFont val="Tahoma"/>
            <family val="2"/>
          </rPr>
          <t>quangbxdth:</t>
        </r>
        <r>
          <rPr>
            <sz val="9"/>
            <color indexed="81"/>
            <rFont val="Tahoma"/>
            <family val="2"/>
          </rPr>
          <t xml:space="preserve">
- Định mức: 38.158 trđ
</t>
        </r>
      </text>
    </comment>
    <comment ref="K24" authorId="4" shapeId="0">
      <text>
        <r>
          <rPr>
            <b/>
            <sz val="9"/>
            <color indexed="81"/>
            <rFont val="Tahoma"/>
            <family val="2"/>
          </rPr>
          <t>quangbxdth:</t>
        </r>
        <r>
          <rPr>
            <sz val="9"/>
            <color indexed="81"/>
            <rFont val="Tahoma"/>
            <family val="2"/>
          </rPr>
          <t xml:space="preserve">
- Định mức theo dân số: 85.555 trđ
- Tiêu chí bổ sung: 454.829 trđ</t>
        </r>
      </text>
    </comment>
    <comment ref="K26" authorId="4" shapeId="0">
      <text>
        <r>
          <rPr>
            <b/>
            <sz val="9"/>
            <color indexed="81"/>
            <rFont val="Tahoma"/>
            <family val="2"/>
          </rPr>
          <t>quangbxdth:</t>
        </r>
        <r>
          <rPr>
            <sz val="9"/>
            <color indexed="81"/>
            <rFont val="Tahoma"/>
            <family val="2"/>
          </rPr>
          <t xml:space="preserve">
- Định mức AN-QP: 212.148 trđ (QP: 140.846 trđ; AN: 71.302 trđ)
</t>
        </r>
      </text>
    </comment>
    <comment ref="K27" authorId="4" shapeId="0">
      <text>
        <r>
          <rPr>
            <b/>
            <sz val="9"/>
            <color indexed="81"/>
            <rFont val="Tahoma"/>
            <family val="2"/>
          </rPr>
          <t>quangbxdth:</t>
        </r>
        <r>
          <rPr>
            <sz val="9"/>
            <color indexed="81"/>
            <rFont val="Tahoma"/>
            <family val="2"/>
          </rPr>
          <t xml:space="preserve">
- Định mức: 43.035 trđ
</t>
        </r>
      </text>
    </comment>
    <comment ref="K28" authorId="0" shapeId="0">
      <text>
        <r>
          <rPr>
            <b/>
            <sz val="8"/>
            <color indexed="81"/>
            <rFont val="Tahoma"/>
            <family val="2"/>
          </rPr>
          <t>quangbx:</t>
        </r>
        <r>
          <rPr>
            <sz val="8"/>
            <color indexed="81"/>
            <rFont val="Tahoma"/>
            <family val="2"/>
          </rPr>
          <t xml:space="preserve">
TW hướng dẫn: 1.400 trđ</t>
        </r>
      </text>
    </comment>
    <comment ref="C29" authorId="0" shapeId="0">
      <text>
        <r>
          <rPr>
            <b/>
            <sz val="8"/>
            <color indexed="81"/>
            <rFont val="Tahoma"/>
            <family val="2"/>
          </rPr>
          <t>quangbx:</t>
        </r>
        <r>
          <rPr>
            <sz val="8"/>
            <color indexed="81"/>
            <rFont val="Tahoma"/>
            <family val="2"/>
          </rPr>
          <t xml:space="preserve">
TW hướng dẫn: 252.266 trđ
</t>
        </r>
      </text>
    </comment>
    <comment ref="K29" authorId="0" shapeId="0">
      <text>
        <r>
          <rPr>
            <b/>
            <sz val="8"/>
            <color indexed="81"/>
            <rFont val="Tahoma"/>
            <family val="2"/>
          </rPr>
          <t>quangbx:</t>
        </r>
        <r>
          <rPr>
            <sz val="8"/>
            <color indexed="81"/>
            <rFont val="Tahoma"/>
            <family val="2"/>
          </rPr>
          <t xml:space="preserve">
</t>
        </r>
        <r>
          <rPr>
            <sz val="10"/>
            <color indexed="81"/>
            <rFont val="Tahoma"/>
            <family val="2"/>
          </rPr>
          <t>TW hướng dẫn: 262.830 trđ (bằng 2% tổng thu cân đối NSĐP (thu NSĐP theo phân cấp + thu trợ cấp CĐNS)</t>
        </r>
        <r>
          <rPr>
            <sz val="8"/>
            <color indexed="81"/>
            <rFont val="Tahoma"/>
            <family val="2"/>
          </rPr>
          <t xml:space="preserve">
</t>
        </r>
      </text>
    </comment>
    <comment ref="P29" authorId="0" shapeId="0">
      <text>
        <r>
          <rPr>
            <b/>
            <sz val="8"/>
            <color indexed="81"/>
            <rFont val="Tahoma"/>
            <family val="2"/>
          </rPr>
          <t>quangbx:</t>
        </r>
        <r>
          <rPr>
            <sz val="8"/>
            <color indexed="81"/>
            <rFont val="Tahoma"/>
            <family val="2"/>
          </rPr>
          <t xml:space="preserve">
</t>
        </r>
        <r>
          <rPr>
            <sz val="10"/>
            <color indexed="81"/>
            <rFont val="Tahoma"/>
            <family val="2"/>
          </rPr>
          <t>TW hướng dẫn: 262.830 trđ (bằng 2% tổng thu cân đối NSĐP (thu NSĐP theo phân cấp + thu trợ cấp CĐNS)</t>
        </r>
        <r>
          <rPr>
            <sz val="8"/>
            <color indexed="81"/>
            <rFont val="Tahoma"/>
            <family val="2"/>
          </rPr>
          <t xml:space="preserve">
</t>
        </r>
      </text>
    </comment>
    <comment ref="K30" authorId="1" shapeId="0">
      <text>
        <r>
          <rPr>
            <b/>
            <sz val="9"/>
            <color indexed="81"/>
            <rFont val="Tahoma"/>
            <family val="2"/>
          </rPr>
          <t>Quangbxdth:</t>
        </r>
        <r>
          <rPr>
            <sz val="9"/>
            <color indexed="81"/>
            <rFont val="Tahoma"/>
            <family val="2"/>
          </rPr>
          <t xml:space="preserve">
tạo nguồn và tích lũy cho giai đoạn 2021-2025</t>
        </r>
      </text>
    </comment>
    <comment ref="P30" authorId="1" shapeId="0">
      <text>
        <r>
          <rPr>
            <b/>
            <sz val="9"/>
            <color indexed="81"/>
            <rFont val="Tahoma"/>
            <family val="2"/>
          </rPr>
          <t>Quangbxdth:</t>
        </r>
        <r>
          <rPr>
            <sz val="9"/>
            <color indexed="81"/>
            <rFont val="Tahoma"/>
            <family val="2"/>
          </rPr>
          <t xml:space="preserve">
tạo nguồn và tích lũy cho giai đoạn 2021-2025</t>
        </r>
      </text>
    </comment>
    <comment ref="C33" authorId="4" shapeId="0">
      <text>
        <r>
          <rPr>
            <b/>
            <sz val="9"/>
            <color indexed="81"/>
            <rFont val="Tahoma"/>
            <family val="2"/>
          </rPr>
          <t>quangbxdth:</t>
        </r>
        <r>
          <rPr>
            <sz val="9"/>
            <color indexed="81"/>
            <rFont val="Tahoma"/>
            <family val="2"/>
          </rPr>
          <t xml:space="preserve">
+15 tỷ đồng x 2%=300 trđ</t>
        </r>
      </text>
    </comment>
    <comment ref="K33" authorId="4" shapeId="0">
      <text>
        <r>
          <rPr>
            <b/>
            <sz val="9"/>
            <color indexed="81"/>
            <rFont val="Tahoma"/>
            <family val="2"/>
          </rPr>
          <t>quangbxdth:</t>
        </r>
        <r>
          <rPr>
            <sz val="9"/>
            <color indexed="81"/>
            <rFont val="Tahoma"/>
            <family val="2"/>
          </rPr>
          <t xml:space="preserve">
TW hướng dẫn: 2.100 trđ</t>
        </r>
      </text>
    </comment>
    <comment ref="P33" authorId="4" shapeId="0">
      <text>
        <r>
          <rPr>
            <b/>
            <sz val="9"/>
            <color indexed="81"/>
            <rFont val="Tahoma"/>
            <family val="2"/>
          </rPr>
          <t>quangbxdth:</t>
        </r>
        <r>
          <rPr>
            <sz val="9"/>
            <color indexed="81"/>
            <rFont val="Tahoma"/>
            <family val="2"/>
          </rPr>
          <t xml:space="preserve">
TW hướng dẫn: 2.100 trđ</t>
        </r>
      </text>
    </comment>
    <comment ref="K38" authorId="1" shapeId="0">
      <text>
        <r>
          <rPr>
            <b/>
            <sz val="9"/>
            <color indexed="81"/>
            <rFont val="Tahoma"/>
            <family val="2"/>
          </rPr>
          <t>Quangbxdth:</t>
        </r>
        <r>
          <rPr>
            <sz val="9"/>
            <color indexed="81"/>
            <rFont val="Tahoma"/>
            <family val="2"/>
          </rPr>
          <t xml:space="preserve">
TW: 31.500 trđ</t>
        </r>
      </text>
    </comment>
    <comment ref="P38" authorId="1" shapeId="0">
      <text>
        <r>
          <rPr>
            <b/>
            <sz val="9"/>
            <color indexed="81"/>
            <rFont val="Tahoma"/>
            <family val="2"/>
          </rPr>
          <t>Quangbxdth:</t>
        </r>
        <r>
          <rPr>
            <sz val="9"/>
            <color indexed="81"/>
            <rFont val="Tahoma"/>
            <family val="2"/>
          </rPr>
          <t xml:space="preserve">
TW: 31.500 trđ</t>
        </r>
      </text>
    </comment>
  </commentList>
</comments>
</file>

<file path=xl/comments30.xml><?xml version="1.0" encoding="utf-8"?>
<comments xmlns="http://schemas.openxmlformats.org/spreadsheetml/2006/main">
  <authors>
    <author>pc</author>
    <author>Administrator</author>
  </authors>
  <commentList>
    <comment ref="D12" authorId="0" shapeId="0">
      <text>
        <r>
          <rPr>
            <b/>
            <sz val="9"/>
            <color indexed="81"/>
            <rFont val="Tahoma"/>
            <family val="2"/>
          </rPr>
          <t>pc:</t>
        </r>
        <r>
          <rPr>
            <sz val="9"/>
            <color indexed="81"/>
            <rFont val="Tahoma"/>
            <family val="2"/>
          </rPr>
          <t xml:space="preserve">
Cộng vào để đồng nhất với Phụ lục 1</t>
        </r>
      </text>
    </comment>
    <comment ref="U21" authorId="1" shapeId="0">
      <text>
        <r>
          <rPr>
            <b/>
            <sz val="8"/>
            <color indexed="81"/>
            <rFont val="Tahoma"/>
            <family val="2"/>
          </rPr>
          <t>Administrator:</t>
        </r>
        <r>
          <rPr>
            <sz val="8"/>
            <color indexed="81"/>
            <rFont val="Tahoma"/>
            <family val="2"/>
          </rPr>
          <t xml:space="preserve">
50% tăng thu so với dự toán HĐND giao</t>
        </r>
      </text>
    </comment>
    <comment ref="G56" authorId="0" shapeId="0">
      <text>
        <r>
          <rPr>
            <b/>
            <sz val="9"/>
            <color indexed="81"/>
            <rFont val="Tahoma"/>
            <family val="2"/>
          </rPr>
          <t>pc:</t>
        </r>
        <r>
          <rPr>
            <sz val="9"/>
            <color indexed="81"/>
            <rFont val="Tahoma"/>
            <family val="2"/>
          </rPr>
          <t xml:space="preserve">
Trình xử lý hụt thu theo huy định</t>
        </r>
      </text>
    </comment>
    <comment ref="H56" authorId="0" shapeId="0">
      <text>
        <r>
          <rPr>
            <b/>
            <sz val="9"/>
            <color indexed="81"/>
            <rFont val="Tahoma"/>
            <family val="2"/>
          </rPr>
          <t>pc:</t>
        </r>
        <r>
          <rPr>
            <sz val="9"/>
            <color indexed="81"/>
            <rFont val="Tahoma"/>
            <family val="2"/>
          </rPr>
          <t xml:space="preserve">
Trình phân khai theo khoản 2, Điều 59 Luật NSNN</t>
        </r>
      </text>
    </comment>
  </commentList>
</comments>
</file>

<file path=xl/comments31.xml><?xml version="1.0" encoding="utf-8"?>
<comments xmlns="http://schemas.openxmlformats.org/spreadsheetml/2006/main">
  <authors>
    <author>pc</author>
    <author>MY DUNG</author>
  </authors>
  <commentList>
    <comment ref="N12" authorId="0" shapeId="0">
      <text>
        <r>
          <rPr>
            <b/>
            <sz val="12"/>
            <color indexed="81"/>
            <rFont val="Times New Roman"/>
            <family val="1"/>
          </rPr>
          <t>pc:</t>
        </r>
        <r>
          <rPr>
            <sz val="12"/>
            <color indexed="81"/>
            <rFont val="Times New Roman"/>
            <family val="1"/>
          </rPr>
          <t xml:space="preserve">
1. Chênh lệch giữa nhu cầu và quyết toán lớp C179 (2023) và Phần còn 2024 195 triệu đồng
2. Kinh phí đào tạo các chức danh của VP Tỉnh ủy  = 2.372 triệu đồng
3. Kinh phí các lớp Đảng viên mới…của Đảng ủy khối 231 triệu đồng</t>
        </r>
      </text>
    </comment>
    <comment ref="O12" authorId="0" shapeId="0">
      <text>
        <r>
          <rPr>
            <sz val="9"/>
            <color indexed="81"/>
            <rFont val="Tahoma"/>
            <family val="2"/>
          </rPr>
          <t xml:space="preserve"> Kinh phí Ban BVCSSK = 14.081 triệu đồng (Bao gồm 2.500 hỗ trợ BHYT)</t>
        </r>
      </text>
    </comment>
    <comment ref="T12" authorId="0" shapeId="0">
      <text>
        <r>
          <rPr>
            <b/>
            <sz val="14"/>
            <color indexed="81"/>
            <rFont val="Times New Roman"/>
            <family val="1"/>
          </rPr>
          <t>pc:</t>
        </r>
        <r>
          <rPr>
            <sz val="14"/>
            <color indexed="81"/>
            <rFont val="Times New Roman"/>
            <family val="1"/>
          </rPr>
          <t xml:space="preserve">
Bao gồm: Kinh phí mua xe của các huyện ủy đã được UBND Tỉnh phê duyệt năm 2023 và 2024; Bổ sung chênh lệch mức giá xe 450 triệu đồng (Công văn 1179/UBND-KT ngày 24/10/2023 của UBND Tỉnh)
Đã giảm trừ 2 biên chế
Kinh phí sửa chửa UBKT Tỉnh ủy (CV 4092/STC-TCĐT ngày 30/11/2023)
Kinh phí thuyết bị HN trực tuyến Ban Tuyên giáo Tỉnh ủy (CV 4058/STC-TCĐT ngày 28-11-2023)
</t>
        </r>
      </text>
    </comment>
    <comment ref="T13" authorId="0" shapeId="0">
      <text>
        <r>
          <rPr>
            <b/>
            <sz val="9"/>
            <color indexed="81"/>
            <rFont val="Tahoma"/>
            <family val="2"/>
          </rPr>
          <t>pc:</t>
        </r>
        <r>
          <rPr>
            <sz val="9"/>
            <color indexed="81"/>
            <rFont val="Tahoma"/>
            <family val="2"/>
          </rPr>
          <t xml:space="preserve">
Xe oto 950</t>
        </r>
      </text>
    </comment>
    <comment ref="T14" authorId="1" shapeId="0">
      <text>
        <r>
          <rPr>
            <b/>
            <sz val="9"/>
            <color indexed="81"/>
            <rFont val="Tahoma"/>
            <family val="2"/>
          </rPr>
          <t>MY DUNG:</t>
        </r>
        <r>
          <rPr>
            <sz val="9"/>
            <color indexed="81"/>
            <rFont val="Tahoma"/>
            <family val="2"/>
          </rPr>
          <t xml:space="preserve">
1 xe dùng chung 950trđ; 01 xe chức danh 1.400trđ; sửa chữa trụ sở 621trđ</t>
        </r>
      </text>
    </comment>
    <comment ref="K15" authorId="1" shapeId="0">
      <text>
        <r>
          <rPr>
            <b/>
            <sz val="14"/>
            <color indexed="81"/>
            <rFont val="Times New Roman"/>
            <family val="1"/>
          </rPr>
          <t>MY DUNG:</t>
        </r>
        <r>
          <rPr>
            <sz val="14"/>
            <color indexed="81"/>
            <rFont val="Times New Roman"/>
            <family val="1"/>
          </rPr>
          <t xml:space="preserve">
- Đối ứng CT NTM 60 tỷ đồng;
- Các chính sách NN 20 tỷ đồng; 
- TGBC 112trđ
Trừ phần đối ứng nông thôn mới 60.000 triệu đồng (đưa bằng đúng tỷ lệ đối ứng; đã có dưới dự phòng khối)
</t>
        </r>
        <r>
          <rPr>
            <b/>
            <sz val="14"/>
            <color indexed="81"/>
            <rFont val="Times New Roman"/>
            <family val="1"/>
          </rPr>
          <t>+ 86 TRIỆU CHO BẰNG SỐ D</t>
        </r>
      </text>
    </comment>
    <comment ref="L15" authorId="1" shapeId="0">
      <text>
        <r>
          <rPr>
            <b/>
            <sz val="9"/>
            <color indexed="81"/>
            <rFont val="Tahoma"/>
            <family val="2"/>
          </rPr>
          <t>MY DUNG:</t>
        </r>
        <r>
          <rPr>
            <sz val="9"/>
            <color indexed="81"/>
            <rFont val="Tahoma"/>
            <family val="2"/>
          </rPr>
          <t xml:space="preserve">
- SC trụ sở, HT PCCC 700trđ
- TGBC 183trđ</t>
        </r>
      </text>
    </comment>
    <comment ref="T15" authorId="1" shapeId="0">
      <text>
        <r>
          <rPr>
            <b/>
            <sz val="9"/>
            <color indexed="81"/>
            <rFont val="Tahoma"/>
            <family val="2"/>
          </rPr>
          <t>MY DUNG:</t>
        </r>
        <r>
          <rPr>
            <sz val="9"/>
            <color indexed="81"/>
            <rFont val="Tahoma"/>
            <family val="2"/>
          </rPr>
          <t xml:space="preserve">
- SC trụ sở HT PCCC 1.316trđ</t>
        </r>
      </text>
    </comment>
    <comment ref="T16" authorId="1" shapeId="0">
      <text>
        <r>
          <rPr>
            <b/>
            <sz val="9"/>
            <color indexed="81"/>
            <rFont val="Tahoma"/>
            <family val="2"/>
          </rPr>
          <t>MY DUNG:</t>
        </r>
        <r>
          <rPr>
            <sz val="9"/>
            <color indexed="81"/>
            <rFont val="Tahoma"/>
            <family val="2"/>
          </rPr>
          <t xml:space="preserve">
xe ô tô 950trđ</t>
        </r>
      </text>
    </comment>
    <comment ref="K18" authorId="1" shapeId="0">
      <text>
        <r>
          <rPr>
            <b/>
            <sz val="9"/>
            <color indexed="81"/>
            <rFont val="Tahoma"/>
            <family val="2"/>
          </rPr>
          <t>MY DUNG:</t>
        </r>
        <r>
          <rPr>
            <sz val="9"/>
            <color indexed="81"/>
            <rFont val="Tahoma"/>
            <family val="2"/>
          </rPr>
          <t xml:space="preserve">
- các NV dự kiến phát sinh: 4.790trđ
- Số hóa 9.030trđ</t>
        </r>
      </text>
    </comment>
    <comment ref="N18" authorId="1" shapeId="0">
      <text>
        <r>
          <rPr>
            <b/>
            <sz val="9"/>
            <color indexed="81"/>
            <rFont val="Tahoma"/>
            <family val="2"/>
          </rPr>
          <t>MY DUNG:</t>
        </r>
        <r>
          <rPr>
            <sz val="9"/>
            <color indexed="81"/>
            <rFont val="Tahoma"/>
            <family val="2"/>
          </rPr>
          <t xml:space="preserve">
TĐKT ngành GD 2 tỷ đồng</t>
        </r>
      </text>
    </comment>
    <comment ref="T18" authorId="1" shapeId="0">
      <text>
        <r>
          <rPr>
            <b/>
            <sz val="9"/>
            <color indexed="81"/>
            <rFont val="Tahoma"/>
            <family val="2"/>
          </rPr>
          <t>MY DUNG:</t>
        </r>
        <r>
          <rPr>
            <sz val="9"/>
            <color indexed="81"/>
            <rFont val="Tahoma"/>
            <family val="2"/>
          </rPr>
          <t xml:space="preserve">
- Quỹ TĐKT 15 tỷ đồng; 
- xe ô tô 950trđ;
- TGBC 320trđ</t>
        </r>
      </text>
    </comment>
    <comment ref="K19" authorId="1" shapeId="0">
      <text>
        <r>
          <rPr>
            <b/>
            <sz val="9"/>
            <color indexed="81"/>
            <rFont val="Tahoma"/>
            <family val="2"/>
          </rPr>
          <t>MY DUNG:</t>
        </r>
        <r>
          <rPr>
            <sz val="9"/>
            <color indexed="81"/>
            <rFont val="Tahoma"/>
            <family val="2"/>
          </rPr>
          <t xml:space="preserve">
cắm mốc BG</t>
        </r>
      </text>
    </comment>
    <comment ref="T19" authorId="1" shapeId="0">
      <text>
        <r>
          <rPr>
            <b/>
            <sz val="9"/>
            <color indexed="81"/>
            <rFont val="Tahoma"/>
            <family val="2"/>
          </rPr>
          <t>MY DUNG:</t>
        </r>
        <r>
          <rPr>
            <sz val="9"/>
            <color indexed="81"/>
            <rFont val="Tahoma"/>
            <family val="2"/>
          </rPr>
          <t xml:space="preserve">
HĐ đối ngoại 4.630trđ</t>
        </r>
      </text>
    </comment>
    <comment ref="K20" authorId="1" shapeId="0">
      <text>
        <r>
          <rPr>
            <b/>
            <sz val="9"/>
            <color indexed="81"/>
            <rFont val="Tahoma"/>
            <family val="2"/>
          </rPr>
          <t>MY DUNG:</t>
        </r>
        <r>
          <rPr>
            <sz val="9"/>
            <color indexed="81"/>
            <rFont val="Tahoma"/>
            <family val="2"/>
          </rPr>
          <t xml:space="preserve">
CSDL hộ tịch 16.550trđ</t>
        </r>
      </text>
    </comment>
    <comment ref="T20" authorId="1" shapeId="0">
      <text>
        <r>
          <rPr>
            <b/>
            <sz val="9"/>
            <color indexed="81"/>
            <rFont val="Tahoma"/>
            <family val="2"/>
          </rPr>
          <t>MY DUNG:</t>
        </r>
        <r>
          <rPr>
            <sz val="9"/>
            <color indexed="81"/>
            <rFont val="Tahoma"/>
            <family val="2"/>
          </rPr>
          <t xml:space="preserve">
- xe ô tô 950trđ
- sửa chữa trụ sở 300trđ</t>
        </r>
      </text>
    </comment>
    <comment ref="O21" authorId="1" shapeId="0">
      <text>
        <r>
          <rPr>
            <b/>
            <sz val="9"/>
            <color indexed="81"/>
            <rFont val="Tahoma"/>
            <family val="2"/>
          </rPr>
          <t>MY DUNG:</t>
        </r>
        <r>
          <rPr>
            <sz val="9"/>
            <color indexed="81"/>
            <rFont val="Tahoma"/>
            <family val="2"/>
          </rPr>
          <t xml:space="preserve">
DT 2023+ CCTL 70.434trđ</t>
        </r>
      </text>
    </comment>
    <comment ref="T21" authorId="1" shapeId="0">
      <text>
        <r>
          <rPr>
            <b/>
            <sz val="9"/>
            <color indexed="81"/>
            <rFont val="Tahoma"/>
            <family val="2"/>
          </rPr>
          <t>MY DUNG:</t>
        </r>
        <r>
          <rPr>
            <sz val="9"/>
            <color indexed="81"/>
            <rFont val="Tahoma"/>
            <family val="2"/>
          </rPr>
          <t xml:space="preserve">
- TGBC 174trđ
- SC trụ sở 1.235trđ</t>
        </r>
      </text>
    </comment>
    <comment ref="K23" authorId="1" shapeId="0">
      <text>
        <r>
          <rPr>
            <b/>
            <sz val="9"/>
            <color indexed="81"/>
            <rFont val="Tahoma"/>
            <family val="2"/>
          </rPr>
          <t>MY DUNG:</t>
        </r>
        <r>
          <rPr>
            <sz val="9"/>
            <color indexed="81"/>
            <rFont val="Tahoma"/>
            <family val="2"/>
          </rPr>
          <t xml:space="preserve">
CTr phát triển đô thị 2 tỷ</t>
        </r>
      </text>
    </comment>
    <comment ref="N23" authorId="1" shapeId="0">
      <text>
        <r>
          <rPr>
            <b/>
            <sz val="9"/>
            <color indexed="81"/>
            <rFont val="Tahoma"/>
            <family val="2"/>
          </rPr>
          <t>MY DUNG:</t>
        </r>
        <r>
          <rPr>
            <sz val="9"/>
            <color indexed="81"/>
            <rFont val="Tahoma"/>
            <family val="2"/>
          </rPr>
          <t xml:space="preserve">
sửa chữa nhà ở sinh viên 5.750trđ</t>
        </r>
      </text>
    </comment>
    <comment ref="T23" authorId="1" shapeId="0">
      <text>
        <r>
          <rPr>
            <b/>
            <sz val="9"/>
            <color indexed="81"/>
            <rFont val="Tahoma"/>
            <family val="2"/>
          </rPr>
          <t>MY DUNG:</t>
        </r>
        <r>
          <rPr>
            <sz val="9"/>
            <color indexed="81"/>
            <rFont val="Tahoma"/>
            <family val="2"/>
          </rPr>
          <t xml:space="preserve">
- TGBC 125trđ;
- SC trụ sở 500trđ</t>
        </r>
      </text>
    </comment>
    <comment ref="R25" authorId="1" shapeId="0">
      <text>
        <r>
          <rPr>
            <b/>
            <sz val="9"/>
            <color indexed="81"/>
            <rFont val="Tahoma"/>
            <family val="2"/>
          </rPr>
          <t>MY DUNG:</t>
        </r>
        <r>
          <rPr>
            <sz val="9"/>
            <color indexed="81"/>
            <rFont val="Tahoma"/>
            <family val="2"/>
          </rPr>
          <t xml:space="preserve">
Tổ chức Hội khỏe Phù đổng cấp tỉnh; tập luyện và thi đấu cấp khu vực và toàn quốc</t>
        </r>
      </text>
    </comment>
    <comment ref="T25" authorId="1" shapeId="0">
      <text>
        <r>
          <rPr>
            <b/>
            <sz val="9"/>
            <color indexed="81"/>
            <rFont val="Tahoma"/>
            <family val="2"/>
          </rPr>
          <t>MY DUNG:</t>
        </r>
        <r>
          <rPr>
            <sz val="9"/>
            <color indexed="81"/>
            <rFont val="Tahoma"/>
            <family val="2"/>
          </rPr>
          <t xml:space="preserve">
- xe ô tô 950trđ
- SC trụ sở 3.200trđ</t>
        </r>
      </text>
    </comment>
    <comment ref="AD25" authorId="0" shapeId="0">
      <text>
        <r>
          <rPr>
            <b/>
            <sz val="9"/>
            <color indexed="81"/>
            <rFont val="Tahoma"/>
            <family val="2"/>
          </rPr>
          <t>pc:</t>
        </r>
        <r>
          <rPr>
            <sz val="9"/>
            <color indexed="81"/>
            <rFont val="Tahoma"/>
            <family val="2"/>
          </rPr>
          <t xml:space="preserve">
Cơ cấu vào chi thường xuyên</t>
        </r>
      </text>
    </comment>
    <comment ref="K26" authorId="1" shapeId="0">
      <text>
        <r>
          <rPr>
            <b/>
            <sz val="9"/>
            <color indexed="81"/>
            <rFont val="Tahoma"/>
            <family val="2"/>
          </rPr>
          <t>MY DUNG:</t>
        </r>
        <r>
          <rPr>
            <sz val="9"/>
            <color indexed="81"/>
            <rFont val="Tahoma"/>
            <family val="2"/>
          </rPr>
          <t xml:space="preserve">
- Đo đạc bản đồ địa cính 23.916trđ
- đăng ký cấp đổi GCN quyền sử dụng đất 23.699trđ</t>
        </r>
      </text>
    </comment>
    <comment ref="L26" authorId="1" shapeId="0">
      <text>
        <r>
          <rPr>
            <b/>
            <sz val="9"/>
            <color indexed="81"/>
            <rFont val="Tahoma"/>
            <family val="2"/>
          </rPr>
          <t>MY DUNG: Nhu cầu của đơn vị 36.237 trđ, gồm:</t>
        </r>
        <r>
          <rPr>
            <sz val="9"/>
            <color indexed="81"/>
            <rFont val="Tahoma"/>
            <family val="2"/>
          </rPr>
          <t xml:space="preserve">
- QLNN về MT 1 tỷ 
- Quan trắc MT 3.219 trđ
- Các DA về MT đã có chủ trương: 15.718trđ
- Truyền thông MT các ngành 2 tỷ;
- Các DA chưa có chủ trương: 14.300trđ
</t>
        </r>
        <r>
          <rPr>
            <b/>
            <sz val="9"/>
            <color indexed="81"/>
            <rFont val="Tahoma"/>
            <family val="2"/>
          </rPr>
          <t>Năm 2023 giao 33 tỷ. Năm 2024, DT của Vườn QGTC tăng nhiều nên tạm ghi giảm chỗ Sở TNMT</t>
        </r>
      </text>
    </comment>
    <comment ref="K27" authorId="1" shapeId="0">
      <text>
        <r>
          <rPr>
            <b/>
            <sz val="9"/>
            <color indexed="81"/>
            <rFont val="Tahoma"/>
            <family val="2"/>
          </rPr>
          <t>MY DUNG:</t>
        </r>
        <r>
          <rPr>
            <sz val="9"/>
            <color indexed="81"/>
            <rFont val="Tahoma"/>
            <family val="2"/>
          </rPr>
          <t xml:space="preserve">
- Số hóa tài liệu lưu trữ hiện vật 150trđ;
- CHính sách phát triển DL 4.500trđ</t>
        </r>
      </text>
    </comment>
    <comment ref="P27" authorId="1" shapeId="0">
      <text>
        <r>
          <rPr>
            <b/>
            <sz val="9"/>
            <color indexed="81"/>
            <rFont val="Tahoma"/>
            <family val="2"/>
          </rPr>
          <t>MY DUNG:</t>
        </r>
        <r>
          <rPr>
            <sz val="9"/>
            <color indexed="81"/>
            <rFont val="Tahoma"/>
            <family val="2"/>
          </rPr>
          <t xml:space="preserve">
- DT 2023 + CCTL 1.862trđ
- Chuyển đổi số 2.643trđ</t>
        </r>
      </text>
    </comment>
    <comment ref="R27" authorId="1" shapeId="0">
      <text>
        <r>
          <rPr>
            <b/>
            <sz val="9"/>
            <color indexed="81"/>
            <rFont val="Tahoma"/>
            <family val="2"/>
          </rPr>
          <t>MY DUNG:</t>
        </r>
        <r>
          <rPr>
            <sz val="9"/>
            <color indexed="81"/>
            <rFont val="Tahoma"/>
            <family val="2"/>
          </rPr>
          <t xml:space="preserve">
Sửa chữa, khắc phục các cấu kiện nguy hiểm tại khán đài A,B,C,D công trình Sân vận động 5 tỷ</t>
        </r>
      </text>
    </comment>
    <comment ref="K28" authorId="1" shapeId="0">
      <text>
        <r>
          <rPr>
            <b/>
            <sz val="9"/>
            <color indexed="81"/>
            <rFont val="Tahoma"/>
            <family val="2"/>
          </rPr>
          <t>MY DUNG:</t>
        </r>
        <r>
          <rPr>
            <sz val="9"/>
            <color indexed="81"/>
            <rFont val="Tahoma"/>
            <family val="2"/>
          </rPr>
          <t xml:space="preserve">
- HT thông tin nguồn 4.200trđ;
-Trang bị nền tảng quản trị điện tử tập trung 3.000trđ
- Gia hạn các bản quyền, dịch vụ 2024: 1.309trđ</t>
        </r>
      </text>
    </comment>
    <comment ref="Q28" authorId="1" shapeId="0">
      <text>
        <r>
          <rPr>
            <b/>
            <sz val="9"/>
            <color indexed="81"/>
            <rFont val="Tahoma"/>
            <family val="2"/>
          </rPr>
          <t>MY DUNG:</t>
        </r>
        <r>
          <rPr>
            <sz val="9"/>
            <color indexed="81"/>
            <rFont val="Tahoma"/>
            <family val="2"/>
          </rPr>
          <t xml:space="preserve">
Đặt hàng phát sóng PTTH theo đơn giá dự kiến 2024</t>
        </r>
      </text>
    </comment>
    <comment ref="T28" authorId="1" shapeId="0">
      <text>
        <r>
          <rPr>
            <b/>
            <sz val="9"/>
            <color indexed="81"/>
            <rFont val="Tahoma"/>
            <family val="2"/>
          </rPr>
          <t>MY DUNG:</t>
        </r>
        <r>
          <rPr>
            <sz val="9"/>
            <color indexed="81"/>
            <rFont val="Tahoma"/>
            <family val="2"/>
          </rPr>
          <t xml:space="preserve">
- Thay màn LED công viên 950trđ</t>
        </r>
      </text>
    </comment>
    <comment ref="K29" authorId="1" shapeId="0">
      <text>
        <r>
          <rPr>
            <b/>
            <sz val="9"/>
            <color indexed="81"/>
            <rFont val="Tahoma"/>
            <family val="2"/>
          </rPr>
          <t>MY DUNG:</t>
        </r>
        <r>
          <rPr>
            <sz val="9"/>
            <color indexed="81"/>
            <rFont val="Tahoma"/>
            <family val="2"/>
          </rPr>
          <t xml:space="preserve">
- SN giao thông 25 tỷ
- KP ATGT đơn vị trực thuộc 3.680trđ</t>
        </r>
      </text>
    </comment>
    <comment ref="T29" authorId="1" shapeId="0">
      <text>
        <r>
          <rPr>
            <b/>
            <sz val="9"/>
            <color indexed="81"/>
            <rFont val="Tahoma"/>
            <family val="2"/>
          </rPr>
          <t>MY DUNG:</t>
        </r>
        <r>
          <rPr>
            <sz val="9"/>
            <color indexed="81"/>
            <rFont val="Tahoma"/>
            <family val="2"/>
          </rPr>
          <t xml:space="preserve">
SC trụ sở 1 tỷ</t>
        </r>
      </text>
    </comment>
    <comment ref="L30" authorId="1" shapeId="0">
      <text>
        <r>
          <rPr>
            <b/>
            <sz val="9"/>
            <color indexed="81"/>
            <rFont val="Tahoma"/>
            <family val="2"/>
          </rPr>
          <t>MY DUNG:</t>
        </r>
        <r>
          <rPr>
            <sz val="9"/>
            <color indexed="81"/>
            <rFont val="Tahoma"/>
            <family val="2"/>
          </rPr>
          <t xml:space="preserve">
Cải tạo sửa chữa hệ thống xử lý nước thải và lập kế hoạch cấp giấy phép môi trường tại Cơ sở Điều trị nghiện tỉnh Đồng Tháp</t>
        </r>
      </text>
    </comment>
    <comment ref="N30" authorId="1" shapeId="0">
      <text>
        <r>
          <rPr>
            <b/>
            <sz val="9"/>
            <color indexed="81"/>
            <rFont val="Tahoma"/>
            <family val="2"/>
          </rPr>
          <t>MY DUNG:</t>
        </r>
        <r>
          <rPr>
            <sz val="9"/>
            <color indexed="81"/>
            <rFont val="Tahoma"/>
            <family val="2"/>
          </rPr>
          <t xml:space="preserve">
Bằng DT 2023</t>
        </r>
      </text>
    </comment>
    <comment ref="S30" authorId="1" shapeId="0">
      <text>
        <r>
          <rPr>
            <b/>
            <sz val="9"/>
            <color indexed="81"/>
            <rFont val="Tahoma"/>
            <family val="2"/>
          </rPr>
          <t>MY DUNG:</t>
        </r>
        <r>
          <rPr>
            <sz val="9"/>
            <color indexed="81"/>
            <rFont val="Tahoma"/>
            <family val="2"/>
          </rPr>
          <t xml:space="preserve">
Bằng DT 2023 + CCTL</t>
        </r>
      </text>
    </comment>
    <comment ref="T31" authorId="1" shapeId="0">
      <text>
        <r>
          <rPr>
            <b/>
            <sz val="9"/>
            <color indexed="81"/>
            <rFont val="Tahoma"/>
            <family val="2"/>
          </rPr>
          <t>MY DUNG:</t>
        </r>
        <r>
          <rPr>
            <sz val="9"/>
            <color indexed="81"/>
            <rFont val="Tahoma"/>
            <family val="2"/>
          </rPr>
          <t xml:space="preserve">
SC trụ sở 2 tỷ</t>
        </r>
      </text>
    </comment>
    <comment ref="N32" authorId="1" shapeId="0">
      <text>
        <r>
          <rPr>
            <b/>
            <sz val="9"/>
            <color indexed="81"/>
            <rFont val="Tahoma"/>
            <family val="2"/>
          </rPr>
          <t>MY DUNG:</t>
        </r>
        <r>
          <rPr>
            <sz val="9"/>
            <color indexed="81"/>
            <rFont val="Tahoma"/>
            <family val="2"/>
          </rPr>
          <t xml:space="preserve">
- Hội thảo khoa học 1 tỷ
- SC TS 1 tỷ
- Xe ô tô 950trđ
- Màn Led và màn hình cường lực 1.080trđ
- Đoàn ra 650trđ</t>
        </r>
      </text>
    </comment>
    <comment ref="N33" authorId="1" shapeId="0">
      <text>
        <r>
          <rPr>
            <b/>
            <sz val="9"/>
            <color indexed="81"/>
            <rFont val="Tahoma"/>
            <family val="2"/>
          </rPr>
          <t>MY DUNG:</t>
        </r>
        <r>
          <rPr>
            <sz val="9"/>
            <color indexed="81"/>
            <rFont val="Tahoma"/>
            <family val="2"/>
          </rPr>
          <t xml:space="preserve">
- SC 7.044trđ;
- Kiểm định, thuê chuyên gia 2.870trđ</t>
        </r>
      </text>
    </comment>
    <comment ref="K36" authorId="1" shapeId="0">
      <text>
        <r>
          <rPr>
            <b/>
            <sz val="9"/>
            <color indexed="81"/>
            <rFont val="Tahoma"/>
            <family val="2"/>
          </rPr>
          <t>MY DUNG:</t>
        </r>
        <r>
          <rPr>
            <sz val="9"/>
            <color indexed="81"/>
            <rFont val="Tahoma"/>
            <family val="2"/>
          </rPr>
          <t xml:space="preserve">
KP ATGT 2,5 tỷ</t>
        </r>
      </text>
    </comment>
    <comment ref="T43" authorId="0" shapeId="0">
      <text>
        <r>
          <rPr>
            <b/>
            <sz val="9"/>
            <color indexed="81"/>
            <rFont val="Tahoma"/>
            <family val="2"/>
          </rPr>
          <t>pc:</t>
        </r>
        <r>
          <rPr>
            <sz val="9"/>
            <color indexed="81"/>
            <rFont val="Tahoma"/>
            <family val="2"/>
          </rPr>
          <t xml:space="preserve">
Sửa chữa khối cơ quan</t>
        </r>
      </text>
    </comment>
    <comment ref="U57" authorId="0" shapeId="0">
      <text>
        <r>
          <rPr>
            <b/>
            <sz val="9"/>
            <color indexed="81"/>
            <rFont val="Tahoma"/>
            <family val="2"/>
          </rPr>
          <t xml:space="preserve">Bao gồm:
1. </t>
        </r>
        <r>
          <rPr>
            <b/>
            <sz val="12"/>
            <color indexed="81"/>
            <rFont val="Times New Roman"/>
            <family val="1"/>
          </rPr>
          <t xml:space="preserve">Kinh phí thường xuyên = 30 triệu đồng x 698 ấp = 20.940 triệu đồng.
2. Kinh phí thực hiện các Kế hoạch, Đề án: Giao tròn 18.000 Triệu đồng (Giao Công an Tỉnh rà soát các Kế hoạch, Đề án còn hiệu lực áp dụng và Kế hoạch, Đề án của giai đoạn hết hiệu lực.
3. Kinh phí mua sắm, sữa chữa: 12.060 triệu đồng, Giao tròn (Đã bao gồm kinh phí duy trì phần mềm thuộc lĩnh vực An ninh mạng 700 triệu đồng/năm, 3 năm 2.100 triệu đồng (gia hạn đầu kỳ 2024) </t>
        </r>
      </text>
    </comment>
    <comment ref="N58" authorId="0" shapeId="0">
      <text>
        <r>
          <rPr>
            <b/>
            <sz val="9"/>
            <color indexed="81"/>
            <rFont val="Tahoma"/>
            <family val="2"/>
          </rPr>
          <t>pc:</t>
        </r>
        <r>
          <rPr>
            <sz val="9"/>
            <color indexed="81"/>
            <rFont val="Tahoma"/>
            <family val="2"/>
          </rPr>
          <t xml:space="preserve">
- Theo hợp đồng thực tế của năm 2024</t>
        </r>
      </text>
    </comment>
    <comment ref="U58" authorId="0" shapeId="0">
      <text>
        <r>
          <rPr>
            <b/>
            <sz val="12"/>
            <color indexed="81"/>
            <rFont val="Times New Roman"/>
            <family val="1"/>
          </rPr>
          <t>Bao gồm:
1. Kinh phí theo định mức 60 triệu đồng x 698 ấp (Khi huấn luyện quân số sẽ tính sau) trước mắt phải dành 10% thực hiện CCTL
2. Kinh phí không thực hiện thực xuyên: 33.120 triệu đồng (Bao gồm 60 năm thành lập trung đoàn 320, Ngày thành lập ngành lấy trong thường xuyên.
3. Kinh phí mua sắm, sửa chữa: 16.000 triệu đồng (bao gồm: mua sắm công cụ tuần tra, mua 143 xe máy cho quân sự xã và sửa chữa nhà kho, đường đan.... 
4. Giảm 8 tỷ đưa về Quân dự huyện, diễn tập khu vực phòng thù (TP. Hồng Ngự; Lấp Vò; Lai Vung; Châu Thành)</t>
        </r>
      </text>
    </comment>
    <comment ref="U59" authorId="0" shapeId="0">
      <text>
        <r>
          <rPr>
            <b/>
            <sz val="12"/>
            <color indexed="81"/>
            <rFont val="Times New Roman"/>
            <family val="1"/>
          </rPr>
          <t>Bao gồm:
1. DT = 13.000 triệu đồng, lấy bằng dự toán năm 2023.
2. BS = 1.200 tiệu đồng, (Công văn số 1015/UBND-KT ngày 07/9/2023 của UBND Tỉnh về tổ chức 65 năm ngày truyền thống BĐ Biên phòng và 35 năm ngày Biên phòng toàn dân.
3. BS = 127.400.000 đồng (Công văn 1016/UBND-KT ngày 07/9/2023 của UBND Tỉnh về kinh phí đề án phát huy vai trò của LL Quân đội về phổ biến, giáo dục pháp luật 2021-2027)</t>
        </r>
      </text>
    </comment>
    <comment ref="O61" authorId="0" shapeId="0">
      <text>
        <r>
          <rPr>
            <b/>
            <sz val="9"/>
            <color indexed="81"/>
            <rFont val="Tahoma"/>
            <family val="2"/>
          </rPr>
          <t>pc:</t>
        </r>
        <r>
          <rPr>
            <sz val="9"/>
            <color indexed="81"/>
            <rFont val="Tahoma"/>
            <family val="2"/>
          </rPr>
          <t xml:space="preserve">
-Trong đó: 328.342 triệu đồng; Chính sách BHYT đầu chu kỳ giao năm 2022.
- Ngân sách địa phương = 34.153 triệu đồng
- Địa phương báo cáo Bộ Tài chính = 354.100 triệu đồng</t>
        </r>
      </text>
    </comment>
    <comment ref="N62" authorId="0" shapeId="0">
      <text>
        <r>
          <rPr>
            <sz val="14"/>
            <color indexed="81"/>
            <rFont val="Times New Roman"/>
            <family val="1"/>
          </rPr>
          <t>Đưa lên chi đầu tư phát triển</t>
        </r>
      </text>
    </comment>
    <comment ref="V63" authorId="0" shapeId="0">
      <text>
        <r>
          <rPr>
            <b/>
            <sz val="14"/>
            <color indexed="81"/>
            <rFont val="Times New Roman"/>
            <family val="1"/>
          </rPr>
          <t>pc:</t>
        </r>
        <r>
          <rPr>
            <sz val="14"/>
            <color indexed="81"/>
            <rFont val="Times New Roman"/>
            <family val="1"/>
          </rPr>
          <t xml:space="preserve">
</t>
        </r>
        <r>
          <rPr>
            <b/>
            <sz val="14"/>
            <color indexed="81"/>
            <rFont val="Times New Roman"/>
            <family val="1"/>
          </rPr>
          <t>1.</t>
        </r>
        <r>
          <rPr>
            <sz val="14"/>
            <color indexed="81"/>
            <rFont val="Times New Roman"/>
            <family val="1"/>
          </rPr>
          <t xml:space="preserve"> Theo Nghị Quyết số 35/2023/NQ-HĐND ngày 28/5/2023 của HĐND Tỉnh, sửa đổi bổ sung Nghị quyết số 79/2021/NQ-HĐND ngày 09/12/2021 của HĐND Tỉnh = 400 triệu đồng/Hội/Năm
</t>
        </r>
        <r>
          <rPr>
            <b/>
            <sz val="14"/>
            <color indexed="81"/>
            <rFont val="Times New Roman"/>
            <family val="1"/>
          </rPr>
          <t>2.</t>
        </r>
        <r>
          <rPr>
            <sz val="14"/>
            <color indexed="81"/>
            <rFont val="Times New Roman"/>
            <family val="1"/>
          </rPr>
          <t xml:space="preserve"> Kinh phí thực hiện nhiệm vụ năm 2024: 857 triệu đồng (Công văn 1198/UBND-KT ngày 30/10/2023)</t>
        </r>
      </text>
    </comment>
    <comment ref="V64" authorId="0" shapeId="0">
      <text>
        <r>
          <rPr>
            <b/>
            <sz val="12"/>
            <color indexed="81"/>
            <rFont val="Times New Roman"/>
            <family val="1"/>
          </rPr>
          <t>pc:</t>
        </r>
        <r>
          <rPr>
            <sz val="12"/>
            <color indexed="81"/>
            <rFont val="Times New Roman"/>
            <family val="1"/>
          </rPr>
          <t xml:space="preserve">
</t>
        </r>
        <r>
          <rPr>
            <b/>
            <sz val="12"/>
            <color indexed="81"/>
            <rFont val="Times New Roman"/>
            <family val="1"/>
          </rPr>
          <t>1.</t>
        </r>
        <r>
          <rPr>
            <sz val="12"/>
            <color indexed="81"/>
            <rFont val="Times New Roman"/>
            <family val="1"/>
          </rPr>
          <t xml:space="preserve"> Theo Nghị Quyết số 35/2023/NQ-HĐND ngày 28/5/2023 của HĐND Tỉnh, sửa đổi bổ sung Nghị quyết số 79/2021/NQ-HĐND ngày 09/12/2021 của HĐND Tỉnh = 400 triệu đồng/Hội/Năm.
</t>
        </r>
        <r>
          <rPr>
            <b/>
            <sz val="12"/>
            <color indexed="81"/>
            <rFont val="Times New Roman"/>
            <family val="1"/>
          </rPr>
          <t>2.</t>
        </r>
        <r>
          <rPr>
            <sz val="12"/>
            <color indexed="81"/>
            <rFont val="Times New Roman"/>
            <family val="1"/>
          </rPr>
          <t xml:space="preserve"> Nhiệm vụ phổ biến giáo dục pháp luật, trợ giúp pháp lý năm 2024 (Công văn số 1055/UBND-KT ngày 19/9/2023 của UBND Tỉnh) = 100 triệu đồng/năm</t>
        </r>
      </text>
    </comment>
    <comment ref="V65" authorId="0" shapeId="0">
      <text>
        <r>
          <rPr>
            <b/>
            <sz val="9"/>
            <color indexed="81"/>
            <rFont val="Tahoma"/>
            <family val="2"/>
          </rPr>
          <t>pc:</t>
        </r>
        <r>
          <rPr>
            <sz val="9"/>
            <color indexed="81"/>
            <rFont val="Tahoma"/>
            <family val="2"/>
          </rPr>
          <t xml:space="preserve">
</t>
        </r>
        <r>
          <rPr>
            <b/>
            <sz val="9"/>
            <color indexed="81"/>
            <rFont val="Tahoma"/>
            <family val="2"/>
          </rPr>
          <t>1.</t>
        </r>
        <r>
          <rPr>
            <sz val="9"/>
            <color indexed="81"/>
            <rFont val="Tahoma"/>
            <family val="2"/>
          </rPr>
          <t xml:space="preserve"> Theo Nghị Quyết số 35/2023/NQ-HĐND ngày 28/5/2023 của HĐND Tỉnh, sửa đổi bổ sung Nghị quyết số 79/2021/NQ-HĐND ngày 09/12/2021 của HĐND Tỉnh = 500 triệu đồng/Hội/Năm</t>
        </r>
      </text>
    </comment>
    <comment ref="V66" authorId="0" shapeId="0">
      <text>
        <r>
          <rPr>
            <b/>
            <sz val="9"/>
            <color indexed="81"/>
            <rFont val="Tahoma"/>
            <family val="2"/>
          </rPr>
          <t>pc:</t>
        </r>
        <r>
          <rPr>
            <sz val="9"/>
            <color indexed="81"/>
            <rFont val="Tahoma"/>
            <family val="2"/>
          </rPr>
          <t xml:space="preserve">
</t>
        </r>
        <r>
          <rPr>
            <b/>
            <sz val="9"/>
            <color indexed="81"/>
            <rFont val="Tahoma"/>
            <family val="2"/>
          </rPr>
          <t>1.</t>
        </r>
        <r>
          <rPr>
            <sz val="9"/>
            <color indexed="81"/>
            <rFont val="Tahoma"/>
            <family val="2"/>
          </rPr>
          <t xml:space="preserve"> Theo Nghị Quyết số 35/2023/NQ-HĐND ngày 28/5/2023 của HĐND Tỉnh, sửa đổi bổ sung Nghị quyết số 79/2021/NQ-HĐND ngày 09/12/2021 của HĐND Tỉnh = 400 triệu đồng/Hội/Năm</t>
        </r>
      </text>
    </comment>
    <comment ref="V67" authorId="0" shapeId="0">
      <text>
        <r>
          <rPr>
            <b/>
            <sz val="9"/>
            <color indexed="81"/>
            <rFont val="Tahoma"/>
            <family val="2"/>
          </rPr>
          <t>pc:</t>
        </r>
        <r>
          <rPr>
            <sz val="9"/>
            <color indexed="81"/>
            <rFont val="Tahoma"/>
            <family val="2"/>
          </rPr>
          <t xml:space="preserve">
</t>
        </r>
        <r>
          <rPr>
            <b/>
            <sz val="9"/>
            <color indexed="81"/>
            <rFont val="Tahoma"/>
            <family val="2"/>
          </rPr>
          <t>1.</t>
        </r>
        <r>
          <rPr>
            <sz val="9"/>
            <color indexed="81"/>
            <rFont val="Tahoma"/>
            <family val="2"/>
          </rPr>
          <t xml:space="preserve"> Theo Nghị Quyết số 35/2023/NQ-HĐND ngày 28/5/2023 của HĐND Tỉnh, sửa đổi bổ sung Nghị quyết số 79/2021/NQ-HĐND ngày 09/12/2021 của HĐND Tỉnh = 400 triệu đồng/Hội/Năm</t>
        </r>
      </text>
    </comment>
    <comment ref="V68" authorId="0" shapeId="0">
      <text>
        <r>
          <rPr>
            <b/>
            <sz val="14"/>
            <color indexed="81"/>
            <rFont val="Times New Roman"/>
            <family val="1"/>
          </rPr>
          <t>pc:</t>
        </r>
        <r>
          <rPr>
            <sz val="14"/>
            <color indexed="81"/>
            <rFont val="Times New Roman"/>
            <family val="1"/>
          </rPr>
          <t xml:space="preserve">
</t>
        </r>
        <r>
          <rPr>
            <b/>
            <sz val="14"/>
            <color indexed="81"/>
            <rFont val="Times New Roman"/>
            <family val="1"/>
          </rPr>
          <t>1.</t>
        </r>
        <r>
          <rPr>
            <sz val="14"/>
            <color indexed="81"/>
            <rFont val="Times New Roman"/>
            <family val="1"/>
          </rPr>
          <t xml:space="preserve"> Theo Nghị Quyết số 35/2023/NQ-HĐND ngày 28/5/2023 của HĐND Tỉnh, sửa đổi bổ sung Nghị quyết số 79/2021/NQ-HĐND ngày 09/12/2021 của HĐND Tỉnh = 400 triệu đồng/Hội/Năm.
</t>
        </r>
        <r>
          <rPr>
            <b/>
            <sz val="14"/>
            <color indexed="81"/>
            <rFont val="Times New Roman"/>
            <family val="1"/>
          </rPr>
          <t xml:space="preserve">2. Thực hiện nhiệm vụ đặt hàng: 280 triệu đồng, đang chờ UBND Tỉnh duyệt chính thức </t>
        </r>
      </text>
    </comment>
    <comment ref="V69" authorId="0" shapeId="0">
      <text>
        <r>
          <rPr>
            <b/>
            <sz val="14"/>
            <color indexed="81"/>
            <rFont val="Times New Roman"/>
            <family val="1"/>
          </rPr>
          <t>pc:</t>
        </r>
        <r>
          <rPr>
            <sz val="14"/>
            <color indexed="81"/>
            <rFont val="Times New Roman"/>
            <family val="1"/>
          </rPr>
          <t xml:space="preserve">
</t>
        </r>
        <r>
          <rPr>
            <b/>
            <sz val="14"/>
            <color indexed="81"/>
            <rFont val="Times New Roman"/>
            <family val="1"/>
          </rPr>
          <t>1.</t>
        </r>
        <r>
          <rPr>
            <sz val="14"/>
            <color indexed="81"/>
            <rFont val="Times New Roman"/>
            <family val="1"/>
          </rPr>
          <t xml:space="preserve"> Theo Nghị Quyết số 35/2023/NQ-HĐND ngày 28/5/2023 của HĐND Tỉnh, sửa đổi bổ sung Nghị quyết số 79/2021/NQ-HĐND ngày 09/12/2021 của HĐND Tỉnh = 400 triệu đồng/Hội/Năm
2. Nhiệm vụ đặc hàng theo Công văn số 1233/UBND-KT ngày 08/11/2023 của UBND Tỉnh</t>
        </r>
      </text>
    </comment>
    <comment ref="V70" authorId="0" shapeId="0">
      <text>
        <r>
          <rPr>
            <sz val="12"/>
            <color indexed="81"/>
            <rFont val="Times New Roman"/>
            <family val="1"/>
          </rPr>
          <t>Công văn 1153/UBND-KT ngày 16/10/2023 của Ủy ban nhân dân Tỉnh</t>
        </r>
      </text>
    </comment>
    <comment ref="V71" authorId="0" shapeId="0">
      <text>
        <r>
          <rPr>
            <sz val="14"/>
            <color indexed="81"/>
            <rFont val="Times New Roman"/>
            <family val="1"/>
          </rPr>
          <t xml:space="preserve">- Công văn 1165/UBND-KT ngày 19/10/2023 của UBND Tỉnh </t>
        </r>
      </text>
    </comment>
    <comment ref="V72" authorId="0" shapeId="0">
      <text>
        <r>
          <rPr>
            <sz val="14"/>
            <color indexed="81"/>
            <rFont val="Times New Roman"/>
            <family val="1"/>
          </rPr>
          <t>- CV 1195/UBND-KT ngày 27/10/2023</t>
        </r>
      </text>
    </comment>
    <comment ref="V73" authorId="0" shapeId="0">
      <text>
        <r>
          <rPr>
            <b/>
            <sz val="14"/>
            <color indexed="81"/>
            <rFont val="Times New Roman"/>
            <family val="1"/>
          </rPr>
          <t>pc:</t>
        </r>
        <r>
          <rPr>
            <sz val="14"/>
            <color indexed="81"/>
            <rFont val="Times New Roman"/>
            <family val="1"/>
          </rPr>
          <t xml:space="preserve">
Công văn số 355/UBND-NCPC ngày 13/11/2023</t>
        </r>
      </text>
    </comment>
    <comment ref="V74" authorId="0" shapeId="0">
      <text>
        <r>
          <rPr>
            <sz val="14"/>
            <color indexed="81"/>
            <rFont val="Times New Roman"/>
            <family val="1"/>
          </rPr>
          <t>Công văn 1262/UBND-KT ngày 17/11/2023</t>
        </r>
      </text>
    </comment>
    <comment ref="N106" authorId="0" shapeId="0">
      <text>
        <r>
          <rPr>
            <sz val="14"/>
            <color indexed="81"/>
            <rFont val="Times New Roman"/>
            <family val="1"/>
          </rPr>
          <t>+ 6</t>
        </r>
      </text>
    </comment>
    <comment ref="P106" authorId="0" shapeId="0">
      <text>
        <r>
          <rPr>
            <b/>
            <sz val="9"/>
            <color indexed="81"/>
            <rFont val="Tahoma"/>
            <family val="2"/>
          </rPr>
          <t>pc:</t>
        </r>
        <r>
          <rPr>
            <sz val="9"/>
            <color indexed="81"/>
            <rFont val="Tahoma"/>
            <family val="2"/>
          </rPr>
          <t xml:space="preserve">
Cộng dồn PTTT = 204
Cộng dồn TDTT = 351</t>
        </r>
      </text>
    </comment>
    <comment ref="T106" authorId="0" shapeId="0">
      <text>
        <r>
          <rPr>
            <sz val="14"/>
            <color indexed="81"/>
            <rFont val="Times New Roman"/>
            <family val="1"/>
          </rPr>
          <t>-6</t>
        </r>
      </text>
    </comment>
    <comment ref="C123" authorId="0" shapeId="0">
      <text>
        <r>
          <rPr>
            <b/>
            <sz val="9"/>
            <color indexed="81"/>
            <rFont val="Tahoma"/>
            <family val="2"/>
          </rPr>
          <t>pc:</t>
        </r>
        <r>
          <rPr>
            <sz val="9"/>
            <color indexed="81"/>
            <rFont val="Tahoma"/>
            <family val="2"/>
          </rPr>
          <t xml:space="preserve">
Tỷ lệ tăng thuần (Kiểm tra kỷ lỷ lệ(
</t>
        </r>
      </text>
    </comment>
    <comment ref="E130" authorId="0" shapeId="0">
      <text>
        <r>
          <rPr>
            <b/>
            <sz val="9"/>
            <color indexed="81"/>
            <rFont val="Tahoma"/>
            <family val="2"/>
          </rPr>
          <t>pc:</t>
        </r>
        <r>
          <rPr>
            <sz val="9"/>
            <color indexed="81"/>
            <rFont val="Tahoma"/>
            <family val="2"/>
          </rPr>
          <t xml:space="preserve">
</t>
        </r>
      </text>
    </comment>
    <comment ref="E131" authorId="0" shapeId="0">
      <text>
        <r>
          <rPr>
            <sz val="14"/>
            <color indexed="81"/>
            <rFont val="Times New Roman"/>
            <family val="1"/>
          </rPr>
          <t>Đã bao gồm:
1. Phần bù 7.888 triệu đồng
2. Cân thêm phần trả nợ 13.000 triệu đồng
3. Cân thêm 9.186 triệu đồng.</t>
        </r>
      </text>
    </comment>
    <comment ref="E133" authorId="0" shapeId="0">
      <text>
        <r>
          <rPr>
            <sz val="14"/>
            <color indexed="81"/>
            <rFont val="Times New Roman"/>
            <family val="1"/>
          </rPr>
          <t>- Số Trung ương 1.070.186 triệu đồng.</t>
        </r>
      </text>
    </comment>
    <comment ref="F134" authorId="0" shapeId="0">
      <text>
        <r>
          <rPr>
            <sz val="14"/>
            <color indexed="81"/>
            <rFont val="Times New Roman"/>
            <family val="1"/>
          </rPr>
          <t>- Cộng 13.000 triệu đồng trả nợ</t>
        </r>
      </text>
    </comment>
    <comment ref="D137" authorId="0" shapeId="0">
      <text>
        <r>
          <rPr>
            <b/>
            <sz val="14"/>
            <color indexed="81"/>
            <rFont val="Times New Roman"/>
            <family val="1"/>
          </rPr>
          <t>pc:</t>
        </r>
        <r>
          <rPr>
            <sz val="14"/>
            <color indexed="81"/>
            <rFont val="Times New Roman"/>
            <family val="1"/>
          </rPr>
          <t xml:space="preserve">
Xây dựng cơ bản cấp tỉnh</t>
        </r>
      </text>
    </comment>
    <comment ref="E137" authorId="0" shapeId="0">
      <text>
        <r>
          <rPr>
            <sz val="14"/>
            <color indexed="81"/>
            <rFont val="Times New Roman"/>
            <family val="1"/>
          </rPr>
          <t>- Ngân sách cấp tỉnh bổ sung cho đơn vị</t>
        </r>
      </text>
    </comment>
    <comment ref="D138" authorId="0" shapeId="0">
      <text>
        <r>
          <rPr>
            <b/>
            <sz val="14"/>
            <color indexed="81"/>
            <rFont val="Times New Roman"/>
            <family val="1"/>
          </rPr>
          <t>pc:</t>
        </r>
        <r>
          <rPr>
            <sz val="14"/>
            <color indexed="81"/>
            <rFont val="Times New Roman"/>
            <family val="1"/>
          </rPr>
          <t xml:space="preserve">
Chi ủy thác qua ngân hàng chính sách; Có thể lấy giảm chi sự nghiệp giáo dục đưa lên</t>
        </r>
      </text>
    </comment>
    <comment ref="D139" authorId="0" shapeId="0">
      <text>
        <r>
          <rPr>
            <b/>
            <sz val="14"/>
            <color indexed="81"/>
            <rFont val="Times New Roman"/>
            <family val="1"/>
          </rPr>
          <t>Trả lãi vay</t>
        </r>
        <r>
          <rPr>
            <sz val="9"/>
            <color indexed="81"/>
            <rFont val="Tahoma"/>
            <family val="2"/>
          </rPr>
          <t xml:space="preserve">
</t>
        </r>
      </text>
    </comment>
    <comment ref="D140" authorId="0" shapeId="0">
      <text>
        <r>
          <rPr>
            <b/>
            <sz val="14"/>
            <color indexed="81"/>
            <rFont val="Times New Roman"/>
            <family val="1"/>
          </rPr>
          <t>- Cân đối dự toán quỹ dự trữ tài chính 97 triệu
- Cân thêm 600 triệu so với trung ương = 1.400 triệu đồng 
- Đảm bảo dự phòng 1.977
- Tăng dự phòng 16.882 triệu đồng</t>
        </r>
        <r>
          <rPr>
            <sz val="9"/>
            <color indexed="81"/>
            <rFont val="Tahoma"/>
            <family val="2"/>
          </rPr>
          <t xml:space="preserve">
</t>
        </r>
      </text>
    </comment>
  </commentList>
</comments>
</file>

<file path=xl/comments32.xml><?xml version="1.0" encoding="utf-8"?>
<comments xmlns="http://schemas.openxmlformats.org/spreadsheetml/2006/main">
  <authors>
    <author>pc</author>
  </authors>
  <commentList>
    <comment ref="F37" authorId="0" shapeId="0">
      <text>
        <r>
          <rPr>
            <b/>
            <sz val="9"/>
            <color indexed="81"/>
            <rFont val="Tahoma"/>
            <family val="2"/>
          </rPr>
          <t>pc:</t>
        </r>
        <r>
          <rPr>
            <sz val="9"/>
            <color indexed="81"/>
            <rFont val="Tahoma"/>
            <family val="2"/>
          </rPr>
          <t xml:space="preserve">
Thay lại số liệu theo bổ sung cân đối năm 2023</t>
        </r>
      </text>
    </comment>
  </commentList>
</comments>
</file>

<file path=xl/comments33.xml><?xml version="1.0" encoding="utf-8"?>
<comments xmlns="http://schemas.openxmlformats.org/spreadsheetml/2006/main">
  <authors>
    <author>quangbx</author>
  </authors>
  <commentList>
    <comment ref="C7" authorId="0" shapeId="0">
      <text>
        <r>
          <rPr>
            <b/>
            <sz val="8"/>
            <color indexed="81"/>
            <rFont val="Tahoma"/>
            <family val="2"/>
          </rPr>
          <t>quangbx:</t>
        </r>
        <r>
          <rPr>
            <sz val="8"/>
            <color indexed="81"/>
            <rFont val="Tahoma"/>
            <family val="2"/>
          </rPr>
          <t xml:space="preserve">
Số liệu do Sở KHĐT cung cấp</t>
        </r>
      </text>
    </comment>
    <comment ref="C17" authorId="0" shapeId="0">
      <text>
        <r>
          <rPr>
            <b/>
            <sz val="8"/>
            <color indexed="81"/>
            <rFont val="Tahoma"/>
            <family val="2"/>
          </rPr>
          <t>quangbx:</t>
        </r>
        <r>
          <rPr>
            <sz val="8"/>
            <color indexed="81"/>
            <rFont val="Tahoma"/>
            <family val="2"/>
          </rPr>
          <t xml:space="preserve">
Số liệu do Sở KHĐT cung cấp</t>
        </r>
      </text>
    </comment>
    <comment ref="C18" authorId="0" shapeId="0">
      <text>
        <r>
          <rPr>
            <b/>
            <sz val="8"/>
            <color indexed="81"/>
            <rFont val="Tahoma"/>
            <family val="2"/>
          </rPr>
          <t>quangbx:</t>
        </r>
        <r>
          <rPr>
            <sz val="8"/>
            <color indexed="81"/>
            <rFont val="Tahoma"/>
            <family val="2"/>
          </rPr>
          <t xml:space="preserve">
Số liệu do Sở KHĐT cung cấp</t>
        </r>
      </text>
    </comment>
  </commentList>
</comments>
</file>

<file path=xl/comments34.xml><?xml version="1.0" encoding="utf-8"?>
<comments xmlns="http://schemas.openxmlformats.org/spreadsheetml/2006/main">
  <authors>
    <author>pc</author>
  </authors>
  <commentList>
    <comment ref="D17" authorId="0" shapeId="0">
      <text>
        <r>
          <rPr>
            <b/>
            <sz val="9"/>
            <color indexed="81"/>
            <rFont val="Tahoma"/>
            <family val="2"/>
          </rPr>
          <t>pc:</t>
        </r>
        <r>
          <rPr>
            <sz val="9"/>
            <color indexed="81"/>
            <rFont val="Tahoma"/>
            <family val="2"/>
          </rPr>
          <t xml:space="preserve">
Theo số Quyết định 1603 của TTg</t>
        </r>
      </text>
    </comment>
    <comment ref="E26" authorId="0" shapeId="0">
      <text>
        <r>
          <rPr>
            <b/>
            <sz val="9"/>
            <color indexed="81"/>
            <rFont val="Tahoma"/>
            <family val="2"/>
          </rPr>
          <t>pc:</t>
        </r>
        <r>
          <rPr>
            <sz val="9"/>
            <color indexed="81"/>
            <rFont val="Tahoma"/>
            <family val="2"/>
          </rPr>
          <t xml:space="preserve">
Chưa kể đối ứng của NSĐP</t>
        </r>
      </text>
    </comment>
    <comment ref="E30" authorId="0" shapeId="0">
      <text>
        <r>
          <rPr>
            <b/>
            <sz val="9"/>
            <color indexed="81"/>
            <rFont val="Tahoma"/>
            <family val="2"/>
          </rPr>
          <t>pc:</t>
        </r>
        <r>
          <rPr>
            <sz val="9"/>
            <color indexed="81"/>
            <rFont val="Tahoma"/>
            <family val="2"/>
          </rPr>
          <t xml:space="preserve">
Cơ cấu lên thường xuyên</t>
        </r>
      </text>
    </comment>
    <comment ref="E35" authorId="0" shapeId="0">
      <text>
        <r>
          <rPr>
            <b/>
            <sz val="9"/>
            <color indexed="81"/>
            <rFont val="Tahoma"/>
            <family val="2"/>
          </rPr>
          <t>pc:</t>
        </r>
        <r>
          <rPr>
            <sz val="9"/>
            <color indexed="81"/>
            <rFont val="Tahoma"/>
            <family val="2"/>
          </rPr>
          <t xml:space="preserve">
</t>
        </r>
        <r>
          <rPr>
            <sz val="14"/>
            <color indexed="81"/>
            <rFont val="Times New Roman"/>
            <family val="1"/>
          </rPr>
          <t>Thu phạt an toàn giao thông NSTW hưởng năm 2022: 42.392.489.257 đồng; tạm tính 15%</t>
        </r>
      </text>
    </comment>
  </commentList>
</comments>
</file>

<file path=xl/comments35.xml><?xml version="1.0" encoding="utf-8"?>
<comments xmlns="http://schemas.openxmlformats.org/spreadsheetml/2006/main">
  <authors>
    <author>pc</author>
  </authors>
  <commentList>
    <comment ref="CC13" authorId="0" shapeId="0">
      <text>
        <r>
          <rPr>
            <b/>
            <sz val="9"/>
            <color indexed="81"/>
            <rFont val="Tahoma"/>
            <family val="2"/>
          </rPr>
          <t>pc:</t>
        </r>
        <r>
          <rPr>
            <sz val="9"/>
            <color indexed="81"/>
            <rFont val="Tahoma"/>
            <family val="2"/>
          </rPr>
          <t xml:space="preserve">
Chuyển từ H. Thanh Binh về 17</t>
        </r>
      </text>
    </comment>
    <comment ref="U29" authorId="0" shapeId="0">
      <text>
        <r>
          <rPr>
            <b/>
            <sz val="9"/>
            <color indexed="81"/>
            <rFont val="Tahoma"/>
            <family val="2"/>
          </rPr>
          <t>pc:</t>
        </r>
        <r>
          <rPr>
            <sz val="9"/>
            <color indexed="81"/>
            <rFont val="Tahoma"/>
            <family val="2"/>
          </rPr>
          <t xml:space="preserve">
Huyện Hồng Ngự đề nghị nâng lên 6 tỷ là 8 tỷ; Rà để trừ huyện khác 6 tỷ</t>
        </r>
      </text>
    </comment>
    <comment ref="EK29" authorId="0" shapeId="0">
      <text>
        <r>
          <rPr>
            <b/>
            <sz val="9"/>
            <color indexed="81"/>
            <rFont val="Tahoma"/>
            <family val="2"/>
          </rPr>
          <t>pc:</t>
        </r>
        <r>
          <rPr>
            <sz val="9"/>
            <color indexed="81"/>
            <rFont val="Tahoma"/>
            <family val="2"/>
          </rPr>
          <t xml:space="preserve">
Giảm cho bằng tổng dự toán 315.000 </t>
        </r>
      </text>
    </comment>
    <comment ref="EK31" authorId="0" shapeId="0">
      <text>
        <r>
          <rPr>
            <b/>
            <sz val="14"/>
            <color indexed="81"/>
            <rFont val="Times New Roman"/>
            <family val="1"/>
          </rPr>
          <t>Dự kiến khu trường quân sự địa phương (350 tỷ) - 26/10/2023</t>
        </r>
      </text>
    </comment>
    <comment ref="U32" authorId="0" shapeId="0">
      <text>
        <r>
          <rPr>
            <b/>
            <sz val="14"/>
            <color indexed="81"/>
            <rFont val="Times New Roman"/>
            <family val="1"/>
          </rPr>
          <t>- Cộng thêm 30 tỷ (Khu Rồng xanh)-26/10/2023</t>
        </r>
        <r>
          <rPr>
            <sz val="9"/>
            <color indexed="81"/>
            <rFont val="Tahoma"/>
            <family val="2"/>
          </rPr>
          <t xml:space="preserve">
</t>
        </r>
      </text>
    </comment>
    <comment ref="AG32" authorId="0" shapeId="0">
      <text>
        <r>
          <rPr>
            <b/>
            <sz val="14"/>
            <color indexed="81"/>
            <rFont val="Times New Roman"/>
            <family val="1"/>
          </rPr>
          <t>- Đẩy tiến độ 2025 sang 2024 (+40 tỷ) 26-10-2023</t>
        </r>
        <r>
          <rPr>
            <sz val="9"/>
            <color indexed="81"/>
            <rFont val="Tahoma"/>
            <family val="2"/>
          </rPr>
          <t xml:space="preserve">
</t>
        </r>
      </text>
    </comment>
    <comment ref="AS32" authorId="0" shapeId="0">
      <text>
        <r>
          <rPr>
            <b/>
            <sz val="14"/>
            <color indexed="81"/>
            <rFont val="Times New Roman"/>
            <family val="1"/>
          </rPr>
          <t>- Tăng tiến độ của năm 2025 lên 2024 (KDC Chợ An Phước; KDC C1 Dinh Bà) = 5 tỷ - 26-10-2023</t>
        </r>
        <r>
          <rPr>
            <sz val="9"/>
            <color indexed="81"/>
            <rFont val="Tahoma"/>
            <family val="2"/>
          </rPr>
          <t xml:space="preserve">
</t>
        </r>
      </text>
    </comment>
    <comment ref="BE32" authorId="0" shapeId="0">
      <text>
        <r>
          <rPr>
            <b/>
            <sz val="14"/>
            <color indexed="81"/>
            <rFont val="Times New Roman"/>
            <family val="1"/>
          </rPr>
          <t>- Tăng thêm 5 tỷ đồng (Do huyện dự kiến năm 2024: 62.250 triệu đồng) Số ghi 2024 là 55 tỷ đồng</t>
        </r>
        <r>
          <rPr>
            <sz val="14"/>
            <color indexed="81"/>
            <rFont val="Times New Roman"/>
            <family val="1"/>
          </rPr>
          <t xml:space="preserve"> - 26-10-2023</t>
        </r>
      </text>
    </comment>
    <comment ref="BQ32" authorId="0" shapeId="0">
      <text>
        <r>
          <rPr>
            <b/>
            <sz val="14"/>
            <color indexed="81"/>
            <rFont val="Times New Roman"/>
            <family val="1"/>
          </rPr>
          <t>- Đẩy tiến độ 2025 lên 2024 (Các dự án khác trên địa bàn và thu tiền sử dụng đất khác) + 10 tỷ - 26-10-2023</t>
        </r>
        <r>
          <rPr>
            <sz val="9"/>
            <color indexed="81"/>
            <rFont val="Tahoma"/>
            <family val="2"/>
          </rPr>
          <t xml:space="preserve">
</t>
        </r>
      </text>
    </comment>
    <comment ref="CC32" authorId="0" shapeId="0">
      <text>
        <r>
          <rPr>
            <b/>
            <sz val="9"/>
            <color indexed="81"/>
            <rFont val="Tahoma"/>
            <family val="2"/>
          </rPr>
          <t>pc:</t>
        </r>
        <r>
          <rPr>
            <sz val="9"/>
            <color indexed="81"/>
            <rFont val="Tahoma"/>
            <family val="2"/>
          </rPr>
          <t xml:space="preserve">
Căn cho bằng tổng dự toán </t>
        </r>
      </text>
    </comment>
    <comment ref="CO32" authorId="0" shapeId="0">
      <text>
        <r>
          <rPr>
            <b/>
            <sz val="14"/>
            <color indexed="81"/>
            <rFont val="Times New Roman"/>
            <family val="1"/>
          </rPr>
          <t>- Tăng tiến độ 2025 lên 2024 (Cụm dân cư Mỹ Tây-TT.Mỹ Thọ) + 15 tỷ (26-10-2023)</t>
        </r>
        <r>
          <rPr>
            <sz val="9"/>
            <color indexed="81"/>
            <rFont val="Tahoma"/>
            <family val="2"/>
          </rPr>
          <t xml:space="preserve">
</t>
        </r>
      </text>
    </comment>
    <comment ref="DA32" authorId="0" shapeId="0">
      <text>
        <r>
          <rPr>
            <sz val="14"/>
            <color indexed="81"/>
            <rFont val="Times New Roman"/>
            <family val="1"/>
          </rPr>
          <t>Đẩy tiến độ 2025 sang 2024 + 10 tỷ (Tuyến dân cư An Phong - Mỹ Hòa) - 26-10-2023</t>
        </r>
        <r>
          <rPr>
            <sz val="9"/>
            <color indexed="81"/>
            <rFont val="Tahoma"/>
            <family val="2"/>
          </rPr>
          <t xml:space="preserve">
</t>
        </r>
      </text>
    </comment>
    <comment ref="DM32" authorId="0" shapeId="0">
      <text>
        <r>
          <rPr>
            <sz val="14"/>
            <color indexed="81"/>
            <rFont val="Times New Roman"/>
            <family val="1"/>
          </rPr>
          <t xml:space="preserve">Đẩy tiến độ năm 2025 sang  2024 (Dự án cơ sở nhà đất trên địa bàn huyện) </t>
        </r>
      </text>
    </comment>
    <comment ref="DY32" authorId="0" shapeId="0">
      <text>
        <r>
          <rPr>
            <b/>
            <sz val="14"/>
            <color indexed="81"/>
            <rFont val="Times New Roman"/>
            <family val="1"/>
          </rPr>
          <t>- Đẩy tiến độ 2025 lên 2025 (15 tỷ) Giao đất, chuyển mục đích…(26-10-2023)</t>
        </r>
        <r>
          <rPr>
            <sz val="9"/>
            <color indexed="81"/>
            <rFont val="Tahoma"/>
            <family val="2"/>
          </rPr>
          <t xml:space="preserve">
</t>
        </r>
      </text>
    </comment>
    <comment ref="EK32" authorId="0" shapeId="0">
      <text>
        <r>
          <rPr>
            <b/>
            <sz val="9"/>
            <color indexed="81"/>
            <rFont val="Tahoma"/>
            <family val="2"/>
          </rPr>
          <t>pc:</t>
        </r>
        <r>
          <rPr>
            <sz val="9"/>
            <color indexed="81"/>
            <rFont val="Tahoma"/>
            <family val="2"/>
          </rPr>
          <t xml:space="preserve">
Giảm cho bằng dự toán, 1.200 tỷ
Tăng Châu Thành 20 tỷ</t>
        </r>
      </text>
    </comment>
    <comment ref="EW32" authorId="0" shapeId="0">
      <text>
        <r>
          <rPr>
            <b/>
            <sz val="14"/>
            <color indexed="81"/>
            <rFont val="Times New Roman"/>
            <family val="1"/>
          </rPr>
          <t>- Đẩy tiến độ năm 2024 sang 2025 (+30 tỷ) Khu TĐC Cao Tốc Mỹ Thuận - Cần Thơ - Tuyến Dân cư Hang Mai (26-10-2023)</t>
        </r>
        <r>
          <rPr>
            <sz val="9"/>
            <color indexed="81"/>
            <rFont val="Tahoma"/>
            <family val="2"/>
          </rPr>
          <t xml:space="preserve">
</t>
        </r>
      </text>
    </comment>
    <comment ref="BC36" authorId="0" shapeId="0">
      <text>
        <r>
          <rPr>
            <b/>
            <sz val="12"/>
            <color indexed="81"/>
            <rFont val="Times New Roman"/>
            <family val="1"/>
          </rPr>
          <t>- Xem lại cấp quyền khai thác khoán sản Tỉnh hay huyện</t>
        </r>
        <r>
          <rPr>
            <sz val="9"/>
            <color indexed="81"/>
            <rFont val="Tahoma"/>
            <family val="2"/>
          </rPr>
          <t xml:space="preserve">
</t>
        </r>
      </text>
    </comment>
    <comment ref="J44" authorId="0" shapeId="0">
      <text>
        <r>
          <rPr>
            <b/>
            <sz val="9"/>
            <color indexed="81"/>
            <rFont val="Tahoma"/>
            <family val="2"/>
          </rPr>
          <t>pc:</t>
        </r>
        <r>
          <rPr>
            <sz val="9"/>
            <color indexed="81"/>
            <rFont val="Tahoma"/>
            <family val="2"/>
          </rPr>
          <t xml:space="preserve">
Tính toán lại tỷ lệ tăng bao nhiêu, sau khi dành 50% CCTL còn lại bố trí các nhiệm vụ chi, ưu tiên dự phòng cho đảm bảo theo Luật NSNN và TW giao cả tỉnh</t>
        </r>
      </text>
    </comment>
  </commentList>
</comments>
</file>

<file path=xl/comments36.xml><?xml version="1.0" encoding="utf-8"?>
<comments xmlns="http://schemas.openxmlformats.org/spreadsheetml/2006/main">
  <authors>
    <author>pc</author>
  </authors>
  <commentList>
    <comment ref="N16" authorId="0" shapeId="0">
      <text>
        <r>
          <rPr>
            <b/>
            <sz val="9"/>
            <color indexed="81"/>
            <rFont val="Tahoma"/>
            <family val="2"/>
          </rPr>
          <t>pc:</t>
        </r>
        <r>
          <rPr>
            <sz val="9"/>
            <color indexed="81"/>
            <rFont val="Tahoma"/>
            <family val="2"/>
          </rPr>
          <t xml:space="preserve">
Chú ý đưa phần giáo dục lên SNGD ( hay Thường xuyên còn lại)</t>
        </r>
      </text>
    </comment>
    <comment ref="B17" authorId="0" shapeId="0">
      <text>
        <r>
          <rPr>
            <b/>
            <sz val="14"/>
            <color indexed="81"/>
            <rFont val="Times New Roman"/>
            <family val="1"/>
          </rPr>
          <t>pc:</t>
        </r>
        <r>
          <rPr>
            <sz val="14"/>
            <color indexed="81"/>
            <rFont val="Times New Roman"/>
            <family val="1"/>
          </rPr>
          <t xml:space="preserve">
- Theo đề nghị của Bộ Chị huy Quân sự tỉnh tại Công văn số 2395/BCH-TC ngày 20/10/2023</t>
        </r>
      </text>
    </comment>
    <comment ref="K20" authorId="0" shapeId="0">
      <text>
        <r>
          <rPr>
            <b/>
            <sz val="9"/>
            <color indexed="81"/>
            <rFont val="Tahoma"/>
            <family val="2"/>
          </rPr>
          <t>pc:</t>
        </r>
        <r>
          <rPr>
            <sz val="9"/>
            <color indexed="81"/>
            <rFont val="Tahoma"/>
            <family val="2"/>
          </rPr>
          <t xml:space="preserve">
Tính dự toán NSH hưởng năm sau so năm trước nếu giảm; hỗ trợ theo khả năng cấp tỉnh</t>
        </r>
      </text>
    </comment>
    <comment ref="F21" authorId="0" shapeId="0">
      <text>
        <r>
          <rPr>
            <b/>
            <sz val="9"/>
            <color indexed="81"/>
            <rFont val="Tahoma"/>
            <family val="2"/>
          </rPr>
          <t>pc:</t>
        </r>
        <r>
          <rPr>
            <sz val="9"/>
            <color indexed="81"/>
            <rFont val="Tahoma"/>
            <family val="2"/>
          </rPr>
          <t xml:space="preserve">
Nếu có chế độ chính sách thì thu chuyển nguồn vào; không thì thu về NST, bổ sung mới</t>
        </r>
      </text>
    </comment>
    <comment ref="K21" authorId="0" shapeId="0">
      <text>
        <r>
          <rPr>
            <b/>
            <sz val="9"/>
            <color indexed="81"/>
            <rFont val="Tahoma"/>
            <family val="2"/>
          </rPr>
          <t>pc:</t>
        </r>
        <r>
          <rPr>
            <sz val="9"/>
            <color indexed="81"/>
            <rFont val="Tahoma"/>
            <family val="2"/>
          </rPr>
          <t xml:space="preserve">
Lấy từ kinh phí còn thừa</t>
        </r>
      </text>
    </comment>
    <comment ref="AT21" authorId="0" shapeId="0">
      <text>
        <r>
          <rPr>
            <b/>
            <sz val="9"/>
            <color indexed="81"/>
            <rFont val="Tahoma"/>
            <family val="2"/>
          </rPr>
          <t>pc:</t>
        </r>
        <r>
          <rPr>
            <sz val="9"/>
            <color indexed="81"/>
            <rFont val="Tahoma"/>
            <family val="2"/>
          </rPr>
          <t xml:space="preserve">
Nguồn để cấn trừ của huyện, không phải thửa thật</t>
        </r>
      </text>
    </comment>
    <comment ref="F25" authorId="0" shapeId="0">
      <text>
        <r>
          <rPr>
            <b/>
            <sz val="9"/>
            <color indexed="81"/>
            <rFont val="Tahoma"/>
            <family val="2"/>
          </rPr>
          <t>pc:</t>
        </r>
        <r>
          <rPr>
            <sz val="9"/>
            <color indexed="81"/>
            <rFont val="Tahoma"/>
            <family val="2"/>
          </rPr>
          <t xml:space="preserve">
Tính toán từ nguồn 50% dự toán tăng thu so với năm trước liền kề</t>
        </r>
      </text>
    </comment>
    <comment ref="CQ28" authorId="0" shapeId="0">
      <text>
        <r>
          <rPr>
            <b/>
            <sz val="12"/>
            <color indexed="81"/>
            <rFont val="Times New Roman"/>
            <family val="1"/>
          </rPr>
          <t>Lấy lại nhu cầu đã rà ngày 02/10/2023</t>
        </r>
      </text>
    </comment>
    <comment ref="F29" authorId="0" shapeId="0">
      <text>
        <r>
          <rPr>
            <b/>
            <sz val="9"/>
            <color indexed="81"/>
            <rFont val="Tahoma"/>
            <family val="2"/>
          </rPr>
          <t>pc:</t>
        </r>
        <r>
          <rPr>
            <sz val="9"/>
            <color indexed="81"/>
            <rFont val="Tahoma"/>
            <family val="2"/>
          </rPr>
          <t xml:space="preserve">
Tính toán tăng phần 50% còn lại sau khi dành CCTL</t>
        </r>
      </text>
    </comment>
    <comment ref="G29" authorId="0" shapeId="0">
      <text>
        <r>
          <rPr>
            <b/>
            <sz val="12"/>
            <color indexed="81"/>
            <rFont val="Times New Roman"/>
            <family val="1"/>
          </rPr>
          <t>pc:</t>
        </r>
        <r>
          <rPr>
            <sz val="12"/>
            <color indexed="81"/>
            <rFont val="Times New Roman"/>
            <family val="1"/>
          </rPr>
          <t xml:space="preserve">
Bao gồm: Dự kiến chế độ thôi việc
Chưa bao gồm phần tăng chi chế độ chính sách thuộc Giáo dục</t>
        </r>
      </text>
    </comment>
    <comment ref="F31" authorId="0" shapeId="0">
      <text>
        <r>
          <rPr>
            <b/>
            <sz val="9"/>
            <color indexed="81"/>
            <rFont val="Tahoma"/>
            <family val="2"/>
          </rPr>
          <t>pc:</t>
        </r>
        <r>
          <rPr>
            <sz val="9"/>
            <color indexed="81"/>
            <rFont val="Tahoma"/>
            <family val="2"/>
          </rPr>
          <t xml:space="preserve">
Tính toán lại 50% so với dự toán năm trước liền kề</t>
        </r>
      </text>
    </comment>
    <comment ref="F33" authorId="0" shapeId="0">
      <text>
        <r>
          <rPr>
            <b/>
            <sz val="9"/>
            <color indexed="81"/>
            <rFont val="Tahoma"/>
            <family val="2"/>
          </rPr>
          <t>pc:</t>
        </r>
        <r>
          <rPr>
            <sz val="9"/>
            <color indexed="81"/>
            <rFont val="Tahoma"/>
            <family val="2"/>
          </rPr>
          <t xml:space="preserve">
Nếu chế độ chính sách còn dư thì (1) thu hồi, cấn trừ, chuyển nguồn</t>
        </r>
      </text>
    </comment>
    <comment ref="M33" authorId="0" shapeId="0">
      <text>
        <r>
          <rPr>
            <b/>
            <sz val="9"/>
            <color indexed="81"/>
            <rFont val="Tahoma"/>
            <family val="2"/>
          </rPr>
          <t>pc:</t>
        </r>
        <r>
          <rPr>
            <sz val="9"/>
            <color indexed="81"/>
            <rFont val="Tahoma"/>
            <family val="2"/>
          </rPr>
          <t xml:space="preserve">
Lấy từ số ước thực hiện phần dành thực hiện CCTL</t>
        </r>
      </text>
    </comment>
    <comment ref="N33" authorId="0" shapeId="0">
      <text>
        <r>
          <rPr>
            <sz val="12"/>
            <color indexed="81"/>
            <rFont val="Times New Roman"/>
            <family val="1"/>
          </rPr>
          <t>- Trừ 820 triệu cho đảm bảo = thường xuyên 2023</t>
        </r>
      </text>
    </comment>
    <comment ref="BZ39" authorId="0" shapeId="0">
      <text>
        <r>
          <rPr>
            <b/>
            <sz val="14"/>
            <color indexed="81"/>
            <rFont val="Times New Roman"/>
            <family val="1"/>
          </rPr>
          <t>- Theo yêu cầu của huyện giảm trừ đẩ tăng chi thường xuyên còn lại (- 10 tỷ); Dự toán trừ bằng số tăng thu 50
% (19/10/2023)</t>
        </r>
        <r>
          <rPr>
            <sz val="9"/>
            <color indexed="81"/>
            <rFont val="Tahoma"/>
            <family val="2"/>
          </rPr>
          <t xml:space="preserve">
</t>
        </r>
      </text>
    </comment>
  </commentList>
</comments>
</file>

<file path=xl/comments37.xml><?xml version="1.0" encoding="utf-8"?>
<comments xmlns="http://schemas.openxmlformats.org/spreadsheetml/2006/main">
  <authors>
    <author>pc</author>
    <author>Quangbxdth</author>
  </authors>
  <commentList>
    <comment ref="E3" authorId="0" shapeId="0">
      <text>
        <r>
          <rPr>
            <b/>
            <sz val="9"/>
            <color indexed="81"/>
            <rFont val="Tahoma"/>
            <family val="2"/>
          </rPr>
          <t>pc:</t>
        </r>
        <r>
          <rPr>
            <sz val="9"/>
            <color indexed="81"/>
            <rFont val="Tahoma"/>
            <family val="2"/>
          </rPr>
          <t xml:space="preserve">
Cân 3.507</t>
        </r>
      </text>
    </comment>
    <comment ref="E6" authorId="0" shapeId="0">
      <text>
        <r>
          <rPr>
            <b/>
            <sz val="9"/>
            <color indexed="81"/>
            <rFont val="Tahoma"/>
            <family val="2"/>
          </rPr>
          <t>pc:</t>
        </r>
        <r>
          <rPr>
            <sz val="9"/>
            <color indexed="81"/>
            <rFont val="Tahoma"/>
            <family val="2"/>
          </rPr>
          <t xml:space="preserve">
+ 232 triệu đồng, đảm bảo số lẽ theo BTC</t>
        </r>
      </text>
    </comment>
    <comment ref="G6" authorId="0" shapeId="0">
      <text>
        <r>
          <rPr>
            <b/>
            <sz val="9"/>
            <color indexed="81"/>
            <rFont val="Tahoma"/>
            <family val="2"/>
          </rPr>
          <t>pc:</t>
        </r>
        <r>
          <rPr>
            <sz val="9"/>
            <color indexed="81"/>
            <rFont val="Tahoma"/>
            <family val="2"/>
          </rPr>
          <t xml:space="preserve">
Đã bao gồm phần 10% năm gốc = 8.511 triệu đồng</t>
        </r>
      </text>
    </comment>
    <comment ref="H6" authorId="0" shapeId="0">
      <text>
        <r>
          <rPr>
            <b/>
            <sz val="9"/>
            <color indexed="81"/>
            <rFont val="Tahoma"/>
            <family val="2"/>
          </rPr>
          <t>pc:</t>
        </r>
        <r>
          <rPr>
            <sz val="9"/>
            <color indexed="81"/>
            <rFont val="Tahoma"/>
            <family val="2"/>
          </rPr>
          <t xml:space="preserve">
Đã bao gồm 10% năm gốc</t>
        </r>
      </text>
    </comment>
    <comment ref="I6" authorId="0" shapeId="0">
      <text>
        <r>
          <rPr>
            <b/>
            <sz val="9"/>
            <color indexed="81"/>
            <rFont val="Tahoma"/>
            <family val="2"/>
          </rPr>
          <t>pc:</t>
        </r>
        <r>
          <rPr>
            <sz val="9"/>
            <color indexed="81"/>
            <rFont val="Tahoma"/>
            <family val="2"/>
          </rPr>
          <t xml:space="preserve">
Nguồn cấn trừ phần thu hồi, không phải nguồn còn thừa để chuyển</t>
        </r>
      </text>
    </comment>
    <comment ref="J6" authorId="0" shapeId="0">
      <text>
        <r>
          <rPr>
            <b/>
            <sz val="9"/>
            <color indexed="81"/>
            <rFont val="Tahoma"/>
            <family val="2"/>
          </rPr>
          <t>pc:</t>
        </r>
        <r>
          <rPr>
            <sz val="9"/>
            <color indexed="81"/>
            <rFont val="Tahoma"/>
            <family val="2"/>
          </rPr>
          <t xml:space="preserve">
Đã bao gồm phần 10% năm gốc là 12.804 triệu đồng</t>
        </r>
      </text>
    </comment>
    <comment ref="K6" authorId="0" shapeId="0">
      <text>
        <r>
          <rPr>
            <b/>
            <sz val="9"/>
            <color indexed="81"/>
            <rFont val="Tahoma"/>
            <family val="2"/>
          </rPr>
          <t>pc:</t>
        </r>
        <r>
          <rPr>
            <sz val="9"/>
            <color indexed="81"/>
            <rFont val="Tahoma"/>
            <family val="2"/>
          </rPr>
          <t xml:space="preserve">
Đã bao gồm 10% gốc</t>
        </r>
      </text>
    </comment>
    <comment ref="L6" authorId="0" shapeId="0">
      <text>
        <r>
          <rPr>
            <b/>
            <sz val="9"/>
            <color indexed="81"/>
            <rFont val="Tahoma"/>
            <family val="2"/>
          </rPr>
          <t>pc:</t>
        </r>
        <r>
          <rPr>
            <sz val="9"/>
            <color indexed="81"/>
            <rFont val="Tahoma"/>
            <family val="2"/>
          </rPr>
          <t xml:space="preserve">
Đã bao gồm 10% năm gốc là 11.468 triệu đồng</t>
        </r>
      </text>
    </comment>
    <comment ref="M6" authorId="0" shapeId="0">
      <text>
        <r>
          <rPr>
            <b/>
            <sz val="9"/>
            <color indexed="81"/>
            <rFont val="Tahoma"/>
            <family val="2"/>
          </rPr>
          <t>pc:</t>
        </r>
        <r>
          <rPr>
            <sz val="9"/>
            <color indexed="81"/>
            <rFont val="Tahoma"/>
            <family val="2"/>
          </rPr>
          <t xml:space="preserve">
Đã bao gồm 10% gốc </t>
        </r>
      </text>
    </comment>
    <comment ref="C9" authorId="0" shapeId="0">
      <text>
        <r>
          <rPr>
            <b/>
            <sz val="9"/>
            <color indexed="81"/>
            <rFont val="Tahoma"/>
            <family val="2"/>
          </rPr>
          <t>pc:</t>
        </r>
        <r>
          <rPr>
            <sz val="9"/>
            <color indexed="81"/>
            <rFont val="Tahoma"/>
            <family val="2"/>
          </rPr>
          <t xml:space="preserve">
Quyết định 1362/QĐ-UBND-HC ngày 12/12/2022 của Ủy ban nhân dân tỉnh Đồng Tháp.</t>
        </r>
      </text>
    </comment>
    <comment ref="C14" authorId="0" shapeId="0">
      <text>
        <r>
          <rPr>
            <b/>
            <sz val="9"/>
            <color indexed="81"/>
            <rFont val="Tahoma"/>
            <family val="2"/>
          </rPr>
          <t>pc:</t>
        </r>
        <r>
          <rPr>
            <sz val="9"/>
            <color indexed="81"/>
            <rFont val="Tahoma"/>
            <family val="2"/>
          </rPr>
          <t xml:space="preserve">
Lấy số tăng thu thực hiện 2023/DT2023</t>
        </r>
      </text>
    </comment>
    <comment ref="O18" authorId="1" shapeId="0">
      <text>
        <r>
          <rPr>
            <b/>
            <sz val="9"/>
            <color indexed="81"/>
            <rFont val="Tahoma"/>
            <family val="2"/>
          </rPr>
          <t>Quangbxdth:</t>
        </r>
        <r>
          <rPr>
            <sz val="9"/>
            <color indexed="81"/>
            <rFont val="Tahoma"/>
            <family val="2"/>
          </rPr>
          <t xml:space="preserve">
Bù trừ nguồn CCTL còn dư: 13.360 trđ</t>
        </r>
      </text>
    </comment>
    <comment ref="D25" authorId="0" shapeId="0">
      <text>
        <r>
          <rPr>
            <b/>
            <sz val="9"/>
            <color indexed="81"/>
            <rFont val="Tahoma"/>
            <family val="2"/>
          </rPr>
          <t>pc:</t>
        </r>
        <r>
          <rPr>
            <sz val="9"/>
            <color indexed="81"/>
            <rFont val="Tahoma"/>
            <family val="2"/>
          </rPr>
          <t xml:space="preserve">
Xem hỏi lai sự nghiệp giáo dục</t>
        </r>
      </text>
    </comment>
    <comment ref="E25" authorId="0" shapeId="0">
      <text>
        <r>
          <rPr>
            <b/>
            <sz val="9"/>
            <color indexed="81"/>
            <rFont val="Tahoma"/>
            <family val="2"/>
          </rPr>
          <t>pc:</t>
        </r>
        <r>
          <rPr>
            <sz val="9"/>
            <color indexed="81"/>
            <rFont val="Tahoma"/>
            <family val="2"/>
          </rPr>
          <t xml:space="preserve">
Trừ thêm tinh giản BC theo NĐ 29 2 tỷ</t>
        </r>
      </text>
    </comment>
    <comment ref="F25" authorId="0" shapeId="0">
      <text>
        <r>
          <rPr>
            <b/>
            <sz val="9"/>
            <color indexed="81"/>
            <rFont val="Tahoma"/>
            <family val="2"/>
          </rPr>
          <t>pc:</t>
        </r>
        <r>
          <rPr>
            <sz val="9"/>
            <color indexed="81"/>
            <rFont val="Tahoma"/>
            <family val="2"/>
          </rPr>
          <t xml:space="preserve">
Trừi thêm tinh giản BC 2 tỷ</t>
        </r>
      </text>
    </comment>
    <comment ref="J25" authorId="0" shapeId="0">
      <text>
        <r>
          <rPr>
            <b/>
            <sz val="9"/>
            <color indexed="81"/>
            <rFont val="Tahoma"/>
            <family val="2"/>
          </rPr>
          <t>pc:</t>
        </r>
        <r>
          <rPr>
            <sz val="9"/>
            <color indexed="81"/>
            <rFont val="Tahoma"/>
            <family val="2"/>
          </rPr>
          <t xml:space="preserve">
Tạm tính 15 phường về Cộng an phường kiểu mẫu = 300 triệu  x 15
So  số CCTl CT 1,1 tỷ là tin giản biện chạn tính thêm</t>
        </r>
      </text>
    </comment>
    <comment ref="M25" authorId="0" shapeId="0">
      <text>
        <r>
          <rPr>
            <b/>
            <sz val="9"/>
            <color indexed="81"/>
            <rFont val="Tahoma"/>
            <family val="2"/>
          </rPr>
          <t>pc:</t>
        </r>
        <r>
          <rPr>
            <sz val="9"/>
            <color indexed="81"/>
            <rFont val="Tahoma"/>
            <family val="2"/>
          </rPr>
          <t xml:space="preserve">
Trừ thêm tinh giản BC 1 tỷ</t>
        </r>
      </text>
    </comment>
    <comment ref="N25" authorId="0" shapeId="0">
      <text>
        <r>
          <rPr>
            <b/>
            <sz val="9"/>
            <color indexed="81"/>
            <rFont val="Tahoma"/>
            <family val="2"/>
          </rPr>
          <t>pc:</t>
        </r>
        <r>
          <rPr>
            <sz val="9"/>
            <color indexed="81"/>
            <rFont val="Tahoma"/>
            <family val="2"/>
          </rPr>
          <t xml:space="preserve">
Trừ thêm tinh giản BC 1 tỷ </t>
        </r>
      </text>
    </comment>
    <comment ref="O25" authorId="0" shapeId="0">
      <text>
        <r>
          <rPr>
            <b/>
            <sz val="9"/>
            <color indexed="81"/>
            <rFont val="Tahoma"/>
            <family val="2"/>
          </rPr>
          <t>pc:</t>
        </r>
        <r>
          <rPr>
            <sz val="9"/>
            <color indexed="81"/>
            <rFont val="Tahoma"/>
            <family val="2"/>
          </rPr>
          <t xml:space="preserve">
Tạm tính phường kiểu mẫu 5 phường x 300</t>
        </r>
      </text>
    </comment>
    <comment ref="P25" authorId="0" shapeId="0">
      <text>
        <r>
          <rPr>
            <b/>
            <sz val="9"/>
            <color indexed="81"/>
            <rFont val="Tahoma"/>
            <family val="2"/>
          </rPr>
          <t>pc:</t>
        </r>
        <r>
          <rPr>
            <sz val="9"/>
            <color indexed="81"/>
            <rFont val="Tahoma"/>
            <family val="2"/>
          </rPr>
          <t xml:space="preserve">
Trừ thêm tinh giản BC 1</t>
        </r>
      </text>
    </comment>
  </commentList>
</comments>
</file>

<file path=xl/comments38.xml><?xml version="1.0" encoding="utf-8"?>
<comments xmlns="http://schemas.openxmlformats.org/spreadsheetml/2006/main">
  <authors>
    <author>pc</author>
  </authors>
  <commentList>
    <comment ref="EW17" authorId="0" shapeId="0">
      <text>
        <r>
          <rPr>
            <b/>
            <sz val="9"/>
            <color indexed="81"/>
            <rFont val="Tahoma"/>
            <family val="2"/>
          </rPr>
          <t>pc:</t>
        </r>
        <r>
          <rPr>
            <sz val="9"/>
            <color indexed="81"/>
            <rFont val="Tahoma"/>
            <family val="2"/>
          </rPr>
          <t xml:space="preserve">
BTC</t>
        </r>
      </text>
    </comment>
  </commentList>
</comments>
</file>

<file path=xl/comments39.xml><?xml version="1.0" encoding="utf-8"?>
<comments xmlns="http://schemas.openxmlformats.org/spreadsheetml/2006/main">
  <authors>
    <author>Windows User</author>
    <author>Quangbxdth</author>
  </authors>
  <commentList>
    <comment ref="H23" authorId="0" shapeId="0">
      <text>
        <r>
          <rPr>
            <b/>
            <sz val="9"/>
            <color indexed="81"/>
            <rFont val="Tahoma"/>
            <family val="2"/>
          </rPr>
          <t>Windows User:</t>
        </r>
        <r>
          <rPr>
            <sz val="9"/>
            <color indexed="81"/>
            <rFont val="Tahoma"/>
            <family val="2"/>
          </rPr>
          <t xml:space="preserve">
</t>
        </r>
      </text>
    </comment>
    <comment ref="N23" authorId="0" shapeId="0">
      <text>
        <r>
          <rPr>
            <b/>
            <sz val="9"/>
            <color indexed="81"/>
            <rFont val="Tahoma"/>
            <family val="2"/>
          </rPr>
          <t>Windows User:</t>
        </r>
        <r>
          <rPr>
            <sz val="9"/>
            <color indexed="81"/>
            <rFont val="Tahoma"/>
            <family val="2"/>
          </rPr>
          <t xml:space="preserve">
</t>
        </r>
      </text>
    </comment>
    <comment ref="L58" authorId="1" shapeId="0">
      <text>
        <r>
          <rPr>
            <b/>
            <sz val="9"/>
            <color indexed="81"/>
            <rFont val="Tahoma"/>
            <family val="2"/>
          </rPr>
          <t>Quangbxdth:</t>
        </r>
        <r>
          <rPr>
            <sz val="9"/>
            <color indexed="81"/>
            <rFont val="Tahoma"/>
            <family val="2"/>
          </rPr>
          <t xml:space="preserve">
</t>
        </r>
      </text>
    </comment>
  </commentList>
</comments>
</file>

<file path=xl/comments4.xml><?xml version="1.0" encoding="utf-8"?>
<comments xmlns="http://schemas.openxmlformats.org/spreadsheetml/2006/main">
  <authors>
    <author>quangbxdth</author>
    <author>Quangbxdth</author>
    <author>pc</author>
  </authors>
  <commentList>
    <comment ref="B10" authorId="0" shapeId="0">
      <text>
        <r>
          <rPr>
            <b/>
            <sz val="9"/>
            <color indexed="81"/>
            <rFont val="Tahoma"/>
            <family val="2"/>
          </rPr>
          <t>quangbxdth:</t>
        </r>
        <r>
          <rPr>
            <sz val="9"/>
            <color indexed="81"/>
            <rFont val="Tahoma"/>
            <family val="2"/>
          </rPr>
          <t xml:space="preserve">
Doanh nghiệp nhà nước do trung ương quản lý là doanh nghiệp do bộ, cơ quan ngang bộ, cơ quan thuộc Chính phủ, cơ quan khác ở trung ương đại diện Nhà nước chủ sở hữu 100% vốn điều lệ.</t>
        </r>
      </text>
    </comment>
    <comment ref="B11" authorId="0" shapeId="0">
      <text>
        <r>
          <rPr>
            <b/>
            <sz val="9"/>
            <color indexed="81"/>
            <rFont val="Tahoma"/>
            <family val="2"/>
          </rPr>
          <t>quangbxdth:</t>
        </r>
        <r>
          <rPr>
            <sz val="9"/>
            <color indexed="81"/>
            <rFont val="Tahoma"/>
            <family val="2"/>
          </rPr>
          <t xml:space="preserve">
Doanh nghiệp nhà nước do địa phương quản lý là doanh nghiệp do Ủy ban nhân dân cấp tỉnh đại diện Nhà nước chủ sở hữu 100% vốn điều lệ.</t>
        </r>
      </text>
    </comment>
    <comment ref="B12" authorId="0" shapeId="0">
      <text>
        <r>
          <rPr>
            <b/>
            <sz val="9"/>
            <color indexed="81"/>
            <rFont val="Tahoma"/>
            <family val="2"/>
          </rPr>
          <t>quangbxdth:</t>
        </r>
        <r>
          <rPr>
            <sz val="9"/>
            <color indexed="81"/>
            <rFont val="Tahoma"/>
            <family val="2"/>
          </rPr>
          <t xml:space="preserve">
Doanh nghiệp có vốn đầu tư nước ngoài là các doanh nghiệp mà phần vốn do tổ chức, cá nhân nước ngoài sở hữu từ 51% vốn điều lệ trở lên hoặc có đa số thành viên hợp danh là cá nhân nước ngoài đối với tổ chức kinh tế là công ty hợp danh.</t>
        </r>
      </text>
    </comment>
    <comment ref="B13" authorId="0" shapeId="0">
      <text>
        <r>
          <rPr>
            <b/>
            <sz val="9"/>
            <color indexed="81"/>
            <rFont val="Tahoma"/>
            <family val="2"/>
          </rPr>
          <t>quangbxdth:</t>
        </r>
        <r>
          <rPr>
            <sz val="9"/>
            <color indexed="81"/>
            <rFont val="Tahoma"/>
            <family val="2"/>
          </rPr>
          <t xml:space="preserve">
Doanh nghiệp khu vực kinh tế ngoài quốc doanh là các doanh nghiệp thành lập theo Luật doanh nghiệp, Luật các tổ chức tín dụng, trừ các doanh nghiệp nhà nước do trung ương, địa phương quản lý, doanh nghiệp có vốn đầu tư nước ngoài nêu trên.</t>
        </r>
      </text>
    </comment>
    <comment ref="C32" authorId="0" shapeId="0">
      <text>
        <r>
          <rPr>
            <b/>
            <sz val="9"/>
            <color indexed="81"/>
            <rFont val="Tahoma"/>
            <family val="2"/>
          </rPr>
          <t>quangbxdth:</t>
        </r>
        <r>
          <rPr>
            <sz val="9"/>
            <color indexed="81"/>
            <rFont val="Tahoma"/>
            <family val="2"/>
          </rPr>
          <t xml:space="preserve">
+4.693.126 trđ (năm 2017)
+ 94.000 trd (# năm 2019)
</t>
        </r>
      </text>
    </comment>
    <comment ref="R32" authorId="1" shapeId="0">
      <text>
        <r>
          <rPr>
            <b/>
            <sz val="9"/>
            <color indexed="81"/>
            <rFont val="Tahoma"/>
            <family val="2"/>
          </rPr>
          <t>Quangbxdth:</t>
        </r>
        <r>
          <rPr>
            <sz val="9"/>
            <color indexed="81"/>
            <rFont val="Tahoma"/>
            <family val="2"/>
          </rPr>
          <t xml:space="preserve">
6.487.488 trđ</t>
        </r>
      </text>
    </comment>
    <comment ref="Y32" authorId="2" shapeId="0">
      <text>
        <r>
          <rPr>
            <b/>
            <sz val="9"/>
            <color indexed="81"/>
            <rFont val="Tahoma"/>
            <family val="2"/>
          </rPr>
          <t>pc:</t>
        </r>
        <r>
          <rPr>
            <sz val="9"/>
            <color indexed="81"/>
            <rFont val="Tahoma"/>
            <family val="2"/>
          </rPr>
          <t xml:space="preserve">
Bổ sung tăng 2% so với đầu chu kỳ 96.000 triệu đồng</t>
        </r>
      </text>
    </comment>
    <comment ref="Y34" authorId="2" shapeId="0">
      <text>
        <r>
          <rPr>
            <b/>
            <sz val="9"/>
            <color indexed="81"/>
            <rFont val="Tahoma"/>
            <family val="2"/>
          </rPr>
          <t>pc:</t>
        </r>
        <r>
          <rPr>
            <sz val="9"/>
            <color indexed="81"/>
            <rFont val="Tahoma"/>
            <family val="2"/>
          </rPr>
          <t xml:space="preserve">
Vốn CTMT Giảm nghèo 6.760 triệu đồng
Nông thôn mới 318.260 triệu đồng</t>
        </r>
      </text>
    </comment>
    <comment ref="AE34" authorId="2" shapeId="0">
      <text>
        <r>
          <rPr>
            <b/>
            <sz val="9"/>
            <color indexed="81"/>
            <rFont val="Tahoma"/>
            <family val="2"/>
          </rPr>
          <t>pc:</t>
        </r>
        <r>
          <rPr>
            <sz val="9"/>
            <color indexed="81"/>
            <rFont val="Tahoma"/>
            <family val="2"/>
          </rPr>
          <t xml:space="preserve">
Vốn ngoài nước 310.000 triệu đồng</t>
        </r>
      </text>
    </comment>
    <comment ref="Y35" authorId="2" shapeId="0">
      <text>
        <r>
          <rPr>
            <b/>
            <sz val="9"/>
            <color indexed="81"/>
            <rFont val="Tahoma"/>
            <family val="2"/>
          </rPr>
          <t>pc:</t>
        </r>
        <r>
          <rPr>
            <sz val="9"/>
            <color indexed="81"/>
            <rFont val="Tahoma"/>
            <family val="2"/>
          </rPr>
          <t xml:space="preserve">
Vốn NTM = 90.100
Giảm nghèo 11.255</t>
        </r>
      </text>
    </comment>
    <comment ref="AE35" authorId="2" shapeId="0">
      <text>
        <r>
          <rPr>
            <b/>
            <sz val="9"/>
            <color indexed="81"/>
            <rFont val="Tahoma"/>
            <family val="2"/>
          </rPr>
          <t>pc:</t>
        </r>
        <r>
          <rPr>
            <sz val="9"/>
            <color indexed="81"/>
            <rFont val="Tahoma"/>
            <family val="2"/>
          </rPr>
          <t xml:space="preserve">
Bó Biên giới cấm mốc</t>
        </r>
      </text>
    </comment>
    <comment ref="C38" authorId="1"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H38" authorId="1"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N38" authorId="1" shapeId="0">
      <text>
        <r>
          <rPr>
            <b/>
            <sz val="9"/>
            <color indexed="81"/>
            <rFont val="Tahoma"/>
            <family val="2"/>
          </rPr>
          <t>Quangbxdth:</t>
        </r>
        <r>
          <rPr>
            <sz val="9"/>
            <color indexed="81"/>
            <rFont val="Tahoma"/>
            <family val="2"/>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 ref="Z38" authorId="1"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AF38" authorId="1"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B160" authorId="1" shapeId="0">
      <text>
        <r>
          <rPr>
            <b/>
            <sz val="9"/>
            <color indexed="81"/>
            <rFont val="Tahoma"/>
            <family val="2"/>
          </rPr>
          <t>Quangbxdth:</t>
        </r>
        <r>
          <rPr>
            <sz val="9"/>
            <color indexed="81"/>
            <rFont val="Tahoma"/>
            <family val="2"/>
          </rPr>
          <t xml:space="preserve">
Không kể thu vay nợ gốc</t>
        </r>
      </text>
    </comment>
    <comment ref="Z162" authorId="2" shapeId="0">
      <text>
        <r>
          <rPr>
            <b/>
            <sz val="9"/>
            <color indexed="81"/>
            <rFont val="Tahoma"/>
            <family val="2"/>
          </rPr>
          <t>pc:</t>
        </r>
        <r>
          <rPr>
            <sz val="9"/>
            <color indexed="81"/>
            <rFont val="Tahoma"/>
            <family val="2"/>
          </rPr>
          <t xml:space="preserve">
Ráp số thực hiện vào</t>
        </r>
      </text>
    </comment>
    <comment ref="AF162" authorId="2" shapeId="0">
      <text>
        <r>
          <rPr>
            <b/>
            <sz val="9"/>
            <color indexed="81"/>
            <rFont val="Tahoma"/>
            <family val="2"/>
          </rPr>
          <t>pc:</t>
        </r>
        <r>
          <rPr>
            <sz val="9"/>
            <color indexed="81"/>
            <rFont val="Tahoma"/>
            <family val="2"/>
          </rPr>
          <t xml:space="preserve">
Ráp số thực hiện vào</t>
        </r>
      </text>
    </comment>
    <comment ref="W169" authorId="2" shapeId="0">
      <text>
        <r>
          <rPr>
            <b/>
            <sz val="9"/>
            <color indexed="81"/>
            <rFont val="Tahoma"/>
            <family val="2"/>
          </rPr>
          <t>pc:</t>
        </r>
        <r>
          <rPr>
            <sz val="9"/>
            <color indexed="81"/>
            <rFont val="Tahoma"/>
            <family val="2"/>
          </rPr>
          <t xml:space="preserve">
BS Tiền lương tăng thêm</t>
        </r>
      </text>
    </comment>
    <comment ref="B205" authorId="0" shapeId="0">
      <text>
        <r>
          <rPr>
            <b/>
            <sz val="9"/>
            <color indexed="81"/>
            <rFont val="Tahoma"/>
            <family val="2"/>
          </rPr>
          <t>quangbxdth:</t>
        </r>
        <r>
          <rPr>
            <sz val="9"/>
            <color indexed="81"/>
            <rFont val="Tahoma"/>
            <family val="2"/>
          </rPr>
          <t xml:space="preserve">
Doanh nghiệp nhà nước do trung ương quản lý là doanh nghiệp do bộ, cơ quan ngang bộ, cơ quan thuộc Chính phủ, cơ quan khác ở trung ương đại diện Nhà nước chủ sở hữu 100% vốn điều lệ.</t>
        </r>
      </text>
    </comment>
  </commentList>
</comments>
</file>

<file path=xl/comments40.xml><?xml version="1.0" encoding="utf-8"?>
<comments xmlns="http://schemas.openxmlformats.org/spreadsheetml/2006/main">
  <authors>
    <author>quangbxdth</author>
    <author>Quangbxdth</author>
  </authors>
  <commentList>
    <comment ref="N15" authorId="0" shapeId="0">
      <text>
        <r>
          <rPr>
            <b/>
            <sz val="9"/>
            <color indexed="81"/>
            <rFont val="Tahoma"/>
            <family val="2"/>
          </rPr>
          <t>quangbxdth:</t>
        </r>
        <r>
          <rPr>
            <sz val="9"/>
            <color indexed="81"/>
            <rFont val="Tahoma"/>
            <family val="2"/>
          </rPr>
          <t xml:space="preserve">
Chi phòng chống dich bệnh: 30.270 trđ</t>
        </r>
      </text>
    </comment>
    <comment ref="O30" authorId="1" shapeId="0">
      <text>
        <r>
          <rPr>
            <b/>
            <sz val="9"/>
            <color indexed="81"/>
            <rFont val="Tahoma"/>
            <family val="2"/>
          </rPr>
          <t>Quangbxdth:</t>
        </r>
        <r>
          <rPr>
            <sz val="9"/>
            <color indexed="81"/>
            <rFont val="Tahoma"/>
            <family val="2"/>
          </rPr>
          <t xml:space="preserve">
-sử dụng nguồn CCTL cho Covid 19: 31.657 trđ (TpCL, TpSĐ, Hồng Ngự, Tấn Hồng, Thanh Bình và Lấp Vò
- giảm tiếp 39.054 trđ để đảm bảo cân đối NSH</t>
        </r>
      </text>
    </comment>
  </commentList>
</comments>
</file>

<file path=xl/comments41.xml><?xml version="1.0" encoding="utf-8"?>
<comments xmlns="http://schemas.openxmlformats.org/spreadsheetml/2006/main">
  <authors>
    <author>pc</author>
  </authors>
  <commentList>
    <comment ref="C71" authorId="0" shapeId="0">
      <text>
        <r>
          <rPr>
            <b/>
            <sz val="9"/>
            <color indexed="81"/>
            <rFont val="Tahoma"/>
            <family val="2"/>
          </rPr>
          <t>pc:</t>
        </r>
        <r>
          <rPr>
            <sz val="9"/>
            <color indexed="81"/>
            <rFont val="Tahoma"/>
            <family val="2"/>
          </rPr>
          <t xml:space="preserve">
Cổ phần hóa</t>
        </r>
      </text>
    </comment>
  </commentList>
</comments>
</file>

<file path=xl/comments42.xml><?xml version="1.0" encoding="utf-8"?>
<comments xmlns="http://schemas.openxmlformats.org/spreadsheetml/2006/main">
  <authors>
    <author>pc</author>
  </authors>
  <commentList>
    <comment ref="B39" authorId="0" shapeId="0">
      <text>
        <r>
          <rPr>
            <b/>
            <sz val="9"/>
            <color indexed="81"/>
            <rFont val="Tahoma"/>
            <family val="2"/>
          </rPr>
          <t>pc:</t>
        </r>
        <r>
          <rPr>
            <sz val="9"/>
            <color indexed="81"/>
            <rFont val="Tahoma"/>
            <family val="2"/>
          </rPr>
          <t xml:space="preserve">
BCH Quân sự</t>
        </r>
      </text>
    </comment>
  </commentList>
</comments>
</file>

<file path=xl/comments43.xml><?xml version="1.0" encoding="utf-8"?>
<comments xmlns="http://schemas.openxmlformats.org/spreadsheetml/2006/main">
  <authors>
    <author>pc</author>
  </authors>
  <commentList>
    <comment ref="C27" authorId="0" shapeId="0">
      <text>
        <r>
          <rPr>
            <b/>
            <sz val="9"/>
            <color indexed="81"/>
            <rFont val="Tahoma"/>
            <family val="2"/>
          </rPr>
          <t>pc:</t>
        </r>
        <r>
          <rPr>
            <sz val="9"/>
            <color indexed="81"/>
            <rFont val="Tahoma"/>
            <family val="2"/>
          </rPr>
          <t xml:space="preserve">
Xay lap: 408
DK: 92</t>
        </r>
      </text>
    </comment>
  </commentList>
</comments>
</file>

<file path=xl/comments44.xml><?xml version="1.0" encoding="utf-8"?>
<comments xmlns="http://schemas.openxmlformats.org/spreadsheetml/2006/main">
  <authors>
    <author>quangbx</author>
  </authors>
  <commentList>
    <comment ref="C8" authorId="0" shapeId="0">
      <text>
        <r>
          <rPr>
            <b/>
            <sz val="8"/>
            <color indexed="81"/>
            <rFont val="Tahoma"/>
            <family val="2"/>
          </rPr>
          <t>quangbx:</t>
        </r>
        <r>
          <rPr>
            <sz val="8"/>
            <color indexed="81"/>
            <rFont val="Tahoma"/>
            <family val="2"/>
          </rPr>
          <t xml:space="preserve">
Số liệu do Sở KHĐT cung cấp</t>
        </r>
      </text>
    </comment>
    <comment ref="C18" authorId="0" shapeId="0">
      <text>
        <r>
          <rPr>
            <b/>
            <sz val="8"/>
            <color indexed="81"/>
            <rFont val="Tahoma"/>
            <family val="2"/>
          </rPr>
          <t>quangbx:</t>
        </r>
        <r>
          <rPr>
            <sz val="8"/>
            <color indexed="81"/>
            <rFont val="Tahoma"/>
            <family val="2"/>
          </rPr>
          <t xml:space="preserve">
Số liệu do Sở KHĐT cung cấp</t>
        </r>
      </text>
    </comment>
    <comment ref="C19" authorId="0" shapeId="0">
      <text>
        <r>
          <rPr>
            <b/>
            <sz val="8"/>
            <color indexed="81"/>
            <rFont val="Tahoma"/>
            <family val="2"/>
          </rPr>
          <t>quangbx:</t>
        </r>
        <r>
          <rPr>
            <sz val="8"/>
            <color indexed="81"/>
            <rFont val="Tahoma"/>
            <family val="2"/>
          </rPr>
          <t xml:space="preserve">
Số liệu do Sở KHĐT cung cấp</t>
        </r>
      </text>
    </comment>
  </commentList>
</comments>
</file>

<file path=xl/comments45.xml><?xml version="1.0" encoding="utf-8"?>
<comments xmlns="http://schemas.openxmlformats.org/spreadsheetml/2006/main">
  <authors>
    <author>pc</author>
  </authors>
  <commentList>
    <comment ref="B70" authorId="0" shapeId="0">
      <text>
        <r>
          <rPr>
            <b/>
            <sz val="9"/>
            <color indexed="81"/>
            <rFont val="Tahoma"/>
            <family val="2"/>
          </rPr>
          <t>pc:</t>
        </r>
        <r>
          <rPr>
            <sz val="9"/>
            <color indexed="81"/>
            <rFont val="Tahoma"/>
            <family val="2"/>
          </rPr>
          <t xml:space="preserve">
Cơ cấu các khoảng chi thường xuyên mới phát sinh….</t>
        </r>
      </text>
    </comment>
    <comment ref="B72" authorId="0" shapeId="0">
      <text>
        <r>
          <rPr>
            <b/>
            <sz val="9"/>
            <color indexed="81"/>
            <rFont val="Tahoma"/>
            <family val="2"/>
          </rPr>
          <t>pc:</t>
        </r>
        <r>
          <rPr>
            <sz val="9"/>
            <color indexed="81"/>
            <rFont val="Tahoma"/>
            <family val="2"/>
          </rPr>
          <t xml:space="preserve">
Cơ cấu kinh phí đào tạo cho giáo viên dạy liên môn...</t>
        </r>
      </text>
    </comment>
  </commentList>
</comments>
</file>

<file path=xl/comments46.xml><?xml version="1.0" encoding="utf-8"?>
<comments xmlns="http://schemas.openxmlformats.org/spreadsheetml/2006/main">
  <authors>
    <author>pc</author>
  </authors>
  <commentList>
    <comment ref="C27" authorId="0" shapeId="0">
      <text>
        <r>
          <rPr>
            <b/>
            <sz val="9"/>
            <color indexed="81"/>
            <rFont val="Tahoma"/>
            <family val="2"/>
          </rPr>
          <t>pc:</t>
        </r>
        <r>
          <rPr>
            <sz val="9"/>
            <color indexed="81"/>
            <rFont val="Tahoma"/>
            <family val="2"/>
          </rPr>
          <t xml:space="preserve">
Xay lap: 408
DK: 92</t>
        </r>
      </text>
    </comment>
  </commentList>
</comments>
</file>

<file path=xl/comments47.xml><?xml version="1.0" encoding="utf-8"?>
<comments xmlns="http://schemas.openxmlformats.org/spreadsheetml/2006/main">
  <authors>
    <author>pc</author>
  </authors>
  <commentList>
    <comment ref="D24" authorId="0" shapeId="0">
      <text>
        <r>
          <rPr>
            <b/>
            <sz val="9"/>
            <color indexed="81"/>
            <rFont val="Tahoma"/>
            <family val="2"/>
          </rPr>
          <t>pc:</t>
        </r>
        <r>
          <rPr>
            <sz val="9"/>
            <color indexed="81"/>
            <rFont val="Tahoma"/>
            <family val="2"/>
          </rPr>
          <t xml:space="preserve">
Lấy từ Phụ lục số 02</t>
        </r>
      </text>
    </comment>
    <comment ref="E24" authorId="0" shapeId="0">
      <text>
        <r>
          <rPr>
            <b/>
            <sz val="9"/>
            <color indexed="81"/>
            <rFont val="Tahoma"/>
            <family val="2"/>
          </rPr>
          <t>pc:</t>
        </r>
        <r>
          <rPr>
            <sz val="9"/>
            <color indexed="81"/>
            <rFont val="Tahoma"/>
            <family val="2"/>
          </rPr>
          <t xml:space="preserve">
Lấy từ Phụ lục số 02</t>
        </r>
      </text>
    </comment>
  </commentList>
</comments>
</file>

<file path=xl/comments48.xml><?xml version="1.0" encoding="utf-8"?>
<comments xmlns="http://schemas.openxmlformats.org/spreadsheetml/2006/main">
  <authors>
    <author>quangbx</author>
    <author>Windows User</author>
    <author>Quangbxdth</author>
  </authors>
  <commentList>
    <comment ref="E27" authorId="0" shapeId="0">
      <text>
        <r>
          <rPr>
            <b/>
            <sz val="8"/>
            <color indexed="81"/>
            <rFont val="Tahoma"/>
            <family val="2"/>
          </rPr>
          <t>quangbx:</t>
        </r>
        <r>
          <rPr>
            <sz val="8"/>
            <color indexed="81"/>
            <rFont val="Tahoma"/>
            <family val="2"/>
          </rPr>
          <t xml:space="preserve">
Theo kế hoạch của hợp đồng đã ký, trong đó: khả năng chuyển nợ quá hạn năm 2022 sang năm 2023 là: </t>
        </r>
        <r>
          <rPr>
            <b/>
            <sz val="8"/>
            <color indexed="81"/>
            <rFont val="Tahoma"/>
            <family val="2"/>
          </rPr>
          <t>230.763 trđ</t>
        </r>
        <r>
          <rPr>
            <sz val="8"/>
            <color indexed="81"/>
            <rFont val="Tahoma"/>
            <family val="2"/>
          </rPr>
          <t xml:space="preserve">. </t>
        </r>
      </text>
    </comment>
    <comment ref="C28" authorId="1" shapeId="0">
      <text>
        <r>
          <rPr>
            <b/>
            <sz val="9"/>
            <color indexed="81"/>
            <rFont val="Tahoma"/>
            <family val="2"/>
          </rPr>
          <t>Windows User:</t>
        </r>
        <r>
          <rPr>
            <sz val="9"/>
            <color indexed="81"/>
            <rFont val="Tahoma"/>
            <family val="2"/>
          </rPr>
          <t xml:space="preserve">
</t>
        </r>
      </text>
    </comment>
    <comment ref="E28" authorId="1" shapeId="0">
      <text>
        <r>
          <rPr>
            <b/>
            <sz val="9"/>
            <color indexed="81"/>
            <rFont val="Tahoma"/>
            <family val="2"/>
          </rPr>
          <t>Windows User:</t>
        </r>
        <r>
          <rPr>
            <sz val="9"/>
            <color indexed="81"/>
            <rFont val="Tahoma"/>
            <family val="2"/>
          </rPr>
          <t xml:space="preserve">
trả theo kế hoạch hợp đồng</t>
        </r>
      </text>
    </comment>
    <comment ref="C31" authorId="1" shapeId="0">
      <text>
        <r>
          <rPr>
            <b/>
            <sz val="9"/>
            <color indexed="81"/>
            <rFont val="Tahoma"/>
            <family val="2"/>
          </rPr>
          <t>Windows User:</t>
        </r>
        <r>
          <rPr>
            <sz val="9"/>
            <color indexed="81"/>
            <rFont val="Tahoma"/>
            <family val="2"/>
          </rPr>
          <t xml:space="preserve">
dự nợ dầu năm 2022 là: </t>
        </r>
        <r>
          <rPr>
            <b/>
            <sz val="9"/>
            <color indexed="81"/>
            <rFont val="Tahoma"/>
            <family val="2"/>
          </rPr>
          <t>67.276 triệu đồng</t>
        </r>
        <r>
          <rPr>
            <sz val="9"/>
            <color indexed="81"/>
            <rFont val="Tahoma"/>
            <family val="2"/>
          </rPr>
          <t xml:space="preserve">, dự kiến vay thêm trong năm 2022 là </t>
        </r>
        <r>
          <rPr>
            <b/>
            <sz val="9"/>
            <color indexed="81"/>
            <rFont val="Tahoma"/>
            <family val="2"/>
          </rPr>
          <t>48.300 triệu đồng,</t>
        </r>
        <r>
          <rPr>
            <sz val="9"/>
            <color indexed="81"/>
            <rFont val="Tahoma"/>
            <family val="2"/>
          </rPr>
          <t xml:space="preserve"> trả nợ gốc Bộ Tài chính năm 2022 là: </t>
        </r>
        <r>
          <rPr>
            <b/>
            <sz val="9"/>
            <color indexed="81"/>
            <rFont val="Tahoma"/>
            <family val="2"/>
          </rPr>
          <t xml:space="preserve">12.175 triệu đồng </t>
        </r>
        <r>
          <rPr>
            <sz val="9"/>
            <color indexed="81"/>
            <rFont val="Tahoma"/>
            <family val="2"/>
          </rPr>
          <t xml:space="preserve"> </t>
        </r>
      </text>
    </comment>
    <comment ref="D31" authorId="2" shapeId="0">
      <text>
        <r>
          <rPr>
            <b/>
            <sz val="9"/>
            <color indexed="81"/>
            <rFont val="Tahoma"/>
            <family val="2"/>
          </rPr>
          <t>Quangbxdth:</t>
        </r>
        <r>
          <rPr>
            <sz val="9"/>
            <color indexed="81"/>
            <rFont val="Tahoma"/>
            <family val="2"/>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List>
</comments>
</file>

<file path=xl/comments49.xml><?xml version="1.0" encoding="utf-8"?>
<comments xmlns="http://schemas.openxmlformats.org/spreadsheetml/2006/main">
  <authors>
    <author>pc</author>
  </authors>
  <commentList>
    <comment ref="B40" authorId="0" shapeId="0">
      <text>
        <r>
          <rPr>
            <b/>
            <sz val="9"/>
            <color indexed="81"/>
            <rFont val="Tahoma"/>
            <family val="2"/>
          </rPr>
          <t>pc:</t>
        </r>
        <r>
          <rPr>
            <sz val="9"/>
            <color indexed="81"/>
            <rFont val="Tahoma"/>
            <family val="2"/>
          </rPr>
          <t xml:space="preserve">
BCH Quân sự</t>
        </r>
      </text>
    </comment>
  </commentList>
</comments>
</file>

<file path=xl/comments5.xml><?xml version="1.0" encoding="utf-8"?>
<comments xmlns="http://schemas.openxmlformats.org/spreadsheetml/2006/main">
  <authors>
    <author>pc</author>
  </authors>
  <commentList>
    <comment ref="J30" authorId="0" shapeId="0">
      <text>
        <r>
          <rPr>
            <b/>
            <sz val="9"/>
            <color indexed="81"/>
            <rFont val="Tahoma"/>
            <family val="2"/>
          </rPr>
          <t>pc:</t>
        </r>
        <r>
          <rPr>
            <sz val="9"/>
            <color indexed="81"/>
            <rFont val="Tahoma"/>
            <family val="2"/>
          </rPr>
          <t xml:space="preserve">
Chưa kể trả vay cụm tuyến Dân cư</t>
        </r>
      </text>
    </comment>
    <comment ref="H31" authorId="0" shapeId="0">
      <text>
        <r>
          <rPr>
            <b/>
            <sz val="9"/>
            <color indexed="81"/>
            <rFont val="Tahoma"/>
            <family val="2"/>
          </rPr>
          <t>pc:</t>
        </r>
        <r>
          <rPr>
            <sz val="9"/>
            <color indexed="81"/>
            <rFont val="Tahoma"/>
            <family val="2"/>
          </rPr>
          <t xml:space="preserve">
Giảm trừ 511 tỷ đồng đưa lên chi thường xuyên</t>
        </r>
      </text>
    </comment>
  </commentList>
</comments>
</file>

<file path=xl/comments50.xml><?xml version="1.0" encoding="utf-8"?>
<comments xmlns="http://schemas.openxmlformats.org/spreadsheetml/2006/main">
  <authors>
    <author>pc</author>
  </authors>
  <commentList>
    <comment ref="C27" authorId="0" shapeId="0">
      <text>
        <r>
          <rPr>
            <b/>
            <sz val="9"/>
            <color indexed="81"/>
            <rFont val="Tahoma"/>
            <family val="2"/>
          </rPr>
          <t>pc:</t>
        </r>
        <r>
          <rPr>
            <sz val="9"/>
            <color indexed="81"/>
            <rFont val="Tahoma"/>
            <family val="2"/>
          </rPr>
          <t xml:space="preserve">
Xay lap: 408
DK: 92</t>
        </r>
      </text>
    </comment>
  </commentList>
</comments>
</file>

<file path=xl/comments51.xml><?xml version="1.0" encoding="utf-8"?>
<comments xmlns="http://schemas.openxmlformats.org/spreadsheetml/2006/main">
  <authors>
    <author>quangbxdth</author>
    <author>pc</author>
  </authors>
  <commentList>
    <comment ref="D15" authorId="0" shapeId="0">
      <text>
        <r>
          <rPr>
            <b/>
            <sz val="9"/>
            <color indexed="81"/>
            <rFont val="Tahoma"/>
            <family val="2"/>
          </rPr>
          <t>quangbxdth:</t>
        </r>
        <r>
          <rPr>
            <sz val="9"/>
            <color indexed="81"/>
            <rFont val="Tahoma"/>
            <family val="2"/>
          </rPr>
          <t xml:space="preserve">
Bổ sung vốn điều lệ Quỹ Phát triển đất</t>
        </r>
      </text>
    </comment>
    <comment ref="D24" authorId="1" shapeId="0">
      <text>
        <r>
          <rPr>
            <b/>
            <sz val="9"/>
            <color indexed="81"/>
            <rFont val="Tahoma"/>
            <family val="2"/>
          </rPr>
          <t>pc:</t>
        </r>
        <r>
          <rPr>
            <sz val="9"/>
            <color indexed="81"/>
            <rFont val="Tahoma"/>
            <family val="2"/>
          </rPr>
          <t xml:space="preserve">
Lấy từ Phụ lục số 02</t>
        </r>
      </text>
    </comment>
    <comment ref="E24" authorId="1" shapeId="0">
      <text>
        <r>
          <rPr>
            <b/>
            <sz val="9"/>
            <color indexed="81"/>
            <rFont val="Tahoma"/>
            <family val="2"/>
          </rPr>
          <t>pc:</t>
        </r>
        <r>
          <rPr>
            <sz val="9"/>
            <color indexed="81"/>
            <rFont val="Tahoma"/>
            <family val="2"/>
          </rPr>
          <t xml:space="preserve">
Lấy từ Phụ lục số 02</t>
        </r>
      </text>
    </comment>
  </commentList>
</comments>
</file>

<file path=xl/comments52.xml><?xml version="1.0" encoding="utf-8"?>
<comments xmlns="http://schemas.openxmlformats.org/spreadsheetml/2006/main">
  <authors>
    <author>Quangbxdth</author>
  </authors>
  <commentList>
    <comment ref="B8" authorId="0" shapeId="0">
      <text>
        <r>
          <rPr>
            <b/>
            <sz val="9"/>
            <color indexed="81"/>
            <rFont val="Tahoma"/>
            <family val="2"/>
          </rPr>
          <t>Quangbxdth:</t>
        </r>
        <r>
          <rPr>
            <sz val="9"/>
            <color indexed="81"/>
            <rFont val="Tahoma"/>
            <family val="2"/>
          </rPr>
          <t xml:space="preserve">
Số: 625/NQ-UBTVQH14 ngày 10/01/2019 của Ủy ban Thường vụ Quốc hội VỀ VIỆC THÀNH LẬP THỊ TRẤN THƯỜNG THỚI TIỀN THUỘC HUYỆN HỒNG NGỰ, TỈNH ĐỒNG THÁP 
</t>
        </r>
      </text>
    </comment>
    <comment ref="B12" authorId="0" shapeId="0">
      <text>
        <r>
          <rPr>
            <b/>
            <sz val="9"/>
            <color indexed="81"/>
            <rFont val="Tahoma"/>
            <family val="2"/>
          </rPr>
          <t>Quangbxdth:</t>
        </r>
        <r>
          <rPr>
            <sz val="9"/>
            <color indexed="81"/>
            <rFont val="Tahoma"/>
            <family val="2"/>
          </rPr>
          <t xml:space="preserve">
Dự kiến nhập 2 xã Thường Thới Hậu B và Thường Lạc thành 01 xã Thường Lạc</t>
        </r>
      </text>
    </comment>
  </commentList>
</comments>
</file>

<file path=xl/comments6.xml><?xml version="1.0" encoding="utf-8"?>
<comments xmlns="http://schemas.openxmlformats.org/spreadsheetml/2006/main">
  <authors>
    <author>pc</author>
  </authors>
  <commentList>
    <comment ref="W9" authorId="0" shapeId="0">
      <text>
        <r>
          <rPr>
            <b/>
            <sz val="9"/>
            <color indexed="81"/>
            <rFont val="Tahoma"/>
            <family val="2"/>
          </rPr>
          <t>pc:
Chương trình MTQG (Vốn đầu tư XDCB)
1. NTM = 127.830
2. GNBV = 4.341 triệu đồng</t>
        </r>
      </text>
    </comment>
    <comment ref="W11" authorId="0" shapeId="0">
      <text>
        <r>
          <rPr>
            <b/>
            <sz val="9"/>
            <color indexed="81"/>
            <rFont val="Tahoma"/>
            <family val="2"/>
          </rPr>
          <t>pc:</t>
        </r>
        <r>
          <rPr>
            <sz val="9"/>
            <color indexed="81"/>
            <rFont val="Tahoma"/>
            <family val="2"/>
          </rPr>
          <t xml:space="preserve">
CTMTQG (Vốn sự nghiệp) = 97.566 triệu đồng 
1. GNBV = 59.485
2. NTM = 38.081</t>
        </r>
      </text>
    </comment>
  </commentList>
</comments>
</file>

<file path=xl/comments7.xml><?xml version="1.0" encoding="utf-8"?>
<comments xmlns="http://schemas.openxmlformats.org/spreadsheetml/2006/main">
  <authors>
    <author>pc</author>
  </authors>
  <commentList>
    <comment ref="B30" authorId="0" shapeId="0">
      <text>
        <r>
          <rPr>
            <b/>
            <sz val="9"/>
            <color indexed="81"/>
            <rFont val="Tahoma"/>
            <family val="2"/>
          </rPr>
          <t>pc:</t>
        </r>
        <r>
          <rPr>
            <sz val="9"/>
            <color indexed="81"/>
            <rFont val="Tahoma"/>
            <family val="2"/>
          </rPr>
          <t xml:space="preserve">
- Công ty Vinaconex = 500.000.000 đồng.
- Công trình Giao thông 1.500.000.000 đồng</t>
        </r>
      </text>
    </comment>
  </commentList>
</comments>
</file>

<file path=xl/comments8.xml><?xml version="1.0" encoding="utf-8"?>
<comments xmlns="http://schemas.openxmlformats.org/spreadsheetml/2006/main">
  <authors>
    <author>pc</author>
    <author>Windows User</author>
  </authors>
  <commentList>
    <comment ref="G18" authorId="0" shapeId="0">
      <text>
        <r>
          <rPr>
            <b/>
            <sz val="9"/>
            <color indexed="81"/>
            <rFont val="Tahoma"/>
            <family val="2"/>
          </rPr>
          <t>pc:</t>
        </r>
        <r>
          <rPr>
            <sz val="9"/>
            <color indexed="81"/>
            <rFont val="Tahoma"/>
            <family val="2"/>
          </rPr>
          <t xml:space="preserve">
Số liệu 2023 theo dự toán là: 30.698 triệu đồng</t>
        </r>
      </text>
    </comment>
    <comment ref="G24" authorId="0" shapeId="0">
      <text>
        <r>
          <rPr>
            <b/>
            <sz val="9"/>
            <color indexed="81"/>
            <rFont val="Tahoma"/>
            <family val="2"/>
          </rPr>
          <t>pc:</t>
        </r>
        <r>
          <rPr>
            <sz val="9"/>
            <color indexed="81"/>
            <rFont val="Tahoma"/>
            <family val="2"/>
          </rPr>
          <t xml:space="preserve">
Nợ quá hạn năm 2022, chuyển sang 2023 = 225.231 triệu đồng</t>
        </r>
      </text>
    </comment>
    <comment ref="G28" authorId="0" shapeId="0">
      <text>
        <r>
          <rPr>
            <b/>
            <sz val="9"/>
            <color indexed="81"/>
            <rFont val="Tahoma"/>
            <family val="2"/>
          </rPr>
          <t>pc:</t>
        </r>
        <r>
          <rPr>
            <sz val="9"/>
            <color indexed="81"/>
            <rFont val="Tahoma"/>
            <family val="2"/>
          </rPr>
          <t xml:space="preserve">
Trả nợ nhanh </t>
        </r>
      </text>
    </comment>
    <comment ref="G32" authorId="0" shapeId="0">
      <text>
        <r>
          <rPr>
            <b/>
            <sz val="9"/>
            <color indexed="81"/>
            <rFont val="Tahoma"/>
            <family val="2"/>
          </rPr>
          <t>pc:</t>
        </r>
        <r>
          <rPr>
            <sz val="9"/>
            <color indexed="81"/>
            <rFont val="Tahoma"/>
            <family val="2"/>
          </rPr>
          <t xml:space="preserve">
Trong đó: Bội thu theo Quyết định số 2858/QĐ-BTC ngày 07/12/2022 là 247.800 triệu đồng
Đã trã đến 30/6/2023 là 33,2 tỷ đồng</t>
        </r>
      </text>
    </comment>
    <comment ref="G43" authorId="1" shapeId="0">
      <text>
        <r>
          <rPr>
            <b/>
            <sz val="9"/>
            <color indexed="81"/>
            <rFont val="Tahoma"/>
            <family val="2"/>
          </rPr>
          <t>Windows User:</t>
        </r>
        <r>
          <rPr>
            <sz val="9"/>
            <color indexed="81"/>
            <rFont val="Tahoma"/>
            <family val="2"/>
          </rPr>
          <t xml:space="preserve">
Số 31.500 triệu đồng được bố trí trong dự toán năm 2023
</t>
        </r>
      </text>
    </comment>
    <comment ref="H43" authorId="1" shapeId="0">
      <text>
        <r>
          <rPr>
            <b/>
            <sz val="9"/>
            <color indexed="81"/>
            <rFont val="Tahoma"/>
            <family val="2"/>
          </rPr>
          <t>Windows User:</t>
        </r>
        <r>
          <rPr>
            <sz val="9"/>
            <color indexed="81"/>
            <rFont val="Tahoma"/>
            <family val="2"/>
          </rPr>
          <t xml:space="preserve">
Số 24.101 triệu đồng theo bao cáo của đơn vị</t>
        </r>
      </text>
    </comment>
    <comment ref="G50" authorId="0" shapeId="0">
      <text>
        <r>
          <rPr>
            <b/>
            <sz val="9"/>
            <color indexed="81"/>
            <rFont val="Tahoma"/>
            <family val="2"/>
          </rPr>
          <t>pc:</t>
        </r>
        <r>
          <rPr>
            <sz val="9"/>
            <color indexed="81"/>
            <rFont val="Tahoma"/>
            <family val="2"/>
          </rPr>
          <t xml:space="preserve">
Dự toán còn số này</t>
        </r>
      </text>
    </comment>
    <comment ref="G53" authorId="0" shapeId="0">
      <text>
        <r>
          <rPr>
            <b/>
            <sz val="9"/>
            <color indexed="81"/>
            <rFont val="Tahoma"/>
            <family val="2"/>
          </rPr>
          <t>pc:</t>
        </r>
        <r>
          <rPr>
            <sz val="9"/>
            <color indexed="81"/>
            <rFont val="Tahoma"/>
            <family val="2"/>
          </rPr>
          <t xml:space="preserve">
Số liệu dự toán 2023: 91.898 triệu đổng</t>
        </r>
      </text>
    </comment>
    <comment ref="I59" authorId="0" shapeId="0">
      <text>
        <r>
          <rPr>
            <b/>
            <sz val="9"/>
            <color indexed="81"/>
            <rFont val="Tahoma"/>
            <family val="2"/>
          </rPr>
          <t>pc:</t>
        </r>
        <r>
          <rPr>
            <sz val="9"/>
            <color indexed="81"/>
            <rFont val="Tahoma"/>
            <family val="2"/>
          </rPr>
          <t xml:space="preserve">
Số Trung ương giao địa phương hưởng theo phân cấp năm 2024
</t>
        </r>
      </text>
    </comment>
    <comment ref="I60" authorId="0" shapeId="0">
      <text>
        <r>
          <rPr>
            <b/>
            <sz val="9"/>
            <color indexed="81"/>
            <rFont val="Tahoma"/>
            <family val="2"/>
          </rPr>
          <t>pc:</t>
        </r>
        <r>
          <rPr>
            <sz val="9"/>
            <color indexed="81"/>
            <rFont val="Tahoma"/>
            <family val="2"/>
          </rPr>
          <t xml:space="preserve">
Tỷ lệ vay 20%</t>
        </r>
      </text>
    </comment>
    <comment ref="I61" authorId="0" shapeId="0">
      <text>
        <r>
          <rPr>
            <b/>
            <sz val="9"/>
            <color indexed="81"/>
            <rFont val="Tahoma"/>
            <family val="2"/>
          </rPr>
          <t>pc:</t>
        </r>
        <r>
          <rPr>
            <sz val="9"/>
            <color indexed="81"/>
            <rFont val="Tahoma"/>
            <family val="2"/>
          </rPr>
          <t xml:space="preserve">
Số địa phương xây dựng hưởng năm 2024</t>
        </r>
      </text>
    </comment>
    <comment ref="I62" authorId="0" shapeId="0">
      <text>
        <r>
          <rPr>
            <b/>
            <sz val="9"/>
            <color indexed="81"/>
            <rFont val="Tahoma"/>
            <family val="2"/>
          </rPr>
          <t>pc:</t>
        </r>
        <r>
          <rPr>
            <sz val="9"/>
            <color indexed="81"/>
            <rFont val="Tahoma"/>
            <family val="2"/>
          </rPr>
          <t xml:space="preserve">
Tỷ lệ vay 20%</t>
        </r>
      </text>
    </comment>
  </commentList>
</comments>
</file>

<file path=xl/comments9.xml><?xml version="1.0" encoding="utf-8"?>
<comments xmlns="http://schemas.openxmlformats.org/spreadsheetml/2006/main">
  <authors>
    <author>LAPTOP</author>
  </authors>
  <commentList>
    <comment ref="B10" authorId="0" shapeId="0">
      <text>
        <r>
          <rPr>
            <b/>
            <sz val="9"/>
            <color indexed="81"/>
            <rFont val="Tahoma"/>
            <family val="2"/>
          </rPr>
          <t>LAPTOP:</t>
        </r>
        <r>
          <rPr>
            <sz val="9"/>
            <color indexed="81"/>
            <rFont val="Tahoma"/>
            <family val="2"/>
          </rPr>
          <t xml:space="preserve">
dự án này không phải vay là nhân cấp phát 100% từ  nguồn  vốn vay ODA của Chính phủ</t>
        </r>
      </text>
    </comment>
  </commentList>
</comments>
</file>

<file path=xl/sharedStrings.xml><?xml version="1.0" encoding="utf-8"?>
<sst xmlns="http://schemas.openxmlformats.org/spreadsheetml/2006/main" count="12498" uniqueCount="3709">
  <si>
    <t>SỐ TT</t>
  </si>
  <si>
    <t>NỘI DUNG  THU</t>
  </si>
  <si>
    <t>NSTW hưởng</t>
  </si>
  <si>
    <t xml:space="preserve">NSĐP HƯỞNG </t>
  </si>
  <si>
    <t>Tổng số</t>
  </si>
  <si>
    <t xml:space="preserve">NS tỉnh </t>
  </si>
  <si>
    <t>3=4+5</t>
  </si>
  <si>
    <t>A</t>
  </si>
  <si>
    <t xml:space="preserve">Thu NSNN trên địa bàn </t>
  </si>
  <si>
    <t>I</t>
  </si>
  <si>
    <t>Thu nội địa</t>
  </si>
  <si>
    <t>Thuế giá trị gia tăng</t>
  </si>
  <si>
    <t>Thuế thu nhập doanh nghiệp</t>
  </si>
  <si>
    <t>Thuế tiêu thụ đặc biệt</t>
  </si>
  <si>
    <t>Thuế tài nguyên</t>
  </si>
  <si>
    <t>Thu khác ngoài quốc doanh</t>
  </si>
  <si>
    <t xml:space="preserve">Lệ phí trước bạ </t>
  </si>
  <si>
    <t>Thu phí, lệ phí</t>
  </si>
  <si>
    <t>Tiền sử dụng đất</t>
  </si>
  <si>
    <t>Thu tại xã</t>
  </si>
  <si>
    <t>II</t>
  </si>
  <si>
    <t>Thuế GTGT hàng  nhập khẩu</t>
  </si>
  <si>
    <t>B</t>
  </si>
  <si>
    <t>Thu bổ sung từ NSTW</t>
  </si>
  <si>
    <t xml:space="preserve">Bổ sung cân đối </t>
  </si>
  <si>
    <t xml:space="preserve">Bổ sung có mục tiêu </t>
  </si>
  <si>
    <t>C</t>
  </si>
  <si>
    <t>NỘI DUNG CHI</t>
  </si>
  <si>
    <t>Tổng chi NSĐP</t>
  </si>
  <si>
    <t>Tỷ trọng</t>
  </si>
  <si>
    <t>Chi NS tỉnh</t>
  </si>
  <si>
    <t xml:space="preserve">Chi đầu tư phát triển </t>
  </si>
  <si>
    <t>Chi XDCB vốn trong nước</t>
  </si>
  <si>
    <t>CHI THƯỜNG XUYÊN</t>
  </si>
  <si>
    <t>a</t>
  </si>
  <si>
    <t>b</t>
  </si>
  <si>
    <t>c</t>
  </si>
  <si>
    <t>d</t>
  </si>
  <si>
    <t xml:space="preserve">Chi sự nghiệp văn xã </t>
  </si>
  <si>
    <t xml:space="preserve">Chi sự nghiệp y tế </t>
  </si>
  <si>
    <t>e</t>
  </si>
  <si>
    <t xml:space="preserve">Chi sự nghiệp văn hóa thông tin </t>
  </si>
  <si>
    <t>f</t>
  </si>
  <si>
    <t xml:space="preserve">Chi sự nghiệp phát thanh truyền hình </t>
  </si>
  <si>
    <t>g</t>
  </si>
  <si>
    <t xml:space="preserve">Chi sự nghiệp thể dục thể thao </t>
  </si>
  <si>
    <t xml:space="preserve">Chi đảm bảo xã hội </t>
  </si>
  <si>
    <t xml:space="preserve">Chi quản lý hành chánh </t>
  </si>
  <si>
    <t xml:space="preserve">Chi an ninh - quốc phòng  </t>
  </si>
  <si>
    <t>III</t>
  </si>
  <si>
    <t>IV</t>
  </si>
  <si>
    <t>Chi từ nguồn NSTW bổ sung có mục tiêu</t>
  </si>
  <si>
    <t xml:space="preserve">Nội dung </t>
  </si>
  <si>
    <t xml:space="preserve">Cộng </t>
  </si>
  <si>
    <t>NST</t>
  </si>
  <si>
    <t>NSH</t>
  </si>
  <si>
    <t xml:space="preserve">Thu điều tiết và thu cố định </t>
  </si>
  <si>
    <t>Thu bổ sung từ ngân sách cấp trên</t>
  </si>
  <si>
    <t>Chi thường xuyên</t>
  </si>
  <si>
    <t xml:space="preserve">Chi từ nguồn NSTW bổ sung có mục tiêu </t>
  </si>
  <si>
    <t>Chi bổ sung quỹ dự trữ tài chính</t>
  </si>
  <si>
    <t xml:space="preserve">Dư phòng ngân sách </t>
  </si>
  <si>
    <t xml:space="preserve">Cân đối thu-chi </t>
  </si>
  <si>
    <t>Chi sự nghiệp kinh tế</t>
  </si>
  <si>
    <t>Đơn vị tính: Triệu đồng</t>
  </si>
  <si>
    <t xml:space="preserve">Chi bổ sung quỹ dự trữ tài chính </t>
  </si>
  <si>
    <t>Tổng thu NSNN</t>
  </si>
  <si>
    <t>Thu sử dụng vốn NS và thu khác</t>
  </si>
  <si>
    <t>Thu từ khu vực ĐTNN</t>
  </si>
  <si>
    <t xml:space="preserve">NS huyện
</t>
  </si>
  <si>
    <t>Đơn vị tính : Triệu đồng</t>
  </si>
  <si>
    <t>Chi NS huyện, xã</t>
  </si>
  <si>
    <t>V</t>
  </si>
  <si>
    <t xml:space="preserve">Đơn vị tính : Triệu đồng </t>
  </si>
  <si>
    <t>6=9+10</t>
  </si>
  <si>
    <t>8=6/3</t>
  </si>
  <si>
    <t>Chi XDCB từ nguồn thu tiền sử dụng đất</t>
  </si>
  <si>
    <t>5=4/3</t>
  </si>
  <si>
    <t>7=8+9</t>
  </si>
  <si>
    <t>10=12+13</t>
  </si>
  <si>
    <t>13=14+15</t>
  </si>
  <si>
    <t>4=6+7</t>
  </si>
  <si>
    <t>11=10/3</t>
  </si>
  <si>
    <t>11=14+15</t>
  </si>
  <si>
    <t>13=11/3</t>
  </si>
  <si>
    <t>Mục tiêu, nhiệm vụ quan trọng (vốn XDCB)</t>
  </si>
  <si>
    <t>Chi sự nghiệp giáo dục- đào tạo và dạy nghề</t>
  </si>
  <si>
    <t>Dự phòng ngân sách</t>
  </si>
  <si>
    <t>Chi cân đối ngân sách địa phương</t>
  </si>
  <si>
    <t>Chi sự nghiệp hoạt động môi trường</t>
  </si>
  <si>
    <t>Chi khác ngân sách</t>
  </si>
  <si>
    <t>Chi thực hiện mục tiêu, nhiệm vụ quan trọng (kinh phí xây dựng cơ bản)</t>
  </si>
  <si>
    <t>Chi thực hiện mục tiêu, nhiệm vụ quan trọng (kinh phí sự nghiệp)</t>
  </si>
  <si>
    <t>Chi đầu tư phát triển</t>
  </si>
  <si>
    <t>Chi thực hiện một số mục tiêu, nhiệm vụ (XDCB)</t>
  </si>
  <si>
    <t>Chi thực hiện một số mục tiêu, nhiệm vụ (sự nghiệp)</t>
  </si>
  <si>
    <t xml:space="preserve">Thuế sd đất nông nghiệp </t>
  </si>
  <si>
    <t>Thuế thu nhập cá nhân</t>
  </si>
  <si>
    <t>Thu tiền thuê đất, thuê mặt nước</t>
  </si>
  <si>
    <t>Chi sự nghiệp khoa học công nghệ</t>
  </si>
  <si>
    <t>VI</t>
  </si>
  <si>
    <t>Thu xổ số kiến thiết</t>
  </si>
  <si>
    <t>Chi bổ sung khác</t>
  </si>
  <si>
    <t xml:space="preserve">Thu từ DNQDTW quản lý </t>
  </si>
  <si>
    <t xml:space="preserve">Thu từ DNQDĐP quản lý </t>
  </si>
  <si>
    <t>Các khoản thu khác</t>
  </si>
  <si>
    <t>Thu từ khu vực kinh tế NQD</t>
  </si>
  <si>
    <t xml:space="preserve">Thu từ hoạt động xuất, nhập khẩu </t>
  </si>
  <si>
    <t>Thu phí xăng, dầu, thuế bảo vệ môi trường</t>
  </si>
  <si>
    <t>Thu chuyển nguồn làm lương năm trước chuyển sang</t>
  </si>
  <si>
    <t>ƯỚC THỰC HIỆN 6 THÁNG ĐẦU NĂM</t>
  </si>
  <si>
    <t>DỰ TOÁN 6 THÁNG CUỐI NĂM</t>
  </si>
  <si>
    <t>Tổng thu ngân sách địa phương:</t>
  </si>
  <si>
    <t>Thu NSĐP 6 tháng đầu năm:</t>
  </si>
  <si>
    <t>Tổng chi ngân sách địa phương:</t>
  </si>
  <si>
    <t>Chi ngân sách địa phương 6 tháng đầu năm:</t>
  </si>
  <si>
    <t>Chênh lệch thu chi 6 tháng đầu năm</t>
  </si>
  <si>
    <t>Chi ngân sách địa phương 6 tháng cuối năm:</t>
  </si>
  <si>
    <t>Chi hỗ trợ khác</t>
  </si>
  <si>
    <t>Thuế  sử dụng đất phi nông nghiệp</t>
  </si>
  <si>
    <t>Thuế NK, TTĐB hàng nhập khẩu</t>
  </si>
  <si>
    <t>Chi đầu tư từ nguồn thu XSKT</t>
  </si>
  <si>
    <t>Trong đó: thu tiền sử dụng đất</t>
  </si>
  <si>
    <t>Thu chuyển nguồn làm lương từ năm trước</t>
  </si>
  <si>
    <t>Ước thực hiện thu NSĐP 6 tháng cuối năm:</t>
  </si>
  <si>
    <t>Chi đầu tư từ nguồn tăng thu</t>
  </si>
  <si>
    <t>Chi trả lãi tiền vay</t>
  </si>
  <si>
    <t>Thu khác ngân sách</t>
  </si>
  <si>
    <t>Thu tiền CQ khai thác khoáng sản</t>
  </si>
  <si>
    <t>Thu cổ tức, lợi nhuận được chia và lợi nhuận còn lại</t>
  </si>
  <si>
    <t>D</t>
  </si>
  <si>
    <t>TỔNG CỘNG (A+B+C+D)</t>
  </si>
  <si>
    <t>Thu vay từ nguồn Chính phủ vay về cho vay lại</t>
  </si>
  <si>
    <t>Chi đầu tư từ nguồn vốn Chính phủ vay về cho vay lại</t>
  </si>
  <si>
    <t>Tổng chi ( A+B+C)</t>
  </si>
  <si>
    <t>Thu vay (nếu có)</t>
  </si>
  <si>
    <t>Thu bán nhà thuộc sở hữu nhà nước</t>
  </si>
  <si>
    <t>-</t>
  </si>
  <si>
    <t>Trong đó: thu CPH, thoái vốn DNNNĐP</t>
  </si>
  <si>
    <t>CHÊNH LỆCH UTH SO VỚI DT 2022</t>
  </si>
  <si>
    <t>% so với DT 2022</t>
  </si>
  <si>
    <t>Chi XDCB tập trung</t>
  </si>
  <si>
    <t>Chi đầu tư từ nguồn thu CPH, thoái vốn DNĐP</t>
  </si>
  <si>
    <t>Chi tạo nguồn, điều chỉnh tiền lương</t>
  </si>
  <si>
    <t>Chi bổ sung cho NS huyện, thành phố</t>
  </si>
  <si>
    <t>DỰ TOÁN NĂM 2023</t>
  </si>
  <si>
    <t>Chi điều chỉnh tiền lương cơ sở</t>
  </si>
  <si>
    <t>Trong đó thu nội địa không kể tiền SDĐ, XSKT, CPH</t>
  </si>
  <si>
    <t>ƯỚC THỰC HIỆN 6 THÁNG ĐẦU NĂM 2023</t>
  </si>
  <si>
    <t>DỰ TOÁN 6 THÁNG CUỐI NĂM 2023</t>
  </si>
  <si>
    <t>ƯỚC THỰC HIỆN CẢ NĂM 2023</t>
  </si>
  <si>
    <t>VII</t>
  </si>
  <si>
    <t>Chi điều chỉnh lương cơ sở</t>
  </si>
  <si>
    <t>CHÊNH LỆCH GIỮA UTH SO VỚI DT 2023</t>
  </si>
  <si>
    <t>2023-2017</t>
  </si>
  <si>
    <t>2023-2019</t>
  </si>
  <si>
    <t>2023-2020</t>
  </si>
  <si>
    <t>2023-2021</t>
  </si>
  <si>
    <t>2023-2022</t>
  </si>
  <si>
    <t>2023-2018</t>
  </si>
  <si>
    <t>BSCĐ</t>
  </si>
  <si>
    <t>BSMT Đầu năm</t>
  </si>
  <si>
    <t>Năn 2017</t>
  </si>
  <si>
    <t>Năm 2018</t>
  </si>
  <si>
    <t>Năm 2019</t>
  </si>
  <si>
    <t>Năm 2020</t>
  </si>
  <si>
    <t>Năm 2021</t>
  </si>
  <si>
    <t>Năm 2022</t>
  </si>
  <si>
    <t>CÂN ĐỐI NGÂN SÁCH  ĐỊA PHƯƠNG NĂM 2023</t>
  </si>
  <si>
    <t>% so với dự toán 2023</t>
  </si>
  <si>
    <t>CÂN ĐỐI NGÂN SÁCH  ĐỊA PHƯƠNG NĂM 2023
(Không kể thu chi điều chỉnh giữa các cấp ngân sách địa phương)</t>
  </si>
  <si>
    <t>% so với DT 2023</t>
  </si>
  <si>
    <t>2022-2021</t>
  </si>
  <si>
    <t>2021-2020</t>
  </si>
  <si>
    <t>2020-2019</t>
  </si>
  <si>
    <t>2019-2018</t>
  </si>
  <si>
    <t>DỰ TOÁN NĂM 2024</t>
  </si>
  <si>
    <t>DỰ TOÁN NĂM 2025</t>
  </si>
  <si>
    <t>DỰ TOÁN NĂM 2026</t>
  </si>
  <si>
    <t>% so với dự toán 2024</t>
  </si>
  <si>
    <t>% so với dự toán 2025</t>
  </si>
  <si>
    <t>% so ƯTH dự toán 2023</t>
  </si>
  <si>
    <t>ĐVT: triệu đồng</t>
  </si>
  <si>
    <t>TT</t>
  </si>
  <si>
    <t>Dự toán 2023</t>
  </si>
  <si>
    <t>Dự kiến 2025</t>
  </si>
  <si>
    <t>KHTC-NSNN 03 NĂM 2023-2025</t>
  </si>
  <si>
    <t>Tăng/giảm thu UTH2022/DT 2022</t>
  </si>
  <si>
    <t>Tăng/giảm thu DT2023/DT 2022</t>
  </si>
  <si>
    <t>Tăng/giảm thu DK2024/DT 2023</t>
  </si>
  <si>
    <t>Tăng/giảm thu DK2025/DK 2024</t>
  </si>
  <si>
    <t>Tỉnh</t>
  </si>
  <si>
    <t>Huyện</t>
  </si>
  <si>
    <t>Thu NSĐP được hưởng</t>
  </si>
  <si>
    <t xml:space="preserve"> +Tăng thu</t>
  </si>
  <si>
    <t>Trong đó thu cân đối NSĐP</t>
  </si>
  <si>
    <t>Thu cân đối NSĐP không kể tiền sử dụng đất thu XSKT</t>
  </si>
  <si>
    <t>Trong đó:  Thu tiền sd đất</t>
  </si>
  <si>
    <t xml:space="preserve"> +Tăng/giảm (+/-) tiền sử dụng đất, XSKT, thu CPH</t>
  </si>
  <si>
    <t xml:space="preserve">                Thu xổ số kiến thiết</t>
  </si>
  <si>
    <t xml:space="preserve">                Các khoản thu còn lại</t>
  </si>
  <si>
    <t xml:space="preserve"> +Tăng/giảm thu (+/-) không kể tiền sử dụng đất, XSKT, thu CPH</t>
  </si>
  <si>
    <t xml:space="preserve"> +Tạo nguồn làm lương từ nguồn tăng thu</t>
  </si>
  <si>
    <t>Phần chi NSĐP</t>
  </si>
  <si>
    <t xml:space="preserve"> +Còn lại</t>
  </si>
  <si>
    <t xml:space="preserve">                Chi SN KH-CN</t>
  </si>
  <si>
    <t xml:space="preserve">                Các khoản còn lại</t>
  </si>
  <si>
    <t>Bố trí 50% tăng thu</t>
  </si>
  <si>
    <t>ƯTH 2023</t>
  </si>
  <si>
    <t>Dự toán 2024</t>
  </si>
  <si>
    <t>Dự kiến 2026</t>
  </si>
  <si>
    <t>Thuyết minh tăng/giảm</t>
  </si>
  <si>
    <t>Thu điều tiết và thu cố định (Tăng/giảm thu)</t>
  </si>
  <si>
    <t>Thu XSKT; Tiền sử dụng đất; CPH</t>
  </si>
  <si>
    <t>Tăng giảm/thu không kể XSKT, Tiền sử dụng đất; CPH…</t>
  </si>
  <si>
    <t>Chi tạo nguồn CCTL thực hiện 70% (Hụt thu 50%); Dự toán năm sau so năm trước tăng (Sử dụng 50% CCTL)</t>
  </si>
  <si>
    <t>Số còn lại phân bổ các nhiệm vụ chi còn lại</t>
  </si>
  <si>
    <t>E</t>
  </si>
  <si>
    <t>Thuyết minh tỷ lệ tăng giảm</t>
  </si>
  <si>
    <t>Tỷ lệ tăng thu cân đối NSĐP (không kể XSKT…)</t>
  </si>
  <si>
    <t>Tỷ lệ bố trí CCTL 50% dự toán</t>
  </si>
  <si>
    <t>Tỷ lệ bố trí 50% Dự toán còn lại cho các lĩnh vực</t>
  </si>
  <si>
    <t>% so với DT 2025</t>
  </si>
  <si>
    <t>% so với DT 2024</t>
  </si>
  <si>
    <t>ĐVT: Triệu đồng</t>
  </si>
  <si>
    <t>CÂN ĐỐI NGÂN SÁCH ĐỊA PHƯƠNG NĂM 2023-2024
(không kể thu chi điều chỉnh giữa các cấp ngân sách địa phương)</t>
  </si>
  <si>
    <t>Bổ sung nguồn thực hiện CCTL (nếu có); nguồn bổ sung có mục tiêu, nhiệm vụ khác</t>
  </si>
  <si>
    <t xml:space="preserve"> </t>
  </si>
  <si>
    <t xml:space="preserve">Chi tạo nguồn, điều chỉnh tiền lương </t>
  </si>
  <si>
    <t>VIII</t>
  </si>
  <si>
    <t>Trong đó: Chi sự nghiệp GD-ĐT</t>
  </si>
  <si>
    <t>Chi từ nguồn dự kiến tăng thu (sau khi dành CCTL theo quy định)</t>
  </si>
  <si>
    <t>Chi tạo nguồn CCTL từ nguồn dự kiến tăng thu</t>
  </si>
  <si>
    <t>Chi cân đối NSĐP</t>
  </si>
  <si>
    <t>Vốn từ nguồn thu tiền sử dụng đất</t>
  </si>
  <si>
    <t>Chi bổ sung ngân sách huyện</t>
  </si>
  <si>
    <t>2.1</t>
  </si>
  <si>
    <t>2.2</t>
  </si>
  <si>
    <t>Bổ sung cân đối ngân sách</t>
  </si>
  <si>
    <t>Bổ sung có mục tiêu</t>
  </si>
  <si>
    <t>Thu chuyển nguồn làm lương</t>
  </si>
  <si>
    <t>Chênh lệch thu - chi NSĐP</t>
  </si>
  <si>
    <t>KHTC-NSNN 03 NĂM 2024-2026</t>
  </si>
  <si>
    <t>ƯỚC THỰC HIỆN CHI NGÂN SÁCH ĐỊA PHƯƠNG NĂM 2023
DỰ TOÁN CHI NGÂN SÁCH ĐỊA PHƯƠNG NĂM 2024</t>
  </si>
  <si>
    <t>STT</t>
  </si>
  <si>
    <t>DỰ TOÁN THU NSNN NĂM 2023 TRÊN ĐỊA BÀN HUYỆN, THÀNH PHỐ</t>
  </si>
  <si>
    <t>CHỈ  TIÊU</t>
  </si>
  <si>
    <t>TỔNG CỘNG</t>
  </si>
  <si>
    <t>HỒNG NGỰ</t>
  </si>
  <si>
    <t>TP. HỒNG NGỰ</t>
  </si>
  <si>
    <t>TÂN HỒNG</t>
  </si>
  <si>
    <t>TAM NÔNG</t>
  </si>
  <si>
    <t xml:space="preserve">THANH BÌNH </t>
  </si>
  <si>
    <t>TP. CAO LÃNH</t>
  </si>
  <si>
    <t>H. CAO LÃNH</t>
  </si>
  <si>
    <t>THÁP MƯỜI</t>
  </si>
  <si>
    <t>LẤP VÒ</t>
  </si>
  <si>
    <t>LAI VUNG</t>
  </si>
  <si>
    <t>TP. SA ĐÉC</t>
  </si>
  <si>
    <t>CHÂU THÀNH</t>
  </si>
  <si>
    <t xml:space="preserve"> NSNN</t>
  </si>
  <si>
    <t>% đ.tiết</t>
  </si>
  <si>
    <t xml:space="preserve">NS huyện </t>
  </si>
  <si>
    <t>Thu ngân sách nhà nước trên địa bàn</t>
  </si>
  <si>
    <t>Trong đó: Thu NSNN không kể tiền sử dụng đất</t>
  </si>
  <si>
    <t xml:space="preserve">Thu từ khu vực kinh tế NQD </t>
  </si>
  <si>
    <t xml:space="preserve">Thuế Giá trị gia tăng </t>
  </si>
  <si>
    <t xml:space="preserve">Thuế Thu nhập doanh nghiệp </t>
  </si>
  <si>
    <t xml:space="preserve">Thuế tiêu thụ đặc biệt </t>
  </si>
  <si>
    <t xml:space="preserve">Thu khác ngoài quốc doanh </t>
  </si>
  <si>
    <t xml:space="preserve">Thuế SD đất nông nghiệp </t>
  </si>
  <si>
    <t>Thuế sử dụng đất phi nông nghiệp</t>
  </si>
  <si>
    <t xml:space="preserve">Thu phí &amp; lệ phí </t>
  </si>
  <si>
    <t>Phí, lệ phí do cơ quan nhà nước Trung ương thực hiện thu</t>
  </si>
  <si>
    <t>Phí, lệ phí do cơ quan nhà nước cấp tỉnh thực hiện thu</t>
  </si>
  <si>
    <t>Phí, lệ phí do cơ quan nhà nước huyện, thành phố thực hiện thu</t>
  </si>
  <si>
    <t>Thu do cơ quan, tổ chức, đơn vị thuộc tỉnh quản lý</t>
  </si>
  <si>
    <t>Thu do cơ quan, tổ chức, đơn vị thuộc huyện, thành phố quản lý</t>
  </si>
  <si>
    <t xml:space="preserve">Thu tiền sử dụng đất </t>
  </si>
  <si>
    <t xml:space="preserve">Thu khác ngân sách </t>
  </si>
  <si>
    <t>Thu khác ngân sách trung ương</t>
  </si>
  <si>
    <t>Thu khác ngân sách cấp tỉnh</t>
  </si>
  <si>
    <t>Thu khác ngân sách huyện, thành phố</t>
  </si>
  <si>
    <t xml:space="preserve">Thu bổ sung từ NS Tỉnh </t>
  </si>
  <si>
    <t>Thu bổ sung cân đối ngân sách</t>
  </si>
  <si>
    <t>Thu bổ sung có mục tiêu</t>
  </si>
  <si>
    <t>Thu chuyển nguồn CCTL, CS năm trước chuyển sang</t>
  </si>
  <si>
    <t>TỔNG CỘNG (I+II+III)</t>
  </si>
  <si>
    <t>Số TT</t>
  </si>
  <si>
    <t xml:space="preserve">Nội dung chi </t>
  </si>
  <si>
    <t>TP. Hồng Ngự</t>
  </si>
  <si>
    <t xml:space="preserve">Tam Nông </t>
  </si>
  <si>
    <t xml:space="preserve">Thanh Bình </t>
  </si>
  <si>
    <t xml:space="preserve">TP Cao Lãnh </t>
  </si>
  <si>
    <t xml:space="preserve">H. Cao Lãnh </t>
  </si>
  <si>
    <t xml:space="preserve">TP Sa Đéc </t>
  </si>
  <si>
    <t xml:space="preserve">Châu Thành </t>
  </si>
  <si>
    <t>Tổng chi (I+II+III)</t>
  </si>
  <si>
    <t xml:space="preserve">Chi thường xuyên </t>
  </si>
  <si>
    <t>Bao gồm:</t>
  </si>
  <si>
    <t>Sự nghiệp giáo dục, đào tạo</t>
  </si>
  <si>
    <t>Các khoản chi thường xuyên còn lại</t>
  </si>
  <si>
    <t>Chi tạo nguồn cải cách tiền lương</t>
  </si>
  <si>
    <t>Chi từ nguồn NS cấp Tỉnh bổ sung có mục tiêu</t>
  </si>
  <si>
    <t>BẢNG CÂN ĐỐI DỰ TOÁN THU-CHI NĂM 2023 NGÂN SÁCH HUYỆN, THÀNH PHỐ</t>
  </si>
  <si>
    <t>Huyện, thành phố</t>
  </si>
  <si>
    <t>Tổng thu ngân sách huyện, thành phố</t>
  </si>
  <si>
    <t xml:space="preserve">Tổng cộng </t>
  </si>
  <si>
    <t>Thu điều tiết theo phân cấp</t>
  </si>
  <si>
    <t>Bao gồm</t>
  </si>
  <si>
    <t>Thu bổ sung từ NS cấp Tỉnh</t>
  </si>
  <si>
    <t>Bổ sung mục tiêu</t>
  </si>
  <si>
    <t>Tổng cộng</t>
  </si>
  <si>
    <t>Khoản thu 100%</t>
  </si>
  <si>
    <t>Khoản thu phân chia theo tỷ lệ %</t>
  </si>
  <si>
    <t>Kinh phí hỗ trợ giá sản phẩm, dịch vụ công ích thủy lợi</t>
  </si>
  <si>
    <t>Kinh phí hỗ trợ địa phương sản xuất lúa</t>
  </si>
  <si>
    <t>5=6+7</t>
  </si>
  <si>
    <t>8=9+10</t>
  </si>
  <si>
    <t>10=11+12</t>
  </si>
  <si>
    <t xml:space="preserve">Hồng Ngự </t>
  </si>
  <si>
    <t xml:space="preserve">Tân Hồng </t>
  </si>
  <si>
    <t>Tháp Mười</t>
  </si>
  <si>
    <t>Lấp Vò</t>
  </si>
  <si>
    <t xml:space="preserve">Lai Vung </t>
  </si>
  <si>
    <t>Cộng</t>
  </si>
  <si>
    <t>Chỉ tiêu</t>
  </si>
  <si>
    <t>Gồm</t>
  </si>
  <si>
    <t>Vốn đầu tư phát triển</t>
  </si>
  <si>
    <t>Kinh phí 
sự nghiệp</t>
  </si>
  <si>
    <t>Bổ sung vốn đầu tư theo ngành, lĩnh vực (vốn ngoài nước)</t>
  </si>
  <si>
    <t>Bổ sung vốn đầu tư theo ngành, lĩnh vực (vốn trong nước)</t>
  </si>
  <si>
    <t xml:space="preserve">Tổng số </t>
  </si>
  <si>
    <t>Thành phố Hồng Ngự</t>
  </si>
  <si>
    <t>Thành phố Cao Lãnh</t>
  </si>
  <si>
    <t>Thành phố Sa Đéc</t>
  </si>
  <si>
    <t>Dự toán 2022</t>
  </si>
  <si>
    <t xml:space="preserve">So sánh </t>
  </si>
  <si>
    <t>So sánh TH 9 tháng/dự toán 2022</t>
  </si>
  <si>
    <t>NSNN</t>
  </si>
  <si>
    <t>NS huyện
 hưởng</t>
  </si>
  <si>
    <t>%
NSNN</t>
  </si>
  <si>
    <t>%
NS huyện
 hưởng</t>
  </si>
  <si>
    <t>+/-
NSNN</t>
  </si>
  <si>
    <t>+/-
NS huyện
 hưởng</t>
  </si>
  <si>
    <t>(-;+)</t>
  </si>
  <si>
    <t>(%)</t>
  </si>
  <si>
    <t>7=5-3</t>
  </si>
  <si>
    <t>8=5/3</t>
  </si>
  <si>
    <t>9=3-1</t>
  </si>
  <si>
    <t>10=3/1</t>
  </si>
  <si>
    <t>Thu NSNN trên địa bàn</t>
  </si>
  <si>
    <t>Thu từ khu vực kinh tế ngoài quốc doanh</t>
  </si>
  <si>
    <t>Lệ phí trước bạ</t>
  </si>
  <si>
    <t>Thuế sử dụng đất nông nghiệp</t>
  </si>
  <si>
    <t>Phí, lệ phí do cơ quan nhà nước cấp huyện thực hiện thu</t>
  </si>
  <si>
    <t>Thu do cơ quan, tổ chức, đơn vị thuộc cấp tỉnh quản lý</t>
  </si>
  <si>
    <t>Thu tiền sử dụng đất</t>
  </si>
  <si>
    <t>Nguồn tăng thu thực hiện cải cách tiền lương</t>
  </si>
  <si>
    <t>Tổng số thu NSH hưởng theo phân cấp</t>
  </si>
  <si>
    <t>Trong đó: Thu tiền sử dụng đất</t>
  </si>
  <si>
    <t>Thu NSH không kể tiền sử dụng đất</t>
  </si>
  <si>
    <t>CHỈ TIÊU</t>
  </si>
  <si>
    <t>TỔNG SỐ</t>
  </si>
  <si>
    <t>THÀNH PHỐ HỒNG NGỰ</t>
  </si>
  <si>
    <t>THÀNH PHỐ CAO LÃNH</t>
  </si>
  <si>
    <t>HUYỆN CAO LÃNH</t>
  </si>
  <si>
    <t>THÀNH PHỐ SA ĐÉC</t>
  </si>
  <si>
    <t>NĂM 2022</t>
  </si>
  <si>
    <t>DỰ TOÁN (GIAO ĐẦU NĂM)</t>
  </si>
  <si>
    <t>ĐIỀU CHỈNH DỰ TOÁN</t>
  </si>
  <si>
    <t>ƯỚC THỰC HIỆN NĂM 2022</t>
  </si>
  <si>
    <t xml:space="preserve">DỰ TOÁN </t>
  </si>
  <si>
    <t>7=4-1</t>
  </si>
  <si>
    <t>8=4/1</t>
  </si>
  <si>
    <t>THU NGÂN SÁCH HUYỆN, THÀNH PHỐ</t>
  </si>
  <si>
    <t>Thu ngân sách huyện hưởng theo phân cấp</t>
  </si>
  <si>
    <t>Trong đó:  Thu tiền sử dụng đất</t>
  </si>
  <si>
    <t>Số bổ sung cân đối ngân sách</t>
  </si>
  <si>
    <t>Số bổ sung có mục tiêu</t>
  </si>
  <si>
    <t>3.1</t>
  </si>
  <si>
    <t>3.2</t>
  </si>
  <si>
    <t>3.3</t>
  </si>
  <si>
    <t>3.4</t>
  </si>
  <si>
    <t>3.5</t>
  </si>
  <si>
    <t>3.6</t>
  </si>
  <si>
    <t>3.7</t>
  </si>
  <si>
    <t>3.8</t>
  </si>
  <si>
    <t>Bổ sung đảm bảo nhiệm vụ chi do giảm dự toán thu các năm trước</t>
  </si>
  <si>
    <t>CHI NGÂN SÁCH HUYỆN, THÀNH PHỐ</t>
  </si>
  <si>
    <t>Trong đó: Chi đầu tư XDCB tập trung trong nước bao gồm số phân bổ từ nguồn CCTL dự toán năm 2021</t>
  </si>
  <si>
    <t>Chi đầu tư từ nguồn thu tiền sử dụng đất</t>
  </si>
  <si>
    <t>Chi thường xuyên:</t>
  </si>
  <si>
    <t>Chi sự nghiệp giáo dục đào tạo</t>
  </si>
  <si>
    <t>10% TIẾT KIỆM CHI THÊM THƯỜNG XUYÊN NĂM 2023</t>
  </si>
  <si>
    <t>Ghi chú</t>
  </si>
  <si>
    <t>10% tiết kiệm chi thường xuyên năm 2023</t>
  </si>
  <si>
    <t>10% tiết kiệm chi thường xuyên năm 2022</t>
  </si>
  <si>
    <t>10% tiết kiệm tăng thêm chi thường xuyên năm 2023</t>
  </si>
  <si>
    <t>Chi hoạt động thường xuyên tăng thêm so với năm 2022</t>
  </si>
  <si>
    <t>3=4+6</t>
  </si>
  <si>
    <t>6=5*10%</t>
  </si>
  <si>
    <t>Cấp tỉnh</t>
  </si>
  <si>
    <t>Tổng số 12 huyện, thành phố</t>
  </si>
  <si>
    <t>Tổng cộng (I+II)</t>
  </si>
  <si>
    <t>Cơ quan, đơn vị, địa phương</t>
  </si>
  <si>
    <t>H. Hồng Ngự</t>
  </si>
  <si>
    <t>H. Tân Hồng</t>
  </si>
  <si>
    <t>H. Tam Nông</t>
  </si>
  <si>
    <t>H. Thanh Bình</t>
  </si>
  <si>
    <t>TP. Cao Lãnh</t>
  </si>
  <si>
    <t>H. Cao Lãnh</t>
  </si>
  <si>
    <t>H. Tháp Mười</t>
  </si>
  <si>
    <t>H. Lấp Vò</t>
  </si>
  <si>
    <t>H. Lai Vung</t>
  </si>
  <si>
    <t>TP. Sa Đéc</t>
  </si>
  <si>
    <t>H. Châu Thành</t>
  </si>
  <si>
    <t>10% tiết kiệm chi thường xuyên năm 2024</t>
  </si>
  <si>
    <t>Quyết định Bộ Tài chính giao</t>
  </si>
  <si>
    <t>Chênh lệch (III-IV)</t>
  </si>
  <si>
    <t>Lương</t>
  </si>
  <si>
    <t xml:space="preserve">Phân bổ </t>
  </si>
  <si>
    <t>THU NGÂN SÁCH NHÀ NƯỚC 5 NĂM 2018-2022; DỰ KIẾN ĐẾN NĂM 2025 VÀ ĐỊNH HƯỚNG THU NGÂN SÁCH NHÀ NƯỚC ĐẾN 2030</t>
  </si>
  <si>
    <t>THỰC HIỆN NĂM 2005</t>
  </si>
  <si>
    <t>THỰC HIỆN NĂM 2006</t>
  </si>
  <si>
    <t>THỰC HIỆN NĂM 2007</t>
  </si>
  <si>
    <t>THỰC HIỆN NĂM 2008</t>
  </si>
  <si>
    <t>THỰC HIỆN NĂM 2009</t>
  </si>
  <si>
    <t>THỰC HIỆN NĂM 2010</t>
  </si>
  <si>
    <t>KẾT QUẢ THU NSNN 5 NĂM 2006-2010</t>
  </si>
  <si>
    <t>Tốc độ +/-
 bình quân 5 năm 2006-2010</t>
  </si>
  <si>
    <t>THỰC HIỆN NĂM 2011</t>
  </si>
  <si>
    <t>THỰC HIỆN NĂM 2012</t>
  </si>
  <si>
    <t>THỰC HIỆN NĂM 2013</t>
  </si>
  <si>
    <t>THỰC HIỆN NĂM 2014</t>
  </si>
  <si>
    <t>THỰC HIỆN NĂM 2015</t>
  </si>
  <si>
    <t>KẾT QUẢ THU NSNN 5 NĂM 2011-2015</t>
  </si>
  <si>
    <t>Tốc độ +/-
 bình quân 5 năm 2011-2015</t>
  </si>
  <si>
    <t>THỰC HIỆN NĂM 2016</t>
  </si>
  <si>
    <t>THỰC HIỆN NĂM 2017</t>
  </si>
  <si>
    <t>NĂM 2020</t>
  </si>
  <si>
    <t>Kết quả thu 5 năm 2016-2020</t>
  </si>
  <si>
    <t>Tốc độ +/-
 bình quân 5 năm 2016-2020</t>
  </si>
  <si>
    <t>Tăng (giảm) so năm 2011-2015</t>
  </si>
  <si>
    <t xml:space="preserve"> NĂM 2021</t>
  </si>
  <si>
    <t xml:space="preserve"> NĂM 2022</t>
  </si>
  <si>
    <t>Tổng thu giai đoạn 2018-2022</t>
  </si>
  <si>
    <t>Tốc độ bình quân giai đoạn 2018-2022</t>
  </si>
  <si>
    <t>Thu giai đoạn 2020-2022</t>
  </si>
  <si>
    <t>Dự toán năm 2023</t>
  </si>
  <si>
    <t>Dự kiến năm 2024</t>
  </si>
  <si>
    <t>Dự kiến năm 2025</t>
  </si>
  <si>
    <t>Tổng thu giai đoạn 2023-2025</t>
  </si>
  <si>
    <t>Tốc độ bình quân giai đoạn 2023-2025</t>
  </si>
  <si>
    <t>Dự kiến thu 5 năm 2021-2025</t>
  </si>
  <si>
    <t>Tốc độ +/-
bình quân 5 năm 2021-2025</t>
  </si>
  <si>
    <t>Tăng (giảm) so năm 2016-2020</t>
  </si>
  <si>
    <t>Dự kiến năm 2026</t>
  </si>
  <si>
    <t>Dự kiến năm 2027</t>
  </si>
  <si>
    <t>Dự kiến năm 2028</t>
  </si>
  <si>
    <t>Dự kiến năm 2029</t>
  </si>
  <si>
    <t>Dự kiến năm 2030</t>
  </si>
  <si>
    <t>Dự kiến thu 5 năm 2026-2030</t>
  </si>
  <si>
    <t>Tốc độ bình quân</t>
  </si>
  <si>
    <t>Tăng (giảm) so năm 2021-2025</t>
  </si>
  <si>
    <t>Dự toán</t>
  </si>
  <si>
    <t>Thực hiện</t>
  </si>
  <si>
    <t xml:space="preserve">Thực hiện </t>
  </si>
  <si>
    <t>HĐND Tỉnh giao</t>
  </si>
  <si>
    <t>Ước TH</t>
  </si>
  <si>
    <t>Trong đó: Thu nội địa không kể tiền sử dụng đất, XSKT</t>
  </si>
  <si>
    <t xml:space="preserve">Thu từ DNNN do TW quản lý </t>
  </si>
  <si>
    <t>Thu từ DNNN do ĐP quản lý</t>
  </si>
  <si>
    <t>Thu từ khu vực có vốn ĐTNN</t>
  </si>
  <si>
    <t>Khu vực kinh tế ngoài quốc doanh</t>
  </si>
  <si>
    <t>GDP 2021</t>
  </si>
  <si>
    <t>Thu thuế bảo vệ môi trường (xăng, dầu)</t>
  </si>
  <si>
    <t xml:space="preserve">Thuế xuất nhập khẩu </t>
  </si>
  <si>
    <t>Thu NSĐP hưởng theo phân cấp</t>
  </si>
  <si>
    <t>Tỷ trọng so với tổng thu NSNN trên địa bàn</t>
  </si>
  <si>
    <t>Thu viện trợ (nếu có)</t>
  </si>
  <si>
    <t>Phần so sánh</t>
  </si>
  <si>
    <t>GRDP theo giá hiện hành</t>
  </si>
  <si>
    <t>Khu vực Nông, lâm nghiệp và thủy sản</t>
  </si>
  <si>
    <t>Khu vực Công nghiệp - xây dựng</t>
  </si>
  <si>
    <t xml:space="preserve">    TĐ: + Công nghiệp</t>
  </si>
  <si>
    <t xml:space="preserve">            + Xây dựng</t>
  </si>
  <si>
    <t>Khu vực Thương mại - dịch vụ</t>
  </si>
  <si>
    <t xml:space="preserve">             + Thương mại - dịch vụ</t>
  </si>
  <si>
    <t>Trong đó: Thuế sản phẩm trừ trợ cấp sản phẩm</t>
  </si>
  <si>
    <t>Tốc độ tăng trưởng GRDP theo giá thực tế</t>
  </si>
  <si>
    <t>Tỷ lệ thu NSNN so với GRDP</t>
  </si>
  <si>
    <t>Tỷ lệ thu NSNN so với năm trước</t>
  </si>
  <si>
    <t>Tỷ lệ thu nội địa không kể tiền sdđ, xskt so với năm trước</t>
  </si>
  <si>
    <t>Tỷ lệ so với năm trước</t>
  </si>
  <si>
    <t>Tỷ lệ so với dự toán giao đầu năm</t>
  </si>
  <si>
    <t>Tỷ trọng trong tổng thu NSNN</t>
  </si>
  <si>
    <t>Thu từ hoạt động xuất nhập khẩu</t>
  </si>
  <si>
    <t>Thu NSNN theo khu vực</t>
  </si>
  <si>
    <t>Khu vực quốc doanh</t>
  </si>
  <si>
    <t xml:space="preserve">Thu từ DNNN TW quản lý </t>
  </si>
  <si>
    <t>Thu từ DNNN ĐP quản lý</t>
  </si>
  <si>
    <t>Khu vực tập thể, tư nhân, cá thể</t>
  </si>
  <si>
    <t>Khu vực có vốn đầu tư nước ngoài</t>
  </si>
  <si>
    <t>Tỷ trọng từng khu vực/thu NSNN</t>
  </si>
  <si>
    <t>Tỷ lệ thu NSNN theo khu vực so với năm trước</t>
  </si>
  <si>
    <t>Thu NSNN</t>
  </si>
  <si>
    <t>Thu từ doanh nghiệp nhà nước</t>
  </si>
  <si>
    <t>a.1</t>
  </si>
  <si>
    <t>a.2</t>
  </si>
  <si>
    <t>h</t>
  </si>
  <si>
    <t>i</t>
  </si>
  <si>
    <t>Các khoản thu nội địa còn lại</t>
  </si>
  <si>
    <t>Trong đó</t>
  </si>
  <si>
    <t>+</t>
  </si>
  <si>
    <t>Thu lệ phí trước bạ</t>
  </si>
  <si>
    <t>Thu cho thuê mặt đất , mặt nước</t>
  </si>
  <si>
    <t>Thu nội địa khác còn lại</t>
  </si>
  <si>
    <t>Thu nội địa không kể tiền sử dụng đất, XSKT</t>
  </si>
  <si>
    <t>Thu từ hoạt động XNK</t>
  </si>
  <si>
    <t>Thu ngân sách địa phương</t>
  </si>
  <si>
    <t>Trong đó: thu cân đối NSĐP</t>
  </si>
  <si>
    <t>NSĐP hưởng theo phân cấp</t>
  </si>
  <si>
    <t>Tỷ lệ so với số chi cân đối NSĐP</t>
  </si>
  <si>
    <t>Bổ sung vốn sự nghiệp cân đối cho ĐP</t>
  </si>
  <si>
    <t>Thu chuyển nguồn</t>
  </si>
  <si>
    <t>Hạn mức dư nợ vay tối đa của NSĐP</t>
  </si>
  <si>
    <t>Mức dư nợ đầu kỳ (năm)</t>
  </si>
  <si>
    <t>Tỷ lệ mức dư nợ đầu kỳ (năm) so với mức dư nợ vay tối đa của NSĐP (%)</t>
  </si>
  <si>
    <t>Tỷ lệ mức dư nợ đầu kỳ (năm) so với GRDP (%)</t>
  </si>
  <si>
    <t>Trả nợ gốc vay trong kỳ (năm)</t>
  </si>
  <si>
    <t>Từ nguồn vay để trả nợ gốc</t>
  </si>
  <si>
    <t>Từ nguồn bội thu NSĐP; tăng thu, tiết kiệm chi; kết dư ngân sách cấp tỉnh</t>
  </si>
  <si>
    <t>Tổng mức vay trong kỳ (năm)</t>
  </si>
  <si>
    <t>Vay để bù đắp bội chi</t>
  </si>
  <si>
    <t>Vay để trả nợ gốc</t>
  </si>
  <si>
    <t>Mức dư nợ cuối kỳ (năm)</t>
  </si>
  <si>
    <t>Tỷ lệ mức dư nợ cuối kỳ (năm) so với mức dư nợ vay tối đa của NSĐP (%)</t>
  </si>
  <si>
    <t>Tỷ lệ mức dư nợ cuối kỳ (năm) so với GRDP (%)</t>
  </si>
  <si>
    <t>Tổng thu NSĐP đước hưởng</t>
  </si>
  <si>
    <t>Tổng chi cân đối</t>
  </si>
  <si>
    <t>Chi bổ sung có mục tiêu</t>
  </si>
  <si>
    <t>KẾ HOẠCH CHI NGÂN SÁCH ĐỊA PHƯƠNG 5 NĂM 2021-2025
DỰ KIẾN CHI NGÂN SÁCH ĐỊA PHƯƠNG 5 NĂM 2021-2025</t>
  </si>
  <si>
    <t>ĐỊNH HƯỚNG ĐẾN NĂM 2030</t>
  </si>
  <si>
    <t>KẾT QUẢ DỰ KIẾN CHI NSĐP 5 NĂM 2011-2015</t>
  </si>
  <si>
    <t>Tốc độ +/-
bình quân 5 năm 2011-2015</t>
  </si>
  <si>
    <t>Tỷ trọng bình quân</t>
  </si>
  <si>
    <t>THỰC HIỆN NĂM 2018</t>
  </si>
  <si>
    <t>THỰC HIỆN NĂM 2019</t>
  </si>
  <si>
    <t>THỰC HIỆN NĂM 2020</t>
  </si>
  <si>
    <t>KẾT QUẢ DỰ KIẾN CHI NSĐP 5 NĂM 2016-2020</t>
  </si>
  <si>
    <t>Tốc độ +/-
bình quân 5 năm 2016-2020</t>
  </si>
  <si>
    <t>Tăng/giảm gđ 2016-2020 so với gđ 2011-2015</t>
  </si>
  <si>
    <t>THỰC HIỆN NĂM 2021</t>
  </si>
  <si>
    <t>THỰC HIỆN NĂM 2022</t>
  </si>
  <si>
    <t>Thực hiện 2020-2022</t>
  </si>
  <si>
    <t>Dự kiến chi NSĐP 2021-2025</t>
  </si>
  <si>
    <t>Tỷ trọng/chi NSĐP</t>
  </si>
  <si>
    <t>Tỷ trọng/chi cân đối NSĐP</t>
  </si>
  <si>
    <t>Tăng/giảm 2021-2025 so 2016-2020</t>
  </si>
  <si>
    <t>DỰ KIẾN 2026</t>
  </si>
  <si>
    <t>DỰ KIẾN 2027</t>
  </si>
  <si>
    <t>DỰ KIẾN 2028</t>
  </si>
  <si>
    <t>DỰ KIẾN 2029</t>
  </si>
  <si>
    <t>DỰ KIẾN 2030</t>
  </si>
  <si>
    <t>Dự kiến kết quả chi năm NSĐP 2026-2030</t>
  </si>
  <si>
    <t>Tốc độ +/-
bình quân 5 năm 2026-2030</t>
  </si>
  <si>
    <t>Tăng (giảm) so với năm 2021-2025</t>
  </si>
  <si>
    <t>NĂM 2023</t>
  </si>
  <si>
    <t>Ước thực hiện</t>
  </si>
  <si>
    <t>Tổng chi ngân sách địa phương (A+B)</t>
  </si>
  <si>
    <t>Chi XDCB tập trung vốn trong nước</t>
  </si>
  <si>
    <t>Chi đầu tư từ nguồn vốn khác và hỗ trợ khác (từ nguồn thu CPH, thoái vốn DNĐP)</t>
  </si>
  <si>
    <t>Chi sự nghiệp giáo dục, đào tạo &amp; dạy nghề</t>
  </si>
  <si>
    <t>Chi sự nghiệp y tế</t>
  </si>
  <si>
    <t>Chi sự nghiệp văn hoá- thông tin</t>
  </si>
  <si>
    <t>Chi sự nghiệp phát thanh truyền hình</t>
  </si>
  <si>
    <t>Chi sự nghiệp thể dục thể thao</t>
  </si>
  <si>
    <t>Chi đảm bảo xã hội</t>
  </si>
  <si>
    <t>Chi quản lý hành chính</t>
  </si>
  <si>
    <t>Chi an ninh- quốc phòng</t>
  </si>
  <si>
    <t>Chi chuyển nguồn cải cách tiền lương,…</t>
  </si>
  <si>
    <t>Chi trả lãi nợ vay</t>
  </si>
  <si>
    <t>So sánh</t>
  </si>
  <si>
    <t>Tổng Quỹ lương</t>
  </si>
  <si>
    <t>Giáo dục - Đào tạo</t>
  </si>
  <si>
    <t>Các ngành còn lại</t>
  </si>
  <si>
    <t>Quỹ lương toàn tỉnh chiếm tỷ trọng trong tổng chi TX</t>
  </si>
  <si>
    <t>Quỹ lương GD&amp;ĐT chiếm tỷ trọng trong tổng quỹ lương</t>
  </si>
  <si>
    <t>SN GD&amp;ĐT chiếm tỷ trọng trong tổng chi TX</t>
  </si>
  <si>
    <t>SN GD&amp;ĐT chiếm tỷ trọng trong tổng chi cân đối NSĐP</t>
  </si>
  <si>
    <t>SN kinh tế chiếm tỷ trọng tổng chi TX</t>
  </si>
  <si>
    <t>Vốn đầu tư phát triển bình quân hàng năm trong chi cân đối NSĐP</t>
  </si>
  <si>
    <t>Vốn đầu tư XDCB tập trung bình quân hàng năm trong chi cân đối NSĐP</t>
  </si>
  <si>
    <t>Cơ cấu chi thường xuyên</t>
  </si>
  <si>
    <t>Tỷ trọng so với chi cân đối NSĐP</t>
  </si>
  <si>
    <t>Chi sự nghiệp GD&amp;ĐT</t>
  </si>
  <si>
    <t>Chi sự nghiệp khoa học &amp; công nghệ</t>
  </si>
  <si>
    <t>Chi sự nghiệp môi trường</t>
  </si>
  <si>
    <t>Chi sự nghiệp văn hóa-Thông tin</t>
  </si>
  <si>
    <t>Chi sự nghiệp phát thanh-Truyền hình</t>
  </si>
  <si>
    <t>Chi sự nghiệp đảm bảo xã hội</t>
  </si>
  <si>
    <t>Chi quốc phòng- an ninh</t>
  </si>
  <si>
    <t>Tỷ lệ chi cân đối NSĐP so với GRDP</t>
  </si>
  <si>
    <t>Cơ cấu chi cân đối NSĐP</t>
  </si>
  <si>
    <t>Tỷ trọng so với chi NSĐP</t>
  </si>
  <si>
    <t>Các khoản chi còn lại (DTTC, DP, trả lãi)</t>
  </si>
  <si>
    <t>Cơ cấu chi đầu tư phát triển trong chi cân đối NSĐP</t>
  </si>
  <si>
    <t>Tỷ lệ chi ngân sách địa phương so với GRDP</t>
  </si>
  <si>
    <t>Tỷ trọng trong tổng chi NSĐP</t>
  </si>
  <si>
    <t>Chi Chương trình MTQG</t>
  </si>
  <si>
    <t>Chi thực hiện mục tiêu, nhiệm vụ quan trọng khác</t>
  </si>
  <si>
    <t>Tỷ lệ thu NSĐP hưởng theo phân cấp so với tổng chi cân đối NSĐP</t>
  </si>
  <si>
    <t>Tỷ lệ bội chi NSĐP so với tổng thu NSĐP hưởng theo phân cấp</t>
  </si>
  <si>
    <t>Tỷ lệ chi lương, phụ cấp trên tổng thu NSĐP</t>
  </si>
  <si>
    <t>ĐBSCL</t>
  </si>
  <si>
    <t>XDCBTT</t>
  </si>
  <si>
    <t>Hạng</t>
  </si>
  <si>
    <t>sdđ</t>
  </si>
  <si>
    <t>xskt</t>
  </si>
  <si>
    <t>dân số</t>
  </si>
  <si>
    <t>long an</t>
  </si>
  <si>
    <t>tien giang</t>
  </si>
  <si>
    <t>ben tre</t>
  </si>
  <si>
    <t>tra vinh</t>
  </si>
  <si>
    <t>vinh long</t>
  </si>
  <si>
    <t>can tho</t>
  </si>
  <si>
    <t>hau giang</t>
  </si>
  <si>
    <t>soc trang</t>
  </si>
  <si>
    <t>an giang</t>
  </si>
  <si>
    <t>dong thap</t>
  </si>
  <si>
    <t>kien giang</t>
  </si>
  <si>
    <t>bac lieu</t>
  </si>
  <si>
    <t>ca mau</t>
  </si>
  <si>
    <t>CÂN ĐỐI NGÂN SÁCH HUYỆN, THÀNH PHỐ NĂM 2020-2021</t>
  </si>
  <si>
    <t>DỰ TOÁN THU NSNN NĂM 2021 TRÊN ĐỊA BÀN HUYỆN, THÀNH PHỐ</t>
  </si>
  <si>
    <t>CHI TỪ NGUỒN NSTW BỔ SUNG CÓ MỤC TIÊU 5 NĂM 2016-2020
DỰ KIẾN CHI TỪ NGUỒN NSTW BỔ SUNG CÓ MỤC TIÊU 5 NĂM 2021-2025</t>
  </si>
  <si>
    <t>DỰ KIẾN CHI NSĐP 5 NĂM 2021-2025</t>
  </si>
  <si>
    <t>Tăng/giảm gđ 2021-2025 so với gđ 2016-2020</t>
  </si>
  <si>
    <t>Bình quân 1 năm (làm tròn)</t>
  </si>
  <si>
    <t>NỘI DUNG</t>
  </si>
  <si>
    <t>Tình hình sử dụng quỹ dự trữ tài chính</t>
  </si>
  <si>
    <t>Chương trình, dự án</t>
  </si>
  <si>
    <t>Thời gian thực hiện theo Hiệp định đã ký kết</t>
  </si>
  <si>
    <t>Tổng số vốn vay theo Hiệp định đã ký kết</t>
  </si>
  <si>
    <t>Tổng số vốn vay lại</t>
  </si>
  <si>
    <t>Kế hoạch giải ngân vốn vay năm 2023</t>
  </si>
  <si>
    <t>DỰ KIẾN NĂM 2024</t>
  </si>
  <si>
    <t>DỰ KIẾN NĂM 2025</t>
  </si>
  <si>
    <t>DỰ TOÁN</t>
  </si>
  <si>
    <t>ƯỚC THỰC HIỆN</t>
  </si>
  <si>
    <t>4=3/1</t>
  </si>
  <si>
    <t>MỨC DƯ NỢ VAY TỐI ĐA CỦA NSĐP</t>
  </si>
  <si>
    <t>BỘI CHI NGÂN SÁCH ĐỊA PHƯƠNG</t>
  </si>
  <si>
    <t>KẾ HOẠCH VAY, TRẢ NỢ GỐC</t>
  </si>
  <si>
    <t>Tổng dư nợ đầu năm</t>
  </si>
  <si>
    <t>Tỷ lệ mức dư nợ đầu kỳ so với mức dư nợ vay tối đa của ngân sách địa phương (%)</t>
  </si>
  <si>
    <t>Trong đó: vay chương trình kiên cố hoá kênh mương</t>
  </si>
  <si>
    <t xml:space="preserve">                Vay chương trình cụm tuyến cụm, tuyến dân cư giai đoạn 1</t>
  </si>
  <si>
    <t xml:space="preserve">                Vay chương trình cụm tuyến cụm, tuyến dân cư giai đoạn 2</t>
  </si>
  <si>
    <t>Tạm ứng vốn nhàn rỗi kho bạc nhà nước</t>
  </si>
  <si>
    <t>Trái phiếu chính quyền địa phương</t>
  </si>
  <si>
    <t>Vay lại từ nguồn Chính phủ vay ngoài nước</t>
  </si>
  <si>
    <t>Vay trong nước khác theo quy định của pháp luật</t>
  </si>
  <si>
    <t>Trả nợ gốc vay trong năm</t>
  </si>
  <si>
    <t>Nợ gốc phải trả phân theo nguồn vay</t>
  </si>
  <si>
    <t>Trả nợ vay Chi nhánh Ngân hàng Phát triển</t>
  </si>
  <si>
    <t>Hoàn trả tạm ứng vốn kho bạc nhà nước</t>
  </si>
  <si>
    <t>Trả nợ Trái phiếu chính quyền địa phương</t>
  </si>
  <si>
    <t>Trả nợ vay từ nguồn Chính phủ vay ngoài nước</t>
  </si>
  <si>
    <t>Trả nợ vay trong nước khác theo quy định của pháp luật</t>
  </si>
  <si>
    <t>Nguồn trả nợ</t>
  </si>
  <si>
    <t>Từ nguồn vay</t>
  </si>
  <si>
    <t>Bội thu ngân sách địa phương</t>
  </si>
  <si>
    <t>Tăng thu, tiết kiệm chi</t>
  </si>
  <si>
    <t>Kết dư ngân sách cấp tỉnh</t>
  </si>
  <si>
    <t>Tổng mức vay trong năm</t>
  </si>
  <si>
    <t>Theo mục đích vay</t>
  </si>
  <si>
    <t>Vay bù dắp bội chi</t>
  </si>
  <si>
    <t>Vay trả nợ gốc</t>
  </si>
  <si>
    <t>Theo nguồn vay</t>
  </si>
  <si>
    <t>Vay Chi nhánh Ngân hàng Phát triển</t>
  </si>
  <si>
    <t>Tổng dư nợ cuối năm</t>
  </si>
  <si>
    <t>Tỷ lệ mức dư nợ cuối kỳ so với mức dư nợ vay tối đa của ngân sách địa phương (%)</t>
  </si>
  <si>
    <t>Trả nợ lãi, phí</t>
  </si>
  <si>
    <t>DỰ BÁO MỘT SỐ CHỈ TIÊU KINH TẾ - XÃ HỘI CHỦ YẾU GIAI ĐOẠN 03 NĂM 2023-2025</t>
  </si>
  <si>
    <t>ĐƠN VỊ TÍNH</t>
  </si>
  <si>
    <t>NĂM 2021</t>
  </si>
  <si>
    <t>NĂM 2024</t>
  </si>
  <si>
    <t>NĂM 2025</t>
  </si>
  <si>
    <t>NĂM 2026</t>
  </si>
  <si>
    <t>KẾ HOẠCH</t>
  </si>
  <si>
    <t>THỰC HIỆN</t>
  </si>
  <si>
    <t>Tổng sản phẩm trong nước (GRDP) theo giá hiện hành</t>
  </si>
  <si>
    <t>Tỷ đồng</t>
  </si>
  <si>
    <t>%</t>
  </si>
  <si>
    <t>Cơ cấu kinh tế</t>
  </si>
  <si>
    <t>Nông, lâm, ngư nghiệp</t>
  </si>
  <si>
    <t>Công nghiệp, xây dựng</t>
  </si>
  <si>
    <t>Dịch vụ</t>
  </si>
  <si>
    <t>Chỉ số giá tiêu dùng (CPI)</t>
  </si>
  <si>
    <t>Vốn đầu tư phát triển toàn xã hội trên địa bàn</t>
  </si>
  <si>
    <t>Tỷ lệ so với GRDP</t>
  </si>
  <si>
    <t>Kim ngạch hàng hoá xuất khẩu</t>
  </si>
  <si>
    <t>Triệu USD</t>
  </si>
  <si>
    <t>Tốc độ tăng trưởng</t>
  </si>
  <si>
    <t>Kim ngạch nhập khẩu hàng hóa</t>
  </si>
  <si>
    <t>Dân số</t>
  </si>
  <si>
    <t>Triệu người</t>
  </si>
  <si>
    <t>Thu nhập bình quân đầu người</t>
  </si>
  <si>
    <t>Triệu đồng</t>
  </si>
  <si>
    <t>GRDP/ người</t>
  </si>
  <si>
    <t>Mức giảm tỷ lệ hộ nghèo</t>
  </si>
  <si>
    <t>Tỷ lệ hộ nghèo</t>
  </si>
  <si>
    <t>Giáo dục, đào tạo</t>
  </si>
  <si>
    <t>- Số giáo viên (giáo dục)</t>
  </si>
  <si>
    <t>Người</t>
  </si>
  <si>
    <t>- Số học sinh</t>
  </si>
  <si>
    <t>Trong đó:</t>
  </si>
  <si>
    <t>+ Học sinh dân tộc nội trú</t>
  </si>
  <si>
    <t>+ Học sinh bán trú</t>
  </si>
  <si>
    <t>+ Đối tượng được hưởng chính sách miễn, giảm học phí theo quy định</t>
  </si>
  <si>
    <t>- Số trường đại học, cao đẳng, dạy nghề công lập do địa phương quản lý</t>
  </si>
  <si>
    <t>Trường</t>
  </si>
  <si>
    <t>Y tế:</t>
  </si>
  <si>
    <t>- Cơ sở khám chữa bệnh</t>
  </si>
  <si>
    <t>Cơ sở</t>
  </si>
  <si>
    <t>- Số giường bệnh</t>
  </si>
  <si>
    <t>Giường</t>
  </si>
  <si>
    <t>+ Giường bệnh cấp tỉnh</t>
  </si>
  <si>
    <t>+ Giường bệnh cấp huyện</t>
  </si>
  <si>
    <t>+ Giường phòng khám khu vực</t>
  </si>
  <si>
    <t>+ Giường y tế xã phường</t>
  </si>
  <si>
    <t>- Số đối tượng mua BHYT</t>
  </si>
  <si>
    <t>+ Trẻ em dưới 6 tuổi</t>
  </si>
  <si>
    <t>+ Đối tượng bảo trợ xã hội</t>
  </si>
  <si>
    <t>+ Người thuộc hộ nghèo</t>
  </si>
  <si>
    <t>+ Kinh phí mua thẻ khám chữa bệnh người nghèo, người dân tộc thiểu số, người sống vùng</t>
  </si>
  <si>
    <t>+ Người hiến bộ phận cơ thể</t>
  </si>
  <si>
    <t>+ Học sinh, sinh viên</t>
  </si>
  <si>
    <t>+ Đối tượng cựu chiến binh, người trực tiếp tham gia kháng chiến chống Mỹ cứu nước, người tham gia chiến tranh bảo vệ Tổ quốc, làm nhiệm vụ quốc tế ở Campuchia, giúp bạn Lào, thanh niên xung phong</t>
  </si>
  <si>
    <t>+ Người thuộc hộ gia đình cận nghèo</t>
  </si>
  <si>
    <t>+ Người thuộc hộ gia đình nông, lâm, ngư nghiệp có mức sống trung bình</t>
  </si>
  <si>
    <t>ha</t>
  </si>
  <si>
    <t>km2</t>
  </si>
  <si>
    <t>tỷ lệ</t>
  </si>
  <si>
    <t>Tên tỉnh</t>
  </si>
  <si>
    <t>Long An</t>
  </si>
  <si>
    <t>Tiền Giang</t>
  </si>
  <si>
    <t>Bến Tre</t>
  </si>
  <si>
    <t>Đồng Tháp</t>
  </si>
  <si>
    <t>Vĩnh Long</t>
  </si>
  <si>
    <t>Trà Vinh</t>
  </si>
  <si>
    <t>Cần Thơ</t>
  </si>
  <si>
    <t>Hậu Giang</t>
  </si>
  <si>
    <t>Sóc Trăng</t>
  </si>
  <si>
    <t>An Giang</t>
  </si>
  <si>
    <t>Kiên Giang</t>
  </si>
  <si>
    <t>Bạc Liêu</t>
  </si>
  <si>
    <t>Cà Mau</t>
  </si>
  <si>
    <t>2.2.5 Đất sản xuất, kinh doanh phi nông nghiệp CSK 28,246 11,169 2,129 661 1,553 1,119 775 1,286 884 941 1,554 4,977 322 876</t>
  </si>
  <si>
    <t>2.2.6 Đất có mục đích công cộng CCC 185,584 25,895 8,785 8,360 21,453 8,103 11,719 8,679 8,931 18,449 20,813 21,821 10,295 12,281</t>
  </si>
  <si>
    <t>2.3 Đất cơ sở tôn giáo TON 2,980 168 210 198 188 166 540 128 84 371 372 301 137 116</t>
  </si>
  <si>
    <t>2.4 Đất cơ sở tín ngưỡng TIN 634 73 66 104 45 46 29 22 12 63 76 46 29 22</t>
  </si>
  <si>
    <t>2.5 Đất làm nghĩa trang, nghĩa địa, nhà tang lễ, NHT NTD 5,278 894 682 680 194 426 479 217 145 468 308 270 306 207</t>
  </si>
  <si>
    <t>2.6 Đất sông, ngòi, kênh, rạch, suối SON 250,967 22,306 26,798 36,938 19,520 15,148 29,043 8,559 5,022 22,686 15,157 16,959 7,341 25,492</t>
  </si>
  <si>
    <t>2.7 Đất có mặt nước chuyên dùng MNC 2,716 847 47 29 244 - 41 6 60 6 338 706 12 380</t>
  </si>
  <si>
    <t>2.8 Đất phi nông nghiệp khác PNK 195 11 4 - 10 16 10 21 3 11 19 10 14 67</t>
  </si>
  <si>
    <t>3 Đất chưa sử dụng CSD 35,783 49 7,173 480 - 14 901 96 36 548 1,142 2,375 18,336 4,634</t>
  </si>
  <si>
    <t>3.1 Đất bằng chưa sử dụng BCS 34,294 49 7,173 480 - 14 901 96 36 548 240 1,787 18,336 4,634</t>
  </si>
  <si>
    <t>3.2 Đất đồi núi chưa sử dụng DCS 1,028 - - - - - - - - - 605 423 - -</t>
  </si>
  <si>
    <t>3.3 Núi đá không có rừng cây NCS 461 - - - - - - - - - 297 164 - -</t>
  </si>
  <si>
    <t>II Đất có mặt nước ven biển (quan sát) MVB 32,221 - - 9,410 - - 7,950 - - - - 13,983 - 878</t>
  </si>
  <si>
    <t>1 Đất mặt nước ven biển nuôi trồng thủy sản MVT 26,100 - - 4,945 - - 7,950 - - - - 13,205 - -</t>
  </si>
  <si>
    <t>2 Đất mặt nước ven biển có rừng MVR 657 - - - - - - - - - - 657 - -</t>
  </si>
  <si>
    <t>3 Đất mặt nước ven biển có mục đích khác MVK 5,464 - - 4,464 - - - - - - - 121 - 878</t>
  </si>
  <si>
    <t>Thứ</t>
  </si>
  <si>
    <t>tự Loại đất Mã</t>
  </si>
  <si>
    <t>Tổng diện</t>
  </si>
  <si>
    <t>Đơn vị tính: Triệu đổng</t>
  </si>
  <si>
    <t>TÊN QUỸ</t>
  </si>
  <si>
    <t>Số dư nguồn đến ngày 31/12/2022</t>
  </si>
  <si>
    <t>Kế hoạch năm 2023</t>
  </si>
  <si>
    <t>Số dư nguồn đến ngày 31/12/2023</t>
  </si>
  <si>
    <t>Tổng nguồn vốn phát sinh trong năm</t>
  </si>
  <si>
    <t>Tổng sử dụng nguồn vốn trong năm</t>
  </si>
  <si>
    <t>Chênh lệch nguổn trong năm</t>
  </si>
  <si>
    <t>Trong đó NSĐP hỗ trợ
(nếu có)</t>
  </si>
  <si>
    <t>5=1+2-4</t>
  </si>
  <si>
    <t>CHI NGÂN SÁCH: UTH NĂM 2022, DỰ TOÁN NĂM 2023</t>
  </si>
  <si>
    <t>TỈNH ĐỒNG THÁP</t>
  </si>
  <si>
    <t>Nội dung</t>
  </si>
  <si>
    <t>UTH NĂM 2022</t>
  </si>
  <si>
    <t>SO SÁNH DT 2023/DT2022 (THEO TL 1,49)</t>
  </si>
  <si>
    <t>DỰ TOÁN  
(TL 1,49)</t>
  </si>
  <si>
    <t>ƯTH
 (TL 1.49)</t>
  </si>
  <si>
    <t>DỰ TOÁN 
(TL 1,49)</t>
  </si>
  <si>
    <t>TL 1,49 (12 THÁNG)</t>
  </si>
  <si>
    <t>DỰ TOÁN
 (TL 1,49)</t>
  </si>
  <si>
    <t>TUYỆT ĐỐI</t>
  </si>
  <si>
    <t>TỶ LỆ (%)</t>
  </si>
  <si>
    <t>4=3-2</t>
  </si>
  <si>
    <t>5=3/2</t>
  </si>
  <si>
    <t>I. THU CÂN ĐỐI NGÂN SÁCH ĐỊA PHƯƠNG:</t>
  </si>
  <si>
    <t>1. Thu NSĐP hưởng theo phân cấp</t>
  </si>
  <si>
    <t>Gồm:  Thu tiền sd đất</t>
  </si>
  <si>
    <t>2. Số bổ sung cân đối ngân sách</t>
  </si>
  <si>
    <t>3. Số bổ sung thực hiện tiền lương đến 1,49 triệu đồng/tháng và chế độ chính sách tăng thêm tính trong cân đối</t>
  </si>
  <si>
    <t>- Bổ sung thực hiện tiền lương 1,49 triệu đồng/tháng</t>
  </si>
  <si>
    <t>- Bổ sung thực hiện các chế độ chính sách trong cân đối</t>
  </si>
  <si>
    <t>4. Số bổ sung thực hiện tiền lương đến 1,600 triệu đồng/tháng và chế độ chính sách tăng thêm tính trong cân đối</t>
  </si>
  <si>
    <t xml:space="preserve">5. Thu chuyển nguồn làm lương </t>
  </si>
  <si>
    <t>II. TỔNG CHI CÂN ĐỐI NSĐP</t>
  </si>
  <si>
    <t>1. Chi tạo nguồn cải cách tiền lương (1)</t>
  </si>
  <si>
    <t>2. Chi trả nợ lãi vay</t>
  </si>
  <si>
    <t>3. Chi đầu tư phát triển</t>
  </si>
  <si>
    <t>- Chi đầu tư XDCB tập trung trong nước</t>
  </si>
  <si>
    <t xml:space="preserve"> Trong đó: Bố trí nguồn chi trả nợ gốc các khoản vay</t>
  </si>
  <si>
    <t>+Chi đầu tư XDCB tập trung trong nước bao gồm số phân bổ từ nguồn CCTL dự toán năm 2022</t>
  </si>
  <si>
    <t>- Chi đầu tư từ nguồn thu tiền sử dụng đất</t>
  </si>
  <si>
    <t>- Chi đầu tư từ nguồn thu XSKT</t>
  </si>
  <si>
    <t>Chi đầu tư từ nguồn vốn khác và hỗ trợ khác</t>
  </si>
  <si>
    <t xml:space="preserve"> 4. Chi thường xuyên:</t>
  </si>
  <si>
    <t>- Chi sự nghiệp giáo dục đào tạo</t>
  </si>
  <si>
    <t>- Chi sự nghiệp khoa học công nghệ</t>
  </si>
  <si>
    <t>- Các khoản chi thường xuyên còn lại</t>
  </si>
  <si>
    <t xml:space="preserve"> 5. Dự phòng ngân sách</t>
  </si>
  <si>
    <t xml:space="preserve"> 6. Bổ sung quỹ dự trữ tài chính</t>
  </si>
  <si>
    <t xml:space="preserve"> 7. Chi chuyển nguồn thực hiện CCTL (2)</t>
  </si>
  <si>
    <t>III. BỘI THU/BỘI CHI NSĐP (NẾU CÓ)</t>
  </si>
  <si>
    <t>BẢNG TỔNG HỢP NGUỒN VÀ CHẾ ĐỘ CHÍNH SÁCH NĂM 2022 CHUYỂN SANG 2023</t>
  </si>
  <si>
    <t xml:space="preserve">Nguồn </t>
  </si>
  <si>
    <t>Nhu cầu năm 2022</t>
  </si>
  <si>
    <t>Còn lại chuyển sang năm 2023</t>
  </si>
  <si>
    <t>Nguồn năm trước chuyển sang</t>
  </si>
  <si>
    <t>Bổ sung trong cân đối</t>
  </si>
  <si>
    <t>Giao dự toán đầu năm</t>
  </si>
  <si>
    <t>Bổ sung trong năm (*)</t>
  </si>
  <si>
    <t>Giao trong cân đối</t>
  </si>
  <si>
    <t>Bổ sung trong năm</t>
  </si>
  <si>
    <t>Chế độ miễn, giảm học phí và hỗ trợ chi phí học tập theo Nghị định 86/2015/NĐ-CP của Chính phủ</t>
  </si>
  <si>
    <t xml:space="preserve">Nghị định số 136/2013/NĐ-CP ngày 21/10/2013 của Chính phủ về việc quy định chính sách trợ giúp xã hội đối với đối tượng bảo trợ xã hội, Nghị định số 28/2012/NĐ-CP ngày 10/4/2012 của Chính phủ quy định chi tiết và hướng dẫn thi hành một số điều của Luật người khuyết tật và Nghị định số 06/2011/NĐ-CP ngày 14/01/2011 </t>
  </si>
  <si>
    <t>BTC chưa bổ sung nhu cầu tăng thêm so với thực hiện năm 2019</t>
  </si>
  <si>
    <t>Hỗ trợ tiền điện cho hộ nghèo</t>
  </si>
  <si>
    <t>Hỗ trợ trực tiếp cho người dân tộc thiểu số nghèo theo Quyết định 102/2009/QĐ-TTg</t>
  </si>
  <si>
    <t>Hỗ trợ tiền ăn trưa cho trẻ em dưới 5 tuổi theo Quyết định 239/QĐ-TTg và Quyết định 60/2011/QĐ-TTg</t>
  </si>
  <si>
    <t>Kinh phí hỗ trợ học bổng, chi phí học tập cho học sinh khuyết tật theo Thông tư 42/2013/TTLT-BGDĐT-BLĐTBXH-BTC</t>
  </si>
  <si>
    <t xml:space="preserve">Kinh phí chính sách hỗ trợ nâng cao hiệu quả chăn nuôi nông hộ giai đoạn 2015-2020 của Quyết định số 50/2014/QĐ-TTg </t>
  </si>
  <si>
    <t xml:space="preserve">Kinh phí chính sách hỗ trợ để chuyển đổi từ trồng lúa sang trồng ngô tại vùng trung du miền núi phía bắc, bắc trung bộ, đồng bằng sông cửu long, duyên hải nam trung bộ và tây nguyên theo Quyết định số 915/QĐ-TTg </t>
  </si>
  <si>
    <t>Tồng cộng</t>
  </si>
  <si>
    <t>Ghi chú: (*) BTC thẩm định quyết toán chính sách năm 2017, 2018 nên nhu cầu này không còn phát sinh nữa, đưa vào dự toán sử dụng nguồn.</t>
  </si>
  <si>
    <t>KẾ HOẠCH TÀI CHÍNH - NGÂN SÁCH GIAI ĐOẠN 5 NĂM 2021-2025</t>
  </si>
  <si>
    <t>Mục tiêu giai đoạn 2016-2020</t>
  </si>
  <si>
    <t>Thực hiện giai doạn 2016-2020</t>
  </si>
  <si>
    <t>Kế hoạch giai doạn 2021-2025</t>
  </si>
  <si>
    <t>Tổng giai doạn</t>
  </si>
  <si>
    <t>Năm 2016</t>
  </si>
  <si>
    <t>Năm 2017</t>
  </si>
  <si>
    <t>3=4+5+6+7+8</t>
  </si>
  <si>
    <t>TỔNG SẢN PHẨM TRONG NƯỚC (CRDP) THEO GIÁ HIỆN HÀNH</t>
  </si>
  <si>
    <t xml:space="preserve">TỔNG THU NSNN TRÊN ĐỊA BÀN </t>
  </si>
  <si>
    <t>Tốc độ tăng thu NSNN trên địa bàn (%)</t>
  </si>
  <si>
    <t>Tỷ lệ thu NSNN so với GRDP (%)</t>
  </si>
  <si>
    <t>Tỷ lệ thu từ thuế, phí so với GRDP (%)</t>
  </si>
  <si>
    <t>Tốc độ tăng thu (%)</t>
  </si>
  <si>
    <t>Tỷ trọng trong tổng thu NSNN trên địa bàn (%)</t>
  </si>
  <si>
    <t>Thu từ dầu thô (nếu có)</t>
  </si>
  <si>
    <t xml:space="preserve">Thu từ hoạt động xuất, nhập khẩu (nếu có) </t>
  </si>
  <si>
    <t xml:space="preserve">Thu viện trợ (nếu có) </t>
  </si>
  <si>
    <t xml:space="preserve">TỔNG THU NSĐP </t>
  </si>
  <si>
    <t>Tốc độ tăng thu NSĐP (%)</t>
  </si>
  <si>
    <t>Tỷ lệ thu NSĐP so với GRDP (%)</t>
  </si>
  <si>
    <t>Thu NSĐP được hưởng theo phân cấp</t>
  </si>
  <si>
    <t>Tốc độ tăng (%)</t>
  </si>
  <si>
    <t>Tỷ trọng trong tổng thu NSĐP (%)</t>
  </si>
  <si>
    <t xml:space="preserve">Thu bổ sung từ ngân sách cấp trên </t>
  </si>
  <si>
    <t xml:space="preserve">Thu bổ sung cân đối ngân sách </t>
  </si>
  <si>
    <t xml:space="preserve">- </t>
  </si>
  <si>
    <t>TỔNG CHI NSĐP</t>
  </si>
  <si>
    <t>Tỷ lệ chi NSĐP so với GRDP (%)</t>
  </si>
  <si>
    <t>Chi đầu tư phát triển (1)</t>
  </si>
  <si>
    <t>Tỷ trọng trong tổng chi NSĐP (%)</t>
  </si>
  <si>
    <t>Chi trả nợ lãi các khoản do chính quyền địa phương vay</t>
  </si>
  <si>
    <t>BỘI CHI/BỘI THU NSĐP</t>
  </si>
  <si>
    <t>G</t>
  </si>
  <si>
    <t>TỔNG MỨC VAY, TRẢ NỢ CỦA NSĐP</t>
  </si>
  <si>
    <r>
      <t xml:space="preserve">Ghi chú: </t>
    </r>
    <r>
      <rPr>
        <i/>
        <sz val="10"/>
        <color rgb="FF000000"/>
        <rFont val="Arial"/>
        <family val="2"/>
      </rPr>
      <t>(1) Năm đầu thời kỳ ổn định ngân sách, dự toán chi đầu tư phát triển ngân sách địa phương được xác định bằng định mức phân bổ chi đầu tư phát triển do Ủy ban thường vụ Quốc hội quyết định cộng với (+) số bội chi ngân sách địa phương (nếu có) hoặc trừ đi (-) số bội thu ngân sách địa phương và chi trả nợ lãi (nếu có).</t>
    </r>
  </si>
  <si>
    <t>NSĐP</t>
  </si>
  <si>
    <t>NS CẤP TỈNH</t>
  </si>
  <si>
    <t>NS HUYỆN</t>
  </si>
  <si>
    <t>Thu NSĐP theo phân cấp</t>
  </si>
  <si>
    <t>Thu chuyển nguồn làm lương từ nguồn tăng thu</t>
  </si>
  <si>
    <t>Thu vay đầu tư</t>
  </si>
  <si>
    <t>Chi trả lãi vay</t>
  </si>
  <si>
    <t>Chi đầu tư từ nguồn vốn vay</t>
  </si>
  <si>
    <t>Thu NSĐP năm 2023:</t>
  </si>
  <si>
    <t>Chi ngân sách địa phương năm 2023:</t>
  </si>
  <si>
    <t>5=4-2</t>
  </si>
  <si>
    <t>6=3/2</t>
  </si>
  <si>
    <t>SO SÁNH ĐỊNH MỨC PHÂN BỔ DỰ TOÁN CHI THƯỜNG XUYÊN NGÂN SÁCH NHÀ NƯỚC GIỮA NĂM 2017 VÀ NĂM 2022</t>
  </si>
  <si>
    <t>1. Định mức phân bổ chi sự nghiệp giáo dục (bao gồm các cấp giáo dục, các loại hình giáo dục):</t>
  </si>
  <si>
    <t>Phân bổ theo dân số từ 1 đến 18 tuổi</t>
  </si>
  <si>
    <t>Đơn vị tính: đồng/người dân/năm</t>
  </si>
  <si>
    <t>Vùng</t>
  </si>
  <si>
    <t>Định mức phân bổ năm 2017</t>
  </si>
  <si>
    <t>Định mức phân bổ năm 2022</t>
  </si>
  <si>
    <t>Chênh lệnh 2022/2017</t>
  </si>
  <si>
    <t>Tốc độ tăng định mức 2022 so định mức 2017 (%)</t>
  </si>
  <si>
    <t>Đô thị</t>
  </si>
  <si>
    <t>Đồng bằng (vùng khác còn lại)</t>
  </si>
  <si>
    <t>Núi thấp-vùng sâu (vùng khó khăn)</t>
  </si>
  <si>
    <t>Núi cao-hải đảo (vùng đặc biệt khó khăn)</t>
  </si>
  <si>
    <t>Tính đủ cho các cấp giáo dục, các loại hình giáo dục; chế độ học bổng cho học sinh nội trú; chính sách ưu tiên đối với lĩnh vực giáo dục đã ban hành.</t>
  </si>
  <si>
    <t>Cơ cấu dự toán chi sự nghiệp giáo dục</t>
  </si>
  <si>
    <t>Năm 2017
(theo lương 1.210)</t>
  </si>
  <si>
    <t>Năm 2022
(theo lương 1.490)</t>
  </si>
  <si>
    <t>Chênh lệch</t>
  </si>
  <si>
    <t>Quỹ lương (mức tối đa)</t>
  </si>
  <si>
    <t>Hoạt động (mức tối thiểu)</t>
  </si>
  <si>
    <t xml:space="preserve">Đối với các năm trong thời kỳ ổn định ngân sách mới, Hội đồng nhân dân, Ủy ban nhân dân cấp tỉnh thực hiện ưu tiên bố trí ngân sách địa phương để đảm bảo tỷ lệ chi thường xuyên cho hoạt động giảng dạy và học tập tổi thiểu không nhỏ hơn 19% so với tổng chi sự nghiệp giáo dục (riêng các địa phương có tỷ lệ dân số thuộc vùng đặc biệt khó khăn và vùng khó khăn cao hơn mức bình quân chung của cả nước, không nhỏ hơn 20%). </t>
  </si>
  <si>
    <t>Tiêu chí bổ sung:</t>
  </si>
  <si>
    <t>a) Chính sách phát triển giáo dục mầm non theo Nghị định số 105/2020/NĐ-CP ngày 08 tháng tháng 9 năm 2020 của Chính phủ</t>
  </si>
  <si>
    <t>b) Chính sách giáo dục đối với người khuyết tật theo quy định tại Thông tư liên tịch số 42/2013/TTLT-BGDĐT-BLĐTBXH-BTC ngày 31 tháng 12 năm 2013 của Liên Bộ Giáo dục và Đào tạo, Bộ Lao động - Thương binh và Xã hội, Bộ Tài chính;</t>
  </si>
  <si>
    <t>c) Hỗ trợ học sinh và trường phổ thông ở xã, thôn đặc biệt khó khăn theo Nghị định số 116/2016/NĐ-CP ngày 18 tháng 7 năm 2016 của Chính phủ;</t>
  </si>
  <si>
    <t>d) Hỗ trợ kinh phí miễn giảm học phí và hỗ trợ chi phí học tập theo Nghị định số 86/2015/NĐ-CP ngày 02 tháng 10 năm 2015 của Chính phủ và Nghị định số 145/2018/NĐ-CP ngày 16 tháng 10 năm 2018 của Chính phủ sửa đổi, bổ sung một số điều của Nghị định số 86/2015/NĐ-CP.</t>
  </si>
  <si>
    <t>2. Định mức phân bổ chi sự nghiệp đào tạo (bao gồm cả đào tạo nghề):</t>
  </si>
  <si>
    <t>Phân bổ theo dân số (không kể dân số từ 1 đến 18 tuổi)</t>
  </si>
  <si>
    <t>Định mức phân bổ tại Điều này đã bao gồm kinh phí thực hiện các loại hình đào tạo, dạy nghề (chính quy, tại chức, cử tuyển, đào tạo lại, các loại hình đào tạo dạy nghề khác), các cấp đào tạo, dạy nghề, trung tâm chính trị tỉnh, huyện,... của địa phương.</t>
  </si>
  <si>
    <t>3. Định mức phân bổ chi sự nghiệp y tế, dân số và gia đình:</t>
  </si>
  <si>
    <t>Phân bổ theo tiêu chí dân số:</t>
  </si>
  <si>
    <t>Đã bao gồm: Các chế độ phụ cấp đặc thù ngành y tế và tăng kinh phí cho công tác dự phòng để thực hiện Nghị quyết số 18/2008/QH12 ngày 03/6/2008 của Quốc hội. Căn cứ vào khả năng ngân sách, các địa phương phân bổ chi sự nghiệp y tế thực hiện Nghị quyết này đảm bảo nguồn thực hiện nhiệm vụ y tế dự phòng (chưa kể nguồn thu dịch vụ khám, chữa bệnh).</t>
  </si>
  <si>
    <t>Định mức phân bổ theo nhiệm vụ được xác định trên cơ sở số đối tượng năm 2021 (riêng đối tượng người thuộc hộ gia đình nghèo được quy định tại Điều 5 Mục I Chương II), mức hỗ trợ từ ngân sách nhà nước để đảm bảo kinh phí mua thẻ bảo hiểm y tế cho các đối tượng theo quy định của Luật Bảo hiểm y tế.</t>
  </si>
  <si>
    <t>4. Định mức phân bổ chi quản lý hành chính:</t>
  </si>
  <si>
    <t>Đồng bằng</t>
  </si>
  <si>
    <t>Phân bổ thêm cho địa phương cho số đơn vị hành chính cấp huyện, cấp xã cho 1 năm với mức cụ thể như sau:</t>
  </si>
  <si>
    <t>Đơn vị tính: đồng/năm</t>
  </si>
  <si>
    <t>Đơn vị hành chính</t>
  </si>
  <si>
    <t xml:space="preserve"> -Đơn vị hành chính cấp huyện</t>
  </si>
  <si>
    <t xml:space="preserve"> +Các huyện đảo (bao gồm cả huyện đảo không có đơn vị hành chính cấp xã)</t>
  </si>
  <si>
    <t xml:space="preserve"> +Đơn vị hành chính cấp huyện còn lại</t>
  </si>
  <si>
    <t xml:space="preserve"> -Đơn vị hành chính cấp xã</t>
  </si>
  <si>
    <t>,</t>
  </si>
  <si>
    <t xml:space="preserve"> +Vùng đồng bào dân tộc thiểu số, miền núi và hải đảo</t>
  </si>
  <si>
    <t xml:space="preserve"> +Vùng khác còn lại</t>
  </si>
  <si>
    <t xml:space="preserve">Đối với các tỉnh, thành phố trực thuộc Trung ương có số đơn vị hành chính cấp huyện dưới 10 đơn vị được bổ sung thêm 10% định mức phân bổ theo tiêu chí dân số. </t>
  </si>
  <si>
    <t>Cơ cấu tổng dự toán chi quản lý hành chính</t>
  </si>
  <si>
    <t>Hoạt động</t>
  </si>
  <si>
    <t>5. Định mức phân bổ chi sự nghiệp văn hóa thông tin:</t>
  </si>
  <si>
    <t>Phân bổ theo tiêu chí bổ sung:</t>
  </si>
  <si>
    <t xml:space="preserve"> Phân bổ cho các tỉnh, thành phố trực thuộc Trung ương có di sản văn hóa vật thể Việt Nam được UNESCO công nhận mức 15.000 triệu đồng/di sản/năm. Đồng thời, các Ban Quản lý di sản được quản lý, sử dụng nguồn thu phí và các nguồn tài chính hợp pháp khác theo quy định tại Nghị định số 60/2021/NĐ-CP ngày 21 tháng 6 năm 2021 của Chính phủ quy định cơ chế tự chủ tài chính của đơn vị sự nghiệp công lập.</t>
  </si>
  <si>
    <t>6. Định mức phân bổ chi sự nghiệp phát thanh truyền hình, thông tấn:</t>
  </si>
  <si>
    <t>Đã bao gồm kinh phí thực hiện tăng thời lượng phát sóng phát thanh, truyền hình bằng tiếng đồng bào dân tộc (nếu có).</t>
  </si>
  <si>
    <t>7. Định mức phân bổ chi sự nghiệp thể dục thể thao:</t>
  </si>
  <si>
    <t>Đã bao gồm kinh phí thực hiện chính sách hỗ trợ vận động viên thành tích cao cấp quốc gia và vận động viên khuyết tật được tham gia các giải do Trung ương tổ chức.</t>
  </si>
  <si>
    <t>8. Định mức phân bổ chi sự nghiệp đảm bảo xã hội:</t>
  </si>
  <si>
    <t xml:space="preserve"> Tiêu chí bổ sung: </t>
  </si>
  <si>
    <t>a) Kinh phí thực hiện chế độ trợ cấp xã hội hàng tháng cho các đối tượng bảo trợ xã hội theo quy định tại Nghị định số 20/2021/NĐ-CP ngày 15 tháng 03 năm 2021 của Chính phủ được tính trên cơ sở đối tượng năm 2021, mức hỗ trợ theo chế độ quy định;</t>
  </si>
  <si>
    <t>b) Kinh phí thực hiện chế độ hỗ trợ hộ nghèo, hộ chính sách xã hội tiền điện, mức hỗ trợ theo chế độ quy định.</t>
  </si>
  <si>
    <t>c) Hỗ trợ các cơ sở bảo trợ công lập do địa phương quản lý, mức phân bổ 1.500 triệu đồng/cơ sở.</t>
  </si>
  <si>
    <t>9. Định mức phân bổ chi quốc phòng:</t>
  </si>
  <si>
    <t>Đơn vị tính: triệu đồng/đơn vị/năm</t>
  </si>
  <si>
    <t>Tiêu chí bổ sung cho tỉnh có biên giới đất liền</t>
  </si>
  <si>
    <t>Huyện đảo (bao gồm cả huyện đảo không có đơn vị hành chính cấp xã)</t>
  </si>
  <si>
    <t>Xã biên giới đất liền</t>
  </si>
  <si>
    <t>Xã biên giới đảo</t>
  </si>
  <si>
    <t>Xã biên giới ven biển</t>
  </si>
  <si>
    <t>Xã biên giới đất liền tiếp giáp với 2 tỉnh bạn trở lên</t>
  </si>
  <si>
    <t>10. Định mức phân bổ chi an ninh:</t>
  </si>
  <si>
    <t>Đơn vị tính: triệu đồng/năm</t>
  </si>
  <si>
    <t>11. Mức phân bổ chi sự nghiệp khoa học công nghệ:</t>
  </si>
  <si>
    <t>Căn cứ Luật Khoa học và công nghệ, Bộ Khoa học và Công nghệ chủ trì xây dựng phương án phân bổ dự toán ngân sách hàng năm, gửi Bộ Tài chính tổng hợp trình Chính phủ trình Quốc hội xem xét, quyết định phù hợp với nhiệm vụ chi sự nghiệp khoa học, công nghệ của từng địa phương, ưu tiên đối với các địa phương có điều kiện phát triển khoa học, công nghệ.</t>
  </si>
  <si>
    <t>12. Định mức phân bổ chi sự nghiệp kinh tế:</t>
  </si>
  <si>
    <t xml:space="preserve"> -Năm 2017: Tỷ lệ 10% so với chi thường xuyên các lĩnh vực chi (từ mục 1 đến mục 11) đã tính theo định mức phân bổ dự toán chi ngân sách quy định ở trên.</t>
  </si>
  <si>
    <t xml:space="preserve"> -Năm 2022: phân bổ theo tiêu chí dân số</t>
  </si>
  <si>
    <t>a) Kinh phí hỗ trợ địa phương sản xuất lúa xác định trên cơ sở mức hỗ trợ và diện tích đất trồng lúa Bộ Tài nguyên và Môi trường công bố theo quy định tại Khoản 2, 3 Điều 7 Nghị định số 35/2015/NĐ-CP ngày 13 tháng 4 năm 2015 của Chính phủ về quản lý, sử dụng đất trồng lúa, Nghị định số 62/2019/NĐ-CP ngày 11 tháng 7 năm 2019 của Chính phủ sửa đổi, bổ sung một số điều Nghị định số 35/2015/NĐ-CP; kinh phí hỗ trợ giá sản phẩm, dịch vụ công ích thủy lợi theo quy định tại Nghị định số 96/2018/NĐ-CP ngày 30 tháng 6 năm 2018 của Chính phủ;</t>
  </si>
  <si>
    <t>b) Phân bổ cho các tỉnh, thành phố trực thuộc trung ương có các đơn vị hành chính đô thị theo mức:</t>
  </si>
  <si>
    <t>Tiêu chí bổ sung cho đô thị loại I, II, III, IV</t>
  </si>
  <si>
    <t>Đô thị loại I</t>
  </si>
  <si>
    <t>Đô thị loại II</t>
  </si>
  <si>
    <t>Đô thị loại III</t>
  </si>
  <si>
    <t>Đô thị loại IV</t>
  </si>
  <si>
    <t>Đô thị loại V</t>
  </si>
  <si>
    <r>
      <t>c) Hỗ trợ kinh phí duy tu, sửa chữa đường tuần tra biên giới đất liền địa phương quản lý với mức</t>
    </r>
    <r>
      <rPr>
        <b/>
        <sz val="12"/>
        <rFont val="Times New Roman"/>
        <family val="1"/>
      </rPr>
      <t xml:space="preserve"> 30 triệu đồng/Km;</t>
    </r>
  </si>
  <si>
    <t>d) Đối với nhiệm vụ chi quản lý, bảo trì đường bộ từ nguồn thu phí sử dụng đường bộ thu qua đầu phương tiện ô tô, căn cứ dự toán thu, Bộ Giao thông vận tải xây dựng tiêu chí, định mức phân bổ và phương án phân bổ dự toán chi bổ sung có mục tiêu từ ngân sách trung ương cho từng địa phường để gửi Bộ Tài chính tổng hợp, báo cáo Chính phủ trình Quốc hội xem xét, quyết định trong dự toán ngân sách nhà nước hằng năm.</t>
  </si>
  <si>
    <t>đ) Đối với nguồn kinh phí được phân bổ từ Quỹ bảo vệ và phát triển rừng để thực hiện chi trả cho cung ứng dịch vụ môi trường rừng, thực hiện theo quy định của Luật Lâm nghiệp và Nghị định số 156/2018/NĐ-CP ngày 16 tháng 11 năm 2018 của Chính phủ quy định chi tiết thi hành một số điều của Luật Lâm nghiệp, Bộ Nông nghiệp và Phát triển nông thôn tổng hợp gửi Bộ Tài chính để tổng hợp báo cáo Chính phủ trình Quốc hội theo quy định tại Nghị quyết số 974/2020/UBTVQH14 ngày 13 tháng 7 năm 2020 của Ủy ban Thường vụ Quốc hội sửa đổi, bổ sung một số điều của Nghị quyết số 343/2017/UBTVQH14 ngày 19 tháng 01 năm 2017 của Ủy ban Thường vụ Quốc hội quy định về lập, thẩm tra, quyết định kế hoạch tài chính 05 năm quốc gia, kế hoạch đầu tư công trung hạn 05 năm quốc gia, kế hoạch tài chính - ngân sách nhà nước 03 năm quốc gia, dự toán ngân sách nhà nước, phương án phân bổ ngân sách trung ương và phê chuẩn quyết toán ngân sách nhà nước hàng năm.</t>
  </si>
  <si>
    <t>13. Định mức phân bổ chi sự nghiệp hoạt động môi trường:</t>
  </si>
  <si>
    <t>Trên cơ sở tổng dự toán chi sự nghiệp môi trường của ngân sách nhà nước. NSTW 10%, NSĐP 90%; tổng chi sự nghiệp môi trường địa phương phân bổ theo các tiêu chí sau:</t>
  </si>
  <si>
    <t>1- Dành 40% phân bổ theo số dân số đô thị và mật độ dân số, cụ thể:</t>
  </si>
  <si>
    <t xml:space="preserve"> a- Đối với dân số đô thị đặc biệt hệ số 15; đối với đô thị loại I hệ số 7; đối với đô thị loại II đến IV hệ số 2; vùng còn lại hệ số 1;</t>
  </si>
  <si>
    <t xml:space="preserve"> b- Về hệ số theo mật độ dân số: trên 2.000 người/km2 hệ số 15; trên 1.000 - 2.000 người/km2 hệ số 6; trên 750 - 1.000 người/km2 hệ số 2,5; trên 500 - 750 người/km2 hệ số 1,8; từ 500 người/km2 trở xuống hệ số 1.</t>
  </si>
  <si>
    <t>2- Dành 35% phân bổ cho yếu tố tác động môi trường của sản xuất công nghiệp theo giá trị GDP ngành công nghiệp và xây dựng trên địa bàn từng địa phương theo công thức:</t>
  </si>
  <si>
    <t>Chi sự nghiệp môi trường (tỉnh A) = Tổng chi sự nghiệp môi trường ngân sách địa phương x  35%  x {Giá trị GDP ngành công nghiệp và xây dựng trên địa bàn tỉnh A / Giá trị GDP ngành công nghiệp và xây dựng toàn quốc}.
(Trong đó giá trị GDP ngành công nghiệp và xây dựng của tỉnh A lấy theo số liệu thực hiện năm 2020 do Tổng cục Thống kê cung cấp)</t>
  </si>
  <si>
    <t>3- Dành 25% phân bổ cho yếu tố tác động từ rừng tự nhiên đảm bảo môi trường thiên nhiên theo diện tích rừng tự nhiên trên địa bàn từng địa phương theo công thức:</t>
  </si>
  <si>
    <t>Chi sự nghiệp môi trường (tỉnh A) = Tổng chi sự nghiệp môi trường ngân sách địa phương x  25%  x {Diện tích rừng tự nhiên của địa phương (ha)/Tổng diện tích rừng tự nhiên toàn quốc (ha)}
(Trong đó diện tích rừng tự nhiên của tỉnh A lấy theo số liệu thực hiện năm 2020 do Bộ Nông nghiệp và Phát triển nông thôn cung cấp).</t>
  </si>
  <si>
    <t>14. Định mức chi thường xuyên khác ngân sách của ngân sách địa phương:</t>
  </si>
  <si>
    <r>
      <t>Phân bổ theo tỷ trọng (bằng 0,5%) tổng các khoản thường xuyên đã tính được theo định mức phân bổ dự toán chi ngân sách quy định ở trên (</t>
    </r>
    <r>
      <rPr>
        <b/>
        <sz val="12"/>
        <rFont val="Times New Roman"/>
        <family val="1"/>
      </rPr>
      <t>từ mục 1 đến mục 13</t>
    </r>
    <r>
      <rPr>
        <sz val="12"/>
        <rFont val="Times New Roman"/>
        <family val="1"/>
      </rPr>
      <t>).</t>
    </r>
  </si>
  <si>
    <t>15.Đối với những địa phương khó khăn hoặc dân số thấp:</t>
  </si>
  <si>
    <t>Điạ phương khó khăn</t>
  </si>
  <si>
    <t>Định mức phân bổ năm 2017 số chi tính theo định mức dân số ở vùng đồng bằng nêu trên</t>
  </si>
  <si>
    <t>Định mức phân bổ năm 2022 số chi tính theo định mức dân số ở vùng đồng bằng nêu trên</t>
  </si>
  <si>
    <t>Tỉnh thuộc khu vực đồng bằng sông Cửu Long</t>
  </si>
  <si>
    <t>16. Đối với các tỉnh có tỷ lệ điều tiết về NSTW:</t>
  </si>
  <si>
    <t>Các tỉnh, thành phố có tỷ lệ điều tiết về ngân sách trung ương, được phân bổ thêm theo tỷ lệ phần trăm (%) số chi tính theo định mức dân số như sau:
Thành phố Hà Nội, thành phố Hồ Chí Minh được phân bổ thêm 80%; 
Các thành phố trực thuộc Trung ương còn lại (Hải Phòng, Đà Nẵng, Cần Thơ) được phân bổ thêm 70%; 
Các địa phương có đóng góp về ngân sách trung ương từ 40% trở lên được phân bổ thêm 60%;
Các địa phương có tỷ lệ điều tiết về ngân sách trung ương từ 15% đến dưới 40% được phân bổ thêm 50%;
Các địa phương có tỷ lệ điều tiết về ngân sách trung ương còn lại được phân bổ thêm 40%. 
Các tỉnh Thừa Thiên Huế, Thanh Hóa được phân bổ thêm 45%.</t>
  </si>
  <si>
    <t>17. Về định mức dự phòng ngân sách:</t>
  </si>
  <si>
    <t>Dự phòng của từng địa phương làm cơ sở tính định mức là 2% tổng chi ngân sách địa phương. 
Trên cơ sở dự toán chi cân đối ngân sách địa phương, căn cứ tình hình thực tế, các tỉnh, thành phố trực thuộc Trung ương chủ động bố trí dự phòng ngân sách địa phương đảm bảo theo quy định của Luật ngân sách nhà nước (từ 2 - 4% tổng chi ngân sách).</t>
  </si>
  <si>
    <r>
      <rPr>
        <b/>
        <sz val="12"/>
        <rFont val="Times New Roman"/>
        <family val="1"/>
      </rPr>
      <t>18. Đối với các năm trong thời kỳ ổn định ngân sách:</t>
    </r>
    <r>
      <rPr>
        <sz val="12"/>
        <rFont val="Times New Roman"/>
        <family val="1"/>
      </rPr>
      <t xml:space="preserve"> </t>
    </r>
  </si>
  <si>
    <t xml:space="preserve">1. Các chế độ chính sách đã ban hành và đã được tính trong định mức dự toán chi thường xuyên của ngân sách địa phương năm 2022, các năm tiếp theo trong thời kỳ ổn định ngân sách mới có phát sinh tăng hoặc giảm đối tượng các chính sách, các địa phương chủ động cân đối, bố trí dự toán chi ngân sách địa phương để đảm bảo thực hiện, ngân sách trung ương không hỗ trợ. </t>
  </si>
  <si>
    <t>2. Các chế độ chính sách do Trung ương ban hành sau thời điểm Ủy ban Thường vụ Quốc hội ban hành Nghị quyết (hoặc điều chỉnh tăng mức các chính sách an sinh xã hội, chính sách làm tăng chi ngân sách) ngân sách trung ương sẽ hỗ trợ có mục tiêu cho ngân sách địa phương giai đoạn ổn định ngân sách mới theo Quyết định của Thủ tướng Chính phủ.</t>
  </si>
  <si>
    <t>3. Giao Bộ Tài chính trình Chính phủ trình Quốc hội:
a) Trong tổ chức thực hiện đối với dự toán các năm trong thời kỳ ổn định ngân sách, căn cứ tốc độ tăng trưởng kinh tế, chỉ số giá tiêu dùng, khả năng thu của ngân sách nhà nước tăng thêm số bổ sung cân đối từ ngân sách trung ương cho các địa phương so với năm đầu thời kỳ ổn định ngân sách theo quy định của Luật ngân sách nhà nước.
b) Phương án xử lý trong trường hợp đặc biệt có phát sinh nguồn thu từ dự án mới đi vào hoạt động làm ngân sách địa phương tăng thu lớn (trên 30% dự toán số thu từ sản xuất kinh doanh thường xuyên trên địa bàn năm 2022)./.</t>
  </si>
  <si>
    <t>PHƯƠNG PHÁP XÁC ĐỊNH MỘT SỐ TIÊU CHÍ, CĂN CỨ 
CỦA ĐỊNH MỨC PHÂN BỔ DỰ TOÁN CHI THƯỜNG XUYÊN NGÂN SÁCH NHÀ NƯỚC</t>
  </si>
  <si>
    <t>I. Về dân số:</t>
  </si>
  <si>
    <t>1. Dân số của từng tỉnh, thành phố trực thuộc Trung ương được xác định theo số liệu do Tổng cục trưởng Tổng cục Thống kê cung cấp theo công bố kết quả điều tra dân số toàn quốc đến thời điểm 01/4/2019.</t>
  </si>
  <si>
    <t>2. Phân 04 vùng dân số như sau:
a) Vùng đặc biệt khó khăn, gồm: 
- Toàn bộ dân số ở các xã, phường, thị trấn, thôn thuộc vùng đồng bào dân tộc thiểu số và miền núi có điều kiện kinh tế xã hội đặc biệt khó khăn (xã khu vực III và thôn đặc biệt khó khăn thuộc khu vực I, II) và dân số ở các xã đặc biệt khó khăn vùng bãi ngang ven biển và hải đảo.
- Đơn vị hành chính xã, phường, thị trấn thuộc khu vực III vùng đồng bào dân tộc thiểu số và miền núi có điều kiện điều kiện kinh tế xã hội đặc biệt khó khăn được xác định theo quyết định công nhận của Thủ tướng Chính phủ; đơn vị thôn thuộc vùng đồng bào dân tộc thiểu số và miền núi có điều kiện điều kiện kinh tế xã hội đặc biệt khó khăn được xác định theo quyết định công nhận danh sách của Ủy ban Dân tộc. 
- Đơn vị hành chính xã đặc biệt khó khăn vùng bãi ngang, ven biển và hải đảo được xác định theo Quyết định số 131/QĐ-TTg ngày 25/01/2017 của Thủ tướng Chính phê duyệt danh sách các xã đặc biệt khó khăn vùng bãi ngang ven biển và hải đảo. 
b) Vùng khó khăn, gồm: Dân số ở các xã, phường, thị trấn thuộc khu vực II vùng đồng bào dân tộc thiểu số và miền núi có điều kiện kinh tế xã hội khó khăn được xác định theo quyết định công nhận của Thủ tướng Chính phủ (không kể dân số các thôn đặc biệt khó khăn thuộc xã khu vực I, II) và dân số ở các xã thuộc vùng hải đảo (không kể dân số các xã hải đảo theo Quyết định số 131/QĐ-TTg; phường, thị trấn thuộc vùng hải đảo).
c) Vùng đô thị: Bao gồm dân số các đơn vị hành chính phường, thị trấn còn lại (không kể dân số phường, thị trấn thuộc vùng đặc biệt khó khăn, vùng khó khăn).
d) Vùng còn lại: Bao gồm dân số các đơn vị hành chính xã thuộc khu vực còn lại.</t>
  </si>
  <si>
    <t>II. Tiêu chí người thuộc hộ gia đình nghèo:</t>
  </si>
  <si>
    <t>Số người thuộc hộ gia đình nghèo được xác định trên cơ sở quyết định của Bộ Lao động - Thương binh và Xã hội về số hộ nghèo năm 2020 theo chuẩn nghèo quy định tại Quyết định số 59/2015/QĐ-TTg ngày 19 tháng 11 năm 2015 của Thủ tướng Chính phủ về việc ban hành chuẩn nghèo tiếp cận đa chiều áp dụng cho giai đoạn 2016 - 2020.</t>
  </si>
  <si>
    <t>III. Nguyên tắc áp dụng định mức</t>
  </si>
  <si>
    <t>1. Định mức phân bổ dự toán chi thường xuyên ngân sách nhà nước là cơ sở xây dựng dự toán chi ngân sách của từng Bộ, cơ quan trung ương, dự toán chi ngân sách của từng tỉnh, thành phố trực thuộc trung ương (bao gồm cấp tỉnh, cấp huyện và cấp xã)</t>
  </si>
  <si>
    <t>2. Định mức phân bổ của ngân sách địa phương đã bao gồm toàn bộ nhu cầu kinh phí thực hiện các chế độ , chính sách do trung ương ban hành đến ngày 31 tháng 5 năm 2021 và bảo đảm tính đủ mức tiền lương cơ sở 1.490.000 đồng/tháng (chưa bao gồm các chính sách tăng thêm theo tiêu chí chuẩn nghèo đa chiều giai đoạn 2021-2025 theo Nghị định số 07/2021/NĐ-CP ngày 27 tháng 01 năm 2021 của Chính phủ).</t>
  </si>
  <si>
    <t>3. Dự toán chi đầu tư xây dựng cơ bản vốn trong nước (không bao gồm chi đầu tư phát triển từ nguồn thu tiền sử dụng đất, xổ số kiến thiết) và dự toán chi thường xuyên ngân sách địa phương tính theo nguyên tắc, tiêu chí và định mức năm 2022 đảm bảo không thấp hơn dự toán chi đầu tư xây dựng cơ bản vốn trong nước và chi thường xuyên năm 2021. Số hỗ trợ cân dối ngân sách địa phương này, Hội đồng nhân dân cấp tỉnh được chủ động bố trí cơ cấu chi ngân sách địa phương năm 2022 theo nguyên tắc triệt để tiết kiệm chi thường xuyên để tập trung nguồn lực tăng chi đầu tư phát triển.</t>
  </si>
  <si>
    <t>IV. Tổ chức thực hiện</t>
  </si>
  <si>
    <t>1. Định mức phân bổ chi thường xuyên ngân sách địa phương năm 2022 chỉ để xác định tổng chi thường xuyên, trong đó chi tiết lĩnh vực giáo dục - đào tạo và dạy nghề, khoa học và công nghệ để Quốc hội quyết định. Căn cứ khả năng tài chính - ngân sách và đặc điểm tình hình ở địa phương. Ủy ban nhân dân các tỉnh, thành phố trực thuộc trung ương trình Hội đồng nhân dân cấp tỉnh ban hành định mức phân bổ chi ngân sách địa phương đảm bảo phù hợp từng cấp chính quyền địa phương, phù hợp tình hình thực tế của từng lĩnh vực chi và đúng quy định của Luật ngân sách nhà nước để làm căn cứ xây dựng dự toán và phân bổ ngân sách ở địa phương năm 2022, năm đầu của thời kỳ ổn định ngân sách 2022-2025.</t>
  </si>
  <si>
    <t>2. Hẳng năm, trong thời kỳ ổn định ngân sách 2022-2025, căn cứ kết quả thực hiện Nghị định……..(cơ chế tự chủ của đơn vị nghệp công lập) và các văn bản pháp luật có liên quan, xác định phần giảm chi ngân sách nhà nước hỗ trợ cho các đơn vị sự sự nghiệp công lập dành để thực hiện cải cách tiền lương trên địa bàn.</t>
  </si>
  <si>
    <t>DỰ TOÁN CHI CÂN ĐỐI NGÂN SÁCH ĐỊA PHƯƠNG NĂM 2022
(XÁC ĐỊNH LẠI)</t>
  </si>
  <si>
    <t>DỰ TOÁN CHI CÂN ĐỐI NSĐP
TRUNG ƯƠNG GIAO
(XÁC ĐỊNH LẠI)
(Triệu đồng)</t>
  </si>
  <si>
    <t>DỰ TOÁN CHI CÂN ĐỐI NSĐP
HDND TỈNH QUYẾT NGHỊ
(XÁC ĐỊNH LẠI)
(Triệu đồng)</t>
  </si>
  <si>
    <t>CHÊNH LỆCH GIỮA ĐP VỚI TW
(Triệu đồng)</t>
  </si>
  <si>
    <t>5=4-3</t>
  </si>
  <si>
    <t>Tổng chi cân đối ngân sách địa phương (A+B+C+D+E+F)</t>
  </si>
  <si>
    <t>Chi đầu tư xây dựng cơ bản (đã bao gồm trả nợ gốc) (*)</t>
  </si>
  <si>
    <t>Trả nợ gốc từ nguồn bội thu NSĐP</t>
  </si>
  <si>
    <t>Chi đầu tư từ nguồn thu xổ số kiến thiết thiết</t>
  </si>
  <si>
    <t>Chi sự nghiệp giáo dục - đào tạo và dạy nghề</t>
  </si>
  <si>
    <t>Dự toán giao</t>
  </si>
  <si>
    <t>NSTW bổ sung có mục tiêu</t>
  </si>
  <si>
    <t>Học bổng học sinh dân tộc nội trú; học bổng và phương tiện học tập cho học sinh khuyết tật; hỗ trợ chi phí học tập cho sinh viên dân tộc thiểu số thuộc hộ nghèo, cận nghèo; chính sách nội trú đối với học sinh, sinh viên học cao đẳng, trung cấp</t>
  </si>
  <si>
    <t>Hỗ trợ chi phí học tập và miễn giảm học phí</t>
  </si>
  <si>
    <t>Hỗ trợ kinh phí đào tạo cán bộ quân sự cấp xã</t>
  </si>
  <si>
    <t>Hỗ trợ kinh phí ăn trưa đối với trẻ em mẫu giáo và chính sách đối với giáo viên mầm non; Chính sách ưu tiên đối với học sinh mẫu giáo học sinh dân tộc rất ít người</t>
  </si>
  <si>
    <t>Chi sự nghiệp khoa học và công nghệ</t>
  </si>
  <si>
    <t>Hỗ trợ kinh phí mua thẻ BHYT cho trẻ em dưới 6 tuổi (SNYT)</t>
  </si>
  <si>
    <t xml:space="preserve"> Hỗ trợ kinh phí mua thẻ BHYT cho các đối tượng (cựu chiến binh, thanh niên xung phong, bảo trợ xã hội, học sinh, sinh viên, hộ cận nghèo, hộ nông lâm ngư nghiệp có mức sống trung bình, người hiến bộ phận cơ thể người) (SNYT)</t>
  </si>
  <si>
    <t xml:space="preserve"> Hỗ trợ thực hiện chính sách đối với đối tượng bảo trợ xã hội; hỗ trợ tiền điện hộ nghèo, hộ chính sách xã hội; hỗ trợ chính sách đối với người có uy tín trong đồng bào dân tộc thiểu số; hỗ trợ tổ chức, đơn vị sử dụng lao động là người dân tộc thiểu số;... (ĐBXH)</t>
  </si>
  <si>
    <t>Kinh phí hỗ trợ an ninh- quốc phòng (AN-QP)</t>
  </si>
  <si>
    <t>Kinh phí nâng cấp đô thị (loại 5) (SNKT)</t>
  </si>
  <si>
    <t>Kinh phí miễn thu thủy lợi phí (SNKT)</t>
  </si>
  <si>
    <t>Chi trả lãi</t>
  </si>
  <si>
    <t>Chi bổ sung quỹ dự trữ tài chính địa phương</t>
  </si>
  <si>
    <t>Chi tạo nguồn cải cách tiền lương (TW không giao nhưng ĐP có giao)</t>
  </si>
  <si>
    <t>F</t>
  </si>
  <si>
    <t>Bổ sung đảm bảo 2% tổng chi cân đối ngân sách địa phương</t>
  </si>
  <si>
    <t>Ghi chú:</t>
  </si>
  <si>
    <r>
      <rPr>
        <b/>
        <sz val="12"/>
        <rFont val="Times New Roman"/>
        <family val="1"/>
      </rPr>
      <t>(*):</t>
    </r>
    <r>
      <rPr>
        <sz val="12"/>
        <rFont val="Times New Roman"/>
        <family val="1"/>
      </rPr>
      <t xml:space="preserve"> Chi đầu tư xây dựng cơ bản (đã bao gồm trả nợ gốc 84.600 triệu đồng) năm 2022 do HĐND tỉnh Đồng Tháp quyết nghị</t>
    </r>
  </si>
  <si>
    <t>Chênh lệch số chi đầu tư XDCB giữa TW và ĐP</t>
  </si>
  <si>
    <t>Phụ lục số 03</t>
  </si>
  <si>
    <t>Nhập thứ tự</t>
  </si>
  <si>
    <t>DỰ TOÁN NĂM 2022 XÁC ĐỊNH LẠI</t>
  </si>
  <si>
    <t>TỈNH: ĐỒNG THÁP</t>
  </si>
  <si>
    <t>CCLV</t>
  </si>
  <si>
    <t>Giáo dục</t>
  </si>
  <si>
    <t>KHCN</t>
  </si>
  <si>
    <t>DỰ TOÁN NĂM 2022 XÁC ĐỊNH LẠI (I+II)</t>
  </si>
  <si>
    <t>Trong đó: - Lĩnh vực giáo dục</t>
  </si>
  <si>
    <t xml:space="preserve">             - Lĩnh vực khoa học - công nghệ</t>
  </si>
  <si>
    <t>Dự toán chi thường xuyên năm 2022</t>
  </si>
  <si>
    <t>Tổng hợp theo dự toán TTCP giao</t>
  </si>
  <si>
    <t>Phân bổ LV</t>
  </si>
  <si>
    <t>Các khoản xác định vào dự toán năm 2022</t>
  </si>
  <si>
    <t>Số BTC</t>
  </si>
  <si>
    <t>Số ĐP</t>
  </si>
  <si>
    <t>GD</t>
  </si>
  <si>
    <t>Học phí, viện phí, tiết kiệm</t>
  </si>
  <si>
    <t>Tổng hợp từ biểu tiền lương</t>
  </si>
  <si>
    <t>Sự nghiệp khác</t>
  </si>
  <si>
    <t>Tiết kiệm 10%</t>
  </si>
  <si>
    <t>Nhu cầu CCTL 1,49 tr.đ/tháng chênh lệch so DT</t>
  </si>
  <si>
    <t>Tiết kiệm 18, 19</t>
  </si>
  <si>
    <t>Tổng SN khác, TK</t>
  </si>
  <si>
    <t>Bổ sung mục tiêu (Phần NSTW hỗ trợ)</t>
  </si>
  <si>
    <t>Tổng hợp từ biểu ASXH (toàn bộ nhu cầu NSTW hỗ trợ)</t>
  </si>
  <si>
    <t>BIỂU TÍNH DỰ TOÁN CHI THƯỜNG XUYÊN NĂM 2022
 (THEO DỰ THẢO ĐỊNH MỨC PHÂN BỔ DỰ TOÁN CHI THƯỜNG XUYÊN NĂM 2022)</t>
  </si>
  <si>
    <t>Đơn vị: triệu đồng</t>
  </si>
  <si>
    <t>Đơn vị tính</t>
  </si>
  <si>
    <t>Dự toán 2021 xác định lại
(theo dự toán Tw giao)</t>
  </si>
  <si>
    <t>SO SÁNH DT 2022 VÀ DT 2021</t>
  </si>
  <si>
    <t>Chỉ tiêu cơ bản</t>
  </si>
  <si>
    <t>Định mức</t>
  </si>
  <si>
    <t>Kinh phí</t>
  </si>
  <si>
    <t>SỐ TUYỆT ĐỐI</t>
  </si>
  <si>
    <t>SỐ TƯƠNG ĐỐI</t>
  </si>
  <si>
    <t>8=7-4</t>
  </si>
  <si>
    <t>9=7/4</t>
  </si>
  <si>
    <t>Tổng dự toán chi thường xuyên năm 2022</t>
  </si>
  <si>
    <t>Tổng chi thường xuyên theo dự thảo định mức phân bổ năm 2022</t>
  </si>
  <si>
    <t>Đảm bảo mặt bằng chi thường xuyên không thấp hơn dự toán chi thường xuyên năm 2021 xác định lại</t>
  </si>
  <si>
    <t>Tổng chi thường xuyên (không kể chi sự nghiệp GD&amp;ĐT và KHCN)</t>
  </si>
  <si>
    <t>Sự nghiệp giáo dục - đào tạo và dạy nghề</t>
  </si>
  <si>
    <t>1.1</t>
  </si>
  <si>
    <t>Sự nghiệp giáo dục:</t>
  </si>
  <si>
    <t>Phân bổ theo định mức dân số từ 1 - 18 tuổi</t>
  </si>
  <si>
    <t>người</t>
  </si>
  <si>
    <t>Bổ sung đảm bảo cơ cấu 81 - 19</t>
  </si>
  <si>
    <t>b.1</t>
  </si>
  <si>
    <t>Quỹ lương theo TLCS 1.490.000đ</t>
  </si>
  <si>
    <t>Biên chế HĐND tỉnh giao năm 2021</t>
  </si>
  <si>
    <t xml:space="preserve">Số người có mặt đến 01/5/2021 </t>
  </si>
  <si>
    <t>Chênh lệch giữa biên chế giao với thực tế có mặt</t>
  </si>
  <si>
    <t>Hệ số lương bình quân của giáo viên mới tuyển</t>
  </si>
  <si>
    <t>Hệ số</t>
  </si>
  <si>
    <t>Hệ số lương, ngạch bậc bình quân</t>
  </si>
  <si>
    <t>Hệ số phụ cấp bình quân</t>
  </si>
  <si>
    <t xml:space="preserve">Tỷ lệ phụ cấp để tính các khoản đóng góp </t>
  </si>
  <si>
    <t>b.2</t>
  </si>
  <si>
    <t>Cơ cấu chi lương trong chi SN giáo dục theo định mức dân số (%)</t>
  </si>
  <si>
    <t>Tiêu chí bổ sung</t>
  </si>
  <si>
    <t>c.1</t>
  </si>
  <si>
    <t>Chính sách phát triển giáo dục mầm non theo Nghị định số 105/2020/NĐ-CP ngày 08 tháng tháng 9 năm 2020 của Chính phủ</t>
  </si>
  <si>
    <t>Kinh phí hỗ trợ tiền ăn trưa trẻ em 3-5 tuổi</t>
  </si>
  <si>
    <t>Hỗ trợ giáo viên ghép lớp</t>
  </si>
  <si>
    <t>c.2</t>
  </si>
  <si>
    <t>Chính sách giáo dục đối với người khuyết tật theo quy định tại Thông tư liên tịch số 42/2013/TTLT-BGDĐT-BLĐTBXH-BTC ngày 31 tháng 12 năm 2013 của Liên Bộ Giáo dục và Đào tạo, Bộ Lao động - Thương binh và Xã hội, Bộ Tài chính;</t>
  </si>
  <si>
    <t>c.3</t>
  </si>
  <si>
    <t>Hỗ trợ học sinh và trường phổ thông ở xã, thôn đặc biệt khó khăn theo Nghị định số 116/2016/NĐ-CP ngày 18 tháng 7 năm 2016 của Chính phủ;</t>
  </si>
  <si>
    <t>c.4</t>
  </si>
  <si>
    <t>Hỗ trợ kinh phí miễn giảm học phí và hỗ trợ chi phí học tập theo Nghị định số 86/2015/NĐ-CP ngày 02 tháng 10 năm 2015 của Chính phủ và Nghị định số 145/2018/NĐ-CP ngày 16 tháng 10 năm 2018 của Chính phủ sửa đổi, bổ sung một số điều của Nghị định số 86/2015/NĐ-CP.</t>
  </si>
  <si>
    <t>1.2</t>
  </si>
  <si>
    <t>Chi sự nghiệp đào tạo:</t>
  </si>
  <si>
    <t>Phân bổ theo định mức dân số (dân số trừ 18 tuổi trở xuống):</t>
  </si>
  <si>
    <t>Phân bổ theo định mức dân số</t>
  </si>
  <si>
    <t>2.2.1</t>
  </si>
  <si>
    <t>Kinh phí mua BHYT cho trẻ em dưới 6 tuổi (năm 2021)</t>
  </si>
  <si>
    <t>2.2.2</t>
  </si>
  <si>
    <t>Kinh phí mua BHYT cho người nghèo (năm 2021)</t>
  </si>
  <si>
    <t>2.2.3</t>
  </si>
  <si>
    <t>Kinh phí mua BHYT cho người thuộc hộ gia đình cận nghèo</t>
  </si>
  <si>
    <t>2.2.4</t>
  </si>
  <si>
    <t>Kinh phí mua BHYT cho người thuộc hộ gia đình làm nông nghiệp, lâm nghiệp, ngư nghiệp và diêm nghiệp có mức sống trung bình</t>
  </si>
  <si>
    <t>2.2.5</t>
  </si>
  <si>
    <t>Kinh phí mua BHYT cho người đã hiến bộ phận cơ thể người theo quy định của pháp luật (năm 2021)</t>
  </si>
  <si>
    <t>2.2.6</t>
  </si>
  <si>
    <t>Kinh phí mua BHYT cho đối tượng bảo trợ xã hội theo quy định tại khoản 1 Điều 9 Nghị định số 20/2021/NĐ-CP ngày 15 tháng 03 năm 2021 của Chính phủ. (năm 2021) (người từ 80 tuổi trở lên)</t>
  </si>
  <si>
    <t>2.2.7</t>
  </si>
  <si>
    <t>Kinh phí hỗ trợ mua BHYT cho học sinh, sinh viên (năm 2021)</t>
  </si>
  <si>
    <t>2.2.8</t>
  </si>
  <si>
    <t>Kinh phí mua thẻ bảo hiểm y tế cho các đối tượng: Cựu chiến binh, người trực tiếp tham gia kháng chiến chống Mỹ cứu nước, người tham gia chiến tranh bảo vệ Tổ quốc, làm nhiệm vụ quốc tế ở Campuchia, giúp bạn Lào, thanh niên xung phong, dân công hỏa tuyến.</t>
  </si>
  <si>
    <t>Phân bổ theo định mức dân số và các tiêu chí phụ</t>
  </si>
  <si>
    <t>Phân bổ theo đơn vị hành chính cấp huyện</t>
  </si>
  <si>
    <t>Vùng đồng bào dân tộc thiểu số, miền núi và hải đảo</t>
  </si>
  <si>
    <t>đơn vị</t>
  </si>
  <si>
    <t>Vùng khác còn lại</t>
  </si>
  <si>
    <t>Phân bổ theo đơn vị hành chính cấp xã</t>
  </si>
  <si>
    <t>Bổ sung đảm bảo cơ cấu 75-25</t>
  </si>
  <si>
    <t>Quỹ lương hành chính cấp tỉnh, cấp huyện</t>
  </si>
  <si>
    <t>Biên chế cấp có thẩm quyền giao năm 2021</t>
  </si>
  <si>
    <t>Hệ số lương bình quân của nhân viên mới tuyển</t>
  </si>
  <si>
    <t>Quỹ lương cán bộ chuyên trách, công chức cấp xã</t>
  </si>
  <si>
    <t>Số xã loại 1</t>
  </si>
  <si>
    <t>Số xã loại 2</t>
  </si>
  <si>
    <t>Số xã loại 3</t>
  </si>
  <si>
    <t>Biên chế bình quân theo Nghị định 29</t>
  </si>
  <si>
    <t>Tỷ lệ phụ cấp để tính các khoản đóng góp</t>
  </si>
  <si>
    <t xml:space="preserve">Quỹ lương người hoạt động không chuyên trách </t>
  </si>
  <si>
    <t>Tổng số xã, phường, thị trấn</t>
  </si>
  <si>
    <t>Số ấp, khóm</t>
  </si>
  <si>
    <t>Số ấp, khóm trọng điểm</t>
  </si>
  <si>
    <t>Số ấp, khóm còn lại</t>
  </si>
  <si>
    <t>Phụ cấp đại biểu HĐND</t>
  </si>
  <si>
    <t>Cấp huyện</t>
  </si>
  <si>
    <t>Cấp xã</t>
  </si>
  <si>
    <t>Phụ cấp cấp uỷ viên</t>
  </si>
  <si>
    <t>e.1</t>
  </si>
  <si>
    <t>Số cấp uỷ viên Tỉnh, huyện, xã</t>
  </si>
  <si>
    <t>e.2</t>
  </si>
  <si>
    <t>Một số chế độ định mức chi tiêu tài chính phục vụ hoạt động của Đảng theo QĐ 3115</t>
  </si>
  <si>
    <t>Tổng quỹ lương hành chính</t>
  </si>
  <si>
    <t>Cơ cấu chi lương trong chi QLHC tính theo định mức (%)</t>
  </si>
  <si>
    <t>Chi sự nghiệp văn hoá - thông tin</t>
  </si>
  <si>
    <t>4.1</t>
  </si>
  <si>
    <t>Phân bổ theo tiêu chí dân số</t>
  </si>
  <si>
    <t>4.2</t>
  </si>
  <si>
    <t>Phân bổ di tích văn hóa vật thể quốc gia</t>
  </si>
  <si>
    <t>di tích</t>
  </si>
  <si>
    <t>Chi sự nghiệp phát thanh - truyền hình</t>
  </si>
  <si>
    <t>Chi sự nghiệp thể dục - thể thao</t>
  </si>
  <si>
    <t>Chi đảm bảo xã hôi</t>
  </si>
  <si>
    <t>7.1</t>
  </si>
  <si>
    <t>7.2</t>
  </si>
  <si>
    <t>7.2.1</t>
  </si>
  <si>
    <t>Kinh phí thực hiện chế độ trợ cấp xã hội hàng tháng cho các đối tượng bảo trợ xã hội theo quy định tại Nghị định số 20/2021/NĐ-CP ngày 15 tháng 03 năm 2021 của Chính phủ được tính trên cơ sở đối tượng năm 2021, mức hỗ trợ theo chế độ quy định;</t>
  </si>
  <si>
    <t>7.2.2</t>
  </si>
  <si>
    <t>Kinh phí thực hiện chế độ hỗ trợ hộ nghèo, hộ chính sách xã hội tiền điện; hỗ trợ người có uy tín trong đồng bào dân tộc thiểu số; hỗ trợ tổ chức, đơn vị sử dụng lao động là người dân tộc thiểu số, mức hỗ trợ theo chế độ quy định.</t>
  </si>
  <si>
    <t>7.2.3</t>
  </si>
  <si>
    <t>Hỗ trợ các cơ sở bảo trợ công lập do địa phương quản lý, mức phân bổ 1.500 triệu đồng/cơ sở.</t>
  </si>
  <si>
    <t>cở sở</t>
  </si>
  <si>
    <t>Chi quốc phòng</t>
  </si>
  <si>
    <t>8.1</t>
  </si>
  <si>
    <t>8.2</t>
  </si>
  <si>
    <t>Phân bổ theo số huyện, xã biên giới, hải đảo</t>
  </si>
  <si>
    <t>Chi an ninh</t>
  </si>
  <si>
    <t>9.1</t>
  </si>
  <si>
    <t>9.2</t>
  </si>
  <si>
    <t>Chi sự nghiệp khoa học - công nghệ</t>
  </si>
  <si>
    <t>11.1</t>
  </si>
  <si>
    <t>11.2</t>
  </si>
  <si>
    <t>11.2.1</t>
  </si>
  <si>
    <t>Kinh phí hỗ trợ giá sản phẩm, dịch vụ công ích thủy lợi theo quy định tại Nghị định số 96/2018/NĐ-CP ngày 30 tháng 6 năm 2018 của Chính phủ; (tăng 2% so với dự toán 2021)</t>
  </si>
  <si>
    <t>11.2.2</t>
  </si>
  <si>
    <t>Kinh phí hỗ trợ địa phương sản xuất lúa xác định trên cơ sở mức hỗ trợ và diện tích đất trồng lúa Bộ Tài nguyên và Môi trường công bố theo quy định tại Khoản 2, 3 Điều 7 Nghị định số 35/2015/NĐ-CP ngày 13 tháng 4 năm 2015 của Chính phủ về quản lý, sử dụng đất trồng lúa, Nghị định số 62/2019/NĐ-CP ngày 11 tháng 7 năm 2019 của Chính phủ sửa đổi, bổ sung một số điều Nghị định số 35/2015/NĐ-CP;</t>
  </si>
  <si>
    <t>11.2.3</t>
  </si>
  <si>
    <t>Phân bổ theo loại đô thị</t>
  </si>
  <si>
    <t>Đô thị loại I (thuộc tỉnh)</t>
  </si>
  <si>
    <t>đô thị</t>
  </si>
  <si>
    <t>11.2.4</t>
  </si>
  <si>
    <t>Hỗ trợ kinh phí duy tu, sửa chữa đường tuần tra biên giới đất liền địa phương quản lý với mức 30 triệu đồng/Km.</t>
  </si>
  <si>
    <t>trđ/km</t>
  </si>
  <si>
    <t>12.1</t>
  </si>
  <si>
    <t>Phân bổ theo dân số quy đổi</t>
  </si>
  <si>
    <t>Dân số quy đổi theo dân số đô thị</t>
  </si>
  <si>
    <t>Dân số đô thị đặc biệt (hệ số 15)</t>
  </si>
  <si>
    <t>Dân số đô thị loại I (hệ số 7)</t>
  </si>
  <si>
    <t>Dân số đô thị từ loại II đến loại IV (hệ số 2)</t>
  </si>
  <si>
    <t>Dân số nông thôn (hệ số 1)</t>
  </si>
  <si>
    <t>Dân số quy đổi theo mật độ dân số</t>
  </si>
  <si>
    <t>Trên 2000 người/km2</t>
  </si>
  <si>
    <t>Từ 1000 đến 2000 người/km2</t>
  </si>
  <si>
    <t>Từ 750 đến 1000 người/km2</t>
  </si>
  <si>
    <t>Từ 500- 7500 người/km2</t>
  </si>
  <si>
    <t>Từ 500 người/km2 trở xuống</t>
  </si>
  <si>
    <t>12.2</t>
  </si>
  <si>
    <t>Phân bổ theo mức đóng góp của ngành công nghiệp, xây dựng vào GDP (giá ước thực hiện 2020)</t>
  </si>
  <si>
    <t>trđ</t>
  </si>
  <si>
    <t>12.3</t>
  </si>
  <si>
    <t>Phân bổ theo diện tích rừng tự nhiên do địa phương quản lý</t>
  </si>
  <si>
    <t>Phân bổ theo tỷ trọng các khoản chi nêu trên từ 1 đến mục 12 (0,5%)</t>
  </si>
  <si>
    <t>Bổ sung đảm bảo các sự nghiệp còn lại không thấp hơn dự toán 2021 (không kể chi sự nghiệp GD&amp;ĐT và KHCN)</t>
  </si>
  <si>
    <t>Một số chỉ tiêu chung để tính chi thường xuyên năm 2022</t>
  </si>
  <si>
    <r>
      <t>Hệ số tăng định mức (</t>
    </r>
    <r>
      <rPr>
        <b/>
        <u/>
        <sz val="12"/>
        <rFont val="Times New Roman"/>
        <family val="1"/>
      </rPr>
      <t>ĐB SCL</t>
    </r>
    <r>
      <rPr>
        <sz val="12"/>
        <rFont val="Times New Roman"/>
        <family val="1"/>
      </rPr>
      <t>, dân số thấp, tỷ lệ điều tiết)</t>
    </r>
  </si>
  <si>
    <t>Tổng chi sự nghiệp môi trường NSĐP (không thay đổi - triệu đồng)</t>
  </si>
  <si>
    <t>Dân số quy đổi toàn quốc (không thay đổi - triệu người)</t>
  </si>
  <si>
    <t>Giá trị sản xuất công nghiệp toàn quốc (không thay đổi - tỷ đồng)</t>
  </si>
  <si>
    <t>Diện tích khu bảo tồn thiên nhiên toàn quốc (không thay đổi - ha)</t>
  </si>
  <si>
    <t>Diện tích rừng tự nhiên toàn quốc (không thay đổi - ha)</t>
  </si>
  <si>
    <t>ƯỚC THỰC HIỆN THU NGÂN SÁCH NHÀ NƯỚC NĂM 2022
DỰ TOÁN THU NGÂN SÁCH NHÀ NƯỚC NĂM 2023</t>
  </si>
  <si>
    <t>DỰ TOÁN NĂM 2022</t>
  </si>
  <si>
    <t>THỰC HIỆN 7 THÁNG ĐẦU NĂM 2022</t>
  </si>
  <si>
    <t>7 tháng đầu so với dự toán (%)</t>
  </si>
  <si>
    <t>ĐP</t>
  </si>
  <si>
    <t>BTC</t>
  </si>
  <si>
    <t>6=5/4</t>
  </si>
  <si>
    <t>8=7/4</t>
  </si>
  <si>
    <t>11=9-10</t>
  </si>
  <si>
    <t>12=10/7</t>
  </si>
  <si>
    <t>13=9/7</t>
  </si>
  <si>
    <t>Thu NSNN trên địa bàn (I+II)</t>
  </si>
  <si>
    <t>Trong đó: Thu nội địa không kể tiền sử dụng đất, XSKT, CPH</t>
  </si>
  <si>
    <t>Thu từ khu vực ngoài quốc doanh</t>
  </si>
  <si>
    <t>Thuế nhà đất/ thuế sd đất phi nông nghiệp</t>
  </si>
  <si>
    <t>Thu phí xăng dầu/ thuế bảo vệ môi trường</t>
  </si>
  <si>
    <t>THU NGÂN SÁCH NHÀ NƯỚC 5 NĂM 2016-2020
DỰ KIẾN THU NGÂN SÁCH NHÀ NƯỚC 5 NĂM 2021-2025</t>
  </si>
  <si>
    <t>KẾT QUẢ THU NSNN 5 NĂM 2016-2020</t>
  </si>
  <si>
    <t>Tăng/giảm GĐ 2016-2020 so với GĐ 2011-2015</t>
  </si>
  <si>
    <t>DỰ KIẾN NĂM 2023</t>
  </si>
  <si>
    <t>DỰ KIẾN KẾT QUẢ THU NSSN 5 NĂM 2021-2025</t>
  </si>
  <si>
    <t>Tăng/giảm GĐ 2021-2025 so với GĐ 2016-2020</t>
  </si>
  <si>
    <t>TNCN</t>
  </si>
  <si>
    <t>CHI NGÂN SÁCH ĐỊA PHƯƠNG 5 NĂM 2016-2020 VÀ KẾ HOẠCH CHI NGÂN SÁCH ĐỊA PHƯƠNG 5 NĂM 2021-2025
DỰ KIẾN CHI NGÂN SÁCH ĐỊA PHƯƠNG 5 NĂM 2021-2025</t>
  </si>
  <si>
    <t>Tổng thu NSNN trên địa bàn</t>
  </si>
  <si>
    <t>Thu từ xuất, nhập khẩu</t>
  </si>
  <si>
    <t>Thu ngân sách địa phương  (I+2b-2b1-2b2+II)</t>
  </si>
  <si>
    <t>Các khoản thu cân đối NSĐP (1+2a+2b1+2b2+3)</t>
  </si>
  <si>
    <t>Các khoản thu NSĐP hưởng 100 %</t>
  </si>
  <si>
    <t>Các khoản thu phân chia NSĐP hưởng theo tỷ lệ phần trăm ( % )</t>
  </si>
  <si>
    <t>Bổ sung từ ngân sách trung ương</t>
  </si>
  <si>
    <t>Bổ sung cân đối</t>
  </si>
  <si>
    <t>Chi ngân sách địa phương</t>
  </si>
  <si>
    <t>Chi bổ sung Quỹ dự trữ tài chính</t>
  </si>
  <si>
    <t>Chi các chương trình từ nguồn bổ sung có mục tiêu của NSTW</t>
  </si>
  <si>
    <t>BỘI CHI NSĐP/BỘI THU NSĐP</t>
  </si>
  <si>
    <t>Trả nợ gốc vay của NSĐP</t>
  </si>
  <si>
    <t>Từ nguồn bội thu, tăng thu, tiết kiệm chi, kết dư ngân sách cấp tỉnh</t>
  </si>
  <si>
    <t>Tổng mức vay của NSĐP</t>
  </si>
  <si>
    <t>% so với dự toán</t>
  </si>
  <si>
    <t>% so với ước thực hiện 2022</t>
  </si>
  <si>
    <t>11=10/4</t>
  </si>
  <si>
    <t>17=16/10</t>
  </si>
  <si>
    <t>19=20+21</t>
  </si>
  <si>
    <t>23=22/16</t>
  </si>
  <si>
    <t>25=26+27</t>
  </si>
  <si>
    <t>Sở y tế</t>
  </si>
  <si>
    <t>Thuế bảo vệ môi trường</t>
  </si>
  <si>
    <t>Thu tiền CQ khai thác khoáng sản, tài nguyên nước</t>
  </si>
  <si>
    <t>Thu hồi vốn, CPH, thu cổ tức, lợi nhuận sau thuế</t>
  </si>
  <si>
    <t>Thuế xuất khẩu, thuế nhập khẩu</t>
  </si>
  <si>
    <t>Thuế GTGT hàng hóa NK, lệ phí</t>
  </si>
  <si>
    <t>Mục tiêu, nhiệm vụ quan trọng (vốn đầu tư phát triển)</t>
  </si>
  <si>
    <t>Bổ sung thực hiện mục tiêu, nhiệm vụ quan trọng (kinh phí sự nghiệp)</t>
  </si>
  <si>
    <t>Thu chuyển nguồn các chế độ chính sách còn dư năm trước chuyển sang</t>
  </si>
  <si>
    <t>ƯỚC THỰC HIỆN CHI NĂM 2022</t>
  </si>
  <si>
    <t>DỰ TOÁN CHI  NĂM 2023</t>
  </si>
  <si>
    <t>DỰ KIẾN CHI  NĂM 2024</t>
  </si>
  <si>
    <t>DỰ KIẾN CHI  NĂM 2025</t>
  </si>
  <si>
    <t>16=19+20</t>
  </si>
  <si>
    <t>18=16/11</t>
  </si>
  <si>
    <t>21=24+25</t>
  </si>
  <si>
    <t>23=21/16</t>
  </si>
  <si>
    <t>Tổng (A+B+C)</t>
  </si>
  <si>
    <t>Chi đầu tư xây dựng cơ bản</t>
  </si>
  <si>
    <t>Chi thực hiện mục tiêu, nhiệm vụ quan trọng (vốn đầu tư phát triển)</t>
  </si>
  <si>
    <t>Ghi chú:(*): Đã bao gồm chi trả nợ gốc các khoản vay của NSĐP từ nguồn bội thu:</t>
  </si>
  <si>
    <t>triệu đồng</t>
  </si>
  <si>
    <t>tôn nền</t>
  </si>
  <si>
    <t>lãi</t>
  </si>
  <si>
    <t>Nội dung chi</t>
  </si>
  <si>
    <t>Bố trí năm 2024 so với dự toán năm 2023</t>
  </si>
  <si>
    <t>Bố trí năm 2025 so với dự toán năm 2024</t>
  </si>
  <si>
    <t>Tổng chi ( I+II+III+IV+V+VI)</t>
  </si>
  <si>
    <t xml:space="preserve">Bố trí tăng chi đầu tư phát triển </t>
  </si>
  <si>
    <t>Chi tạo nguồn cải cách tiền lương từ nguồn tăng thu</t>
  </si>
  <si>
    <t>Chi dự phòng ngân sách</t>
  </si>
  <si>
    <t>Chi NS huyện, thành phố</t>
  </si>
  <si>
    <t>Cân đối
NSH,TP</t>
  </si>
  <si>
    <t>9=3-8</t>
  </si>
  <si>
    <t>Tổng nguồn thực hiện kinh phí thực hiên CCTL</t>
  </si>
  <si>
    <t>1</t>
  </si>
  <si>
    <t>Nguồn thực hiện CCTL năm trước còn thừa (+) hoặc thiếu nguồn (-)</t>
  </si>
  <si>
    <t>3</t>
  </si>
  <si>
    <t>2</t>
  </si>
  <si>
    <t>10% tiết kiệm chi thường xuyên</t>
  </si>
  <si>
    <t>đ</t>
  </si>
  <si>
    <t>50%/70% tăng thu NSĐP</t>
  </si>
  <si>
    <t>4</t>
  </si>
  <si>
    <t>5</t>
  </si>
  <si>
    <t>50% tăng thu NSĐP dự toán năm 2022 so với năm năm 2021</t>
  </si>
  <si>
    <t>Từ nguồn học phí, sự nghiệp</t>
  </si>
  <si>
    <t>6</t>
  </si>
  <si>
    <t>Tổng nhu cầu kinh phí cải cách tiền lương</t>
  </si>
  <si>
    <t>Kinh phí đề xuất phải bổ sung hoặc chuyển nguồn</t>
  </si>
  <si>
    <t>NS cấp tỉnh bổ sung TLTT (phần chênh lệch (-) giữa nguồn và nhu cầu)</t>
  </si>
  <si>
    <t>Thừa nguồn (+) để thực hiện cải cách tiền lương kỳ sau, năm sau</t>
  </si>
  <si>
    <t>Thừa nguồn các chế độ chính sách các năm trước chuyển sang</t>
  </si>
  <si>
    <t>Bù trừ nguồn bổ sung từ ngân sách cấp tỉnh</t>
  </si>
  <si>
    <t>Giảm bổ sung các chế độ, chính sách tăng thêm</t>
  </si>
  <si>
    <t>Giảm bổ sung tăng định mức cấp xã</t>
  </si>
  <si>
    <t>Giảm bổ sung hoạt động Trung tâm Dịch vụ nông nghiệp</t>
  </si>
  <si>
    <t>UỶ BAN NHÂN DÂN</t>
  </si>
  <si>
    <t>CỘNG HÒA XÃ HỘI CHỦ NGHĨA VIỆT NAM</t>
  </si>
  <si>
    <t>Độc lập - Tự do - Hạnh phúc</t>
  </si>
  <si>
    <t>Đơn vị</t>
  </si>
  <si>
    <t>Tổng số thu</t>
  </si>
  <si>
    <t>Tổng số chi</t>
  </si>
  <si>
    <t>Chi cho giáo dục, đào tạo và dạy nghề</t>
  </si>
  <si>
    <t>Tỷ trọng chi GD,ĐT&amp;DN trong tổng chi</t>
  </si>
  <si>
    <t>Chi cho y tế</t>
  </si>
  <si>
    <t>Tỷ trọng chi cho y tế trong tổng chi</t>
  </si>
  <si>
    <t>Chính sách, chế độ</t>
  </si>
  <si>
    <t>Ước thực hiện năm 2022
(xác định theo mức chuẩn nghèo mới)</t>
  </si>
  <si>
    <t>Dự kiến thực hiện năm 2023
(xác định theo mức chuẩn nghèo mới)</t>
  </si>
  <si>
    <t>Số
đối tượng</t>
  </si>
  <si>
    <t>Kinh phí thực hiện</t>
  </si>
  <si>
    <t>Số kinh phí thừa (-)/thiếu (+)</t>
  </si>
  <si>
    <t>4=2-3</t>
  </si>
  <si>
    <t>Kinh phí thực hiện các chính sách theo tiêu chí chuẩn nghèo đa chiều mới</t>
  </si>
  <si>
    <t>Các chính sách thuộc sự nghiệp giáo dục - đào tạo và dạy nghề</t>
  </si>
  <si>
    <t>Chính sách hỗ trợ chi phí học tập và miễn giảm học phí theo quy định tại Nghị định số 86/2015/NĐ-CP ngày 02/10/2015 và Nghị định số 81/2021/NĐ-CP ngày 27/08/2021 của Chính phủ</t>
  </si>
  <si>
    <t>Chính sách phát triển giao dục mầm non Nghị định 105/2020/NĐ-CP ngày 08/09/2020 của Chính phủ</t>
  </si>
  <si>
    <t>Học bổng, chi phí học tập cho học sinh khuyết tật theo Thông tư liên tịch số 42/2013/TTLT-BGDĐT-BLĐTBXH-BTC ngày 31/12/2013</t>
  </si>
  <si>
    <t>Các chính sách thuộc sự nghiệp đảm bảo xã hội</t>
  </si>
  <si>
    <t>Chính sách hỗ trợ thường xuyên cho đối tượng bảo trợ xã hội theo quy định tại Nghị định số 20/2021/NĐ-CP ngày 15/03/2021 của Chính phủ</t>
  </si>
  <si>
    <t>Chính sách hỗ trợ tiền điện cho hộ nghèo, hộ chính sách xã hội theo quy định tại Quyết định số 28/2014/QĐ-TTg ngày 07/4/2014 của Thủ tướng Chính phủ</t>
  </si>
  <si>
    <t xml:space="preserve">HỘI ĐỒNG NHÂN DÂN                          CỘNG HÒA XÃ HỘI CHỦ NGHĨA VIỆT NAM </t>
  </si>
  <si>
    <t xml:space="preserve"> TỈNH ĐỒNG THÁP                                              Độc lập - Tự do - Hạnh phúc</t>
  </si>
  <si>
    <t>Số
TT</t>
  </si>
  <si>
    <t>Tổng thu ngân sách nhà nước trên địa bàn (I+II)</t>
  </si>
  <si>
    <t>Thu từ hoạt động xuất, nhập khẩu</t>
  </si>
  <si>
    <t>Thu ngân sách địa phương  (I+II+III)</t>
  </si>
  <si>
    <t>Thu ngân sách địa phương (NSĐP) hưởng theo phân cấp</t>
  </si>
  <si>
    <t>Các khoản thu phân chia NSĐP hưởng theo tỷ lệ phần trăm (%)</t>
  </si>
  <si>
    <t>Thu đầu tư từ nguồn vốn Chính phủ vay về cho vay lại</t>
  </si>
  <si>
    <t>Chi ngân sách địa phương (I+II+III)</t>
  </si>
  <si>
    <t>Chi đầu tư từ nguồn thu xổ số kiến thiết</t>
  </si>
  <si>
    <t>Chi giáo dục, đào tạo và dạy nghề</t>
  </si>
  <si>
    <t>Chi khoa học và công nghệ</t>
  </si>
  <si>
    <t>Chi bổ sung Quỹ Dự trữ tài chính</t>
  </si>
  <si>
    <t>Nguồn thu ngân sách cấp Tỉnh (I+II+III)</t>
  </si>
  <si>
    <t>Thu ngân sách cấp Tỉnh hưởng theo phân cấp</t>
  </si>
  <si>
    <t>Các khoản thu ngân sách cấp Tỉnh hưởng 100 %</t>
  </si>
  <si>
    <t xml:space="preserve">Bổ sung từ ngân sách trung ương </t>
  </si>
  <si>
    <t>Chi ngân sách cấp Tỉnh (I+II+III+IV)</t>
  </si>
  <si>
    <t>Chi thuộc nhiệm vụ của ngân sách cấp Tỉnh theo phân cấp</t>
  </si>
  <si>
    <t>2.3</t>
  </si>
  <si>
    <t xml:space="preserve">Chi sự nghiệp đảm bảo xã hội </t>
  </si>
  <si>
    <t>2.4</t>
  </si>
  <si>
    <t>2.5</t>
  </si>
  <si>
    <t xml:space="preserve">An ninh </t>
  </si>
  <si>
    <t xml:space="preserve">Quốc phòng </t>
  </si>
  <si>
    <t xml:space="preserve">Biên phòng </t>
  </si>
  <si>
    <t>2.6</t>
  </si>
  <si>
    <t xml:space="preserve">Chi bổ sung Quỹ Dự trữ tài chính </t>
  </si>
  <si>
    <t xml:space="preserve">Chi bổ sung cho ngân sách huyện, thành phố thuộc tỉnh </t>
  </si>
  <si>
    <t xml:space="preserve">Thu từ khu vực doanh nghiệp do nhà nước giữ vai trò chủ đạo trung ương quản lý </t>
  </si>
  <si>
    <t xml:space="preserve">Thu từ khu vực doanh nghiệp do nhà nước giữ vai trò chủ đạo địa phương quản lý </t>
  </si>
  <si>
    <t>Thu từ khu vực doanh nghiệp vốn đầu tư nước ngoài</t>
  </si>
  <si>
    <t>Phí, lệ phí</t>
  </si>
  <si>
    <t>Thu từ quỹ đất công ích và thu hoa lợi công sản khác tại xã, phường, thị trấn</t>
  </si>
  <si>
    <t>Thu từ hoạt động xổ số kiến thiết</t>
  </si>
  <si>
    <t>Thu tiền cấp quyển khai thác khoáng sản, tài nguyên nước</t>
  </si>
  <si>
    <t>Thu hồi vốn, thu cổ tức, lợi nhuận sau thuế</t>
  </si>
  <si>
    <t>Tổng thu ngân sách địa phương (I+II+III)</t>
  </si>
  <si>
    <t>Các khoản thu 100 %</t>
  </si>
  <si>
    <t>Thu phân chia theo tỷ lệ phần trăm ( % )</t>
  </si>
  <si>
    <t>Chia ra</t>
  </si>
  <si>
    <t>Ngân sách cấp Tỉnh 
(1)</t>
  </si>
  <si>
    <t>Ngân sách huyện, thành phố</t>
  </si>
  <si>
    <t>Tổng chi ngân sách địa phương</t>
  </si>
  <si>
    <t>Chi đầu tư phát triển (2)</t>
  </si>
  <si>
    <t>Chi thường xuyên (3)</t>
  </si>
  <si>
    <t>Chi sự nghiệp giáo dục-đào tạo và dạy nghề</t>
  </si>
  <si>
    <t>Chi từ nguồn ngân sách trung ương bổ sung có mục tiêu</t>
  </si>
  <si>
    <t>triệu đồng.</t>
  </si>
  <si>
    <t>TỔNG CỘNG (I+II)</t>
  </si>
  <si>
    <t>Dự toán chi ngân sách huyện, thành phố</t>
  </si>
  <si>
    <t>Vốn thực hiện 03 chương trình mục tiêu quốc gia</t>
  </si>
  <si>
    <t>Tổng chi</t>
  </si>
  <si>
    <t>Tổng chi thường xuyên (cân đối NSĐP)</t>
  </si>
  <si>
    <t>Sự nghiệp môi trường</t>
  </si>
  <si>
    <t>Sự nghiệp khoa học và công nghệ</t>
  </si>
  <si>
    <t>Sự nghiệp giáo dục và đào tạo</t>
  </si>
  <si>
    <t>Sự nghiệp y tế</t>
  </si>
  <si>
    <t>Tổng chi từ nguồn ngân sách trung ương bổ sung có mục tiêu</t>
  </si>
  <si>
    <t>Vốn đầu tư xây dựng cơ bản</t>
  </si>
  <si>
    <t>Vốn sự nghiệp</t>
  </si>
  <si>
    <t>TỔNG CHI THƯỜNG XUYÊN CÁC LĨNH VỰC (CÂN ĐỐI NGÂN SÁCH ĐỊA PHƯƠNG)</t>
  </si>
  <si>
    <t>Sự nghiệp văn hóa thông tin</t>
  </si>
  <si>
    <t>Sự nghiệp phát thanh truyền hình</t>
  </si>
  <si>
    <t>Sự ngiệp thể dục thể thao</t>
  </si>
  <si>
    <t>Sự nghiệp đảm bảo xã hội</t>
  </si>
  <si>
    <t>An ninh - quốc phòng</t>
  </si>
  <si>
    <t>Khác</t>
  </si>
  <si>
    <t>Quản lý hành chính (QLNN, Đảng….)</t>
  </si>
  <si>
    <t>CÁC CƠ QUAN, ĐƠN VỊ</t>
  </si>
  <si>
    <t>Văn phòng Tỉnh ủy</t>
  </si>
  <si>
    <t>Văn phòng Hội đồng nhân dân Tỉnh</t>
  </si>
  <si>
    <t>Văn phòng Ủy ban nhân dân Tỉnh</t>
  </si>
  <si>
    <t>Sở Nông nghiệp và Phát triển Nông thôn</t>
  </si>
  <si>
    <t>Sở Kế hoạch và Đầu tư</t>
  </si>
  <si>
    <t>Sở Tài chính</t>
  </si>
  <si>
    <t>Sở Nội vụ</t>
  </si>
  <si>
    <t>Sở Ngoại vụ</t>
  </si>
  <si>
    <t>Sở Tư pháp</t>
  </si>
  <si>
    <t>Sở Công Thương</t>
  </si>
  <si>
    <t>Sở Khoa học và Công nghệ</t>
  </si>
  <si>
    <t>Sở Xây dựng</t>
  </si>
  <si>
    <t>Sở Y tế</t>
  </si>
  <si>
    <t>Sở Giáo dục và Đào tạo</t>
  </si>
  <si>
    <t>Sở Tài nguyên và Môi trường</t>
  </si>
  <si>
    <t>Sở Văn hóa Thể thao và Du lịch</t>
  </si>
  <si>
    <t>Sở Thông tin và Truyền thông</t>
  </si>
  <si>
    <t>Sở Giao thông và Vận tải</t>
  </si>
  <si>
    <t>Sở Lao động Thương binh và Xã hội</t>
  </si>
  <si>
    <t>Thanh tra Tỉnh</t>
  </si>
  <si>
    <t>Trường Chính trị</t>
  </si>
  <si>
    <t>Trường Cao đẳng Cộng đồng</t>
  </si>
  <si>
    <t>Trường Cao đẳng Y tế</t>
  </si>
  <si>
    <t>Ban Quản lý Khu Kinh tế</t>
  </si>
  <si>
    <t xml:space="preserve">Ban An toàn Giao thông </t>
  </si>
  <si>
    <t>Trung tâm xúc tiến Đầu tư - Thương mại và Du lịch</t>
  </si>
  <si>
    <t>Vườn Quốc gia Tràm chim</t>
  </si>
  <si>
    <t>II.1</t>
  </si>
  <si>
    <t>Khối đoàn thể</t>
  </si>
  <si>
    <t>Ủy ban Mặt trận tổ quốc Tỉnh</t>
  </si>
  <si>
    <t>Tỉnh đoàn</t>
  </si>
  <si>
    <t>Hội Liên hiệp Phụ nữ</t>
  </si>
  <si>
    <t>Hội Nông dân</t>
  </si>
  <si>
    <t>Hội Cựu Chiến binh</t>
  </si>
  <si>
    <t>II.2</t>
  </si>
  <si>
    <t>Các tổ chức, các hội được nhà nước giao biên chế</t>
  </si>
  <si>
    <t>Liên minh hợp tác xã</t>
  </si>
  <si>
    <t>Liên hiệp các Hội khoa học Kỹ thuật</t>
  </si>
  <si>
    <t>Liên hiệp các tổ chức Hữu Nghị</t>
  </si>
  <si>
    <t>Hội Liên hiệp Văn học Nghệ thuật</t>
  </si>
  <si>
    <t>Hội chữ thập đỏ</t>
  </si>
  <si>
    <t>Hội đông y</t>
  </si>
  <si>
    <t>Hội người mù</t>
  </si>
  <si>
    <t>Công an Tỉnh</t>
  </si>
  <si>
    <t>Bộ Chỉ huy Quân sự Tỉnh</t>
  </si>
  <si>
    <t>Bộ Chỉ huy Bộ đội biên phòng</t>
  </si>
  <si>
    <t>Bảo hiểm Xã hội tỉnh</t>
  </si>
  <si>
    <t>Chi nhánh Ngân hàng chính sách xã hội</t>
  </si>
  <si>
    <t>Hội nhà báo</t>
  </si>
  <si>
    <t>Hội Bảo trợ người khuyết tật, Nạn nhân chất độc da cam/dioxin và Bệnh nhân nghèo tỉnh Đồng Tháp</t>
  </si>
  <si>
    <t>Hội Khuyến học tỉnh</t>
  </si>
  <si>
    <t>Hội Y học tỉnh</t>
  </si>
  <si>
    <t>Ban đại diện Hội Người Cao tuổi</t>
  </si>
  <si>
    <t>Hội Khoa học Lịch sử tỉnh</t>
  </si>
  <si>
    <t>Kinh phí phát triển cây xanh, chiếu sáng đô thị toàn tỉnh</t>
  </si>
  <si>
    <t>Chính sách hỗ trợ thường xuyên cho đối tượng bảo trợ xã hội theo quy định tại Nghị định số 20/2021/NĐ-CP ngày 15/03/2021 của Chính phủ; Chính sách hỗ trợ tiền điện cho hộ nghèo, hộ chính sách xã hội theo quy định tại Quyết định số 28/2014/QĐ-TTg ngày 07/4/2014 của Thủ tướng Chính phủ</t>
  </si>
  <si>
    <t>Chính sách ưu đãi (hỗ trợ lãi suất, cấp bù lãi suất); kinh phí quy hoạch</t>
  </si>
  <si>
    <t>10% tiết kiệm chi thường xuyên (phần giữ lại ngân sách)</t>
  </si>
  <si>
    <t>Sự nghiệp toàn ngành trên địa bàn Tỉnh</t>
  </si>
  <si>
    <t>CHI BỔ SUNG QUỸ DỰ TRỮ TÀI CHÍNH</t>
  </si>
  <si>
    <t>CHI DỰ PHÒNG NGÂN SÁCH CẤP TỈNH</t>
  </si>
  <si>
    <t>CHI ĐẦU TƯ XÂY DỰNG CƠ BẢN</t>
  </si>
  <si>
    <t>CHI ĐẦU TƯ TỪ NGUỒN THU XỔ SỐ KIẾN THIẾT</t>
  </si>
  <si>
    <t>CHI ĐẦU TƯ TỪ NGUỒN NSTW BỔ SUNG CÓ MỤC TIÊU (VỐN ĐẦU TƯ PHÁT TRIỂN)</t>
  </si>
  <si>
    <t>CHI ĐẦU TƯ TỪ NGUỒN VỐN CHÍNH PHỦ VAY VỀ CHO VAY LẠI</t>
  </si>
  <si>
    <t>Đ</t>
  </si>
  <si>
    <t>Ê</t>
  </si>
  <si>
    <t>CHI BỔ SUNG CHO NGÂN SÁCH HUYỆN, THÀNH PHỐ</t>
  </si>
  <si>
    <t>Tổng chi đầu tư phát triển</t>
  </si>
  <si>
    <t>Chi đầu tư xây dựng từ nguồn ngân sách tập trung trong nước</t>
  </si>
  <si>
    <t>Chi đầu tư xây dựng từ nguồn thu tiền sử dụng đất</t>
  </si>
  <si>
    <t>Chi đầu tư từ nguồn vốn khác của địa phương</t>
  </si>
  <si>
    <t>TỔNG CHI ĐẦU TƯ CẤP TỈNH</t>
  </si>
  <si>
    <t>Chi bổ sung có mục tiêu cho ngân sách huyện, thành phố</t>
  </si>
  <si>
    <t>Chi dự phòng ngân sách cấp tỉnh</t>
  </si>
  <si>
    <t>Kế hoạch giải ngân vốn vay năm 2024</t>
  </si>
  <si>
    <t>KẾ HOẠCH GIẢI NGÂN VỐN VAY NĂM 2024 CỦA CÁC DỰ ÁN ODA
 VÀ VAY ƯU ĐÃI TỪ NGUỒN CHÍNH PHỦ VAY VỀ CHO VAY LẠI</t>
  </si>
  <si>
    <t>Dự toán giao năm 2023</t>
  </si>
  <si>
    <t>6 tháng đầu năm 2023</t>
  </si>
  <si>
    <t>Ước thực hiện cả năm 2023</t>
  </si>
  <si>
    <t>Đồng Tháp, ngày      tháng 7 năm 2023</t>
  </si>
  <si>
    <t>CHỦ TỊCH</t>
  </si>
  <si>
    <t>TM. ỦY BAN NHÂN DÂN TỈNH ĐỒNG THÁP</t>
  </si>
  <si>
    <t>Tên cơ quan, tổ chức đơn vị, doanh nghiệp trực tiệp quản lý, sử dụng nhà, đất; địa chỉ nhà, đất xử lý</t>
  </si>
  <si>
    <t>Diện tích đất (m2)</t>
  </si>
  <si>
    <t>Diện tích nhà (m2)</t>
  </si>
  <si>
    <t>Ước thực hiện năm 2023
(Triệu đồng)</t>
  </si>
  <si>
    <t>Kế hoạch năm 2024</t>
  </si>
  <si>
    <t>Giai đoạn 2024-2026</t>
  </si>
  <si>
    <t>Kế hoạch năm 2024 và giai đoạn 2024-2026
(Triệu đồng)</t>
  </si>
  <si>
    <t>Ghi chú phương án xử lý nhà (Bán, chuyển mục đích…)</t>
  </si>
  <si>
    <t>TỔNG HỢP DỰ TOÁN THU NGÂN SÁCH NHÀ NƯỚC TỪ NGUỒN THU XỬ LÝ NHÀ ĐẤT
NĂM 2023 VÀ GIAI ĐOẠN 2024-2026</t>
  </si>
  <si>
    <t>UBND TỈNH ĐỒNG THÁP</t>
  </si>
  <si>
    <t>Bổ sung thực hiện mục tiêu, nhiệm vụ quan trọng (vốn sự nghiệp)</t>
  </si>
  <si>
    <t>Thu hồi các khoản vốn ứng trước của các chương trình mục tiêu (số vốn thiểu địa phương phải bố trí)</t>
  </si>
  <si>
    <t>Chi thực hiện các chế độ chính sách</t>
  </si>
  <si>
    <t>Tình hình sử dụng dự phòng ngân sách địa phương</t>
  </si>
  <si>
    <t>Tổng số dự phòng ngân sách địa phương năm 2023</t>
  </si>
  <si>
    <t>Tháng 1/2023</t>
  </si>
  <si>
    <t>Tháng 2/2023</t>
  </si>
  <si>
    <t>Tháng 3/2023</t>
  </si>
  <si>
    <t>Tháng 4/2023</t>
  </si>
  <si>
    <t>Tháng 5/2023</t>
  </si>
  <si>
    <t>Tháng 6/2023</t>
  </si>
  <si>
    <t>Tháng 7/2023</t>
  </si>
  <si>
    <t>Tháng 8/2023</t>
  </si>
  <si>
    <t>Tháng 9/2023</t>
  </si>
  <si>
    <t>Tháng 10/2023</t>
  </si>
  <si>
    <t>Tháng 11/2023</t>
  </si>
  <si>
    <t>Tháng 12/2023</t>
  </si>
  <si>
    <t>Nội dung sử dụng từ dự phòng năm 2023</t>
  </si>
  <si>
    <t>Số dư đến 01/7/2023</t>
  </si>
  <si>
    <t>Tỷ lệ % sử dụng</t>
  </si>
  <si>
    <t>Kinh phí thực hiện kế hoạch phòng, chống dịch bệnh trên động vật, gia súc, gia cầm và thủy sản năm 2023</t>
  </si>
  <si>
    <t>Kinh phí phòng chống dịch bệnh trên động vật, gia súc, gia cầm và thủy sản 2023; Kinh phí phòng chống dịch sốt xuất huyết năm 2023.</t>
  </si>
  <si>
    <t>Kinh phí thăm chúc tết cho hộ gia đình chính sách và người hoạt động kháng chiến nhân dịp tết Nguyên đán năm 2023, Kinh phí mua thuốc diệt lăng quăng và SXH</t>
  </si>
  <si>
    <t>KP TH Đề án DQTV; kinh phí thăm hỏi, tặng quà chúc Tết các đối tượng nhân dịp Têt Nguyên đán năm 2023; kinh phí phục vụ Tết Nguyên đán Quý Mão năm 2023</t>
  </si>
  <si>
    <t>kinh phí phòng chống dịch bệnh trên động vật, gia súc, gia cầm và thủy sản năm 2023</t>
  </si>
  <si>
    <t>Nộp trả 200 triệu vụ cứu bé trai cầu rọc sen, chi phòng chống dịch bệnh tren gia súc, gia cầm và thủy sản;chi trả trợ cấp một lần cho Công an viên xã Tân Long theo Nghị định số 73/2009/NĐ-CP; KP thực hiện xét nghiệm phát hiện virus sars Covid bằng kỹ thuật Real-time PT-PCR tại Bệnh viện đa khoa Hồng Ngự (Phòng Y tế); Kinh phí trợ cấp thôi việc theo Nghị định số 46/2010/NĐ-CP; KP thực hiện Chương trình bơi an toàn phòng, chống đuối nước trẻ em huyện Thanh Bình năm 2023; KP tiền nhiên liệu và chế độ cho người tham gia hoạt động phòng, chống dịch Covid từ tháng 07/2021 đến tháng 05/2022; KP mua bảo hiểm cháy nổ bắt buộc cho 14 ban, ngành Huyện và 13 xã, thị trấn trên địa bàn Huyện; kinh phí khắc phục hỏa hoạn Chợ Bình Thành;  kinh phí chi trợ giúp xã hội khẩn cấp</t>
  </si>
  <si>
    <t>KP hỗ trợ cho CB quản lý, giáo viên, nhân viên cơ sở giáo dục ngoài công lập theo QĐ 24/2022/QĐ-TTg, chi hỗ trợ chế độ phòng chống dịch năm 2021</t>
  </si>
  <si>
    <t>Chi tuyển quân, KP khắc phục sạt lỡ tuyến đường kênh Nhị Mỹ, Bình Hàng Tây, cấp bổ sung kinh phí hỗ trợ khắc phục sạt lở đường Thiên Hộ Dương, thị trấn Mỹ Thọ</t>
  </si>
  <si>
    <t>Mua hóa chất phòng, chống bệnh sốt xuất huyết năm 2023: 10,8trđ; Diễn tập khu vực phòng thủ huyện Tháp Mười năm 2023: 2.611,367trđ; Kinh phí tập huấn kỹ năng phòng cháy chữa cháy, cứu nạn cứu hộ, thoát nạn và thực hiện chuyển địa bàn trọng điểm, phức tạp về trật tự an toàn XH: 390,307trđ; XD lực lượng quân báo nhân dân năm 2023: 100,8trđ; KP in bản đồ, sơ đồ điều chỉnh hệ thống văn kiện tác chiến, văn kiện động viên, văn kiện cứu hộ - cứu nạn năm 2023: 107,632trđ; Tuyển quân năm 2023: 191,240trđ; Huấn luyện dân quân tư vệ năm 2023: 143,676trđ; KP tổ chức hội thi giảng dạy chính trị giỏi năm 2023: 11,936trđ; Tủ sách pháp luật: 18,8trđ</t>
  </si>
  <si>
    <t>Chi thực hiện phòng, chống dịch bệnh trên động vật, gia súc, gia cầm và thuỷ sản năm 2023; Cấp kinh phí cho giáo viên hưởng chế độ theo Quyết định số 24/2022/QĐ-TTg ; Chi phòng bệnh sốt xuất huyết, tay chân miệng</t>
  </si>
  <si>
    <t>Kinh phí Khắc phục sạt lở tuyến đường Tân Thuận A-B, xã Tân Dương (đoạn nhà máy Tư Tiết); Kinh phí trực SSCĐ Tết Nguyên đán Quý Mão năm 2023; Kinh phí gia cố, khắc phục đoạn sạt lở, sụp lún đường cặp sông Sa Đéc - Vàm Cống; Kinh phí gia cố đê bao bảo vệ vườn cây ăn trái và hoa kiểng; Kinh phí lắp đặt hệ thống báo cháy và phòng cháy chữa cháy chợ thị trấn Lai Vung; Kinh phí công trình đường vào Kho bạc - Chi cục thuế và giáp đường tỉnh lộ 851 năm 2023 đối với Phòng Kinh tế và Hạ tầng huyện Lai Vung; Mua máy scan của xã,....</t>
  </si>
  <si>
    <t xml:space="preserve">Kinh phí huấn luyện năm 2023; Kinh phí điều chỉnh hệ thống văn kiện tác chiến, văn kiện động viên, văn kiện cứu hộ - cứu nạn các cấp và văn kiện luyện tập chuyển trạng thái sẳn sàng chiến đấu năm 2023; KP phòng chống dịch bệnh trên GSGC thủy sản 2023; KP thực hiện tháng vệ sinh tiêu độc khử trùng đợt 1 năm 2023; KP diễn tập Khu vực phòng thủ thành phố năm 2023  </t>
  </si>
  <si>
    <t>Chi thực hiện phòng, chống dịch bệnh trên động vật, gia súc, gia cầm và thuỷ sản năm 2023 ( Trung tâm Dịch vụ Nông nghiệp thực hiện)</t>
  </si>
  <si>
    <t>Kinh phí thực hiện kế hoạch phòng, chống dịch bệnh trên động vật, gia súc, gia cầm và thủy sản năm 2023; Kinh phí thực hiện nhiệm vụ ngăn chặn người nước ngoài từ Campuchia xâm nhập trái phép vào Việt Nam qua sông Tiền và phòng chống dịch; Kinh phí thực hiện nhiệm vụ ngăn chặn người nước ngoài từ Campuchia xâm nhập trái phép vào Việt Nam qua sông Tiền</t>
  </si>
  <si>
    <t>Số dư quỹ dự trữ tài chính đến 31/12/2022</t>
  </si>
  <si>
    <t>Số đã bổ sung quỹ dự trữ tài chính 6 tháng đầu năm 2023</t>
  </si>
  <si>
    <t>Từ tiền thu hoàn trả tạm ứng của đơn vị</t>
  </si>
  <si>
    <t>Từ tiền lãi thu gửi KBNN</t>
  </si>
  <si>
    <t>Nội dung các khoản đã xử lý:</t>
  </si>
  <si>
    <t>Từ dự toán năm 2023</t>
  </si>
  <si>
    <t>Từ kết dư năm 2022</t>
  </si>
  <si>
    <t>TÌNH HÌNH SỬ DỤNG DỰ PHÒNG NGÂN SÁCH ĐỊA PHƯƠNG VÀ QUỸ DỰ TRỮ TÀI CHÍNH 
NĂM 2023</t>
  </si>
  <si>
    <t>UBND tỉnh, thành phố………..</t>
  </si>
  <si>
    <t>Mẫu biểu số 28</t>
  </si>
  <si>
    <t>MỘT SỐ CHỈ TIÊU KINH TẾ - XÃ HỘI CƠ BẢN NĂM....</t>
  </si>
  <si>
    <t>(Dùng cho UBND tỉnh, thành phố trực thuộc trung ương báo cáo Bộ Tài chính)</t>
  </si>
  <si>
    <t>Chỉ tiêu kế hoạch giai đoạn …-…</t>
  </si>
  <si>
    <t>Thực hiện năm … (năm trước)</t>
  </si>
  <si>
    <t>Thực hiện năm … (năm hiện hành)</t>
  </si>
  <si>
    <t>Năm … (năm kế hoạch)</t>
  </si>
  <si>
    <t>Diện tích</t>
  </si>
  <si>
    <t>- Đất nông nghiệp</t>
  </si>
  <si>
    <t>- Đất lâm nghiệp</t>
  </si>
  <si>
    <t>- Diện tích khu bảo tồn thiên nhiên</t>
  </si>
  <si>
    <t>- Diện tích rừng tự nhiên</t>
  </si>
  <si>
    <t>- Diện tích trồng lúa</t>
  </si>
  <si>
    <t xml:space="preserve">Dân số </t>
  </si>
  <si>
    <t>- Dân số đô thị</t>
  </si>
  <si>
    <t>- Dân số đồng bằng</t>
  </si>
  <si>
    <t>- Dân số miền núi - vùng đồng bào dân tộc ở đồng bằng, vùng sâu</t>
  </si>
  <si>
    <t>- Dân số vùng cao - hải đảo</t>
  </si>
  <si>
    <t xml:space="preserve">- Tốc độ tăng dân số </t>
  </si>
  <si>
    <t>- Trẻ em dưới 6 tuổi</t>
  </si>
  <si>
    <t>- Dân số trong độ tuổi đến trường từ 18 tuổi trở xuống</t>
  </si>
  <si>
    <t>- Dân số sinh sống ở các loại đô thị:</t>
  </si>
  <si>
    <t>+ Loại đặc biệt</t>
  </si>
  <si>
    <t>+ Loại I</t>
  </si>
  <si>
    <t>+ Loại II</t>
  </si>
  <si>
    <t>+ Loại III</t>
  </si>
  <si>
    <t>+ Loại IV</t>
  </si>
  <si>
    <t>+ Loại V</t>
  </si>
  <si>
    <t>- Dân số là người dân tộc thiểu số</t>
  </si>
  <si>
    <t>- Dân số nhập cư vãng lai</t>
  </si>
  <si>
    <t xml:space="preserve">Đơn vị hành chính cấp huyện </t>
  </si>
  <si>
    <t>huyện</t>
  </si>
  <si>
    <t>- Số đô thị loại I (thuộc tỉnh)</t>
  </si>
  <si>
    <t>- Số đô thị loại II</t>
  </si>
  <si>
    <t>- Số đô thị loại III</t>
  </si>
  <si>
    <t>- Số đô thị loại IV</t>
  </si>
  <si>
    <t>- Số đô thị loại V</t>
  </si>
  <si>
    <t>- Số huyện đảo không có đơn vị hành chính xã</t>
  </si>
  <si>
    <t>'</t>
  </si>
  <si>
    <t>- Số huyện thuộc Chương trình 30a</t>
  </si>
  <si>
    <t>- Số huyện đạt chuẩn nông thôn mới (lũy kế)</t>
  </si>
  <si>
    <t xml:space="preserve">Đơn vị hành chính cấp xã </t>
  </si>
  <si>
    <t>xã</t>
  </si>
  <si>
    <t>- Xã biên giới</t>
  </si>
  <si>
    <t>+ Xã biên giới giáp Lào, Campuchia</t>
  </si>
  <si>
    <t>+ Xã biên giới giáp Trung Quốc</t>
  </si>
  <si>
    <t>- Xã đảo</t>
  </si>
  <si>
    <t>- Số xã thuộc huyện 30a</t>
  </si>
  <si>
    <t>- Số xã đạt chuẩn nông thôn mới (lũy kế)</t>
  </si>
  <si>
    <t xml:space="preserve">Số đơn vị hành chính mang tính đặc thù </t>
  </si>
  <si>
    <t>Trong đó: - cấp tỉnh</t>
  </si>
  <si>
    <t xml:space="preserve">                - cấp huyện</t>
  </si>
  <si>
    <t>Tốc độ tăng tổng sản phẩm trong nước (GRDP)</t>
  </si>
  <si>
    <t>- Ngành công nghiệp xây dựng</t>
  </si>
  <si>
    <t>- Ngành nông lâm thủy sản</t>
  </si>
  <si>
    <t>- Ngành dịch vụ</t>
  </si>
  <si>
    <t>Cơ cấu kinh tế (giá hiện hành)</t>
  </si>
  <si>
    <t>- Giá trị sản xuất ngành công nghiệp xây dựng</t>
  </si>
  <si>
    <t>tỷ đồng</t>
  </si>
  <si>
    <t>- Giá trị sản xuất ngành nông lâm thủy sản</t>
  </si>
  <si>
    <t>- Giá trị ngành dịch vụ</t>
  </si>
  <si>
    <t>- Tỷ trọng giá trị sản xuất ngành công nghiệp xây dựng</t>
  </si>
  <si>
    <t>- Tỷ trọng giá trị sản xuất ngành nông lâm thủy sản</t>
  </si>
  <si>
    <t>- Tỷ trọng giá trị ngành dịch vụ</t>
  </si>
  <si>
    <t>Kim ngạch xuất nhập khẩu</t>
  </si>
  <si>
    <t>triệu USD</t>
  </si>
  <si>
    <t>- Kim ngạch xuất khẩu</t>
  </si>
  <si>
    <t>- Kim ngạch nhập khẩu</t>
  </si>
  <si>
    <t>Số doanh nghiệp</t>
  </si>
  <si>
    <t>doanh nghiệp</t>
  </si>
  <si>
    <t>- Số vốn bình quân/doanh nghiệp</t>
  </si>
  <si>
    <t>- Số doanh nghiệp nhỏ và vừa</t>
  </si>
  <si>
    <t>Giải quyết việc làm</t>
  </si>
  <si>
    <t>Số lượt khách du lịch</t>
  </si>
  <si>
    <t>Số người nghèo theo chuẩn nghèo quốc gia</t>
  </si>
  <si>
    <t>lượt người</t>
  </si>
  <si>
    <t>- Số người nghèo theo tiêu chí thu nhập</t>
  </si>
  <si>
    <t>- Số người nghèo do thiếu hụt tiếp cận dịch vụ xã hội cơ bản</t>
  </si>
  <si>
    <t>- Tỷ lệ nghèo</t>
  </si>
  <si>
    <t>- Số giáo viên</t>
  </si>
  <si>
    <t>học sinh</t>
  </si>
  <si>
    <t>+ Học sinh Dân tộc nội trú</t>
  </si>
  <si>
    <t>trường</t>
  </si>
  <si>
    <t>cơ sở</t>
  </si>
  <si>
    <t>giường</t>
  </si>
  <si>
    <t>+ Kinh phí mua thẻ khám chữa bệnh người nghèo, người dân tộc thiểu số, người sống vùng có điều kiện KTXH ĐBKK</t>
  </si>
  <si>
    <t xml:space="preserve">+ Người hiến bộ phận cơ thể </t>
  </si>
  <si>
    <t xml:space="preserve">người </t>
  </si>
  <si>
    <t>Chỉ tiêu bảo đảm xã hội</t>
  </si>
  <si>
    <t>- Trung tâm bảo trợ xã hội</t>
  </si>
  <si>
    <t>- Số đối tượng sống tại trung tâm bảo trợ xã hội</t>
  </si>
  <si>
    <t xml:space="preserve">- Đối tượng cứu trợ xã hội không tập trung </t>
  </si>
  <si>
    <t>- Số gia đình bệnh binh</t>
  </si>
  <si>
    <t>gia đình</t>
  </si>
  <si>
    <t>- Số gia đình thương binh</t>
  </si>
  <si>
    <t xml:space="preserve">- Số gia đình liệt sỹ </t>
  </si>
  <si>
    <t xml:space="preserve">- Số gia đình có công với đất nước </t>
  </si>
  <si>
    <t>- Số gia đình có Bà mẹ Việt Nam anh hùng</t>
  </si>
  <si>
    <t>- Số gia đình có anh hùng lực lượng vũ trang</t>
  </si>
  <si>
    <t>- Số gia đình có người hoạt động kháng chiến</t>
  </si>
  <si>
    <t>- Số gia đình có người có công giúp đỡ cách mạng</t>
  </si>
  <si>
    <t>- Người bị nhiễm chất độc màu da cam</t>
  </si>
  <si>
    <t xml:space="preserve">- Số hộ gia đình dân tộc thiểu số </t>
  </si>
  <si>
    <t>hộ</t>
  </si>
  <si>
    <t>Trong đó: Số hộ gia đình dân tộc thiểu số nghèo</t>
  </si>
  <si>
    <t>- Tổng số đối tượng bảo trợ xã hội được hưởng trợ cấp xã hội</t>
  </si>
  <si>
    <t>Văn hóa thông tin</t>
  </si>
  <si>
    <t>- Số đoàn nghệ thuật chuyên nghiệp</t>
  </si>
  <si>
    <t>đoàn</t>
  </si>
  <si>
    <t>- Số đoàn nghệ thuật truyền thống</t>
  </si>
  <si>
    <t xml:space="preserve">- Số đội thông tin lưu động </t>
  </si>
  <si>
    <t>đội</t>
  </si>
  <si>
    <t>- Di sản văn hóa thế giới</t>
  </si>
  <si>
    <t>di sản</t>
  </si>
  <si>
    <t>- Di sản văn hóa cấp quốc gia</t>
  </si>
  <si>
    <t>Phát thanh, truyền hình</t>
  </si>
  <si>
    <t>Số huyện ở miền núi-vùng đồng bào dân tộc ở đồng bằng, vùng sâu có trạm phát lại phát thanh truyền hình</t>
  </si>
  <si>
    <t>Thể dục thể thao</t>
  </si>
  <si>
    <t>- Số vận động viên đạt thành tích cao cấp quốc gia</t>
  </si>
  <si>
    <t>- Số vận động viên khuyết tật tham gia các giải do Trung ương tổ chức</t>
  </si>
  <si>
    <t>…., ngày ... tháng ... năm ...</t>
  </si>
  <si>
    <t>TM/ỦY BAN NHÂN DÂN</t>
  </si>
  <si>
    <t>(Ký tên, đóng dấu)</t>
  </si>
  <si>
    <t>CÂN ĐỐI NGÂN SÁCH ĐỊA PHƯƠNG NĂM 2024-2026</t>
  </si>
  <si>
    <t>Ước thực hiện năm 2023</t>
  </si>
  <si>
    <t>Dự toán năm 2024</t>
  </si>
  <si>
    <t>Dự kiến 3 năm 2024-2026</t>
  </si>
  <si>
    <t>Thu chuyển nguồn từ năm trước chuyển sang</t>
  </si>
  <si>
    <t>ƯỚC THỰC HIỆN NĂM 2023</t>
  </si>
  <si>
    <t>DỰ KIẾN NĂM 2026</t>
  </si>
  <si>
    <t xml:space="preserve">ĐVT: Triệu đồng </t>
  </si>
  <si>
    <t>ƯỚC THỰC HIỆN THU NGÂN SÁCH NHÀ NƯỚC NĂM 2023
DỰ TOÁN THU NGÂN SÁCH NHÀ NƯỚC 03 NĂM 2024-2026</t>
  </si>
  <si>
    <t>NỘI DUNG THU</t>
  </si>
  <si>
    <t>ƯỚC THỰC HIỆN CHI NGÂN SÁCH ĐỊA PHƯƠNG NĂM 2023
DỰ TOÁN CHI NGÂN SÁCH ĐỊA PHƯƠNG 03 NĂM 2024-2026</t>
  </si>
  <si>
    <t>ƯỚC THỰC HIỆN CHI NĂM 2023</t>
  </si>
  <si>
    <t>DỰ KIẾN CHI NĂM 2025</t>
  </si>
  <si>
    <t>DỰ KIẾN CHI NĂM 2026</t>
  </si>
  <si>
    <t>DỰ TOÁN CHI NĂM 2024</t>
  </si>
  <si>
    <t xml:space="preserve">                 Thu xổ số kiến thiết</t>
  </si>
  <si>
    <t xml:space="preserve">                 Thu CPH, thoái vốn DNĐP</t>
  </si>
  <si>
    <t xml:space="preserve">                 Các khoản thu còn lại</t>
  </si>
  <si>
    <t>CÂN ĐỐI NGÂN SÁCH ĐỊA PHƯƠNG NĂM 2024-2026
(không kể thu chi điều chỉnh giữa các cấp ngân sách địa phương)</t>
  </si>
  <si>
    <t>DỰ KIẾN NĂM 2027</t>
  </si>
  <si>
    <t>DỰ KIẾN NĂM 2028</t>
  </si>
  <si>
    <t>DỰ KIẾN NĂM 2029</t>
  </si>
  <si>
    <t>DỰ KIẾN NĂM 2030</t>
  </si>
  <si>
    <t>% so dự toán năm 2023</t>
  </si>
  <si>
    <t>% so với UTH năm 2023</t>
  </si>
  <si>
    <t>Thu từ DN có vốn ĐTNN</t>
  </si>
  <si>
    <t>DỰ KIẾN CHI  NĂM 2026</t>
  </si>
  <si>
    <t>DỰ KIẾN CHI  NĂM 2027</t>
  </si>
  <si>
    <t>DỰ KIẾN CHI  NĂM 2028</t>
  </si>
  <si>
    <t>DỰ KIẾN CHI  NĂM 2029</t>
  </si>
  <si>
    <t>DỰ KIẾN CHI  NĂM 2030</t>
  </si>
  <si>
    <t>Tỷ lệ 50% tăng thu so với dự toán thu năm trước</t>
  </si>
  <si>
    <t>Dự toán năm 2019</t>
  </si>
  <si>
    <t>Thực hiện năm 2019</t>
  </si>
  <si>
    <t>Dự toán năm 2020</t>
  </si>
  <si>
    <t>Thực hiện năm 2020</t>
  </si>
  <si>
    <t>Dự toán năm 2021</t>
  </si>
  <si>
    <t>Thực hiện năm 2021</t>
  </si>
  <si>
    <t>Dự toán năm 2022</t>
  </si>
  <si>
    <t>Thực hiện năm 2022</t>
  </si>
  <si>
    <t>Ước thực hiện 2023</t>
  </si>
  <si>
    <t>Dự kiến 5 năm 2021-2025</t>
  </si>
  <si>
    <t>Dự kiến 2027</t>
  </si>
  <si>
    <t>Dự kiến 2028</t>
  </si>
  <si>
    <t>Dự kiến 2029</t>
  </si>
  <si>
    <t>Dự kiến 2030</t>
  </si>
  <si>
    <t>Dự kiến 5 năm 2026-2030</t>
  </si>
  <si>
    <r>
      <t xml:space="preserve">Thu NSĐP </t>
    </r>
    <r>
      <rPr>
        <b/>
        <u/>
        <sz val="12"/>
        <color theme="0"/>
        <rFont val="Times New Roman"/>
        <family val="1"/>
      </rPr>
      <t>(I+2b-2b1-2b2+II)</t>
    </r>
  </si>
  <si>
    <r>
      <t xml:space="preserve">Các khoản thu cân đối NSĐP </t>
    </r>
    <r>
      <rPr>
        <b/>
        <sz val="12"/>
        <color theme="0"/>
        <rFont val="Times New Roman"/>
        <family val="1"/>
      </rPr>
      <t>(1+2a+2b1+2b2+3)</t>
    </r>
  </si>
  <si>
    <t>Chi trả tiền vay</t>
  </si>
  <si>
    <t>Bổ sung các chính sách khác</t>
  </si>
  <si>
    <t>Chi thực hiện mục tiêu, nhiệm vụ quan trọng (Kinh phí XDCB)</t>
  </si>
  <si>
    <t>Chi thực hiện mục tiêu, nhiệm vụ quan trọng (Kinh phí sự nghiệp)</t>
  </si>
  <si>
    <t>Chi mục tiêu, nhiệm vụ khác</t>
  </si>
  <si>
    <t>Năm 2028</t>
  </si>
  <si>
    <t>Chi từ nguồn dự kiến tăng thu sau khi thực hiện CCTL theo quy định</t>
  </si>
  <si>
    <t>Chi từ nguồn dự kiến tăng thu sau khi dành CCTL theo quy định</t>
  </si>
  <si>
    <t>CÂN ĐỐI NGÂN SÁCH ĐỊA PHƯƠNG NĂM 2021-2025; ĐỊNH HƯỚNG 2026</t>
  </si>
  <si>
    <t>Chi thực hiện mục tiêu, nhiệm vụ quan trọng khác (XDCB)</t>
  </si>
  <si>
    <t>Chi thực hiện mục tiêu, nhiệm vụ quan trọng khác (Kinh phí sự nghiệp)</t>
  </si>
  <si>
    <t>Bổ sung mục tiêu khác</t>
  </si>
  <si>
    <t>ƯỚC THỰC HIỆN 2023</t>
  </si>
  <si>
    <t>DỰ TOÁN 2026</t>
  </si>
  <si>
    <t>ƯỚC THỰC HIỆN THU NGÂN SÁCH NHÀ NƯỚC NĂM 2023
DỰ TOÁN THU NGÂN SÁCH NHÀ NƯỚC NĂM 2024</t>
  </si>
  <si>
    <t>CÂN ĐỐI NGÂN SÁCH  ĐỊA PHƯƠNG NĂM 2023-2024</t>
  </si>
  <si>
    <t>Sự nghiệp Giáo dục và Đào tạo</t>
  </si>
  <si>
    <t>Sự nghiệp Kinh tế</t>
  </si>
  <si>
    <t>Sự nghiệp Môi trường</t>
  </si>
  <si>
    <t>Sự nghiệp Khoa học và Công nghệ</t>
  </si>
  <si>
    <t>Sự nghiệp Y tế</t>
  </si>
  <si>
    <t>Sự nghiệp Văn hóa</t>
  </si>
  <si>
    <t>Sự nghiệp Đảm bảo Xã hội</t>
  </si>
  <si>
    <t>Sự nghiệp QLNN</t>
  </si>
  <si>
    <t>Sự nghiệp An ninh Quốc phòng</t>
  </si>
  <si>
    <t>Tổng nhu cầu lương 1.800.000</t>
  </si>
  <si>
    <t>Nguồn hình thành</t>
  </si>
  <si>
    <t>Nguồn còn thừa năm trước chuyển sang</t>
  </si>
  <si>
    <t>Nguồn tiết kiệm 10% chi thường xuyên qua các năm</t>
  </si>
  <si>
    <t>Năm 2023 tăng thêm so với năm 2022</t>
  </si>
  <si>
    <t>Năm 2024 tăng thêm so với năm 2023 (Tạm tính)</t>
  </si>
  <si>
    <t>50% dự toán năm 2024 so với dự toán năm 2023</t>
  </si>
  <si>
    <t>Tổng nguồn hình thành (chưa kể 10% tăng thêm 2024 so với 2023)</t>
  </si>
  <si>
    <t>Chi tạo nguồn</t>
  </si>
  <si>
    <t>Thu</t>
  </si>
  <si>
    <t>Chi thực hiện một số mục tiêu, nhiệm vụ (kinh phí sự nghiệp)</t>
  </si>
  <si>
    <t>Chi thực hiện một số mục tiêu, nhiệm vụ (vốn đầu tư phát triển)</t>
  </si>
  <si>
    <t xml:space="preserve">Chi từ nguồn ngân sách trung ương bổ sung có mục tiêu </t>
  </si>
  <si>
    <t>Cân đối ngân sách địa phương năm 2024</t>
  </si>
  <si>
    <t>Chi ngân sách địa phương năm 2024:</t>
  </si>
  <si>
    <t>Bổ sung nguồn thực hiện CCTL (nếu có); đảm bảo nhiệm vụ chi</t>
  </si>
  <si>
    <t>Trong đó: Chi sự nghiệp Giáo dục-Đào tạo</t>
  </si>
  <si>
    <t xml:space="preserve">                Chi sự nghiệp Khoa học-Công nghệ</t>
  </si>
  <si>
    <t xml:space="preserve">                  Các khoản thu còn lại</t>
  </si>
  <si>
    <t xml:space="preserve">                  Thu từ xổ số kiến thiết</t>
  </si>
  <si>
    <t>Chi đầu tư từ nguồn thu cổ phần hóa, thoái vốn doanh nghiệp nhà nước địa phương quản lý;…</t>
  </si>
  <si>
    <t xml:space="preserve">                  Thu cổ phần hóa, thoái vốn doanh nghiệp nhà nước địa phương quản lý  </t>
  </si>
  <si>
    <t>Thu Ngân sách địa phương được hưởng</t>
  </si>
  <si>
    <t>Trong đó: thu cân đối ngân sách địa phương</t>
  </si>
  <si>
    <t>Thu cân đối ngân sách địa phương không kể tiền sử dụng đất; thu xổ số kiến thiết</t>
  </si>
  <si>
    <t>Phần chi ngân sách địa phương</t>
  </si>
  <si>
    <t>Bổ sung thực hiện mục tiêu, nhiệm vụ quan trọng (vốn đầu tư phát triển)</t>
  </si>
  <si>
    <t>SO SÁNH NĂM 2024 VỚI DỰ TOÁN NĂM 2023
(%)</t>
  </si>
  <si>
    <t>KẾ HOẠCH VAY VÀ TRẢ NỢ NGÂN SÁCH CẤP TỈNH GIAI ĐOẠN 03 NĂM 2024-2026</t>
  </si>
  <si>
    <t xml:space="preserve">Nhà tập thể Sở Tài chính </t>
  </si>
  <si>
    <t>Nhà tập thể Trung tâm Y tế Dự phòng TP. Cao Lãnh</t>
  </si>
  <si>
    <t>Trung tâm Trợ giúp pháp lý nhà nước tỉnh Đồng Tháp</t>
  </si>
  <si>
    <t>Bán đấu giá</t>
  </si>
  <si>
    <t>Trụ sở cũ Trung tâm Y tế Dự phòng và Trung tâm Chăm sóc sức khỏe sinh sản</t>
  </si>
  <si>
    <t>Phòng giao dịch Ngân hàng chinh sách xã hội TP. Sa Đéc (cũ)</t>
  </si>
  <si>
    <t>Tên đơn vị và tên dự án đầu tư</t>
  </si>
  <si>
    <t>Quyết định 
phê duyệt</t>
  </si>
  <si>
    <t>Tổng mức
 đầu tư</t>
  </si>
  <si>
    <t>Thời gian khởi 
công hoàn thành</t>
  </si>
  <si>
    <t>2021-2025</t>
  </si>
  <si>
    <t>TỔNG HỢP DỰ TOÁN CHI NGÂN SÁCH NHÀ NƯỚC TỪ NGUỒN THU XỬ LÝ NHÀ, ĐẤT 
NĂM 2023 VÀ GIAI ĐOẠN 2024-2026</t>
  </si>
  <si>
    <t>Phát triển đô thị trên địa bàn: (ngân sách tỉnh hỗ trợ mục tiêu 03 đường: Nguyễn Tất Thành, N7, D3)</t>
  </si>
  <si>
    <t>Phát triển đô thị trên địa bàn tỉnh: (ngân sách tỉnh hỗ trợ mục tiêu 03 đường: Nguyễn Thị Lựu, Vành Đai Tây, Nguyễn Văn Tre)</t>
  </si>
  <si>
    <t>Kế hoạch 2024 và giai đoạn 2024-2026</t>
  </si>
  <si>
    <t>Lũy kế thực hiện hết năm 2023</t>
  </si>
  <si>
    <t>Tổng kinh phí</t>
  </si>
  <si>
    <t>Trong đó năm 2023</t>
  </si>
  <si>
    <t>Kế hoạch 2024</t>
  </si>
  <si>
    <t>Phát triển đô thị trên địa bàn (ngân sách tỉnh hỗ trợ mục tiêu 02 Khu đô thị: An Thạnh, Bắc An Thạnh; cầu Trần Hưng Đạo và 03 đường: Lê Quý Đôn, Nguyễn Văn Linh, Nguyễn Văn Phấn)</t>
  </si>
  <si>
    <t>Trụ sở cũ Quỹ đầu tư phát triển</t>
  </si>
  <si>
    <t>Trụ sở Ban Quản lý dự án Công trình Dân dụng và Công nghiệp, 57 Nguyễn Thái Bình P. Mỹ Phú</t>
  </si>
  <si>
    <t>Trụ sở Trung tâm phát triển Quỹ đất số 01-03 Hùng Vương P2, TP. Cao Lãnh</t>
  </si>
  <si>
    <t>Cty TNHH MTV Xổ số Kiến thiết Đồng Tháp (Nhà đất do Công ty quản lý thửa số 4; TBĐ số 8);</t>
  </si>
  <si>
    <t xml:space="preserve">Cty TNHH MTV Xổ số Kiến thiết Đồng Tháp (Hội trường mở số thửa đất số 55. TBĐ số 8); </t>
  </si>
  <si>
    <t xml:space="preserve">Cty TNHH MTV Xổ số Kiến thiết Đồng Tháp (Nhà xe Công ty thửa 269; TBĐ:8); </t>
  </si>
  <si>
    <t xml:space="preserve">Cty TNHH MTV Xổ số Kiến thiết Đồng Tháp (Văn phòng Công ty thửa số 40. TBĐ: 29; </t>
  </si>
  <si>
    <t xml:space="preserve">Cty TNHH MTV Xổ số Kiến thiết Đồng Tháp (Khu đất do Công ty quản lý thửa 35; TBĐ số 5);  </t>
  </si>
  <si>
    <t xml:space="preserve">Cty TNHH MTV Xổ số Kiến thiết Đồng Tháp (Khu đất do Công ty quản lý thửa 36; TBĐ số 5); </t>
  </si>
  <si>
    <t>Căn nhà số 27 đường Nguyễn Du, phường 2 TP. Cao Lãnh</t>
  </si>
  <si>
    <t>Căn nhà số 29 đường Nguyễn Du, phường 2 TP. Cao Lãnh</t>
  </si>
  <si>
    <t>Trụ sở Trung tâm Phát triển Quỹ đất Hùng Vương P2, TP. Cao Lãnh</t>
  </si>
  <si>
    <t xml:space="preserve"> Trung tâm Huấn luyện và thi đấu thể thao thuộc Sở Văn hóa Thể thao và Du lịch</t>
  </si>
  <si>
    <t>Chống chịu khí hậu tổng hợp và sinh kế bền vững Đồng bằng sông Cửu Long (MD-ICRSL) - WB9 (Tiểu dự án Nâng cao khả năng thoát lũ và phát triển sinh kế bền vững thích ứng với khí hậu cho vùng Đồng Tháp Mười - các huyện phía Bắc tỉnh Đồng Tháp) (vay lại 30%)</t>
  </si>
  <si>
    <t>Phát triển cơ sở hạ tầng tại tỉnh Đồng Tháp (vốn ODA cấp phát 100%)</t>
  </si>
  <si>
    <t>NGUỒN VÀ NHU CẦU KINH PHÍ ĐỂ THỰC HIỆN CẢI CÁCH TIỀN LƯƠNG CỦA HUYỆN, THÀNH PHỐ NĂM 2023-2024</t>
  </si>
  <si>
    <t>50% tăng thu NSĐP dự toán năm 2023 so với năm năm 2022</t>
  </si>
  <si>
    <t>50% tăng thu NSĐP dự toán năm 2024 so với năm năm 2023</t>
  </si>
  <si>
    <t>70% tăng thu NSĐP thực hiện năm trước so với dự toán năm trước (hết ngày 31/12/2023 sẽ xác định tăng/giảm thu NSH)</t>
  </si>
  <si>
    <t>Giảm tỷ lệ theo kiến nghị của Thanh tra, Kiểm toán nhà nước</t>
  </si>
  <si>
    <t>Ngân sách cấp tỉnh bổ sung thực hiện lương cơ sở đến 1.490.000 đồng/tháng (2023)</t>
  </si>
  <si>
    <t>10% tiết kiệm chi thường xuyên (tăng thêm) năm 2023</t>
  </si>
  <si>
    <t>10% tiết kiệm chi thường xuyên tăng thêm năm 2024</t>
  </si>
  <si>
    <t>10% tiết kiệm chi thường xuyên tăng thêm năm 2025</t>
  </si>
  <si>
    <t>10% tiết kiệm chi thường xuyên tăng thêm năm 2026</t>
  </si>
  <si>
    <t>Tổng chi quỹ lương do tăng tiền lương cơ sở 1.800.000 đồng/tháng (12 tháng năm 2024)</t>
  </si>
  <si>
    <t>Tổng chi quỹ lương do tăng tiền lương cơ sở 1.800.000 đồng/tháng (12 tháng năm 2025)</t>
  </si>
  <si>
    <t>Tổng chi quỹ lương do tăng tiền lương cơ sở 1.800.000 đồng/tháng (12 tháng năm 2026)</t>
  </si>
  <si>
    <t>ƯTH năm 2023</t>
  </si>
  <si>
    <t>Huyện Hồng Ngự</t>
  </si>
  <si>
    <t>DT24/ UTH23</t>
  </si>
  <si>
    <t>UTH23/ DT23</t>
  </si>
  <si>
    <t>Huyện Tân Hồng</t>
  </si>
  <si>
    <t>Huyện Tam Nông</t>
  </si>
  <si>
    <t>Huyện Thanh Bình</t>
  </si>
  <si>
    <t>Huyện Cao Lãnh</t>
  </si>
  <si>
    <t>Huyện Tháp Mười</t>
  </si>
  <si>
    <t>Huyện Lấp Vò</t>
  </si>
  <si>
    <t>Huyện Lai Vung</t>
  </si>
  <si>
    <t>Huyện Châu Thành</t>
  </si>
  <si>
    <t>ƯỚC THỰC HIỆN THU NSNN NĂM 2023 VÀ DỰ TOÁN THU NSNN NĂM 2024 
HUYỆN, THÀNH PHỐ</t>
  </si>
  <si>
    <t>Tăng thu UTH năm 2023 so với dự toán 2023 (không kể thu tiền sử dụng đất)</t>
  </si>
  <si>
    <t>Dành 70% tăng thu UTH năm 2023 so với dự toán 2023</t>
  </si>
  <si>
    <t>Tăng thu dự toán năm 2024 so với dự toán 2023 (không kể thu tiền sử dụng đất)</t>
  </si>
  <si>
    <t>Dành 50% tăng thu dự toán năm 2024 so với dự toán 2023</t>
  </si>
  <si>
    <t>DỰ TOÁN 2024</t>
  </si>
  <si>
    <t>DT2024/
DT2023
(Số tuyệt đối)</t>
  </si>
  <si>
    <t>DT2024/
DT2023
(Số tương đối)</t>
  </si>
  <si>
    <t>HUYỆN HỒNG NGỰ</t>
  </si>
  <si>
    <t>HUYỆN TÂN HỒNG</t>
  </si>
  <si>
    <t>HUYỆN TAM NÔNG</t>
  </si>
  <si>
    <t>HUYỆN THANH BÌNH</t>
  </si>
  <si>
    <t>HUYỆN THÁP MƯỜI</t>
  </si>
  <si>
    <t>HUYỆN LẤP VÒ</t>
  </si>
  <si>
    <t>HUYỆN LAI VUNG</t>
  </si>
  <si>
    <t>HUYỆN CHAU THÀNH</t>
  </si>
  <si>
    <t>CÂN ĐỐI NGÂN SÁCH HUYỆN, THÀNH PHỐ NĂM 2023-2024</t>
  </si>
  <si>
    <t>Bổ sung nguồn thực hiện điều chỉnh tiền lương cơ sở tăng thêm đến 1.800.000 đồng/tháng (12 tháng)</t>
  </si>
  <si>
    <t>Bổ sung có mục tiêu thực hiện chính sách an sinh xã hội (ngoài chính sách tiền lương)</t>
  </si>
  <si>
    <t>Bổ sung có mục tiêu kinh phí an toàn giao thông ngân sách trung ương bổ sung có mục tiêu</t>
  </si>
  <si>
    <t>Kinh phí hỗ trợ giá sản phẩm, dịch vụ công ích thủy lợi theo quy định tại Nghị định số 96/2018/NĐ-CP ngày 30/6/2018 của Chính phủ</t>
  </si>
  <si>
    <t>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t>
  </si>
  <si>
    <t>Bổ sung có mục tiêu đảm kinh phí thực hiện theo Nghị định 161/2023/NĐ-CP</t>
  </si>
  <si>
    <t>Phụ lục số 01</t>
  </si>
  <si>
    <t>Phụ lục số 02</t>
  </si>
  <si>
    <t>Đánh giá ước thực hiện thu NSNN…………..</t>
  </si>
  <si>
    <t>Đánh giá ước thực hiện chi NSĐP…………..</t>
  </si>
  <si>
    <t>Cột huyện, lấy NSH hưởng (5)</t>
  </si>
  <si>
    <t>Cột huyện, lấy NSH hưởng (6)</t>
  </si>
  <si>
    <t>Cân đối NSĐP không kể chi chuyển giao….</t>
  </si>
  <si>
    <t>Cân đối NSĐP kể chi chuyển giao….</t>
  </si>
  <si>
    <t>Chú ý tỷ lệ tăng từ PL này</t>
  </si>
  <si>
    <t>Phụ lục số 03.1</t>
  </si>
  <si>
    <t>Phụ lục số 04</t>
  </si>
  <si>
    <t>Chi thường xuyên các lĩnh vực….</t>
  </si>
  <si>
    <t>Phụ lục số 05</t>
  </si>
  <si>
    <t>Thu NSNN trên địa bàn huyện…….</t>
  </si>
  <si>
    <t>Phụ lục số 06</t>
  </si>
  <si>
    <t>Chi ngân sách huyện……….</t>
  </si>
  <si>
    <t>Phụ lục số 07</t>
  </si>
  <si>
    <t>Cân đối huyện, thành phố….</t>
  </si>
  <si>
    <t>Phụ lục số 8</t>
  </si>
  <si>
    <t>Dự toán chi từ NSTW bổ sung có mục tiêu….</t>
  </si>
  <si>
    <t>Phụ lục 1 - HĐND</t>
  </si>
  <si>
    <t>Cân đối NSNN</t>
  </si>
  <si>
    <t>Phụ lục 2 - HĐND</t>
  </si>
  <si>
    <t>Cân đối Ngân sách cấp tỉnh….</t>
  </si>
  <si>
    <t>Phụ lục 3 - HĐND</t>
  </si>
  <si>
    <t>Dự toán thu NSNN trên địa bàn…</t>
  </si>
  <si>
    <t>Phụ lục 4 - HĐND</t>
  </si>
  <si>
    <t>Dự toán chi ngân sách địa phương…</t>
  </si>
  <si>
    <t>Phụ lục 5 - HĐND</t>
  </si>
  <si>
    <t>Dự toán thu NSNN trên địa bàn huyện…..</t>
  </si>
  <si>
    <t>Phụ lục 6 - HĐND</t>
  </si>
  <si>
    <t>Dự toán chi ngân sách huyện….</t>
  </si>
  <si>
    <t xml:space="preserve">Phụ lục 7 - HĐND </t>
  </si>
  <si>
    <t>Cân đối ngân sách huyện….</t>
  </si>
  <si>
    <t>Phụ lục 8 - HĐND</t>
  </si>
  <si>
    <t>Dự toán chi từ nguồn NSTW bổ sung có mục tiêu….</t>
  </si>
  <si>
    <t>Phụ lục 9 - HĐND</t>
  </si>
  <si>
    <t>Dự toán chi thường xuyên các lĩnh vực</t>
  </si>
  <si>
    <t>DỰ THẢO BÁO CÁO</t>
  </si>
  <si>
    <t>DỰ THẢO NGHỊ QUYẾT</t>
  </si>
  <si>
    <t>Phụ lục 5.1 - Thu</t>
  </si>
  <si>
    <t>Phụ lục 6.1 - CĐ Chi</t>
  </si>
  <si>
    <t>Phụ lục 7.1 -</t>
  </si>
  <si>
    <t>Cân đối chi</t>
  </si>
  <si>
    <t>Cân đối thu - chi</t>
  </si>
  <si>
    <t>Tổng hợp thu</t>
  </si>
  <si>
    <t>Nguồn và nhu cầu CCTL</t>
  </si>
  <si>
    <t>Phụ lục 7.2 - CCTL</t>
  </si>
  <si>
    <t>Phụ lục 7.3 - CĐCS</t>
  </si>
  <si>
    <t>Nguồn và nhu cầu chế độ chính sách</t>
  </si>
  <si>
    <t>Phụ lục 7.4 - 10%</t>
  </si>
  <si>
    <t>Phụ lục tiết kiệm 10%</t>
  </si>
  <si>
    <t>TỔNG HỢP</t>
  </si>
  <si>
    <t>Phụ lục 3.2</t>
  </si>
  <si>
    <t>Số phân bổ từ dự toán năm sau/dự toán năm trước</t>
  </si>
  <si>
    <t>Phụ lục 3.3</t>
  </si>
  <si>
    <t>DANH MỤC PHỤ LỤC THEO DÕI DỰ TOÁN…..</t>
  </si>
  <si>
    <t>Số hiệu phụ lục</t>
  </si>
  <si>
    <t>Tên phụ lục</t>
  </si>
  <si>
    <t>Màu theo dõi</t>
  </si>
  <si>
    <t>PL-VAY TRA NO</t>
  </si>
  <si>
    <t>Vay - Trả nợ vay</t>
  </si>
  <si>
    <t>PL-DP DU TRU</t>
  </si>
  <si>
    <t>Dự phòng - Quỹ dự trữ Tài chính</t>
  </si>
  <si>
    <t>TÌNH HÌNH THỰC HIỆN KẾ HOẠCH TÀI CHÍNH CÁC QUỸ TÀI CHÍNH NGOÀI NGÂN SÁCH DO TỈNH QUẢN LÝ NĂM 2023-2024</t>
  </si>
  <si>
    <t>Số dư nguồn đến 31/12/2023</t>
  </si>
  <si>
    <t>Số dư nguồn đến ngày 31/12/2024</t>
  </si>
  <si>
    <t>Chênh lệch nguồn trong năm</t>
  </si>
  <si>
    <t>5=2-4</t>
  </si>
  <si>
    <t>6=1+2-4</t>
  </si>
  <si>
    <t>10=7-9</t>
  </si>
  <si>
    <t>11=6+7-9</t>
  </si>
  <si>
    <t>Quỹ Đầu tư phát triển</t>
  </si>
  <si>
    <t>Quỹ Phát triển đất cấp tỉnh</t>
  </si>
  <si>
    <t>Quỹ Hỗ trợ phát triển Hợp tác xã</t>
  </si>
  <si>
    <t>Quỹ Bảo lãnh tín dụng DNNVV và Hỗ trợ khởi nghiệp</t>
  </si>
  <si>
    <t>Quỹ Hỗ trợ nông dân</t>
  </si>
  <si>
    <t>Quỹ Phòng, chống thiên tai</t>
  </si>
  <si>
    <t>Quỹ Khám chữa bệnh cho người nghèo</t>
  </si>
  <si>
    <t>Quỹ Vì người nghèo</t>
  </si>
  <si>
    <t>Quỹ Hỗ trợ Phụ nữ phát triển kinh tế tỉnh Đồng Tháp</t>
  </si>
  <si>
    <t>Quỹ Khuyến học Nguyễn Sinh Sắc</t>
  </si>
  <si>
    <t>Quỹ Tái hòa nhập Cộng đồng</t>
  </si>
  <si>
    <t>Quỹ Phòng chống tội phạm</t>
  </si>
  <si>
    <t>Quỹ Trợ giúp nhân đạo</t>
  </si>
  <si>
    <t>Quỹ Bảo trợ Nạn nhân chất độc da cam tỉnh Đồng Tháp</t>
  </si>
  <si>
    <t>Quỹ Đền ơn đáp nghĩa và Bảo trợ trẻ em</t>
  </si>
  <si>
    <t>15.1</t>
  </si>
  <si>
    <t>Quỹ Bảo trợ trẻ em</t>
  </si>
  <si>
    <t>15.2</t>
  </si>
  <si>
    <t>Quỹ Đền ơn đáp nghĩa.</t>
  </si>
  <si>
    <t>PL-QUYTCNGOAINS</t>
  </si>
  <si>
    <t>Quỹ ngoài ngân sách</t>
  </si>
  <si>
    <t>Biểu mẫu số 03</t>
  </si>
  <si>
    <t>Kế hoạch giải ngân vốn vay</t>
  </si>
  <si>
    <t>Biểu mẫu số 04</t>
  </si>
  <si>
    <t>Dự toán thu tiền xử lý nhà, đất</t>
  </si>
  <si>
    <t>Biểu mẫu số 05</t>
  </si>
  <si>
    <t>Dự toán chi từ nguồn xử lý nhà đất</t>
  </si>
  <si>
    <t>PL-CĐNAMTHEOTW</t>
  </si>
  <si>
    <t>Cân đối thu-chi năm theo Trung ương</t>
  </si>
  <si>
    <t>PL-NSTWBSMT</t>
  </si>
  <si>
    <t>Ngân sách TW bổ sung trong năm</t>
  </si>
  <si>
    <t>Biểu mẫu số 01-KTXH</t>
  </si>
  <si>
    <t>Biểu mẫu số 01-KTXH.1</t>
  </si>
  <si>
    <t>Biểu kinh tế xã hội theo Thông tư 342</t>
  </si>
  <si>
    <t>Biểu kinh tế xã hội theo rút gọn</t>
  </si>
  <si>
    <t>PL1.1</t>
  </si>
  <si>
    <t>Thu NSNN giai đoạn….2022…..</t>
  </si>
  <si>
    <t>Chi NSĐP giai đoạn…..2022….</t>
  </si>
  <si>
    <t>PL2.1</t>
  </si>
  <si>
    <t>Xây dựng được xây dựng trên nền Phụ lục số 3 và 3.1</t>
  </si>
  <si>
    <t>PL-TổngThu21-25</t>
  </si>
  <si>
    <t>Tổng thu Giai đoạn….2022…</t>
  </si>
  <si>
    <t>PL-TổngChi21-25</t>
  </si>
  <si>
    <t>Tổng chi Giai đoạn….2022….</t>
  </si>
  <si>
    <t>PL-CĐ21-25</t>
  </si>
  <si>
    <t>Tổng CĐ Giai đoạn….2022….</t>
  </si>
  <si>
    <t>PL-NSTWBSGĐ</t>
  </si>
  <si>
    <t>Tổng NSTW Bổ sung giai đoạn…..</t>
  </si>
  <si>
    <t>PL-KHTC5NAM</t>
  </si>
  <si>
    <t>Phụ lục Kế hoạch Tài chính 5 năm….</t>
  </si>
  <si>
    <t>Cân đối ngân sách địa phương năm 2023</t>
  </si>
  <si>
    <t>Thu NSĐP năm 2024</t>
  </si>
  <si>
    <t>Phụ lục UTH…/DT</t>
  </si>
  <si>
    <t>Phụ lục ước thực hiện…..Dự toán</t>
  </si>
  <si>
    <t>Phụ lục CĐNS</t>
  </si>
  <si>
    <t>Phụ lục CĐNS ước thực hiện….Dự toán…..</t>
  </si>
  <si>
    <t>CĐ03nam</t>
  </si>
  <si>
    <t>Cân đối 03 năm….</t>
  </si>
  <si>
    <t>Thu03nam</t>
  </si>
  <si>
    <t>Chi03nam</t>
  </si>
  <si>
    <t>Chi NSĐP 03 năm…..</t>
  </si>
  <si>
    <t>Thu NSNN trên địa bàn 03 năm….</t>
  </si>
  <si>
    <t>Chi Cân đối NSĐP 03 năm…..</t>
  </si>
  <si>
    <t>DTTW-DTĐP</t>
  </si>
  <si>
    <t>Dự toán Trung ương và Dự toán địa phương….</t>
  </si>
  <si>
    <t>NCTienluong</t>
  </si>
  <si>
    <t>Nhu cầu tiền lương</t>
  </si>
  <si>
    <t>PL-SosanhĐM</t>
  </si>
  <si>
    <t>Phụ lục So sánh định mức</t>
  </si>
  <si>
    <t>PL-ĐP Xác định lại ĐM</t>
  </si>
  <si>
    <t>Phụ lục Địa phương xác định lại Định mức</t>
  </si>
  <si>
    <t>PL-TW Xác định lại ĐM</t>
  </si>
  <si>
    <t>Phụ lục Trung ương xác định lại Định mức</t>
  </si>
  <si>
    <t>PL-Định mức chi TX</t>
  </si>
  <si>
    <t>Phụ lục Định mức chi thường xuyên…</t>
  </si>
  <si>
    <t>PL1-Thu6T</t>
  </si>
  <si>
    <t>Phụ lục Thu 6 tháng….</t>
  </si>
  <si>
    <t>PL2-Chi6T</t>
  </si>
  <si>
    <t>Phụ lục Chi 6 tháng….</t>
  </si>
  <si>
    <t>PL3-CĐ6T</t>
  </si>
  <si>
    <t>Phụ lục Cân đối 6 tháng….Bổ sung</t>
  </si>
  <si>
    <t>PL3-CĐ6T-KBS</t>
  </si>
  <si>
    <t>Phụ lục Cân đối 6 tháng….Không bổ sung</t>
  </si>
  <si>
    <t xml:space="preserve">Thu từ doanh nghiệp quốc doanh Trung ương quản lý </t>
  </si>
  <si>
    <t xml:space="preserve">Thu từ doanh nghiệp quốc doanh địa phương quản lý </t>
  </si>
  <si>
    <t>Thu từ khu vực đầu tư nước ngoài</t>
  </si>
  <si>
    <t>Thu tại xã, phường, thị trấn</t>
  </si>
  <si>
    <t>Thu tiền cấp quyền khai thác khoáng sản</t>
  </si>
  <si>
    <t>Chi hoạt động sự nghiệp môi trường</t>
  </si>
  <si>
    <t xml:space="preserve">Chi Quốc phòng- An ninh  </t>
  </si>
  <si>
    <t>Kế hoạch vay nợ</t>
  </si>
  <si>
    <t>Kế hoạch trả nợ</t>
  </si>
  <si>
    <t>Tổng mức vốn huy động cho đầu tư phát triển</t>
  </si>
  <si>
    <t>Trả nợ gốc từ nguồn bội thu</t>
  </si>
  <si>
    <t>Phụ lục 1-KQPB</t>
  </si>
  <si>
    <t>Cân đối đối ngân sách địa phương</t>
  </si>
  <si>
    <t>Phụ lục 2-KQPB</t>
  </si>
  <si>
    <t>Dự toán thu ngân sách địa phương</t>
  </si>
  <si>
    <t>Phụ lục 3-KQPB</t>
  </si>
  <si>
    <t>Phụ lục 4-KQPB</t>
  </si>
  <si>
    <t>Phụ lục 5-KQPB</t>
  </si>
  <si>
    <t>Dự toán chi ngân sách địa phương</t>
  </si>
  <si>
    <t>Dự toán chi một số CTMT, Dự án quan trọng</t>
  </si>
  <si>
    <t>Dự toán chi vốn đầu tư xây dựng cơ bản</t>
  </si>
  <si>
    <t>Phụ lục theo dõi đề án - đối ứng nguồn lực địa phương</t>
  </si>
  <si>
    <t>PL-Theo dõi 2</t>
  </si>
  <si>
    <t>PL-Theo dõi 1</t>
  </si>
  <si>
    <t>Phụ lục theo dõi nguồn chưa phân bổ trong năm</t>
  </si>
  <si>
    <t>NHÓM PHỤ LỤC KẾT QUẢ PHÂN BỔ</t>
  </si>
  <si>
    <t>Phụ lục 1 - CKNS</t>
  </si>
  <si>
    <t>Phụ lục 2 - CKNS</t>
  </si>
  <si>
    <t>Phụ lục 3 - CKNS</t>
  </si>
  <si>
    <t>Dự toán thu ngân sách nhà nước năm…..</t>
  </si>
  <si>
    <t>Cân đối ngân sách cấp tỉnh năm…..</t>
  </si>
  <si>
    <t>Cân đối ngân sách địa phương năm…..</t>
  </si>
  <si>
    <t>Chi trả lãi khoản vay của ngân sách cấp tỉnh</t>
  </si>
  <si>
    <t>Dự toán chi ngân sách địa phương năm…..</t>
  </si>
  <si>
    <t>Phụ lục 5 - CKNS</t>
  </si>
  <si>
    <t>Phụ lục 4 - CKNS</t>
  </si>
  <si>
    <t>Dự toán chi thường xuyên các lĩnh vực năm……</t>
  </si>
  <si>
    <t>Phụ lục 6 - CKNS</t>
  </si>
  <si>
    <t>Phụ lục 7 - CKNS</t>
  </si>
  <si>
    <t>Cân đối dự toán ngân sách huyện….</t>
  </si>
  <si>
    <t>Phụ lục 7 - HĐND</t>
  </si>
  <si>
    <t>Phụ lục 8 - CKNS</t>
  </si>
  <si>
    <t>Đơn vị tính: %</t>
  </si>
  <si>
    <t>Tên huyện, thành phố</t>
  </si>
  <si>
    <t>Chi tiết các khoản thu (6)</t>
  </si>
  <si>
    <t>Lệ phí
môn bài (1 )</t>
  </si>
  <si>
    <t>Lệ phí trước bạ (2 )</t>
  </si>
  <si>
    <t>Thu phí, lệ phí thuộc cấp huyện  (3)</t>
  </si>
  <si>
    <t>Thu tiền thuê đất, thuê mặt nước (4)</t>
  </si>
  <si>
    <t>Thu tiền sử dụng đất (5)</t>
  </si>
  <si>
    <t>Thu khác ngân sách huyện (6)</t>
  </si>
  <si>
    <t>Thuế GTGT</t>
  </si>
  <si>
    <t>Thuế TNDN</t>
  </si>
  <si>
    <t>Thuế TTĐB</t>
  </si>
  <si>
    <t>Thu khác NQD</t>
  </si>
  <si>
    <t xml:space="preserve">Thành phố Sa Đéc </t>
  </si>
  <si>
    <t xml:space="preserve">Ghi chú: </t>
  </si>
  <si>
    <t>(1): không kể lệ phí môn bài thu từ cá nhân, hộ kinh doanh</t>
  </si>
  <si>
    <t>(2): không kể lệ phí trước bạ nhà, đất</t>
  </si>
  <si>
    <t>(3): không kể phí, lệ phí do các ngành thuộc TW, cấp Tỉnh và cấp xã thu</t>
  </si>
  <si>
    <t>(4): không kể tiền thuê đát do cấp Tỉnh quản lý</t>
  </si>
  <si>
    <t>(5): không kể tiền sử dụng đất do cấp Tỉnh quản lý</t>
  </si>
  <si>
    <t>(6): +kể cả tiền cho thuê, bán nhà thuộc sở hữu nhà nước; thu hoạt động sự nghiệp của các đơn vị; viện trợ không hoàn lại và các thu khác do cấp huyện quản lý</t>
  </si>
  <si>
    <r>
      <t xml:space="preserve"> (7): Đối với tỷ lệ điều tiết của 4 khoản thu (thuế sử dụng đất phi nông nghiệp; thuế môn bài từ cá nhân, hộ kinh doanh; thuế sử dụng đất nông nghiệp và lệ phí trước bạ nhà, đất) </t>
    </r>
    <r>
      <rPr>
        <b/>
        <sz val="9"/>
        <rFont val="Times New Roman"/>
        <family val="1"/>
      </rPr>
      <t>uỷ quyền cho Hội đồng nhân dân thành phố Cao Lãnh, thành phố Sa Đéc, thành phố Hồng Ngự Quyết nghị</t>
    </r>
    <r>
      <rPr>
        <sz val="9"/>
        <rFont val="Times New Roman"/>
        <family val="1"/>
      </rPr>
      <t xml:space="preserve"> tỷ lệ phần trăm phân chia cho </t>
    </r>
    <r>
      <rPr>
        <b/>
        <sz val="9"/>
        <rFont val="Times New Roman"/>
        <family val="1"/>
      </rPr>
      <t>ngân sách phường</t>
    </r>
    <r>
      <rPr>
        <sz val="9"/>
        <rFont val="Times New Roman"/>
        <family val="1"/>
      </rPr>
      <t xml:space="preserve"> được hưởng.</t>
    </r>
  </si>
  <si>
    <t>Tỷ lệ (%) phân chia các khoản thu Tỉnh + Huyện</t>
  </si>
  <si>
    <t xml:space="preserve">TỶ LỆ PHẦN TRĂM ( % ) PHÂN CHIA CÁC KHOẢN THU </t>
  </si>
  <si>
    <t xml:space="preserve">Đơn vị tính: % </t>
  </si>
  <si>
    <t>Tên xã, phường, thị trấn</t>
  </si>
  <si>
    <t>Thuế môn bài thu từ cá nhân, hộ kinh doanh</t>
  </si>
  <si>
    <t>Lệ phí trước bạ nhà, đất</t>
  </si>
  <si>
    <t>Các khoản thu tại xã, phường, thị trấn</t>
  </si>
  <si>
    <t xml:space="preserve">Thị trấn Thường Thới Tiền </t>
  </si>
  <si>
    <t>Thường Phước I</t>
  </si>
  <si>
    <t>Thường Phước II</t>
  </si>
  <si>
    <t>Thường Thới Hậu A</t>
  </si>
  <si>
    <t>Thường Lạc</t>
  </si>
  <si>
    <t>Long Khánh A</t>
  </si>
  <si>
    <t>Long Khánh B</t>
  </si>
  <si>
    <t xml:space="preserve">Long Thuận </t>
  </si>
  <si>
    <t>Phú Thuận A</t>
  </si>
  <si>
    <t>Phú Thuận B</t>
  </si>
  <si>
    <t>Phường An Lạc</t>
  </si>
  <si>
    <r>
      <t xml:space="preserve">Đối với tỷ lệ điều tiết của 4 khoản thu (thuế sử dụng đất phi nông nghiệp; lệ phí môn bài từ cá nhân, hộ kinh doanh; thuế sử dụng đất nông nghiệp và lệ phí trước bạ nhà, đất) </t>
    </r>
    <r>
      <rPr>
        <b/>
        <sz val="12"/>
        <rFont val="Times New Roman"/>
        <family val="1"/>
      </rPr>
      <t xml:space="preserve">uỷ quyền cho Hội đồng nhân dân thành phố Hồng Ngự Quyết nghị tỷ lệ phần trăm phân chia cho ngân sách phường </t>
    </r>
    <r>
      <rPr>
        <sz val="12"/>
        <rFont val="Times New Roman"/>
        <family val="1"/>
      </rPr>
      <t>được hưởng.</t>
    </r>
  </si>
  <si>
    <t>Phường An Thạnh</t>
  </si>
  <si>
    <t>Phường An Lộc</t>
  </si>
  <si>
    <t>Phường An Bình A</t>
  </si>
  <si>
    <t>Phường An Bình B</t>
  </si>
  <si>
    <t xml:space="preserve">Bình Thạnh </t>
  </si>
  <si>
    <t>Tân Hội</t>
  </si>
  <si>
    <t>Thị trấn Sa Rày</t>
  </si>
  <si>
    <t>Thông Bình</t>
  </si>
  <si>
    <t>Bình Phú</t>
  </si>
  <si>
    <t>Tân Hộ Cơ</t>
  </si>
  <si>
    <t>Tân Thành A</t>
  </si>
  <si>
    <t>Tân Thành B</t>
  </si>
  <si>
    <t xml:space="preserve">Tân Phước </t>
  </si>
  <si>
    <t>Tân Công Chí</t>
  </si>
  <si>
    <t xml:space="preserve">An Phước </t>
  </si>
  <si>
    <t>Tam Nông</t>
  </si>
  <si>
    <t>Thi trấn Tràm Chím</t>
  </si>
  <si>
    <t>Tân Công Sính</t>
  </si>
  <si>
    <t>Phú Đức</t>
  </si>
  <si>
    <t>Phú Hiệp</t>
  </si>
  <si>
    <t>Phù Cường</t>
  </si>
  <si>
    <t>Phú Ninh</t>
  </si>
  <si>
    <t>An Long</t>
  </si>
  <si>
    <t>An Hòa</t>
  </si>
  <si>
    <t>Phú Thành A</t>
  </si>
  <si>
    <t>Phú Thành B</t>
  </si>
  <si>
    <t xml:space="preserve">Phú Thọ </t>
  </si>
  <si>
    <t>Hòa Bình</t>
  </si>
  <si>
    <t xml:space="preserve">Thị trấn Thanh Bình </t>
  </si>
  <si>
    <t xml:space="preserve">Bình Thành </t>
  </si>
  <si>
    <t xml:space="preserve">Tân Thạnh </t>
  </si>
  <si>
    <t xml:space="preserve">An Phong </t>
  </si>
  <si>
    <t xml:space="preserve">Tân Mỹ </t>
  </si>
  <si>
    <t xml:space="preserve">Phú Lợi </t>
  </si>
  <si>
    <t xml:space="preserve">Bình Tấn </t>
  </si>
  <si>
    <t xml:space="preserve">Tân Phú </t>
  </si>
  <si>
    <t xml:space="preserve">Tân Huề </t>
  </si>
  <si>
    <t xml:space="preserve">Tân Quới </t>
  </si>
  <si>
    <t xml:space="preserve">Tân Long </t>
  </si>
  <si>
    <t xml:space="preserve">Tân Hòa </t>
  </si>
  <si>
    <t xml:space="preserve">Tân Bình </t>
  </si>
  <si>
    <t xml:space="preserve">Thành phố Cao Lãnh </t>
  </si>
  <si>
    <t>Phường 1</t>
  </si>
  <si>
    <r>
      <t xml:space="preserve">Đối với tỷ lệ điều tiết của 4 khoản thu (thuế sử dụng đất phi nông nghiệp; lệ phí môn bài từ cá nhân, hộ kinh doanh; thuế sử dụng đất nông nghiệp và lệ phí trước bạ nhà, đất) </t>
    </r>
    <r>
      <rPr>
        <b/>
        <sz val="12"/>
        <rFont val="Times New Roman"/>
        <family val="1"/>
      </rPr>
      <t>uỷ quyền cho Hội đồng nhân dân thành phố Cao Lãnh Quyết nghị</t>
    </r>
    <r>
      <rPr>
        <sz val="12"/>
        <rFont val="Times New Roman"/>
        <family val="1"/>
      </rPr>
      <t xml:space="preserve"> tỷ lệ phần trăm phân chia cho </t>
    </r>
    <r>
      <rPr>
        <b/>
        <sz val="12"/>
        <rFont val="Times New Roman"/>
        <family val="1"/>
      </rPr>
      <t>ngân sách phường</t>
    </r>
    <r>
      <rPr>
        <sz val="12"/>
        <rFont val="Times New Roman"/>
        <family val="1"/>
      </rPr>
      <t xml:space="preserve"> được hưởng.</t>
    </r>
  </si>
  <si>
    <t>Phường 2</t>
  </si>
  <si>
    <t>Phường 3</t>
  </si>
  <si>
    <t>Phường 4</t>
  </si>
  <si>
    <t>Phường 6</t>
  </si>
  <si>
    <t>Phường 11</t>
  </si>
  <si>
    <t>Phường Mỹ Phú</t>
  </si>
  <si>
    <t>Phường Hoà Thuận</t>
  </si>
  <si>
    <t xml:space="preserve">Tân Thuận Đông </t>
  </si>
  <si>
    <t>Tân Thuận Tây</t>
  </si>
  <si>
    <t>Tịnh Thới</t>
  </si>
  <si>
    <t>Mỹ Trà</t>
  </si>
  <si>
    <t>Mỹ Ngãi</t>
  </si>
  <si>
    <t xml:space="preserve">Mỹ Tân </t>
  </si>
  <si>
    <t>Hòa An</t>
  </si>
  <si>
    <t xml:space="preserve">Huyện Cao Lãnh </t>
  </si>
  <si>
    <t xml:space="preserve">Thị trấn Mỹ Thọ </t>
  </si>
  <si>
    <t xml:space="preserve">An Bình </t>
  </si>
  <si>
    <t xml:space="preserve">Mỹ Thọ </t>
  </si>
  <si>
    <t xml:space="preserve">Mỹ Hội </t>
  </si>
  <si>
    <t xml:space="preserve">Mỹ Xương </t>
  </si>
  <si>
    <t xml:space="preserve">Mỹ Long </t>
  </si>
  <si>
    <t xml:space="preserve">Mỹ Hiệp </t>
  </si>
  <si>
    <t>Bình Hàng Trung</t>
  </si>
  <si>
    <t>Bình Hàng Tây</t>
  </si>
  <si>
    <t>Nhị Mỹ</t>
  </si>
  <si>
    <t xml:space="preserve">Gáo Giồng </t>
  </si>
  <si>
    <t xml:space="preserve">Phương Thịnh </t>
  </si>
  <si>
    <t>Phương Trà</t>
  </si>
  <si>
    <t>Ba Sao</t>
  </si>
  <si>
    <t xml:space="preserve">Tân Hội Trung </t>
  </si>
  <si>
    <t>Phong Mỹ</t>
  </si>
  <si>
    <t>Tân Nghĩa</t>
  </si>
  <si>
    <t>Thị trấn Mỹ An</t>
  </si>
  <si>
    <t>Mỹ Quý</t>
  </si>
  <si>
    <t xml:space="preserve">Mỹ Đông </t>
  </si>
  <si>
    <t>Mỹ An</t>
  </si>
  <si>
    <t>Mỹ Hòa</t>
  </si>
  <si>
    <t xml:space="preserve">Đốc Binh Kiều </t>
  </si>
  <si>
    <t xml:space="preserve">Phú Điền </t>
  </si>
  <si>
    <t>Thanh Mỹ</t>
  </si>
  <si>
    <t xml:space="preserve">Trường Xuân </t>
  </si>
  <si>
    <t xml:space="preserve">Hưng Thạnh </t>
  </si>
  <si>
    <t>Láng Biển</t>
  </si>
  <si>
    <t xml:space="preserve">Thạnh Lợi </t>
  </si>
  <si>
    <t xml:space="preserve">Tân Kiều </t>
  </si>
  <si>
    <t>IX</t>
  </si>
  <si>
    <t>Thị trấn Lấp Vò</t>
  </si>
  <si>
    <t xml:space="preserve">Bình Thạnh Trung </t>
  </si>
  <si>
    <t xml:space="preserve">Định An </t>
  </si>
  <si>
    <t>Định Yên</t>
  </si>
  <si>
    <t xml:space="preserve">Hội An Đông </t>
  </si>
  <si>
    <t>Mỹ An Hưng A</t>
  </si>
  <si>
    <t>Mỹ An Hưng B</t>
  </si>
  <si>
    <t>Tân Mỹ</t>
  </si>
  <si>
    <t xml:space="preserve">Tân Khánh Trung </t>
  </si>
  <si>
    <t>Long Hưng A</t>
  </si>
  <si>
    <t>Long Hưng B</t>
  </si>
  <si>
    <t xml:space="preserve">Vĩnh Thạnh </t>
  </si>
  <si>
    <t>X</t>
  </si>
  <si>
    <t xml:space="preserve">Huyện Lai Vung </t>
  </si>
  <si>
    <t xml:space="preserve">Thị trấn Lai Vung </t>
  </si>
  <si>
    <t xml:space="preserve">Hoà Thành </t>
  </si>
  <si>
    <t xml:space="preserve">Tân Dương </t>
  </si>
  <si>
    <t xml:space="preserve">Tân Thành  </t>
  </si>
  <si>
    <t xml:space="preserve">Hoà Long </t>
  </si>
  <si>
    <t xml:space="preserve">Long Thắng </t>
  </si>
  <si>
    <t xml:space="preserve">Vĩnh Thới </t>
  </si>
  <si>
    <t xml:space="preserve">Tân Hoà </t>
  </si>
  <si>
    <t>Định Hoà</t>
  </si>
  <si>
    <t xml:space="preserve">Phong Hòa </t>
  </si>
  <si>
    <t xml:space="preserve">Long Hậu </t>
  </si>
  <si>
    <t>XI</t>
  </si>
  <si>
    <r>
      <t xml:space="preserve">Đối với tỷ lệ điều tiết của 4 khoản thu (thuế sử dụng đất phi nông nghiệp; lệ phí môn bài từ cá nhân, hộ kinh doanh; thuế sử dụng đất nông nghiệp và lệ phí trước bạ nhà, đất) </t>
    </r>
    <r>
      <rPr>
        <b/>
        <sz val="12"/>
        <rFont val="Times New Roman"/>
        <family val="1"/>
      </rPr>
      <t xml:space="preserve">uỷ quyền cho Hội đồng nhân dân thành phố Sa Đéc Quyết nghị tỷ lệ phần trăm phân chia cho ngân sách phường </t>
    </r>
    <r>
      <rPr>
        <sz val="12"/>
        <rFont val="Times New Roman"/>
        <family val="1"/>
      </rPr>
      <t>được hưởng.</t>
    </r>
  </si>
  <si>
    <t>Phường An Hoà</t>
  </si>
  <si>
    <t>Phường Tân Quy Đông</t>
  </si>
  <si>
    <t xml:space="preserve">Tân Phú Đông </t>
  </si>
  <si>
    <t xml:space="preserve">Tân Khánh Đông </t>
  </si>
  <si>
    <t xml:space="preserve">Tân Quy Tây </t>
  </si>
  <si>
    <t>XII</t>
  </si>
  <si>
    <t xml:space="preserve">Huyện Châu Thành </t>
  </si>
  <si>
    <t>Thị trấn Cái Tàu Hạ</t>
  </si>
  <si>
    <t xml:space="preserve">Tân Nhuận Đông </t>
  </si>
  <si>
    <t xml:space="preserve">An Nhơn </t>
  </si>
  <si>
    <t xml:space="preserve">Tân Phú Trung </t>
  </si>
  <si>
    <t>Tân Phú</t>
  </si>
  <si>
    <t xml:space="preserve">Hòa Tân </t>
  </si>
  <si>
    <t xml:space="preserve">Phú Long </t>
  </si>
  <si>
    <t xml:space="preserve">Phú Hựu </t>
  </si>
  <si>
    <t xml:space="preserve">An Phú Thuận </t>
  </si>
  <si>
    <t xml:space="preserve">An Khánh </t>
  </si>
  <si>
    <t xml:space="preserve">An Hiệp </t>
  </si>
  <si>
    <r>
      <t>Ghi chú:</t>
    </r>
    <r>
      <rPr>
        <sz val="12"/>
        <rFont val="Times New Roman"/>
        <family val="1"/>
      </rPr>
      <t xml:space="preserve"> </t>
    </r>
  </si>
  <si>
    <t>Các khoản thu tại xã, phường, thị trấn gồm:</t>
  </si>
  <si>
    <t xml:space="preserve"> - Thu từ quỹ đất công ích, hoa lợi công sản</t>
  </si>
  <si>
    <t xml:space="preserve"> - Thu từ hoạt động sự nghiệp do xã quản lý</t>
  </si>
  <si>
    <t xml:space="preserve"> - Thu phạt, tịch thu theo quy định</t>
  </si>
  <si>
    <t xml:space="preserve"> - Các khoản thu khác theo quy định của pháp luật</t>
  </si>
  <si>
    <t>Phụ lục 9 - CKNS</t>
  </si>
  <si>
    <t>Tỷ lệ (%) phân chia các khoảng thu ngân sách xã</t>
  </si>
  <si>
    <t>Phụ lục 10 - CKNS</t>
  </si>
  <si>
    <t>Dự toán chi và huy động vốn đầu tư xây dựng cơ bản</t>
  </si>
  <si>
    <t>Phụ lục 5 - KQPB</t>
  </si>
  <si>
    <t>So sánh
(%)</t>
  </si>
  <si>
    <t>TỔNG NGUỒN THU NGÂN SÁCH ĐỊA PHƯƠNG</t>
  </si>
  <si>
    <t>Thu NSĐP hưởng 100 %</t>
  </si>
  <si>
    <t>Thu NSĐP hưởng từ các khoản thu phân chia</t>
  </si>
  <si>
    <t>TỔNG CHI NGÂN SÁCH ĐỊA PHƯƠNG</t>
  </si>
  <si>
    <t>CHI TRẢ NỢ GỐC CỦA NSĐP</t>
  </si>
  <si>
    <t>Từ nguồn bội thu, tăng thu, tiết kiệm, kết dư ngân sách</t>
  </si>
  <si>
    <t>TỔNG MỨC VAY CỦA NSĐP</t>
  </si>
  <si>
    <t>Biểu số 33 - CK-NSNN</t>
  </si>
  <si>
    <t>Dự toán trình HĐND</t>
  </si>
  <si>
    <t>NGÂN SÁCH CẤP TỈNH</t>
  </si>
  <si>
    <t>Nguồn thu ngân sách</t>
  </si>
  <si>
    <t>CHI NGÂN SÁCH CẤP TỈNH</t>
  </si>
  <si>
    <t>Bội chi NSĐP/Bội thu NSĐP</t>
  </si>
  <si>
    <t>NGÂN SÁCH HUYỆN, THÀNH PHỐ</t>
  </si>
  <si>
    <t>Thu ngân sách huyện, thành phố hưởng theo phân cấp</t>
  </si>
  <si>
    <t>Thu bổ sung từ ngân sách cấp tỉnh</t>
  </si>
  <si>
    <t>Chi ngân sách huyện, thành phố</t>
  </si>
  <si>
    <t>Biểu số 34 - CK-NSNN</t>
  </si>
  <si>
    <t>Cân đối nguồn thu, chi dự toán cấp tỉnh; cấp huyện năm….</t>
  </si>
  <si>
    <t>TỔNG THU NGÂN SÁCH NHÀ NƯỚC</t>
  </si>
  <si>
    <t>Thuế BVMT thu từ hàng hóa sản xuất, kinh doanh trong nước</t>
  </si>
  <si>
    <t>Thuế BVMT từ hàng hóa nhập khẩu</t>
  </si>
  <si>
    <t>Phí, lệ phí trung ương</t>
  </si>
  <si>
    <t>Phí, lệ phí địa phương</t>
  </si>
  <si>
    <t>Thuế nhập khẩu</t>
  </si>
  <si>
    <t>Thuế giá trị gia tăng hàng hóa nhập khẩu</t>
  </si>
  <si>
    <t>Thu từ dầu thô</t>
  </si>
  <si>
    <t>Thu viện trợ</t>
  </si>
  <si>
    <t>Biểu số 35 - CK-NSNN</t>
  </si>
  <si>
    <t>Dự toán thu ngân sách nhà nước năm….</t>
  </si>
  <si>
    <t>Trong đó chia theo nguồn vốn</t>
  </si>
  <si>
    <t>Biểu số 36 - CK-NSNN</t>
  </si>
  <si>
    <t>Dự toán chi ngân sách nhà nước năm….</t>
  </si>
  <si>
    <t>CHI CÂN ĐỐI NGÂN SÁCH CẤP TỈNH THEO LĨNH VỰC</t>
  </si>
  <si>
    <t>CHI TỪ NGUỒN NSTW BỔ SUNG CÓ MỤC TIÊU</t>
  </si>
  <si>
    <t>CHI ĐẦU TƯ TỪ NGUỒN CHÍNH PHỦ VAY VỀ CHO VAY LẠI</t>
  </si>
  <si>
    <t>Biểu số 37 - CK-NSNN</t>
  </si>
  <si>
    <t>Dự toán chi ngân sách cấp tỉnh các lĩnh vực năm…..</t>
  </si>
  <si>
    <t>Biểu số 38 - CK-NSNN</t>
  </si>
  <si>
    <t>Dự toán chi ngân sách cấp tỉnh cho từng lĩnh vực….</t>
  </si>
  <si>
    <t>Biểu số 39 - CK-NSNN</t>
  </si>
  <si>
    <t>Biểu số 40 - CK-NSNN</t>
  </si>
  <si>
    <t xml:space="preserve">II. TỶ LỆ PHẦN TRĂM ( % ) PHÂN CHIA CÁC KHOẢN THU </t>
  </si>
  <si>
    <r>
      <t xml:space="preserve">Đối với tỷ lệ điều tiết của 4 khoản thu (thuế sử dụng đất phi nông nghiệp; lệ phí môn bài từ cá nhân, hộ kinh doanh; thuế sử dụng đất nông nghiệp và lệ phí trước bạ nhà, đất) </t>
    </r>
    <r>
      <rPr>
        <b/>
        <sz val="8"/>
        <rFont val="Times New Roman"/>
        <family val="1"/>
      </rPr>
      <t xml:space="preserve">uỷ quyền cho Hội đồng nhân dân thành phố Hồng Ngự Quyết nghị tỷ lệ phần trăm phân chia cho ngân sách phường </t>
    </r>
    <r>
      <rPr>
        <sz val="8"/>
        <rFont val="Times New Roman"/>
        <family val="1"/>
      </rPr>
      <t>được hưởng.</t>
    </r>
  </si>
  <si>
    <r>
      <t xml:space="preserve">Đối với tỷ lệ điều tiết của 4 khoản thu (thuế sử dụng đất phi nông nghiệp; lệ phí môn bài từ cá nhân, hộ kinh doanh; thuế sử dụng đất nông nghiệp và lệ phí trước bạ nhà, đất) </t>
    </r>
    <r>
      <rPr>
        <b/>
        <sz val="9"/>
        <rFont val="Times New Roman"/>
        <family val="1"/>
      </rPr>
      <t>uỷ quyền cho Hội đồng nhân dân thành phố Cao Lãnh Quyết nghị</t>
    </r>
    <r>
      <rPr>
        <sz val="9"/>
        <rFont val="Times New Roman"/>
        <family val="1"/>
      </rPr>
      <t xml:space="preserve"> tỷ lệ phần trăm phân chia cho </t>
    </r>
    <r>
      <rPr>
        <b/>
        <sz val="9"/>
        <rFont val="Times New Roman"/>
        <family val="1"/>
      </rPr>
      <t>ngân sách phường</t>
    </r>
    <r>
      <rPr>
        <sz val="9"/>
        <rFont val="Times New Roman"/>
        <family val="1"/>
      </rPr>
      <t xml:space="preserve"> được hưởng.</t>
    </r>
  </si>
  <si>
    <r>
      <t xml:space="preserve">Đối với tỷ lệ điều tiết của 4 khoản thu (thuế sử dụng đất phi nông nghiệp; lệ phí môn bài từ cá nhân, hộ kinh doanh; thuế sử dụng đất nông nghiệp và lệ phí trước bạ nhà, đất) </t>
    </r>
    <r>
      <rPr>
        <b/>
        <sz val="9"/>
        <rFont val="Times New Roman"/>
        <family val="1"/>
      </rPr>
      <t xml:space="preserve">uỷ quyền cho Hội đồng nhân dân thành phố Sa Đéc Quyết nghị tỷ lệ phần trăm phân chia cho ngân sách phường </t>
    </r>
    <r>
      <rPr>
        <sz val="9"/>
        <rFont val="Times New Roman"/>
        <family val="1"/>
      </rPr>
      <t>được hưởng.</t>
    </r>
  </si>
  <si>
    <t>Biểu số 41 - CK-NSNN</t>
  </si>
  <si>
    <t>Tỷ lệ % phân chia các khoản thu tỉnh huyện, huyện xã</t>
  </si>
  <si>
    <t>Biểu số 42 - CK-NSNN</t>
  </si>
  <si>
    <t>Cân đối ngân sách huyện, thành phố năm….</t>
  </si>
  <si>
    <t>Biểu số 43 - CK-NSNN</t>
  </si>
  <si>
    <t>Dự toán bổ sung có mục tiêu cho ngân sách huyện, thành phố năm….</t>
  </si>
  <si>
    <t>Biểu số 44 - CK-NSNN</t>
  </si>
  <si>
    <t>Dự toán chi từ nguồn ngân sách trung ương bổ sung có mục tiêu năm….</t>
  </si>
  <si>
    <t>Biểu số 45 - CK-NSNN</t>
  </si>
  <si>
    <t>Biểu số 46 - CK-NSNN</t>
  </si>
  <si>
    <t>Quyết định cân đối ngân sách địa phương năm…..</t>
  </si>
  <si>
    <t>Biểu số 47 - CK-NSNN</t>
  </si>
  <si>
    <t>Quyết định Cân đối dự toán thu, chi ngân sách cấp tỉnh, cấp huyện….</t>
  </si>
  <si>
    <t>Biểu số 48 - CK-NSNN</t>
  </si>
  <si>
    <t>Quyết định dự toán thu NSNN theo lĩnh vực và sắc thuế năm….</t>
  </si>
  <si>
    <t>Biểu số 49 - CK-NSNN</t>
  </si>
  <si>
    <t>Quyết định dự toán chi ngân sách địa phương, ngân sách cấp tỉnh, cấp huyện theo lĩnh vực</t>
  </si>
  <si>
    <t>Biểu số 50 - CK-NSNN</t>
  </si>
  <si>
    <t>Quyết định dự toán chi ngân sách cấp tỉnh theo lĩnh vực năm….</t>
  </si>
  <si>
    <t>Biểu số 51 - CK-NSNN</t>
  </si>
  <si>
    <t>Quyết định dự toán chi ngân sách cấp tỉnh cho từng cơ quan, tổ chức năm…</t>
  </si>
  <si>
    <t>Biểu số 52 - CK-NSNN</t>
  </si>
  <si>
    <t>Biểu số 53 - CK-NSNN</t>
  </si>
  <si>
    <t>Quyết định dự toán chi thường xuyên các lĩnh vực năm….</t>
  </si>
  <si>
    <t>Biểu số 54 - CK-NSNN</t>
  </si>
  <si>
    <t>Quyết định Tỷ lệ % phân chia các khoản thu tỉnh huyện, huyện xã</t>
  </si>
  <si>
    <t>Biểu số 55 - CK-NSNN</t>
  </si>
  <si>
    <t>Quyết định cân đối ngân sách huyện, thành phố năm…</t>
  </si>
  <si>
    <t>Biểu số 56 - CK-NSNN</t>
  </si>
  <si>
    <t>Quyết định Dự toán bổ sung có mục tiêu cho ngân sách huyện, thành phố năm….</t>
  </si>
  <si>
    <t>Quyết định Dự toán chi từ nguồn ngân sách trung ương bổ sung có mục tiêu năm….</t>
  </si>
  <si>
    <t>Biểu số 57 - CK-NSNN</t>
  </si>
  <si>
    <t>(Kèm Theo Nghị quyết số         /NQ-HĐND ngày     /12/2023 của Hội đồng nhân dân Tỉnh)</t>
  </si>
  <si>
    <t>CÂN ĐỐI NGÂN SÁCH ĐỊA PHƯƠNG NĂM 2024</t>
  </si>
  <si>
    <t>Liên kết từ Phụ lục số 01 và Phụ lục số 02</t>
  </si>
  <si>
    <t>R</t>
  </si>
  <si>
    <t>CÂN ĐỐI NGÂN SÁCH CẤP TỈNH NĂM 2024</t>
  </si>
  <si>
    <t>Liên kết từ Phụ lục số 01 và Phụ lục số 02, 04, 05 (Cấp tỉnh - Cấp huyện)</t>
  </si>
  <si>
    <t>DỰ TOÁN THU NGÂN SÁCH NHÀ NƯỚC NĂM 2024</t>
  </si>
  <si>
    <t>Liên kết từ Phụ lục số 01 và Phụ lục 1-HĐND</t>
  </si>
  <si>
    <t>DỰ TOÁN CHI NGÂN SÁCH ĐỊA PHƯƠNG NĂM 2024</t>
  </si>
  <si>
    <t>- Thu bổ sung cân đối ngân sách:</t>
  </si>
  <si>
    <t>Liên kết từ Phụ lục số 02 và Phụ lục 5 - KQPB có chi trả nợ gốc</t>
  </si>
  <si>
    <t>DỰ TOÁN THU NSNN NĂM 2024 TRÊN ĐỊA BÀN HUYỆN, THÀNH PHỐ</t>
  </si>
  <si>
    <t>Liên kết từ Phụ lục số 05</t>
  </si>
  <si>
    <t xml:space="preserve">Thu chuyển nguồn từ năm trước chuyển sang </t>
  </si>
  <si>
    <t>DỰ TOÁN CHI NGÂN SÁCH HUYỆN, THÀNH PHỐ NĂM 2024</t>
  </si>
  <si>
    <t xml:space="preserve">H. Hồng Ngự </t>
  </si>
  <si>
    <t xml:space="preserve">H. Tân Hồng </t>
  </si>
  <si>
    <t xml:space="preserve">H. Tam Nông </t>
  </si>
  <si>
    <t xml:space="preserve">H. Thanh Bình </t>
  </si>
  <si>
    <t xml:space="preserve">TP. Cao Lãnh </t>
  </si>
  <si>
    <t xml:space="preserve">H. Tháp Mười </t>
  </si>
  <si>
    <t xml:space="preserve">H. Lai Vung </t>
  </si>
  <si>
    <t xml:space="preserve">TP. Sa Đéc </t>
  </si>
  <si>
    <t xml:space="preserve">H. Châu Thành </t>
  </si>
  <si>
    <t>Chi từ nguồn ngân sách cấp Tỉnh bổ sung có mục tiêu</t>
  </si>
  <si>
    <t>Liên kết từ Phụ lục số 06</t>
  </si>
  <si>
    <t>BẢNG CÂN ĐỐI DỰ TOÁN THU-CHI NĂM 2024 NGÂN SÁCH HUYỆN, THÀNH PHỐ</t>
  </si>
  <si>
    <t>4=5+8+13</t>
  </si>
  <si>
    <t>15=16+17</t>
  </si>
  <si>
    <t>18=19+20</t>
  </si>
  <si>
    <t>Thu NSNN trên địa bàn huyện, thành phố
năm 2024</t>
  </si>
  <si>
    <t>Tổng chi NS huyện, thành phố năm 2024</t>
  </si>
  <si>
    <t>Liên kết từ Phụ lục số 05 và Phụ lục số 06</t>
  </si>
  <si>
    <t>Đầu tư phát triển từ nguồn ngân sách trung ương bổ sung có mục tiêu</t>
  </si>
  <si>
    <t>Chương trình mục tiêu ứng phó biến đổi khí hậu và tăng trưởng xanh (giải ngân theo cơ chế tài chính trong nước)</t>
  </si>
  <si>
    <t>Ngân sách trung ương bổ sung có mục tiêu (kinh phí sự nghiệp)</t>
  </si>
  <si>
    <t>Chương trình mục tiêu quốc gia giảm nghèo bền vững</t>
  </si>
  <si>
    <t>Chương trình mục tiêu quốc gia xây dựng nông thôn mới</t>
  </si>
  <si>
    <t>Chương trình mục tiêu quốc gia phát triển kinh tế xã hội vùng đồng bào dân tộc thiểu số và miền núi</t>
  </si>
  <si>
    <t>DỰ TOÁN CHI NGÂN SÁCH CHO MỘT SỐ CHƯƠNG TRÌNH, DỰ ÁN, NHIỆM VỤ KHÁC QUAN TRỌNG NĂM 2024</t>
  </si>
  <si>
    <t>Liên kết từ Phụ lục số 08</t>
  </si>
  <si>
    <t>Liên kết từ Phụ lục số 04</t>
  </si>
  <si>
    <t>DỰ TOÁN CHI NGÂN SÁCH CẤP TỈNH CHO TỪNG CƠ QUAN; ĐƠN VỊ THEO TỪNG LĨNH VỰC NĂM 2024</t>
  </si>
  <si>
    <t>Rà kỹ số liệu Phụ lục số 4 (Vốn chưa phân bổ)</t>
  </si>
  <si>
    <t>(Kèm theo Báo cáo số            /BC-UBND ngày      /12/2023 của Ủy ban nhân dân tỉnh Đồng Tháp)</t>
  </si>
  <si>
    <t>Phụ lục 3-HĐND</t>
  </si>
  <si>
    <t>Phụ lục 1-HĐND</t>
  </si>
  <si>
    <t>Phụ lục 4-HĐND</t>
  </si>
  <si>
    <t>KẾT QUẢ PHÂN BỔ VỐN ĐẦU TƯ DỰ TOÁN NĂM 2024 VÀ 
TÌNH HÌNH HUY ĐỘNG VỐN ĐẦU TƯ PHÁT TRIỂN</t>
  </si>
  <si>
    <t>Nợ tạm ứng vốn Kho bạc nhà nước</t>
  </si>
  <si>
    <t>Vay đầu tư các dự án thuộc kế hoạch đầu tư công trung hạn đã được Hội đồng nhân dân cấp tỉnh quyết định</t>
  </si>
  <si>
    <t>Vay Ngân hàng phát triển Việt Nam</t>
  </si>
  <si>
    <t xml:space="preserve">b </t>
  </si>
  <si>
    <t>Vay đầu tư tôn nền cụm, tuyến dân cư vùng lũ (giai đoạn 1)</t>
  </si>
  <si>
    <t>Vay đầu tư tôn nền cụm, tuyến dân cư vùng lũ (giai đoạn 2)</t>
  </si>
  <si>
    <t>Vay lại từ nguồn Chính phủ vay về cho vay lại</t>
  </si>
  <si>
    <t>Dư nợ 31/12/2023</t>
  </si>
  <si>
    <t>Chi đầu tư giáo dục, đào tạo và dạy nghề</t>
  </si>
  <si>
    <t>Chi đầu tư y tế</t>
  </si>
  <si>
    <t>Phát hành trái phiếu chính quyền địa phương</t>
  </si>
  <si>
    <t>Phụ lục 8-HĐND</t>
  </si>
  <si>
    <t>Phụ lục cân đối vốn đầu tư và trả nợ vay</t>
  </si>
  <si>
    <t>Thu03nam va ChiNSĐP03nam</t>
  </si>
  <si>
    <t>Phụ lục số 1</t>
  </si>
  <si>
    <t>Phụ lục số 2</t>
  </si>
  <si>
    <t>CĐNSĐP03nam-BS</t>
  </si>
  <si>
    <t>CĐNSĐP03namBS</t>
  </si>
  <si>
    <t>(Kèm theo Quyết định số       /QĐ-UBND-HC ngày     /12/2023 của Ủy ban nhân dân tỉnh Đồng Tháp)</t>
  </si>
  <si>
    <t>Phụ lục 4 - HĐND; Phụ lục 3-KQPB</t>
  </si>
  <si>
    <t>TỶ LỆ PHẦN TRĂM ( % ) PHÂN CHIA CÁC KHOẢN THU CHO TỪNG HUYỆN, THÀNH PHỐ THUỘC TỈNH NĂM 2024</t>
  </si>
  <si>
    <t>Rà soát tỷ lệ các khoản thu tỉnh-huyện-xã</t>
  </si>
  <si>
    <t>CHO TỪNG XÃ, PHƯỜNG, THỊ TRẤN NĂM 2024</t>
  </si>
  <si>
    <t>Rà soát tỷ lệ các khoản thu cấp xã</t>
  </si>
  <si>
    <t>UTH NĂM 2023</t>
  </si>
  <si>
    <t>UTH 2023/
DT2023(%)</t>
  </si>
  <si>
    <t>Chênh lệch giữa DT2024-BTC với DT2024-ĐP</t>
  </si>
  <si>
    <t>DỰ TOÁN NĂM 2024 (Số kiểm tra của BTC)</t>
  </si>
  <si>
    <t>So sánh số Thông báo thu của BTC và ĐP xây dựng</t>
  </si>
  <si>
    <t>CHƯA</t>
  </si>
  <si>
    <t>THỰC HIỆN 8 THÁNG ĐẦU NĂM 2023</t>
  </si>
  <si>
    <t>Tổng thu NSNN trên địa bàn huyện, thành phố
năm 2024</t>
  </si>
  <si>
    <t>Dự toán chi ngân sách huyện, thành phố năm 2024</t>
  </si>
  <si>
    <t>(DỰ TOÁN TRÌNH HỘI ĐỒNG NHÂN DÂN TỈNH)</t>
  </si>
  <si>
    <t>Dự toán trình HĐND (Lấy từ Phụ lục số 01 và 02 - Chú ý chổ bội chi từ biểu bổ sung vay nợ)</t>
  </si>
  <si>
    <t>CÂN ĐỐI NGUỒN THU, CHI DỰ TOÁN NGÂN SÁCH CẤP TỈNH
VÀ NGÂN SÁCH HUYỆN, THÀNH PHỐ NĂM 2024</t>
  </si>
  <si>
    <t>Dự toán trình HĐND (Lấy từ Phụ lục số 01 - 02 và 03.1 BS-Rà kỷ lại số thu cấp tỉnh-thu chuyển nguồn)</t>
  </si>
  <si>
    <t>Dự toán trình HĐND - Phụ lục số 01</t>
  </si>
  <si>
    <t>Dự toán trình HĐND - Phụ lục 4-KQPB</t>
  </si>
  <si>
    <t>DỰ TOÁN CHI NGÂN SÁCH CẤP TỈNH THEO LĨNH VỰC CHI NĂM 2024</t>
  </si>
  <si>
    <t>Dự toán trình HĐND-Phụ lục số 2 cấp tỉnh và 3.1 - BS huyện</t>
  </si>
  <si>
    <t>Dự toán trình HĐND-Phụ lục 9 - HĐND</t>
  </si>
  <si>
    <t>Không phát sinh lĩnh vực dự toán bên ngân sách</t>
  </si>
  <si>
    <t>Dự toán chi ngân sách cấp tỉnh cho cơ quan, đơn vị từng lĩnh vực….</t>
  </si>
  <si>
    <t>Phụ lục 7-HĐND</t>
  </si>
  <si>
    <t>Dự toán thu bổ sung có mục tiêu từ ngân sách cấp tỉnh năm 2024</t>
  </si>
  <si>
    <t>Lấy từ Biểu số 55-CK-NSNN - Có bổ sung chỉ tiêu nào thì điều chỉnh từ PL7 B-C</t>
  </si>
  <si>
    <t>DỰ TOÁN BỔ SUNG CÓ MỤC TIÊU TỪ NGÂN SÁCH CẤP TỈNH CHO NGÂN SÁCH HUYỆN, THÀNH PHỐ NĂM 2024</t>
  </si>
  <si>
    <t>Dự toán trình HĐND - Phụ lục số 7-HĐND</t>
  </si>
  <si>
    <t>Dự toán trình HĐND - Biểu 56-CK-NSNN</t>
  </si>
  <si>
    <t>Dự toán trình HĐND - Biểu 57-CK-NSNN</t>
  </si>
  <si>
    <t>Biểu số 33-CK-NSNN</t>
  </si>
  <si>
    <t>Biểu số 34-CK-NSNN</t>
  </si>
  <si>
    <t>Biểu số 35-CK-NSNN</t>
  </si>
  <si>
    <t>Biểu số 36-CK-NSNN</t>
  </si>
  <si>
    <t>Biểu số 37-CK-NSNN</t>
  </si>
  <si>
    <t>Biểu số 40-CK-NSNN</t>
  </si>
  <si>
    <t>Biểu số 51-CK-NSSN</t>
  </si>
  <si>
    <t>Biểu số 41-CK-NSNN</t>
  </si>
  <si>
    <t>TW</t>
  </si>
  <si>
    <t>Thừa nguồn để thực hiện cải cách tiền lương năm 2023</t>
  </si>
  <si>
    <t>Đề xuất đối với huyện thừa nguồn năm 2024 chuyển sang năm sau, kỳ sau</t>
  </si>
  <si>
    <t>Bù trừ 50% giảm thu dự toán năm 2024 so với dự toán 2023</t>
  </si>
  <si>
    <t>Giảm bổ sung đảm bảo mặt bằng chi không thấp hơn năm 2023</t>
  </si>
  <si>
    <t>Thu điều tiết và cố định ngân sách huyện, thành phố hưởng</t>
  </si>
  <si>
    <t>Tỷ lệ tăng so với dự toán năm trước liền kề</t>
  </si>
  <si>
    <t>Dành 50% thực hiện cải cách tiền lương</t>
  </si>
  <si>
    <t>Phân bổ 50% (Xây dựng cơ bản, Chi thường xuyên, dự phòng)-Chú ý giáo dục &amp; đào tạo</t>
  </si>
  <si>
    <t>Quyết toán</t>
  </si>
  <si>
    <t>Kinh phí thừa/thiếu (+/-) năm 2022</t>
  </si>
  <si>
    <t>Trong đó, Kinh phí đã giao trong định mức chi ngân sách huyện năm 2023</t>
  </si>
  <si>
    <t>Bổ sung dự toán 2023</t>
  </si>
  <si>
    <t>Số đối tượng</t>
  </si>
  <si>
    <t>Trong đó, Kinh phí đã giao trong định mức chi ngân sách huyện năm 2024</t>
  </si>
  <si>
    <t>Bổ sung dự toán 2024</t>
  </si>
  <si>
    <t>HUYỆN CHÂU THÀNH</t>
  </si>
  <si>
    <t>9=4+7+8-6</t>
  </si>
  <si>
    <t>TỔNG CỘNG 12 HUYỆN, THÀNH PHỐ</t>
  </si>
  <si>
    <t>TỔNG HỢP KINH PHÍ THỰC HIỆN CÁC CHÍNH SÁCH, CHẾ ĐỘ NĂM 2024 BỔ SUNG CHO HUYỆN, THÀNH PHỐ</t>
  </si>
  <si>
    <t>LẬP BIỂU</t>
  </si>
  <si>
    <t>PHÒNG QUẢN LÝ NGÂN SÁCH</t>
  </si>
  <si>
    <t>Đồng Tháp, ngày     tháng     năm 2023</t>
  </si>
  <si>
    <t>GIÁM ĐỐC</t>
  </si>
  <si>
    <t>Phòng Tài chính - Kế hoạch</t>
  </si>
  <si>
    <t>Đồng Tháp, ngày             tháng            năm 2023</t>
  </si>
  <si>
    <t>Bổ sung nguồn thực hiện điều chỉnh tiền lương cơ sở tăng thêm đến 1,8 triệu đồng/tháng (12 tháng)</t>
  </si>
  <si>
    <t>TỔNG HỢP VỐN ĐẦU TƯ TỪ NGUỒN THU XỔ SỐ KIẾN THIẾT NĂM 2023 VÀ NĂM 2024</t>
  </si>
  <si>
    <t>So sánh DT 2024/DT 2023</t>
  </si>
  <si>
    <t>Phân khai tỷ lệ vốn đầu tư nguồn xổ số kiến thiết…</t>
  </si>
  <si>
    <t>(Kèm theo Công văn số        /STC-QLNS ngày        tháng 9 năm 2023 của Sở Tài chính)</t>
  </si>
  <si>
    <t>Dự toán chi thường xuyên năm trước liền kề</t>
  </si>
  <si>
    <t>Tỷ lệ tăng dự toán năm sau/dự toán năm trước liền kề (Trừ CCTL)</t>
  </si>
  <si>
    <t>Dự toán năm hiện tại</t>
  </si>
  <si>
    <t>Tổng chi thường xuyên (Gồm CCTL)</t>
  </si>
  <si>
    <t>12 HUYỆN, THÀNH PHỐ</t>
  </si>
  <si>
    <t>NHIỆM VỤ THU NGÂN SÁCH NHÀ NƯỚC NĂM 2024</t>
  </si>
  <si>
    <t>NHIỆM VỤ CHI NGÂN SÁCH HUYỆN, THÀNH PHỐ NĂM 2024</t>
  </si>
  <si>
    <t>-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t>
  </si>
  <si>
    <r>
      <rPr>
        <b/>
        <sz val="14"/>
        <rFont val="Times New Roman"/>
        <family val="1"/>
      </rPr>
      <t>(1): Trong đó:</t>
    </r>
    <r>
      <rPr>
        <sz val="14"/>
        <rFont val="Times New Roman"/>
        <family val="1"/>
      </rPr>
      <t xml:space="preserve">
</t>
    </r>
  </si>
  <si>
    <r>
      <t xml:space="preserve">(2): Trong đó: </t>
    </r>
    <r>
      <rPr>
        <sz val="14"/>
        <rFont val="Times New Roman"/>
        <family val="1"/>
      </rPr>
      <t xml:space="preserve">
</t>
    </r>
  </si>
  <si>
    <t>H. HỒNG NGỰ</t>
  </si>
  <si>
    <t>QUYẾT ĐỊNH GIAO DỰ TOÁN CHÍNH THỨC 12 HUYỆN, THÀNH PHỐ</t>
  </si>
  <si>
    <t>QUYẾT ĐỊNH GIAO DỰ TOÁN CHÍNH THỨC HUYỆN HỒNG NGỰ</t>
  </si>
  <si>
    <t>QUYẾT ĐỊNH GIAO DỰ TOÁN CHÍNH THỨC THÀNH PHỐ HỒNG NGỰ</t>
  </si>
  <si>
    <t>QUYẾT ĐỊNH GIAO DỰ TOÁN CHÍNH THỨC HUYỆN TÂN HỒNG</t>
  </si>
  <si>
    <t>QUYẾT ĐỊNH GIAO DỰ TOÁN CHÍNH THỨC HUYỆN TAM NÔNG</t>
  </si>
  <si>
    <t>QUYẾT ĐỊNH GIAO DỰ TOÁN CHÍNH THỨC HUYỆN THANH BÌNH</t>
  </si>
  <si>
    <t>QUYẾT ĐỊNH GIAO DỰ TOÁN CHÍNH THỨC THÀNH PHỐ CAO LÃNH</t>
  </si>
  <si>
    <t>QUYẾT ĐỊNH GIAO DỰ TOÁN CHÍNH THỨC HUYỆN HUYỆN CAO LÃNH</t>
  </si>
  <si>
    <t>QUYẾT ĐỊNH GIAO DỰ TOÁN CHÍNH THỨC HUYỆN THÁP MƯỜI</t>
  </si>
  <si>
    <t>QUYẾT ĐỊNH GIAO DỰ TOÁN CHÍNH THỨC HUYỆN LẤP VÒ</t>
  </si>
  <si>
    <t>QUYẾT ĐỊNH GIAO DỰ TOÁN CHÍNH THỨC HUYỆN LAI VUNG</t>
  </si>
  <si>
    <t>QUYẾT ĐỊNH GIAO DỰ TOÁN CHÍNH THỨC THÀNH PHỐ SA ĐÉC</t>
  </si>
  <si>
    <t>QUYẾT ĐỊNH GIAO DỰ TOÁN CHÍNH THỨC HUYỆN CHÂU THÀNH</t>
  </si>
  <si>
    <t>H. TÂN HỒNG</t>
  </si>
  <si>
    <t>H. TAM NÔNG</t>
  </si>
  <si>
    <t>H. THANH BÌNH</t>
  </si>
  <si>
    <t>H. THÁP MƯỜI</t>
  </si>
  <si>
    <t>H. LẤP VÒ</t>
  </si>
  <si>
    <t>H. LAI VUNG</t>
  </si>
  <si>
    <t>H. CHÂU THÀNH</t>
  </si>
  <si>
    <t>Phụ lục 5 và Phụ lục 6 - HĐND</t>
  </si>
  <si>
    <t>(Kèm theo Quyết định số        /QĐ-UBND-HC ngày      /12/2023 của Uỷ ban nhân dân tỉnh Đồng Tháp)</t>
  </si>
  <si>
    <t>NHÓM QUYẾT ĐỊNH GIAO DỰ TOÁN CỦA UBND TỈNH CHO HUYỆN, THÀNH PHỐ</t>
  </si>
  <si>
    <t>TỶ LỆ PHẦN TRĂM PHÂN CHIA NGUỒN THU NGÂN SÁCH HUYỆN, THÀNH PHỐ</t>
  </si>
  <si>
    <t>Thu hoa lợi công sản, quỹ đất công ích,.... tại xã, phường, thị trấn</t>
  </si>
  <si>
    <t xml:space="preserve">Thu bổ sung từ ngân sách Tỉnh (1+2) </t>
  </si>
  <si>
    <t>Thuế giá trị gia tăng, thuế thu nhập doanh nghiệp, thuế thu nhập cá nhân (4)</t>
  </si>
  <si>
    <r>
      <t xml:space="preserve">(2): Trong đó: </t>
    </r>
    <r>
      <rPr>
        <sz val="14"/>
        <color rgb="FFFF0000"/>
        <rFont val="Times New Roman"/>
        <family val="1"/>
      </rPr>
      <t xml:space="preserve">
</t>
    </r>
  </si>
  <si>
    <t>Nguồn thu phí dự kiến năm 2024</t>
  </si>
  <si>
    <t>Tổng nguồn</t>
  </si>
  <si>
    <t xml:space="preserve">Nhu cầu lương 12 tháng </t>
  </si>
  <si>
    <t>Chênh lệch nhu cầu và 50% dự toán</t>
  </si>
  <si>
    <t>Phân bổ tăng chi xây dựng cơ bản</t>
  </si>
  <si>
    <t>Trong đó: đã sắp xếp chi thường xuyên (g)</t>
  </si>
  <si>
    <t>Chi thường xuyên tăng thêm</t>
  </si>
  <si>
    <t>Cộng (+)</t>
  </si>
  <si>
    <t>Chi bổ sung có mục tiêu nhiệm vụ quan trọng khác (nếu có)</t>
  </si>
  <si>
    <t>H</t>
  </si>
  <si>
    <t>CHI ĐẦU TƯ TỪ NGUỒN THU CỔ PHẦN HÓA, THOÁI VỐN DOANH NGHIỆP NHÀ NƯỚC ĐỊA PHƯƠNG QUẢN LÝ</t>
  </si>
  <si>
    <t>CHI ĐẦU TƯ TỪ NGUỒN THU TIỀN SỬ DỤNG ĐẤT (CHI BỔ SUNG ĐẢM BẢO VỐN ĐIỀU LỆ QUỸ PHÁT TRIỂN ĐẤT TỪ NGUỒN THU TIỀN SỬ DỤNG ĐẤT CẤP TỈNH; CHI CÔNG TÁC DO ĐẠC…THEO NGHỊ QUYẾT SỐ 41/2023/NQ-HĐND NGÀY 18/7/2023)</t>
  </si>
  <si>
    <t>KHỐI AN NINH - QUỐC PHÒNG</t>
  </si>
  <si>
    <t xml:space="preserve">HỘI ĐỒNG NHÂN DÂN              CỘNG HÒA XÃ HỘI CHỦ NGHĨA VIỆT NAM </t>
  </si>
  <si>
    <t>Hội Luật gia Tỉnh</t>
  </si>
  <si>
    <t>SỞ, BAN, NGÀNH CẤP TỈNH</t>
  </si>
  <si>
    <t>CÁC TỔ CHỨC CHÍNH TRỊ - XÃ HỘI; XÃ HỘI NGHỀ NGHIỆP</t>
  </si>
  <si>
    <t>CÁC ĐƠN VỊ KHÁC</t>
  </si>
  <si>
    <r>
      <rPr>
        <b/>
        <sz val="14"/>
        <rFont val="Times New Roman"/>
        <family val="1"/>
      </rPr>
      <t>(1)</t>
    </r>
    <r>
      <rPr>
        <sz val="14"/>
        <rFont val="Times New Roman"/>
        <family val="1"/>
      </rPr>
      <t>- Dự toán chi ngân sách cấp Tỉnh chưa kể chi bổ sung cho ngân sách huyện, thành phố:</t>
    </r>
    <r>
      <rPr>
        <b/>
        <sz val="14"/>
        <rFont val="Times New Roman"/>
        <family val="1"/>
      </rPr>
      <t xml:space="preserve"> </t>
    </r>
  </si>
  <si>
    <r>
      <rPr>
        <b/>
        <sz val="14"/>
        <rFont val="Times New Roman"/>
        <family val="1"/>
      </rPr>
      <t>(2)</t>
    </r>
    <r>
      <rPr>
        <sz val="14"/>
        <rFont val="Times New Roman"/>
        <family val="1"/>
      </rPr>
      <t>- Đã bao gồm chi trả nợ gốc các khoản vay của ngân sách địa phương từ nguồn bội thu</t>
    </r>
  </si>
  <si>
    <t>Chi từ nguồn bổ sung có mục tiêu từ ngân sách trung ương</t>
  </si>
  <si>
    <r>
      <t>(1):</t>
    </r>
    <r>
      <rPr>
        <sz val="14"/>
        <color theme="1"/>
        <rFont val="Times New Roman"/>
        <family val="1"/>
      </rPr>
      <t xml:space="preserve"> Dự toán thu ngân sách nhà nước năm 2024 không bao gồm các khoản huy động nhân dân đóng góp, các khoản ghi thu, ghi chi vào ngân sách nhà nước theo chế độ quy định.
</t>
    </r>
  </si>
  <si>
    <r>
      <t xml:space="preserve">(2); (3): </t>
    </r>
    <r>
      <rPr>
        <sz val="14"/>
        <color theme="1"/>
        <rFont val="Times New Roman"/>
        <family val="1"/>
      </rPr>
      <t>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t>
    </r>
  </si>
  <si>
    <r>
      <t xml:space="preserve">(4): </t>
    </r>
    <r>
      <rPr>
        <sz val="14"/>
        <color theme="1"/>
        <rFont val="Times New Roman"/>
        <family val="1"/>
      </rPr>
      <t>Các khoản thu phân chia theo tỷ lệ (%) giữa ngân sách cấp Tỉnh và ngân sách cấp huyện</t>
    </r>
  </si>
  <si>
    <t>PHỤ LỤC I</t>
  </si>
  <si>
    <t>PHỤ LỤC II</t>
  </si>
  <si>
    <r>
      <t xml:space="preserve">Thuế giá trị gia tăng, thuế thu nhập doanh nghiệp, thuế thu nhập cá nhân </t>
    </r>
    <r>
      <rPr>
        <b/>
        <sz val="14"/>
        <rFont val="Times New Roman"/>
        <family val="1"/>
      </rPr>
      <t>(4)</t>
    </r>
  </si>
  <si>
    <t/>
  </si>
  <si>
    <t>13=11-12+9</t>
  </si>
  <si>
    <t>Số đã sử dụng lũy kế đến 30/8/2023</t>
  </si>
  <si>
    <t>Số dư đến thời điểm 01/8/2022</t>
  </si>
  <si>
    <t>Số đã sử dụng đến thời điểm 30/8/2023</t>
  </si>
  <si>
    <t xml:space="preserve">TH 8 tháng </t>
  </si>
  <si>
    <t>Thuyết minh lấy nguồn</t>
  </si>
  <si>
    <t>CCTL còn thực thừa (Dòng 6)</t>
  </si>
  <si>
    <t>Chế độ chính sách còn thừa (Dòng 19-CĐCS)</t>
  </si>
  <si>
    <t>Tổng thu nguồn từ năm trước tại huyện</t>
  </si>
  <si>
    <t>VHTTDL</t>
  </si>
  <si>
    <t>Sự nghiệp KT</t>
  </si>
  <si>
    <t>ANQP</t>
  </si>
  <si>
    <t>Sự nghiệp KHCN</t>
  </si>
  <si>
    <t>Sự nghiệp Giáo dục</t>
  </si>
  <si>
    <t>Quỹ tiền lương tăng thêm</t>
  </si>
  <si>
    <t>Dự kiến thôi việc theo NĐ số 29</t>
  </si>
  <si>
    <t>Quản lý nhà nước</t>
  </si>
  <si>
    <t>Thuyết minh nhu cầu năm 2024</t>
  </si>
  <si>
    <t>Tổng nhu cầu năm 2024</t>
  </si>
  <si>
    <t>Chế độ chính sách liên quan sự nghiệp giáo dục</t>
  </si>
  <si>
    <t>10=11+12+13+14+15</t>
  </si>
  <si>
    <t>17=18+21+24+25</t>
  </si>
  <si>
    <t>21=22+23</t>
  </si>
  <si>
    <t>TỔNG NHU CẦU CHẾ ĐỘ CHÍNH SÁCH TĂNG THÊM</t>
  </si>
  <si>
    <t>Chi đầu tư từ nguồn xổ số kiến thiết</t>
  </si>
  <si>
    <t>Chi từ nguồn ngân sách trung ương bổ sung có mục tiêu (kinh phí sự nghiệp)</t>
  </si>
  <si>
    <t>Chi từ nguồn ngân sách trung ương bổ sung có mục tiêu (Chương trình Mục tiêu quốc gia)</t>
  </si>
  <si>
    <t>Chi từ nguồn ngân sách trung ương bổ sung có mục tiêu, nhiệm vụ quan trọng khác</t>
  </si>
  <si>
    <t>50% tăng thu dự toán so với dự toán</t>
  </si>
  <si>
    <t>Bố trí tăng chi đầu tư xây dựng</t>
  </si>
  <si>
    <t>Bố trí tăng chi dự phòng</t>
  </si>
  <si>
    <t>Số còn lại bố trí chi thường xuyên</t>
  </si>
  <si>
    <t>Trong đó; Sự nghiệp giáo dục</t>
  </si>
  <si>
    <t>10% chi thường xuyên tăng thêm so dự toán năm trước không bao gồm lương, chính sách</t>
  </si>
  <si>
    <t>DỰ TOÁN NĂM 2024 (ĐP)</t>
  </si>
  <si>
    <t>Chi hoạt động thường xuyên tăng thêm so với năm 2024</t>
  </si>
  <si>
    <t>10% tiết kiệm tăng thêm chi thường xuyên năm 2024</t>
  </si>
  <si>
    <t>Tỷ trọng dự phòng/Tổng chi - BSMT</t>
  </si>
  <si>
    <t>Thu chuyển nguồn chế độ chính sách an sinh xã hội còn thừa năm trước chuyển sang</t>
  </si>
  <si>
    <t>Chi từ nguồn ngân sách cấp tỉnh bổ sung có mục tiêu</t>
  </si>
  <si>
    <t>Tổng thu ngân sách huyện hưởng 50% (DT2024/2023) sau khi dành CCTL</t>
  </si>
  <si>
    <t>Bố trí chi đầu tư xây dựng</t>
  </si>
  <si>
    <t>Bố trí chi sự nghiệp giáo dục đào tạo</t>
  </si>
  <si>
    <t>Bố trí chi thường xuyên còn lại</t>
  </si>
  <si>
    <t>Bố trí dự phòng năm dự toán hiện tại</t>
  </si>
  <si>
    <t xml:space="preserve">Tỷ lệ dự phòng </t>
  </si>
  <si>
    <t>Kinh phí thường xuyên tăng thêm so với dự toán năm trước (Không kể nguồn tiền lương lăng thêm)</t>
  </si>
  <si>
    <t>10% tiết kiệm tăng thêm so với dự toán năm trước</t>
  </si>
  <si>
    <t>Tiền lương tăng thêm 1,8 triệu tháng (12 tháng)</t>
  </si>
  <si>
    <t>DỰ TOÁN (tiền lương tăng thêm 1,8 triệu đồng/tháng (Nếu có) và chính sách an sinh xã hội tăng thêm)</t>
  </si>
  <si>
    <t>Thu chuyển nguồn cải cách tiền lương còn thừa năm trước chuyển sang (cấn trừ thu nguồn)</t>
  </si>
  <si>
    <t>Bố trí tăng chi thường xuyên (tính tiền lương cơ sở 1.800.000 đồng/tháng)</t>
  </si>
  <si>
    <t>Bố trí năm 2026 so với dự toán năm 2025</t>
  </si>
  <si>
    <t>DỰ KIẾN BỐ TRÍ CHI CÂN ĐỐI NSĐP DỰ TOÁN 2024-2026 
SO VỚI DỰ TOÁN THU 2023 (TÍNH NGUỒN THU CÂN ĐỐI NĂM 2024-2026)</t>
  </si>
  <si>
    <t>Kinh phí đối ứng nông thôn mới và giảm nghèo bền vững</t>
  </si>
  <si>
    <t>Trong đó: Bồ sung tăng thêm của năm 2024</t>
  </si>
  <si>
    <t>CHI TRẢ LÃI VAY</t>
  </si>
  <si>
    <t>K</t>
  </si>
  <si>
    <t>Kinh phí sự nghiệp</t>
  </si>
  <si>
    <t>Chi chuyển nguồn cải cách tiền lương sang kỳ sau thực hiện</t>
  </si>
  <si>
    <t>Kinh phí giảm do NSĐP hưởng giảm (Cấp tỉnh)</t>
  </si>
  <si>
    <t>Quỹ lương 1,49 triệu đồng tháng</t>
  </si>
  <si>
    <t>Quỹ lương 1,8 triệu đồng/tháng</t>
  </si>
  <si>
    <t>Ngân sách cấp chênh lệch</t>
  </si>
  <si>
    <t>CHI TRẢ LÃI VAY NGÂN SÁCH CẤP TỈNH</t>
  </si>
  <si>
    <t>Tổng thu ngân sách địa phương (I+II+III+IV)</t>
  </si>
  <si>
    <t>- Thu bổ sung kinh phí bù miễn thu thuỷ lợi phí, hỗ trợ địa phương sản xuất lúa; chế độ chính sách an sinh xã hội; đảm bảo tiền lương cơ sở đến 1,8 triệu đồng/tháng</t>
  </si>
  <si>
    <t>Tổng chi (I+II+III+IV)</t>
  </si>
  <si>
    <t>CHI CHUYỂN NGUỒN CẢI CÁCH TIỀN LƯƠNG SANG KỲ SAU</t>
  </si>
  <si>
    <t>CHI CHUYỂN NGUỒN CẢI CÁCH TIỀN LƯƠNG SANG KỲ SAU THỰC HIỆN</t>
  </si>
  <si>
    <t>Bổ sung có mục tiêu kinh phí diễn tập khu vực phòng thủ cấp huyện năm 2024</t>
  </si>
  <si>
    <t>L</t>
  </si>
  <si>
    <t>M</t>
  </si>
  <si>
    <t>Cục Thuế tỉnh Đồng Tháp</t>
  </si>
  <si>
    <t>(Kèm theo Báo cáo số         /BC-UBND ngày      tháng 10 năm 2023 của Ủy ban nhân dân tỉnh Đồng Tháp)</t>
  </si>
  <si>
    <t>-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t>
  </si>
  <si>
    <t>- Chưa bao gồm chi đầu tư từ nguồn vốn do ngân sách cấp tỉnh quản lý và phân bổ bổ sung có mục tiêu cho ngân sách huyện, thành phố</t>
  </si>
  <si>
    <t>Chi thường xuyên (2)</t>
  </si>
  <si>
    <t>Sự nghiệp giáo dục - đào tạo (3)</t>
  </si>
  <si>
    <t>Bổ sung vốn đầu tư để thực hiện các chương trình, mục tiêu nhiệm vụ</t>
  </si>
  <si>
    <t>Đầu tư các dự án theo ngành, lĩnh vực và Chương trình phục hồi phát triển kinh tế - xã hội</t>
  </si>
  <si>
    <t>2.1.1</t>
  </si>
  <si>
    <t>2.1.2</t>
  </si>
  <si>
    <t>Dự án quan trọng quốc gia, đường bộ cao tốc</t>
  </si>
  <si>
    <t>2.1.3</t>
  </si>
  <si>
    <t>Dự án trọng điểm, liên vùng, đường ven biển</t>
  </si>
  <si>
    <r>
      <rPr>
        <b/>
        <u/>
        <sz val="14"/>
        <color theme="1"/>
        <rFont val="Times New Roman"/>
        <family val="1"/>
      </rPr>
      <t>Ghi chú:</t>
    </r>
    <r>
      <rPr>
        <b/>
        <sz val="14"/>
        <color theme="1"/>
        <rFont val="Times New Roman"/>
        <family val="1"/>
      </rPr>
      <t xml:space="preserve"> (1) Đã bao gồm chi trả nợ gốc các khoản vay của ngân sách địa phương từ nguồn bội thu</t>
    </r>
  </si>
  <si>
    <t>Tổng mức chi đầu tư phát triển (phần cân đối ngân sách địa phương):</t>
  </si>
  <si>
    <t>(3): Trong đó:</t>
  </si>
  <si>
    <r>
      <rPr>
        <b/>
        <sz val="14"/>
        <color rgb="FF0000FF"/>
        <rFont val="Times New Roman"/>
        <family val="1"/>
      </rPr>
      <t>(1): Trong đó:</t>
    </r>
    <r>
      <rPr>
        <sz val="14"/>
        <color rgb="FF0000FF"/>
        <rFont val="Times New Roman"/>
        <family val="1"/>
      </rPr>
      <t xml:space="preserve">
</t>
    </r>
  </si>
  <si>
    <t>Kinh phí biên chế giáo viên tăng thêm (Sự nghiệp giáo dục - đào tạo)</t>
  </si>
  <si>
    <t>Phí sử dụng đường bộ (Các hoạt động kinh tế)</t>
  </si>
  <si>
    <t>Bổ sung kinh phí thực hiện nhiệm vụ đảm bảo trật tự an toàn giao thông (Các hoạt động kinh tế)</t>
  </si>
  <si>
    <t>Kinh phí thực hiện Chương trình Phát triển lâm nghiệp bền vững (Các hoạt động kinh tế)</t>
  </si>
  <si>
    <t>Hỗ trợ doanh nghiệp nhỏ và vừa (Các hoạt động kinh tế)</t>
  </si>
  <si>
    <t>Chi các hoạt động kinh tế</t>
  </si>
  <si>
    <t>(1): Không kể lệ phí môn bài thu từ cá nhân, hộ kinh doanh</t>
  </si>
  <si>
    <t>(2): Không kể lệ phí trước bạ nhà, đất</t>
  </si>
  <si>
    <t>(3): Không kể phí, lệ phí do các ngành thuộc TW, cấp Tỉnh và cấp xã thu</t>
  </si>
  <si>
    <t>(4): Không kể tiền thuê đát do cấp Tỉnh quản lý</t>
  </si>
  <si>
    <t>(5): Không kể tiền sử dụng đất do cấp Tỉnh quản lý</t>
  </si>
  <si>
    <t>(6): +Kể cả tiền cho thuê, bán nhà thuộc sở hữu nhà nước; thu hoạt động sự nghiệp của các đơn vị; viện trợ không hoàn lại và các thu khác do cấp huyện quản lý</t>
  </si>
  <si>
    <t>DỰ TOÁN CHI NGÂN SÁCH CHO MỘT SỐ CHƯƠNG TRÌNH, DỰ ÁN, NHIỆM VỤ KHÁC QUAN TRỌNG 
NĂM 2024</t>
  </si>
  <si>
    <t>TW+ĐP</t>
  </si>
  <si>
    <t>ĐPH theo TW</t>
  </si>
  <si>
    <t>ĐPH theo ĐP</t>
  </si>
  <si>
    <t>Không kể XSKT-Đất-CPH</t>
  </si>
  <si>
    <t>Các khoản giảm trừ</t>
  </si>
  <si>
    <t>Thực để tính</t>
  </si>
  <si>
    <t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t>
  </si>
  <si>
    <t>0 Triệu đồng</t>
  </si>
  <si>
    <t>60 Triệu đồng</t>
  </si>
  <si>
    <t>576 Triệu đồng</t>
  </si>
  <si>
    <t>273 Triệu đồng</t>
  </si>
  <si>
    <t>2.545 Triệu đồng</t>
  </si>
  <si>
    <t>1.718 Triệu đồng</t>
  </si>
  <si>
    <t>739 Triệu đồng</t>
  </si>
  <si>
    <t>1.997 Triệu đồng</t>
  </si>
  <si>
    <t>1.730 Triệu đồng</t>
  </si>
  <si>
    <t>3.465 Triệu đồng</t>
  </si>
  <si>
    <t>So sánh năm 2024/UTH 2023 (%)</t>
  </si>
  <si>
    <t>DỰ TOÁN NĂM 2023
(TL 1,49)</t>
  </si>
  <si>
    <t>TỔNG THU NGÂN SÁCH ĐỊA PHƯƠNG</t>
  </si>
  <si>
    <t>DỰ TOÁN TW GIAO
(TL 1,8)</t>
  </si>
  <si>
    <t>DỰ TOÁN ĐP GIAO
 (TL 1,8)</t>
  </si>
  <si>
    <t>SO SÁNH DT 2024/DT2023 (THEO TL 1,49)</t>
  </si>
  <si>
    <t>BỘI THU/BỘI CHI NSĐP (NẾU CÓ)</t>
  </si>
  <si>
    <t>Chi thực hiện các chế độ chính sách mới và một số nhiệm vụ theo quy định (kinh phí sự nghiệp)</t>
  </si>
  <si>
    <t>TUYỆT ĐỐI DT2024/DT2023 GIỮA TW VỚI ĐP</t>
  </si>
  <si>
    <t>THU CÂN ĐỐI NGÂN SÁCH ĐỊA PHƯƠNG:</t>
  </si>
  <si>
    <t>Số bổ sung có mục tiêu từ ngân sách trung ương</t>
  </si>
  <si>
    <t>Số bổ sung thực hiện tiền lương và chế độ chính sách tăng thêm tính trong cân đối</t>
  </si>
  <si>
    <t xml:space="preserve">Thu chuyển nguồn làm lương </t>
  </si>
  <si>
    <t>TỔNG CHI CÂN ĐỐI NSĐP</t>
  </si>
  <si>
    <t>TỶ LỆ 
(%)</t>
  </si>
  <si>
    <t>SO SÁNH CHI NGÂN SÁCH NĂM 2024 GIỮA TRUNG ƯƠNG VÀ ĐỊA PHƯƠNG</t>
  </si>
  <si>
    <t>TUYỆT ĐỐI GIỮA DT2024/DT2023</t>
  </si>
  <si>
    <t>Chi tạo nguồn cải cách tiền lương (1)</t>
  </si>
  <si>
    <t>Chi trả nợ lãi vay</t>
  </si>
  <si>
    <t>Bổ sung quỹ dự trữ tài chính</t>
  </si>
  <si>
    <t>Kế hoạch chi đầu tư phát triển 2021-2025</t>
  </si>
  <si>
    <t>Chênh lệch giữa kế hoạch và số giao</t>
  </si>
  <si>
    <t>Cấp tỉnh quản lý và phân bổ</t>
  </si>
  <si>
    <t>Cấp huyện quản lý và phân bổ</t>
  </si>
  <si>
    <t>Chi đầu từ nguồn thu tiền sử dụng đất</t>
  </si>
  <si>
    <t>Chi đầu tư từ nguồn vốn khác</t>
  </si>
  <si>
    <t>Tổng chi đầu tư phát triển (Chi cân đối ngân sách địa phương)</t>
  </si>
  <si>
    <t>Chi đầu tư từ nguồn ngân sách trung ương bổ sung có mục tiêu</t>
  </si>
  <si>
    <t>Bổ sung chương trình, dự án đầu năm</t>
  </si>
  <si>
    <t>Bổ sung chương trình, dự án trong năm</t>
  </si>
  <si>
    <t>Chi đầu tư từ nguồn tăng thu, tiết kiệm chi</t>
  </si>
  <si>
    <t>TỔNG CHI</t>
  </si>
  <si>
    <t>Chương trình mục tiêu quốc gia</t>
  </si>
  <si>
    <t>Năm 2023</t>
  </si>
  <si>
    <t>Năm 2024</t>
  </si>
  <si>
    <t>Năm 2025</t>
  </si>
  <si>
    <t>Sở Kế hoạch và Đầu tư đã trình</t>
  </si>
  <si>
    <r>
      <t xml:space="preserve">KHV đầu giai đoạn
</t>
    </r>
    <r>
      <rPr>
        <sz val="10"/>
        <rFont val="Times New Roman"/>
        <family val="1"/>
      </rPr>
      <t>(</t>
    </r>
    <r>
      <rPr>
        <i/>
        <sz val="10"/>
        <rFont val="Times New Roman"/>
        <family val="1"/>
      </rPr>
      <t>79/NQ-HĐND, 09/12/2021</t>
    </r>
    <r>
      <rPr>
        <sz val="10"/>
        <rFont val="Times New Roman"/>
        <family val="1"/>
      </rPr>
      <t>)</t>
    </r>
  </si>
  <si>
    <r>
      <t xml:space="preserve">Phân bổ (đợt 1)
</t>
    </r>
    <r>
      <rPr>
        <sz val="10"/>
        <rFont val="Times New Roman"/>
        <family val="1"/>
      </rPr>
      <t>(</t>
    </r>
    <r>
      <rPr>
        <i/>
        <sz val="10"/>
        <rFont val="Times New Roman"/>
        <family val="1"/>
      </rPr>
      <t>79/NQ-HĐND, 09/12/2021</t>
    </r>
    <r>
      <rPr>
        <sz val="10"/>
        <rFont val="Times New Roman"/>
        <family val="1"/>
      </rPr>
      <t>)</t>
    </r>
  </si>
  <si>
    <r>
      <t xml:space="preserve">Phân bổ (đợt 2)
</t>
    </r>
    <r>
      <rPr>
        <sz val="10"/>
        <rFont val="Times New Roman"/>
        <family val="1"/>
      </rPr>
      <t>(16</t>
    </r>
    <r>
      <rPr>
        <i/>
        <sz val="10"/>
        <rFont val="Times New Roman"/>
        <family val="1"/>
      </rPr>
      <t>/NQ-HĐND, 15/7/2022</t>
    </r>
    <r>
      <rPr>
        <sz val="10"/>
        <rFont val="Times New Roman"/>
        <family val="1"/>
      </rPr>
      <t>)</t>
    </r>
  </si>
  <si>
    <r>
      <t xml:space="preserve">Điều chỉnh, BS (đợt 3)
</t>
    </r>
    <r>
      <rPr>
        <sz val="10"/>
        <rFont val="Times New Roman"/>
        <family val="1"/>
      </rPr>
      <t>(38</t>
    </r>
    <r>
      <rPr>
        <i/>
        <sz val="10"/>
        <rFont val="Times New Roman"/>
        <family val="1"/>
      </rPr>
      <t>/NQ-HĐND, 14/11/2022</t>
    </r>
    <r>
      <rPr>
        <sz val="10"/>
        <rFont val="Times New Roman"/>
        <family val="1"/>
      </rPr>
      <t>)</t>
    </r>
  </si>
  <si>
    <r>
      <t xml:space="preserve">Điều chỉnh, BS (đợt 4)
</t>
    </r>
    <r>
      <rPr>
        <sz val="10"/>
        <rFont val="Times New Roman"/>
        <family val="1"/>
      </rPr>
      <t>(44</t>
    </r>
    <r>
      <rPr>
        <i/>
        <sz val="10"/>
        <rFont val="Times New Roman"/>
        <family val="1"/>
      </rPr>
      <t>/NQ-HĐND, 09/12/2022</t>
    </r>
    <r>
      <rPr>
        <sz val="10"/>
        <rFont val="Times New Roman"/>
        <family val="1"/>
      </rPr>
      <t>)</t>
    </r>
  </si>
  <si>
    <r>
      <t xml:space="preserve">Điều chỉnh, BS (đợt 5)
</t>
    </r>
    <r>
      <rPr>
        <sz val="10"/>
        <rFont val="Times New Roman"/>
        <family val="1"/>
      </rPr>
      <t>(10</t>
    </r>
    <r>
      <rPr>
        <i/>
        <sz val="10"/>
        <rFont val="Times New Roman"/>
        <family val="1"/>
      </rPr>
      <t>/NQ-HĐND, 31/3/2023</t>
    </r>
    <r>
      <rPr>
        <sz val="10"/>
        <rFont val="Times New Roman"/>
        <family val="1"/>
      </rPr>
      <t>)</t>
    </r>
  </si>
  <si>
    <r>
      <t xml:space="preserve">Điều chỉnh, BS (đợt 6)
</t>
    </r>
    <r>
      <rPr>
        <sz val="10"/>
        <rFont val="Times New Roman"/>
        <family val="1"/>
      </rPr>
      <t>(22</t>
    </r>
    <r>
      <rPr>
        <i/>
        <sz val="10"/>
        <rFont val="Times New Roman"/>
        <family val="1"/>
      </rPr>
      <t>/NQ-HĐND, 18/7/2023</t>
    </r>
    <r>
      <rPr>
        <sz val="10"/>
        <rFont val="Times New Roman"/>
        <family val="1"/>
      </rPr>
      <t>)</t>
    </r>
  </si>
  <si>
    <r>
      <t xml:space="preserve">Điều chỉnh, BS (đợt 7)
</t>
    </r>
    <r>
      <rPr>
        <sz val="10"/>
        <rFont val="Times New Roman"/>
        <family val="1"/>
      </rPr>
      <t>(</t>
    </r>
    <r>
      <rPr>
        <i/>
        <sz val="10"/>
        <rFont val="Times New Roman"/>
        <family val="1"/>
      </rPr>
      <t>33/NQ-HĐND, 17/10/2023</t>
    </r>
    <r>
      <rPr>
        <sz val="10"/>
        <rFont val="Times New Roman"/>
        <family val="1"/>
      </rPr>
      <t>)</t>
    </r>
  </si>
  <si>
    <t>Tăng thu xổ số kiến thiết</t>
  </si>
  <si>
    <t>Tiết kiệm chi</t>
  </si>
  <si>
    <t>Vốn đầu tư phát triển (Vốn ngoài nước)</t>
  </si>
  <si>
    <t>Vốn đầu tư phát triển (Vốn trong nước)</t>
  </si>
  <si>
    <t>3=2-1</t>
  </si>
  <si>
    <r>
      <t xml:space="preserve">Điều chỉnh, BS (đợt 8) Dự kiến
</t>
    </r>
    <r>
      <rPr>
        <sz val="10"/>
        <rFont val="Times New Roman"/>
        <family val="1"/>
      </rPr>
      <t/>
    </r>
  </si>
  <si>
    <t>Số đã thảo luận đợt 1</t>
  </si>
  <si>
    <t>Điều tiết ngân sách tỉnh</t>
  </si>
  <si>
    <t>Ngân sách huyện</t>
  </si>
  <si>
    <t>Số đã giao thêm</t>
  </si>
  <si>
    <t>BẢNG CÂN ĐỐI DỰ TOÁN THU-CHI TIỀN SỬ DỤNG ĐẤT NĂM 2024 NGÂN SÁCH HUYỆN, THÀNH PHỐ</t>
  </si>
  <si>
    <t>9=6-3</t>
  </si>
  <si>
    <t>10=7-4</t>
  </si>
  <si>
    <t>11=8-5</t>
  </si>
  <si>
    <t>CÂN ĐỐI NGÂN SÁCH ĐỊA PHƯƠNG NĂM 2021-2025</t>
  </si>
  <si>
    <t>Ngân sách trung ương</t>
  </si>
  <si>
    <t>Ngân sách địa phương</t>
  </si>
  <si>
    <t>Ngân sách cấp tỉnh</t>
  </si>
  <si>
    <t>Thu cân đối ngân sách địa phương 2024 so dự toán 2023</t>
  </si>
  <si>
    <t>Các khoảng thu còn lại</t>
  </si>
  <si>
    <t>Dành 50% dự toán 2024/2023 thực hiện CCTL</t>
  </si>
  <si>
    <t>Bố trí chi 50% còn lại</t>
  </si>
  <si>
    <t>Thu cổ phần hóa, thoái vốn DNNN ĐP</t>
  </si>
  <si>
    <t xml:space="preserve">Số đã giao </t>
  </si>
  <si>
    <t>- Đã bao gồm các khoản chi trả nợ gốc các khoản vay đến hạn phải trả từ nguồn bội  tiết kiệm  kết dư ngân sách cấp huyện...theo quy định của pháp luật, Ủy ban nhân dân cấp huyện báo cáo Hội đồng nhân dân cùng cấp quyết định theo quy định. Kế hoạch trả nợ gốc chương trình cụm tuyến dân cư giai đoạn 1, 2</t>
  </si>
  <si>
    <t>- Đã bao gồm các khoản chi trả nợ gốc các khoản vay đến hạn phải trả từ nguồn bội  tiết kiệm  kết dư ngân sách cấp huyện,... theo quy định của pháp luật, Ủy ban nhân dân cấp huyện báo cáo Hội đồng nhân dân cùng cấp quyết định theo quy định. Kế hoạch trả nợ gốc chương trình cụm tuyến dân cư giai đoạn 1, 2</t>
  </si>
  <si>
    <t>- Đã bao gồm các khoản chi trả nợ gốc các khoản vay đến hạn phải trả từ nguồn bội  tiết kiệm  kết dư ngân sách cấp huyện,... theo quy định của pháp luật, Ủy ban nhân dân cấp huyện báo cáo Hội đồng nhân dân cùng cấp quyết định theo quy định. Kế hoạch trả nợ gốc chương trình cụm tuyến dân cư giai đoạn 1, 2.</t>
  </si>
  <si>
    <t>Quỹ lương toàn tỉnh (1,8 triệu đồng/tháng)</t>
  </si>
  <si>
    <t>Dự toán thường xuyên cấp tỉnh</t>
  </si>
  <si>
    <t xml:space="preserve">Số dự toán giảm chi thường xuyên do ngân sách cấp tỉnh giảm </t>
  </si>
  <si>
    <t>Đảm bảo bằng mặt bằng năm 2023</t>
  </si>
  <si>
    <t>Quỹ lương cấp tỉnh năm 2024 - nguồn</t>
  </si>
  <si>
    <t>Nhu cầu thực tế sau khi thảo luận</t>
  </si>
  <si>
    <t>Cộng lương</t>
  </si>
  <si>
    <t>Cộng hoạt động thêm</t>
  </si>
  <si>
    <t>Tỷ lệ hoạt động chiếm</t>
  </si>
  <si>
    <t>Nhu cầu tăng thêm ngoài lương</t>
  </si>
  <si>
    <t>Chi đầu tư phát triển khác (Ủy thác qua NH Chính sách chi nhánh tỉnh Đồng Tháp)</t>
  </si>
  <si>
    <t>Chi đầu tư từ nguồn thu thoái vốn doanh nghiệp nhà nước địa phương quản lý;…</t>
  </si>
  <si>
    <t>Cục Thi hành án dân sự tỉnh Đồng Tháp</t>
  </si>
  <si>
    <t>BỔ SUNG CÓ MỤC TIÊU TỪ NGÂN SÁCH TRUNG ƯƠNG ĐỂ THỰC HIỆN CÁC MỤC TIÊU, NHIỆM VỤ QUAN TRỌNG (I+II)</t>
  </si>
  <si>
    <t>Tòa án Nhân dân tỉnh Đồng Tháp</t>
  </si>
  <si>
    <t>Cục Thống kê tỉnh Đồng Tháp</t>
  </si>
  <si>
    <t>Trong đó: thu nội địa không kể tiền SDĐ, XSKT, CPH</t>
  </si>
  <si>
    <t>Cục Quản lý thị trường Tỉnh</t>
  </si>
  <si>
    <t>Ban Quản lý dự án Đầu tư xây dựng Công trình nông nghiệp và Phát triển nông thôn</t>
  </si>
  <si>
    <t>CÁC KHOẢN CHI ĐÃ GIAO THEO LĨNH VỰC (CHƯA GIAO CỤ THỂ ĐẦU NĂM) CHO ĐƠN VỊ TRÊN ĐỊA BÀN TỈNH</t>
  </si>
  <si>
    <t>Các nhiệm vụ chi hoạt động kinh tế</t>
  </si>
  <si>
    <t>Trong đó; Một số nhiệm vụ chi phải báo cáo cấp có thẩm quyền xem xét, quyết định cho phép thực hiện</t>
  </si>
  <si>
    <t>Chi sự nghiệp giáo dục và đào tạo</t>
  </si>
  <si>
    <t>Chi sự nghiệp văn hóa thông tin</t>
  </si>
  <si>
    <t>Chi quản lý hành chính (QLNN, Đảng…)</t>
  </si>
  <si>
    <t>Chi an ninh - quốc phòng</t>
  </si>
  <si>
    <t>13=8/3</t>
  </si>
  <si>
    <t>TỔNG THU NSĐP (A+B+C+D)</t>
  </si>
  <si>
    <t>TỔNG CHI NSĐP (I+II+III+IV)</t>
  </si>
  <si>
    <t>(+/-)</t>
  </si>
  <si>
    <t>14=8-3</t>
  </si>
  <si>
    <t>17=18+19</t>
  </si>
  <si>
    <t>20=15/8</t>
  </si>
  <si>
    <t>21=15-8</t>
  </si>
  <si>
    <t>22=15/3</t>
  </si>
  <si>
    <t>23=15-3</t>
  </si>
  <si>
    <t>SO SÁNH ƯỚC THỰC HIỆN THU NGÂN SÁCH NHÀ NƯỚC NĂM 2023
DỰ TOÁN THU NGÂN SÁCH NHÀ NƯỚC NĂM 2024</t>
  </si>
  <si>
    <t>SS UTH 2023/
DT2023</t>
  </si>
  <si>
    <t>SS DT2024/UTH2023</t>
  </si>
  <si>
    <t>SS DT2024/DT2023</t>
  </si>
  <si>
    <t>PHỤ LỤC III</t>
  </si>
  <si>
    <t>Bổ sung có mục tiêu thực hiện chính sách an sinh xã hội (ngoài chính sách tiền lương) (5)</t>
  </si>
  <si>
    <r>
      <t xml:space="preserve">(5): </t>
    </r>
    <r>
      <rPr>
        <sz val="14"/>
        <color theme="1"/>
        <rFont val="Times New Roman"/>
        <family val="1"/>
      </rPr>
      <t>Chi tiết chế độ, chính sách an sinh xã hội theo Phụ lục số III</t>
    </r>
  </si>
  <si>
    <t>CHẾ ĐỘ CHÍNH SÁCH AN SINH XÃ HỘI TĂNG THÊM NĂM 2024</t>
  </si>
  <si>
    <t>Kết quả phân bổ vốn đầu tư phát triển (phần chi cân đối ngân sách địa phương)</t>
  </si>
  <si>
    <t>Tình hình huy động vốn đầu tư phát triển của ngân sách địa phương</t>
  </si>
  <si>
    <t>ƯỚC THỰC HIỆN 6 THÁNG ĐẦU NĂM 2022</t>
  </si>
  <si>
    <t>DỰ TOÁN 6 THÁNG CUỐI NĂM 2022</t>
  </si>
  <si>
    <t>ƯỚC THỰC HIỆN CẢ NĂM 2022</t>
  </si>
  <si>
    <t>CHÊNH LỆCH GIỮA UTH SO VỚI DT 2022</t>
  </si>
  <si>
    <t>% so với dự toán 2022</t>
  </si>
  <si>
    <t>Chính sách hỗ trợ chi phí học tập và miễn giảm học phí theo quy định tại Nghị định số 81/2021/NĐ-CP ngày 27/08/2021 của Chính phủ</t>
  </si>
  <si>
    <t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t>
  </si>
  <si>
    <t xml:space="preserve">- Bao gồm 10% tiết kiệm tăng thêm năm 2024 so với năm 2023 để thực hiện cải cách tiền lương năm 2024 là: </t>
  </si>
  <si>
    <t>25.300 triệu đồng</t>
  </si>
  <si>
    <t>12.198 Triệu đồng</t>
  </si>
  <si>
    <t>CHI ĐẦU TƯ PHÁT TRIỂN KHÁC (ỦY THÁC QUA NH CHÍNH SÁCH XÃ HỘI CHI NHÁNH TỈNH ĐỒNG THÁP)</t>
  </si>
  <si>
    <t>Chi đầu tư phát triển khác (Ủy thác qua NH Chính sách xã hội chi nhánh tỉnh Đồng Tháp)</t>
  </si>
  <si>
    <t>Thu do cơ quan, tổ chức, đơn vị thuộc huyện, thành phố quản lý (3)</t>
  </si>
  <si>
    <t>Thu do cơ quan, tổ chức, đơn vị thuộc huyện, thành phố quản lý (2)</t>
  </si>
  <si>
    <t>Chi đầu tư SNGD-ĐT</t>
  </si>
  <si>
    <t>Chi thường xuyên SNGD-ĐT</t>
  </si>
  <si>
    <t>Tổng chi thường xuyên</t>
  </si>
  <si>
    <t>% Chi đầu tư SNGD-ĐT/Tổng chi NSĐP</t>
  </si>
  <si>
    <t>% Chi đầu tư SNGD-ĐT/Tổng chi thường xuyên</t>
  </si>
  <si>
    <t>1/I(%)</t>
  </si>
  <si>
    <t>1/II(%)</t>
  </si>
  <si>
    <t>% Chi thường xuyên SNGD-ĐT/Tổng chi NSĐP</t>
  </si>
  <si>
    <t>% Chi thường xuyên SNGD-ĐT/Tổng chi thường xuyên</t>
  </si>
  <si>
    <t>2/I (%)</t>
  </si>
  <si>
    <t>2/II (%)</t>
  </si>
  <si>
    <t xml:space="preserve">CHI ĐẦU TƯ - THƯỜNG XUYÊN SỰ NGHIỆP GIÁO DỤC - ĐÀO TẠO </t>
  </si>
  <si>
    <t>Dự án 2: Đa dạng hóa sinh kế, phát triển mô hình giảm nghèo (các hoạt động kinh tế); 25.125 triệu đồng</t>
  </si>
  <si>
    <t>Dự án 3: Hỗ trợ phát triển sản xuất, cải thiện dinh dưỡng (sự nghiệp y tế, dân số và gia đình: 4.025 triệu đồng; các hoạt động kinh tế: 10.387 triệu đồng)</t>
  </si>
  <si>
    <t xml:space="preserve">Dự án 4: Phát triển giáo dục nghề nghiệp, việc làm bền vững (sự nghiệp giáo dục-đào tạo và dạy nghề 2.237 triệu đồng; các hoạt động kinh tế 9.941 triệu đồng) </t>
  </si>
  <si>
    <t>Dự án 6: Truyền thông và giảm nghèo về thông tin (sự nghiệp văn hóa thông tin); 6.372 triệu đồng</t>
  </si>
  <si>
    <t>Dự án 7: Nâng cao năng lực và giám sát, đánh giá chương trình (sự nghiệp giáo dục- đào tạo và dạy nghề); 7.568 triệu đồng</t>
  </si>
  <si>
    <t>Thuế xuất khẩu</t>
  </si>
  <si>
    <t>I. TỶ LỆ PHẦN TRĂM ( % ) PHÂN CHIA CÁC KHOẢN THU CHO TỪNG HUYỆN, THÀNH PHỐ THUỘC TỈNH NĂM 2024</t>
  </si>
  <si>
    <t>Biểu số 39/CK-NSNN</t>
  </si>
  <si>
    <t>DỰ TOÁN CHI ĐẦU TƯ PHÁT TRIỂN CỦA NGÂN SÁCH CẤP TỈNH CHO TỪNG CƠ QUAN, TỔ CHỨC THEO LĨNH VỰC NĂM 2024</t>
  </si>
  <si>
    <t>(Dự toán trình Hội đồng nhân dân)</t>
  </si>
  <si>
    <t>Đơn vị: Triệu đồng</t>
  </si>
  <si>
    <t>TÊN ĐƠN VỊ</t>
  </si>
  <si>
    <t>TRONG ĐÓ</t>
  </si>
  <si>
    <t>CHI GIÁO DỤC - ĐÀO TẠO VÀ DẠY NGHỀ</t>
  </si>
  <si>
    <t>CHI KHOA HỌC VÀ CÔNG NGHỆ</t>
  </si>
  <si>
    <t>CHI Y TẾ, DÂN SỐ VÀ GIA ĐÌNH</t>
  </si>
  <si>
    <t>CHI VĂN HÓA THÔNG TIN</t>
  </si>
  <si>
    <t>CHI PHÁT THANH, TRUYỀN HÌNH, THÔNG TẤN</t>
  </si>
  <si>
    <t>CHI THỂ DỤC THỂ THAO</t>
  </si>
  <si>
    <t>CHI BẢO VỆ MÔI TRƯỜNG</t>
  </si>
  <si>
    <t>CHI CÁC HOẠT ĐỘNG KINH TẾ</t>
  </si>
  <si>
    <t>CHI HOẠT ĐỘNG CỦA CƠ QUAN QUẢN LÝ ĐỊA PHƯƠNG, ĐẢNG, ĐOÀN THỂ</t>
  </si>
  <si>
    <t>CHI BẢO ĐẢM XÃ HỘI</t>
  </si>
  <si>
    <t>CHI GIAO THÔNG</t>
  </si>
  <si>
    <t>CHI NÔNG NGHIỆP, LÂM NGHIỆP, THỦY LỢI, THỦY SẢN</t>
  </si>
  <si>
    <t>Ban QLDA ĐTXDCT DD&amp;CN Tỉnh</t>
  </si>
  <si>
    <t>Ban QLDA ĐTXDCT Giao thông Tỉnh</t>
  </si>
  <si>
    <t>Ban Quản lý Khu kinh tế Đồng Tháp</t>
  </si>
  <si>
    <t>Đoàn Kinh tế - Quốc phòng 959/QK9</t>
  </si>
  <si>
    <t>UBND huyện Cao Lãnh</t>
  </si>
  <si>
    <t>UBND huyện Châu Thành</t>
  </si>
  <si>
    <t>UBND huyện Hồng Ngự</t>
  </si>
  <si>
    <t>UBND huyện Lấp Vò</t>
  </si>
  <si>
    <t>UBND huyện Lai Vung</t>
  </si>
  <si>
    <t>UBND huyện Thanh Bình</t>
  </si>
  <si>
    <t>UBND huyện Tam Nông</t>
  </si>
  <si>
    <t>Sở Nông nghiệp và Phát triển nông thôn</t>
  </si>
  <si>
    <t>Sở Giao thông vận tải</t>
  </si>
  <si>
    <t>Sở Văn hóa, Thể thao và Du lịch</t>
  </si>
  <si>
    <t>Biểu số 45/CK-NSNN</t>
  </si>
  <si>
    <t>DANH MỤC CÁC CHƯƠNG TRÌNH, DỰ ÁN SỬ DỤNG VỐN NGÂN SÁCH NHÀ NƯỚC NĂM 2024</t>
  </si>
  <si>
    <t>Danh mục dự án</t>
  </si>
  <si>
    <t>Địa điểm xây dựng</t>
  </si>
  <si>
    <t>Năng lực thiết kế</t>
  </si>
  <si>
    <t>Thời gian khởi công - hoàn thành</t>
  </si>
  <si>
    <t>Quyết định đầu tư</t>
  </si>
  <si>
    <t>Giá trị khối lượng thực hiện từ khởi công đến 31/12/2023</t>
  </si>
  <si>
    <t>Lũy kế vốn đã bố trí đến 31/12/2023</t>
  </si>
  <si>
    <t>Kế hoạch vốn năm</t>
  </si>
  <si>
    <t>Số Quyết định, ngày, tháng, năm ban hành</t>
  </si>
  <si>
    <t>Tổng mức đầu tư được duyệt</t>
  </si>
  <si>
    <t>Chia theo nguồn vốn</t>
  </si>
  <si>
    <t>Ngoài nước</t>
  </si>
  <si>
    <t>Quốc phòng</t>
  </si>
  <si>
    <t>Dự án khởi công mới trong giai đoạn 5 năm 2021-2025</t>
  </si>
  <si>
    <t>Dự án đầu tư xây dựng khu kinh tế quốc phòng Tân Hồng (giai đoạn 3)</t>
  </si>
  <si>
    <t>HTN, HHN, HTH</t>
  </si>
  <si>
    <t xml:space="preserve"> 08 cầu và 11,6km đường GTNT</t>
  </si>
  <si>
    <t>2024-2027</t>
  </si>
  <si>
    <t>3098/QĐ-BQP ngày 12/7/2023</t>
  </si>
  <si>
    <t>An ninh và trật tự, an toàn xã hội</t>
  </si>
  <si>
    <t>Giáo dục, đào tạo và giáo dục nghề nghiệp</t>
  </si>
  <si>
    <t>- Mua sắm trang, thiết bị dạy học ngoại ngữ</t>
  </si>
  <si>
    <t>toàn tỉnh</t>
  </si>
  <si>
    <t>Tthiết bị và phần mềm dạy học tại 273 phòng dạy học ngoại ngữ</t>
  </si>
  <si>
    <t>2022-2025</t>
  </si>
  <si>
    <t>34/QĐ-UBND.HC ngày 11/01/2022 của UBND Tỉnh</t>
  </si>
  <si>
    <t>Trung tâm Văn hóa - HTCĐ xã Phú Thành A</t>
  </si>
  <si>
    <t>HTN</t>
  </si>
  <si>
    <t>Diện tích XD 480m2 và các hạng mục phụ</t>
  </si>
  <si>
    <t>2021-2024</t>
  </si>
  <si>
    <t>1281/QĐ-UBND-HC ngày 07/11/2023 của UBND huyện</t>
  </si>
  <si>
    <t>Chương trình Đảm bảo cơ sở vật chất cho chương trình giáo dục mầm non và giáo dục phổ thông giai đoạn 2021-2025</t>
  </si>
  <si>
    <t>- Trường THPT Tân Phú Trung</t>
  </si>
  <si>
    <t>HCT</t>
  </si>
  <si>
    <t>2022-2024</t>
  </si>
  <si>
    <t>1824/QĐ-UBND.HC ngày 30/11/2021 của UBND Tỉnh</t>
  </si>
  <si>
    <t>- Trường THPT Lai Vung 3</t>
  </si>
  <si>
    <t>HL. Vung</t>
  </si>
  <si>
    <t>1825/QÐ-UBND.HC ngày 01/12/2021 của UBND Tỉnh</t>
  </si>
  <si>
    <t>- Trường THCS-THPT Hòa Bình</t>
  </si>
  <si>
    <t>1823/QÐ-UBND.HC ngày 30/11/2021 của UBND Tỉnh</t>
  </si>
  <si>
    <t>Trường THPT Hồng Ngự 3</t>
  </si>
  <si>
    <t>HHN</t>
  </si>
  <si>
    <t>25PH+41PCN+TB+HMN</t>
  </si>
  <si>
    <t>2022 - 2024</t>
  </si>
  <si>
    <t>102/QĐ-UBND.HC ngày 27/01/2022 của UBND Tỉnh</t>
  </si>
  <si>
    <t>Trường MN Bình Thạnh B</t>
  </si>
  <si>
    <t>Xã Bình Thạnh</t>
  </si>
  <si>
    <t>XD mới 15p học, khối chức năng, công trình phụ trợ</t>
  </si>
  <si>
    <t>Số 1853/QĐ-UBND ngày 30/11/2021 của UBND Huyện và  Số 500/QĐ-UBND ngày 07/9/2023 của UBND Huyện</t>
  </si>
  <si>
    <t>Trường TH Phong Mỹ 4</t>
  </si>
  <si>
    <t>Xã Phong Mỹ</t>
  </si>
  <si>
    <t>XD mới khối chức năng, công trình phụ trợ</t>
  </si>
  <si>
    <t>847/QĐ-UBND ngày 29/12/2020 và 1119/QĐ-UBND ngày 12/10/2021 và  577/QĐ-UBND ngày 09/10/2023 của UBND Huyện</t>
  </si>
  <si>
    <t>Trường TH Gáo Giồng</t>
  </si>
  <si>
    <t>Xã Gáo Giồng</t>
  </si>
  <si>
    <t>XD mới 10p học, khối chức năng, công trình phụ trợ</t>
  </si>
  <si>
    <t>2021-2023</t>
  </si>
  <si>
    <t xml:space="preserve">Số 1851/QĐ-UBND ngày 30/11/2021 của UBND Huyện  </t>
  </si>
  <si>
    <t>Trường TH Phương Thịnh 1</t>
  </si>
  <si>
    <t>Xã Phương Thịnh</t>
  </si>
  <si>
    <t>XD mới 11p học, khối chức năng, công trình phụ trợ</t>
  </si>
  <si>
    <t>2020-2023</t>
  </si>
  <si>
    <t xml:space="preserve"> 846/QĐ-UBND ngày 29/12/2020 và số 560/QĐ-UBND ngày 14/11/2022 của UBND huyện</t>
  </si>
  <si>
    <t>Trường TH Bình Thạnh 2</t>
  </si>
  <si>
    <t>XD mới 07p học, khối chức năng, công trình phụ trợ</t>
  </si>
  <si>
    <t xml:space="preserve">Số 1857/QĐ-UBND ngày 30/11/2021 của UBND Huyện và Số 426/QĐ-UBND ngày 26/7/2023 của UBND Huyện  </t>
  </si>
  <si>
    <t>Trường TH Bình Thạnh 3</t>
  </si>
  <si>
    <t>XD mới 18p học, khối chức năng, công trình phụ trợ</t>
  </si>
  <si>
    <t xml:space="preserve">Số 1855/QĐ-UBND ngày 30/11/2021 của UBND Huyện và  Số 427/QĐ-UBND ngày 26/7/2023 của UBND Huyện </t>
  </si>
  <si>
    <t>Trường TH Tân Hội Trung 1</t>
  </si>
  <si>
    <t>Xã Tân Hội Trung</t>
  </si>
  <si>
    <t>Số 1859/QĐ-UBND ngày 30/11/2021của UBND Huyện và QĐ 681/QĐ-UBND ngày 04/12/2023 của UBND Huyện</t>
  </si>
  <si>
    <t>Trường THCS Phương Trà</t>
  </si>
  <si>
    <t>Xã Phương Trà</t>
  </si>
  <si>
    <t>XD mới 02p học, 30p chức năng, công trình phụ trợ</t>
  </si>
  <si>
    <t>Số 1861/QĐ-UBND ngày 30/11/2021 của UBND Huyện và  419/QĐ-UBND ngày 24/7/2023 của UBND Huyện</t>
  </si>
  <si>
    <t>Trường MG An Nhơn (điểm chính)</t>
  </si>
  <si>
    <t>Xã an Nhơn</t>
  </si>
  <si>
    <t>01PH+10PCN+HMP+TB</t>
  </si>
  <si>
    <t>1986/QĐ-UBND ngày 28/12/2021 của UBND huyện</t>
  </si>
  <si>
    <t>Trường Mẫu giáo Tân Phú (Điểm Chính)</t>
  </si>
  <si>
    <t>Xã Tân Phú</t>
  </si>
  <si>
    <t>02PH+15PCN+HMP+TB</t>
  </si>
  <si>
    <t xml:space="preserve">1987/QĐ-UBND ngày 28/12/2021; 848/QĐ-UBND ngày 13/112023 của UBND huyện, </t>
  </si>
  <si>
    <t>Trường Tiểu học Cái Tàu Hạ 2</t>
  </si>
  <si>
    <t>TT.CTH</t>
  </si>
  <si>
    <t>4PH-PCN+HMP+TB</t>
  </si>
  <si>
    <t>1985/QĐ-UBND ngày 28/12/2021 ; 714/QĐ-UBND ngày 22/9/2023 của UBND huyện</t>
  </si>
  <si>
    <t>Trường Tiểu học Hòa Tân 1</t>
  </si>
  <si>
    <t>Xã Hòa Tân</t>
  </si>
  <si>
    <t>12PH+26PCN+HMP+TB</t>
  </si>
  <si>
    <t>1984/QĐ-UBND ngày 28/12/2021; 584/QĐ-UBND ngày 07/7/2022; 804/QĐ-UBND ngày 31/10/2023 của UBND huyện</t>
  </si>
  <si>
    <t>Trường Tiểu học Phú Long (điểm chính)</t>
  </si>
  <si>
    <t>Xã Phú long</t>
  </si>
  <si>
    <t>12PH+25PCN+HMP+TB</t>
  </si>
  <si>
    <t>2024-2024</t>
  </si>
  <si>
    <t>530/QĐ-UBND ngày 13/6/2022 của UBND huyện</t>
  </si>
  <si>
    <t>Trường MG Thường Thới Tiền</t>
  </si>
  <si>
    <t>Thị trấn Thường Thới Tiền</t>
  </si>
  <si>
    <t>XD 03 phòng học, 2 phòng CN, thiết bị</t>
  </si>
  <si>
    <t>22/3/22-16/06/23</t>
  </si>
  <si>
    <t>13213/QĐ-UBND, ngày 25/11/2021</t>
  </si>
  <si>
    <t>Trường Tiểu học Phú Thuận B3</t>
  </si>
  <si>
    <t xml:space="preserve">XD 06 phòng học, 06 phòng chức năng, thiết bị </t>
  </si>
  <si>
    <t>02/04/22-19/05/23</t>
  </si>
  <si>
    <t>13350/QĐ-UBND, ngày 29/11/2021</t>
  </si>
  <si>
    <t>Trường Tiểu học Thường Thới Hậu A</t>
  </si>
  <si>
    <t>XD 16 phòng học, 21 phòng chức năng, thiết bị và hạng mục phụ</t>
  </si>
  <si>
    <t>11/10/22-03/02/24</t>
  </si>
  <si>
    <t>13351/QĐ-UBND, ngày 29/11/2021; 4836/QĐ-UBND ngày 15/12/23</t>
  </si>
  <si>
    <t>Trường THCS Long Thuận</t>
  </si>
  <si>
    <t>Long Thuận</t>
  </si>
  <si>
    <t>XD 14 phòng học, 34 phòng chức năng, thiết bị và hạng mục phụ</t>
  </si>
  <si>
    <t>11/10/22-02/02/24</t>
  </si>
  <si>
    <t>13352/QĐ-UBND, ngày 29/11/2021</t>
  </si>
  <si>
    <t>Trường THCS Long Khánh A</t>
  </si>
  <si>
    <t>XD 25 phòng chức năng, thiết bị và hạng mục phụ</t>
  </si>
  <si>
    <t>05/09/22-30/10/23</t>
  </si>
  <si>
    <t>13214/QĐ-UBND, ngày 25/11/2021; 4853/QĐ-UBND ngày 18/12/2023</t>
  </si>
  <si>
    <t>Truờng Tiểu học Phú Thuận B4</t>
  </si>
  <si>
    <t>XD mới 10 phòng học, 19 phòng chức năng, san lấp mặt bằng, thiết bị và hạng mục phụ</t>
  </si>
  <si>
    <t>1375a/QĐ-UBND, ngày 25/03/2022</t>
  </si>
  <si>
    <t>Trường TH Mỹ An Hưng A</t>
  </si>
  <si>
    <t>HL Vò</t>
  </si>
  <si>
    <t>4PH+19PCN+HMP+TB</t>
  </si>
  <si>
    <t>Số 1736/QĐ-UBND.HC ngày 17/12/2021 của UBND huyện</t>
  </si>
  <si>
    <t>Trường TH Tân Khánh Trung 3</t>
  </si>
  <si>
    <t>7PH+19PCN+HMP+TB</t>
  </si>
  <si>
    <t>Số 176/QĐ-UBND.HC ngày 25/01/2022 của UBND huyện</t>
  </si>
  <si>
    <t>Trường TH Định An</t>
  </si>
  <si>
    <t>8PH+25PCN+HMP+TB</t>
  </si>
  <si>
    <t>Số 175/QĐ-UBND.HC ngày 25/01/2022 của UBND huyện</t>
  </si>
  <si>
    <t>Trường THCS Định An</t>
  </si>
  <si>
    <t>12PH+29PCN+TB+HMP</t>
  </si>
  <si>
    <t>Số 142/QĐ-UBND.HC ngày 17/01/2022 của UBND huyện</t>
  </si>
  <si>
    <t>Trường MG Mỹ An Hưng B</t>
  </si>
  <si>
    <t>5PH+5PCN+TB+HMP</t>
  </si>
  <si>
    <t>Số 433/QĐ-UBND.HC ngày 20/6/2022 của UBND huyện</t>
  </si>
  <si>
    <t>Trường TH Định Yên 2</t>
  </si>
  <si>
    <t>8PH+19PCN+TB+HMP</t>
  </si>
  <si>
    <t>Số 442/QĐ-UBND.HC ngày 20/6/2022 của UBND huyện</t>
  </si>
  <si>
    <t>Trường MN Long Thắng  2</t>
  </si>
  <si>
    <t>Xã Long Thắng</t>
  </si>
  <si>
    <t>06PH+15PCN+TB+HMP</t>
  </si>
  <si>
    <t>575/QĐ-UBND-XDCB ngày 28/12/2020; 570/QĐ-UBND-XDCB ngày 23/11/2023 của UBND huyện</t>
  </si>
  <si>
    <t>Trường MN Long Hậu 2</t>
  </si>
  <si>
    <t>Xã Long Hậu</t>
  </si>
  <si>
    <t>08PH+14PCN+TB+HMP</t>
  </si>
  <si>
    <t>578/QĐ-UBND-XDCB ngày 28/12/2020; 572/QĐ-UBND-XDCB ngày 23/11/2023 của UBND huyện</t>
  </si>
  <si>
    <t>Trường Tiểu học Long Thắng 2 (điểm chính)</t>
  </si>
  <si>
    <t>21PH+01PCN+TB+HMP</t>
  </si>
  <si>
    <t>574/QĐ-UBND-XDCB ngày 28/12/2020; 571/QĐ-UBND-XDCB ngày 23/11/2023 của UBND huyện</t>
  </si>
  <si>
    <t>Trường Tiểu học Tân Thành 3</t>
  </si>
  <si>
    <t>Xã Tân Thành</t>
  </si>
  <si>
    <t>15PH+08PCN+thiết bị+HMP</t>
  </si>
  <si>
    <t>45/QĐ-UBND-XDCB ngày 25/01/2022; 600/QĐ-UBND ngày 22/12/2023 của UBND huyện</t>
  </si>
  <si>
    <t>Trường Tiểu học Tân Hòa 1</t>
  </si>
  <si>
    <t>Xã Tân Hòa</t>
  </si>
  <si>
    <t>14PH+21PCN+thiết bị+HMP</t>
  </si>
  <si>
    <t>573/QĐ-UBND-XDCB ngày 28/12/2020; 573/QĐ-UBND-XDCB ngày 23/11/2023 của UBND huyện</t>
  </si>
  <si>
    <t>Trường TH Phong Hòa 2 (Điểm chính)</t>
  </si>
  <si>
    <t>Xã Phong Hòa</t>
  </si>
  <si>
    <t>1PH+10PCN+thiết bị+HMP</t>
  </si>
  <si>
    <t>2022- 2024</t>
  </si>
  <si>
    <t>43/QĐ-UBND-XDCB ngày 25/01/2022 của UBND huyện</t>
  </si>
  <si>
    <t xml:space="preserve"> Trường TH Phong Hòa 2 (Điểm Tân Qưới)</t>
  </si>
  <si>
    <t>6PH+1PCN+thiết bị+HMP</t>
  </si>
  <si>
    <t>42/QĐ-UBND-XDCB ngày 25/01/2022 của UBND huyện</t>
  </si>
  <si>
    <t xml:space="preserve">Trường THCS Long Hậu
</t>
  </si>
  <si>
    <t>15PH+7PCN+thiết bị+HMP</t>
  </si>
  <si>
    <t>44/QĐ-UBND-XDCB ngày 25/01/2022 của UBND huyện</t>
  </si>
  <si>
    <t>Trường MG Phú Lợi (Điểm chính)</t>
  </si>
  <si>
    <t>HTB</t>
  </si>
  <si>
    <t>4PH+16PCN+HMP</t>
  </si>
  <si>
    <t>562/QĐ-UBND.HC ngày 25/11/2021; 315/QĐ-UBND.HC ngày 19/9/2023 của UBND huyện</t>
  </si>
  <si>
    <t>Trường MG Tân Mỹ (Điểm chính)</t>
  </si>
  <si>
    <t>8PH+16PCN+HMP</t>
  </si>
  <si>
    <t>566/QĐ-UBND.HC ngày 25/11/2021; 382/QĐ-UBND.HC ngày 23/10/2023 của UBND huyện</t>
  </si>
  <si>
    <t>Trường TH Tân Quới 2 (Điểm chính + Phụ)</t>
  </si>
  <si>
    <t>25PH+23PCN+HMP</t>
  </si>
  <si>
    <t>2021 2024</t>
  </si>
  <si>
    <t xml:space="preserve"> 382/QĐ-UBND ngày 30/12/2020; 405/QĐ-UBND.HC ngày 16/11/2023 của UBND huyện</t>
  </si>
  <si>
    <t>Trường TH Tân Mỹ 2 (Điểm chính)</t>
  </si>
  <si>
    <t>10PH+19PCN+HMP</t>
  </si>
  <si>
    <t>561/QĐ-UBND.HC ngày 25/11/2021; 305a/QĐ-UBND.HC ngày 08/9/2023 của UBND huyện</t>
  </si>
  <si>
    <t>Trường TH Thị Trấn 2 (Điểm chính)</t>
  </si>
  <si>
    <t>10PH+10PCN+HMP</t>
  </si>
  <si>
    <t>565/QĐ-UBND.HC ngày 25/11/2021; 466/QĐ-UBND.HC ngày 15/12/2023 của UBND huyện</t>
  </si>
  <si>
    <t>Trường THCS An Phong</t>
  </si>
  <si>
    <t>01PH+31PCN+HMP</t>
  </si>
  <si>
    <t>379/QĐ-UBND ngày 30/12/2020; 414/QĐ-UBND.HC ngày 20/11/2023 của UBND huyện</t>
  </si>
  <si>
    <t>Trường THCS Tân Thạnh</t>
  </si>
  <si>
    <t>04PH+32PCN+HMP</t>
  </si>
  <si>
    <t>380/QĐ-UBND ngày 30/12/2020; 413/QĐ-UBND.HC ngày 20/11/2023 của UBND huyện</t>
  </si>
  <si>
    <t>Trường THCS Phú Lợi</t>
  </si>
  <si>
    <t>23PCN+HMP</t>
  </si>
  <si>
    <t>563/QĐ-UBND.HC ngày 25/11/2021; 349/QĐ-UBND.HC ngày 09/10/2023 của UBND huyện</t>
  </si>
  <si>
    <t>Trường MG Tân Hoà (Điểm chính)</t>
  </si>
  <si>
    <t>07PH+16PCN+HMP</t>
  </si>
  <si>
    <t>2024-2025</t>
  </si>
  <si>
    <t>197a/QĐ-UBND.HC ngày 19/06/2023 của UBND huyện</t>
  </si>
  <si>
    <t>Trường TH Bình Thành 1</t>
  </si>
  <si>
    <t>25PH+25PCN+HMP+TB</t>
  </si>
  <si>
    <t>348/QĐ-UBND.HC ngày 13/10/2023 của UBND huyện</t>
  </si>
  <si>
    <t>Trường TH Tân Phú 2 (Điểm chính)</t>
  </si>
  <si>
    <t>10PH+18PCN+HMP+TB</t>
  </si>
  <si>
    <t>190/QĐ-UBND.HC ngày 30/6/2022 của UBND huyện</t>
  </si>
  <si>
    <t>Trường Mầm non Tràm Chim</t>
  </si>
  <si>
    <t>20 P.học+ các phòng chức năng+ hạng mục phụ</t>
  </si>
  <si>
    <t>2035/QĐ-UBND-HC ngày 01/11/2021 và 1187/QĐ-UBND-HC ngày 13/10/2021 của UBND huyện</t>
  </si>
  <si>
    <t>Trường THCS Phú Hiệp</t>
  </si>
  <si>
    <t>22 phòng chức năng và các hạng mục phụ</t>
  </si>
  <si>
    <t>2295/QĐ-UBND-HC ngày 02/12/2021 của UBND huyện</t>
  </si>
  <si>
    <t>Trường Mầm non Hoa Sen</t>
  </si>
  <si>
    <t>06 phòng học, 15 phòng chức năng và các hạng mục phụ</t>
  </si>
  <si>
    <t>2296/QĐ-UBND-HC ngày 02/12/2021 và 1298/QĐ-UBND-HC ngày 10/11/2023 của UBND huyện</t>
  </si>
  <si>
    <t>Trường TH Phú Hiệp B (điểm chính)</t>
  </si>
  <si>
    <t>06 phòng học, 19 phòng chức năng và các hạng mục phụ</t>
  </si>
  <si>
    <t>2389/QĐ-UBND-HC ngày 17/12/2021  và 1340/QĐ-UBND-HC ngày 17/11/2023 của UBND huyện</t>
  </si>
  <si>
    <t xml:space="preserve">Trường MG Phú Thọ (điểm chính) </t>
  </si>
  <si>
    <t>08 phòng học, 15 phòng chức năng và các hạng mục phụ</t>
  </si>
  <si>
    <t>792/QĐ-UBND-HC ngày 17/6/2022 của UBND huyện</t>
  </si>
  <si>
    <t>Trường MN Phú Đức (điểm chính)</t>
  </si>
  <si>
    <t>05 phòng học, 09 phòng chức năng và các hạng mục phụ</t>
  </si>
  <si>
    <t>1513/QĐ-UBND-HC ngày 02/11/2022 của UBND huyện</t>
  </si>
  <si>
    <t>Trường TH Phú Thành B2 (Điểm chính)</t>
  </si>
  <si>
    <t>02 phòng học, 19 phòng chức năng và các hạng mục phụ</t>
  </si>
  <si>
    <t>891/QĐ-UBND-HC ngày 29/6/2022 của UBND huyện</t>
  </si>
  <si>
    <t>Trường TH Phú Thành A2 (Điểm chính)</t>
  </si>
  <si>
    <t>19 phòng chức năng và các hạng mục phụ</t>
  </si>
  <si>
    <t>890/QĐ-UBND-HC ngày 29/6/2022 của UBND huyện</t>
  </si>
  <si>
    <t>Trường TH-THCS Phú Xuân</t>
  </si>
  <si>
    <t>03 phòng học, 24 phòng chức năng và hạng mục phụ</t>
  </si>
  <si>
    <t>2023-2025</t>
  </si>
  <si>
    <t>892/QĐ-UBND-HC ngày 29/6/2022 của UBND huyện</t>
  </si>
  <si>
    <t>Khoa học, công nghệ</t>
  </si>
  <si>
    <t>Y tế, dân số và gia đình</t>
  </si>
  <si>
    <t>Trang bị bổ sung mới thiết bị chuyên môn cho 08 Trung tâm y tế có giường bệnh của tỉnh Đồng Tháp</t>
  </si>
  <si>
    <t>Tỉnh ĐT</t>
  </si>
  <si>
    <t>Trang thiết bị chuyên môn</t>
  </si>
  <si>
    <t>396/QÐ-UBND.HC ngày 20/4/2022 và 948/QĐ-UBND-HC ngày 15/9/2023 của UBND Tỉnh</t>
  </si>
  <si>
    <t>Nâng cấp, mở rộng hệ thống cơ sở vật chất và trang, thiết bị Bệnh viện Đa khoa khu vực Hồng Ngự</t>
  </si>
  <si>
    <t>TPHN</t>
  </si>
  <si>
    <t>Nâng cấp lên bệnh viện hạng II ( 300 giường)</t>
  </si>
  <si>
    <t>98/QĐ- UBND-HC ngày 27/01/2022 của UBND Tỉnh</t>
  </si>
  <si>
    <t>Nâng cấp, mở rộng Bệnh viện Phổi</t>
  </si>
  <si>
    <t>HCL</t>
  </si>
  <si>
    <t>Nâng cấp lên thành Bệnh viện quy mô 200 giường</t>
  </si>
  <si>
    <t>2022 - 2025</t>
  </si>
  <si>
    <t>672/QĐ - UBND-HC ngày 27/06/2022 của UBND Tỉnh</t>
  </si>
  <si>
    <t>Xây dựng bổ sung cơ sở vật chất Bệnh viện Y học cổ truyền Đồng Tháp</t>
  </si>
  <si>
    <t>TPCL</t>
  </si>
  <si>
    <t>Nâng cấp bệnh viện lên 250 giường</t>
  </si>
  <si>
    <t>2023 - 2025</t>
  </si>
  <si>
    <t>1106/QĐ-UBND-HC ngày 12/10/2022 của UBND Tỉnh</t>
  </si>
  <si>
    <t>Sửa chữa cơ sở vật chất và mua sắm trang thiết bị Bệnh viện đa khoa khu vực Tháp Mười</t>
  </si>
  <si>
    <t>HTM</t>
  </si>
  <si>
    <t>2023 - 2024</t>
  </si>
  <si>
    <t>1107/QĐ-UBND-HC ngày 12/10/2022 của UBND Tỉnh</t>
  </si>
  <si>
    <t>Văn hóa, thông tin</t>
  </si>
  <si>
    <t>Chuẩn bị đầu tư</t>
  </si>
  <si>
    <t xml:space="preserve">Tu bổ, tôn tạo và phát huy giá trị Khu di tích Nguyễn Sinh Sắc </t>
  </si>
  <si>
    <t xml:space="preserve">Bảo tàng Đồng Tháp Mười tại Khu di tích Gò Tháp </t>
  </si>
  <si>
    <t>Thực hiện dự án</t>
  </si>
  <si>
    <t xml:space="preserve">Tu bổ chống xuống cấp một số di tích trên địa bàn tỉnh Đồng Tháp </t>
  </si>
  <si>
    <t xml:space="preserve">TPSĐ, LV, LV, CTTN </t>
  </si>
  <si>
    <t>1058/QĐ-UBND.HC ngày 30/9/2022</t>
  </si>
  <si>
    <t xml:space="preserve">Phát huy giá trị di tích lịch sử cách mạng </t>
  </si>
  <si>
    <t>HTH, HCL, HTM, HLVò</t>
  </si>
  <si>
    <t>Thể dục, thể thao</t>
  </si>
  <si>
    <t>Khu liên hợp TDTT huyện Lấp Vò</t>
  </si>
  <si>
    <t>Sân bóng đá 11 người, sân bóng chuyển, sân bi sắt</t>
  </si>
  <si>
    <t>296/QĐ-UBND.HC ngày 08/4/2022 của UBND huyện</t>
  </si>
  <si>
    <t>Khu liên hợp TDTT huyện Lai Vung</t>
  </si>
  <si>
    <t>TT. Lai Vung</t>
  </si>
  <si>
    <t>01 sân bóng đá, 02 sân bóng chuyền, 02 sân bi sắt, các hạng mục phụ</t>
  </si>
  <si>
    <t>563/QĐ-UBND-XDCB ngày 14/11/2023 của UBND huyện</t>
  </si>
  <si>
    <t>Khu liên hợp TDTT huyện Thanh Bình</t>
  </si>
  <si>
    <t>01 sân bóng đá, 02 sân bóng chuyền, các hạng mục phụ</t>
  </si>
  <si>
    <t>25/QĐ-UBND.HC ngày 27/01/2022; 388/QĐ-UBND.HC ngày 31/10/2023 của UBND huyện</t>
  </si>
  <si>
    <t>Tổ hợp thể thao xã Bình Tấn</t>
  </si>
  <si>
    <t>280/QĐ-UBND ngày 24/8/2023 của UBND huyện</t>
  </si>
  <si>
    <t>Tổ hợp thể thao xã Tân Phú</t>
  </si>
  <si>
    <t>237/QĐ-UBND.HC ngày 11/7/2023 của UBND huyện</t>
  </si>
  <si>
    <t>Tổ hợp thể thao xã Tân Mỹ</t>
  </si>
  <si>
    <t>281/QĐ-UBND.HC ngày 24/8/2023 của UBND huyện</t>
  </si>
  <si>
    <t xml:space="preserve">Bảo vệ môi trường </t>
  </si>
  <si>
    <t>Các hoạt động kinh tế</t>
  </si>
  <si>
    <t>Nông nghiệp, lâm nghiệp, thủy lợi và thủy sản</t>
  </si>
  <si>
    <t>Nâng cấp mở rộng hệ thống cấp nước sạch nông thôn khu vực Giồng Găng, xã Tân Phước-Cà Vàng, xã Thông Bình, huyện Tân Hồng</t>
  </si>
  <si>
    <t>Công ty TNHH MTV Tư vấn thiết kế - Xây dựng Minh Quang Đồng Tháp</t>
  </si>
  <si>
    <t>1951/ QĐ-UBND.HC ngày 24/12/2023</t>
  </si>
  <si>
    <t>Mạng đường ống cấp nước đến hộ gia đình sau tuyến ống chính của Dự án thành phần số 7</t>
  </si>
  <si>
    <t>931/QĐ-UBND-HC ngày 12/9/2023</t>
  </si>
  <si>
    <t>CDC Kênh 15, xã Gáo Giồng</t>
  </si>
  <si>
    <t>Nâng cấp, cải tạo mặt đường, hệ thống thoát nước, hệ thống thoát nước và các hạng mục khác</t>
  </si>
  <si>
    <t>2023-2024</t>
  </si>
  <si>
    <t>22/QĐ-UBND ngày 30/01/2023 của UBND HCL</t>
  </si>
  <si>
    <t>CDC xã Tân Hội Trung</t>
  </si>
  <si>
    <t>461/QĐ-UBND ngày 15/8/2023 của UBND HCL</t>
  </si>
  <si>
    <t>Bố trí dân cư tỉnh Đồng Tháp giai đoạn 2021-2025 (DA thành phần 01: Cụm dân cư Kênh 17, xã Long Thuận, HHN)</t>
  </si>
  <si>
    <t>huyện Hồng Ngự</t>
  </si>
  <si>
    <t>Số: 1435/QĐ-UBND ngày 28/12/2022</t>
  </si>
  <si>
    <t>Bờ kè Dinh Ông, xã Tân Thạnh</t>
  </si>
  <si>
    <t>Dài 310m</t>
  </si>
  <si>
    <t>228/QĐUBND.HCngày 18/7/2022; 234a/QĐ-UBND.HC ngày 07/7/2023 của UBND huyện</t>
  </si>
  <si>
    <t>Bố trí dân cư tỉnh Đồng Tháp giai đoạn 2021-2025 (DA thành phần 02: Cụm dân cư An Phong, xã An Phong, HTB)</t>
  </si>
  <si>
    <t>Số 463/QĐ-UBND ngày 20/04/2023</t>
  </si>
  <si>
    <t xml:space="preserve">Phát triển cơ sở hạ tầng tỉnh Đồng Tháp 
</t>
  </si>
  <si>
    <t>Hệ thống đê phòng chống lũ 66,049km; hạ tầng giao thông 28,137km</t>
  </si>
  <si>
    <t>2019-2024</t>
  </si>
  <si>
    <t>846/QĐ-UBND.HC ngày 21/7/2016; 975/QĐ-UBND ngày 23/8/2017; 1139/QĐ-UBND ngày 04/10/2019; 383/QĐ-UBND.HC ngày 31/3/2023 của UBND tỉnh</t>
  </si>
  <si>
    <t>Bố trí dân cư tỉnh Đồng Tháp giai đoạn 2021-2025 (DA thành phần 03: Cụm dân cư An Long, xã An Long, HTN)</t>
  </si>
  <si>
    <t>Diện tích khoảng 18,31 ha; bố trí khoảng 843 hộ dân</t>
  </si>
  <si>
    <t>463/QĐ-UBND-HC ngày 20/04/2023 của UBND Tỉnh</t>
  </si>
  <si>
    <t>UBND Thành phố Cao Lãnh</t>
  </si>
  <si>
    <t>Nâng cấp tuyến đê bao, kè chống sạt lở, xây dựng hệ thống cống dọc sông Tiền, Thành phố Cao Lãnh (giai đoạn 2)</t>
  </si>
  <si>
    <t>Chương trình mục tiêu quốc gia xây dựng nông thôn mới giai đoạn 2021-2025</t>
  </si>
  <si>
    <t xml:space="preserve">Đường trục chính nội đồng khu rau màu </t>
  </si>
  <si>
    <t>Xã Tân Nghĩa</t>
  </si>
  <si>
    <t>Cán đá láng nhựa, chiều dài 2,8km</t>
  </si>
  <si>
    <t>90/QĐ-UBND ngày 5/7/2022</t>
  </si>
  <si>
    <t xml:space="preserve"> Đường Tám Bên - cầu Ngọn Ngã Cạy </t>
  </si>
  <si>
    <t>Xã An Bình</t>
  </si>
  <si>
    <t>Cán đá láng nhựa, chiều dài 2km</t>
  </si>
  <si>
    <t>07/QĐ-UBND.NTM ngày 26/7/2022</t>
  </si>
  <si>
    <t xml:space="preserve"> Đường Đông Mỹ (đoạn từ cầu Bình Định đến cầu Tân Trường)</t>
  </si>
  <si>
    <t>Xã Mỹ Hội</t>
  </si>
  <si>
    <t>Cán đá láng nhựa, chiều dài 0,486km</t>
  </si>
  <si>
    <t>10/QĐ-UBND, ngày 13/7/2022</t>
  </si>
  <si>
    <t>Đường ngõ xóm Long Hữu (từ nhà ông Chưởng đến nhà ông Mí)</t>
  </si>
  <si>
    <t>xã Long Khánh A</t>
  </si>
  <si>
    <t>Xây dựng nền và mặt đường (Mặt 3,5m; dài 1000m)</t>
  </si>
  <si>
    <t>Số: 3341/QĐ-UBND ngày 08/9/2023</t>
  </si>
  <si>
    <t>Kiên cố hóa đường nước số 2 (từ Nhà 2 Buôl đến cống Mương Bọng)</t>
  </si>
  <si>
    <t>xã Long Khánh B</t>
  </si>
  <si>
    <t>Máng nước BTCT, dài 1500m</t>
  </si>
  <si>
    <t>Số: 3558/QĐ-UBND ngày 25/9/2023</t>
  </si>
  <si>
    <t>Đường Cội Tiểu Tứ Thường (đoạn 2)</t>
  </si>
  <si>
    <t>xã Thường Thới Hậu A</t>
  </si>
  <si>
    <t>Nền, mặt đường và gia cố mái taluy</t>
  </si>
  <si>
    <t>Số: 3461/QĐ-UBND ngày 14/9/2023</t>
  </si>
  <si>
    <t>Nâng cấp đường nhựa xã Thường Phước 1 (đoạn 2)</t>
  </si>
  <si>
    <t>xã Thường Phước 1</t>
  </si>
  <si>
    <t>Nâng cấp nền và mặt đường láng nhựa (Mặt 5,0m; dài 2500m)</t>
  </si>
  <si>
    <t>Số: 3342/QĐ-UBND ngày 08/9/2023</t>
  </si>
  <si>
    <t>Đường nội đồng Kênh Xã</t>
  </si>
  <si>
    <t>xã Thường Lạc</t>
  </si>
  <si>
    <t>Nền và mặt đường BTCT 3,5m; dài 1500m</t>
  </si>
  <si>
    <t>Số: 3462/QĐ-UBND ngày 14/9/2023</t>
  </si>
  <si>
    <t>Đường nội đồng bờ Đông kênh Trung Tâm</t>
  </si>
  <si>
    <t>xã Thường Phước 2</t>
  </si>
  <si>
    <t>Mặt 3,5m; dài 1500m</t>
  </si>
  <si>
    <t>Số: 3557/QĐ-UBND ngày 25/9/2023</t>
  </si>
  <si>
    <t>Kiên cố hóa đường nước mương Tư Đồng</t>
  </si>
  <si>
    <t>xã Phú Thuận A</t>
  </si>
  <si>
    <t>Máng nước BTCT, dài 700m</t>
  </si>
  <si>
    <t>Số: 3559/QĐ-UBND ngày 25/9/2023</t>
  </si>
  <si>
    <t>Đường kênh 2/9 (Đoạn 1: từ ranh Thanh Bình-Tam Nông đến cầu APMH (bờ Nam) và từ cầu APMH đến cầu dường Gạo (bờ Bắc); Đoạn 2: từ cầu APMH đến cầu Đốc Vàng Thượng (bờ Nam) và từ cầu Đốc Vàng Thượng đến Rạch Đốc Vàng Hạ (bờ Nam))</t>
  </si>
  <si>
    <t>xã An Phong, Phú Lợi</t>
  </si>
  <si>
    <t>Dài 16.350m, mặt nhựa 5,5m, nền rộng 7,5m, tải trọng 5T, cống</t>
  </si>
  <si>
    <t>210a/QĐ.UBND ngày 14/7/2022 của UBND huyện</t>
  </si>
  <si>
    <t>Đường Kênh Đốc Vàng Thượng (đoạn tờ ranh Thị trấn Thanh Bình đến kênh 2/9), bờ Đông</t>
  </si>
  <si>
    <t>xã Tân Thạnh</t>
  </si>
  <si>
    <t>Mặt nhựa 4m, nền rộng 5,5m, tải trọng 5T, cống</t>
  </si>
  <si>
    <t>345a/QĐ.UBND ngày 05/10/2023 của UBND huyện</t>
  </si>
  <si>
    <t>Đường kênh 2/9 (đoạn từ đường Võ Văn Kiệt đến hết tuyến dân cư)</t>
  </si>
  <si>
    <t>xã Tân Phú</t>
  </si>
  <si>
    <t>Mặt nhựa 5,5m, nền rộng 7,5m, tải trọng 5T, vỉa hè</t>
  </si>
  <si>
    <t>345b/QĐ.UBND ngày 05/10/2023 của UBND huyện</t>
  </si>
  <si>
    <t>Đường kênh Kháng Chiến (đoạn từ đường Bình Thành - Bình Tấn đến kênh Cả Cái)</t>
  </si>
  <si>
    <t>xã Bình Thành</t>
  </si>
  <si>
    <t>345c/QĐ.UBND ngày 05/10/2023 của UBND huyện</t>
  </si>
  <si>
    <t>- Mở rộng, nâng cấp đường An Hòa - Hòa Bình (Đoạn từ cầu kênh 2/9 đến cầu kênh Kháng Chiến)</t>
  </si>
  <si>
    <t>Xã An Hòa, xã Phú Thành B</t>
  </si>
  <si>
    <t>Dài 4,6km, nền đường rộng 7,5m, mặt đường láng nhựa rộng 5,5m</t>
  </si>
  <si>
    <t xml:space="preserve">234/QĐ-UBND-HC ngày 09/3/2023 của UBND huyện </t>
  </si>
  <si>
    <t>- Mở rộng, nâng cấp Đường Bờ Nam kênh Tân Công Sính 1 (Đoạn từ đường ĐT855 đến kênh ranh TCS - PC)</t>
  </si>
  <si>
    <t>Xã Tân Công Sính</t>
  </si>
  <si>
    <t>Dài 2km, nền đường rộng 7,5m, mặt đường láng nhựa rộng 5,5m, Hệ thống cống thoát nước.</t>
  </si>
  <si>
    <t xml:space="preserve">235/QĐ-UBND-HC ngày 09/3/2023 của UBND huyện </t>
  </si>
  <si>
    <t>- Mở rộng, nâng cấp Đường Bờ Đông kênh Mười tải (Đoạn từ kênh Tân Công Sính 1 đến kênh Phước xuyên)</t>
  </si>
  <si>
    <t>Xã Phú Cường, xã Hòa Bình</t>
  </si>
  <si>
    <t>Dài 5km, nền đường rộng 7,5m, mặt đường láng nhựa rộng 5,5m</t>
  </si>
  <si>
    <t>193/QĐ-UBND-HC ngày 03/3/2023 của UBND huyện</t>
  </si>
  <si>
    <t>- Cầu kênh 2/9</t>
  </si>
  <si>
    <t>Xã An Long</t>
  </si>
  <si>
    <t>Cầu BTCT mặt 3,5m; Tải trọng 5T</t>
  </si>
  <si>
    <t>695/QĐ-UBND ngày 22/6/2023; 174/QĐ-UBND ngày 25/12/2023</t>
  </si>
  <si>
    <t>- Đường bờ Tây kênh An Long 2</t>
  </si>
  <si>
    <t>Đường láng nhựa, mặt 3,5m; nền 5m; dài 2.000m</t>
  </si>
  <si>
    <t>96/QĐ-UBND ngày 22/6/2023; 175/QĐ-UBND ngày 25/12/2023</t>
  </si>
  <si>
    <t>- Cứng hóa mặt bờ lộ đal bờ Tây kênh Kháng Chiến, Phú Thành A (xuất phát từ Rạch Ba Răng đến ranh xã Phú Thọ)</t>
  </si>
  <si>
    <t>Xã Phú Thành A</t>
  </si>
  <si>
    <t>Đường BTCT dài 3,1km</t>
  </si>
  <si>
    <t>17/QĐ-UBND ngày 10/10/2023</t>
  </si>
  <si>
    <t>- Cứng hóa mặt bờ bao lộ đal tuyến bờ Tây kênh Kháng Chiến, Phú Thành A (xuất phát từ kênh Đồng Tiến đến kênh Tư Đệ - Láng Chim)</t>
  </si>
  <si>
    <t>Đường láng nhựa dài 3,1km</t>
  </si>
  <si>
    <t>39/QĐ-UBND ngày 09/6/2022</t>
  </si>
  <si>
    <t>- Cầu Hiệp Bình</t>
  </si>
  <si>
    <t>Xã Phú Hiệp</t>
  </si>
  <si>
    <t>37/QĐ-UBND ngày 22/6/2023</t>
  </si>
  <si>
    <t>- Cứng hóa mặt bờ bao lộ đal tuyến kênh An Bình bờ Bắc, Phú Thành B (xuất phát từ Phú Thành 1 và kết thúc tại kênh Kháng Chiến)</t>
  </si>
  <si>
    <t>Xã Phú Thành B</t>
  </si>
  <si>
    <t>Đường láng nhựa dài 2,35km</t>
  </si>
  <si>
    <t>105/QĐ-UBND ngày 25/9/2023</t>
  </si>
  <si>
    <t xml:space="preserve">Giao thông </t>
  </si>
  <si>
    <t>Dự án chuyển tiếp từ giai đoạn 5 năm 2016-2020 sang giai đoạn 5 năm 2021-2025</t>
  </si>
  <si>
    <t>Xây dựng tuyến ĐT.857 (đoạn QL30- ĐT.845)</t>
  </si>
  <si>
    <t>HTB, HCL, HTM</t>
  </si>
  <si>
    <t>Chiều dài tuyến khoảng 44.997,65Km, xây dựng 27 cầu</t>
  </si>
  <si>
    <t>2021 - 2025</t>
  </si>
  <si>
    <t>969/QĐ-UBND-HC ngày 19/07/2021; 1338/QĐ-UBND-HC ngày 07/09/2021 của UBND Tỉnh</t>
  </si>
  <si>
    <t>Dự án Nâng cấp đường ĐT.841 và xây dựng mới cầu Sở Thượng 2</t>
  </si>
  <si>
    <t>HHN, TPHN</t>
  </si>
  <si>
    <t>19,8km đường, 01 cầu</t>
  </si>
  <si>
    <t>895/QĐ-UBND-HC ngày 11/08/2022 của UBND tỉnh</t>
  </si>
  <si>
    <t>Dự án Xây dựng công trình đường bộ cao tốc Cao Lãnh - An Hữu, giai đoạn 1 (Dự án thành phần 1)</t>
  </si>
  <si>
    <t>Chiều dài tuyến khoảng 16Km, xây dựng 19 cầu</t>
  </si>
  <si>
    <t>2023-2027</t>
  </si>
  <si>
    <t>180/QĐ-UBND.HC ngày 13/02/2023 của UBND Tỉnh</t>
  </si>
  <si>
    <t>Dự án Đường ĐT.845 đoạn Trường Xuân - Tân Phước</t>
  </si>
  <si>
    <t>HTM, HTN, HTH</t>
  </si>
  <si>
    <t>Chiều dài 27,664km, cấp IV-ĐB. XD 10 cầu tải trọng HL93</t>
  </si>
  <si>
    <t>647/QĐ-UBND.HC ngày 28/5/2021; 1555/QĐ-UBND-HC ngày 14/10/2021 của UBND Tỉnh</t>
  </si>
  <si>
    <t>Dự án Nâng cấp hệ cầu trên đường ĐT.844 (đoạn Tràm Chim - Trường Xuân)</t>
  </si>
  <si>
    <t>HCL, HTN, HTM</t>
  </si>
  <si>
    <t>Nâng cấp, mở rộng 11 cầu và xây mới 01 cầu tải trọng HL93</t>
  </si>
  <si>
    <t>646/QĐ-UBND.HC ngày 28/5/2021; 1896/QĐ-UBND-HC ngày 14/12/2021; 663/QĐ-UBND-HC ngày 23/6/2022 của UBND Tỉnh</t>
  </si>
  <si>
    <t>Dự án Nâng cấp mở rộng tuyến ĐT.855 đoạn TT Tràm Chim - Hòa Bình</t>
  </si>
  <si>
    <t>Chiều dài 14,9km, cấp V-ĐB</t>
  </si>
  <si>
    <t>218/QĐ-UBND-HC ngày 14/3/2022 của UBND Tỉnh</t>
  </si>
  <si>
    <t>Dự án Xây dựng Bến phà An Phong - Tân Bình và tuyến đường kết nối</t>
  </si>
  <si>
    <t>02 bờ phà, 4,9km đường, 01 cầu</t>
  </si>
  <si>
    <t>199/QĐ-UBND-HC ngày 22/02/2023 của UBND Tỉnh</t>
  </si>
  <si>
    <t>Dự án Xây dựng cầu Phú Hiệp và Cà Dâm, huyện Tam Nông</t>
  </si>
  <si>
    <t>02 cầu tải trọng HL-93</t>
  </si>
  <si>
    <t>658/QĐ-UBND-HC ngày 22/6/2022; 1326/QĐ-UBND-HC ngày 22/12/2023 của UBND Tỉnh</t>
  </si>
  <si>
    <t>Hệ thống cầu đường Bờ bắc kênh Nguyễn Văn Tiếp</t>
  </si>
  <si>
    <t>Xã Phong Mỹ, Tân Nghĩa, Phương Tra, Ba Sao</t>
  </si>
  <si>
    <t>XD 04 cầu BTCT, rộng 6m</t>
  </si>
  <si>
    <t>849/QĐ-UBND ngày 29/12/2020 của UBND Huyện</t>
  </si>
  <si>
    <t>Đường bờ Bắc kênh Nguyễn Văn Tiếp</t>
  </si>
  <si>
    <t>Chiều dài 17km; nền đưởng rộng 7,5m; mặt đường 5,5m, XD cầu kênh mới đào</t>
  </si>
  <si>
    <t>516/QĐ-UBND ngày 26/8/2020; 556/QĐ-UBND ngày 14/12/2022 của UBND huyện</t>
  </si>
  <si>
    <t>Cầu Xẻo Quýt, xã Tân Hội Trung</t>
  </si>
  <si>
    <t>Xây dựng mới cầu và đường vào cầu</t>
  </si>
  <si>
    <t>298/QĐ-UBND ngày 31/5/2023 của UBND huyện</t>
  </si>
  <si>
    <t>ĐH. Long Thuận</t>
  </si>
  <si>
    <t xml:space="preserve">Nâng cấp mở rộng nền mặt đường </t>
  </si>
  <si>
    <t>2022-2023</t>
  </si>
  <si>
    <t>1522/QĐ-UBND, ngày 13/04/23</t>
  </si>
  <si>
    <t>ĐH Long Phú Thuận A-B</t>
  </si>
  <si>
    <t>Long Phú Thuận A-B</t>
  </si>
  <si>
    <t>13360/QĐ-UBND ngày 29/11/2021</t>
  </si>
  <si>
    <t>Đường Đ-07</t>
  </si>
  <si>
    <t>Nền mặt đường, cống thoát nước và chiếu sáng</t>
  </si>
  <si>
    <t>13306/QĐ-UBND ngày 15/11/2021</t>
  </si>
  <si>
    <t>Đường ra Bến phà Hồng Ngự - Tân Châu (Đ-01)</t>
  </si>
  <si>
    <t>2625/QĐ-UBND ngày 31/05/2022</t>
  </si>
  <si>
    <t>Đường cặp chùa Phước Hưng (đoạn từ đường 30/4 đến đường Ngô Quyền)</t>
  </si>
  <si>
    <t>2184/QĐ-UBND ngày 06/05/2022</t>
  </si>
  <si>
    <t>Đường Kháng Chiến, bờ nam</t>
  </si>
  <si>
    <t>Chiều dài 2,3km, nền 7,5m, mặt láng nhựa 5,5m; XD 01 cầu tải trọng 0,5HL-93, phần xe chạy rộng 6m</t>
  </si>
  <si>
    <t>206/QĐ-UBND ngày 11/6/2021; 383/QĐ-UBND ngày 26/10/2023 của UBND Huyện</t>
  </si>
  <si>
    <t>Đường Tân Thạnh - Phú Lợi</t>
  </si>
  <si>
    <t>357/QĐ-UBND.HC ngày 22/7/2021; 435/QĐ-UBND.HC ngày 24/11/2023 của UBND Huyện</t>
  </si>
  <si>
    <t>Đường kênh 2/9</t>
  </si>
  <si>
    <t>Chiều dài 12,041km</t>
  </si>
  <si>
    <t xml:space="preserve"> 197/QĐ-UBND.HC ngày 04/7/2022 của UBND huyện</t>
  </si>
  <si>
    <t>Đường bờ Đông kênh Mười Tải</t>
  </si>
  <si>
    <t>Xã Phú Cường</t>
  </si>
  <si>
    <t>Chiều dài khoảng 5.781 m, nền đường rộng 7,5m, rộng 5,5m. Hệ thống cống thoát nước.</t>
  </si>
  <si>
    <t>898/QĐ-UBND-HC ngày 30/6/2022 của UBND huyện</t>
  </si>
  <si>
    <t>Cầu trên tuyến đường bờ Nam kênh Tân Công Sính 1 (Cầu kênh ranh Tân Công Sính - Phú cường và Cầu kênh 1000)</t>
  </si>
  <si>
    <t xml:space="preserve">Xã Tân Công Sính, Hoà Bình </t>
  </si>
  <si>
    <t>Cầu BTCT mặt 5,5m; Tải trọng 13T</t>
  </si>
  <si>
    <t>601/QĐ-UBND-HC ngày 25/5/2023 của UBND huyện</t>
  </si>
  <si>
    <t>Khu công nghiệp và khu kinh tế</t>
  </si>
  <si>
    <t>Đầu tư xây dựng hạ tầng cửa khẩu quốc tế Thường Phước và cửa khẩu Mộc Rá thuộc Khu kinh tế cửa khẩu tỉnh Đồng Tháp</t>
  </si>
  <si>
    <t>2025-2025</t>
  </si>
  <si>
    <t>Hạ tầng kỹ thuật khu kinh tế cửa khẩu Đồng Tháp (giai đoạn 3)</t>
  </si>
  <si>
    <t>HTH, HHN, TPHN</t>
  </si>
  <si>
    <t>31,035 ha</t>
  </si>
  <si>
    <t>349/QĐ-UBND-HC ngày 12/4/2022</t>
  </si>
  <si>
    <t>Công nghệ thông tin</t>
  </si>
  <si>
    <t>Xây dựng Hệ thống quản lý quy hoạch hạ tầng đô thị</t>
  </si>
  <si>
    <t>Tỉnh Đồng Tháp</t>
  </si>
  <si>
    <t>1121/QĐ-UBND-HC ngày 14/10/2022 của UBND Tỉnh</t>
  </si>
  <si>
    <t>Dự án hệ thống nền tảng nông nghiệp số</t>
  </si>
  <si>
    <t>Công trình công cộng tại các đô thị, hạ tầng kỹ thuật khu đô thị mới</t>
  </si>
  <si>
    <t xml:space="preserve">Bờ kè hoa viên cặp QL30 (cặp sông Xóm Giồng) </t>
  </si>
  <si>
    <t>Thị trấn Mỹ Thọ</t>
  </si>
  <si>
    <t>Bờ kè, san lấp, hoa viên, cây xanh, cống thoát nước, hệ thống chiếu sáng công cộng</t>
  </si>
  <si>
    <t>1863/QĐ-UBND ngày 30/11/2021; 509/QĐ-UBND ngày 26/9/2022 của UBND huyện</t>
  </si>
  <si>
    <t>Đường trục chính số 4, khóm Mỹ Phú Đất Liền</t>
  </si>
  <si>
    <t>Mặt đường rộng 9m, vỉa hè 4m, chiều dài tuyến đường 1,765km</t>
  </si>
  <si>
    <t xml:space="preserve">Số 125/QĐ-UBND ngày 24/3/2022 </t>
  </si>
  <si>
    <t xml:space="preserve">Đường Vành đai phía Nam (Đoạn từ Khu dân cư Cái Tàu Hạ đến Tân Nhuận Đông) </t>
  </si>
  <si>
    <t>CTH
An Nhơn
TNĐ</t>
  </si>
  <si>
    <t>Chiều dài khoảng 4,124km</t>
  </si>
  <si>
    <t xml:space="preserve">464/QĐ-UBND ngày 02/6/2022 của UBND huyện </t>
  </si>
  <si>
    <t>Đường rạch Ngã cạy (đoạn từ rạch Cái dâu đến vòng xoay Nguyễn Huệ)</t>
  </si>
  <si>
    <t>Tổng chiều dài 423,5m, tải trọng 10 tấn</t>
  </si>
  <si>
    <t>1639/QĐ-UBND.HC ngày 29/11/2021; 556/QĐ-UBND.HC ngày 06/11/2023 của UBND huyện</t>
  </si>
  <si>
    <t>Khu dân cư đường Đ05 (từ đường Đ10 đến đường ĐT 848)</t>
  </si>
  <si>
    <t>Tổng diện tích khu đất: 18.890,36m2</t>
  </si>
  <si>
    <t>888/QĐ-UBND.HC ngày 07/11/2022 của UBND Huyện</t>
  </si>
  <si>
    <t>Thảm bê tông nhựa nóng Khu hành chính và Cụm dân cư thị trấn Lai Vung</t>
  </si>
  <si>
    <t>Thảm bê tông nhựa mặt đường</t>
  </si>
  <si>
    <t>382/QĐ-UBND-XDCB ngày 20/10/2022; 142/QĐ-UBND-XDCB ngày 06/6/2023 của UBND huyện</t>
  </si>
  <si>
    <t xml:space="preserve">Đường trục Đ-03 (rạch Đốc Vàng Hạ - Võ Văn Kiệt) </t>
  </si>
  <si>
    <t>Chiều dài khoản 1,499km</t>
  </si>
  <si>
    <t>07/QĐ-UBND.HC ngày 13/01/2023 của UBND huyện</t>
  </si>
  <si>
    <t>Đường trục Đ-05 (từ Quốc lộ 30 đến đường Nguyễn Văn Biểu)</t>
  </si>
  <si>
    <t>Chiều dài khoản 996,8m</t>
  </si>
  <si>
    <t>195/QĐ-UBND-HC ngày 30/06/2022 của UBND huyện</t>
  </si>
  <si>
    <t>Đường Tràm Chim nối dài (từ Tiếp giáp cầu qua kênh Hậu đến đường Đ-03) - Đường Đ-03 (từ đường Tràm Chim nối dài đến đường Đ-06)</t>
  </si>
  <si>
    <t>Mặt đường láng nhựa, dài 213m, rộng 12m, vỉa hè 5m</t>
  </si>
  <si>
    <t>2209/QĐ-UBND-HC ngày 19/11/2021; 1232/QĐ-UBND-HC ngày 26/10/2023 của UBND huyện</t>
  </si>
  <si>
    <t>Đường Đ-09 ((từ đường Trần Hưng Đạo (nay Võ Văn Kiệt) đến đường Đ-07 (đê bao biến đổi khí hậu))</t>
  </si>
  <si>
    <t>Mặt đường láng nhựa, dài 921m, rộng 22m, vỉa hè 8m</t>
  </si>
  <si>
    <t>2291/QĐ-UBND-HC ngày 02/12/2021; 643/QĐ-UBND-HC ngày 02/6/2023 của UBND huyện</t>
  </si>
  <si>
    <t>Cầu qua kênh Đường Gạo</t>
  </si>
  <si>
    <t>Cầu BTCT, tải trọng 18 tấn</t>
  </si>
  <si>
    <t>861/QĐ-UBND.HC ngày 27/6/2022;1528/QĐ-UBND-HC ngày 28/12/2023 của UBND huyện</t>
  </si>
  <si>
    <t>Dự án Phát triển đô thị chợ An Long</t>
  </si>
  <si>
    <t>Đường giao thông, HTTN, vỉa hè và SLMB</t>
  </si>
  <si>
    <t>899/QĐ-UBND-HC ngày 30/6/2022 của UBND huyện</t>
  </si>
  <si>
    <t>J</t>
  </si>
  <si>
    <t>Hoạt động của các cơ quan quản lý nhà nước, đơn vị sự nghiệp công lập, tổ chức chính trị và các tổ chức chính trị - xã hội</t>
  </si>
  <si>
    <t>BQLDA ĐTXDCT DD&amp;CN Tỉnh</t>
  </si>
  <si>
    <t>Xây dựng Không gian Khởi nghiệp và Đổi mới sáng tạo tỉnh Đồng Tháp</t>
  </si>
  <si>
    <t>1331/QĐ-UBND.HC ngày 25/12/2023 của UBND Tỉnh</t>
  </si>
  <si>
    <t>Trụ sở UBND xã Phương Trà</t>
  </si>
  <si>
    <t>Nâng cấp, cải tạo sửa chữa trụ sở làm việc, XD mới khối đoàn thể</t>
  </si>
  <si>
    <t>660/QĐ-UBND ngày 22/11/2023 của UBND huyện</t>
  </si>
  <si>
    <t>Trụ sở UBND xã An Khánh</t>
  </si>
  <si>
    <t>xã An Khánh</t>
  </si>
  <si>
    <t>Diện tích sàn XD 749m2</t>
  </si>
  <si>
    <t>986/QĐ-UBND ngày 28/10/2022 của UBND huyện</t>
  </si>
  <si>
    <t>Trụ sở UBND xã Phú Thành A</t>
  </si>
  <si>
    <t>1410/QĐ-UBND-HC ngày 07/12/2023 của UBND huyện</t>
  </si>
  <si>
    <t>Xã hội</t>
  </si>
  <si>
    <t>CẤP TỈNH QUẢN LÝ</t>
  </si>
  <si>
    <t>Sở Lao động, Thương binh và Xã hội</t>
  </si>
  <si>
    <t>Ban Thường vụ Tỉnh Đoàn Đồng Tháp</t>
  </si>
  <si>
    <t>Ban QLDA ĐTXDCT Dân dụng và Công nghiệp Tỉnh</t>
  </si>
  <si>
    <t>Ban QLDA ĐTXDCT Nông nghiệp và PTNT Tỉnh</t>
  </si>
  <si>
    <t>Trung tâm Phát triển quỹ đất - Sở TN&amp;MT</t>
  </si>
  <si>
    <t>Vườn Quốc gia Tràm Chim</t>
  </si>
  <si>
    <t>Trung tâm đầu tư và khai thác hạ tầng (BQL Khu kinh tế ĐT)</t>
  </si>
  <si>
    <t>Trường Cao đẳng Y tế ĐT</t>
  </si>
  <si>
    <t>UBND Thành phố Sa Đéc</t>
  </si>
  <si>
    <t>UBND Thành phố Hồng Ngự</t>
  </si>
  <si>
    <t>UBND huyện Tân Hồng</t>
  </si>
  <si>
    <t>UBND huyện Tháp Mười</t>
  </si>
  <si>
    <t>Chi khác</t>
  </si>
  <si>
    <t>CẤP HUYỆN QUẢN LÝ</t>
  </si>
  <si>
    <r>
      <rPr>
        <b/>
        <sz val="14"/>
        <color rgb="FF000000"/>
        <rFont val="Times New Roman"/>
        <family val="1"/>
      </rPr>
      <t>UBND TỈNH ĐỒNG THÁP</t>
    </r>
  </si>
  <si>
    <r>
      <t xml:space="preserve">Tổng số </t>
    </r>
    <r>
      <rPr>
        <sz val="12"/>
        <rFont val="Times New Roman"/>
        <family val="1"/>
      </rPr>
      <t>(tất cả các nguồn vốn)</t>
    </r>
  </si>
  <si>
    <t>*</t>
  </si>
  <si>
    <t>Nhà truyền thống Bộ CHQS tỉnh Đồng Tháp</t>
  </si>
  <si>
    <t>2023-2023</t>
  </si>
  <si>
    <t>472/QĐ-UBND-HC ngày 25/04/2023 của UBND Tỉnh</t>
  </si>
  <si>
    <t>Khu huấn luyện thể lực Bộ Chỉ huy Quân sự Tỉnh, hạng mục: Hồ bơi</t>
  </si>
  <si>
    <t>691/QĐ-UBND-HC ngày 30/06/2023 của UBND Tỉnh</t>
  </si>
  <si>
    <t>Xây dựng mới Trung đoàn Bộ binh 320</t>
  </si>
  <si>
    <t>HTH</t>
  </si>
  <si>
    <t>19/NQ-HĐND ngày 18/7/2023 của HĐND Tỉnh</t>
  </si>
  <si>
    <t>Nhà làm việc Đội Cảnh sát giao thông khu vực Tháp Mười</t>
  </si>
  <si>
    <t>917/QĐ-UBND.HC ngày 16/8/2022 của UBND Tỉnh</t>
  </si>
  <si>
    <t>Nhà làm việc Đội Cảnh sát giao thông khu vực Hồng Ngự</t>
  </si>
  <si>
    <t>967/QĐ-UBND.HC ngày 26/8/2022 của UBND Tỉnh</t>
  </si>
  <si>
    <t>Hệ thống kho lưu trữ hồ sơ Công an các Huyện, Thành phố, thuộc Công an Tỉnh</t>
  </si>
  <si>
    <t>553/QĐ-UBND.HC ngày 26/5/2022 của UBND Tỉnh</t>
  </si>
  <si>
    <t>Dự án Sửa chữa Doanh trại ngành Công an, giai đoạn 2021-2025</t>
  </si>
  <si>
    <t>858/QĐ-UBND.HC ngày 05/8/2022 của UBND Tỉnh</t>
  </si>
  <si>
    <t>Nhà làm việc Phòng Cảnh sát hình sự thuộc Công an Tỉnh</t>
  </si>
  <si>
    <t>853/QĐ-UBND.HC ngày 04/8/2022 của UBND Tỉnh</t>
  </si>
  <si>
    <t>Ngành, nghề trọng điểm giai đoạn 2021-2025 của Trường Cao đẳng Y tế Đồng Tháp</t>
  </si>
  <si>
    <t>Cải tạo diện tích 1.258m2 và mua thiết bị dạy học</t>
  </si>
  <si>
    <t>571/QĐ-UBND.HC ngày 01/6/2022 của UBND Tỉnh</t>
  </si>
  <si>
    <t>Trường MN Sao Mai (tên cũ là trường MN Hương Sen)</t>
  </si>
  <si>
    <t>2160/QĐ-UBND ngày 18/10/2021;
số 50/QĐ-UBND ngày 09/6/2023 của UBND thành phố</t>
  </si>
  <si>
    <t>Trường TH Lý Thường Kiệt (Trường TH Phan Đăng Lưu sáp nhập vào Trường TH Lý Thường Kiệt)</t>
  </si>
  <si>
    <t>2125/QĐ-UBND ngày 23/12/2020 và số
1826/QĐ-UBND ngày 13/10/2022; 267/QĐ-UBND ngày 12/6/2023 của UBND thành phố</t>
  </si>
  <si>
    <t>Trường THCS Thống Linh (giai đoạn 2)</t>
  </si>
  <si>
    <t>2371/QĐ-UBND ngày 18/11/2021 của UBND thành phố</t>
  </si>
  <si>
    <t>Trường Tiểu học Phú Long</t>
  </si>
  <si>
    <t>TPĐ</t>
  </si>
  <si>
    <t>Dân dụng cấp III, 01 trệt 01 lầu 18 phòng</t>
  </si>
  <si>
    <t>QĐ 255/QĐ-UBND-XDCB ngày 30/12/2021; QĐ 156/QĐ-UBND-XDCB ngày 05/08/2022; QĐ 183a/QĐ-UBND-XDCB ngày 21/10/2022</t>
  </si>
  <si>
    <t>Trường MG Phường An Lạc</t>
  </si>
  <si>
    <t>20PH+28PCN+TB+HMP</t>
  </si>
  <si>
    <t>2742/QĐ-UBND ngày 20/12/2021; 2906/QĐ-UBND ngày 04/12/2023 của UBND thành phố</t>
  </si>
  <si>
    <t>Trường THCS An Lạc</t>
  </si>
  <si>
    <t>2743/QĐ-UBND ngày 20/12/2021; 2907/QĐ-UBND ngày 04/12/2023 của UBND thành phố</t>
  </si>
  <si>
    <t>Trường MG An Bình B (điểm chính)</t>
  </si>
  <si>
    <t>14 P.học+ các phòng chức năng+ hạng mục phụ và thiết bị</t>
  </si>
  <si>
    <t>Số: 230/QĐ-UBND, ngày 30/6/2022 của UBND thành phố</t>
  </si>
  <si>
    <t>Trường TH An Thạnh 1</t>
  </si>
  <si>
    <t>12PH+9PCN+TB+HMP</t>
  </si>
  <si>
    <t>2741/QĐ-UBND ngày 20/12/2021; 2909/QĐ-UBND ngày 04/12/2023 của UBND thành phố</t>
  </si>
  <si>
    <t>XIII</t>
  </si>
  <si>
    <t>Trường MN Dinh Bà (điểm phụ Cụm dân cư mới)</t>
  </si>
  <si>
    <t>xã Tân Hộ cơ - HTH</t>
  </si>
  <si>
    <t>4PH+thiết bị+HMP</t>
  </si>
  <si>
    <t>372/QĐ-UBND.XDCB ngày 10/11/2021 của UBND huyện</t>
  </si>
  <si>
    <t>Trường MN Tân Thành A (điểm phụ Chiến Thắng)</t>
  </si>
  <si>
    <t>xã Tân Thành A - HTH</t>
  </si>
  <si>
    <t>3PH+thiết bị+HMP</t>
  </si>
  <si>
    <t>374/QĐ-UBND.XDCB ngày 10/11/2021 của UBND huyện</t>
  </si>
  <si>
    <t>Trường MN 1/6</t>
  </si>
  <si>
    <t>thị trấn Sa Rài - HTH</t>
  </si>
  <si>
    <t>7PCN+thiết bị+HMP</t>
  </si>
  <si>
    <t>373/QĐ-UBND.XDCB ngày 10/11/2021 của UBND huyện</t>
  </si>
  <si>
    <t xml:space="preserve"> Trường MG Tân Phước </t>
  </si>
  <si>
    <t>xã Tân Phước - HTH</t>
  </si>
  <si>
    <t xml:space="preserve">XD 06 PH + 16 PCN, TB + HMP </t>
  </si>
  <si>
    <t>266/QĐ-UBND.ĐTXD ngày 19/12/2020 và 289/QĐ-UBND.ĐTXD ngày 14/9/2021; số 240/QĐ-UBND.ĐTXD ngày 17/11/2022 của UBND huyện</t>
  </si>
  <si>
    <t xml:space="preserve"> Trường TH Giồng Găng</t>
  </si>
  <si>
    <t xml:space="preserve">XD 10 PH + 12 PCN, TB + HMP </t>
  </si>
  <si>
    <t>269/QĐ-UBND.ĐTXD ngày 19/12/2020; số 239/QĐ-UBND.ĐTXD ngày 17/11/2022 của UBND huyện</t>
  </si>
  <si>
    <t>Trường TH Nguyễn Huệ</t>
  </si>
  <si>
    <t>XD 12 PH + 09 PCN,  HMP + TB</t>
  </si>
  <si>
    <t>271/QĐ-UBND.ĐTXD ngày 19/12/2020; số 109/QĐ-UBND.ĐTXD ngày 31/5/2022 của UBND huyện</t>
  </si>
  <si>
    <t>Trường THCS Nguyễn Quang Diêu</t>
  </si>
  <si>
    <t>xã An Phước - HTH</t>
  </si>
  <si>
    <t>XD 12 PH + 24 PCN, HMP + HTKT + TB</t>
  </si>
  <si>
    <t>272/QĐ-UBND.ĐTXD ngày 19/12/2020; số 237/QĐ-UBND.ĐTXD ngày 17/11/2022 của UBND huyện</t>
  </si>
  <si>
    <t>Trường THCS Tân Phước</t>
  </si>
  <si>
    <t xml:space="preserve">XD 02 PH + 23 PCN, TB + HMP </t>
  </si>
  <si>
    <t>273/QĐ-UBND.ĐTXD ngày 19/12/2020; số 244/QĐ-UBND.ĐTXD ngày 17/11/2022 của UBND huyện</t>
  </si>
  <si>
    <t>Trường THCS Nguyễn Văn Trỗi</t>
  </si>
  <si>
    <t>xã Tân Công Chí - HTH</t>
  </si>
  <si>
    <t xml:space="preserve">XD 03 PH + 24 PCN, TB + HMP </t>
  </si>
  <si>
    <t>320/QĐ-UBND.ĐTXD ngày 28/12/2020; số 235/QĐ-UBND.ĐTXD ngày 17/11/2022 của UBND huyện</t>
  </si>
  <si>
    <t>XIV</t>
  </si>
  <si>
    <t>Trường MN Mỹ Hòa</t>
  </si>
  <si>
    <t>6335/QĐ-UBND ngày 31/12/2020 của UBND huyện</t>
  </si>
  <si>
    <t>Trường MN Đốc Binh Kiều 1</t>
  </si>
  <si>
    <t>6334/QĐ-UBND ngày 31/12/2020 của UBND huyện</t>
  </si>
  <si>
    <t>Trường MN Mỹ Quý 1</t>
  </si>
  <si>
    <t>6336/QĐ-UBND ngày 31/12/2020 của UBND huyện</t>
  </si>
  <si>
    <t>Trường TH Phú Điền 1</t>
  </si>
  <si>
    <t>2021 - 2024</t>
  </si>
  <si>
    <t>5349/QĐ-UBND ngày 21/12/2020 của UBND huyện</t>
  </si>
  <si>
    <t>Trường TH&amp;THCS Thanh Mỹ
 (phần TH)</t>
  </si>
  <si>
    <t>5348/QĐ-UBND ngày 21/12/2020 và 10296/QĐ-UBND ngày 29/10/2021 của UBND huyện</t>
  </si>
  <si>
    <t>Trường TH Mỹ An A</t>
  </si>
  <si>
    <t>6283/QĐ-UBND ngày 31/12/2020 của UBND huyện</t>
  </si>
  <si>
    <t>Trường TH Tân Kiều 3</t>
  </si>
  <si>
    <t>6340/QĐ-UBND ngày 31/12/2020 của UBND huyện</t>
  </si>
  <si>
    <t>Trường THCS TT Mỹ An</t>
  </si>
  <si>
    <t>6342/QĐ-UBND ngày 31/12/2020 của UBND huyện</t>
  </si>
  <si>
    <t>Trường THCS Tân Kiều</t>
  </si>
  <si>
    <t>6343/QĐ-UBND ngày 31/12/2020 của UBND huyện</t>
  </si>
  <si>
    <t>Xây dựng kho dữ liệu dùng chung và nền tảng dữ liệu mở tỉnh Đồng Tháp</t>
  </si>
  <si>
    <t>1153/QĐ-UBND.HC ngày 21/10/2022 của UBND Tỉnh</t>
  </si>
  <si>
    <t>Xây dựng công trình phục vụ Thiết chế văn hóa cho thanh thiếu nhi tỉnh Đồng Tháp</t>
  </si>
  <si>
    <t>35/NQ-HĐND ngày 17/10/2023 của HĐND Tỉnh</t>
  </si>
  <si>
    <t>Sân Bóng đá 7 người</t>
  </si>
  <si>
    <t>AH</t>
  </si>
  <si>
    <t>Xây dựng mới 02 sân bóng đá và các hạng mục phụ trợ</t>
  </si>
  <si>
    <t>140/QĐ-UBND-XDCB ngày 18/7/2022; QĐ 226/QĐ-UBND-XDCB ngày 23/11/2023 của UBND TPSĐ</t>
  </si>
  <si>
    <t>Sân Bóng chuyền</t>
  </si>
  <si>
    <t>Xây dựng mới 02 sân bóng chuyền</t>
  </si>
  <si>
    <t>136/QĐ-UBND-XDCB ngày 15/7/2022; QĐ 227/.QĐ-UBND-XDCB ngày 23/11/2023 của UBND TPSĐ</t>
  </si>
  <si>
    <t xml:space="preserve">Tổ hợp thể thao xã Tân Hộ Cơ </t>
  </si>
  <si>
    <t>xã Tân Hộ Cơ</t>
  </si>
  <si>
    <t>219/QĐ-UBND.ĐTXD ngày 02/11/2023 của UBND huyện</t>
  </si>
  <si>
    <t>Tổ hợp thể thao xã Bình Phú</t>
  </si>
  <si>
    <t>xã Bình Phú</t>
  </si>
  <si>
    <t>218/QĐ-UBND.ĐTXD ngày 02/11/2023 của UBND huyện</t>
  </si>
  <si>
    <t>Chống chịu khí hậu tổng hợp và sinh kế bền vững Đồng bằng sông Cửu Long (MD-ICRSL); Tiểu dự án Nâng cao khả năng thoát lũ và phát triển sinh kế bền vững thích ứng với khí hậu cho vùng Đồng Tháp Mười (WB9) (Trả nợ gốc, lãi phí các khoản do chính quyền địa phương vay)</t>
  </si>
  <si>
    <t>HHN, TPHN, HTN, HTB</t>
  </si>
  <si>
    <t>2018-2024</t>
  </si>
  <si>
    <t>1410/QĐ-UBND.HC ngày 23/12/2022 của UBND tỉnh</t>
  </si>
  <si>
    <t>Mở rộng Trung tâm công nghệ xử lý môi trường  Mỹ Thọ (giai đoạn 1)</t>
  </si>
  <si>
    <t>543/QĐ-UBND.HC ngày 23/05/2022 của UBND Tỉnh</t>
  </si>
  <si>
    <t>Đầu tư Hạ tầng phục vụ Chương trình phục hồi và phát triển Sếu đầu đỏ tại Vườn Quốc gia Tràm Chim giai đoạn 2</t>
  </si>
  <si>
    <t>1124/QĐ-UBND.HC ngày 01/11/2023 của UBND Tỉnh</t>
  </si>
  <si>
    <t>J.1</t>
  </si>
  <si>
    <t>HTH, HTN, HTM, HCL</t>
  </si>
  <si>
    <t>Hạ tầng quản lý bảo vệ rừng và phát triển hệ sinh thái bền vững Vườn Quốc gia Tràm Chim giai đoạn 2021-2025</t>
  </si>
  <si>
    <t>1236/QĐ-UBND-HC ngày 14/11/2022 của UBND Tỉnh</t>
  </si>
  <si>
    <t>Bố trí dân cư tỉnh Đồng Tháp giai đoạn 2021-2025 (DA thành phần 04: Cụm dân cư Tân Thuận Đông, xã Tân Thuận Đông, TPCL)</t>
  </si>
  <si>
    <t>Bố trí ổn định dân cư Dinh Bà, xã Tân Hộ Cơ, huyện Tân Hồng</t>
  </si>
  <si>
    <t>xả Tân Hộ Cơ</t>
  </si>
  <si>
    <t>1227/QĐ-UBND-HC ngày 11/11/2022 của UBND Tỉnh</t>
  </si>
  <si>
    <t>Phòng chống sạt lở bờ sông để bảo vệ dân cư tại các khu vực xung yếu trên địa bàn tỉnh Đồng Tháp (xã Long Thuận và Phú Thuận A, HHN)</t>
  </si>
  <si>
    <t>1833/QĐ-UBND-HC ngày 01/12/2020; 1191/QĐ-UBND-HC ngày 18/08/2021 của UBND Tỉnh</t>
  </si>
  <si>
    <t>Kè Hổ Cứ, xã Hoà An, thành phố Cao Lãnh (nối dài về phía hạ lưu)</t>
  </si>
  <si>
    <t>97/QĐ-UBND-HC ngày 26/01/2022 của UBND Tỉnh</t>
  </si>
  <si>
    <t>Xử lý sạt lở cấp bách sông Tiền Khu vực xã Bình Hàng Trung, huyện Cao Lãnh (giai đoạn 2)</t>
  </si>
  <si>
    <t>945/QĐ-UBND-HC ngày 14/07/2021 của UBND Tỉnh</t>
  </si>
  <si>
    <t>J.2</t>
  </si>
  <si>
    <t xml:space="preserve">- Đường Rọc Sen (đoạn từ kênh 2/9 đến kênh An Phong - Mỹ Hòa) </t>
  </si>
  <si>
    <t>Xã Phú Lợi</t>
  </si>
  <si>
    <t>Dài 3,3km, mặt BTCT rộng 3,5m, tải trọng 5T</t>
  </si>
  <si>
    <t>Số 365/QĐ-UBND ngày 11/8/2022</t>
  </si>
  <si>
    <t>- Đường nội đồng (đoạn từ Miễu bà ấp 1 kênh 2/9 đến giáp đất ông Bầu Lời)</t>
  </si>
  <si>
    <t>Dài 1,2km, mặt BTCT rộng 3,0m, tải trọng 5T</t>
  </si>
  <si>
    <t>Số 366/QĐ-UBND ngày 11/8/2022</t>
  </si>
  <si>
    <t>- Đường kênh Đường Gạo (Bờ Tây đoạn từ kênh 2/9 - kênh AP-MH)</t>
  </si>
  <si>
    <t>Dài 1,5km, mặt BTCT rộng 3,5m, tải trọng 5T</t>
  </si>
  <si>
    <t>Số 370a/QĐ.UBND ngày 11/08/2022</t>
  </si>
  <si>
    <t>- Đường nội đồng: (đoạn từ đất ông Bầu Lời đến kênh An Phong - Mỹ Hòa)</t>
  </si>
  <si>
    <t>Dài 1,6km, mặt BTCT rộng 3,5m, tải trọng 5T</t>
  </si>
  <si>
    <t>189/QĐ.UBND ngày 05/10/2023</t>
  </si>
  <si>
    <t>- Đường kênh Cả Gáo (từ kênh An Phong - Mỹ Hòa đến kênh Đường Gạo)</t>
  </si>
  <si>
    <t>Cứng hóa mặt BTCT rộng 3,0m, tải trọng 5T</t>
  </si>
  <si>
    <t>186/QĐ.UBND ngày 05/10/2023</t>
  </si>
  <si>
    <t>- Cứng hóa kênh đường Cả Nga đoạn từ thị trấn đến nhà ông Đực</t>
  </si>
  <si>
    <t>Dài 3,8km, mặt BTCT rộng 3,0m, tải trọng 5T</t>
  </si>
  <si>
    <t>259/QĐ.UBND ngày 09/8/2022</t>
  </si>
  <si>
    <t>- Cứng hóa đường kênh Láng Tượng (Kênh 2/9 đến Láng Tượng)</t>
  </si>
  <si>
    <t>Dài 3,5km, mặt BTCT rộng 3,0m</t>
  </si>
  <si>
    <t>263/QĐ.UBND ngày 10/11/2022</t>
  </si>
  <si>
    <t>- Cứng hóa đường kênh Láng tượng, bờ bắc (từ kênh Hố đấu đến kênh Cả Tre); hạng mục: xây dựng mới mặt đan BTCT 3,5m</t>
  </si>
  <si>
    <t>297/QĐ.UBND ngày 05/10/2023</t>
  </si>
  <si>
    <t>- Cứng hóa bờ bao kênh Đốc Vàng Hạ (từ kênh Kháng Chiến đến kênh An Phong - Mỹ Hòa)</t>
  </si>
  <si>
    <t>Xã Tân Mỹ</t>
  </si>
  <si>
    <t>Dài 3,2km, mặt BTCT rộng 3,0m, tải trọng 5T</t>
  </si>
  <si>
    <t>246/QĐ.UBND ngày 10/8/2022</t>
  </si>
  <si>
    <t>- Cứng hóa đường nội đồng kinh Ông Ninh (kênh Kháng Chiến đến kênh An Phong - Mỹ Hòa)</t>
  </si>
  <si>
    <t xml:space="preserve">247/QĐ.UBND ngày 10/8/2022 </t>
  </si>
  <si>
    <t>- Cứng hóa đường bờ Đông Đốc Vàng Hạ (Đường đal Miễu Bà đến nhà Hai Phận)</t>
  </si>
  <si>
    <t>Dài 650m, mặt BTCT rộng 3,5m, tải trọng 5T</t>
  </si>
  <si>
    <t>382/QĐ.UBND ngày 24/11/2022</t>
  </si>
  <si>
    <t>- Giao thông kết hợp bờ bao bảo vệ sản xuất đường kênh An Phong-Mỹ Hòa (rạch Đốc Vàng Hạ đến kênh Thống Nhất)</t>
  </si>
  <si>
    <t>385/QĐ.UBND ngày 24/11/2022</t>
  </si>
  <si>
    <t>- Cứng hóa bờ bao kênh Kháng Chiến (bờ bắc từ Phú Lợi đến rạch Đốc Vàng Hạ (Ba Nghề))</t>
  </si>
  <si>
    <t>Dài 800m, mặt BTCT rộng 3,0m</t>
  </si>
  <si>
    <t>384/QĐ.UBND ngày 24/11/2022</t>
  </si>
  <si>
    <t>Cứng hóa mặt BTCT rộng 3,0m</t>
  </si>
  <si>
    <t xml:space="preserve">196/QĐ.UBND ngày 05/10/2023 </t>
  </si>
  <si>
    <t>Nhựa hóa đường nhánh CDC Trung tâm xã (giai đoạn 2)</t>
  </si>
  <si>
    <t>Xã Tân Hội</t>
  </si>
  <si>
    <t xml:space="preserve">Mặt 3,5m, dài 350m, vĩa hè 3m, tưới nhựa. </t>
  </si>
  <si>
    <t>192/QĐ-UBND ngày 24/11/2023</t>
  </si>
  <si>
    <t>Mở rộng và nâng cấp đường TDC Cần Sen 1</t>
  </si>
  <si>
    <t xml:space="preserve"> Dài 700m, mặt 5m</t>
  </si>
  <si>
    <t>103A/QĐ-UBND ngày 24/11/2023</t>
  </si>
  <si>
    <t>- Đường nội bộ cụm dân cư Cà Vàng</t>
  </si>
  <si>
    <t>Xã Thông Bình</t>
  </si>
  <si>
    <t>Nâng cấp, cải tạo, dài 2,8km</t>
  </si>
  <si>
    <t>180/QĐ-UBND.XDCB ngày 04/11/2022</t>
  </si>
  <si>
    <t>- Đường trục chính nội đồng An Phát - An Tài</t>
  </si>
  <si>
    <t>Xã An Phước</t>
  </si>
  <si>
    <t>Nền rộng 5m, mặt nhựa rộng  3,5m, dài 4,085km</t>
  </si>
  <si>
    <t>748/QĐ-UBND.ĐTXD ngày 07/11/2022</t>
  </si>
  <si>
    <t>- Đường nội đồng HTX Tân Lập (đoạn từ nhà Bào ô Môi đến lộ quốc phòng)</t>
  </si>
  <si>
    <t>Xã Tân Hộ Cơ</t>
  </si>
  <si>
    <t>Nâng cấp, dài 2,883km</t>
  </si>
  <si>
    <t xml:space="preserve">181/QĐ-UBND.ĐTXD ngày 07/11/2022 </t>
  </si>
  <si>
    <t>- Đường bờ tây kênh Tân Thành, đoạn từ nhà ông Hòa đến nhà ông Hưởng</t>
  </si>
  <si>
    <t>Nâng cấp, cán đá cấp phối mặt 3,5m, dài 3,5km</t>
  </si>
  <si>
    <t xml:space="preserve">180a/QĐ-UBND.ĐTXD ngày 04/11/2022 </t>
  </si>
  <si>
    <t>- Đường Lộ Làng (đoạn ĐT843 đến Kênh Sa Rài)</t>
  </si>
  <si>
    <t>Xã Tân Công Chí</t>
  </si>
  <si>
    <t>Nâng cấp nền, láng nhựa mặt rộng 3,5m, dài 1,55km</t>
  </si>
  <si>
    <t>126/QĐ-UBND/XDCB ngày 31/8/2023</t>
  </si>
  <si>
    <t>- Đường cặp nhà ông Sáu Bê</t>
  </si>
  <si>
    <t>Nâng cấp nền, láng nhựa mặt rộng 3,5m, dài 1,1km</t>
  </si>
  <si>
    <t>127/QĐ-UBND/XDCB ngày 31/8/2023</t>
  </si>
  <si>
    <t xml:space="preserve"> - Chiếu sáng công cộng các tuyến đường trên địa bàn xã</t>
  </si>
  <si>
    <t>2023 -2024</t>
  </si>
  <si>
    <t>203/QĐ-UBND ngày 30/11/2023</t>
  </si>
  <si>
    <t xml:space="preserve"> - Đường kênh Bà Ba (kênh Xáng - kênh Nguyễn Văn Tiếp B)</t>
  </si>
  <si>
    <t xml:space="preserve">148/QĐ-UBND; ngày 17/11/2023 </t>
  </si>
  <si>
    <t>- Cầu kênh Đường Thét - kênh HKI</t>
  </si>
  <si>
    <t>124/QĐ-UBND ngày 8/8/2022</t>
  </si>
  <si>
    <t xml:space="preserve"> - Nâng cấp đường nam kênh Hội Kỳ Nhất</t>
  </si>
  <si>
    <t xml:space="preserve">198/QĐ-UBND ngày 27/11/2023 </t>
  </si>
  <si>
    <t xml:space="preserve"> - Cầu kênh 1000 ấp Mỹ Phú - ấp Mỹ Tân</t>
  </si>
  <si>
    <t xml:space="preserve">104/QĐ-UBND ngày 22/11/2023 </t>
  </si>
  <si>
    <t>- Dự án Mô hình điểm phát triển sản phẩm OCOP - Sản phẩm từ sen trên địa bàn huyện Tháp Mười, tỉnh Đồng Tháp</t>
  </si>
  <si>
    <t>7338/QĐ-UBND
25/10/2023 của
UBND huyện</t>
  </si>
  <si>
    <t>- Đường Cái Xếp - Hang Mai (bờ đông), xã An Nhơn</t>
  </si>
  <si>
    <t xml:space="preserve">377/QĐ-UBND ngày 05/8/2022 </t>
  </si>
  <si>
    <t>J.3</t>
  </si>
  <si>
    <t>J.4</t>
  </si>
  <si>
    <t>Cụm công nghiệp Quảng Khánh (Giai đoạn 1)</t>
  </si>
  <si>
    <t>16,783 ha</t>
  </si>
  <si>
    <t>1374/QĐ-UBND-HC ngày 14/12/2022 của UBND Tỉnh</t>
  </si>
  <si>
    <t>J.5</t>
  </si>
  <si>
    <t>J.6</t>
  </si>
  <si>
    <t>Nâng cấp và mở rộng đường Phạm Hữu Lầu (cầu Cái Tôm đến đường Thiên Hộ Dương)</t>
  </si>
  <si>
    <t>32/QĐ-UBND ngày 29/3/2023 của UBND thành phố</t>
  </si>
  <si>
    <t>Đường Nguyễn Thị Lựu (đoạn KDC Phường 4 Hòa An - sông Hổ Cứ)</t>
  </si>
  <si>
    <t>2522/QĐ-UBND ngày 30/11/2021; 654/QĐ-UBND ngày 25/4/2022 của UBND thành phố</t>
  </si>
  <si>
    <t>Đường ĐT 846 nối dài (đoạn từ cầu Ông Thợ - đường Trần Bá Lê) và cầu Ông Thợ (xã Mỹ Tân - xã Hòa An), xã Hòa An - Mỹ Tân, thành phố Cao Lãnh</t>
  </si>
  <si>
    <t>162/QĐ-UBND ngày 04/12/2023 của UBND thành phố</t>
  </si>
  <si>
    <t>Đường Vành Đai Tây (đoạn đường ĐT 846 - KDC Phường 4 Hòa An)</t>
  </si>
  <si>
    <t>2523/QĐ-UBND ngày 30/11/2021; 653/QĐ-UBND ngày 25/4/2022 của UBND thành phố</t>
  </si>
  <si>
    <t>Đường song song đường hoa Sa Đéc (Sa Nhiên – Cai Dao)</t>
  </si>
  <si>
    <t>TQĐ</t>
  </si>
  <si>
    <t>Giao thông, cấp III</t>
  </si>
  <si>
    <t>QĐ 471/QĐ-UBND-XDCB ngày 03/11/2022; ĐC QĐ 288/QĐ-UBND-XDCB ngày 22/12/2023</t>
  </si>
  <si>
    <t>Chỉnh trang đô thị và cải thiện môi trường Tuyến dân cư Mương Nhà Máy</t>
  </si>
  <si>
    <t>Bờ kè và đường ven kênh; sàn đi bộ; đập điều tiết nước 02 đầu kênh; thảm đá hộc và trồng cỏ; nạo vét kênh; HT an toàn giao thông.</t>
  </si>
  <si>
    <t>2831/QĐ-UBND ngày 28/11/2023 của UBND TPHN</t>
  </si>
  <si>
    <t xml:space="preserve">Hạ tầng khu đô thị Bắc An Thành </t>
  </si>
  <si>
    <t>Hạ tầng kỹ thuật</t>
  </si>
  <si>
    <t xml:space="preserve">2724/QĐ-UBND ngày 17/12/2021; 2905/QĐ-UBND ngày 04/12/2023 của UBND TPHN </t>
  </si>
  <si>
    <t xml:space="preserve">Chỉnh trang đô thị khu đô thị An Thạnh </t>
  </si>
  <si>
    <t xml:space="preserve">1821/QĐ-UBND ngày 30/8/2021; 1585/QĐ-UBND ngày 11/8/2023 của UBND TPHN </t>
  </si>
  <si>
    <t>Đường Nguyễn Tất Thành, phường An Lộc</t>
  </si>
  <si>
    <t>Chiều dài khoảng 1.267m</t>
  </si>
  <si>
    <t>485/QĐ-UBND ngày 09/5/2022; 1195/QĐ-UBND ngày 12/6/2023 của UBND TPHN</t>
  </si>
  <si>
    <t>Đường ra biên giới, xã Tân Hội</t>
  </si>
  <si>
    <t>Chiều dài khoảng 1.635m</t>
  </si>
  <si>
    <t>2904/QĐ-UBND ngày 04/12/2023 của UBND TPHN</t>
  </si>
  <si>
    <t>Đường Võ Nguyên Giáp, phường An Lộc</t>
  </si>
  <si>
    <t>Chiều dài khoảng 1.726,5m</t>
  </si>
  <si>
    <t>973/QĐ-UBND ngày 23/5/2023; 1193/QĐ-UBND ngày 12/6/2023 của UBND TPHN</t>
  </si>
  <si>
    <t>Đường kết nối cụm công nghiệp</t>
  </si>
  <si>
    <t>Chiều dài khoảng 690m</t>
  </si>
  <si>
    <t>1194/QĐ-UBND ngày 12/6/2023 của UBND TPHN</t>
  </si>
  <si>
    <t>Cầu Trần Hưng Đạo (bắc qua Mương Nhà Máy)</t>
  </si>
  <si>
    <t>Bề rộng cầu 19m, tải trọng thiết kế HL93</t>
  </si>
  <si>
    <t xml:space="preserve">796/QĐ-UBND ngày 14/4/2023 của UBND TPHN </t>
  </si>
  <si>
    <t>Khu đô thị Bắc Mỹ An</t>
  </si>
  <si>
    <t>436/QĐ-UBND.HC 31/10/2019; 11501/QĐ-UBND ngày 17/12/2021 của UBND huyện</t>
  </si>
  <si>
    <t xml:space="preserve">Cầu kênh Nguyễn Văn Tiếp A </t>
  </si>
  <si>
    <t>5357/QĐ-UBND ngày 21/12/2020; 8075/QĐ-UBND ngày 22/11/2023 của UBND huyện</t>
  </si>
  <si>
    <t>- Nâng cấp, mở rộng đường Lê Lợi (đoạn từ đường Hùng Vương đến đường Trần Văn Thế)</t>
  </si>
  <si>
    <t>TTSR</t>
  </si>
  <si>
    <t>Chiều dài 2,302km</t>
  </si>
  <si>
    <t xml:space="preserve"> 24/07/2023-17/07/2024</t>
  </si>
  <si>
    <t>134/QĐ-UBND.ĐTXD ngày 23/6/2022 của UBND huyện</t>
  </si>
  <si>
    <t>Trụ sở UBND thị trấn Sa Rài</t>
  </si>
  <si>
    <t>Xây dựng mới</t>
  </si>
  <si>
    <t>15/5/2023-10/5/2024</t>
  </si>
  <si>
    <t>156/QĐ-UBND.ĐTXD ngày 04/8/2022 của UBND huyện</t>
  </si>
  <si>
    <t>Trụ sở UBND xã Trường Xuân</t>
  </si>
  <si>
    <t>3302/QĐ-UBND ngày 07/6/2022 của UBND huyện</t>
  </si>
  <si>
    <t>Trụ sở UBND xã Đốc Binh Kiều (tên cũ là Cải tạo, nâng cấp Trụ sở UBND xã Đốc Binh Kiều)</t>
  </si>
  <si>
    <t>3698/QĐ-UBND ngày 23/6/2022 của UBND huyện</t>
  </si>
  <si>
    <t>Hỗ trợ việc làm bền vững thuộc Chương trình mục tiêu quốc gia giảm nghèo bền vững, giai đoạn 2021 - 2025</t>
  </si>
  <si>
    <t>1448/QĐ-UBND.HC ngày 30/12/2022 của UBND Tỉnh</t>
  </si>
  <si>
    <t>Chuẩn bị đầu tư (số vốn còn lại)</t>
  </si>
  <si>
    <t>Tất toán công trình hoàn thành</t>
  </si>
  <si>
    <t>Chi cho công tác đo đạc lập bản đồ địa chính và quản lý đất công, đăng ký đất đai, ... theo Nghị quyết số 41/2023/NQ-HĐND ngày 18/7/2023 của HĐND Tỉnh</t>
  </si>
  <si>
    <t>Chi bổ sung vốn điều lệ Quỹ phát triển đất tỉnh</t>
  </si>
  <si>
    <t>**</t>
  </si>
  <si>
    <t>Ngân hàng Chính sách- xã hội tỉnh Đồng Tháp</t>
  </si>
  <si>
    <t>(DỰ TOÁN ĐÃ ĐƯỢC TRÌNH HỘI ĐỒNG NHÂN DÂN TỈNH)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</si>
</sst>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2">
    <numFmt numFmtId="41" formatCode="_(* #,##0_);_(* \(#,##0\);_(* &quot;-&quot;_);_(@_)"/>
    <numFmt numFmtId="43" formatCode="_(* #,##0.00_);_(* \(#,##0.00\);_(* &quot;-&quot;??_);_(@_)"/>
    <numFmt numFmtId="164" formatCode="_-* #,##0_-;\-* #,##0_-;_-* &quot;-&quot;_-;_-@_-"/>
    <numFmt numFmtId="165" formatCode="_-* #,##0.00_-;\-* #,##0.00_-;_-* &quot;-&quot;??_-;_-@_-"/>
    <numFmt numFmtId="166" formatCode="_-* #,##0\ _₫_-;\-* #,##0\ _₫_-;_-* &quot;-&quot;\ _₫_-;_-@_-"/>
    <numFmt numFmtId="167" formatCode="_-* #,##0.00\ _₫_-;\-* #,##0.00\ _₫_-;_-* &quot;-&quot;??\ _₫_-;_-@_-"/>
    <numFmt numFmtId="168" formatCode="#,##0;[Red]\-#,##0;&quot; &quot;"/>
    <numFmt numFmtId="169" formatCode="_(* #,##0_);_(* \(#,##0\);_(* &quot;-&quot;??_);_(@_)"/>
    <numFmt numFmtId="170" formatCode="#,##0.0;[Red]\-#,##0.0;&quot; &quot;"/>
    <numFmt numFmtId="171" formatCode="0.0%"/>
    <numFmt numFmtId="172" formatCode="0.0"/>
    <numFmt numFmtId="173" formatCode="#,##0.00;[Red]\-#,##0.00;&quot; &quot;"/>
    <numFmt numFmtId="174" formatCode="#,##0_ ;[Red]\-#,##0\ "/>
    <numFmt numFmtId="175" formatCode="_(* #,##0.0_);_(* \(#,##0.0\);_(* &quot;-&quot;??_);_(@_)"/>
    <numFmt numFmtId="176" formatCode="#,##0.0000;[Red]\-#,##0.0000;&quot; &quot;"/>
    <numFmt numFmtId="177" formatCode="0.000%"/>
    <numFmt numFmtId="178" formatCode="#,###;[Red]\-#,###"/>
    <numFmt numFmtId="179" formatCode="_-* #,##0_-;\-* #,##0_-;_-* &quot;-&quot;??_-;_-@_-"/>
    <numFmt numFmtId="180" formatCode="###,###,###"/>
    <numFmt numFmtId="181" formatCode="_-* #,##0.0_-;\-* #,##0.0_-;_-* &quot;-&quot;??_-;_-@_-"/>
    <numFmt numFmtId="182" formatCode="#,##0.0"/>
    <numFmt numFmtId="183" formatCode="#,##0;[Red]\-#,##0;&quot;&quot;"/>
    <numFmt numFmtId="184" formatCode="#,###.00;[Red]\-#,###.00"/>
    <numFmt numFmtId="185" formatCode="_(* #,##0.000_);_(* \(#,##0.000\);_(* &quot;-&quot;??_);_(@_)"/>
    <numFmt numFmtId="186" formatCode="#,###.0;[Red]\-#,###.0"/>
    <numFmt numFmtId="187" formatCode="#,##0.00;[Red]\-#,###.00"/>
    <numFmt numFmtId="188" formatCode="#,##0.000"/>
    <numFmt numFmtId="189" formatCode="0.0000%"/>
    <numFmt numFmtId="190" formatCode="#,##0.00000;[Red]\-#,##0.00000;&quot; &quot;"/>
    <numFmt numFmtId="191" formatCode="#,##0.0000000;[Red]\-#,##0.0000000;&quot; &quot;"/>
    <numFmt numFmtId="192" formatCode="#,##0.000;[Red]\-#,##0.000;&quot; &quot;"/>
    <numFmt numFmtId="193" formatCode="_-* #,##0\ _₫_-;\-* #,##0\ _₫_-;_-* &quot;-&quot;??\ _₫_-;_-@_-"/>
  </numFmts>
  <fonts count="165">
    <font>
      <sz val="12"/>
      <name val="Times New Roman"/>
    </font>
    <font>
      <sz val="12"/>
      <name val="Times New Roman"/>
      <family val="1"/>
    </font>
    <font>
      <sz val="8"/>
      <name val="Times New Roman"/>
      <family val="1"/>
    </font>
    <font>
      <sz val="9"/>
      <color indexed="81"/>
      <name val="Tahoma"/>
      <family val="2"/>
    </font>
    <font>
      <b/>
      <sz val="9"/>
      <color indexed="81"/>
      <name val="Tahoma"/>
      <family val="2"/>
    </font>
    <font>
      <sz val="12"/>
      <name val="Times New Roman"/>
      <family val="1"/>
    </font>
    <font>
      <b/>
      <sz val="14"/>
      <name val="Times New Roman"/>
      <family val="1"/>
    </font>
    <font>
      <sz val="14"/>
      <name val="Times New Roman"/>
      <family val="1"/>
    </font>
    <font>
      <b/>
      <sz val="14"/>
      <color theme="0"/>
      <name val="Times New Roman"/>
      <family val="1"/>
    </font>
    <font>
      <sz val="14"/>
      <color theme="0"/>
      <name val="Times New Roman"/>
      <family val="1"/>
    </font>
    <font>
      <b/>
      <u/>
      <sz val="14"/>
      <name val="Times New Roman"/>
      <family val="1"/>
    </font>
    <font>
      <sz val="14"/>
      <color theme="1"/>
      <name val="Times New Roman"/>
      <family val="1"/>
    </font>
    <font>
      <b/>
      <sz val="14"/>
      <color theme="1"/>
      <name val="Times New Roman"/>
      <family val="1"/>
    </font>
    <font>
      <i/>
      <sz val="14"/>
      <name val="Times New Roman"/>
      <family val="1"/>
    </font>
    <font>
      <u/>
      <sz val="14"/>
      <name val="Times New Roman"/>
      <family val="1"/>
    </font>
    <font>
      <i/>
      <u/>
      <sz val="14"/>
      <name val="Times New Roman"/>
      <family val="1"/>
    </font>
    <font>
      <sz val="14"/>
      <color rgb="FF00B0F0"/>
      <name val="Times New Roman"/>
      <family val="1"/>
    </font>
    <font>
      <sz val="14"/>
      <color rgb="FFFF0000"/>
      <name val="Times New Roman"/>
      <family val="1"/>
    </font>
    <font>
      <b/>
      <sz val="14"/>
      <color rgb="FFFF0000"/>
      <name val="Times New Roman"/>
      <family val="1"/>
    </font>
    <font>
      <sz val="12"/>
      <color indexed="81"/>
      <name val="Times New Roman"/>
      <family val="1"/>
    </font>
    <font>
      <b/>
      <u/>
      <sz val="14"/>
      <color rgb="FFFF0000"/>
      <name val="Times New Roman"/>
      <family val="1"/>
    </font>
    <font>
      <b/>
      <u/>
      <sz val="14"/>
      <color theme="1"/>
      <name val="Times New Roman"/>
      <family val="1"/>
    </font>
    <font>
      <b/>
      <sz val="14"/>
      <color rgb="FF0000FF"/>
      <name val="Times New Roman"/>
      <family val="1"/>
    </font>
    <font>
      <sz val="14"/>
      <color rgb="FF0000FF"/>
      <name val="Times New Roman"/>
      <family val="1"/>
    </font>
    <font>
      <b/>
      <u/>
      <sz val="14"/>
      <color rgb="FF0000FF"/>
      <name val="Times New Roman"/>
      <family val="1"/>
    </font>
    <font>
      <b/>
      <i/>
      <u/>
      <sz val="14"/>
      <name val="Times New Roman"/>
      <family val="1"/>
    </font>
    <font>
      <b/>
      <i/>
      <u/>
      <sz val="14"/>
      <color theme="1"/>
      <name val="Times New Roman"/>
      <family val="1"/>
    </font>
    <font>
      <b/>
      <sz val="12"/>
      <color indexed="81"/>
      <name val="Times New Roman"/>
      <family val="1"/>
    </font>
    <font>
      <u/>
      <sz val="14"/>
      <color rgb="FFFF0000"/>
      <name val="Times New Roman"/>
      <family val="1"/>
    </font>
    <font>
      <b/>
      <i/>
      <sz val="14"/>
      <name val="Times New Roman"/>
      <family val="1"/>
    </font>
    <font>
      <i/>
      <sz val="14"/>
      <color theme="1"/>
      <name val="Times New Roman"/>
      <family val="1"/>
    </font>
    <font>
      <b/>
      <sz val="8"/>
      <color indexed="81"/>
      <name val="Tahoma"/>
      <family val="2"/>
    </font>
    <font>
      <sz val="8"/>
      <color indexed="81"/>
      <name val="Tahoma"/>
      <family val="2"/>
    </font>
    <font>
      <u/>
      <sz val="14"/>
      <color theme="1"/>
      <name val="Times New Roman"/>
      <family val="1"/>
    </font>
    <font>
      <b/>
      <i/>
      <sz val="14"/>
      <color theme="1"/>
      <name val="Times New Roman"/>
      <family val="1"/>
    </font>
    <font>
      <sz val="12"/>
      <color theme="1"/>
      <name val="Times New Roman"/>
      <family val="1"/>
    </font>
    <font>
      <b/>
      <u/>
      <sz val="14"/>
      <color theme="0"/>
      <name val="Times New Roman"/>
      <family val="1"/>
    </font>
    <font>
      <b/>
      <sz val="10"/>
      <name val="Times New Roman"/>
      <family val="1"/>
    </font>
    <font>
      <sz val="10"/>
      <name val="Times New Roman"/>
      <family val="1"/>
    </font>
    <font>
      <b/>
      <u/>
      <sz val="10"/>
      <name val="Times New Roman"/>
      <family val="1"/>
    </font>
    <font>
      <sz val="11"/>
      <name val=".VnArial Narrow"/>
      <family val="2"/>
    </font>
    <font>
      <sz val="12"/>
      <name val="VNI-Times"/>
    </font>
    <font>
      <b/>
      <sz val="12"/>
      <name val="Times New Roman"/>
      <family val="1"/>
    </font>
    <font>
      <b/>
      <u/>
      <sz val="12"/>
      <name val="Times New Roman"/>
      <family val="1"/>
    </font>
    <font>
      <u/>
      <sz val="12"/>
      <name val="Times New Roman"/>
      <family val="1"/>
    </font>
    <font>
      <i/>
      <u/>
      <sz val="12"/>
      <name val="Times New Roman"/>
      <family val="1"/>
    </font>
    <font>
      <sz val="10"/>
      <name val="Arial"/>
      <family val="2"/>
    </font>
    <font>
      <i/>
      <sz val="12"/>
      <name val="Times New Roman"/>
      <family val="1"/>
    </font>
    <font>
      <i/>
      <sz val="12"/>
      <color rgb="FFFF0000"/>
      <name val="Times New Roman"/>
      <family val="1"/>
    </font>
    <font>
      <sz val="12"/>
      <color indexed="10"/>
      <name val="Times New Roman"/>
      <family val="1"/>
    </font>
    <font>
      <i/>
      <sz val="10.5"/>
      <name val="Times New Roman"/>
      <family val="1"/>
    </font>
    <font>
      <i/>
      <sz val="10"/>
      <name val="Times New Roman"/>
      <family val="1"/>
    </font>
    <font>
      <sz val="10"/>
      <color rgb="FFFF0000"/>
      <name val="Times New Roman"/>
      <family val="1"/>
    </font>
    <font>
      <b/>
      <i/>
      <sz val="10"/>
      <name val="Times New Roman"/>
      <family val="1"/>
    </font>
    <font>
      <sz val="12"/>
      <name val="Times New Roman"/>
      <family val="1"/>
    </font>
    <font>
      <sz val="12"/>
      <color rgb="FFFF0000"/>
      <name val="Times New Roman"/>
      <family val="1"/>
    </font>
    <font>
      <b/>
      <sz val="12"/>
      <color theme="1"/>
      <name val="Times New Roman"/>
      <family val="1"/>
    </font>
    <font>
      <b/>
      <sz val="12"/>
      <color rgb="FFFF0000"/>
      <name val="Times New Roman"/>
      <family val="1"/>
    </font>
    <font>
      <b/>
      <sz val="12"/>
      <color theme="0"/>
      <name val="Times New Roman"/>
      <family val="1"/>
    </font>
    <font>
      <b/>
      <u/>
      <sz val="12"/>
      <color rgb="FFFF0000"/>
      <name val="Times New Roman"/>
      <family val="1"/>
    </font>
    <font>
      <b/>
      <u/>
      <sz val="12"/>
      <color theme="1"/>
      <name val="Times New Roman"/>
      <family val="1"/>
    </font>
    <font>
      <b/>
      <sz val="12"/>
      <color rgb="FF0000FF"/>
      <name val="Times New Roman"/>
      <family val="1"/>
    </font>
    <font>
      <b/>
      <u val="singleAccounting"/>
      <sz val="12"/>
      <color rgb="FFFF0000"/>
      <name val="Times New Roman"/>
      <family val="1"/>
    </font>
    <font>
      <sz val="11"/>
      <color theme="1"/>
      <name val="Calibri"/>
      <family val="2"/>
      <scheme val="minor"/>
    </font>
    <font>
      <b/>
      <u val="singleAccounting"/>
      <sz val="10"/>
      <color rgb="FFFF0000"/>
      <name val="Times New Roman"/>
      <family val="1"/>
    </font>
    <font>
      <i/>
      <sz val="10"/>
      <color rgb="FFFF0000"/>
      <name val="Times New Roman"/>
      <family val="1"/>
    </font>
    <font>
      <i/>
      <u/>
      <sz val="12"/>
      <color rgb="FFFF0000"/>
      <name val="Times New Roman"/>
      <family val="1"/>
    </font>
    <font>
      <i/>
      <sz val="12"/>
      <color rgb="FF0000FF"/>
      <name val="Times New Roman"/>
      <family val="1"/>
    </font>
    <font>
      <i/>
      <u/>
      <sz val="12"/>
      <color rgb="FF0000FF"/>
      <name val="Times New Roman"/>
      <family val="1"/>
    </font>
    <font>
      <sz val="12"/>
      <color rgb="FF0000FF"/>
      <name val="Times New Roman"/>
      <family val="1"/>
    </font>
    <font>
      <u/>
      <sz val="12"/>
      <color rgb="FFFF0000"/>
      <name val="Times New Roman"/>
      <family val="1"/>
    </font>
    <font>
      <b/>
      <i/>
      <sz val="12"/>
      <color rgb="FFFF0000"/>
      <name val="Times New Roman"/>
      <family val="1"/>
    </font>
    <font>
      <b/>
      <i/>
      <sz val="12"/>
      <name val="Times New Roman"/>
      <family val="1"/>
    </font>
    <font>
      <i/>
      <sz val="12"/>
      <color theme="1"/>
      <name val="Times New Roman"/>
      <family val="1"/>
    </font>
    <font>
      <b/>
      <i/>
      <sz val="12"/>
      <color theme="1"/>
      <name val="Times New Roman"/>
      <family val="1"/>
    </font>
    <font>
      <b/>
      <u val="singleAccounting"/>
      <sz val="12"/>
      <name val="Times New Roman"/>
      <family val="1"/>
    </font>
    <font>
      <b/>
      <u val="singleAccounting"/>
      <sz val="10"/>
      <name val="Times New Roman"/>
      <family val="1"/>
    </font>
    <font>
      <b/>
      <u val="singleAccounting"/>
      <sz val="10"/>
      <color theme="1"/>
      <name val="Times New Roman"/>
      <family val="1"/>
    </font>
    <font>
      <b/>
      <u val="singleAccounting"/>
      <sz val="12"/>
      <color theme="1"/>
      <name val="Times New Roman"/>
      <family val="1"/>
    </font>
    <font>
      <b/>
      <sz val="10"/>
      <color theme="1"/>
      <name val="Times New Roman"/>
      <family val="1"/>
    </font>
    <font>
      <sz val="11"/>
      <color indexed="8"/>
      <name val="Calibri"/>
      <family val="2"/>
    </font>
    <font>
      <b/>
      <i/>
      <sz val="10"/>
      <color theme="1"/>
      <name val="Times New Roman"/>
      <family val="1"/>
    </font>
    <font>
      <b/>
      <sz val="13"/>
      <name val="Times New Roman"/>
      <family val="1"/>
    </font>
    <font>
      <sz val="12"/>
      <color theme="0"/>
      <name val="Times New Roman"/>
      <family val="1"/>
    </font>
    <font>
      <sz val="12"/>
      <name val=".VnTime"/>
      <family val="2"/>
    </font>
    <font>
      <sz val="10"/>
      <name val="Arial"/>
      <family val="2"/>
      <charset val="163"/>
    </font>
    <font>
      <sz val="12"/>
      <color theme="1"/>
      <name val="Arial"/>
      <family val="2"/>
    </font>
    <font>
      <u/>
      <sz val="12"/>
      <color theme="10"/>
      <name val="Times New Roman"/>
      <family val="1"/>
    </font>
    <font>
      <b/>
      <sz val="13"/>
      <name val="Arial"/>
      <family val="2"/>
    </font>
    <font>
      <sz val="13"/>
      <name val="Calibri"/>
      <family val="2"/>
      <scheme val="minor"/>
    </font>
    <font>
      <b/>
      <sz val="11"/>
      <name val="Times New Roman"/>
      <family val="1"/>
    </font>
    <font>
      <b/>
      <sz val="13"/>
      <name val="Calibri"/>
      <family val="2"/>
      <scheme val="minor"/>
    </font>
    <font>
      <sz val="13"/>
      <name val="Times New Roman"/>
      <family val="1"/>
    </font>
    <font>
      <i/>
      <sz val="13"/>
      <name val="Calibri"/>
      <family val="2"/>
      <scheme val="minor"/>
    </font>
    <font>
      <b/>
      <i/>
      <sz val="13"/>
      <name val="Calibri"/>
      <family val="2"/>
      <scheme val="minor"/>
    </font>
    <font>
      <b/>
      <i/>
      <sz val="13"/>
      <name val="Times New Roman"/>
      <family val="1"/>
    </font>
    <font>
      <i/>
      <sz val="13"/>
      <name val="Times New Roman"/>
      <family val="1"/>
    </font>
    <font>
      <sz val="13"/>
      <color rgb="FFFF0000"/>
      <name val="Calibri"/>
      <family val="2"/>
      <scheme val="minor"/>
    </font>
    <font>
      <b/>
      <sz val="13"/>
      <color rgb="FFFF0000"/>
      <name val="Calibri"/>
      <family val="2"/>
      <scheme val="minor"/>
    </font>
    <font>
      <b/>
      <i/>
      <sz val="10"/>
      <color rgb="FF000000"/>
      <name val="Arial"/>
      <family val="2"/>
    </font>
    <font>
      <i/>
      <sz val="10"/>
      <color rgb="FF000000"/>
      <name val="Arial"/>
      <family val="2"/>
    </font>
    <font>
      <sz val="11"/>
      <color rgb="FF050505"/>
      <name val="Segoe UI"/>
      <family val="2"/>
    </font>
    <font>
      <sz val="10"/>
      <color indexed="81"/>
      <name val="Tahoma"/>
      <family val="2"/>
    </font>
    <font>
      <sz val="12"/>
      <name val=".VnArial Narrow"/>
      <family val="2"/>
    </font>
    <font>
      <i/>
      <sz val="11"/>
      <name val="Times New Roman"/>
      <family val="1"/>
    </font>
    <font>
      <u/>
      <sz val="10"/>
      <name val="Times New Roman"/>
      <family val="1"/>
    </font>
    <font>
      <u val="singleAccounting"/>
      <sz val="12"/>
      <name val="Times New Roman"/>
      <family val="1"/>
    </font>
    <font>
      <b/>
      <sz val="10"/>
      <color indexed="81"/>
      <name val="Tahoma"/>
      <family val="2"/>
    </font>
    <font>
      <b/>
      <sz val="9"/>
      <color indexed="81"/>
      <name val="Segoe UI"/>
      <family val="2"/>
    </font>
    <font>
      <sz val="9"/>
      <color indexed="81"/>
      <name val="Segoe UI"/>
      <family val="2"/>
    </font>
    <font>
      <sz val="10"/>
      <name val="Helv"/>
      <family val="2"/>
      <charset val="163"/>
    </font>
    <font>
      <b/>
      <u/>
      <sz val="12"/>
      <name val="Times New Roman"/>
      <family val="1"/>
      <charset val="163"/>
    </font>
    <font>
      <u/>
      <sz val="10"/>
      <name val="Helv"/>
      <family val="2"/>
      <charset val="163"/>
    </font>
    <font>
      <b/>
      <u/>
      <sz val="10"/>
      <name val="Helv"/>
      <family val="2"/>
      <charset val="163"/>
    </font>
    <font>
      <sz val="13"/>
      <name val=".VnTime"/>
      <family val="2"/>
    </font>
    <font>
      <b/>
      <u/>
      <sz val="11"/>
      <name val="Times New Roman"/>
      <family val="1"/>
    </font>
    <font>
      <sz val="11"/>
      <name val="Times New Roman"/>
      <family val="1"/>
    </font>
    <font>
      <b/>
      <u/>
      <sz val="12"/>
      <color rgb="FF0000FF"/>
      <name val="Times New Roman"/>
      <family val="1"/>
    </font>
    <font>
      <sz val="11"/>
      <color theme="1"/>
      <name val="Times New Roman"/>
      <family val="1"/>
    </font>
    <font>
      <b/>
      <sz val="11"/>
      <color theme="1"/>
      <name val="Times New Roman"/>
      <family val="1"/>
    </font>
    <font>
      <b/>
      <sz val="16"/>
      <name val="Times New Roman"/>
      <family val="1"/>
    </font>
    <font>
      <sz val="16"/>
      <name val="Times New Roman"/>
      <family val="1"/>
    </font>
    <font>
      <b/>
      <sz val="11"/>
      <color rgb="FF000000"/>
      <name val="Times New Roman"/>
      <family val="1"/>
    </font>
    <font>
      <sz val="11"/>
      <color theme="10"/>
      <name val="Times New Roman"/>
      <family val="2"/>
    </font>
    <font>
      <sz val="11"/>
      <color rgb="FF000000"/>
      <name val="Times New Roman"/>
      <family val="1"/>
    </font>
    <font>
      <i/>
      <sz val="11"/>
      <color rgb="FF000000"/>
      <name val="Times New Roman"/>
      <family val="1"/>
    </font>
    <font>
      <b/>
      <u/>
      <sz val="12"/>
      <color theme="0"/>
      <name val="Times New Roman"/>
      <family val="1"/>
    </font>
    <font>
      <b/>
      <sz val="11"/>
      <color rgb="FFFF0000"/>
      <name val="Times New Roman"/>
      <family val="1"/>
    </font>
    <font>
      <b/>
      <sz val="10"/>
      <color rgb="FFFF0000"/>
      <name val="Times New Roman"/>
      <family val="1"/>
    </font>
    <font>
      <b/>
      <i/>
      <sz val="10"/>
      <color rgb="FFFF0000"/>
      <name val="Times New Roman"/>
      <family val="1"/>
    </font>
    <font>
      <i/>
      <u/>
      <sz val="14"/>
      <color theme="1"/>
      <name val="Times New Roman"/>
      <family val="1"/>
    </font>
    <font>
      <b/>
      <sz val="14"/>
      <color indexed="81"/>
      <name val="Times New Roman"/>
      <family val="1"/>
    </font>
    <font>
      <sz val="14"/>
      <color indexed="81"/>
      <name val="Times New Roman"/>
      <family val="1"/>
    </font>
    <font>
      <i/>
      <sz val="14"/>
      <color rgb="FFFF0000"/>
      <name val="Times New Roman"/>
      <family val="1"/>
    </font>
    <font>
      <sz val="14"/>
      <color indexed="8"/>
      <name val="Times New Roman"/>
      <family val="1"/>
    </font>
    <font>
      <i/>
      <sz val="11"/>
      <color rgb="FF0000FF"/>
      <name val="Times New Roman"/>
      <family val="1"/>
    </font>
    <font>
      <i/>
      <sz val="11"/>
      <color rgb="FFFF0000"/>
      <name val="Times New Roman"/>
      <family val="1"/>
    </font>
    <font>
      <b/>
      <sz val="12"/>
      <color theme="10"/>
      <name val="Times New Roman"/>
      <family val="1"/>
    </font>
    <font>
      <b/>
      <sz val="12"/>
      <color rgb="FFFFC000"/>
      <name val="Times New Roman"/>
      <family val="1"/>
    </font>
    <font>
      <sz val="9"/>
      <name val="Times New Roman"/>
      <family val="1"/>
    </font>
    <font>
      <b/>
      <sz val="9"/>
      <name val="Times New Roman"/>
      <family val="1"/>
    </font>
    <font>
      <b/>
      <sz val="8"/>
      <name val="Times New Roman"/>
      <family val="1"/>
    </font>
    <font>
      <u/>
      <sz val="14"/>
      <color theme="10"/>
      <name val="Times New Roman"/>
      <family val="1"/>
    </font>
    <font>
      <b/>
      <sz val="14"/>
      <color rgb="FFFFFF00"/>
      <name val="Times New Roman"/>
      <family val="1"/>
    </font>
    <font>
      <b/>
      <sz val="14"/>
      <color theme="10"/>
      <name val="Times New Roman"/>
      <family val="1"/>
    </font>
    <font>
      <i/>
      <sz val="14"/>
      <color rgb="FF0000FF"/>
      <name val="Times New Roman"/>
      <family val="1"/>
    </font>
    <font>
      <sz val="14"/>
      <color theme="10"/>
      <name val="Times New Roman"/>
      <family val="1"/>
    </font>
    <font>
      <b/>
      <i/>
      <sz val="14"/>
      <color rgb="FF000000"/>
      <name val="Times New Roman"/>
      <family val="1"/>
    </font>
    <font>
      <b/>
      <sz val="14"/>
      <color rgb="FF000000"/>
      <name val="Times New Roman"/>
      <family val="1"/>
    </font>
    <font>
      <b/>
      <u/>
      <sz val="14"/>
      <color theme="10"/>
      <name val="Times New Roman"/>
      <family val="1"/>
    </font>
    <font>
      <u/>
      <sz val="14"/>
      <color rgb="FF0000FF"/>
      <name val="Times New Roman"/>
      <family val="1"/>
    </font>
    <font>
      <sz val="14"/>
      <color indexed="10"/>
      <name val="Times New Roman"/>
      <family val="1"/>
    </font>
    <font>
      <b/>
      <u val="singleAccounting"/>
      <sz val="14"/>
      <name val="Times New Roman"/>
      <family val="1"/>
    </font>
    <font>
      <b/>
      <u val="singleAccounting"/>
      <sz val="14"/>
      <color rgb="FF0000FF"/>
      <name val="Times New Roman"/>
      <family val="1"/>
    </font>
    <font>
      <b/>
      <i/>
      <sz val="14"/>
      <color rgb="FFFF0000"/>
      <name val="Times New Roman"/>
      <family val="1"/>
    </font>
    <font>
      <sz val="12"/>
      <color rgb="FF000000"/>
      <name val="Times New Roman"/>
      <family val="1"/>
    </font>
    <font>
      <i/>
      <sz val="14"/>
      <color rgb="FF000000"/>
      <name val="Times New Roman"/>
      <family val="1"/>
    </font>
    <font>
      <i/>
      <sz val="12"/>
      <color rgb="FF000000"/>
      <name val="Times New Roman"/>
      <family val="1"/>
    </font>
    <font>
      <sz val="11"/>
      <color rgb="FF000000"/>
      <name val="Calibri"/>
      <family val="2"/>
      <scheme val="minor"/>
    </font>
    <font>
      <sz val="11"/>
      <color indexed="8"/>
      <name val="Times New Roman"/>
      <family val="2"/>
    </font>
    <font>
      <sz val="12"/>
      <color theme="1"/>
      <name val="Times New Roman"/>
      <family val="2"/>
    </font>
    <font>
      <sz val="14"/>
      <color rgb="FF000000"/>
      <name val="Times New Roman"/>
      <family val="1"/>
    </font>
    <font>
      <sz val="12"/>
      <color indexed="8"/>
      <name val="Times New Roman"/>
      <family val="1"/>
    </font>
    <font>
      <b/>
      <i/>
      <sz val="12"/>
      <color indexed="8"/>
      <name val="Times New Roman"/>
      <family val="1"/>
    </font>
    <font>
      <sz val="12"/>
      <color rgb="FF0066CC"/>
      <name val="Times New Roman"/>
      <family val="1"/>
    </font>
  </fonts>
  <fills count="18">
    <fill>
      <patternFill patternType="none"/>
    </fill>
    <fill>
      <patternFill patternType="gray125"/>
    </fill>
    <fill>
      <patternFill patternType="solid">
        <fgColor rgb="FFFFFF00"/>
        <bgColor indexed="64"/>
      </patternFill>
    </fill>
    <fill>
      <patternFill patternType="gray0625"/>
    </fill>
    <fill>
      <patternFill patternType="solid">
        <fgColor theme="0" tint="-4.9989318521683403E-2"/>
        <bgColor indexed="64"/>
      </patternFill>
    </fill>
    <fill>
      <patternFill patternType="solid">
        <fgColor theme="0"/>
        <bgColor indexed="64"/>
      </patternFill>
    </fill>
    <fill>
      <patternFill patternType="solid">
        <fgColor rgb="FFFFFFFF"/>
        <bgColor indexed="64"/>
      </patternFill>
    </fill>
    <fill>
      <patternFill patternType="solid">
        <fgColor indexed="9"/>
        <bgColor indexed="64"/>
      </patternFill>
    </fill>
    <fill>
      <patternFill patternType="solid">
        <fgColor rgb="FFFF0000"/>
        <bgColor indexed="64"/>
      </patternFill>
    </fill>
    <fill>
      <patternFill patternType="solid">
        <fgColor rgb="FF0000FF"/>
        <bgColor indexed="64"/>
      </patternFill>
    </fill>
    <fill>
      <patternFill patternType="solid">
        <fgColor rgb="FF7030A0"/>
        <bgColor indexed="64"/>
      </patternFill>
    </fill>
    <fill>
      <patternFill patternType="solid">
        <fgColor theme="3" tint="-0.249977111117893"/>
        <bgColor indexed="64"/>
      </patternFill>
    </fill>
    <fill>
      <patternFill patternType="solid">
        <fgColor rgb="FF92D050"/>
        <bgColor indexed="64"/>
      </patternFill>
    </fill>
    <fill>
      <patternFill patternType="gray0625">
        <bgColor auto="1"/>
      </patternFill>
    </fill>
    <fill>
      <patternFill patternType="solid">
        <fgColor theme="2"/>
        <bgColor indexed="64"/>
      </patternFill>
    </fill>
    <fill>
      <patternFill patternType="mediumGray"/>
    </fill>
    <fill>
      <patternFill patternType="solid">
        <fgColor indexed="65"/>
        <bgColor indexed="64"/>
      </patternFill>
    </fill>
    <fill>
      <patternFill patternType="solid">
        <fgColor theme="8" tint="0.79998168889431442"/>
        <bgColor indexed="64"/>
      </patternFill>
    </fill>
  </fills>
  <borders count="15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right style="thin">
        <color indexed="64"/>
      </right>
      <top style="hair">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thin">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right style="thin">
        <color indexed="64"/>
      </right>
      <top/>
      <bottom style="hair">
        <color indexed="64"/>
      </bottom>
      <diagonal/>
    </border>
    <border>
      <left style="thin">
        <color indexed="64"/>
      </left>
      <right style="medium">
        <color indexed="64"/>
      </right>
      <top style="hair">
        <color indexed="64"/>
      </top>
      <bottom style="thin">
        <color indexed="64"/>
      </bottom>
      <diagonal/>
    </border>
    <border>
      <left style="thin">
        <color indexed="64"/>
      </left>
      <right/>
      <top style="thin">
        <color indexed="64"/>
      </top>
      <bottom/>
      <diagonal/>
    </border>
    <border>
      <left style="medium">
        <color indexed="64"/>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diagonal/>
    </border>
    <border>
      <left/>
      <right style="medium">
        <color indexed="64"/>
      </right>
      <top/>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hair">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style="thin">
        <color rgb="FF000000"/>
      </bottom>
      <diagonal/>
    </border>
    <border>
      <left/>
      <right/>
      <top/>
      <bottom style="thin">
        <color rgb="FF000000"/>
      </bottom>
      <diagonal/>
    </border>
    <border>
      <left/>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top style="thin">
        <color indexed="64"/>
      </top>
      <bottom/>
      <diagonal/>
    </border>
    <border>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style="medium">
        <color indexed="64"/>
      </right>
      <top style="hair">
        <color indexed="64"/>
      </top>
      <bottom/>
      <diagonal/>
    </border>
    <border>
      <left style="thin">
        <color indexed="64"/>
      </left>
      <right/>
      <top style="thin">
        <color indexed="64"/>
      </top>
      <bottom style="hair">
        <color indexed="64"/>
      </bottom>
      <diagonal/>
    </border>
    <border>
      <left/>
      <right style="medium">
        <color indexed="64"/>
      </right>
      <top style="hair">
        <color indexed="64"/>
      </top>
      <bottom style="hair">
        <color indexed="64"/>
      </bottom>
      <diagonal/>
    </border>
    <border>
      <left style="medium">
        <color rgb="FF0000FF"/>
      </left>
      <right style="thin">
        <color rgb="FF0000FF"/>
      </right>
      <top style="medium">
        <color rgb="FF0000FF"/>
      </top>
      <bottom style="medium">
        <color rgb="FF0000FF"/>
      </bottom>
      <diagonal/>
    </border>
    <border>
      <left style="thin">
        <color rgb="FF0000FF"/>
      </left>
      <right style="thin">
        <color rgb="FF0000FF"/>
      </right>
      <top style="medium">
        <color rgb="FF0000FF"/>
      </top>
      <bottom style="medium">
        <color rgb="FF0000FF"/>
      </bottom>
      <diagonal/>
    </border>
    <border>
      <left style="thin">
        <color rgb="FF0000FF"/>
      </left>
      <right style="medium">
        <color rgb="FF0000FF"/>
      </right>
      <top style="medium">
        <color rgb="FF0000FF"/>
      </top>
      <bottom style="medium">
        <color rgb="FF0000FF"/>
      </bottom>
      <diagonal/>
    </border>
    <border>
      <left style="medium">
        <color rgb="FF0000FF"/>
      </left>
      <right style="thin">
        <color rgb="FF0000FF"/>
      </right>
      <top/>
      <bottom style="hair">
        <color rgb="FF0000FF"/>
      </bottom>
      <diagonal/>
    </border>
    <border>
      <left style="thin">
        <color rgb="FF0000FF"/>
      </left>
      <right style="thin">
        <color rgb="FF0000FF"/>
      </right>
      <top/>
      <bottom style="hair">
        <color rgb="FF0000FF"/>
      </bottom>
      <diagonal/>
    </border>
    <border>
      <left style="thin">
        <color rgb="FF0000FF"/>
      </left>
      <right style="medium">
        <color rgb="FF0000FF"/>
      </right>
      <top/>
      <bottom style="hair">
        <color rgb="FF0000FF"/>
      </bottom>
      <diagonal/>
    </border>
    <border>
      <left style="medium">
        <color rgb="FF0000FF"/>
      </left>
      <right style="thin">
        <color rgb="FF0000FF"/>
      </right>
      <top style="hair">
        <color rgb="FF0000FF"/>
      </top>
      <bottom style="hair">
        <color rgb="FF0000FF"/>
      </bottom>
      <diagonal/>
    </border>
    <border>
      <left style="thin">
        <color rgb="FF0000FF"/>
      </left>
      <right style="thin">
        <color rgb="FF0000FF"/>
      </right>
      <top style="hair">
        <color rgb="FF0000FF"/>
      </top>
      <bottom style="hair">
        <color rgb="FF0000FF"/>
      </bottom>
      <diagonal/>
    </border>
    <border>
      <left style="thin">
        <color rgb="FF0000FF"/>
      </left>
      <right style="medium">
        <color rgb="FF0000FF"/>
      </right>
      <top style="hair">
        <color rgb="FF0000FF"/>
      </top>
      <bottom style="hair">
        <color rgb="FF0000FF"/>
      </bottom>
      <diagonal/>
    </border>
    <border>
      <left style="medium">
        <color rgb="FF0000FF"/>
      </left>
      <right style="thin">
        <color rgb="FF0000FF"/>
      </right>
      <top style="hair">
        <color rgb="FF0000FF"/>
      </top>
      <bottom style="medium">
        <color rgb="FF0000FF"/>
      </bottom>
      <diagonal/>
    </border>
    <border>
      <left style="thin">
        <color rgb="FF0000FF"/>
      </left>
      <right style="thin">
        <color rgb="FF0000FF"/>
      </right>
      <top style="hair">
        <color rgb="FF0000FF"/>
      </top>
      <bottom style="medium">
        <color rgb="FF0000FF"/>
      </bottom>
      <diagonal/>
    </border>
    <border>
      <left style="thin">
        <color rgb="FF0000FF"/>
      </left>
      <right style="medium">
        <color rgb="FF0000FF"/>
      </right>
      <top style="hair">
        <color rgb="FF0000FF"/>
      </top>
      <bottom style="medium">
        <color rgb="FF0000FF"/>
      </bottom>
      <diagonal/>
    </border>
    <border>
      <left style="medium">
        <color indexed="64"/>
      </left>
      <right style="thin">
        <color indexed="64"/>
      </right>
      <top style="hair">
        <color indexed="64"/>
      </top>
      <bottom/>
      <diagonal/>
    </border>
    <border>
      <left/>
      <right style="thin">
        <color indexed="64"/>
      </right>
      <top style="hair">
        <color indexed="64"/>
      </top>
      <bottom style="medium">
        <color indexed="64"/>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thin">
        <color indexed="64"/>
      </right>
      <top/>
      <bottom/>
      <diagonal/>
    </border>
    <border>
      <left/>
      <right style="double">
        <color indexed="64"/>
      </right>
      <top style="thin">
        <color indexed="64"/>
      </top>
      <bottom style="thin">
        <color indexed="64"/>
      </bottom>
      <diagonal/>
    </border>
    <border>
      <left style="double">
        <color indexed="64"/>
      </left>
      <right style="thin">
        <color indexed="64"/>
      </right>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left style="double">
        <color indexed="64"/>
      </left>
      <right style="thin">
        <color indexed="64"/>
      </right>
      <top style="hair">
        <color indexed="64"/>
      </top>
      <bottom style="hair">
        <color indexed="64"/>
      </bottom>
      <diagonal/>
    </border>
    <border>
      <left style="thin">
        <color indexed="64"/>
      </left>
      <right style="double">
        <color indexed="64"/>
      </right>
      <top style="hair">
        <color indexed="64"/>
      </top>
      <bottom style="hair">
        <color indexed="64"/>
      </bottom>
      <diagonal/>
    </border>
    <border>
      <left/>
      <right style="double">
        <color indexed="64"/>
      </right>
      <top style="hair">
        <color indexed="64"/>
      </top>
      <bottom style="hair">
        <color indexed="64"/>
      </bottom>
      <diagonal/>
    </border>
    <border>
      <left style="double">
        <color indexed="64"/>
      </left>
      <right style="thin">
        <color indexed="64"/>
      </right>
      <top style="hair">
        <color indexed="64"/>
      </top>
      <bottom/>
      <diagonal/>
    </border>
    <border>
      <left style="double">
        <color indexed="64"/>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right style="thin">
        <color indexed="64"/>
      </right>
      <top style="hair">
        <color indexed="64"/>
      </top>
      <bottom style="double">
        <color indexed="64"/>
      </bottom>
      <diagonal/>
    </border>
    <border>
      <left style="thin">
        <color indexed="64"/>
      </left>
      <right style="double">
        <color indexed="64"/>
      </right>
      <top style="hair">
        <color indexed="64"/>
      </top>
      <bottom style="double">
        <color indexed="64"/>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style="hair">
        <color indexed="64"/>
      </top>
      <bottom/>
      <diagonal/>
    </border>
    <border>
      <left/>
      <right/>
      <top style="hair">
        <color indexed="64"/>
      </top>
      <bottom/>
      <diagonal/>
    </border>
    <border>
      <left style="thin">
        <color indexed="64"/>
      </left>
      <right/>
      <top/>
      <bottom style="hair">
        <color indexed="64"/>
      </bottom>
      <diagonal/>
    </border>
    <border>
      <left/>
      <right/>
      <top/>
      <bottom style="hair">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bottom style="hair">
        <color indexed="64"/>
      </bottom>
      <diagonal/>
    </border>
    <border>
      <left style="thin">
        <color indexed="64"/>
      </left>
      <right style="double">
        <color indexed="64"/>
      </right>
      <top/>
      <bottom style="hair">
        <color indexed="64"/>
      </bottom>
      <diagonal/>
    </border>
    <border>
      <left style="thin">
        <color indexed="64"/>
      </left>
      <right style="double">
        <color indexed="64"/>
      </right>
      <top style="hair">
        <color indexed="64"/>
      </top>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style="hair">
        <color indexed="64"/>
      </top>
      <bottom style="double">
        <color indexed="64"/>
      </bottom>
      <diagonal/>
    </border>
    <border>
      <left style="double">
        <color indexed="64"/>
      </left>
      <right style="thin">
        <color indexed="64"/>
      </right>
      <top style="hair">
        <color indexed="64"/>
      </top>
      <bottom style="thin">
        <color indexed="64"/>
      </bottom>
      <diagonal/>
    </border>
    <border>
      <left style="thin">
        <color indexed="64"/>
      </left>
      <right style="double">
        <color indexed="64"/>
      </right>
      <top style="hair">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top/>
      <bottom style="double">
        <color indexed="64"/>
      </bottom>
      <diagonal/>
    </border>
    <border>
      <left style="double">
        <color indexed="64"/>
      </left>
      <right/>
      <top/>
      <bottom/>
      <diagonal/>
    </border>
    <border>
      <left style="medium">
        <color indexed="64"/>
      </left>
      <right style="thin">
        <color indexed="64"/>
      </right>
      <top style="hair">
        <color indexed="64"/>
      </top>
      <bottom style="double">
        <color indexed="64"/>
      </bottom>
      <diagonal/>
    </border>
    <border>
      <left/>
      <right style="double">
        <color indexed="64"/>
      </right>
      <top style="double">
        <color indexed="64"/>
      </top>
      <bottom/>
      <diagonal/>
    </border>
    <border>
      <left/>
      <right style="double">
        <color indexed="64"/>
      </right>
      <top/>
      <bottom/>
      <diagonal/>
    </border>
    <border>
      <left/>
      <right style="double">
        <color indexed="64"/>
      </right>
      <top/>
      <bottom style="thin">
        <color indexed="64"/>
      </bottom>
      <diagonal/>
    </border>
    <border>
      <left/>
      <right style="double">
        <color indexed="64"/>
      </right>
      <top style="thin">
        <color indexed="64"/>
      </top>
      <bottom style="hair">
        <color indexed="64"/>
      </bottom>
      <diagonal/>
    </border>
    <border>
      <left/>
      <right style="double">
        <color indexed="64"/>
      </right>
      <top style="hair">
        <color indexed="64"/>
      </top>
      <bottom style="double">
        <color indexed="64"/>
      </bottom>
      <diagonal/>
    </border>
    <border>
      <left/>
      <right style="double">
        <color indexed="64"/>
      </right>
      <top style="thin">
        <color indexed="64"/>
      </top>
      <bottom/>
      <diagonal/>
    </border>
    <border>
      <left/>
      <right/>
      <top style="double">
        <color indexed="64"/>
      </top>
      <bottom/>
      <diagonal/>
    </border>
    <border>
      <left/>
      <right/>
      <top style="medium">
        <color indexed="64"/>
      </top>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s>
  <cellStyleXfs count="44">
    <xf numFmtId="0" fontId="0" fillId="0" borderId="0"/>
    <xf numFmtId="43" fontId="1" fillId="0" borderId="0" applyFont="0" applyFill="0" applyBorder="0" applyAlignment="0" applyProtection="0"/>
    <xf numFmtId="9" fontId="5" fillId="0" borderId="0" applyFont="0" applyFill="0" applyBorder="0" applyAlignment="0" applyProtection="0"/>
    <xf numFmtId="0" fontId="40" fillId="0" borderId="0"/>
    <xf numFmtId="0" fontId="41" fillId="0" borderId="0"/>
    <xf numFmtId="0" fontId="46" fillId="0" borderId="0"/>
    <xf numFmtId="166" fontId="54" fillId="0" borderId="0" applyFont="0" applyFill="0" applyBorder="0" applyAlignment="0" applyProtection="0"/>
    <xf numFmtId="0" fontId="63" fillId="0" borderId="0"/>
    <xf numFmtId="167" fontId="1" fillId="0" borderId="0" applyFont="0" applyFill="0" applyBorder="0" applyAlignment="0" applyProtection="0"/>
    <xf numFmtId="165" fontId="80" fillId="0" borderId="0" applyFont="0" applyFill="0" applyBorder="0" applyAlignment="0" applyProtection="0"/>
    <xf numFmtId="0" fontId="84" fillId="0" borderId="0"/>
    <xf numFmtId="43" fontId="85" fillId="0" borderId="0" applyFont="0" applyFill="0" applyBorder="0" applyAlignment="0" applyProtection="0"/>
    <xf numFmtId="165" fontId="86" fillId="0" borderId="0" applyFont="0" applyFill="0" applyBorder="0" applyAlignment="0" applyProtection="0"/>
    <xf numFmtId="0" fontId="86" fillId="0" borderId="0"/>
    <xf numFmtId="165" fontId="1" fillId="0" borderId="0" applyFont="0" applyFill="0" applyBorder="0" applyAlignment="0" applyProtection="0"/>
    <xf numFmtId="0" fontId="87" fillId="0" borderId="0" applyNumberFormat="0" applyFill="0" applyBorder="0" applyAlignment="0" applyProtection="0"/>
    <xf numFmtId="165" fontId="63" fillId="0" borderId="0" applyFont="0" applyFill="0" applyBorder="0" applyAlignment="0" applyProtection="0"/>
    <xf numFmtId="0" fontId="103" fillId="0" borderId="0"/>
    <xf numFmtId="0" fontId="46" fillId="0" borderId="0"/>
    <xf numFmtId="0" fontId="114" fillId="0" borderId="0"/>
    <xf numFmtId="0" fontId="114" fillId="0" borderId="0"/>
    <xf numFmtId="0" fontId="41" fillId="0" borderId="0"/>
    <xf numFmtId="0" fontId="63" fillId="0" borderId="0"/>
    <xf numFmtId="43" fontId="1" fillId="0" borderId="0" applyFont="0" applyFill="0" applyBorder="0" applyAlignment="0" applyProtection="0"/>
    <xf numFmtId="165" fontId="63" fillId="0" borderId="0" applyFont="0" applyFill="0" applyBorder="0" applyAlignment="0" applyProtection="0"/>
    <xf numFmtId="0" fontId="46" fillId="0" borderId="0"/>
    <xf numFmtId="43" fontId="63" fillId="0" borderId="0" applyFont="0" applyFill="0" applyBorder="0" applyAlignment="0" applyProtection="0"/>
    <xf numFmtId="0" fontId="92" fillId="0" borderId="0"/>
    <xf numFmtId="0" fontId="1" fillId="0" borderId="0"/>
    <xf numFmtId="0" fontId="1" fillId="0" borderId="0"/>
    <xf numFmtId="0" fontId="1" fillId="0" borderId="0"/>
    <xf numFmtId="0" fontId="1" fillId="0" borderId="0"/>
    <xf numFmtId="0" fontId="158" fillId="0" borderId="0" applyAlignment="0"/>
    <xf numFmtId="0" fontId="1" fillId="0" borderId="0"/>
    <xf numFmtId="0" fontId="1" fillId="0" borderId="0"/>
    <xf numFmtId="43" fontId="159" fillId="0" borderId="0" applyFont="0" applyFill="0" applyBorder="0" applyAlignment="0" applyProtection="0"/>
    <xf numFmtId="0" fontId="160" fillId="0" borderId="0"/>
    <xf numFmtId="0" fontId="160" fillId="0" borderId="0"/>
    <xf numFmtId="43" fontId="1" fillId="0" borderId="0" applyFont="0" applyFill="0" applyBorder="0" applyAlignment="0" applyProtection="0"/>
    <xf numFmtId="0" fontId="38" fillId="0" borderId="0"/>
    <xf numFmtId="43" fontId="80" fillId="0" borderId="0" applyFont="0" applyFill="0" applyBorder="0" applyAlignment="0" applyProtection="0"/>
    <xf numFmtId="0" fontId="1" fillId="0" borderId="0"/>
    <xf numFmtId="0" fontId="1" fillId="0" borderId="0"/>
    <xf numFmtId="0" fontId="7" fillId="0" borderId="0"/>
  </cellStyleXfs>
  <cellXfs count="4805">
    <xf numFmtId="0" fontId="0" fillId="0" borderId="0" xfId="0"/>
    <xf numFmtId="3" fontId="7" fillId="0" borderId="0" xfId="0" applyNumberFormat="1" applyFont="1"/>
    <xf numFmtId="0" fontId="6" fillId="0" borderId="0" xfId="0" applyFont="1"/>
    <xf numFmtId="3" fontId="6" fillId="0" borderId="0" xfId="0" applyNumberFormat="1" applyFont="1"/>
    <xf numFmtId="3" fontId="9" fillId="0" borderId="0" xfId="0" applyNumberFormat="1" applyFont="1"/>
    <xf numFmtId="3" fontId="6" fillId="0" borderId="0" xfId="0" applyNumberFormat="1" applyFont="1" applyAlignment="1">
      <alignment wrapText="1"/>
    </xf>
    <xf numFmtId="3" fontId="6" fillId="0" borderId="4" xfId="0" applyNumberFormat="1" applyFont="1" applyBorder="1" applyAlignment="1">
      <alignment horizontal="center" vertical="center" wrapText="1"/>
    </xf>
    <xf numFmtId="0" fontId="6" fillId="0" borderId="4" xfId="0" applyFont="1" applyBorder="1" applyAlignment="1">
      <alignment horizontal="center" vertical="center" wrapText="1"/>
    </xf>
    <xf numFmtId="3" fontId="6" fillId="0" borderId="4" xfId="0" applyNumberFormat="1" applyFont="1" applyBorder="1" applyAlignment="1">
      <alignment horizontal="center" shrinkToFit="1"/>
    </xf>
    <xf numFmtId="0" fontId="6" fillId="0" borderId="4" xfId="0" applyFont="1" applyBorder="1" applyAlignment="1">
      <alignment horizontal="center" shrinkToFit="1"/>
    </xf>
    <xf numFmtId="168" fontId="7" fillId="0" borderId="5" xfId="0" applyNumberFormat="1" applyFont="1" applyBorder="1" applyAlignment="1">
      <alignment shrinkToFit="1"/>
    </xf>
    <xf numFmtId="3" fontId="7" fillId="0" borderId="5" xfId="0" applyNumberFormat="1" applyFont="1" applyBorder="1" applyAlignment="1">
      <alignment vertical="center" shrinkToFit="1"/>
    </xf>
    <xf numFmtId="3" fontId="7" fillId="0" borderId="5" xfId="0" applyNumberFormat="1" applyFont="1" applyBorder="1" applyAlignment="1">
      <alignment vertical="center" wrapText="1" shrinkToFit="1"/>
    </xf>
    <xf numFmtId="168" fontId="7" fillId="0" borderId="5" xfId="0" applyNumberFormat="1" applyFont="1" applyBorder="1" applyAlignment="1">
      <alignment vertical="center" shrinkToFit="1"/>
    </xf>
    <xf numFmtId="168" fontId="6" fillId="0" borderId="5" xfId="0" applyNumberFormat="1" applyFont="1" applyBorder="1" applyAlignment="1">
      <alignment vertical="center" shrinkToFit="1"/>
    </xf>
    <xf numFmtId="3" fontId="7" fillId="0" borderId="5" xfId="0" applyNumberFormat="1" applyFont="1" applyBorder="1" applyAlignment="1">
      <alignment horizontal="left" shrinkToFit="1"/>
    </xf>
    <xf numFmtId="3" fontId="7" fillId="0" borderId="5" xfId="0" applyNumberFormat="1" applyFont="1" applyBorder="1" applyAlignment="1">
      <alignment shrinkToFit="1"/>
    </xf>
    <xf numFmtId="3" fontId="6" fillId="0" borderId="5" xfId="0" applyNumberFormat="1" applyFont="1" applyBorder="1" applyAlignment="1">
      <alignment vertical="center" shrinkToFit="1"/>
    </xf>
    <xf numFmtId="168" fontId="10" fillId="0" borderId="5" xfId="0" applyNumberFormat="1" applyFont="1" applyBorder="1" applyAlignment="1">
      <alignment vertical="center" shrinkToFit="1"/>
    </xf>
    <xf numFmtId="3" fontId="7" fillId="0" borderId="0" xfId="0" applyNumberFormat="1" applyFont="1" applyAlignment="1">
      <alignment horizontal="centerContinuous"/>
    </xf>
    <xf numFmtId="0" fontId="7" fillId="0" borderId="0" xfId="0" applyFont="1" applyAlignment="1">
      <alignment horizontal="center"/>
    </xf>
    <xf numFmtId="3" fontId="7" fillId="0" borderId="0" xfId="0" applyNumberFormat="1" applyFont="1" applyAlignment="1">
      <alignment horizontal="right"/>
    </xf>
    <xf numFmtId="3" fontId="6" fillId="0" borderId="2" xfId="0" applyNumberFormat="1" applyFont="1" applyBorder="1" applyAlignment="1">
      <alignment horizontal="centerContinuous" wrapText="1"/>
    </xf>
    <xf numFmtId="3" fontId="6" fillId="0" borderId="3" xfId="0" applyNumberFormat="1" applyFont="1" applyBorder="1" applyAlignment="1">
      <alignment horizontal="centerContinuous" wrapText="1"/>
    </xf>
    <xf numFmtId="3" fontId="6" fillId="0" borderId="0" xfId="0" applyNumberFormat="1" applyFont="1" applyAlignment="1">
      <alignment horizontal="center" wrapText="1"/>
    </xf>
    <xf numFmtId="3" fontId="6" fillId="0" borderId="1" xfId="0" applyNumberFormat="1" applyFont="1" applyBorder="1" applyAlignment="1">
      <alignment horizontal="centerContinuous" wrapText="1"/>
    </xf>
    <xf numFmtId="3" fontId="7" fillId="0" borderId="7" xfId="0" applyNumberFormat="1" applyFont="1" applyBorder="1" applyAlignment="1">
      <alignment horizontal="center" vertical="center" shrinkToFit="1"/>
    </xf>
    <xf numFmtId="3" fontId="7" fillId="0" borderId="0" xfId="0" applyNumberFormat="1" applyFont="1" applyAlignment="1">
      <alignment horizontal="center" vertical="center" wrapText="1"/>
    </xf>
    <xf numFmtId="3" fontId="10" fillId="0" borderId="6" xfId="0" applyNumberFormat="1" applyFont="1" applyBorder="1" applyAlignment="1">
      <alignment vertical="center" shrinkToFit="1"/>
    </xf>
    <xf numFmtId="3" fontId="10" fillId="0" borderId="5" xfId="0" applyNumberFormat="1" applyFont="1" applyBorder="1" applyAlignment="1">
      <alignment vertical="center" shrinkToFit="1"/>
    </xf>
    <xf numFmtId="168" fontId="11" fillId="0" borderId="5" xfId="0" applyNumberFormat="1" applyFont="1" applyBorder="1" applyAlignment="1">
      <alignment vertical="center" shrinkToFit="1"/>
    </xf>
    <xf numFmtId="168" fontId="13" fillId="0" borderId="5" xfId="0" applyNumberFormat="1" applyFont="1" applyBorder="1" applyAlignment="1">
      <alignment shrinkToFit="1"/>
    </xf>
    <xf numFmtId="168" fontId="10" fillId="0" borderId="9" xfId="0" applyNumberFormat="1" applyFont="1" applyBorder="1" applyAlignment="1">
      <alignment vertical="center" shrinkToFit="1"/>
    </xf>
    <xf numFmtId="3" fontId="10" fillId="0" borderId="0" xfId="0" applyNumberFormat="1" applyFont="1" applyAlignment="1">
      <alignment vertical="center" wrapText="1"/>
    </xf>
    <xf numFmtId="3" fontId="7" fillId="0" borderId="0" xfId="0" applyNumberFormat="1" applyFont="1" applyAlignment="1">
      <alignment shrinkToFit="1"/>
    </xf>
    <xf numFmtId="9" fontId="7" fillId="0" borderId="0" xfId="2" applyFont="1"/>
    <xf numFmtId="10" fontId="7" fillId="0" borderId="0" xfId="2" applyNumberFormat="1" applyFont="1"/>
    <xf numFmtId="0" fontId="7" fillId="0" borderId="0" xfId="0" applyFont="1"/>
    <xf numFmtId="0" fontId="6" fillId="0" borderId="0" xfId="0" applyFont="1" applyAlignment="1">
      <alignment horizontal="center"/>
    </xf>
    <xf numFmtId="0" fontId="6" fillId="0" borderId="0" xfId="0" applyFont="1" applyAlignment="1">
      <alignment horizontal="right"/>
    </xf>
    <xf numFmtId="0" fontId="10" fillId="0" borderId="4" xfId="0" applyFont="1" applyBorder="1" applyAlignment="1">
      <alignment horizontal="center"/>
    </xf>
    <xf numFmtId="0" fontId="10" fillId="0" borderId="4" xfId="0" applyFont="1" applyBorder="1"/>
    <xf numFmtId="168" fontId="10" fillId="0" borderId="4" xfId="0" applyNumberFormat="1" applyFont="1" applyBorder="1"/>
    <xf numFmtId="0" fontId="14" fillId="0" borderId="0" xfId="0" applyFont="1"/>
    <xf numFmtId="0" fontId="14" fillId="0" borderId="5" xfId="0" applyFont="1" applyBorder="1" applyAlignment="1">
      <alignment shrinkToFit="1"/>
    </xf>
    <xf numFmtId="168" fontId="14" fillId="0" borderId="5" xfId="0" applyNumberFormat="1" applyFont="1" applyBorder="1" applyAlignment="1">
      <alignment shrinkToFit="1"/>
    </xf>
    <xf numFmtId="0" fontId="13" fillId="0" borderId="5" xfId="0" applyFont="1" applyBorder="1" applyAlignment="1">
      <alignment shrinkToFit="1"/>
    </xf>
    <xf numFmtId="0" fontId="13" fillId="0" borderId="0" xfId="0" applyFont="1"/>
    <xf numFmtId="0" fontId="10" fillId="0" borderId="0" xfId="0" applyFont="1"/>
    <xf numFmtId="0" fontId="15" fillId="0" borderId="0" xfId="0" applyFont="1"/>
    <xf numFmtId="168" fontId="14" fillId="0" borderId="0" xfId="0" applyNumberFormat="1" applyFont="1"/>
    <xf numFmtId="168" fontId="1" fillId="0" borderId="5" xfId="0" applyNumberFormat="1" applyFont="1" applyBorder="1" applyAlignment="1">
      <alignment vertical="center" shrinkToFit="1"/>
    </xf>
    <xf numFmtId="168" fontId="16" fillId="0" borderId="5" xfId="0" applyNumberFormat="1" applyFont="1" applyBorder="1" applyAlignment="1">
      <alignment vertical="center" shrinkToFit="1"/>
    </xf>
    <xf numFmtId="168" fontId="17" fillId="0" borderId="5" xfId="0" applyNumberFormat="1" applyFont="1" applyBorder="1" applyAlignment="1">
      <alignment vertical="center" shrinkToFit="1"/>
    </xf>
    <xf numFmtId="168" fontId="7" fillId="0" borderId="0" xfId="0" applyNumberFormat="1" applyFont="1"/>
    <xf numFmtId="169" fontId="7" fillId="0" borderId="0" xfId="1" applyNumberFormat="1" applyFont="1"/>
    <xf numFmtId="3" fontId="12" fillId="0" borderId="5" xfId="0" applyNumberFormat="1" applyFont="1" applyBorder="1" applyAlignment="1">
      <alignment shrinkToFit="1"/>
    </xf>
    <xf numFmtId="3" fontId="24" fillId="0" borderId="0" xfId="0" applyNumberFormat="1" applyFont="1"/>
    <xf numFmtId="169" fontId="7" fillId="0" borderId="0" xfId="0" applyNumberFormat="1" applyFont="1"/>
    <xf numFmtId="168" fontId="12" fillId="0" borderId="5" xfId="0" applyNumberFormat="1" applyFont="1" applyBorder="1" applyAlignment="1">
      <alignment vertical="center" shrinkToFit="1"/>
    </xf>
    <xf numFmtId="3" fontId="6" fillId="0" borderId="0" xfId="0" applyNumberFormat="1" applyFont="1" applyAlignment="1">
      <alignment horizontal="center" vertical="center" wrapText="1"/>
    </xf>
    <xf numFmtId="3" fontId="6" fillId="0" borderId="4" xfId="0" applyNumberFormat="1" applyFont="1" applyBorder="1" applyAlignment="1">
      <alignment horizontal="center" vertical="center"/>
    </xf>
    <xf numFmtId="3" fontId="7" fillId="0" borderId="15" xfId="0" applyNumberFormat="1" applyFont="1" applyBorder="1" applyAlignment="1">
      <alignment horizontal="center" vertical="center" shrinkToFit="1"/>
    </xf>
    <xf numFmtId="168" fontId="7" fillId="0" borderId="21" xfId="0" applyNumberFormat="1" applyFont="1" applyBorder="1" applyAlignment="1">
      <alignment shrinkToFit="1"/>
    </xf>
    <xf numFmtId="168" fontId="13" fillId="0" borderId="21" xfId="0" applyNumberFormat="1" applyFont="1" applyBorder="1" applyAlignment="1">
      <alignment shrinkToFit="1"/>
    </xf>
    <xf numFmtId="3" fontId="7" fillId="0" borderId="20" xfId="0" applyNumberFormat="1" applyFont="1" applyBorder="1" applyAlignment="1">
      <alignment horizontal="center" vertical="center" shrinkToFit="1"/>
    </xf>
    <xf numFmtId="169" fontId="14" fillId="0" borderId="0" xfId="1" applyNumberFormat="1" applyFont="1"/>
    <xf numFmtId="169" fontId="13" fillId="0" borderId="0" xfId="0" applyNumberFormat="1" applyFont="1"/>
    <xf numFmtId="9" fontId="7" fillId="0" borderId="0" xfId="2" applyFont="1" applyFill="1" applyBorder="1" applyAlignment="1"/>
    <xf numFmtId="3" fontId="6" fillId="2" borderId="0" xfId="0" applyNumberFormat="1" applyFont="1" applyFill="1" applyAlignment="1">
      <alignment horizontal="center" vertical="center" wrapText="1"/>
    </xf>
    <xf numFmtId="0" fontId="6" fillId="0" borderId="0" xfId="0" applyFont="1" applyAlignment="1">
      <alignment horizontal="center" vertical="center" wrapText="1"/>
    </xf>
    <xf numFmtId="0" fontId="6" fillId="0" borderId="0" xfId="0" applyFont="1" applyAlignment="1">
      <alignment horizontal="center" shrinkToFit="1"/>
    </xf>
    <xf numFmtId="168" fontId="10" fillId="0" borderId="0" xfId="0" applyNumberFormat="1" applyFont="1" applyAlignment="1">
      <alignment shrinkToFit="1"/>
    </xf>
    <xf numFmtId="168" fontId="7" fillId="0" borderId="0" xfId="0" applyNumberFormat="1" applyFont="1" applyAlignment="1">
      <alignment vertical="center" shrinkToFit="1"/>
    </xf>
    <xf numFmtId="168" fontId="24" fillId="0" borderId="0" xfId="0" applyNumberFormat="1" applyFont="1" applyAlignment="1">
      <alignment vertical="center" shrinkToFit="1"/>
    </xf>
    <xf numFmtId="3" fontId="11" fillId="0" borderId="5" xfId="0" applyNumberFormat="1" applyFont="1" applyBorder="1" applyAlignment="1">
      <alignment shrinkToFit="1"/>
    </xf>
    <xf numFmtId="3" fontId="12" fillId="0" borderId="5" xfId="0" applyNumberFormat="1" applyFont="1" applyBorder="1" applyAlignment="1">
      <alignment vertical="center" shrinkToFit="1"/>
    </xf>
    <xf numFmtId="168" fontId="21" fillId="0" borderId="5" xfId="0" applyNumberFormat="1" applyFont="1" applyBorder="1" applyAlignment="1">
      <alignment vertical="center" shrinkToFit="1"/>
    </xf>
    <xf numFmtId="3" fontId="11" fillId="0" borderId="5" xfId="0" applyNumberFormat="1" applyFont="1" applyBorder="1" applyAlignment="1">
      <alignment vertical="center" shrinkToFit="1"/>
    </xf>
    <xf numFmtId="168" fontId="21" fillId="0" borderId="16" xfId="0" applyNumberFormat="1" applyFont="1" applyBorder="1" applyAlignment="1">
      <alignment vertical="center" shrinkToFit="1"/>
    </xf>
    <xf numFmtId="168" fontId="11" fillId="0" borderId="16" xfId="0" applyNumberFormat="1" applyFont="1" applyBorder="1" applyAlignment="1">
      <alignment vertical="center" shrinkToFit="1"/>
    </xf>
    <xf numFmtId="3" fontId="8" fillId="0" borderId="0" xfId="0" applyNumberFormat="1" applyFont="1"/>
    <xf numFmtId="3" fontId="6" fillId="0" borderId="0" xfId="0" applyNumberFormat="1" applyFont="1" applyAlignment="1">
      <alignment horizontal="right"/>
    </xf>
    <xf numFmtId="3" fontId="21" fillId="0" borderId="0" xfId="0" applyNumberFormat="1" applyFont="1" applyAlignment="1">
      <alignment horizontal="center" vertical="center" wrapText="1"/>
    </xf>
    <xf numFmtId="3" fontId="21" fillId="0" borderId="0" xfId="0" applyNumberFormat="1" applyFont="1" applyAlignment="1">
      <alignment vertical="center" shrinkToFit="1"/>
    </xf>
    <xf numFmtId="168" fontId="21" fillId="0" borderId="0" xfId="0" applyNumberFormat="1" applyFont="1" applyAlignment="1">
      <alignment vertical="center" shrinkToFit="1"/>
    </xf>
    <xf numFmtId="168" fontId="21" fillId="0" borderId="0" xfId="1" applyNumberFormat="1" applyFont="1" applyFill="1" applyBorder="1" applyAlignment="1">
      <alignment vertical="center" shrinkToFit="1"/>
    </xf>
    <xf numFmtId="0" fontId="6" fillId="0" borderId="24" xfId="0" applyFont="1" applyBorder="1" applyAlignment="1">
      <alignment horizontal="center" vertical="center"/>
    </xf>
    <xf numFmtId="0" fontId="6" fillId="0" borderId="25" xfId="0" applyFont="1" applyBorder="1" applyAlignment="1">
      <alignment horizontal="center" vertical="center"/>
    </xf>
    <xf numFmtId="0" fontId="10" fillId="0" borderId="22" xfId="0" applyFont="1" applyBorder="1" applyAlignment="1">
      <alignment horizontal="center"/>
    </xf>
    <xf numFmtId="168" fontId="10" fillId="0" borderId="19" xfId="0" applyNumberFormat="1" applyFont="1" applyBorder="1"/>
    <xf numFmtId="0" fontId="14" fillId="0" borderId="20" xfId="0" applyFont="1" applyBorder="1" applyAlignment="1">
      <alignment horizontal="center"/>
    </xf>
    <xf numFmtId="168" fontId="14" fillId="0" borderId="21" xfId="0" applyNumberFormat="1" applyFont="1" applyBorder="1" applyAlignment="1">
      <alignment shrinkToFit="1"/>
    </xf>
    <xf numFmtId="0" fontId="13" fillId="0" borderId="20" xfId="0" applyFont="1" applyBorder="1" applyAlignment="1">
      <alignment horizontal="center"/>
    </xf>
    <xf numFmtId="0" fontId="7" fillId="0" borderId="20" xfId="0" applyFont="1" applyBorder="1" applyAlignment="1">
      <alignment horizontal="center"/>
    </xf>
    <xf numFmtId="0" fontId="10" fillId="0" borderId="26" xfId="0" applyFont="1" applyBorder="1" applyAlignment="1">
      <alignment horizontal="center"/>
    </xf>
    <xf numFmtId="0" fontId="10" fillId="0" borderId="27" xfId="0" applyFont="1" applyBorder="1" applyAlignment="1">
      <alignment horizontal="center"/>
    </xf>
    <xf numFmtId="168" fontId="10" fillId="0" borderId="27" xfId="0" applyNumberFormat="1" applyFont="1" applyBorder="1"/>
    <xf numFmtId="168" fontId="10" fillId="0" borderId="28" xfId="0" applyNumberFormat="1" applyFont="1" applyBorder="1"/>
    <xf numFmtId="169" fontId="10" fillId="0" borderId="0" xfId="0" applyNumberFormat="1" applyFont="1"/>
    <xf numFmtId="168" fontId="28" fillId="0" borderId="21" xfId="0" applyNumberFormat="1" applyFont="1" applyBorder="1" applyAlignment="1">
      <alignment shrinkToFit="1"/>
    </xf>
    <xf numFmtId="9" fontId="21" fillId="0" borderId="0" xfId="2" applyFont="1" applyFill="1" applyBorder="1" applyAlignment="1">
      <alignment vertical="center" shrinkToFit="1"/>
    </xf>
    <xf numFmtId="170" fontId="7" fillId="0" borderId="5" xfId="0" applyNumberFormat="1" applyFont="1" applyBorder="1" applyAlignment="1">
      <alignment vertical="center" shrinkToFit="1"/>
    </xf>
    <xf numFmtId="170" fontId="20" fillId="0" borderId="9" xfId="0" applyNumberFormat="1" applyFont="1" applyBorder="1" applyAlignment="1">
      <alignment vertical="center" shrinkToFit="1"/>
    </xf>
    <xf numFmtId="170" fontId="10" fillId="0" borderId="9" xfId="0" applyNumberFormat="1" applyFont="1" applyBorder="1" applyAlignment="1">
      <alignment vertical="center" shrinkToFit="1"/>
    </xf>
    <xf numFmtId="169" fontId="14" fillId="0" borderId="0" xfId="0" applyNumberFormat="1" applyFont="1"/>
    <xf numFmtId="3" fontId="6" fillId="0" borderId="0" xfId="0" applyNumberFormat="1" applyFont="1" applyAlignment="1">
      <alignment horizontal="centerContinuous" wrapText="1"/>
    </xf>
    <xf numFmtId="3" fontId="7" fillId="0" borderId="0" xfId="0" applyNumberFormat="1" applyFont="1" applyAlignment="1">
      <alignment horizontal="center" vertical="center" shrinkToFit="1"/>
    </xf>
    <xf numFmtId="168" fontId="10" fillId="0" borderId="0" xfId="0" applyNumberFormat="1" applyFont="1" applyAlignment="1">
      <alignment vertical="center" shrinkToFit="1"/>
    </xf>
    <xf numFmtId="168" fontId="10" fillId="0" borderId="6" xfId="0" applyNumberFormat="1" applyFont="1" applyBorder="1" applyAlignment="1">
      <alignment vertical="center" shrinkToFit="1"/>
    </xf>
    <xf numFmtId="170" fontId="10" fillId="0" borderId="6" xfId="0" applyNumberFormat="1" applyFont="1" applyBorder="1" applyAlignment="1">
      <alignment vertical="center" shrinkToFit="1"/>
    </xf>
    <xf numFmtId="170" fontId="10" fillId="0" borderId="5" xfId="0" applyNumberFormat="1" applyFont="1" applyBorder="1" applyAlignment="1">
      <alignment vertical="center" shrinkToFit="1"/>
    </xf>
    <xf numFmtId="3" fontId="10" fillId="0" borderId="0" xfId="0" applyNumberFormat="1" applyFont="1" applyAlignment="1">
      <alignment vertical="center"/>
    </xf>
    <xf numFmtId="9" fontId="10" fillId="0" borderId="0" xfId="2" applyFont="1" applyBorder="1" applyAlignment="1">
      <alignment vertical="center"/>
    </xf>
    <xf numFmtId="168" fontId="21" fillId="2" borderId="6" xfId="0" applyNumberFormat="1" applyFont="1" applyFill="1" applyBorder="1" applyAlignment="1">
      <alignment vertical="center" shrinkToFit="1"/>
    </xf>
    <xf numFmtId="171" fontId="10" fillId="0" borderId="0" xfId="2" applyNumberFormat="1" applyFont="1" applyBorder="1" applyAlignment="1">
      <alignment vertical="center"/>
    </xf>
    <xf numFmtId="168" fontId="21" fillId="2" borderId="5" xfId="0" applyNumberFormat="1" applyFont="1" applyFill="1" applyBorder="1" applyAlignment="1">
      <alignment vertical="center" shrinkToFit="1"/>
    </xf>
    <xf numFmtId="9" fontId="14" fillId="0" borderId="0" xfId="2" applyFont="1" applyFill="1" applyBorder="1" applyAlignment="1"/>
    <xf numFmtId="171" fontId="14" fillId="0" borderId="0" xfId="2" applyNumberFormat="1" applyFont="1" applyFill="1" applyBorder="1" applyAlignment="1"/>
    <xf numFmtId="9" fontId="10" fillId="0" borderId="0" xfId="2" applyFont="1" applyFill="1" applyBorder="1" applyAlignment="1"/>
    <xf numFmtId="171" fontId="10" fillId="0" borderId="0" xfId="2" applyNumberFormat="1" applyFont="1" applyFill="1" applyBorder="1" applyAlignment="1"/>
    <xf numFmtId="168" fontId="33" fillId="0" borderId="0" xfId="0" applyNumberFormat="1" applyFont="1" applyAlignment="1">
      <alignment vertical="center" shrinkToFit="1"/>
    </xf>
    <xf numFmtId="170" fontId="21" fillId="0" borderId="0" xfId="1" applyNumberFormat="1" applyFont="1" applyFill="1" applyBorder="1" applyAlignment="1">
      <alignment vertical="center" shrinkToFit="1"/>
    </xf>
    <xf numFmtId="170" fontId="21" fillId="0" borderId="0" xfId="1" applyNumberFormat="1" applyFont="1" applyFill="1" applyBorder="1" applyAlignment="1">
      <alignment shrinkToFit="1"/>
    </xf>
    <xf numFmtId="172" fontId="10" fillId="0" borderId="0" xfId="2" applyNumberFormat="1" applyFont="1" applyFill="1" applyBorder="1" applyAlignment="1">
      <alignment shrinkToFit="1"/>
    </xf>
    <xf numFmtId="0" fontId="6" fillId="0" borderId="0" xfId="0" applyFont="1" applyAlignment="1">
      <alignment vertical="center" wrapText="1"/>
    </xf>
    <xf numFmtId="168" fontId="6" fillId="0" borderId="0" xfId="0" applyNumberFormat="1" applyFont="1" applyAlignment="1">
      <alignment horizontal="right"/>
    </xf>
    <xf numFmtId="0" fontId="6" fillId="0" borderId="7" xfId="0" applyFont="1" applyBorder="1" applyAlignment="1">
      <alignment horizontal="center" vertical="center"/>
    </xf>
    <xf numFmtId="0" fontId="6" fillId="0" borderId="7" xfId="0" applyFont="1" applyBorder="1" applyAlignment="1">
      <alignment horizontal="center"/>
    </xf>
    <xf numFmtId="0" fontId="6" fillId="0" borderId="4" xfId="0" applyFont="1" applyBorder="1" applyAlignment="1">
      <alignment horizontal="center"/>
    </xf>
    <xf numFmtId="0" fontId="6" fillId="0" borderId="6" xfId="0" applyFont="1" applyBorder="1" applyAlignment="1">
      <alignment vertical="center" shrinkToFit="1"/>
    </xf>
    <xf numFmtId="168" fontId="6" fillId="0" borderId="6" xfId="0" applyNumberFormat="1" applyFont="1" applyBorder="1" applyAlignment="1">
      <alignment vertical="center" shrinkToFit="1"/>
    </xf>
    <xf numFmtId="168" fontId="6" fillId="0" borderId="6" xfId="0" applyNumberFormat="1" applyFont="1" applyBorder="1" applyAlignment="1">
      <alignment vertical="center"/>
    </xf>
    <xf numFmtId="0" fontId="6" fillId="0" borderId="5" xfId="0" applyFont="1" applyBorder="1" applyAlignment="1">
      <alignment horizontal="center" vertical="center"/>
    </xf>
    <xf numFmtId="0" fontId="6" fillId="0" borderId="5" xfId="0" applyFont="1" applyBorder="1" applyAlignment="1">
      <alignment vertical="center" shrinkToFit="1"/>
    </xf>
    <xf numFmtId="168" fontId="6" fillId="0" borderId="5" xfId="0" applyNumberFormat="1" applyFont="1" applyBorder="1" applyAlignment="1">
      <alignment vertical="center"/>
    </xf>
    <xf numFmtId="0" fontId="7" fillId="0" borderId="5" xfId="0" applyFont="1" applyBorder="1" applyAlignment="1">
      <alignment horizontal="center" vertical="center"/>
    </xf>
    <xf numFmtId="0" fontId="7" fillId="0" borderId="5" xfId="0" applyFont="1" applyBorder="1" applyAlignment="1">
      <alignment vertical="center" shrinkToFit="1"/>
    </xf>
    <xf numFmtId="9" fontId="6" fillId="0" borderId="5" xfId="2" applyFont="1" applyBorder="1" applyAlignment="1">
      <alignment vertical="center"/>
    </xf>
    <xf numFmtId="0" fontId="6" fillId="3" borderId="5" xfId="0" applyFont="1" applyFill="1" applyBorder="1" applyAlignment="1">
      <alignment vertical="center" shrinkToFit="1"/>
    </xf>
    <xf numFmtId="168" fontId="6" fillId="3" borderId="5" xfId="0" applyNumberFormat="1" applyFont="1" applyFill="1" applyBorder="1" applyAlignment="1">
      <alignment vertical="center" shrinkToFit="1"/>
    </xf>
    <xf numFmtId="10" fontId="6" fillId="0" borderId="5" xfId="2" applyNumberFormat="1" applyFont="1" applyBorder="1" applyAlignment="1">
      <alignment vertical="center" shrinkToFit="1"/>
    </xf>
    <xf numFmtId="168" fontId="6" fillId="2" borderId="5" xfId="0" applyNumberFormat="1" applyFont="1" applyFill="1" applyBorder="1" applyAlignment="1">
      <alignment vertical="center" shrinkToFit="1"/>
    </xf>
    <xf numFmtId="3" fontId="6" fillId="0" borderId="5" xfId="0" applyNumberFormat="1" applyFont="1" applyBorder="1" applyAlignment="1">
      <alignment vertical="center" wrapText="1"/>
    </xf>
    <xf numFmtId="0" fontId="6" fillId="0" borderId="8" xfId="0" applyFont="1" applyBorder="1" applyAlignment="1">
      <alignment horizontal="center" vertical="center"/>
    </xf>
    <xf numFmtId="168" fontId="6" fillId="0" borderId="8" xfId="0" applyNumberFormat="1" applyFont="1" applyBorder="1" applyAlignment="1">
      <alignment vertical="center" shrinkToFit="1"/>
    </xf>
    <xf numFmtId="169" fontId="7" fillId="0" borderId="0" xfId="1" applyNumberFormat="1" applyFont="1" applyAlignment="1">
      <alignment shrinkToFit="1"/>
    </xf>
    <xf numFmtId="3" fontId="7" fillId="0" borderId="0" xfId="2" applyNumberFormat="1" applyFont="1" applyAlignment="1">
      <alignment shrinkToFit="1"/>
    </xf>
    <xf numFmtId="169" fontId="7" fillId="0" borderId="0" xfId="1" applyNumberFormat="1" applyFont="1" applyAlignment="1">
      <alignment vertical="center" wrapText="1"/>
    </xf>
    <xf numFmtId="43" fontId="7" fillId="0" borderId="0" xfId="1" applyFont="1" applyAlignment="1">
      <alignment vertical="center" wrapText="1"/>
    </xf>
    <xf numFmtId="3" fontId="7" fillId="0" borderId="0" xfId="1" applyNumberFormat="1" applyFont="1" applyAlignment="1">
      <alignment vertical="center" wrapText="1"/>
    </xf>
    <xf numFmtId="169" fontId="7" fillId="0" borderId="0" xfId="1" applyNumberFormat="1" applyFont="1" applyAlignment="1">
      <alignment vertical="center"/>
    </xf>
    <xf numFmtId="0" fontId="7" fillId="0" borderId="0" xfId="0" applyFont="1" applyAlignment="1">
      <alignment horizontal="center" vertical="center"/>
    </xf>
    <xf numFmtId="0" fontId="7" fillId="0" borderId="0" xfId="0" applyFont="1" applyAlignment="1">
      <alignment vertical="center" wrapText="1"/>
    </xf>
    <xf numFmtId="0" fontId="7" fillId="0" borderId="0" xfId="0" applyFont="1" applyAlignment="1">
      <alignment vertical="center"/>
    </xf>
    <xf numFmtId="169" fontId="7" fillId="0" borderId="0" xfId="0" applyNumberFormat="1" applyFont="1" applyAlignment="1">
      <alignment vertical="center"/>
    </xf>
    <xf numFmtId="168" fontId="7" fillId="0" borderId="0" xfId="0" applyNumberFormat="1" applyFont="1" applyAlignment="1">
      <alignment vertical="center"/>
    </xf>
    <xf numFmtId="10" fontId="7" fillId="0" borderId="0" xfId="0" applyNumberFormat="1" applyFont="1"/>
    <xf numFmtId="173" fontId="21" fillId="0" borderId="0" xfId="0" applyNumberFormat="1" applyFont="1" applyAlignment="1">
      <alignment vertical="center" shrinkToFit="1"/>
    </xf>
    <xf numFmtId="0" fontId="6" fillId="0" borderId="30" xfId="0" applyFont="1" applyBorder="1" applyAlignment="1">
      <alignment vertical="center" shrinkToFit="1"/>
    </xf>
    <xf numFmtId="174" fontId="7" fillId="0" borderId="0" xfId="0" applyNumberFormat="1" applyFont="1" applyAlignment="1">
      <alignment shrinkToFit="1"/>
    </xf>
    <xf numFmtId="3" fontId="13" fillId="0" borderId="0" xfId="0" applyNumberFormat="1" applyFont="1"/>
    <xf numFmtId="171" fontId="7" fillId="0" borderId="0" xfId="2" applyNumberFormat="1" applyFont="1"/>
    <xf numFmtId="4" fontId="7" fillId="0" borderId="0" xfId="0" applyNumberFormat="1" applyFont="1"/>
    <xf numFmtId="168" fontId="20" fillId="0" borderId="0" xfId="0" applyNumberFormat="1" applyFont="1" applyAlignment="1">
      <alignment vertical="center" shrinkToFit="1"/>
    </xf>
    <xf numFmtId="3" fontId="7" fillId="0" borderId="0" xfId="0" applyNumberFormat="1" applyFont="1" applyAlignment="1">
      <alignment vertical="center" wrapText="1"/>
    </xf>
    <xf numFmtId="3" fontId="7" fillId="0" borderId="0" xfId="0" applyNumberFormat="1" applyFont="1" applyAlignment="1">
      <alignment vertical="center"/>
    </xf>
    <xf numFmtId="3" fontId="10" fillId="0" borderId="5" xfId="0" applyNumberFormat="1" applyFont="1" applyBorder="1" applyAlignment="1">
      <alignment horizontal="center" vertical="center" shrinkToFit="1"/>
    </xf>
    <xf numFmtId="3" fontId="7" fillId="0" borderId="5" xfId="0" applyNumberFormat="1" applyFont="1" applyBorder="1" applyAlignment="1">
      <alignment horizontal="center" vertical="center" shrinkToFit="1"/>
    </xf>
    <xf numFmtId="3" fontId="10" fillId="0" borderId="8" xfId="0" applyNumberFormat="1" applyFont="1" applyBorder="1" applyAlignment="1">
      <alignment vertical="center" shrinkToFit="1"/>
    </xf>
    <xf numFmtId="3" fontId="18" fillId="0" borderId="1" xfId="0" applyNumberFormat="1" applyFont="1" applyBorder="1" applyAlignment="1">
      <alignment horizontal="centerContinuous" wrapText="1"/>
    </xf>
    <xf numFmtId="3" fontId="18" fillId="0" borderId="2" xfId="0" applyNumberFormat="1" applyFont="1" applyBorder="1" applyAlignment="1">
      <alignment horizontal="centerContinuous" wrapText="1"/>
    </xf>
    <xf numFmtId="3" fontId="18" fillId="0" borderId="3" xfId="0" applyNumberFormat="1" applyFont="1" applyBorder="1" applyAlignment="1">
      <alignment horizontal="centerContinuous" wrapText="1"/>
    </xf>
    <xf numFmtId="3" fontId="18" fillId="0" borderId="4" xfId="0" applyNumberFormat="1" applyFont="1" applyBorder="1" applyAlignment="1">
      <alignment horizontal="center" vertical="center" wrapText="1"/>
    </xf>
    <xf numFmtId="3" fontId="6" fillId="0" borderId="5" xfId="0" applyNumberFormat="1" applyFont="1" applyBorder="1" applyAlignment="1">
      <alignment horizontal="center" vertical="center" shrinkToFit="1"/>
    </xf>
    <xf numFmtId="168" fontId="6" fillId="0" borderId="0" xfId="0" applyNumberFormat="1" applyFont="1" applyAlignment="1">
      <alignment vertical="center" shrinkToFit="1"/>
    </xf>
    <xf numFmtId="170" fontId="6" fillId="0" borderId="5" xfId="0" applyNumberFormat="1" applyFont="1" applyBorder="1" applyAlignment="1">
      <alignment vertical="center" shrinkToFit="1"/>
    </xf>
    <xf numFmtId="168" fontId="21" fillId="0" borderId="6" xfId="0" applyNumberFormat="1" applyFont="1" applyBorder="1" applyAlignment="1">
      <alignment vertical="center" shrinkToFit="1"/>
    </xf>
    <xf numFmtId="170" fontId="21" fillId="0" borderId="6" xfId="0" applyNumberFormat="1" applyFont="1" applyBorder="1" applyAlignment="1">
      <alignment vertical="center" shrinkToFit="1"/>
    </xf>
    <xf numFmtId="170" fontId="21" fillId="0" borderId="5" xfId="0" applyNumberFormat="1" applyFont="1" applyBorder="1" applyAlignment="1">
      <alignment vertical="center" shrinkToFit="1"/>
    </xf>
    <xf numFmtId="170" fontId="11" fillId="0" borderId="5" xfId="0" applyNumberFormat="1" applyFont="1" applyBorder="1" applyAlignment="1">
      <alignment vertical="center" shrinkToFit="1"/>
    </xf>
    <xf numFmtId="170" fontId="21" fillId="0" borderId="9" xfId="0" applyNumberFormat="1" applyFont="1" applyBorder="1" applyAlignment="1">
      <alignment vertical="center" shrinkToFit="1"/>
    </xf>
    <xf numFmtId="3" fontId="12" fillId="0" borderId="4" xfId="0" applyNumberFormat="1" applyFont="1" applyBorder="1" applyAlignment="1">
      <alignment horizontal="center" vertical="center" wrapText="1"/>
    </xf>
    <xf numFmtId="168" fontId="35" fillId="0" borderId="5" xfId="0" applyNumberFormat="1" applyFont="1" applyBorder="1" applyAlignment="1">
      <alignment vertical="center" shrinkToFit="1"/>
    </xf>
    <xf numFmtId="168" fontId="30" fillId="0" borderId="5" xfId="0" applyNumberFormat="1" applyFont="1" applyBorder="1" applyAlignment="1">
      <alignment vertical="center" shrinkToFit="1"/>
    </xf>
    <xf numFmtId="3" fontId="18" fillId="0" borderId="4" xfId="0" applyNumberFormat="1" applyFont="1" applyBorder="1" applyAlignment="1">
      <alignment horizontal="center" vertical="center"/>
    </xf>
    <xf numFmtId="3" fontId="12" fillId="0" borderId="4" xfId="0" applyNumberFormat="1" applyFont="1" applyBorder="1" applyAlignment="1">
      <alignment horizontal="center" vertical="center"/>
    </xf>
    <xf numFmtId="168" fontId="12" fillId="0" borderId="16" xfId="0" applyNumberFormat="1" applyFont="1" applyBorder="1" applyAlignment="1">
      <alignment vertical="center" shrinkToFit="1"/>
    </xf>
    <xf numFmtId="170" fontId="12" fillId="0" borderId="5" xfId="0" applyNumberFormat="1" applyFont="1" applyBorder="1" applyAlignment="1">
      <alignment vertical="center" shrinkToFit="1"/>
    </xf>
    <xf numFmtId="9" fontId="14" fillId="0" borderId="0" xfId="2" applyFont="1" applyBorder="1" applyAlignment="1">
      <alignment vertical="center"/>
    </xf>
    <xf numFmtId="171" fontId="14" fillId="0" borderId="0" xfId="2" applyNumberFormat="1" applyFont="1" applyBorder="1" applyAlignment="1">
      <alignment vertical="center"/>
    </xf>
    <xf numFmtId="3" fontId="6" fillId="0" borderId="0" xfId="0" applyNumberFormat="1" applyFont="1" applyAlignment="1">
      <alignment vertical="center"/>
    </xf>
    <xf numFmtId="168" fontId="12" fillId="0" borderId="0" xfId="0" applyNumberFormat="1" applyFont="1" applyAlignment="1">
      <alignment vertical="center" shrinkToFit="1"/>
    </xf>
    <xf numFmtId="3" fontId="17" fillId="0" borderId="0" xfId="0" applyNumberFormat="1" applyFont="1" applyAlignment="1">
      <alignment vertical="center"/>
    </xf>
    <xf numFmtId="9" fontId="17" fillId="0" borderId="0" xfId="2" applyFont="1" applyFill="1" applyBorder="1" applyAlignment="1">
      <alignment vertical="center"/>
    </xf>
    <xf numFmtId="9" fontId="6" fillId="0" borderId="5" xfId="2" applyFont="1" applyBorder="1" applyAlignment="1">
      <alignment vertical="center" shrinkToFit="1"/>
    </xf>
    <xf numFmtId="168" fontId="30" fillId="0" borderId="16" xfId="0" applyNumberFormat="1" applyFont="1" applyBorder="1" applyAlignment="1">
      <alignment vertical="center" shrinkToFit="1"/>
    </xf>
    <xf numFmtId="170" fontId="34" fillId="0" borderId="5" xfId="0" applyNumberFormat="1" applyFont="1" applyBorder="1" applyAlignment="1">
      <alignment vertical="center" shrinkToFit="1"/>
    </xf>
    <xf numFmtId="170" fontId="16" fillId="0" borderId="5" xfId="0" applyNumberFormat="1" applyFont="1" applyBorder="1" applyAlignment="1">
      <alignment vertical="center" shrinkToFit="1"/>
    </xf>
    <xf numFmtId="168" fontId="20" fillId="0" borderId="9" xfId="0" applyNumberFormat="1" applyFont="1" applyBorder="1" applyAlignment="1">
      <alignment vertical="center" shrinkToFit="1"/>
    </xf>
    <xf numFmtId="168" fontId="20" fillId="0" borderId="5" xfId="0" applyNumberFormat="1" applyFont="1" applyBorder="1" applyAlignment="1">
      <alignment vertical="center" shrinkToFit="1"/>
    </xf>
    <xf numFmtId="168" fontId="21" fillId="0" borderId="17" xfId="0" applyNumberFormat="1" applyFont="1" applyBorder="1" applyAlignment="1">
      <alignment vertical="center" shrinkToFit="1"/>
    </xf>
    <xf numFmtId="168" fontId="21" fillId="0" borderId="9" xfId="0" applyNumberFormat="1" applyFont="1" applyBorder="1" applyAlignment="1">
      <alignment vertical="center" shrinkToFit="1"/>
    </xf>
    <xf numFmtId="168" fontId="10" fillId="0" borderId="8" xfId="0" applyNumberFormat="1" applyFont="1" applyBorder="1" applyAlignment="1">
      <alignment vertical="center" shrinkToFit="1"/>
    </xf>
    <xf numFmtId="0" fontId="18" fillId="0" borderId="4" xfId="0" applyFont="1" applyBorder="1" applyAlignment="1">
      <alignment horizontal="center" shrinkToFit="1"/>
    </xf>
    <xf numFmtId="3" fontId="18" fillId="0" borderId="4" xfId="0" applyNumberFormat="1" applyFont="1" applyBorder="1" applyAlignment="1">
      <alignment horizontal="center" shrinkToFit="1"/>
    </xf>
    <xf numFmtId="3" fontId="11" fillId="0" borderId="5" xfId="0" applyNumberFormat="1" applyFont="1" applyBorder="1" applyAlignment="1">
      <alignment vertical="center" wrapText="1" shrinkToFit="1"/>
    </xf>
    <xf numFmtId="3" fontId="6" fillId="0" borderId="5" xfId="0" applyNumberFormat="1" applyFont="1" applyBorder="1" applyAlignment="1">
      <alignment wrapText="1" shrinkToFit="1"/>
    </xf>
    <xf numFmtId="3" fontId="12" fillId="0" borderId="5" xfId="0" applyNumberFormat="1" applyFont="1" applyBorder="1" applyAlignment="1">
      <alignment vertical="center" wrapText="1" shrinkToFit="1"/>
    </xf>
    <xf numFmtId="3" fontId="6" fillId="0" borderId="5" xfId="0" applyNumberFormat="1" applyFont="1" applyBorder="1" applyAlignment="1">
      <alignment vertical="center" wrapText="1" shrinkToFit="1"/>
    </xf>
    <xf numFmtId="0" fontId="6" fillId="0" borderId="0" xfId="0" applyFont="1" applyAlignment="1">
      <alignment horizontal="center" vertical="center"/>
    </xf>
    <xf numFmtId="170" fontId="36" fillId="0" borderId="9" xfId="0" applyNumberFormat="1" applyFont="1" applyBorder="1" applyAlignment="1">
      <alignment vertical="center" shrinkToFit="1"/>
    </xf>
    <xf numFmtId="170" fontId="9" fillId="0" borderId="5" xfId="0" applyNumberFormat="1" applyFont="1" applyBorder="1" applyAlignment="1">
      <alignment vertical="center" shrinkToFit="1"/>
    </xf>
    <xf numFmtId="168" fontId="21" fillId="0" borderId="36" xfId="0" applyNumberFormat="1" applyFont="1" applyBorder="1" applyAlignment="1">
      <alignment vertical="center" shrinkToFit="1"/>
    </xf>
    <xf numFmtId="3" fontId="7" fillId="0" borderId="0" xfId="1" applyNumberFormat="1" applyFont="1" applyAlignment="1">
      <alignment shrinkToFit="1"/>
    </xf>
    <xf numFmtId="3" fontId="7" fillId="0" borderId="0" xfId="1" applyNumberFormat="1" applyFont="1" applyAlignment="1">
      <alignment vertical="center" shrinkToFit="1"/>
    </xf>
    <xf numFmtId="176" fontId="21" fillId="4" borderId="0" xfId="0" applyNumberFormat="1" applyFont="1" applyFill="1" applyAlignment="1">
      <alignment vertical="center" shrinkToFit="1"/>
    </xf>
    <xf numFmtId="176" fontId="21" fillId="0" borderId="0" xfId="0" applyNumberFormat="1" applyFont="1" applyAlignment="1">
      <alignment vertical="center" shrinkToFit="1"/>
    </xf>
    <xf numFmtId="177" fontId="7" fillId="0" borderId="0" xfId="0" applyNumberFormat="1" applyFont="1"/>
    <xf numFmtId="3" fontId="42" fillId="0" borderId="0" xfId="0" applyNumberFormat="1" applyFont="1" applyAlignment="1">
      <alignment horizontal="center"/>
    </xf>
    <xf numFmtId="3" fontId="1" fillId="0" borderId="0" xfId="0" applyNumberFormat="1" applyFont="1"/>
    <xf numFmtId="3" fontId="42" fillId="0" borderId="0" xfId="0" applyNumberFormat="1" applyFont="1" applyAlignment="1">
      <alignment horizontal="centerContinuous"/>
    </xf>
    <xf numFmtId="4" fontId="1" fillId="0" borderId="0" xfId="0" applyNumberFormat="1" applyFont="1"/>
    <xf numFmtId="3" fontId="43" fillId="0" borderId="6" xfId="0" applyNumberFormat="1" applyFont="1" applyBorder="1" applyAlignment="1">
      <alignment horizontal="center" shrinkToFit="1"/>
    </xf>
    <xf numFmtId="3" fontId="43" fillId="0" borderId="6" xfId="0" applyNumberFormat="1" applyFont="1" applyBorder="1" applyAlignment="1">
      <alignment shrinkToFit="1"/>
    </xf>
    <xf numFmtId="3" fontId="43" fillId="0" borderId="5" xfId="0" applyNumberFormat="1" applyFont="1" applyBorder="1" applyAlignment="1">
      <alignment shrinkToFit="1"/>
    </xf>
    <xf numFmtId="3" fontId="44" fillId="0" borderId="0" xfId="0" applyNumberFormat="1" applyFont="1"/>
    <xf numFmtId="3" fontId="1" fillId="0" borderId="5" xfId="0" applyNumberFormat="1" applyFont="1" applyBorder="1" applyAlignment="1">
      <alignment shrinkToFit="1"/>
    </xf>
    <xf numFmtId="3" fontId="43" fillId="0" borderId="0" xfId="0" applyNumberFormat="1" applyFont="1"/>
    <xf numFmtId="0" fontId="1" fillId="0" borderId="5" xfId="0" applyFont="1" applyBorder="1" applyAlignment="1">
      <alignment vertical="center" shrinkToFit="1"/>
    </xf>
    <xf numFmtId="9" fontId="1" fillId="0" borderId="0" xfId="2" applyFont="1"/>
    <xf numFmtId="3" fontId="43" fillId="0" borderId="6" xfId="0" applyNumberFormat="1" applyFont="1" applyBorder="1" applyAlignment="1">
      <alignment horizontal="center"/>
    </xf>
    <xf numFmtId="168" fontId="43" fillId="0" borderId="6" xfId="0" applyNumberFormat="1" applyFont="1" applyBorder="1" applyAlignment="1">
      <alignment shrinkToFit="1"/>
    </xf>
    <xf numFmtId="168" fontId="43" fillId="0" borderId="5" xfId="0" applyNumberFormat="1" applyFont="1" applyBorder="1" applyAlignment="1">
      <alignment shrinkToFit="1"/>
    </xf>
    <xf numFmtId="3" fontId="47" fillId="0" borderId="0" xfId="0" applyNumberFormat="1" applyFont="1"/>
    <xf numFmtId="3" fontId="1" fillId="0" borderId="5" xfId="0" applyNumberFormat="1" applyFont="1" applyBorder="1" applyAlignment="1">
      <alignment horizontal="center"/>
    </xf>
    <xf numFmtId="168" fontId="1" fillId="0" borderId="5" xfId="0" applyNumberFormat="1" applyFont="1" applyBorder="1" applyAlignment="1">
      <alignment shrinkToFit="1"/>
    </xf>
    <xf numFmtId="168" fontId="47" fillId="0" borderId="5" xfId="0" applyNumberFormat="1" applyFont="1" applyBorder="1" applyAlignment="1">
      <alignment shrinkToFit="1"/>
    </xf>
    <xf numFmtId="3" fontId="1" fillId="0" borderId="5" xfId="0" applyNumberFormat="1" applyFont="1" applyBorder="1" applyAlignment="1">
      <alignment horizontal="centerContinuous"/>
    </xf>
    <xf numFmtId="174" fontId="1" fillId="0" borderId="5" xfId="0" applyNumberFormat="1" applyFont="1" applyBorder="1" applyAlignment="1">
      <alignment shrinkToFit="1"/>
    </xf>
    <xf numFmtId="3" fontId="49" fillId="0" borderId="5" xfId="0" applyNumberFormat="1" applyFont="1" applyBorder="1" applyAlignment="1">
      <alignment horizontal="centerContinuous"/>
    </xf>
    <xf numFmtId="174" fontId="49" fillId="0" borderId="5" xfId="0" applyNumberFormat="1" applyFont="1" applyBorder="1" applyAlignment="1">
      <alignment shrinkToFit="1"/>
    </xf>
    <xf numFmtId="3" fontId="49" fillId="0" borderId="8" xfId="0" applyNumberFormat="1" applyFont="1" applyBorder="1" applyAlignment="1">
      <alignment horizontal="centerContinuous"/>
    </xf>
    <xf numFmtId="174" fontId="49" fillId="0" borderId="8" xfId="0" applyNumberFormat="1" applyFont="1" applyBorder="1" applyAlignment="1">
      <alignment shrinkToFit="1"/>
    </xf>
    <xf numFmtId="3" fontId="1" fillId="0" borderId="0" xfId="0" applyNumberFormat="1" applyFont="1" applyAlignment="1">
      <alignment horizontal="centerContinuous"/>
    </xf>
    <xf numFmtId="0" fontId="1" fillId="0" borderId="0" xfId="0" applyFont="1"/>
    <xf numFmtId="0" fontId="1" fillId="0" borderId="0" xfId="0" applyFont="1" applyAlignment="1">
      <alignment horizontal="center"/>
    </xf>
    <xf numFmtId="0" fontId="42" fillId="0" borderId="0" xfId="0" applyFont="1" applyAlignment="1">
      <alignment horizontal="right"/>
    </xf>
    <xf numFmtId="0" fontId="42" fillId="0" borderId="0" xfId="0" applyFont="1"/>
    <xf numFmtId="0" fontId="42" fillId="0" borderId="4" xfId="0" applyFont="1" applyBorder="1" applyAlignment="1">
      <alignment horizontal="center" vertical="center" wrapText="1"/>
    </xf>
    <xf numFmtId="0" fontId="37" fillId="0" borderId="4" xfId="0" applyFont="1" applyBorder="1" applyAlignment="1">
      <alignment horizontal="center" vertical="center" wrapText="1"/>
    </xf>
    <xf numFmtId="0" fontId="1" fillId="0" borderId="5" xfId="0" applyFont="1" applyBorder="1" applyAlignment="1">
      <alignment horizontal="center" vertical="center"/>
    </xf>
    <xf numFmtId="38" fontId="1" fillId="0" borderId="5" xfId="0" applyNumberFormat="1" applyFont="1" applyBorder="1" applyAlignment="1">
      <alignment vertical="center" shrinkToFit="1"/>
    </xf>
    <xf numFmtId="0" fontId="1" fillId="0" borderId="8" xfId="0" applyFont="1" applyBorder="1" applyAlignment="1">
      <alignment vertical="center" shrinkToFit="1"/>
    </xf>
    <xf numFmtId="38" fontId="1" fillId="0" borderId="0" xfId="0" applyNumberFormat="1" applyFont="1"/>
    <xf numFmtId="9" fontId="1" fillId="0" borderId="5" xfId="2" applyFont="1" applyFill="1" applyBorder="1" applyAlignment="1">
      <alignment vertical="center" shrinkToFit="1"/>
    </xf>
    <xf numFmtId="0" fontId="42" fillId="0" borderId="0" xfId="0" applyFont="1" applyAlignment="1">
      <alignment horizontal="center" vertical="center" wrapText="1"/>
    </xf>
    <xf numFmtId="0" fontId="42" fillId="0" borderId="4" xfId="0" applyFont="1" applyBorder="1" applyAlignment="1">
      <alignment horizontal="center" vertical="center" shrinkToFit="1"/>
    </xf>
    <xf numFmtId="168" fontId="0" fillId="0" borderId="0" xfId="0" applyNumberFormat="1"/>
    <xf numFmtId="179" fontId="0" fillId="0" borderId="0" xfId="1" applyNumberFormat="1" applyFont="1"/>
    <xf numFmtId="179" fontId="0" fillId="0" borderId="0" xfId="0" applyNumberFormat="1"/>
    <xf numFmtId="0" fontId="42" fillId="0" borderId="0" xfId="0" applyFont="1" applyAlignment="1">
      <alignment horizontal="center" vertical="center"/>
    </xf>
    <xf numFmtId="0" fontId="42" fillId="0" borderId="4" xfId="0" applyFont="1" applyBorder="1" applyAlignment="1">
      <alignment vertical="center" wrapText="1"/>
    </xf>
    <xf numFmtId="0" fontId="42" fillId="0" borderId="5" xfId="0" applyFont="1" applyBorder="1" applyAlignment="1">
      <alignment vertical="center" wrapText="1"/>
    </xf>
    <xf numFmtId="0" fontId="42" fillId="0" borderId="0" xfId="0" applyFont="1" applyAlignment="1">
      <alignment wrapText="1"/>
    </xf>
    <xf numFmtId="0" fontId="42" fillId="0" borderId="4" xfId="0" applyFont="1" applyBorder="1" applyAlignment="1">
      <alignment wrapText="1"/>
    </xf>
    <xf numFmtId="0" fontId="42" fillId="0" borderId="6" xfId="0" applyFont="1" applyBorder="1" applyAlignment="1">
      <alignment horizontal="center" vertical="center" wrapText="1"/>
    </xf>
    <xf numFmtId="0" fontId="1" fillId="0" borderId="6" xfId="0" applyFont="1" applyBorder="1" applyAlignment="1">
      <alignment vertical="center" wrapText="1"/>
    </xf>
    <xf numFmtId="168" fontId="0" fillId="0" borderId="6" xfId="0" applyNumberFormat="1" applyBorder="1" applyAlignment="1">
      <alignment vertical="center" wrapText="1" shrinkToFit="1"/>
    </xf>
    <xf numFmtId="3" fontId="0" fillId="0" borderId="6" xfId="0" applyNumberFormat="1" applyBorder="1" applyAlignment="1">
      <alignment vertical="center" wrapText="1" shrinkToFit="1"/>
    </xf>
    <xf numFmtId="0" fontId="0" fillId="0" borderId="0" xfId="0" applyAlignment="1">
      <alignment vertical="center" wrapText="1"/>
    </xf>
    <xf numFmtId="0" fontId="42" fillId="0" borderId="5" xfId="0" applyFont="1" applyBorder="1" applyAlignment="1">
      <alignment horizontal="center" vertical="center" wrapText="1"/>
    </xf>
    <xf numFmtId="0" fontId="1" fillId="0" borderId="5" xfId="0" applyFont="1" applyBorder="1" applyAlignment="1">
      <alignment vertical="center" wrapText="1"/>
    </xf>
    <xf numFmtId="168" fontId="0" fillId="0" borderId="5" xfId="0" applyNumberFormat="1" applyBorder="1" applyAlignment="1">
      <alignment vertical="center" wrapText="1" shrinkToFit="1"/>
    </xf>
    <xf numFmtId="3" fontId="0" fillId="0" borderId="5" xfId="0" applyNumberFormat="1" applyBorder="1" applyAlignment="1">
      <alignment vertical="center" wrapText="1" shrinkToFit="1"/>
    </xf>
    <xf numFmtId="168" fontId="42" fillId="0" borderId="5" xfId="0" applyNumberFormat="1" applyFont="1" applyBorder="1" applyAlignment="1">
      <alignment vertical="center" wrapText="1" shrinkToFit="1"/>
    </xf>
    <xf numFmtId="3" fontId="42" fillId="0" borderId="5" xfId="0" applyNumberFormat="1" applyFont="1" applyBorder="1" applyAlignment="1">
      <alignment vertical="center" wrapText="1" shrinkToFit="1"/>
    </xf>
    <xf numFmtId="0" fontId="0" fillId="0" borderId="5" xfId="0" applyBorder="1" applyAlignment="1">
      <alignment vertical="center" wrapText="1"/>
    </xf>
    <xf numFmtId="0" fontId="42" fillId="0" borderId="8" xfId="0" applyFont="1" applyBorder="1" applyAlignment="1">
      <alignment horizontal="center" vertical="center" wrapText="1"/>
    </xf>
    <xf numFmtId="0" fontId="42" fillId="0" borderId="8" xfId="0" applyFont="1" applyBorder="1" applyAlignment="1">
      <alignment vertical="center" wrapText="1"/>
    </xf>
    <xf numFmtId="0" fontId="0" fillId="0" borderId="8" xfId="0" applyBorder="1" applyAlignment="1">
      <alignment vertical="center" wrapText="1"/>
    </xf>
    <xf numFmtId="3" fontId="0" fillId="0" borderId="8" xfId="0" applyNumberFormat="1" applyBorder="1" applyAlignment="1">
      <alignment vertical="center" wrapText="1"/>
    </xf>
    <xf numFmtId="0" fontId="0" fillId="0" borderId="4" xfId="0" applyBorder="1" applyAlignment="1">
      <alignment vertical="center" wrapText="1"/>
    </xf>
    <xf numFmtId="169" fontId="0" fillId="0" borderId="4" xfId="1" applyNumberFormat="1" applyFont="1" applyBorder="1" applyAlignment="1">
      <alignment vertical="center" wrapText="1"/>
    </xf>
    <xf numFmtId="0" fontId="42" fillId="0" borderId="4" xfId="0" applyFont="1" applyBorder="1" applyAlignment="1">
      <alignment horizontal="center"/>
    </xf>
    <xf numFmtId="0" fontId="42" fillId="0" borderId="7" xfId="0" applyFont="1" applyBorder="1" applyAlignment="1">
      <alignment horizontal="center" vertical="center" wrapText="1"/>
    </xf>
    <xf numFmtId="0" fontId="42" fillId="0" borderId="0" xfId="0" applyFont="1" applyAlignment="1">
      <alignment horizontal="center"/>
    </xf>
    <xf numFmtId="3" fontId="42" fillId="0" borderId="0" xfId="0" applyNumberFormat="1" applyFont="1" applyAlignment="1">
      <alignment vertical="center" wrapText="1"/>
    </xf>
    <xf numFmtId="3" fontId="42" fillId="0" borderId="0" xfId="0" applyNumberFormat="1" applyFont="1" applyAlignment="1">
      <alignment horizontal="center" vertical="center" wrapText="1"/>
    </xf>
    <xf numFmtId="3" fontId="42" fillId="0" borderId="0" xfId="0" applyNumberFormat="1" applyFont="1"/>
    <xf numFmtId="3" fontId="1" fillId="0" borderId="0" xfId="0" applyNumberFormat="1" applyFont="1" applyAlignment="1">
      <alignment horizontal="center"/>
    </xf>
    <xf numFmtId="3" fontId="55" fillId="0" borderId="0" xfId="0" applyNumberFormat="1" applyFont="1" applyAlignment="1">
      <alignment horizontal="center"/>
    </xf>
    <xf numFmtId="3" fontId="42" fillId="0" borderId="0" xfId="0" applyNumberFormat="1" applyFont="1" applyAlignment="1">
      <alignment horizontal="right"/>
    </xf>
    <xf numFmtId="3" fontId="56" fillId="0" borderId="0" xfId="0" applyNumberFormat="1" applyFont="1" applyAlignment="1">
      <alignment horizontal="right"/>
    </xf>
    <xf numFmtId="3" fontId="55" fillId="0" borderId="0" xfId="0" applyNumberFormat="1" applyFont="1"/>
    <xf numFmtId="3" fontId="42" fillId="0" borderId="0" xfId="0" applyNumberFormat="1" applyFont="1" applyAlignment="1">
      <alignment horizontal="center" wrapText="1"/>
    </xf>
    <xf numFmtId="3" fontId="58" fillId="0" borderId="47" xfId="0" applyNumberFormat="1" applyFont="1" applyBorder="1" applyAlignment="1">
      <alignment horizontal="center" vertical="center" shrinkToFit="1"/>
    </xf>
    <xf numFmtId="3" fontId="58" fillId="0" borderId="11" xfId="0" applyNumberFormat="1" applyFont="1" applyBorder="1" applyAlignment="1">
      <alignment horizontal="center" vertical="center" shrinkToFit="1"/>
    </xf>
    <xf numFmtId="3" fontId="57" fillId="0" borderId="11" xfId="0" applyNumberFormat="1" applyFont="1" applyBorder="1" applyAlignment="1">
      <alignment horizontal="center" vertical="center" shrinkToFit="1"/>
    </xf>
    <xf numFmtId="3" fontId="57" fillId="0" borderId="4" xfId="0" applyNumberFormat="1" applyFont="1" applyBorder="1" applyAlignment="1">
      <alignment horizontal="center" vertical="center" shrinkToFit="1"/>
    </xf>
    <xf numFmtId="3" fontId="58" fillId="0" borderId="0" xfId="0" applyNumberFormat="1" applyFont="1" applyAlignment="1">
      <alignment horizontal="center" vertical="center" shrinkToFit="1"/>
    </xf>
    <xf numFmtId="3" fontId="58" fillId="0" borderId="0" xfId="0" applyNumberFormat="1" applyFont="1" applyAlignment="1">
      <alignment horizontal="center" vertical="center" wrapText="1"/>
    </xf>
    <xf numFmtId="168" fontId="43" fillId="0" borderId="49" xfId="0" applyNumberFormat="1" applyFont="1" applyBorder="1" applyAlignment="1">
      <alignment horizontal="center" vertical="center" wrapText="1" shrinkToFit="1"/>
    </xf>
    <xf numFmtId="168" fontId="43" fillId="0" borderId="6" xfId="0" applyNumberFormat="1" applyFont="1" applyBorder="1" applyAlignment="1">
      <alignment vertical="center" wrapText="1"/>
    </xf>
    <xf numFmtId="38" fontId="59" fillId="0" borderId="6" xfId="0" applyNumberFormat="1" applyFont="1" applyBorder="1" applyAlignment="1">
      <alignment vertical="center" shrinkToFit="1"/>
    </xf>
    <xf numFmtId="10" fontId="59" fillId="0" borderId="6" xfId="2" applyNumberFormat="1" applyFont="1" applyBorder="1" applyAlignment="1">
      <alignment vertical="center" shrinkToFit="1"/>
    </xf>
    <xf numFmtId="38" fontId="43" fillId="0" borderId="6" xfId="0" applyNumberFormat="1" applyFont="1" applyBorder="1" applyAlignment="1">
      <alignment vertical="center" shrinkToFit="1"/>
    </xf>
    <xf numFmtId="9" fontId="43" fillId="0" borderId="6" xfId="2" applyFont="1" applyBorder="1" applyAlignment="1">
      <alignment vertical="center" shrinkToFit="1"/>
    </xf>
    <xf numFmtId="9" fontId="60" fillId="0" borderId="6" xfId="2" applyFont="1" applyBorder="1" applyAlignment="1">
      <alignment vertical="center" shrinkToFit="1"/>
    </xf>
    <xf numFmtId="9" fontId="59" fillId="0" borderId="6" xfId="2" applyFont="1" applyBorder="1" applyAlignment="1">
      <alignment vertical="center" shrinkToFit="1"/>
    </xf>
    <xf numFmtId="9" fontId="57" fillId="0" borderId="6" xfId="2" applyFont="1" applyBorder="1" applyAlignment="1">
      <alignment vertical="center" shrinkToFit="1"/>
    </xf>
    <xf numFmtId="10" fontId="57" fillId="0" borderId="30" xfId="2" applyNumberFormat="1" applyFont="1" applyBorder="1" applyAlignment="1">
      <alignment vertical="center" shrinkToFit="1"/>
    </xf>
    <xf numFmtId="10" fontId="42" fillId="0" borderId="6" xfId="2" applyNumberFormat="1" applyFont="1" applyBorder="1" applyAlignment="1">
      <alignment vertical="center" shrinkToFit="1"/>
    </xf>
    <xf numFmtId="38" fontId="43" fillId="0" borderId="0" xfId="0" applyNumberFormat="1" applyFont="1" applyAlignment="1">
      <alignment vertical="center" shrinkToFit="1"/>
    </xf>
    <xf numFmtId="3" fontId="43" fillId="0" borderId="0" xfId="0" applyNumberFormat="1" applyFont="1" applyAlignment="1">
      <alignment vertical="center"/>
    </xf>
    <xf numFmtId="168" fontId="43" fillId="0" borderId="20" xfId="0" applyNumberFormat="1" applyFont="1" applyBorder="1" applyAlignment="1">
      <alignment horizontal="center" vertical="center" wrapText="1" shrinkToFit="1"/>
    </xf>
    <xf numFmtId="168" fontId="43" fillId="0" borderId="5" xfId="0" applyNumberFormat="1" applyFont="1" applyBorder="1" applyAlignment="1">
      <alignment vertical="center" wrapText="1"/>
    </xf>
    <xf numFmtId="38" fontId="59" fillId="0" borderId="5" xfId="0" applyNumberFormat="1" applyFont="1" applyBorder="1" applyAlignment="1">
      <alignment vertical="center" shrinkToFit="1"/>
    </xf>
    <xf numFmtId="10" fontId="59" fillId="0" borderId="5" xfId="2" applyNumberFormat="1" applyFont="1" applyBorder="1" applyAlignment="1">
      <alignment vertical="center" shrinkToFit="1"/>
    </xf>
    <xf numFmtId="38" fontId="43" fillId="0" borderId="5" xfId="0" applyNumberFormat="1" applyFont="1" applyBorder="1" applyAlignment="1">
      <alignment vertical="center" shrinkToFit="1"/>
    </xf>
    <xf numFmtId="171" fontId="43" fillId="0" borderId="5" xfId="2" applyNumberFormat="1" applyFont="1" applyBorder="1" applyAlignment="1">
      <alignment vertical="center" shrinkToFit="1"/>
    </xf>
    <xf numFmtId="9" fontId="60" fillId="0" borderId="5" xfId="2" applyFont="1" applyBorder="1" applyAlignment="1">
      <alignment vertical="center" shrinkToFit="1"/>
    </xf>
    <xf numFmtId="9" fontId="59" fillId="0" borderId="5" xfId="2" applyFont="1" applyBorder="1" applyAlignment="1">
      <alignment vertical="center" shrinkToFit="1"/>
    </xf>
    <xf numFmtId="10" fontId="57" fillId="0" borderId="5" xfId="2" applyNumberFormat="1" applyFont="1" applyBorder="1" applyAlignment="1">
      <alignment vertical="center" shrinkToFit="1"/>
    </xf>
    <xf numFmtId="171" fontId="42" fillId="0" borderId="5" xfId="2" applyNumberFormat="1" applyFont="1" applyBorder="1" applyAlignment="1">
      <alignment vertical="center" shrinkToFit="1"/>
    </xf>
    <xf numFmtId="168" fontId="42" fillId="0" borderId="20" xfId="0" applyNumberFormat="1" applyFont="1" applyBorder="1" applyAlignment="1">
      <alignment horizontal="center" vertical="center" wrapText="1" shrinkToFit="1"/>
    </xf>
    <xf numFmtId="3" fontId="42" fillId="0" borderId="5" xfId="0" applyNumberFormat="1" applyFont="1" applyBorder="1" applyAlignment="1">
      <alignment vertical="center" shrinkToFit="1"/>
    </xf>
    <xf numFmtId="38" fontId="57" fillId="0" borderId="5" xfId="0" applyNumberFormat="1" applyFont="1" applyBorder="1" applyAlignment="1">
      <alignment vertical="center" shrinkToFit="1"/>
    </xf>
    <xf numFmtId="38" fontId="42" fillId="0" borderId="5" xfId="0" applyNumberFormat="1" applyFont="1" applyBorder="1" applyAlignment="1">
      <alignment vertical="center" shrinkToFit="1"/>
    </xf>
    <xf numFmtId="3" fontId="56" fillId="0" borderId="5" xfId="0" applyNumberFormat="1" applyFont="1" applyBorder="1" applyAlignment="1">
      <alignment vertical="center" shrinkToFit="1"/>
    </xf>
    <xf numFmtId="38" fontId="56" fillId="0" borderId="5" xfId="0" applyNumberFormat="1" applyFont="1" applyBorder="1" applyAlignment="1">
      <alignment vertical="center" shrinkToFit="1"/>
    </xf>
    <xf numFmtId="9" fontId="56" fillId="0" borderId="5" xfId="2" applyFont="1" applyBorder="1" applyAlignment="1">
      <alignment vertical="center" shrinkToFit="1"/>
    </xf>
    <xf numFmtId="38" fontId="56" fillId="0" borderId="5" xfId="0" applyNumberFormat="1" applyFont="1" applyBorder="1" applyAlignment="1">
      <alignment horizontal="right" vertical="center" shrinkToFit="1"/>
    </xf>
    <xf numFmtId="171" fontId="56" fillId="0" borderId="5" xfId="2" applyNumberFormat="1" applyFont="1" applyBorder="1" applyAlignment="1">
      <alignment vertical="center" shrinkToFit="1"/>
    </xf>
    <xf numFmtId="38" fontId="42" fillId="0" borderId="0" xfId="0" applyNumberFormat="1" applyFont="1" applyAlignment="1">
      <alignment vertical="center" shrinkToFit="1"/>
    </xf>
    <xf numFmtId="3" fontId="42" fillId="0" borderId="0" xfId="0" applyNumberFormat="1" applyFont="1" applyAlignment="1">
      <alignment vertical="center"/>
    </xf>
    <xf numFmtId="168" fontId="42" fillId="0" borderId="5" xfId="0" applyNumberFormat="1" applyFont="1" applyBorder="1" applyAlignment="1">
      <alignment vertical="center" shrinkToFit="1"/>
    </xf>
    <xf numFmtId="168" fontId="57" fillId="0" borderId="5" xfId="0" applyNumberFormat="1" applyFont="1" applyBorder="1" applyAlignment="1">
      <alignment vertical="center" shrinkToFit="1"/>
    </xf>
    <xf numFmtId="38" fontId="61" fillId="0" borderId="5" xfId="0" applyNumberFormat="1" applyFont="1" applyBorder="1" applyAlignment="1">
      <alignment vertical="center" shrinkToFit="1"/>
    </xf>
    <xf numFmtId="9" fontId="42" fillId="0" borderId="0" xfId="2" applyFont="1" applyAlignment="1">
      <alignment vertical="center"/>
    </xf>
    <xf numFmtId="3" fontId="56" fillId="0" borderId="5" xfId="2" applyNumberFormat="1" applyFont="1" applyBorder="1" applyAlignment="1">
      <alignment vertical="center" shrinkToFit="1"/>
    </xf>
    <xf numFmtId="10" fontId="42" fillId="0" borderId="0" xfId="2" applyNumberFormat="1" applyFont="1" applyAlignment="1">
      <alignment vertical="center"/>
    </xf>
    <xf numFmtId="10" fontId="56" fillId="0" borderId="5" xfId="2" applyNumberFormat="1" applyFont="1" applyBorder="1" applyAlignment="1">
      <alignment vertical="center" shrinkToFit="1"/>
    </xf>
    <xf numFmtId="168" fontId="43" fillId="0" borderId="8" xfId="0" applyNumberFormat="1" applyFont="1" applyBorder="1" applyAlignment="1">
      <alignment vertical="center" shrinkToFit="1"/>
    </xf>
    <xf numFmtId="38" fontId="43" fillId="0" borderId="8" xfId="0" applyNumberFormat="1" applyFont="1" applyBorder="1" applyAlignment="1">
      <alignment vertical="center" shrinkToFit="1"/>
    </xf>
    <xf numFmtId="38" fontId="60" fillId="0" borderId="5" xfId="0" applyNumberFormat="1" applyFont="1" applyBorder="1" applyAlignment="1">
      <alignment vertical="center" shrinkToFit="1"/>
    </xf>
    <xf numFmtId="168" fontId="43" fillId="0" borderId="11" xfId="0" applyNumberFormat="1" applyFont="1" applyBorder="1" applyAlignment="1">
      <alignment horizontal="center" vertical="center" wrapText="1" shrinkToFit="1"/>
    </xf>
    <xf numFmtId="168" fontId="43" fillId="0" borderId="11" xfId="0" applyNumberFormat="1" applyFont="1" applyBorder="1" applyAlignment="1">
      <alignment vertical="center" shrinkToFit="1"/>
    </xf>
    <xf numFmtId="168" fontId="59" fillId="0" borderId="11" xfId="0" applyNumberFormat="1" applyFont="1" applyBorder="1" applyAlignment="1">
      <alignment vertical="center" shrinkToFit="1"/>
    </xf>
    <xf numFmtId="38" fontId="59" fillId="0" borderId="11" xfId="0" applyNumberFormat="1" applyFont="1" applyBorder="1" applyAlignment="1">
      <alignment vertical="center" shrinkToFit="1"/>
    </xf>
    <xf numFmtId="10" fontId="59" fillId="0" borderId="11" xfId="2" applyNumberFormat="1" applyFont="1" applyBorder="1" applyAlignment="1">
      <alignment vertical="center" shrinkToFit="1"/>
    </xf>
    <xf numFmtId="38" fontId="43" fillId="0" borderId="11" xfId="0" applyNumberFormat="1" applyFont="1" applyBorder="1" applyAlignment="1">
      <alignment vertical="center" shrinkToFit="1"/>
    </xf>
    <xf numFmtId="38" fontId="57" fillId="0" borderId="11" xfId="0" applyNumberFormat="1" applyFont="1" applyBorder="1" applyAlignment="1">
      <alignment vertical="center" shrinkToFit="1"/>
    </xf>
    <xf numFmtId="9" fontId="59" fillId="0" borderId="11" xfId="2" applyFont="1" applyBorder="1" applyAlignment="1">
      <alignment vertical="center" shrinkToFit="1"/>
    </xf>
    <xf numFmtId="38" fontId="57" fillId="0" borderId="30" xfId="0" applyNumberFormat="1" applyFont="1" applyBorder="1" applyAlignment="1">
      <alignment vertical="center" shrinkToFit="1"/>
    </xf>
    <xf numFmtId="168" fontId="47" fillId="0" borderId="11" xfId="0" applyNumberFormat="1" applyFont="1" applyBorder="1" applyAlignment="1">
      <alignment vertical="center" shrinkToFit="1"/>
    </xf>
    <xf numFmtId="9" fontId="47" fillId="0" borderId="11" xfId="2" applyFont="1" applyBorder="1" applyAlignment="1">
      <alignment vertical="center" shrinkToFit="1"/>
    </xf>
    <xf numFmtId="10" fontId="43" fillId="0" borderId="11" xfId="2" applyNumberFormat="1" applyFont="1" applyBorder="1" applyAlignment="1">
      <alignment vertical="center" shrinkToFit="1"/>
    </xf>
    <xf numFmtId="9" fontId="48" fillId="0" borderId="11" xfId="2" applyFont="1" applyBorder="1" applyAlignment="1">
      <alignment vertical="center" shrinkToFit="1"/>
    </xf>
    <xf numFmtId="10" fontId="42" fillId="0" borderId="11" xfId="2" applyNumberFormat="1" applyFont="1" applyBorder="1" applyAlignment="1">
      <alignment vertical="center" shrinkToFit="1"/>
    </xf>
    <xf numFmtId="10" fontId="59" fillId="0" borderId="30" xfId="2" applyNumberFormat="1" applyFont="1" applyBorder="1" applyAlignment="1">
      <alignment vertical="center" shrinkToFit="1"/>
    </xf>
    <xf numFmtId="3" fontId="60" fillId="0" borderId="11" xfId="2" applyNumberFormat="1" applyFont="1" applyBorder="1" applyAlignment="1">
      <alignment vertical="center" shrinkToFit="1"/>
    </xf>
    <xf numFmtId="9" fontId="60" fillId="0" borderId="11" xfId="2" applyFont="1" applyBorder="1" applyAlignment="1">
      <alignment vertical="center" shrinkToFit="1"/>
    </xf>
    <xf numFmtId="38" fontId="60" fillId="0" borderId="11" xfId="0" applyNumberFormat="1" applyFont="1" applyBorder="1" applyAlignment="1">
      <alignment vertical="center" shrinkToFit="1"/>
    </xf>
    <xf numFmtId="38" fontId="57" fillId="0" borderId="11" xfId="0" applyNumberFormat="1" applyFont="1" applyBorder="1" applyAlignment="1">
      <alignment horizontal="right" vertical="center" shrinkToFit="1"/>
    </xf>
    <xf numFmtId="9" fontId="43" fillId="0" borderId="11" xfId="2" applyFont="1" applyBorder="1" applyAlignment="1">
      <alignment vertical="center" shrinkToFit="1"/>
    </xf>
    <xf numFmtId="168" fontId="59" fillId="0" borderId="30" xfId="0" applyNumberFormat="1" applyFont="1" applyBorder="1" applyAlignment="1">
      <alignment horizontal="center" vertical="center" wrapText="1" shrinkToFit="1"/>
    </xf>
    <xf numFmtId="168" fontId="59" fillId="0" borderId="30" xfId="0" applyNumberFormat="1" applyFont="1" applyBorder="1" applyAlignment="1">
      <alignment vertical="center" shrinkToFit="1"/>
    </xf>
    <xf numFmtId="38" fontId="59" fillId="0" borderId="30" xfId="0" applyNumberFormat="1" applyFont="1" applyBorder="1" applyAlignment="1">
      <alignment vertical="center" shrinkToFit="1"/>
    </xf>
    <xf numFmtId="3" fontId="59" fillId="0" borderId="30" xfId="2" applyNumberFormat="1" applyFont="1" applyBorder="1" applyAlignment="1">
      <alignment vertical="center" shrinkToFit="1"/>
    </xf>
    <xf numFmtId="38" fontId="59" fillId="0" borderId="0" xfId="0" applyNumberFormat="1" applyFont="1" applyAlignment="1">
      <alignment vertical="center" shrinkToFit="1"/>
    </xf>
    <xf numFmtId="3" fontId="59" fillId="0" borderId="0" xfId="0" applyNumberFormat="1" applyFont="1"/>
    <xf numFmtId="3" fontId="59" fillId="0" borderId="5" xfId="0" applyNumberFormat="1" applyFont="1" applyBorder="1" applyAlignment="1">
      <alignment horizontal="center" vertical="center" wrapText="1"/>
    </xf>
    <xf numFmtId="3" fontId="59" fillId="0" borderId="5" xfId="0" applyNumberFormat="1" applyFont="1" applyBorder="1" applyAlignment="1">
      <alignment vertical="center"/>
    </xf>
    <xf numFmtId="3" fontId="59" fillId="0" borderId="5" xfId="2" applyNumberFormat="1" applyFont="1" applyBorder="1" applyAlignment="1">
      <alignment vertical="center" shrinkToFit="1"/>
    </xf>
    <xf numFmtId="3" fontId="62" fillId="0" borderId="5" xfId="0" applyNumberFormat="1" applyFont="1" applyBorder="1" applyAlignment="1">
      <alignment horizontal="center" vertical="center" wrapText="1"/>
    </xf>
    <xf numFmtId="3" fontId="62" fillId="0" borderId="5" xfId="0" applyNumberFormat="1" applyFont="1" applyBorder="1" applyAlignment="1">
      <alignment vertical="center"/>
    </xf>
    <xf numFmtId="38" fontId="62" fillId="0" borderId="5" xfId="0" applyNumberFormat="1" applyFont="1" applyBorder="1" applyAlignment="1">
      <alignment vertical="center" shrinkToFit="1"/>
    </xf>
    <xf numFmtId="180" fontId="64" fillId="0" borderId="5" xfId="7" applyNumberFormat="1" applyFont="1" applyBorder="1" applyAlignment="1">
      <alignment shrinkToFit="1"/>
    </xf>
    <xf numFmtId="10" fontId="62" fillId="0" borderId="5" xfId="2" applyNumberFormat="1" applyFont="1" applyBorder="1" applyAlignment="1">
      <alignment vertical="center" shrinkToFit="1"/>
    </xf>
    <xf numFmtId="3" fontId="64" fillId="0" borderId="5" xfId="7" applyNumberFormat="1" applyFont="1" applyBorder="1" applyAlignment="1">
      <alignment shrinkToFit="1"/>
    </xf>
    <xf numFmtId="169" fontId="64" fillId="0" borderId="5" xfId="8" applyNumberFormat="1" applyFont="1" applyFill="1" applyBorder="1" applyAlignment="1">
      <alignment horizontal="center" shrinkToFit="1"/>
    </xf>
    <xf numFmtId="180" fontId="64" fillId="0" borderId="0" xfId="7" applyNumberFormat="1" applyFont="1" applyAlignment="1">
      <alignment shrinkToFit="1"/>
    </xf>
    <xf numFmtId="3" fontId="62" fillId="0" borderId="0" xfId="0" applyNumberFormat="1" applyFont="1"/>
    <xf numFmtId="3" fontId="55" fillId="0" borderId="5" xfId="0" applyNumberFormat="1" applyFont="1" applyBorder="1" applyAlignment="1">
      <alignment horizontal="center" vertical="center" wrapText="1"/>
    </xf>
    <xf numFmtId="0" fontId="52" fillId="0" borderId="5" xfId="0" applyFont="1" applyBorder="1" applyAlignment="1">
      <alignment vertical="center"/>
    </xf>
    <xf numFmtId="3" fontId="52" fillId="0" borderId="5" xfId="0" applyNumberFormat="1" applyFont="1" applyBorder="1" applyAlignment="1">
      <alignment vertical="center" shrinkToFit="1"/>
    </xf>
    <xf numFmtId="180" fontId="52" fillId="0" borderId="5" xfId="5" applyNumberFormat="1" applyFont="1" applyBorder="1" applyAlignment="1">
      <alignment shrinkToFit="1"/>
    </xf>
    <xf numFmtId="10" fontId="55" fillId="0" borderId="5" xfId="2" applyNumberFormat="1" applyFont="1" applyBorder="1" applyAlignment="1">
      <alignment vertical="center" shrinkToFit="1"/>
    </xf>
    <xf numFmtId="180" fontId="52" fillId="0" borderId="5" xfId="8" applyNumberFormat="1" applyFont="1" applyBorder="1" applyAlignment="1">
      <alignment shrinkToFit="1"/>
    </xf>
    <xf numFmtId="3" fontId="55" fillId="0" borderId="5" xfId="2" applyNumberFormat="1" applyFont="1" applyBorder="1" applyAlignment="1">
      <alignment vertical="center" shrinkToFit="1"/>
    </xf>
    <xf numFmtId="169" fontId="52" fillId="0" borderId="5" xfId="8" applyNumberFormat="1" applyFont="1" applyFill="1" applyBorder="1" applyAlignment="1">
      <alignment horizontal="center" shrinkToFit="1"/>
    </xf>
    <xf numFmtId="180" fontId="52" fillId="0" borderId="0" xfId="8" applyNumberFormat="1" applyFont="1" applyBorder="1" applyAlignment="1">
      <alignment shrinkToFit="1"/>
    </xf>
    <xf numFmtId="3" fontId="48" fillId="0" borderId="5" xfId="0" applyNumberFormat="1" applyFont="1" applyBorder="1" applyAlignment="1">
      <alignment horizontal="center" vertical="center" wrapText="1"/>
    </xf>
    <xf numFmtId="0" fontId="65" fillId="0" borderId="5" xfId="0" applyFont="1" applyBorder="1" applyAlignment="1">
      <alignment vertical="center"/>
    </xf>
    <xf numFmtId="38" fontId="48" fillId="0" borderId="5" xfId="0" applyNumberFormat="1" applyFont="1" applyBorder="1" applyAlignment="1">
      <alignment vertical="center" shrinkToFit="1"/>
    </xf>
    <xf numFmtId="180" fontId="65" fillId="0" borderId="5" xfId="5" applyNumberFormat="1" applyFont="1" applyBorder="1" applyAlignment="1">
      <alignment shrinkToFit="1"/>
    </xf>
    <xf numFmtId="10" fontId="48" fillId="0" borderId="5" xfId="2" applyNumberFormat="1" applyFont="1" applyBorder="1" applyAlignment="1">
      <alignment vertical="center" shrinkToFit="1"/>
    </xf>
    <xf numFmtId="180" fontId="65" fillId="0" borderId="5" xfId="8" applyNumberFormat="1" applyFont="1" applyBorder="1" applyAlignment="1">
      <alignment shrinkToFit="1"/>
    </xf>
    <xf numFmtId="169" fontId="65" fillId="0" borderId="5" xfId="8" applyNumberFormat="1" applyFont="1" applyFill="1" applyBorder="1" applyAlignment="1">
      <alignment horizontal="center" shrinkToFit="1"/>
    </xf>
    <xf numFmtId="180" fontId="65" fillId="0" borderId="0" xfId="8" applyNumberFormat="1" applyFont="1" applyBorder="1" applyAlignment="1">
      <alignment shrinkToFit="1"/>
    </xf>
    <xf numFmtId="3" fontId="48" fillId="0" borderId="0" xfId="0" applyNumberFormat="1" applyFont="1"/>
    <xf numFmtId="180" fontId="65" fillId="0" borderId="0" xfId="5" applyNumberFormat="1" applyFont="1" applyAlignment="1">
      <alignment shrinkToFit="1"/>
    </xf>
    <xf numFmtId="180" fontId="52" fillId="0" borderId="0" xfId="5" applyNumberFormat="1" applyFont="1" applyAlignment="1">
      <alignment shrinkToFit="1"/>
    </xf>
    <xf numFmtId="3" fontId="55" fillId="0" borderId="5" xfId="0" applyNumberFormat="1" applyFont="1" applyBorder="1" applyAlignment="1">
      <alignment horizontal="center"/>
    </xf>
    <xf numFmtId="3" fontId="55" fillId="0" borderId="5" xfId="0" applyNumberFormat="1" applyFont="1" applyBorder="1"/>
    <xf numFmtId="181" fontId="55" fillId="0" borderId="5" xfId="1" applyNumberFormat="1" applyFont="1" applyBorder="1"/>
    <xf numFmtId="180" fontId="52" fillId="0" borderId="5" xfId="5" applyNumberFormat="1" applyFont="1" applyBorder="1" applyAlignment="1">
      <alignment vertical="center" shrinkToFit="1"/>
    </xf>
    <xf numFmtId="180" fontId="52" fillId="0" borderId="5" xfId="8" applyNumberFormat="1" applyFont="1" applyBorder="1" applyAlignment="1">
      <alignment vertical="center" shrinkToFit="1"/>
    </xf>
    <xf numFmtId="169" fontId="52" fillId="0" borderId="5" xfId="8" applyNumberFormat="1" applyFont="1" applyFill="1" applyBorder="1" applyAlignment="1">
      <alignment horizontal="center" vertical="center" shrinkToFit="1"/>
    </xf>
    <xf numFmtId="169" fontId="65" fillId="0" borderId="5" xfId="8" applyNumberFormat="1" applyFont="1" applyFill="1" applyBorder="1" applyAlignment="1">
      <alignment horizontal="center" vertical="center" shrinkToFit="1"/>
    </xf>
    <xf numFmtId="180" fontId="52" fillId="0" borderId="0" xfId="8" applyNumberFormat="1" applyFont="1" applyBorder="1" applyAlignment="1">
      <alignment vertical="center" shrinkToFit="1"/>
    </xf>
    <xf numFmtId="171" fontId="55" fillId="0" borderId="0" xfId="2" applyNumberFormat="1" applyFont="1"/>
    <xf numFmtId="9" fontId="55" fillId="0" borderId="0" xfId="2" applyFont="1"/>
    <xf numFmtId="3" fontId="59" fillId="0" borderId="5" xfId="0" applyNumberFormat="1" applyFont="1" applyBorder="1" applyAlignment="1">
      <alignment vertical="center" wrapText="1"/>
    </xf>
    <xf numFmtId="38" fontId="55" fillId="0" borderId="5" xfId="0" applyNumberFormat="1" applyFont="1" applyBorder="1" applyAlignment="1">
      <alignment vertical="center" shrinkToFit="1"/>
    </xf>
    <xf numFmtId="10" fontId="55" fillId="0" borderId="5" xfId="2" applyNumberFormat="1" applyFont="1" applyFill="1" applyBorder="1" applyAlignment="1">
      <alignment vertical="center" shrinkToFit="1"/>
    </xf>
    <xf numFmtId="171" fontId="55" fillId="0" borderId="5" xfId="2" applyNumberFormat="1" applyFont="1" applyBorder="1" applyAlignment="1">
      <alignment vertical="center" shrinkToFit="1"/>
    </xf>
    <xf numFmtId="10" fontId="55" fillId="0" borderId="0" xfId="2" applyNumberFormat="1" applyFont="1" applyBorder="1" applyAlignment="1">
      <alignment vertical="center" shrinkToFit="1"/>
    </xf>
    <xf numFmtId="10" fontId="59" fillId="0" borderId="5" xfId="2" applyNumberFormat="1" applyFont="1" applyFill="1" applyBorder="1" applyAlignment="1">
      <alignment vertical="center" shrinkToFit="1"/>
    </xf>
    <xf numFmtId="10" fontId="59" fillId="0" borderId="0" xfId="2" applyNumberFormat="1" applyFont="1" applyBorder="1" applyAlignment="1">
      <alignment vertical="center" shrinkToFit="1"/>
    </xf>
    <xf numFmtId="10" fontId="66" fillId="0" borderId="5" xfId="2" applyNumberFormat="1" applyFont="1" applyBorder="1" applyAlignment="1">
      <alignment vertical="center" shrinkToFit="1"/>
    </xf>
    <xf numFmtId="171" fontId="57" fillId="0" borderId="5" xfId="2" applyNumberFormat="1" applyFont="1" applyBorder="1" applyAlignment="1">
      <alignment vertical="center" shrinkToFit="1"/>
    </xf>
    <xf numFmtId="168" fontId="59" fillId="0" borderId="5" xfId="0" applyNumberFormat="1" applyFont="1" applyBorder="1" applyAlignment="1">
      <alignment vertical="center" shrinkToFit="1"/>
    </xf>
    <xf numFmtId="169" fontId="59" fillId="0" borderId="5" xfId="1" applyNumberFormat="1" applyFont="1" applyBorder="1" applyAlignment="1">
      <alignment vertical="center" shrinkToFit="1"/>
    </xf>
    <xf numFmtId="169" fontId="59" fillId="0" borderId="5" xfId="1" applyNumberFormat="1" applyFont="1" applyFill="1" applyBorder="1" applyAlignment="1">
      <alignment vertical="center" shrinkToFit="1"/>
    </xf>
    <xf numFmtId="3" fontId="48" fillId="0" borderId="5" xfId="0" applyNumberFormat="1" applyFont="1" applyBorder="1" applyAlignment="1">
      <alignment vertical="center"/>
    </xf>
    <xf numFmtId="9" fontId="66" fillId="0" borderId="5" xfId="2" applyFont="1" applyBorder="1" applyAlignment="1">
      <alignment vertical="center" shrinkToFit="1"/>
    </xf>
    <xf numFmtId="3" fontId="66" fillId="0" borderId="5" xfId="2" applyNumberFormat="1" applyFont="1" applyBorder="1" applyAlignment="1">
      <alignment vertical="center" shrinkToFit="1"/>
    </xf>
    <xf numFmtId="10" fontId="66" fillId="0" borderId="0" xfId="2" applyNumberFormat="1" applyFont="1" applyBorder="1" applyAlignment="1">
      <alignment vertical="center" shrinkToFit="1"/>
    </xf>
    <xf numFmtId="3" fontId="66" fillId="0" borderId="0" xfId="0" applyNumberFormat="1" applyFont="1"/>
    <xf numFmtId="3" fontId="67" fillId="0" borderId="5" xfId="0" applyNumberFormat="1" applyFont="1" applyBorder="1" applyAlignment="1">
      <alignment horizontal="center" vertical="center" wrapText="1"/>
    </xf>
    <xf numFmtId="3" fontId="67" fillId="0" borderId="5" xfId="0" applyNumberFormat="1" applyFont="1" applyBorder="1" applyAlignment="1">
      <alignment vertical="center"/>
    </xf>
    <xf numFmtId="10" fontId="68" fillId="0" borderId="5" xfId="2" applyNumberFormat="1" applyFont="1" applyBorder="1" applyAlignment="1">
      <alignment vertical="center" shrinkToFit="1"/>
    </xf>
    <xf numFmtId="10" fontId="69" fillId="0" borderId="5" xfId="2" applyNumberFormat="1" applyFont="1" applyBorder="1" applyAlignment="1">
      <alignment vertical="center" shrinkToFit="1"/>
    </xf>
    <xf numFmtId="3" fontId="68" fillId="0" borderId="5" xfId="2" applyNumberFormat="1" applyFont="1" applyBorder="1" applyAlignment="1">
      <alignment vertical="center" shrinkToFit="1"/>
    </xf>
    <xf numFmtId="10" fontId="68" fillId="0" borderId="0" xfId="2" applyNumberFormat="1" applyFont="1" applyBorder="1" applyAlignment="1">
      <alignment vertical="center" shrinkToFit="1"/>
    </xf>
    <xf numFmtId="3" fontId="68" fillId="0" borderId="0" xfId="0" applyNumberFormat="1" applyFont="1"/>
    <xf numFmtId="10" fontId="66" fillId="0" borderId="5" xfId="2" applyNumberFormat="1" applyFont="1" applyFill="1" applyBorder="1" applyAlignment="1">
      <alignment vertical="center" shrinkToFit="1"/>
    </xf>
    <xf numFmtId="3" fontId="57" fillId="0" borderId="5" xfId="0" applyNumberFormat="1" applyFont="1" applyBorder="1" applyAlignment="1">
      <alignment vertical="center" shrinkToFit="1"/>
    </xf>
    <xf numFmtId="9" fontId="66" fillId="0" borderId="5" xfId="2" applyFont="1" applyFill="1" applyBorder="1" applyAlignment="1">
      <alignment vertical="center" shrinkToFit="1"/>
    </xf>
    <xf numFmtId="9" fontId="66" fillId="0" borderId="0" xfId="2" applyFont="1" applyBorder="1" applyAlignment="1">
      <alignment vertical="center" shrinkToFit="1"/>
    </xf>
    <xf numFmtId="3" fontId="59" fillId="0" borderId="5" xfId="0" applyNumberFormat="1" applyFont="1" applyBorder="1" applyAlignment="1">
      <alignment vertical="center" shrinkToFit="1"/>
    </xf>
    <xf numFmtId="3" fontId="70" fillId="0" borderId="5" xfId="0" applyNumberFormat="1" applyFont="1" applyBorder="1" applyAlignment="1">
      <alignment horizontal="center" vertical="center" wrapText="1"/>
    </xf>
    <xf numFmtId="3" fontId="70" fillId="0" borderId="5" xfId="0" applyNumberFormat="1" applyFont="1" applyBorder="1" applyAlignment="1">
      <alignment vertical="center"/>
    </xf>
    <xf numFmtId="38" fontId="70" fillId="0" borderId="5" xfId="0" applyNumberFormat="1" applyFont="1" applyBorder="1" applyAlignment="1">
      <alignment vertical="center" shrinkToFit="1"/>
    </xf>
    <xf numFmtId="10" fontId="70" fillId="0" borderId="5" xfId="2" applyNumberFormat="1" applyFont="1" applyFill="1" applyBorder="1" applyAlignment="1">
      <alignment vertical="center" shrinkToFit="1"/>
    </xf>
    <xf numFmtId="10" fontId="70" fillId="0" borderId="5" xfId="2" applyNumberFormat="1" applyFont="1" applyBorder="1" applyAlignment="1">
      <alignment vertical="center" shrinkToFit="1"/>
    </xf>
    <xf numFmtId="3" fontId="70" fillId="0" borderId="5" xfId="0" applyNumberFormat="1" applyFont="1" applyBorder="1" applyAlignment="1">
      <alignment vertical="center" shrinkToFit="1"/>
    </xf>
    <xf numFmtId="38" fontId="70" fillId="0" borderId="0" xfId="0" applyNumberFormat="1" applyFont="1" applyAlignment="1">
      <alignment vertical="center" shrinkToFit="1"/>
    </xf>
    <xf numFmtId="3" fontId="70" fillId="0" borderId="0" xfId="0" applyNumberFormat="1" applyFont="1"/>
    <xf numFmtId="168" fontId="48" fillId="0" borderId="5" xfId="0" applyNumberFormat="1" applyFont="1" applyBorder="1" applyAlignment="1">
      <alignment vertical="center" shrinkToFit="1"/>
    </xf>
    <xf numFmtId="10" fontId="48" fillId="0" borderId="5" xfId="2" applyNumberFormat="1" applyFont="1" applyFill="1" applyBorder="1" applyAlignment="1">
      <alignment vertical="center" shrinkToFit="1"/>
    </xf>
    <xf numFmtId="3" fontId="48" fillId="0" borderId="5" xfId="2" applyNumberFormat="1" applyFont="1" applyBorder="1" applyAlignment="1">
      <alignment vertical="center" shrinkToFit="1"/>
    </xf>
    <xf numFmtId="38" fontId="48" fillId="0" borderId="0" xfId="0" applyNumberFormat="1" applyFont="1" applyAlignment="1">
      <alignment vertical="center" shrinkToFit="1"/>
    </xf>
    <xf numFmtId="9" fontId="59" fillId="0" borderId="5" xfId="2" applyFont="1" applyFill="1" applyBorder="1" applyAlignment="1">
      <alignment vertical="center" shrinkToFit="1"/>
    </xf>
    <xf numFmtId="9" fontId="59" fillId="0" borderId="0" xfId="2" applyFont="1" applyBorder="1" applyAlignment="1">
      <alignment vertical="center" shrinkToFit="1"/>
    </xf>
    <xf numFmtId="3" fontId="55" fillId="0" borderId="5" xfId="0" applyNumberFormat="1" applyFont="1" applyBorder="1" applyAlignment="1">
      <alignment vertical="center"/>
    </xf>
    <xf numFmtId="9" fontId="55" fillId="0" borderId="5" xfId="2" applyFont="1" applyBorder="1" applyAlignment="1">
      <alignment vertical="center" shrinkToFit="1"/>
    </xf>
    <xf numFmtId="3" fontId="57" fillId="0" borderId="5" xfId="0" applyNumberFormat="1" applyFont="1" applyBorder="1" applyAlignment="1">
      <alignment horizontal="center" vertical="center" wrapText="1"/>
    </xf>
    <xf numFmtId="3" fontId="57" fillId="0" borderId="5" xfId="0" applyNumberFormat="1" applyFont="1" applyBorder="1" applyAlignment="1">
      <alignment vertical="center" wrapText="1"/>
    </xf>
    <xf numFmtId="9" fontId="57" fillId="0" borderId="5" xfId="2" applyFont="1" applyBorder="1" applyAlignment="1">
      <alignment vertical="center" shrinkToFit="1"/>
    </xf>
    <xf numFmtId="10" fontId="57" fillId="0" borderId="5" xfId="2" applyNumberFormat="1" applyFont="1" applyFill="1" applyBorder="1" applyAlignment="1">
      <alignment vertical="center" shrinkToFit="1"/>
    </xf>
    <xf numFmtId="3" fontId="57" fillId="0" borderId="5" xfId="2" applyNumberFormat="1" applyFont="1" applyBorder="1" applyAlignment="1">
      <alignment vertical="center" shrinkToFit="1"/>
    </xf>
    <xf numFmtId="10" fontId="57" fillId="0" borderId="0" xfId="2" applyNumberFormat="1" applyFont="1" applyBorder="1" applyAlignment="1">
      <alignment vertical="center" shrinkToFit="1"/>
    </xf>
    <xf numFmtId="3" fontId="57" fillId="0" borderId="0" xfId="0" applyNumberFormat="1" applyFont="1"/>
    <xf numFmtId="3" fontId="57" fillId="0" borderId="5" xfId="0" applyNumberFormat="1" applyFont="1" applyBorder="1" applyAlignment="1">
      <alignment vertical="center"/>
    </xf>
    <xf numFmtId="3" fontId="57" fillId="0" borderId="0" xfId="0" applyNumberFormat="1" applyFont="1" applyAlignment="1">
      <alignment vertical="center" shrinkToFit="1"/>
    </xf>
    <xf numFmtId="9" fontId="48" fillId="0" borderId="5" xfId="2" applyFont="1" applyBorder="1" applyAlignment="1">
      <alignment vertical="center" shrinkToFit="1"/>
    </xf>
    <xf numFmtId="10" fontId="48" fillId="0" borderId="0" xfId="2" applyNumberFormat="1" applyFont="1" applyBorder="1" applyAlignment="1">
      <alignment vertical="center" shrinkToFit="1"/>
    </xf>
    <xf numFmtId="168" fontId="57" fillId="0" borderId="5" xfId="0" applyNumberFormat="1" applyFont="1" applyBorder="1" applyAlignment="1">
      <alignment horizontal="center" vertical="center" wrapText="1" shrinkToFit="1"/>
    </xf>
    <xf numFmtId="3" fontId="71" fillId="0" borderId="5" xfId="0" applyNumberFormat="1" applyFont="1" applyBorder="1" applyAlignment="1">
      <alignment horizontal="center" vertical="center" wrapText="1"/>
    </xf>
    <xf numFmtId="3" fontId="71" fillId="0" borderId="5" xfId="0" applyNumberFormat="1" applyFont="1" applyBorder="1" applyAlignment="1">
      <alignment vertical="center"/>
    </xf>
    <xf numFmtId="9" fontId="71" fillId="0" borderId="5" xfId="2" applyFont="1" applyBorder="1" applyAlignment="1">
      <alignment vertical="center" shrinkToFit="1"/>
    </xf>
    <xf numFmtId="9" fontId="71" fillId="0" borderId="5" xfId="2" applyFont="1" applyFill="1" applyBorder="1" applyAlignment="1">
      <alignment vertical="center" shrinkToFit="1"/>
    </xf>
    <xf numFmtId="10" fontId="71" fillId="0" borderId="5" xfId="2" applyNumberFormat="1" applyFont="1" applyFill="1" applyBorder="1" applyAlignment="1">
      <alignment vertical="center" shrinkToFit="1"/>
    </xf>
    <xf numFmtId="10" fontId="71" fillId="0" borderId="5" xfId="2" applyNumberFormat="1" applyFont="1" applyBorder="1" applyAlignment="1">
      <alignment vertical="center" shrinkToFit="1"/>
    </xf>
    <xf numFmtId="9" fontId="71" fillId="0" borderId="0" xfId="2" applyFont="1" applyBorder="1" applyAlignment="1">
      <alignment vertical="center" shrinkToFit="1"/>
    </xf>
    <xf numFmtId="168" fontId="71" fillId="0" borderId="5" xfId="0" applyNumberFormat="1" applyFont="1" applyBorder="1" applyAlignment="1">
      <alignment horizontal="center" vertical="center" wrapText="1" shrinkToFit="1"/>
    </xf>
    <xf numFmtId="168" fontId="71" fillId="0" borderId="5" xfId="0" applyNumberFormat="1" applyFont="1" applyBorder="1" applyAlignment="1">
      <alignment vertical="center" shrinkToFit="1"/>
    </xf>
    <xf numFmtId="3" fontId="71" fillId="0" borderId="5" xfId="0" applyNumberFormat="1" applyFont="1" applyBorder="1" applyAlignment="1">
      <alignment vertical="center" shrinkToFit="1"/>
    </xf>
    <xf numFmtId="3" fontId="71" fillId="0" borderId="5" xfId="2" applyNumberFormat="1" applyFont="1" applyBorder="1" applyAlignment="1">
      <alignment vertical="center" shrinkToFit="1"/>
    </xf>
    <xf numFmtId="3" fontId="71" fillId="0" borderId="0" xfId="0" applyNumberFormat="1" applyFont="1" applyAlignment="1">
      <alignment vertical="center" shrinkToFit="1"/>
    </xf>
    <xf numFmtId="3" fontId="71" fillId="0" borderId="0" xfId="0" applyNumberFormat="1" applyFont="1"/>
    <xf numFmtId="9" fontId="57" fillId="0" borderId="0" xfId="2" applyFont="1" applyBorder="1" applyAlignment="1">
      <alignment vertical="center" shrinkToFit="1"/>
    </xf>
    <xf numFmtId="3" fontId="55" fillId="0" borderId="5" xfId="0" applyNumberFormat="1" applyFont="1" applyBorder="1" applyAlignment="1">
      <alignment vertical="center" shrinkToFit="1"/>
    </xf>
    <xf numFmtId="3" fontId="42" fillId="0" borderId="5" xfId="0" applyNumberFormat="1" applyFont="1" applyBorder="1" applyAlignment="1">
      <alignment horizontal="center" vertical="center" wrapText="1"/>
    </xf>
    <xf numFmtId="3" fontId="42" fillId="0" borderId="5" xfId="0" applyNumberFormat="1" applyFont="1" applyBorder="1" applyAlignment="1">
      <alignment vertical="center"/>
    </xf>
    <xf numFmtId="10" fontId="42" fillId="0" borderId="5" xfId="2" applyNumberFormat="1" applyFont="1" applyBorder="1" applyAlignment="1">
      <alignment vertical="center" shrinkToFit="1"/>
    </xf>
    <xf numFmtId="9" fontId="42" fillId="0" borderId="5" xfId="2" applyFont="1" applyBorder="1" applyAlignment="1">
      <alignment vertical="center" shrinkToFit="1"/>
    </xf>
    <xf numFmtId="3" fontId="42" fillId="0" borderId="0" xfId="0" applyNumberFormat="1" applyFont="1" applyAlignment="1">
      <alignment vertical="center" shrinkToFit="1"/>
    </xf>
    <xf numFmtId="3" fontId="47" fillId="0" borderId="5" xfId="0" applyNumberFormat="1" applyFont="1" applyBorder="1" applyAlignment="1">
      <alignment horizontal="center" vertical="center" wrapText="1"/>
    </xf>
    <xf numFmtId="3" fontId="47" fillId="0" borderId="5" xfId="0" applyNumberFormat="1" applyFont="1" applyBorder="1" applyAlignment="1">
      <alignment vertical="center"/>
    </xf>
    <xf numFmtId="3" fontId="48" fillId="0" borderId="5" xfId="0" applyNumberFormat="1" applyFont="1" applyBorder="1" applyAlignment="1">
      <alignment vertical="center" shrinkToFit="1"/>
    </xf>
    <xf numFmtId="3" fontId="47" fillId="0" borderId="5" xfId="0" applyNumberFormat="1" applyFont="1" applyBorder="1" applyAlignment="1">
      <alignment vertical="center" shrinkToFit="1"/>
    </xf>
    <xf numFmtId="3" fontId="35" fillId="0" borderId="5" xfId="0" applyNumberFormat="1" applyFont="1" applyBorder="1" applyAlignment="1">
      <alignment vertical="center" shrinkToFit="1"/>
    </xf>
    <xf numFmtId="3" fontId="47" fillId="0" borderId="0" xfId="0" applyNumberFormat="1" applyFont="1" applyAlignment="1">
      <alignment vertical="center" shrinkToFit="1"/>
    </xf>
    <xf numFmtId="10" fontId="42" fillId="0" borderId="5" xfId="2" applyNumberFormat="1" applyFont="1" applyFill="1" applyBorder="1" applyAlignment="1">
      <alignment vertical="center" shrinkToFit="1"/>
    </xf>
    <xf numFmtId="9" fontId="42" fillId="0" borderId="5" xfId="2" applyFont="1" applyFill="1" applyBorder="1" applyAlignment="1">
      <alignment vertical="center" shrinkToFit="1"/>
    </xf>
    <xf numFmtId="3" fontId="1" fillId="0" borderId="5" xfId="0" applyNumberFormat="1" applyFont="1" applyBorder="1" applyAlignment="1">
      <alignment horizontal="center" vertical="center" wrapText="1"/>
    </xf>
    <xf numFmtId="3" fontId="1" fillId="0" borderId="5" xfId="0" applyNumberFormat="1" applyFont="1" applyBorder="1" applyAlignment="1">
      <alignment vertical="center"/>
    </xf>
    <xf numFmtId="10" fontId="1" fillId="0" borderId="5" xfId="2" applyNumberFormat="1" applyFont="1" applyBorder="1" applyAlignment="1">
      <alignment vertical="center" shrinkToFit="1"/>
    </xf>
    <xf numFmtId="3" fontId="35" fillId="0" borderId="5" xfId="2" applyNumberFormat="1" applyFont="1" applyBorder="1" applyAlignment="1">
      <alignment vertical="center" shrinkToFit="1"/>
    </xf>
    <xf numFmtId="10" fontId="35" fillId="0" borderId="5" xfId="2" applyNumberFormat="1" applyFont="1" applyBorder="1" applyAlignment="1">
      <alignment vertical="center" shrinkToFit="1"/>
    </xf>
    <xf numFmtId="10" fontId="1" fillId="0" borderId="0" xfId="2" applyNumberFormat="1" applyFont="1" applyBorder="1" applyAlignment="1">
      <alignment vertical="center" shrinkToFit="1"/>
    </xf>
    <xf numFmtId="3" fontId="72" fillId="0" borderId="0" xfId="0" applyNumberFormat="1" applyFont="1"/>
    <xf numFmtId="3" fontId="1" fillId="0" borderId="5" xfId="0" applyNumberFormat="1" applyFont="1" applyBorder="1" applyAlignment="1">
      <alignment vertical="center" shrinkToFit="1"/>
    </xf>
    <xf numFmtId="10" fontId="47" fillId="0" borderId="5" xfId="2" applyNumberFormat="1" applyFont="1" applyFill="1" applyBorder="1" applyAlignment="1">
      <alignment vertical="center" shrinkToFit="1"/>
    </xf>
    <xf numFmtId="3" fontId="73" fillId="0" borderId="5" xfId="2" applyNumberFormat="1" applyFont="1" applyFill="1" applyBorder="1" applyAlignment="1">
      <alignment vertical="center" shrinkToFit="1"/>
    </xf>
    <xf numFmtId="3" fontId="73" fillId="0" borderId="5" xfId="0" applyNumberFormat="1" applyFont="1" applyBorder="1" applyAlignment="1">
      <alignment vertical="center" shrinkToFit="1"/>
    </xf>
    <xf numFmtId="3" fontId="56" fillId="0" borderId="5" xfId="2" applyNumberFormat="1" applyFont="1" applyFill="1" applyBorder="1" applyAlignment="1">
      <alignment vertical="center" shrinkToFit="1"/>
    </xf>
    <xf numFmtId="3" fontId="42" fillId="0" borderId="8" xfId="0" applyNumberFormat="1" applyFont="1" applyBorder="1" applyAlignment="1">
      <alignment horizontal="center" vertical="center" wrapText="1"/>
    </xf>
    <xf numFmtId="3" fontId="42" fillId="0" borderId="8" xfId="0" applyNumberFormat="1" applyFont="1" applyBorder="1" applyAlignment="1">
      <alignment vertical="center" wrapText="1"/>
    </xf>
    <xf numFmtId="3" fontId="57" fillId="0" borderId="8" xfId="0" applyNumberFormat="1" applyFont="1" applyBorder="1" applyAlignment="1">
      <alignment vertical="center" shrinkToFit="1"/>
    </xf>
    <xf numFmtId="10" fontId="57" fillId="0" borderId="8" xfId="2" applyNumberFormat="1" applyFont="1" applyFill="1" applyBorder="1" applyAlignment="1">
      <alignment vertical="center" shrinkToFit="1"/>
    </xf>
    <xf numFmtId="3" fontId="42" fillId="0" borderId="8" xfId="0" applyNumberFormat="1" applyFont="1" applyBorder="1" applyAlignment="1">
      <alignment vertical="center" shrinkToFit="1"/>
    </xf>
    <xf numFmtId="10" fontId="42" fillId="0" borderId="8" xfId="2" applyNumberFormat="1" applyFont="1" applyFill="1" applyBorder="1" applyAlignment="1">
      <alignment vertical="center" shrinkToFit="1"/>
    </xf>
    <xf numFmtId="3" fontId="56" fillId="0" borderId="8" xfId="2" applyNumberFormat="1" applyFont="1" applyFill="1" applyBorder="1" applyAlignment="1">
      <alignment vertical="center" shrinkToFit="1"/>
    </xf>
    <xf numFmtId="3" fontId="56" fillId="0" borderId="8" xfId="0" applyNumberFormat="1" applyFont="1" applyBorder="1" applyAlignment="1">
      <alignment vertical="center" shrinkToFit="1"/>
    </xf>
    <xf numFmtId="3" fontId="42" fillId="0" borderId="30" xfId="0" applyNumberFormat="1" applyFont="1" applyBorder="1" applyAlignment="1">
      <alignment horizontal="center" vertical="center" wrapText="1"/>
    </xf>
    <xf numFmtId="3" fontId="42" fillId="0" borderId="30" xfId="0" applyNumberFormat="1" applyFont="1" applyBorder="1" applyAlignment="1">
      <alignment vertical="center"/>
    </xf>
    <xf numFmtId="3" fontId="57" fillId="0" borderId="30" xfId="0" applyNumberFormat="1" applyFont="1" applyBorder="1" applyAlignment="1">
      <alignment vertical="center" shrinkToFit="1"/>
    </xf>
    <xf numFmtId="10" fontId="57" fillId="0" borderId="30" xfId="2" applyNumberFormat="1" applyFont="1" applyFill="1" applyBorder="1" applyAlignment="1">
      <alignment vertical="center" shrinkToFit="1"/>
    </xf>
    <xf numFmtId="3" fontId="42" fillId="0" borderId="30" xfId="0" applyNumberFormat="1" applyFont="1" applyBorder="1" applyAlignment="1">
      <alignment vertical="center" shrinkToFit="1"/>
    </xf>
    <xf numFmtId="10" fontId="42" fillId="0" borderId="30" xfId="2" applyNumberFormat="1" applyFont="1" applyBorder="1" applyAlignment="1">
      <alignment vertical="center" shrinkToFit="1"/>
    </xf>
    <xf numFmtId="3" fontId="56" fillId="0" borderId="30" xfId="2" applyNumberFormat="1" applyFont="1" applyBorder="1" applyAlignment="1">
      <alignment vertical="center" shrinkToFit="1"/>
    </xf>
    <xf numFmtId="3" fontId="56" fillId="0" borderId="30" xfId="0" applyNumberFormat="1" applyFont="1" applyBorder="1" applyAlignment="1">
      <alignment vertical="center" shrinkToFit="1"/>
    </xf>
    <xf numFmtId="168" fontId="1" fillId="0" borderId="5" xfId="0" applyNumberFormat="1" applyFont="1" applyBorder="1" applyAlignment="1">
      <alignment vertical="center" wrapText="1" shrinkToFit="1"/>
    </xf>
    <xf numFmtId="3" fontId="1" fillId="0" borderId="0" xfId="0" applyNumberFormat="1" applyFont="1" applyAlignment="1">
      <alignment vertical="center" shrinkToFit="1"/>
    </xf>
    <xf numFmtId="3" fontId="1" fillId="0" borderId="8" xfId="0" applyNumberFormat="1" applyFont="1" applyBorder="1" applyAlignment="1">
      <alignment horizontal="center" vertical="center" wrapText="1"/>
    </xf>
    <xf numFmtId="168" fontId="1" fillId="0" borderId="8" xfId="0" applyNumberFormat="1" applyFont="1" applyBorder="1" applyAlignment="1">
      <alignment vertical="center" wrapText="1" shrinkToFit="1"/>
    </xf>
    <xf numFmtId="9" fontId="55" fillId="0" borderId="8" xfId="2" applyFont="1" applyBorder="1" applyAlignment="1">
      <alignment vertical="center" shrinkToFit="1"/>
    </xf>
    <xf numFmtId="10" fontId="55" fillId="0" borderId="8" xfId="2" applyNumberFormat="1" applyFont="1" applyBorder="1" applyAlignment="1">
      <alignment vertical="center" shrinkToFit="1"/>
    </xf>
    <xf numFmtId="10" fontId="55" fillId="0" borderId="8" xfId="2" applyNumberFormat="1" applyFont="1" applyFill="1" applyBorder="1" applyAlignment="1">
      <alignment vertical="center" shrinkToFit="1"/>
    </xf>
    <xf numFmtId="10" fontId="1" fillId="0" borderId="8" xfId="2" applyNumberFormat="1" applyFont="1" applyBorder="1" applyAlignment="1">
      <alignment vertical="center" shrinkToFit="1"/>
    </xf>
    <xf numFmtId="3" fontId="35" fillId="0" borderId="8" xfId="2" applyNumberFormat="1" applyFont="1" applyBorder="1" applyAlignment="1">
      <alignment vertical="center" shrinkToFit="1"/>
    </xf>
    <xf numFmtId="10" fontId="35" fillId="0" borderId="8" xfId="2" applyNumberFormat="1" applyFont="1" applyBorder="1" applyAlignment="1">
      <alignment vertical="center" shrinkToFit="1"/>
    </xf>
    <xf numFmtId="3" fontId="1" fillId="0" borderId="0" xfId="0" applyNumberFormat="1" applyFont="1" applyAlignment="1">
      <alignment horizontal="center" vertical="center" wrapText="1"/>
    </xf>
    <xf numFmtId="168" fontId="1" fillId="0" borderId="0" xfId="0" applyNumberFormat="1" applyFont="1" applyAlignment="1">
      <alignment vertical="center" wrapText="1" shrinkToFit="1"/>
    </xf>
    <xf numFmtId="9" fontId="55" fillId="0" borderId="0" xfId="2" applyFont="1" applyBorder="1" applyAlignment="1">
      <alignment vertical="center" shrinkToFit="1"/>
    </xf>
    <xf numFmtId="10" fontId="55" fillId="0" borderId="0" xfId="2" applyNumberFormat="1" applyFont="1" applyFill="1" applyBorder="1" applyAlignment="1">
      <alignment vertical="center" shrinkToFit="1"/>
    </xf>
    <xf numFmtId="3" fontId="1" fillId="0" borderId="0" xfId="2" applyNumberFormat="1" applyFont="1" applyBorder="1" applyAlignment="1">
      <alignment vertical="center" shrinkToFit="1"/>
    </xf>
    <xf numFmtId="3" fontId="35" fillId="0" borderId="0" xfId="2" applyNumberFormat="1" applyFont="1" applyBorder="1" applyAlignment="1">
      <alignment vertical="center" shrinkToFit="1"/>
    </xf>
    <xf numFmtId="10" fontId="35" fillId="0" borderId="0" xfId="2" applyNumberFormat="1" applyFont="1" applyBorder="1" applyAlignment="1">
      <alignment vertical="center" shrinkToFit="1"/>
    </xf>
    <xf numFmtId="4" fontId="35" fillId="0" borderId="0" xfId="2" applyNumberFormat="1" applyFont="1" applyBorder="1" applyAlignment="1">
      <alignment vertical="center" shrinkToFit="1"/>
    </xf>
    <xf numFmtId="3" fontId="42" fillId="0" borderId="0" xfId="0" applyNumberFormat="1" applyFont="1" applyAlignment="1">
      <alignment shrinkToFit="1"/>
    </xf>
    <xf numFmtId="3" fontId="56" fillId="0" borderId="0" xfId="0" applyNumberFormat="1" applyFont="1"/>
    <xf numFmtId="10" fontId="55" fillId="0" borderId="0" xfId="2" applyNumberFormat="1" applyFont="1"/>
    <xf numFmtId="3" fontId="55" fillId="0" borderId="0" xfId="0" applyNumberFormat="1" applyFont="1" applyAlignment="1">
      <alignment shrinkToFit="1"/>
    </xf>
    <xf numFmtId="179" fontId="55" fillId="0" borderId="0" xfId="1" applyNumberFormat="1" applyFont="1" applyAlignment="1">
      <alignment shrinkToFit="1"/>
    </xf>
    <xf numFmtId="9" fontId="55" fillId="0" borderId="0" xfId="2" applyFont="1" applyAlignment="1">
      <alignment shrinkToFit="1"/>
    </xf>
    <xf numFmtId="43" fontId="55" fillId="0" borderId="0" xfId="1" applyFont="1"/>
    <xf numFmtId="3" fontId="1" fillId="0" borderId="0" xfId="0" applyNumberFormat="1" applyFont="1" applyAlignment="1">
      <alignment shrinkToFit="1"/>
    </xf>
    <xf numFmtId="3" fontId="35" fillId="0" borderId="0" xfId="0" applyNumberFormat="1" applyFont="1"/>
    <xf numFmtId="3" fontId="35" fillId="0" borderId="0" xfId="0" applyNumberFormat="1" applyFont="1" applyAlignment="1">
      <alignment shrinkToFit="1"/>
    </xf>
    <xf numFmtId="3" fontId="1" fillId="0" borderId="0" xfId="2" applyNumberFormat="1" applyFont="1" applyAlignment="1">
      <alignment shrinkToFit="1"/>
    </xf>
    <xf numFmtId="4" fontId="1" fillId="0" borderId="0" xfId="0" applyNumberFormat="1" applyFont="1" applyAlignment="1">
      <alignment shrinkToFit="1"/>
    </xf>
    <xf numFmtId="9" fontId="35" fillId="0" borderId="0" xfId="2" applyFont="1"/>
    <xf numFmtId="9" fontId="60" fillId="0" borderId="0" xfId="2" applyFont="1" applyBorder="1" applyAlignment="1">
      <alignment vertical="center" shrinkToFit="1"/>
    </xf>
    <xf numFmtId="171" fontId="1" fillId="0" borderId="0" xfId="2" applyNumberFormat="1" applyFont="1"/>
    <xf numFmtId="3" fontId="35" fillId="0" borderId="0" xfId="2" applyNumberFormat="1" applyFont="1"/>
    <xf numFmtId="3" fontId="1" fillId="0" borderId="0" xfId="0" applyNumberFormat="1" applyFont="1" applyAlignment="1">
      <alignment wrapText="1"/>
    </xf>
    <xf numFmtId="3" fontId="56" fillId="0" borderId="4" xfId="0" applyNumberFormat="1" applyFont="1" applyBorder="1" applyAlignment="1">
      <alignment horizontal="center" vertical="center" wrapText="1"/>
    </xf>
    <xf numFmtId="3" fontId="42" fillId="0" borderId="55" xfId="0" applyNumberFormat="1" applyFont="1" applyBorder="1" applyAlignment="1">
      <alignment horizontal="center" shrinkToFit="1"/>
    </xf>
    <xf numFmtId="3" fontId="42" fillId="0" borderId="10" xfId="0" applyNumberFormat="1" applyFont="1" applyBorder="1" applyAlignment="1">
      <alignment horizontal="center" shrinkToFit="1"/>
    </xf>
    <xf numFmtId="3" fontId="42" fillId="0" borderId="10" xfId="0" applyNumberFormat="1" applyFont="1" applyBorder="1" applyAlignment="1">
      <alignment horizontal="center"/>
    </xf>
    <xf numFmtId="3" fontId="56" fillId="0" borderId="10" xfId="0" applyNumberFormat="1" applyFont="1" applyBorder="1" applyAlignment="1">
      <alignment horizontal="center"/>
    </xf>
    <xf numFmtId="3" fontId="57" fillId="0" borderId="10" xfId="0" applyNumberFormat="1" applyFont="1" applyBorder="1" applyAlignment="1">
      <alignment horizontal="center"/>
    </xf>
    <xf numFmtId="3" fontId="42" fillId="0" borderId="49" xfId="0" applyNumberFormat="1" applyFont="1" applyBorder="1" applyAlignment="1">
      <alignment horizontal="center" vertical="center" shrinkToFit="1"/>
    </xf>
    <xf numFmtId="3" fontId="42" fillId="0" borderId="6" xfId="0" applyNumberFormat="1" applyFont="1" applyBorder="1" applyAlignment="1">
      <alignment horizontal="center" vertical="center" shrinkToFit="1"/>
    </xf>
    <xf numFmtId="3" fontId="42" fillId="0" borderId="6" xfId="0" applyNumberFormat="1" applyFont="1" applyBorder="1" applyAlignment="1">
      <alignment vertical="center" shrinkToFit="1"/>
    </xf>
    <xf numFmtId="3" fontId="42" fillId="0" borderId="6" xfId="0" applyNumberFormat="1" applyFont="1" applyBorder="1" applyAlignment="1">
      <alignment vertical="center"/>
    </xf>
    <xf numFmtId="3" fontId="56" fillId="0" borderId="6" xfId="0" applyNumberFormat="1" applyFont="1" applyBorder="1" applyAlignment="1">
      <alignment vertical="center" shrinkToFit="1"/>
    </xf>
    <xf numFmtId="3" fontId="57" fillId="0" borderId="6" xfId="0" applyNumberFormat="1" applyFont="1" applyBorder="1" applyAlignment="1">
      <alignment vertical="center" shrinkToFit="1"/>
    </xf>
    <xf numFmtId="9" fontId="42" fillId="0" borderId="6" xfId="2" applyFont="1" applyBorder="1" applyAlignment="1">
      <alignment vertical="center" shrinkToFit="1"/>
    </xf>
    <xf numFmtId="3" fontId="1" fillId="0" borderId="36" xfId="0" applyNumberFormat="1" applyFont="1" applyBorder="1" applyAlignment="1">
      <alignment vertical="center"/>
    </xf>
    <xf numFmtId="9" fontId="42" fillId="0" borderId="6" xfId="2" applyFont="1" applyBorder="1" applyAlignment="1">
      <alignment vertical="center"/>
    </xf>
    <xf numFmtId="3" fontId="1" fillId="0" borderId="6" xfId="0" applyNumberFormat="1" applyFont="1" applyBorder="1" applyAlignment="1">
      <alignment vertical="center"/>
    </xf>
    <xf numFmtId="3" fontId="1" fillId="0" borderId="0" xfId="0" applyNumberFormat="1" applyFont="1" applyAlignment="1">
      <alignment vertical="center"/>
    </xf>
    <xf numFmtId="9" fontId="1" fillId="0" borderId="0" xfId="2" applyFont="1" applyAlignment="1">
      <alignment vertical="center"/>
    </xf>
    <xf numFmtId="9" fontId="47" fillId="0" borderId="20" xfId="2" applyFont="1" applyBorder="1" applyAlignment="1">
      <alignment horizontal="center" vertical="center" wrapText="1"/>
    </xf>
    <xf numFmtId="9" fontId="47" fillId="0" borderId="5" xfId="2" applyFont="1" applyBorder="1" applyAlignment="1">
      <alignment vertical="center" wrapText="1" shrinkToFit="1"/>
    </xf>
    <xf numFmtId="9" fontId="47" fillId="0" borderId="5" xfId="2" applyFont="1" applyBorder="1" applyAlignment="1">
      <alignment vertical="center" shrinkToFit="1"/>
    </xf>
    <xf numFmtId="10" fontId="47" fillId="0" borderId="5" xfId="2" applyNumberFormat="1" applyFont="1" applyBorder="1" applyAlignment="1">
      <alignment vertical="center" shrinkToFit="1"/>
    </xf>
    <xf numFmtId="10" fontId="73" fillId="0" borderId="5" xfId="2" applyNumberFormat="1" applyFont="1" applyBorder="1" applyAlignment="1">
      <alignment vertical="center" shrinkToFit="1"/>
    </xf>
    <xf numFmtId="10" fontId="73" fillId="0" borderId="5" xfId="2" applyNumberFormat="1" applyFont="1" applyFill="1" applyBorder="1" applyAlignment="1">
      <alignment vertical="center" shrinkToFit="1"/>
    </xf>
    <xf numFmtId="10" fontId="47" fillId="0" borderId="16" xfId="2" applyNumberFormat="1" applyFont="1" applyBorder="1" applyAlignment="1">
      <alignment vertical="center" shrinkToFit="1"/>
    </xf>
    <xf numFmtId="3" fontId="47" fillId="0" borderId="0" xfId="0" applyNumberFormat="1" applyFont="1" applyAlignment="1">
      <alignment vertical="center"/>
    </xf>
    <xf numFmtId="9" fontId="47" fillId="0" borderId="0" xfId="2" applyFont="1" applyAlignment="1">
      <alignment vertical="center"/>
    </xf>
    <xf numFmtId="3" fontId="43" fillId="0" borderId="20" xfId="0" applyNumberFormat="1" applyFont="1" applyBorder="1" applyAlignment="1">
      <alignment horizontal="center" vertical="center" wrapText="1"/>
    </xf>
    <xf numFmtId="3" fontId="43" fillId="0" borderId="5" xfId="0" applyNumberFormat="1" applyFont="1" applyBorder="1" applyAlignment="1">
      <alignment vertical="center" wrapText="1" shrinkToFit="1"/>
    </xf>
    <xf numFmtId="3" fontId="43" fillId="0" borderId="5" xfId="0" applyNumberFormat="1" applyFont="1" applyBorder="1" applyAlignment="1">
      <alignment vertical="center" shrinkToFit="1"/>
    </xf>
    <xf numFmtId="10" fontId="43" fillId="0" borderId="5" xfId="2" applyNumberFormat="1" applyFont="1" applyBorder="1" applyAlignment="1">
      <alignment vertical="center" shrinkToFit="1"/>
    </xf>
    <xf numFmtId="3" fontId="60" fillId="0" borderId="5" xfId="0" applyNumberFormat="1" applyFont="1" applyBorder="1" applyAlignment="1">
      <alignment vertical="center" shrinkToFit="1"/>
    </xf>
    <xf numFmtId="10" fontId="60" fillId="0" borderId="5" xfId="2" applyNumberFormat="1" applyFont="1" applyBorder="1" applyAlignment="1">
      <alignment vertical="center" shrinkToFit="1"/>
    </xf>
    <xf numFmtId="3" fontId="43" fillId="0" borderId="21" xfId="0" applyNumberFormat="1" applyFont="1" applyBorder="1" applyAlignment="1">
      <alignment vertical="center" shrinkToFit="1"/>
    </xf>
    <xf numFmtId="3" fontId="44" fillId="0" borderId="16" xfId="0" applyNumberFormat="1" applyFont="1" applyBorder="1" applyAlignment="1">
      <alignment vertical="center"/>
    </xf>
    <xf numFmtId="9" fontId="42" fillId="0" borderId="5" xfId="2" applyFont="1" applyBorder="1" applyAlignment="1">
      <alignment vertical="center"/>
    </xf>
    <xf numFmtId="3" fontId="44" fillId="0" borderId="0" xfId="0" applyNumberFormat="1" applyFont="1" applyAlignment="1">
      <alignment vertical="center"/>
    </xf>
    <xf numFmtId="9" fontId="44" fillId="0" borderId="0" xfId="2" applyFont="1" applyAlignment="1">
      <alignment vertical="center"/>
    </xf>
    <xf numFmtId="3" fontId="42" fillId="0" borderId="20" xfId="0" applyNumberFormat="1" applyFont="1" applyBorder="1" applyAlignment="1">
      <alignment horizontal="center" vertical="center" wrapText="1"/>
    </xf>
    <xf numFmtId="3" fontId="42" fillId="0" borderId="21" xfId="0" applyNumberFormat="1" applyFont="1" applyBorder="1" applyAlignment="1">
      <alignment vertical="center" shrinkToFit="1"/>
    </xf>
    <xf numFmtId="3" fontId="1" fillId="0" borderId="16" xfId="0" applyNumberFormat="1" applyFont="1" applyBorder="1" applyAlignment="1">
      <alignment vertical="center"/>
    </xf>
    <xf numFmtId="3" fontId="1" fillId="0" borderId="20" xfId="0" applyNumberFormat="1" applyFont="1" applyBorder="1" applyAlignment="1">
      <alignment horizontal="center" vertical="center" wrapText="1"/>
    </xf>
    <xf numFmtId="3" fontId="1" fillId="0" borderId="5" xfId="0" applyNumberFormat="1" applyFont="1" applyBorder="1" applyAlignment="1">
      <alignment vertical="center" wrapText="1" shrinkToFit="1"/>
    </xf>
    <xf numFmtId="9" fontId="1" fillId="0" borderId="5" xfId="2" applyFont="1" applyBorder="1" applyAlignment="1">
      <alignment vertical="center" shrinkToFit="1"/>
    </xf>
    <xf numFmtId="9" fontId="1" fillId="0" borderId="5" xfId="2" applyFont="1" applyBorder="1" applyAlignment="1">
      <alignment vertical="center"/>
    </xf>
    <xf numFmtId="3" fontId="42" fillId="0" borderId="16" xfId="0" applyNumberFormat="1" applyFont="1" applyBorder="1" applyAlignment="1">
      <alignment vertical="center"/>
    </xf>
    <xf numFmtId="171" fontId="42" fillId="0" borderId="0" xfId="2" applyNumberFormat="1" applyFont="1" applyAlignment="1">
      <alignment vertical="center"/>
    </xf>
    <xf numFmtId="9" fontId="43" fillId="0" borderId="0" xfId="2" applyFont="1" applyAlignment="1">
      <alignment vertical="center"/>
    </xf>
    <xf numFmtId="3" fontId="42" fillId="2" borderId="5" xfId="0" applyNumberFormat="1" applyFont="1" applyFill="1" applyBorder="1" applyAlignment="1">
      <alignment vertical="center" shrinkToFit="1"/>
    </xf>
    <xf numFmtId="3" fontId="60" fillId="0" borderId="5" xfId="2" applyNumberFormat="1" applyFont="1" applyBorder="1" applyAlignment="1">
      <alignment vertical="center" shrinkToFit="1"/>
    </xf>
    <xf numFmtId="3" fontId="43" fillId="0" borderId="16" xfId="0" applyNumberFormat="1" applyFont="1" applyBorder="1" applyAlignment="1">
      <alignment vertical="center"/>
    </xf>
    <xf numFmtId="10" fontId="74" fillId="0" borderId="5" xfId="2" applyNumberFormat="1" applyFont="1" applyBorder="1" applyAlignment="1">
      <alignment vertical="center" shrinkToFit="1"/>
    </xf>
    <xf numFmtId="3" fontId="42" fillId="0" borderId="5" xfId="2" applyNumberFormat="1" applyFont="1" applyBorder="1" applyAlignment="1">
      <alignment vertical="center" shrinkToFit="1"/>
    </xf>
    <xf numFmtId="9" fontId="72" fillId="0" borderId="20" xfId="2" applyFont="1" applyBorder="1" applyAlignment="1">
      <alignment horizontal="center" vertical="center" wrapText="1"/>
    </xf>
    <xf numFmtId="9" fontId="72" fillId="0" borderId="5" xfId="2" applyFont="1" applyBorder="1" applyAlignment="1">
      <alignment vertical="center" wrapText="1" shrinkToFit="1"/>
    </xf>
    <xf numFmtId="10" fontId="72" fillId="0" borderId="5" xfId="2" applyNumberFormat="1" applyFont="1" applyBorder="1" applyAlignment="1">
      <alignment vertical="center" shrinkToFit="1"/>
    </xf>
    <xf numFmtId="3" fontId="74" fillId="0" borderId="5" xfId="2" applyNumberFormat="1" applyFont="1" applyBorder="1" applyAlignment="1">
      <alignment vertical="center" shrinkToFit="1"/>
    </xf>
    <xf numFmtId="3" fontId="72" fillId="0" borderId="5" xfId="2" applyNumberFormat="1" applyFont="1" applyFill="1" applyBorder="1" applyAlignment="1">
      <alignment vertical="center" shrinkToFit="1"/>
    </xf>
    <xf numFmtId="10" fontId="42" fillId="0" borderId="16" xfId="2" applyNumberFormat="1" applyFont="1" applyBorder="1" applyAlignment="1">
      <alignment vertical="center"/>
    </xf>
    <xf numFmtId="3" fontId="42" fillId="0" borderId="5" xfId="2" applyNumberFormat="1" applyFont="1" applyFill="1" applyBorder="1" applyAlignment="1">
      <alignment vertical="center" shrinkToFit="1"/>
    </xf>
    <xf numFmtId="3" fontId="42" fillId="0" borderId="5" xfId="0" applyNumberFormat="1" applyFont="1" applyBorder="1" applyAlignment="1">
      <alignment vertical="center" wrapText="1"/>
    </xf>
    <xf numFmtId="3" fontId="72" fillId="0" borderId="5" xfId="0" applyNumberFormat="1" applyFont="1" applyBorder="1" applyAlignment="1">
      <alignment vertical="center" shrinkToFit="1"/>
    </xf>
    <xf numFmtId="3" fontId="72" fillId="0" borderId="21" xfId="0" applyNumberFormat="1" applyFont="1" applyBorder="1" applyAlignment="1">
      <alignment vertical="center" shrinkToFit="1"/>
    </xf>
    <xf numFmtId="3" fontId="72" fillId="0" borderId="16" xfId="0" applyNumberFormat="1" applyFont="1" applyBorder="1" applyAlignment="1">
      <alignment vertical="center"/>
    </xf>
    <xf numFmtId="3" fontId="72" fillId="0" borderId="0" xfId="0" applyNumberFormat="1" applyFont="1" applyAlignment="1">
      <alignment vertical="center"/>
    </xf>
    <xf numFmtId="3" fontId="72" fillId="0" borderId="20" xfId="0" applyNumberFormat="1" applyFont="1" applyBorder="1" applyAlignment="1">
      <alignment horizontal="center" vertical="center" wrapText="1"/>
    </xf>
    <xf numFmtId="3" fontId="72" fillId="0" borderId="5" xfId="0" applyNumberFormat="1" applyFont="1" applyBorder="1" applyAlignment="1">
      <alignment vertical="center" wrapText="1"/>
    </xf>
    <xf numFmtId="3" fontId="42" fillId="0" borderId="20" xfId="0" applyNumberFormat="1" applyFont="1" applyBorder="1" applyAlignment="1">
      <alignment horizontal="center" vertical="center" wrapText="1" shrinkToFit="1"/>
    </xf>
    <xf numFmtId="9" fontId="72" fillId="0" borderId="5" xfId="2" applyFont="1" applyBorder="1" applyAlignment="1">
      <alignment vertical="center" shrinkToFit="1"/>
    </xf>
    <xf numFmtId="9" fontId="74" fillId="0" borderId="5" xfId="2" applyFont="1" applyBorder="1" applyAlignment="1">
      <alignment vertical="center" shrinkToFit="1"/>
    </xf>
    <xf numFmtId="3" fontId="43" fillId="0" borderId="5" xfId="0" applyNumberFormat="1" applyFont="1" applyBorder="1" applyAlignment="1">
      <alignment vertical="center" wrapText="1"/>
    </xf>
    <xf numFmtId="9" fontId="72" fillId="0" borderId="21" xfId="2" applyFont="1" applyBorder="1" applyAlignment="1">
      <alignment vertical="center" shrinkToFit="1"/>
    </xf>
    <xf numFmtId="9" fontId="72" fillId="0" borderId="16" xfId="2" applyFont="1" applyBorder="1" applyAlignment="1">
      <alignment vertical="center"/>
    </xf>
    <xf numFmtId="9" fontId="72" fillId="0" borderId="0" xfId="2" applyFont="1" applyBorder="1" applyAlignment="1">
      <alignment vertical="center"/>
    </xf>
    <xf numFmtId="3" fontId="72" fillId="0" borderId="5" xfId="0" applyNumberFormat="1" applyFont="1" applyBorder="1" applyAlignment="1">
      <alignment vertical="center" wrapText="1" shrinkToFit="1"/>
    </xf>
    <xf numFmtId="3" fontId="75" fillId="0" borderId="20" xfId="0" applyNumberFormat="1" applyFont="1" applyBorder="1" applyAlignment="1">
      <alignment horizontal="center" vertical="center" wrapText="1"/>
    </xf>
    <xf numFmtId="3" fontId="75" fillId="0" borderId="5" xfId="0" applyNumberFormat="1" applyFont="1" applyBorder="1" applyAlignment="1">
      <alignment vertical="center"/>
    </xf>
    <xf numFmtId="180" fontId="76" fillId="0" borderId="5" xfId="7" applyNumberFormat="1" applyFont="1" applyBorder="1" applyAlignment="1">
      <alignment vertical="center" shrinkToFit="1"/>
    </xf>
    <xf numFmtId="10" fontId="75" fillId="0" borderId="5" xfId="2" applyNumberFormat="1" applyFont="1" applyBorder="1" applyAlignment="1">
      <alignment vertical="center" shrinkToFit="1"/>
    </xf>
    <xf numFmtId="169" fontId="77" fillId="0" borderId="5" xfId="8" applyNumberFormat="1" applyFont="1" applyBorder="1" applyAlignment="1">
      <alignment vertical="center" shrinkToFit="1"/>
    </xf>
    <xf numFmtId="3" fontId="78" fillId="0" borderId="5" xfId="2" applyNumberFormat="1" applyFont="1" applyBorder="1" applyAlignment="1">
      <alignment vertical="center" shrinkToFit="1"/>
    </xf>
    <xf numFmtId="169" fontId="77" fillId="0" borderId="5" xfId="8" applyNumberFormat="1" applyFont="1" applyFill="1" applyBorder="1" applyAlignment="1">
      <alignment horizontal="center" vertical="center" shrinkToFit="1"/>
    </xf>
    <xf numFmtId="3" fontId="76" fillId="0" borderId="5" xfId="8" applyNumberFormat="1" applyFont="1" applyFill="1" applyBorder="1" applyAlignment="1">
      <alignment horizontal="center" vertical="center" shrinkToFit="1"/>
    </xf>
    <xf numFmtId="169" fontId="76" fillId="0" borderId="5" xfId="8" applyNumberFormat="1" applyFont="1" applyFill="1" applyBorder="1" applyAlignment="1">
      <alignment horizontal="center" vertical="center" shrinkToFit="1"/>
    </xf>
    <xf numFmtId="3" fontId="75" fillId="0" borderId="5" xfId="0" applyNumberFormat="1" applyFont="1" applyBorder="1" applyAlignment="1">
      <alignment vertical="center" shrinkToFit="1"/>
    </xf>
    <xf numFmtId="3" fontId="75" fillId="0" borderId="21" xfId="0" applyNumberFormat="1" applyFont="1" applyBorder="1" applyAlignment="1">
      <alignment vertical="center" shrinkToFit="1"/>
    </xf>
    <xf numFmtId="3" fontId="75" fillId="0" borderId="16" xfId="0" applyNumberFormat="1" applyFont="1" applyBorder="1" applyAlignment="1">
      <alignment vertical="center"/>
    </xf>
    <xf numFmtId="3" fontId="75" fillId="0" borderId="0" xfId="0" applyNumberFormat="1" applyFont="1" applyAlignment="1">
      <alignment vertical="center"/>
    </xf>
    <xf numFmtId="0" fontId="37" fillId="0" borderId="5" xfId="0" applyFont="1" applyBorder="1" applyAlignment="1">
      <alignment vertical="center"/>
    </xf>
    <xf numFmtId="180" fontId="37" fillId="0" borderId="5" xfId="5" applyNumberFormat="1" applyFont="1" applyBorder="1" applyAlignment="1">
      <alignment vertical="center" shrinkToFit="1"/>
    </xf>
    <xf numFmtId="180" fontId="37" fillId="0" borderId="5" xfId="8" applyNumberFormat="1" applyFont="1" applyBorder="1" applyAlignment="1">
      <alignment vertical="center" shrinkToFit="1"/>
    </xf>
    <xf numFmtId="180" fontId="79" fillId="0" borderId="5" xfId="8" applyNumberFormat="1" applyFont="1" applyBorder="1" applyAlignment="1">
      <alignment vertical="center" shrinkToFit="1"/>
    </xf>
    <xf numFmtId="169" fontId="79" fillId="0" borderId="5" xfId="8" applyNumberFormat="1" applyFont="1" applyFill="1" applyBorder="1" applyAlignment="1">
      <alignment horizontal="center" vertical="center" shrinkToFit="1"/>
    </xf>
    <xf numFmtId="3" fontId="37" fillId="0" borderId="5" xfId="8" applyNumberFormat="1" applyFont="1" applyFill="1" applyBorder="1" applyAlignment="1">
      <alignment horizontal="center" vertical="center" shrinkToFit="1"/>
    </xf>
    <xf numFmtId="169" fontId="37" fillId="0" borderId="5" xfId="8" applyNumberFormat="1" applyFont="1" applyFill="1" applyBorder="1" applyAlignment="1">
      <alignment horizontal="center" vertical="center" shrinkToFit="1"/>
    </xf>
    <xf numFmtId="169" fontId="37" fillId="0" borderId="5" xfId="9" applyNumberFormat="1" applyFont="1" applyFill="1" applyBorder="1" applyAlignment="1">
      <alignment vertical="center" shrinkToFit="1"/>
    </xf>
    <xf numFmtId="0" fontId="53" fillId="0" borderId="5" xfId="0" applyFont="1" applyBorder="1" applyAlignment="1">
      <alignment vertical="center"/>
    </xf>
    <xf numFmtId="180" fontId="53" fillId="0" borderId="5" xfId="5" applyNumberFormat="1" applyFont="1" applyBorder="1" applyAlignment="1">
      <alignment vertical="center" shrinkToFit="1"/>
    </xf>
    <xf numFmtId="180" fontId="53" fillId="0" borderId="5" xfId="8" applyNumberFormat="1" applyFont="1" applyBorder="1" applyAlignment="1">
      <alignment vertical="center" shrinkToFit="1"/>
    </xf>
    <xf numFmtId="180" fontId="81" fillId="0" borderId="5" xfId="8" applyNumberFormat="1" applyFont="1" applyBorder="1" applyAlignment="1">
      <alignment vertical="center" shrinkToFit="1"/>
    </xf>
    <xf numFmtId="169" fontId="81" fillId="0" borderId="5" xfId="8" applyNumberFormat="1" applyFont="1" applyFill="1" applyBorder="1" applyAlignment="1">
      <alignment horizontal="center" vertical="center" shrinkToFit="1"/>
    </xf>
    <xf numFmtId="3" fontId="53" fillId="0" borderId="5" xfId="8" applyNumberFormat="1" applyFont="1" applyFill="1" applyBorder="1" applyAlignment="1">
      <alignment horizontal="center" vertical="center" shrinkToFit="1"/>
    </xf>
    <xf numFmtId="169" fontId="53" fillId="0" borderId="5" xfId="8" applyNumberFormat="1" applyFont="1" applyFill="1" applyBorder="1" applyAlignment="1">
      <alignment horizontal="center" vertical="center" shrinkToFit="1"/>
    </xf>
    <xf numFmtId="180" fontId="81" fillId="0" borderId="5" xfId="5" applyNumberFormat="1" applyFont="1" applyBorder="1" applyAlignment="1">
      <alignment vertical="center" shrinkToFit="1"/>
    </xf>
    <xf numFmtId="3" fontId="42" fillId="0" borderId="20" xfId="0" applyNumberFormat="1" applyFont="1" applyBorder="1" applyAlignment="1">
      <alignment horizontal="center" vertical="center"/>
    </xf>
    <xf numFmtId="3" fontId="43" fillId="0" borderId="5" xfId="2" applyNumberFormat="1" applyFont="1" applyFill="1" applyBorder="1" applyAlignment="1">
      <alignment vertical="center" shrinkToFit="1"/>
    </xf>
    <xf numFmtId="3" fontId="43" fillId="0" borderId="42" xfId="0" applyNumberFormat="1" applyFont="1" applyBorder="1" applyAlignment="1">
      <alignment horizontal="center" vertical="center" wrapText="1"/>
    </xf>
    <xf numFmtId="3" fontId="43" fillId="0" borderId="43" xfId="0" applyNumberFormat="1" applyFont="1" applyBorder="1" applyAlignment="1">
      <alignment vertical="center" wrapText="1" shrinkToFit="1"/>
    </xf>
    <xf numFmtId="3" fontId="43" fillId="0" borderId="43" xfId="0" applyNumberFormat="1" applyFont="1" applyBorder="1" applyAlignment="1">
      <alignment vertical="center" shrinkToFit="1"/>
    </xf>
    <xf numFmtId="10" fontId="43" fillId="0" borderId="43" xfId="2" applyNumberFormat="1" applyFont="1" applyBorder="1" applyAlignment="1">
      <alignment vertical="center" shrinkToFit="1"/>
    </xf>
    <xf numFmtId="3" fontId="60" fillId="0" borderId="43" xfId="0" applyNumberFormat="1" applyFont="1" applyBorder="1" applyAlignment="1">
      <alignment vertical="center" shrinkToFit="1"/>
    </xf>
    <xf numFmtId="3" fontId="59" fillId="0" borderId="43" xfId="0" applyNumberFormat="1" applyFont="1" applyBorder="1" applyAlignment="1">
      <alignment vertical="center" shrinkToFit="1"/>
    </xf>
    <xf numFmtId="9" fontId="59" fillId="0" borderId="43" xfId="2" applyFont="1" applyBorder="1" applyAlignment="1">
      <alignment vertical="center" shrinkToFit="1"/>
    </xf>
    <xf numFmtId="9" fontId="57" fillId="0" borderId="43" xfId="2" applyFont="1" applyBorder="1" applyAlignment="1">
      <alignment vertical="center" shrinkToFit="1"/>
    </xf>
    <xf numFmtId="9" fontId="43" fillId="0" borderId="43" xfId="2" applyFont="1" applyBorder="1" applyAlignment="1">
      <alignment vertical="center" shrinkToFit="1"/>
    </xf>
    <xf numFmtId="9" fontId="42" fillId="0" borderId="43" xfId="2" applyFont="1" applyBorder="1" applyAlignment="1">
      <alignment vertical="center" shrinkToFit="1"/>
    </xf>
    <xf numFmtId="10" fontId="44" fillId="0" borderId="43" xfId="2" applyNumberFormat="1" applyFont="1" applyBorder="1" applyAlignment="1">
      <alignment vertical="center" shrinkToFit="1"/>
    </xf>
    <xf numFmtId="3" fontId="43" fillId="0" borderId="57" xfId="0" applyNumberFormat="1" applyFont="1" applyBorder="1" applyAlignment="1">
      <alignment vertical="center" shrinkToFit="1"/>
    </xf>
    <xf numFmtId="3" fontId="42" fillId="0" borderId="18" xfId="0" applyNumberFormat="1" applyFont="1" applyBorder="1" applyAlignment="1">
      <alignment vertical="center"/>
    </xf>
    <xf numFmtId="9" fontId="42" fillId="0" borderId="8" xfId="2" applyFont="1" applyBorder="1" applyAlignment="1">
      <alignment vertical="center"/>
    </xf>
    <xf numFmtId="3" fontId="47" fillId="0" borderId="30" xfId="0" applyNumberFormat="1" applyFont="1" applyBorder="1" applyAlignment="1">
      <alignment horizontal="center" vertical="center" wrapText="1"/>
    </xf>
    <xf numFmtId="3" fontId="47" fillId="0" borderId="30" xfId="0" applyNumberFormat="1" applyFont="1" applyBorder="1" applyAlignment="1">
      <alignment vertical="center" wrapText="1" shrinkToFit="1"/>
    </xf>
    <xf numFmtId="10" fontId="47" fillId="0" borderId="30" xfId="2" applyNumberFormat="1" applyFont="1" applyBorder="1" applyAlignment="1">
      <alignment vertical="center" shrinkToFit="1"/>
    </xf>
    <xf numFmtId="10" fontId="73" fillId="0" borderId="30" xfId="2" applyNumberFormat="1" applyFont="1" applyBorder="1" applyAlignment="1">
      <alignment vertical="center" shrinkToFit="1"/>
    </xf>
    <xf numFmtId="3" fontId="47" fillId="0" borderId="30" xfId="2" applyNumberFormat="1" applyFont="1" applyBorder="1" applyAlignment="1">
      <alignment vertical="center" shrinkToFit="1"/>
    </xf>
    <xf numFmtId="3" fontId="47" fillId="0" borderId="30" xfId="2" applyNumberFormat="1" applyFont="1" applyFill="1" applyBorder="1" applyAlignment="1">
      <alignment vertical="center" shrinkToFit="1"/>
    </xf>
    <xf numFmtId="9" fontId="61" fillId="0" borderId="30" xfId="2" applyFont="1" applyBorder="1" applyAlignment="1">
      <alignment vertical="center" shrinkToFit="1"/>
    </xf>
    <xf numFmtId="3" fontId="1" fillId="0" borderId="30" xfId="0" applyNumberFormat="1" applyFont="1" applyBorder="1" applyAlignment="1">
      <alignment shrinkToFit="1"/>
    </xf>
    <xf numFmtId="9" fontId="42" fillId="0" borderId="0" xfId="2" applyFont="1"/>
    <xf numFmtId="3" fontId="47" fillId="0" borderId="5" xfId="0" applyNumberFormat="1" applyFont="1" applyBorder="1" applyAlignment="1">
      <alignment vertical="center" wrapText="1" shrinkToFit="1"/>
    </xf>
    <xf numFmtId="3" fontId="47" fillId="0" borderId="5" xfId="2" applyNumberFormat="1" applyFont="1" applyBorder="1" applyAlignment="1">
      <alignment vertical="center" shrinkToFit="1"/>
    </xf>
    <xf numFmtId="3" fontId="47" fillId="0" borderId="5" xfId="2" applyNumberFormat="1" applyFont="1" applyFill="1" applyBorder="1" applyAlignment="1">
      <alignment vertical="center" shrinkToFit="1"/>
    </xf>
    <xf numFmtId="9" fontId="61" fillId="0" borderId="5" xfId="2" applyFont="1" applyBorder="1" applyAlignment="1">
      <alignment vertical="center" shrinkToFit="1"/>
    </xf>
    <xf numFmtId="3" fontId="1" fillId="0" borderId="5" xfId="2" applyNumberFormat="1" applyFont="1" applyBorder="1" applyAlignment="1">
      <alignment vertical="center" shrinkToFit="1"/>
    </xf>
    <xf numFmtId="3" fontId="42" fillId="0" borderId="5" xfId="0" applyNumberFormat="1" applyFont="1" applyBorder="1" applyAlignment="1">
      <alignment shrinkToFit="1"/>
    </xf>
    <xf numFmtId="3" fontId="42" fillId="0" borderId="8" xfId="0" applyNumberFormat="1" applyFont="1" applyBorder="1" applyAlignment="1">
      <alignment vertical="center" wrapText="1" shrinkToFit="1"/>
    </xf>
    <xf numFmtId="10" fontId="42" fillId="0" borderId="8" xfId="2" applyNumberFormat="1" applyFont="1" applyBorder="1" applyAlignment="1">
      <alignment vertical="center" shrinkToFit="1"/>
    </xf>
    <xf numFmtId="10" fontId="56" fillId="0" borderId="8" xfId="2" applyNumberFormat="1" applyFont="1" applyBorder="1" applyAlignment="1">
      <alignment vertical="center" shrinkToFit="1"/>
    </xf>
    <xf numFmtId="3" fontId="42" fillId="0" borderId="8" xfId="2" applyNumberFormat="1" applyFont="1" applyBorder="1" applyAlignment="1">
      <alignment vertical="center" shrinkToFit="1"/>
    </xf>
    <xf numFmtId="3" fontId="42" fillId="0" borderId="8" xfId="2" applyNumberFormat="1" applyFont="1" applyFill="1" applyBorder="1" applyAlignment="1">
      <alignment vertical="center" shrinkToFit="1"/>
    </xf>
    <xf numFmtId="9" fontId="61" fillId="0" borderId="9" xfId="2" applyFont="1" applyBorder="1" applyAlignment="1">
      <alignment vertical="center" shrinkToFit="1"/>
    </xf>
    <xf numFmtId="3" fontId="1" fillId="0" borderId="8" xfId="0" applyNumberFormat="1" applyFont="1" applyBorder="1" applyAlignment="1">
      <alignment shrinkToFit="1"/>
    </xf>
    <xf numFmtId="3" fontId="42" fillId="0" borderId="0" xfId="0" applyNumberFormat="1" applyFont="1" applyAlignment="1">
      <alignment vertical="center" wrapText="1" shrinkToFit="1"/>
    </xf>
    <xf numFmtId="10" fontId="42" fillId="0" borderId="0" xfId="2" applyNumberFormat="1" applyFont="1" applyBorder="1" applyAlignment="1">
      <alignment vertical="center" shrinkToFit="1"/>
    </xf>
    <xf numFmtId="10" fontId="56" fillId="0" borderId="0" xfId="2" applyNumberFormat="1" applyFont="1" applyBorder="1" applyAlignment="1">
      <alignment vertical="center" shrinkToFit="1"/>
    </xf>
    <xf numFmtId="3" fontId="42" fillId="0" borderId="0" xfId="2" applyNumberFormat="1" applyFont="1" applyBorder="1" applyAlignment="1">
      <alignment vertical="center" shrinkToFit="1"/>
    </xf>
    <xf numFmtId="3" fontId="42" fillId="0" borderId="0" xfId="2" applyNumberFormat="1" applyFont="1" applyFill="1" applyBorder="1" applyAlignment="1">
      <alignment vertical="center" shrinkToFit="1"/>
    </xf>
    <xf numFmtId="9" fontId="61" fillId="0" borderId="0" xfId="2" applyFont="1" applyBorder="1" applyAlignment="1">
      <alignment vertical="center" shrinkToFit="1"/>
    </xf>
    <xf numFmtId="9" fontId="1" fillId="0" borderId="0" xfId="2" applyFont="1" applyBorder="1" applyAlignment="1"/>
    <xf numFmtId="3" fontId="1" fillId="0" borderId="0" xfId="2" applyNumberFormat="1" applyFont="1" applyFill="1" applyBorder="1" applyAlignment="1"/>
    <xf numFmtId="169" fontId="82" fillId="0" borderId="5" xfId="0" applyNumberFormat="1" applyFont="1" applyBorder="1" applyAlignment="1">
      <alignment vertical="center" wrapText="1"/>
    </xf>
    <xf numFmtId="169" fontId="82" fillId="0" borderId="0" xfId="0" applyNumberFormat="1" applyFont="1" applyAlignment="1">
      <alignment vertical="center" wrapText="1"/>
    </xf>
    <xf numFmtId="9" fontId="35" fillId="0" borderId="0" xfId="2" applyFont="1" applyBorder="1" applyAlignment="1"/>
    <xf numFmtId="3" fontId="83" fillId="0" borderId="0" xfId="0" applyNumberFormat="1" applyFont="1"/>
    <xf numFmtId="9" fontId="1" fillId="0" borderId="0" xfId="2" applyFont="1" applyFill="1"/>
    <xf numFmtId="3" fontId="1" fillId="0" borderId="0" xfId="0" applyNumberFormat="1" applyFont="1" applyAlignment="1">
      <alignment horizontal="right"/>
    </xf>
    <xf numFmtId="3" fontId="42" fillId="0" borderId="4" xfId="0" applyNumberFormat="1" applyFont="1" applyBorder="1" applyAlignment="1">
      <alignment horizontal="center" shrinkToFit="1"/>
    </xf>
    <xf numFmtId="3" fontId="42" fillId="0" borderId="4" xfId="0" applyNumberFormat="1" applyFont="1" applyBorder="1" applyAlignment="1">
      <alignment horizontal="center"/>
    </xf>
    <xf numFmtId="10" fontId="43" fillId="0" borderId="6" xfId="2" applyNumberFormat="1" applyFont="1" applyBorder="1" applyAlignment="1">
      <alignment shrinkToFit="1"/>
    </xf>
    <xf numFmtId="3" fontId="1" fillId="0" borderId="8" xfId="0" applyNumberFormat="1" applyFont="1" applyBorder="1" applyAlignment="1">
      <alignment vertical="center" wrapText="1" shrinkToFit="1"/>
    </xf>
    <xf numFmtId="0" fontId="7" fillId="0" borderId="0" xfId="10" applyFont="1"/>
    <xf numFmtId="0" fontId="7" fillId="0" borderId="0" xfId="10" applyFont="1" applyAlignment="1">
      <alignment horizontal="center" vertical="center"/>
    </xf>
    <xf numFmtId="0" fontId="6" fillId="0" borderId="0" xfId="10" applyFont="1"/>
    <xf numFmtId="0" fontId="7" fillId="0" borderId="0" xfId="10" applyFont="1" applyAlignment="1">
      <alignment horizontal="right" vertical="center"/>
    </xf>
    <xf numFmtId="0" fontId="7" fillId="0" borderId="0" xfId="10" applyFont="1" applyAlignment="1">
      <alignment horizontal="right"/>
    </xf>
    <xf numFmtId="0" fontId="6" fillId="0" borderId="0" xfId="10" applyFont="1" applyAlignment="1">
      <alignment horizontal="center" vertical="center"/>
    </xf>
    <xf numFmtId="0" fontId="29" fillId="0" borderId="0" xfId="10" applyFont="1" applyAlignment="1">
      <alignment horizontal="right"/>
    </xf>
    <xf numFmtId="3" fontId="7" fillId="0" borderId="0" xfId="10" applyNumberFormat="1" applyFont="1" applyAlignment="1">
      <alignment horizontal="right" vertical="center"/>
    </xf>
    <xf numFmtId="0" fontId="6" fillId="0" borderId="0" xfId="10" applyFont="1" applyAlignment="1">
      <alignment horizontal="right"/>
    </xf>
    <xf numFmtId="0" fontId="13" fillId="0" borderId="0" xfId="10" applyFont="1" applyAlignment="1">
      <alignment horizontal="center" vertical="center"/>
    </xf>
    <xf numFmtId="0" fontId="13" fillId="0" borderId="0" xfId="10" applyFont="1"/>
    <xf numFmtId="0" fontId="88" fillId="0" borderId="0" xfId="0" applyFont="1" applyAlignment="1">
      <alignment vertical="center"/>
    </xf>
    <xf numFmtId="0" fontId="89" fillId="0" borderId="0" xfId="0" applyFont="1"/>
    <xf numFmtId="0" fontId="88" fillId="0" borderId="62" xfId="0" applyFont="1" applyBorder="1" applyAlignment="1">
      <alignment horizontal="center" vertical="center"/>
    </xf>
    <xf numFmtId="0" fontId="88" fillId="0" borderId="0" xfId="0" applyFont="1" applyAlignment="1">
      <alignment horizontal="center" vertical="center"/>
    </xf>
    <xf numFmtId="0" fontId="90" fillId="6" borderId="64" xfId="0" applyFont="1" applyFill="1" applyBorder="1" applyAlignment="1">
      <alignment horizontal="center" vertical="center" shrinkToFit="1"/>
    </xf>
    <xf numFmtId="0" fontId="91" fillId="0" borderId="0" xfId="0" applyFont="1"/>
    <xf numFmtId="0" fontId="82" fillId="0" borderId="59" xfId="0" applyFont="1" applyBorder="1" applyAlignment="1">
      <alignment horizontal="center" vertical="center" wrapText="1"/>
    </xf>
    <xf numFmtId="0" fontId="82" fillId="0" borderId="59" xfId="0" applyFont="1" applyBorder="1" applyAlignment="1">
      <alignment vertical="center" wrapText="1"/>
    </xf>
    <xf numFmtId="38" fontId="82" fillId="0" borderId="59" xfId="0" applyNumberFormat="1" applyFont="1" applyBorder="1" applyAlignment="1">
      <alignment horizontal="center" vertical="center" shrinkToFit="1"/>
    </xf>
    <xf numFmtId="38" fontId="82" fillId="0" borderId="59" xfId="14" applyNumberFormat="1" applyFont="1" applyFill="1" applyBorder="1" applyAlignment="1">
      <alignment vertical="center" shrinkToFit="1"/>
    </xf>
    <xf numFmtId="0" fontId="92" fillId="0" borderId="59" xfId="0" applyFont="1" applyBorder="1" applyAlignment="1">
      <alignment vertical="center" wrapText="1"/>
    </xf>
    <xf numFmtId="38" fontId="92" fillId="0" borderId="59" xfId="0" applyNumberFormat="1" applyFont="1" applyBorder="1" applyAlignment="1">
      <alignment horizontal="center" vertical="center" shrinkToFit="1"/>
    </xf>
    <xf numFmtId="38" fontId="92" fillId="0" borderId="59" xfId="14" applyNumberFormat="1" applyFont="1" applyFill="1" applyBorder="1" applyAlignment="1">
      <alignment vertical="center" shrinkToFit="1"/>
    </xf>
    <xf numFmtId="0" fontId="93" fillId="0" borderId="0" xfId="0" applyFont="1"/>
    <xf numFmtId="0" fontId="94" fillId="0" borderId="0" xfId="0" applyFont="1"/>
    <xf numFmtId="0" fontId="95" fillId="0" borderId="59" xfId="0" applyFont="1" applyBorder="1" applyAlignment="1">
      <alignment horizontal="center" vertical="center" wrapText="1"/>
    </xf>
    <xf numFmtId="0" fontId="96" fillId="0" borderId="59" xfId="0" applyFont="1" applyBorder="1" applyAlignment="1">
      <alignment vertical="center" wrapText="1"/>
    </xf>
    <xf numFmtId="38" fontId="96" fillId="0" borderId="59" xfId="0" applyNumberFormat="1" applyFont="1" applyBorder="1" applyAlignment="1">
      <alignment horizontal="center" vertical="center" shrinkToFit="1"/>
    </xf>
    <xf numFmtId="38" fontId="96" fillId="0" borderId="59" xfId="14" applyNumberFormat="1" applyFont="1" applyFill="1" applyBorder="1" applyAlignment="1">
      <alignment vertical="center" shrinkToFit="1"/>
    </xf>
    <xf numFmtId="0" fontId="97" fillId="0" borderId="0" xfId="0" applyFont="1"/>
    <xf numFmtId="0" fontId="98" fillId="0" borderId="0" xfId="0" applyFont="1"/>
    <xf numFmtId="0" fontId="82" fillId="0" borderId="65" xfId="0" applyFont="1" applyBorder="1" applyAlignment="1">
      <alignment horizontal="center" vertical="center" wrapText="1"/>
    </xf>
    <xf numFmtId="0" fontId="92" fillId="0" borderId="65" xfId="0" applyFont="1" applyBorder="1" applyAlignment="1">
      <alignment vertical="center" wrapText="1"/>
    </xf>
    <xf numFmtId="38" fontId="92" fillId="0" borderId="65" xfId="0" applyNumberFormat="1" applyFont="1" applyBorder="1" applyAlignment="1">
      <alignment horizontal="center" vertical="center" shrinkToFit="1"/>
    </xf>
    <xf numFmtId="38" fontId="92" fillId="0" borderId="65" xfId="14" applyNumberFormat="1" applyFont="1" applyFill="1" applyBorder="1" applyAlignment="1">
      <alignment vertical="center" shrinkToFit="1"/>
    </xf>
    <xf numFmtId="0" fontId="82" fillId="0" borderId="4" xfId="0" applyFont="1" applyBorder="1" applyAlignment="1">
      <alignment horizontal="center" vertical="center" wrapText="1"/>
    </xf>
    <xf numFmtId="0" fontId="92" fillId="0" borderId="4" xfId="0" applyFont="1" applyBorder="1" applyAlignment="1">
      <alignment vertical="center" wrapText="1"/>
    </xf>
    <xf numFmtId="38" fontId="92" fillId="0" borderId="4" xfId="0" applyNumberFormat="1" applyFont="1" applyBorder="1" applyAlignment="1">
      <alignment horizontal="center" vertical="center" shrinkToFit="1"/>
    </xf>
    <xf numFmtId="38" fontId="92" fillId="0" borderId="4" xfId="14" applyNumberFormat="1" applyFont="1" applyFill="1" applyBorder="1" applyAlignment="1">
      <alignment vertical="center" shrinkToFit="1"/>
    </xf>
    <xf numFmtId="0" fontId="6" fillId="0" borderId="0" xfId="3" applyFont="1" applyAlignment="1">
      <alignment horizontal="center"/>
    </xf>
    <xf numFmtId="0" fontId="13" fillId="0" borderId="0" xfId="3" applyFont="1"/>
    <xf numFmtId="168" fontId="13" fillId="0" borderId="0" xfId="3" applyNumberFormat="1" applyFont="1"/>
    <xf numFmtId="168" fontId="6" fillId="0" borderId="4" xfId="3" applyNumberFormat="1" applyFont="1" applyBorder="1" applyAlignment="1">
      <alignment horizontal="center" vertical="center" wrapText="1"/>
    </xf>
    <xf numFmtId="0" fontId="6" fillId="0" borderId="4" xfId="3" applyFont="1" applyBorder="1" applyAlignment="1">
      <alignment horizontal="center" vertical="center" wrapText="1"/>
    </xf>
    <xf numFmtId="49" fontId="7" fillId="0" borderId="4" xfId="3" applyNumberFormat="1" applyFont="1" applyBorder="1" applyAlignment="1">
      <alignment horizontal="center"/>
    </xf>
    <xf numFmtId="168" fontId="7" fillId="0" borderId="4" xfId="3" applyNumberFormat="1" applyFont="1" applyBorder="1" applyAlignment="1">
      <alignment horizontal="center"/>
    </xf>
    <xf numFmtId="49" fontId="10" fillId="0" borderId="6" xfId="3" applyNumberFormat="1" applyFont="1" applyBorder="1" applyAlignment="1">
      <alignment vertical="center" wrapText="1"/>
    </xf>
    <xf numFmtId="38" fontId="10" fillId="0" borderId="6" xfId="3" applyNumberFormat="1" applyFont="1" applyBorder="1" applyAlignment="1">
      <alignment shrinkToFit="1"/>
    </xf>
    <xf numFmtId="38" fontId="10" fillId="0" borderId="6" xfId="14" applyNumberFormat="1" applyFont="1" applyBorder="1" applyAlignment="1">
      <alignment shrinkToFit="1"/>
    </xf>
    <xf numFmtId="49" fontId="7" fillId="0" borderId="5" xfId="3" applyNumberFormat="1" applyFont="1" applyBorder="1" applyAlignment="1">
      <alignment vertical="center" wrapText="1"/>
    </xf>
    <xf numFmtId="38" fontId="7" fillId="0" borderId="5" xfId="3" applyNumberFormat="1" applyFont="1" applyBorder="1" applyAlignment="1">
      <alignment shrinkToFit="1"/>
    </xf>
    <xf numFmtId="38" fontId="7" fillId="0" borderId="5" xfId="3" applyNumberFormat="1" applyFont="1" applyBorder="1" applyAlignment="1">
      <alignment horizontal="right" shrinkToFit="1"/>
    </xf>
    <xf numFmtId="49" fontId="13" fillId="0" borderId="5" xfId="3" quotePrefix="1" applyNumberFormat="1" applyFont="1" applyBorder="1" applyAlignment="1">
      <alignment vertical="center" wrapText="1"/>
    </xf>
    <xf numFmtId="38" fontId="13" fillId="0" borderId="5" xfId="3" applyNumberFormat="1" applyFont="1" applyBorder="1" applyAlignment="1">
      <alignment shrinkToFit="1"/>
    </xf>
    <xf numFmtId="38" fontId="13" fillId="0" borderId="5" xfId="3" applyNumberFormat="1" applyFont="1" applyBorder="1" applyAlignment="1">
      <alignment horizontal="right" shrinkToFit="1"/>
    </xf>
    <xf numFmtId="49" fontId="10" fillId="0" borderId="5" xfId="3" applyNumberFormat="1" applyFont="1" applyBorder="1" applyAlignment="1">
      <alignment vertical="center" wrapText="1"/>
    </xf>
    <xf numFmtId="38" fontId="10" fillId="0" borderId="5" xfId="3" applyNumberFormat="1" applyFont="1" applyBorder="1" applyAlignment="1">
      <alignment shrinkToFit="1"/>
    </xf>
    <xf numFmtId="49" fontId="6" fillId="0" borderId="5" xfId="3" applyNumberFormat="1" applyFont="1" applyBorder="1" applyAlignment="1">
      <alignment vertical="center" wrapText="1"/>
    </xf>
    <xf numFmtId="38" fontId="6" fillId="0" borderId="5" xfId="3" applyNumberFormat="1" applyFont="1" applyBorder="1" applyAlignment="1">
      <alignment shrinkToFit="1"/>
    </xf>
    <xf numFmtId="38" fontId="6" fillId="0" borderId="5" xfId="3" applyNumberFormat="1" applyFont="1" applyBorder="1" applyAlignment="1">
      <alignment horizontal="right" shrinkToFit="1"/>
    </xf>
    <xf numFmtId="49" fontId="6" fillId="7" borderId="5" xfId="3" applyNumberFormat="1" applyFont="1" applyFill="1" applyBorder="1" applyAlignment="1">
      <alignment vertical="center" wrapText="1"/>
    </xf>
    <xf numFmtId="49" fontId="7" fillId="0" borderId="5" xfId="3" quotePrefix="1" applyNumberFormat="1" applyFont="1" applyBorder="1" applyAlignment="1">
      <alignment vertical="center" wrapText="1"/>
    </xf>
    <xf numFmtId="49" fontId="13" fillId="0" borderId="5" xfId="3" applyNumberFormat="1" applyFont="1" applyBorder="1" applyAlignment="1">
      <alignment vertical="center" wrapText="1"/>
    </xf>
    <xf numFmtId="49" fontId="6" fillId="0" borderId="8" xfId="3" applyNumberFormat="1" applyFont="1" applyBorder="1" applyAlignment="1">
      <alignment vertical="center" wrapText="1"/>
    </xf>
    <xf numFmtId="38" fontId="10" fillId="0" borderId="8" xfId="3" applyNumberFormat="1" applyFont="1" applyBorder="1" applyAlignment="1">
      <alignment shrinkToFit="1"/>
    </xf>
    <xf numFmtId="38" fontId="6" fillId="0" borderId="8" xfId="3" applyNumberFormat="1" applyFont="1" applyBorder="1" applyAlignment="1">
      <alignment shrinkToFit="1"/>
    </xf>
    <xf numFmtId="38" fontId="6" fillId="0" borderId="8" xfId="3" applyNumberFormat="1" applyFont="1" applyBorder="1" applyAlignment="1">
      <alignment horizontal="right" shrinkToFit="1"/>
    </xf>
    <xf numFmtId="0" fontId="10" fillId="0" borderId="0" xfId="3" applyFont="1"/>
    <xf numFmtId="168" fontId="7" fillId="0" borderId="0" xfId="3" applyNumberFormat="1" applyFont="1"/>
    <xf numFmtId="0" fontId="7" fillId="0" borderId="0" xfId="3" applyFont="1"/>
    <xf numFmtId="0" fontId="13" fillId="0" borderId="0" xfId="3" applyFont="1" applyAlignment="1">
      <alignment horizontal="left" vertical="center" wrapText="1"/>
    </xf>
    <xf numFmtId="0" fontId="1" fillId="0" borderId="6" xfId="0" applyFont="1" applyBorder="1" applyAlignment="1">
      <alignment horizontal="center" vertical="center"/>
    </xf>
    <xf numFmtId="169" fontId="1" fillId="0" borderId="6" xfId="16" applyNumberFormat="1" applyFont="1" applyFill="1" applyBorder="1" applyAlignment="1">
      <alignment vertical="center" wrapText="1"/>
    </xf>
    <xf numFmtId="38" fontId="1" fillId="0" borderId="6" xfId="16" applyNumberFormat="1" applyFont="1" applyBorder="1" applyAlignment="1">
      <alignment vertical="center" shrinkToFit="1"/>
    </xf>
    <xf numFmtId="0" fontId="1" fillId="0" borderId="6" xfId="0" applyFont="1" applyBorder="1" applyAlignment="1">
      <alignment wrapText="1"/>
    </xf>
    <xf numFmtId="49" fontId="1" fillId="0" borderId="5" xfId="16" applyNumberFormat="1" applyFont="1" applyFill="1" applyBorder="1" applyAlignment="1">
      <alignment vertical="center" wrapText="1"/>
    </xf>
    <xf numFmtId="38" fontId="1" fillId="0" borderId="5" xfId="16" applyNumberFormat="1" applyFont="1" applyBorder="1" applyAlignment="1">
      <alignment vertical="center" shrinkToFit="1"/>
    </xf>
    <xf numFmtId="0" fontId="1" fillId="0" borderId="5" xfId="0" applyFont="1" applyBorder="1" applyAlignment="1">
      <alignment wrapText="1"/>
    </xf>
    <xf numFmtId="169" fontId="1" fillId="0" borderId="5" xfId="16" applyNumberFormat="1" applyFont="1" applyFill="1" applyBorder="1" applyAlignment="1">
      <alignment vertical="center" wrapText="1"/>
    </xf>
    <xf numFmtId="169" fontId="1" fillId="0" borderId="5" xfId="16" applyNumberFormat="1" applyFont="1" applyFill="1" applyBorder="1" applyAlignment="1">
      <alignment horizontal="left" vertical="center" wrapText="1"/>
    </xf>
    <xf numFmtId="0" fontId="7" fillId="0" borderId="5" xfId="0" applyFont="1" applyBorder="1" applyAlignment="1">
      <alignment horizontal="justify" vertical="center"/>
    </xf>
    <xf numFmtId="38" fontId="42" fillId="0" borderId="8" xfId="16" applyNumberFormat="1" applyFont="1" applyBorder="1" applyAlignment="1">
      <alignment vertical="center" shrinkToFit="1"/>
    </xf>
    <xf numFmtId="0" fontId="1" fillId="0" borderId="8" xfId="0" applyFont="1" applyBorder="1" applyAlignment="1">
      <alignment wrapText="1"/>
    </xf>
    <xf numFmtId="0" fontId="88" fillId="0" borderId="62" xfId="0" applyFont="1" applyBorder="1" applyAlignment="1">
      <alignment horizontal="right" vertical="center"/>
    </xf>
    <xf numFmtId="0" fontId="90" fillId="6" borderId="58" xfId="0" applyFont="1" applyFill="1" applyBorder="1" applyAlignment="1">
      <alignment horizontal="center" vertical="center" shrinkToFit="1"/>
    </xf>
    <xf numFmtId="0" fontId="90" fillId="6" borderId="65" xfId="0" applyFont="1" applyFill="1" applyBorder="1" applyAlignment="1">
      <alignment horizontal="center" vertical="center" shrinkToFit="1"/>
    </xf>
    <xf numFmtId="0" fontId="1" fillId="0" borderId="5" xfId="0" applyFont="1" applyBorder="1" applyAlignment="1">
      <alignment horizontal="center"/>
    </xf>
    <xf numFmtId="38" fontId="1" fillId="0" borderId="5" xfId="0" applyNumberFormat="1" applyFont="1" applyBorder="1" applyAlignment="1">
      <alignment shrinkToFit="1"/>
    </xf>
    <xf numFmtId="0" fontId="47" fillId="0" borderId="0" xfId="0" applyFont="1"/>
    <xf numFmtId="0" fontId="43" fillId="0" borderId="0" xfId="0" applyFont="1"/>
    <xf numFmtId="169" fontId="42" fillId="0" borderId="0" xfId="14" applyNumberFormat="1" applyFont="1"/>
    <xf numFmtId="169" fontId="43" fillId="0" borderId="0" xfId="14" applyNumberFormat="1" applyFont="1"/>
    <xf numFmtId="169" fontId="0" fillId="0" borderId="0" xfId="14" applyNumberFormat="1" applyFont="1"/>
    <xf numFmtId="169" fontId="0" fillId="0" borderId="0" xfId="14" applyNumberFormat="1" applyFont="1" applyAlignment="1">
      <alignment horizontal="right"/>
    </xf>
    <xf numFmtId="169" fontId="42" fillId="0" borderId="4" xfId="14" applyNumberFormat="1" applyFont="1" applyBorder="1" applyAlignment="1">
      <alignment horizontal="center" vertical="center" wrapText="1"/>
    </xf>
    <xf numFmtId="169" fontId="0" fillId="0" borderId="4" xfId="14" applyNumberFormat="1" applyFont="1" applyBorder="1" applyAlignment="1">
      <alignment shrinkToFit="1"/>
    </xf>
    <xf numFmtId="38" fontId="0" fillId="0" borderId="4" xfId="14" applyNumberFormat="1" applyFont="1" applyBorder="1"/>
    <xf numFmtId="38" fontId="0" fillId="0" borderId="4" xfId="14" applyNumberFormat="1" applyFont="1" applyBorder="1" applyAlignment="1">
      <alignment horizontal="center"/>
    </xf>
    <xf numFmtId="169" fontId="1" fillId="0" borderId="4" xfId="14" applyNumberFormat="1" applyFont="1" applyBorder="1" applyAlignment="1">
      <alignment shrinkToFit="1"/>
    </xf>
    <xf numFmtId="9" fontId="0" fillId="0" borderId="4" xfId="2" applyFont="1" applyBorder="1" applyAlignment="1">
      <alignment horizontal="center"/>
    </xf>
    <xf numFmtId="169" fontId="42" fillId="0" borderId="0" xfId="14" applyNumberFormat="1" applyFont="1" applyBorder="1" applyAlignment="1">
      <alignment shrinkToFit="1"/>
    </xf>
    <xf numFmtId="9" fontId="0" fillId="0" borderId="0" xfId="14" applyNumberFormat="1" applyFont="1" applyBorder="1"/>
    <xf numFmtId="0" fontId="101" fillId="0" borderId="0" xfId="0" applyFont="1"/>
    <xf numFmtId="169" fontId="1" fillId="0" borderId="0" xfId="14" applyNumberFormat="1" applyFont="1" applyAlignment="1">
      <alignment horizontal="right"/>
    </xf>
    <xf numFmtId="169" fontId="0" fillId="0" borderId="4" xfId="14" applyNumberFormat="1" applyFont="1" applyBorder="1"/>
    <xf numFmtId="169" fontId="42" fillId="0" borderId="4" xfId="14" applyNumberFormat="1" applyFont="1" applyBorder="1"/>
    <xf numFmtId="0" fontId="1" fillId="0" borderId="4" xfId="14" applyNumberFormat="1" applyFont="1" applyBorder="1" applyAlignment="1">
      <alignment vertical="justify" wrapText="1"/>
    </xf>
    <xf numFmtId="169" fontId="0" fillId="0" borderId="4" xfId="14" applyNumberFormat="1" applyFont="1" applyBorder="1" applyAlignment="1">
      <alignment vertical="center"/>
    </xf>
    <xf numFmtId="38" fontId="0" fillId="0" borderId="4" xfId="14" applyNumberFormat="1" applyFont="1" applyBorder="1" applyAlignment="1">
      <alignment horizontal="center" vertical="center"/>
    </xf>
    <xf numFmtId="169" fontId="1" fillId="0" borderId="4" xfId="14" applyNumberFormat="1" applyFont="1" applyBorder="1"/>
    <xf numFmtId="169" fontId="0" fillId="0" borderId="0" xfId="14" applyNumberFormat="1" applyFont="1" applyBorder="1"/>
    <xf numFmtId="169" fontId="0" fillId="0" borderId="0" xfId="14" applyNumberFormat="1" applyFont="1" applyBorder="1" applyAlignment="1">
      <alignment horizontal="center"/>
    </xf>
    <xf numFmtId="0" fontId="0" fillId="0" borderId="0" xfId="0" applyAlignment="1">
      <alignment vertical="justify" wrapText="1"/>
    </xf>
    <xf numFmtId="9" fontId="0" fillId="0" borderId="4" xfId="14" applyNumberFormat="1" applyFont="1" applyBorder="1"/>
    <xf numFmtId="169" fontId="0" fillId="0" borderId="4" xfId="14" applyNumberFormat="1" applyFont="1" applyBorder="1" applyAlignment="1">
      <alignment horizontal="center"/>
    </xf>
    <xf numFmtId="0" fontId="0" fillId="0" borderId="0" xfId="14" applyNumberFormat="1" applyFont="1" applyAlignment="1">
      <alignment vertical="justify" wrapText="1"/>
    </xf>
    <xf numFmtId="2" fontId="42" fillId="0" borderId="0" xfId="14" applyNumberFormat="1" applyFont="1" applyAlignment="1">
      <alignment vertical="justify" wrapText="1"/>
    </xf>
    <xf numFmtId="2" fontId="1" fillId="0" borderId="0" xfId="14" applyNumberFormat="1" applyFont="1" applyAlignment="1">
      <alignment vertical="justify" wrapText="1"/>
    </xf>
    <xf numFmtId="169" fontId="42" fillId="0" borderId="0" xfId="14" applyNumberFormat="1" applyFont="1" applyBorder="1"/>
    <xf numFmtId="169" fontId="1" fillId="0" borderId="4" xfId="14" applyNumberFormat="1" applyFont="1" applyBorder="1" applyAlignment="1">
      <alignment horizontal="center" vertical="center" wrapText="1"/>
    </xf>
    <xf numFmtId="169" fontId="1" fillId="0" borderId="0" xfId="14" applyNumberFormat="1" applyFont="1"/>
    <xf numFmtId="169" fontId="0" fillId="0" borderId="0" xfId="14" applyNumberFormat="1" applyFont="1" applyBorder="1" applyAlignment="1">
      <alignment shrinkToFit="1"/>
    </xf>
    <xf numFmtId="169" fontId="1" fillId="0" borderId="0" xfId="14" applyNumberFormat="1" applyFont="1" applyBorder="1" applyAlignment="1">
      <alignment shrinkToFit="1"/>
    </xf>
    <xf numFmtId="169" fontId="42" fillId="0" borderId="0" xfId="14" applyNumberFormat="1" applyFont="1" applyAlignment="1">
      <alignment vertical="justify" wrapText="1"/>
    </xf>
    <xf numFmtId="169" fontId="0" fillId="0" borderId="0" xfId="14" applyNumberFormat="1" applyFont="1" applyAlignment="1">
      <alignment vertical="justify" wrapText="1"/>
    </xf>
    <xf numFmtId="169" fontId="42" fillId="0" borderId="0" xfId="14" applyNumberFormat="1" applyFont="1" applyBorder="1" applyAlignment="1">
      <alignment horizontal="center" vertical="center" wrapText="1"/>
    </xf>
    <xf numFmtId="38" fontId="42" fillId="0" borderId="6" xfId="0" applyNumberFormat="1" applyFont="1" applyBorder="1" applyAlignment="1">
      <alignment vertical="center"/>
    </xf>
    <xf numFmtId="0" fontId="43" fillId="0" borderId="5" xfId="0" applyFont="1" applyBorder="1" applyAlignment="1">
      <alignment horizontal="center" vertical="center" wrapText="1"/>
    </xf>
    <xf numFmtId="0" fontId="43" fillId="0" borderId="5" xfId="0" applyFont="1" applyBorder="1" applyAlignment="1">
      <alignment vertical="center" wrapText="1"/>
    </xf>
    <xf numFmtId="38" fontId="43" fillId="0" borderId="5" xfId="0" applyNumberFormat="1" applyFont="1" applyBorder="1" applyAlignment="1">
      <alignment vertical="center"/>
    </xf>
    <xf numFmtId="38" fontId="42" fillId="0" borderId="5" xfId="0" applyNumberFormat="1" applyFont="1" applyBorder="1" applyAlignment="1">
      <alignment vertical="center"/>
    </xf>
    <xf numFmtId="0" fontId="47" fillId="0" borderId="5" xfId="0" applyFont="1" applyBorder="1" applyAlignment="1">
      <alignment horizontal="center" vertical="center" wrapText="1"/>
    </xf>
    <xf numFmtId="0" fontId="47" fillId="0" borderId="5" xfId="0" applyFont="1" applyBorder="1" applyAlignment="1">
      <alignment vertical="center" wrapText="1"/>
    </xf>
    <xf numFmtId="38" fontId="47" fillId="0" borderId="5" xfId="0" applyNumberFormat="1" applyFont="1" applyBorder="1" applyAlignment="1">
      <alignment vertical="center"/>
    </xf>
    <xf numFmtId="0" fontId="47" fillId="0" borderId="5" xfId="0" applyFont="1" applyBorder="1"/>
    <xf numFmtId="0" fontId="0" fillId="0" borderId="5" xfId="0" applyBorder="1" applyAlignment="1">
      <alignment horizontal="center" vertical="center" wrapText="1"/>
    </xf>
    <xf numFmtId="38" fontId="0" fillId="0" borderId="5" xfId="0" applyNumberFormat="1" applyBorder="1" applyAlignment="1">
      <alignment vertical="center"/>
    </xf>
    <xf numFmtId="0" fontId="1" fillId="0" borderId="5" xfId="0" applyFont="1" applyBorder="1" applyAlignment="1">
      <alignment horizontal="center" vertical="center" wrapText="1"/>
    </xf>
    <xf numFmtId="0" fontId="50" fillId="0" borderId="5" xfId="4" applyFont="1" applyBorder="1" applyAlignment="1">
      <alignment vertical="center" wrapText="1"/>
    </xf>
    <xf numFmtId="38" fontId="1" fillId="0" borderId="5" xfId="0" applyNumberFormat="1" applyFont="1" applyBorder="1" applyAlignment="1">
      <alignment vertical="center"/>
    </xf>
    <xf numFmtId="0" fontId="47" fillId="0" borderId="8" xfId="0" applyFont="1" applyBorder="1" applyAlignment="1">
      <alignment horizontal="center" vertical="center" wrapText="1"/>
    </xf>
    <xf numFmtId="0" fontId="47" fillId="0" borderId="8" xfId="0" applyFont="1" applyBorder="1" applyAlignment="1">
      <alignment vertical="center" wrapText="1"/>
    </xf>
    <xf numFmtId="38" fontId="47" fillId="0" borderId="8" xfId="0" applyNumberFormat="1" applyFont="1" applyBorder="1" applyAlignment="1">
      <alignment vertical="center"/>
    </xf>
    <xf numFmtId="0" fontId="1" fillId="0" borderId="0" xfId="4" applyFont="1" applyAlignment="1">
      <alignment vertical="center" wrapText="1"/>
    </xf>
    <xf numFmtId="38" fontId="0" fillId="0" borderId="0" xfId="0" applyNumberFormat="1" applyAlignment="1">
      <alignment vertical="center"/>
    </xf>
    <xf numFmtId="38" fontId="0" fillId="0" borderId="0" xfId="0" applyNumberFormat="1"/>
    <xf numFmtId="0" fontId="1" fillId="0" borderId="0" xfId="10" applyFont="1" applyAlignment="1">
      <alignment horizontal="center" wrapText="1"/>
    </xf>
    <xf numFmtId="0" fontId="1" fillId="0" borderId="0" xfId="10" applyFont="1" applyAlignment="1">
      <alignment horizontal="left" wrapText="1"/>
    </xf>
    <xf numFmtId="0" fontId="1" fillId="0" borderId="0" xfId="10" applyFont="1" applyAlignment="1">
      <alignment horizontal="right" wrapText="1"/>
    </xf>
    <xf numFmtId="0" fontId="42" fillId="0" borderId="0" xfId="10" applyFont="1" applyAlignment="1">
      <alignment horizontal="right" wrapText="1"/>
    </xf>
    <xf numFmtId="0" fontId="1" fillId="0" borderId="0" xfId="10" applyFont="1" applyAlignment="1">
      <alignment wrapText="1"/>
    </xf>
    <xf numFmtId="0" fontId="1" fillId="2" borderId="0" xfId="10" applyFont="1" applyFill="1" applyAlignment="1">
      <alignment wrapText="1"/>
    </xf>
    <xf numFmtId="0" fontId="42" fillId="0" borderId="0" xfId="10" applyFont="1" applyAlignment="1">
      <alignment wrapText="1"/>
    </xf>
    <xf numFmtId="0" fontId="42" fillId="0" borderId="0" xfId="10" applyFont="1" applyAlignment="1">
      <alignment horizontal="left" wrapText="1"/>
    </xf>
    <xf numFmtId="0" fontId="47" fillId="0" borderId="29" xfId="10" applyFont="1" applyBorder="1" applyAlignment="1">
      <alignment horizontal="right" wrapText="1"/>
    </xf>
    <xf numFmtId="0" fontId="42" fillId="0" borderId="4" xfId="10" applyFont="1" applyBorder="1" applyAlignment="1">
      <alignment horizontal="center" vertical="top" wrapText="1"/>
    </xf>
    <xf numFmtId="0" fontId="42" fillId="0" borderId="4" xfId="10" applyFont="1" applyBorder="1" applyAlignment="1">
      <alignment horizontal="center" vertical="center"/>
    </xf>
    <xf numFmtId="0" fontId="1" fillId="0" borderId="4" xfId="10" applyFont="1" applyBorder="1" applyAlignment="1">
      <alignment horizontal="center" wrapText="1"/>
    </xf>
    <xf numFmtId="0" fontId="1" fillId="0" borderId="1" xfId="10" applyFont="1" applyBorder="1" applyAlignment="1">
      <alignment horizontal="center" wrapText="1"/>
    </xf>
    <xf numFmtId="0" fontId="42" fillId="0" borderId="6" xfId="10" applyFont="1" applyBorder="1" applyAlignment="1">
      <alignment horizontal="center" wrapText="1"/>
    </xf>
    <xf numFmtId="0" fontId="42" fillId="0" borderId="6" xfId="10" applyFont="1" applyBorder="1" applyAlignment="1">
      <alignment horizontal="left" wrapText="1"/>
    </xf>
    <xf numFmtId="3" fontId="43" fillId="0" borderId="6" xfId="10" applyNumberFormat="1" applyFont="1" applyBorder="1" applyAlignment="1">
      <alignment wrapText="1"/>
    </xf>
    <xf numFmtId="0" fontId="1" fillId="0" borderId="6" xfId="10" applyFont="1" applyBorder="1" applyAlignment="1">
      <alignment horizontal="center" wrapText="1"/>
    </xf>
    <xf numFmtId="3" fontId="42" fillId="0" borderId="0" xfId="10" applyNumberFormat="1" applyFont="1" applyAlignment="1">
      <alignment wrapText="1"/>
    </xf>
    <xf numFmtId="10" fontId="42" fillId="0" borderId="0" xfId="2" applyNumberFormat="1" applyFont="1" applyFill="1" applyAlignment="1">
      <alignment wrapText="1"/>
    </xf>
    <xf numFmtId="0" fontId="1" fillId="0" borderId="30" xfId="10" applyFont="1" applyBorder="1" applyAlignment="1">
      <alignment horizontal="center" wrapText="1"/>
    </xf>
    <xf numFmtId="0" fontId="1" fillId="0" borderId="5" xfId="10" applyFont="1" applyBorder="1" applyAlignment="1">
      <alignment vertical="top" wrapText="1"/>
    </xf>
    <xf numFmtId="3" fontId="1" fillId="0" borderId="30" xfId="10" applyNumberFormat="1" applyFont="1" applyBorder="1" applyAlignment="1">
      <alignment wrapText="1"/>
    </xf>
    <xf numFmtId="0" fontId="1" fillId="0" borderId="5" xfId="10" quotePrefix="1" applyFont="1" applyBorder="1" applyAlignment="1">
      <alignment vertical="top" wrapText="1"/>
    </xf>
    <xf numFmtId="0" fontId="43" fillId="0" borderId="5" xfId="10" applyFont="1" applyBorder="1" applyAlignment="1">
      <alignment horizontal="center" vertical="top" wrapText="1"/>
    </xf>
    <xf numFmtId="0" fontId="43" fillId="0" borderId="5" xfId="10" applyFont="1" applyBorder="1" applyAlignment="1">
      <alignment vertical="top" wrapText="1"/>
    </xf>
    <xf numFmtId="3" fontId="43" fillId="0" borderId="5" xfId="10" applyNumberFormat="1" applyFont="1" applyBorder="1" applyAlignment="1">
      <alignment vertical="top" wrapText="1"/>
    </xf>
    <xf numFmtId="3" fontId="1" fillId="0" borderId="5" xfId="10" applyNumberFormat="1" applyFont="1" applyBorder="1" applyAlignment="1">
      <alignment vertical="top" wrapText="1"/>
    </xf>
    <xf numFmtId="0" fontId="42" fillId="0" borderId="4" xfId="10" applyFont="1" applyBorder="1" applyAlignment="1">
      <alignment wrapText="1"/>
    </xf>
    <xf numFmtId="0" fontId="42" fillId="0" borderId="4" xfId="10" applyFont="1" applyBorder="1"/>
    <xf numFmtId="3" fontId="43" fillId="0" borderId="5" xfId="10" applyNumberFormat="1" applyFont="1" applyBorder="1" applyAlignment="1">
      <alignment horizontal="left" vertical="top" wrapText="1"/>
    </xf>
    <xf numFmtId="166" fontId="42" fillId="0" borderId="30" xfId="6" applyFont="1" applyFill="1" applyBorder="1" applyAlignment="1">
      <alignment wrapText="1"/>
    </xf>
    <xf numFmtId="164" fontId="42" fillId="0" borderId="30" xfId="10" applyNumberFormat="1" applyFont="1" applyBorder="1" applyAlignment="1">
      <alignment wrapText="1"/>
    </xf>
    <xf numFmtId="0" fontId="42" fillId="0" borderId="30" xfId="10" applyFont="1" applyBorder="1" applyAlignment="1">
      <alignment wrapText="1"/>
    </xf>
    <xf numFmtId="166" fontId="1" fillId="0" borderId="5" xfId="6" applyFont="1" applyFill="1" applyBorder="1" applyAlignment="1">
      <alignment wrapText="1"/>
    </xf>
    <xf numFmtId="164" fontId="1" fillId="0" borderId="5" xfId="10" applyNumberFormat="1" applyFont="1" applyBorder="1" applyAlignment="1">
      <alignment wrapText="1"/>
    </xf>
    <xf numFmtId="0" fontId="1" fillId="0" borderId="5" xfId="10" applyFont="1" applyBorder="1" applyAlignment="1">
      <alignment wrapText="1"/>
    </xf>
    <xf numFmtId="0" fontId="1" fillId="0" borderId="5" xfId="10" applyFont="1" applyBorder="1" applyAlignment="1">
      <alignment horizontal="center" vertical="top" wrapText="1"/>
    </xf>
    <xf numFmtId="0" fontId="1" fillId="0" borderId="5" xfId="10" applyFont="1" applyBorder="1"/>
    <xf numFmtId="166" fontId="1" fillId="0" borderId="5" xfId="6" applyFont="1" applyFill="1" applyBorder="1" applyAlignment="1"/>
    <xf numFmtId="164" fontId="1" fillId="0" borderId="5" xfId="10" applyNumberFormat="1" applyFont="1" applyBorder="1"/>
    <xf numFmtId="0" fontId="44" fillId="0" borderId="5" xfId="10" applyFont="1" applyBorder="1" applyAlignment="1">
      <alignment horizontal="center" vertical="top" wrapText="1"/>
    </xf>
    <xf numFmtId="3" fontId="44" fillId="0" borderId="5" xfId="10" applyNumberFormat="1" applyFont="1" applyBorder="1" applyAlignment="1">
      <alignment vertical="top" wrapText="1"/>
    </xf>
    <xf numFmtId="0" fontId="42" fillId="0" borderId="8" xfId="10" applyFont="1" applyBorder="1"/>
    <xf numFmtId="164" fontId="42" fillId="0" borderId="8" xfId="10" applyNumberFormat="1" applyFont="1" applyBorder="1"/>
    <xf numFmtId="166" fontId="42" fillId="0" borderId="8" xfId="6" applyFont="1" applyFill="1" applyBorder="1" applyAlignment="1"/>
    <xf numFmtId="0" fontId="1" fillId="0" borderId="5" xfId="10" applyFont="1" applyBorder="1" applyAlignment="1">
      <alignment horizontal="center" vertical="center" wrapText="1"/>
    </xf>
    <xf numFmtId="3" fontId="1" fillId="0" borderId="5" xfId="10" applyNumberFormat="1" applyFont="1" applyBorder="1" applyAlignment="1">
      <alignment vertical="center" wrapText="1"/>
    </xf>
    <xf numFmtId="0" fontId="1" fillId="0" borderId="0" xfId="10" applyFont="1" applyAlignment="1">
      <alignment horizontal="center" vertical="center" wrapText="1"/>
    </xf>
    <xf numFmtId="0" fontId="1" fillId="0" borderId="8" xfId="10" applyFont="1" applyBorder="1" applyAlignment="1">
      <alignment horizontal="center" vertical="center" wrapText="1"/>
    </xf>
    <xf numFmtId="0" fontId="1" fillId="0" borderId="8" xfId="10" applyFont="1" applyBorder="1" applyAlignment="1">
      <alignment horizontal="left" vertical="center" wrapText="1"/>
    </xf>
    <xf numFmtId="0" fontId="1" fillId="0" borderId="8" xfId="10" applyFont="1" applyBorder="1" applyAlignment="1">
      <alignment horizontal="right" vertical="center" wrapText="1"/>
    </xf>
    <xf numFmtId="0" fontId="1" fillId="0" borderId="0" xfId="10" applyFont="1" applyAlignment="1">
      <alignment horizontal="left" vertical="center" wrapText="1"/>
    </xf>
    <xf numFmtId="0" fontId="1" fillId="0" borderId="0" xfId="10" applyFont="1" applyAlignment="1">
      <alignment horizontal="right" vertical="center" wrapText="1"/>
    </xf>
    <xf numFmtId="3" fontId="1" fillId="0" borderId="0" xfId="10" applyNumberFormat="1" applyFont="1" applyAlignment="1">
      <alignment horizontal="center" wrapText="1"/>
    </xf>
    <xf numFmtId="0" fontId="1" fillId="0" borderId="0" xfId="17" applyFont="1"/>
    <xf numFmtId="0" fontId="42" fillId="0" borderId="0" xfId="17" applyFont="1"/>
    <xf numFmtId="178" fontId="38" fillId="0" borderId="0" xfId="17" applyNumberFormat="1" applyFont="1"/>
    <xf numFmtId="178" fontId="51" fillId="0" borderId="0" xfId="17" applyNumberFormat="1" applyFont="1"/>
    <xf numFmtId="0" fontId="104" fillId="0" borderId="0" xfId="17" applyFont="1"/>
    <xf numFmtId="0" fontId="42" fillId="0" borderId="0" xfId="17" applyFont="1" applyAlignment="1">
      <alignment horizontal="center" vertical="center"/>
    </xf>
    <xf numFmtId="178" fontId="38" fillId="0" borderId="26" xfId="17" applyNumberFormat="1" applyFont="1" applyBorder="1" applyAlignment="1">
      <alignment horizontal="center" vertical="center"/>
    </xf>
    <xf numFmtId="178" fontId="38" fillId="0" borderId="27" xfId="17" applyNumberFormat="1" applyFont="1" applyBorder="1" applyAlignment="1">
      <alignment horizontal="center" vertical="center" wrapText="1"/>
    </xf>
    <xf numFmtId="178" fontId="38" fillId="0" borderId="27" xfId="17" quotePrefix="1" applyNumberFormat="1" applyFont="1" applyBorder="1" applyAlignment="1">
      <alignment horizontal="center" vertical="center" wrapText="1"/>
    </xf>
    <xf numFmtId="178" fontId="38" fillId="0" borderId="28" xfId="17" quotePrefix="1" applyNumberFormat="1" applyFont="1" applyBorder="1" applyAlignment="1">
      <alignment horizontal="center" vertical="center" wrapText="1"/>
    </xf>
    <xf numFmtId="0" fontId="2" fillId="0" borderId="0" xfId="17" applyFont="1"/>
    <xf numFmtId="178" fontId="39" fillId="0" borderId="71" xfId="5" applyNumberFormat="1" applyFont="1" applyBorder="1" applyAlignment="1">
      <alignment horizontal="center"/>
    </xf>
    <xf numFmtId="178" fontId="39" fillId="0" borderId="72" xfId="5" applyNumberFormat="1" applyFont="1" applyBorder="1" applyAlignment="1">
      <alignment horizontal="center" vertical="center" wrapText="1"/>
    </xf>
    <xf numFmtId="165" fontId="39" fillId="0" borderId="72" xfId="14" applyFont="1" applyFill="1" applyBorder="1" applyAlignment="1">
      <alignment horizontal="center" vertical="center" shrinkToFit="1"/>
    </xf>
    <xf numFmtId="178" fontId="39" fillId="0" borderId="72" xfId="17" applyNumberFormat="1" applyFont="1" applyBorder="1" applyAlignment="1">
      <alignment vertical="center" shrinkToFit="1"/>
    </xf>
    <xf numFmtId="165" fontId="39" fillId="0" borderId="73" xfId="14" applyFont="1" applyFill="1" applyBorder="1" applyAlignment="1">
      <alignment vertical="center" shrinkToFit="1"/>
    </xf>
    <xf numFmtId="178" fontId="39" fillId="0" borderId="41" xfId="5" applyNumberFormat="1" applyFont="1" applyBorder="1" applyAlignment="1">
      <alignment horizontal="center"/>
    </xf>
    <xf numFmtId="178" fontId="39" fillId="0" borderId="30" xfId="5" applyNumberFormat="1" applyFont="1" applyBorder="1" applyAlignment="1">
      <alignment horizontal="center" vertical="center" wrapText="1"/>
    </xf>
    <xf numFmtId="165" fontId="39" fillId="0" borderId="30" xfId="14" applyFont="1" applyFill="1" applyBorder="1" applyAlignment="1">
      <alignment horizontal="center" vertical="center" shrinkToFit="1"/>
    </xf>
    <xf numFmtId="178" fontId="39" fillId="0" borderId="30" xfId="17" applyNumberFormat="1" applyFont="1" applyBorder="1" applyAlignment="1">
      <alignment vertical="center" shrinkToFit="1"/>
    </xf>
    <xf numFmtId="178" fontId="39" fillId="2" borderId="30" xfId="5" applyNumberFormat="1" applyFont="1" applyFill="1" applyBorder="1" applyAlignment="1">
      <alignment horizontal="center" vertical="center" wrapText="1"/>
    </xf>
    <xf numFmtId="178" fontId="39" fillId="2" borderId="30" xfId="17" applyNumberFormat="1" applyFont="1" applyFill="1" applyBorder="1" applyAlignment="1">
      <alignment vertical="center" shrinkToFit="1"/>
    </xf>
    <xf numFmtId="165" fontId="39" fillId="0" borderId="31" xfId="14" applyFont="1" applyFill="1" applyBorder="1" applyAlignment="1">
      <alignment vertical="center" shrinkToFit="1"/>
    </xf>
    <xf numFmtId="178" fontId="39" fillId="0" borderId="20" xfId="5" applyNumberFormat="1" applyFont="1" applyBorder="1" applyAlignment="1">
      <alignment horizontal="center"/>
    </xf>
    <xf numFmtId="178" fontId="39" fillId="0" borderId="5" xfId="5" applyNumberFormat="1" applyFont="1" applyBorder="1" applyAlignment="1">
      <alignment vertical="center" wrapText="1"/>
    </xf>
    <xf numFmtId="178" fontId="39" fillId="0" borderId="5" xfId="17" applyNumberFormat="1" applyFont="1" applyBorder="1" applyAlignment="1">
      <alignment horizontal="center" vertical="center" shrinkToFit="1"/>
    </xf>
    <xf numFmtId="178" fontId="39" fillId="0" borderId="5" xfId="17" applyNumberFormat="1" applyFont="1" applyBorder="1" applyAlignment="1">
      <alignment vertical="center" shrinkToFit="1"/>
    </xf>
    <xf numFmtId="165" fontId="39" fillId="0" borderId="21" xfId="14" applyFont="1" applyFill="1" applyBorder="1" applyAlignment="1">
      <alignment vertical="center" shrinkToFit="1"/>
    </xf>
    <xf numFmtId="178" fontId="39" fillId="0" borderId="20" xfId="5" applyNumberFormat="1" applyFont="1" applyBorder="1" applyAlignment="1">
      <alignment horizontal="center" vertical="center" wrapText="1"/>
    </xf>
    <xf numFmtId="178" fontId="39" fillId="0" borderId="5" xfId="5" applyNumberFormat="1" applyFont="1" applyBorder="1" applyAlignment="1">
      <alignment horizontal="left" vertical="center" wrapText="1"/>
    </xf>
    <xf numFmtId="178" fontId="38" fillId="0" borderId="5" xfId="17" applyNumberFormat="1" applyFont="1" applyBorder="1" applyAlignment="1">
      <alignment horizontal="center" vertical="center" shrinkToFit="1"/>
    </xf>
    <xf numFmtId="0" fontId="43" fillId="0" borderId="0" xfId="17" applyFont="1"/>
    <xf numFmtId="178" fontId="37" fillId="0" borderId="5" xfId="17" applyNumberFormat="1" applyFont="1" applyBorder="1" applyAlignment="1">
      <alignment horizontal="center" vertical="center" shrinkToFit="1"/>
    </xf>
    <xf numFmtId="178" fontId="37" fillId="0" borderId="20" xfId="5" applyNumberFormat="1" applyFont="1" applyBorder="1" applyAlignment="1">
      <alignment horizontal="center" vertical="center" wrapText="1"/>
    </xf>
    <xf numFmtId="178" fontId="37" fillId="0" borderId="5" xfId="5" applyNumberFormat="1" applyFont="1" applyBorder="1" applyAlignment="1">
      <alignment horizontal="left" vertical="center" wrapText="1"/>
    </xf>
    <xf numFmtId="178" fontId="37" fillId="0" borderId="5" xfId="17" applyNumberFormat="1" applyFont="1" applyBorder="1" applyAlignment="1">
      <alignment vertical="center" shrinkToFit="1"/>
    </xf>
    <xf numFmtId="165" fontId="37" fillId="0" borderId="21" xfId="14" applyFont="1" applyFill="1" applyBorder="1" applyAlignment="1">
      <alignment vertical="center" shrinkToFit="1"/>
    </xf>
    <xf numFmtId="178" fontId="38" fillId="0" borderId="20" xfId="5" applyNumberFormat="1" applyFont="1" applyBorder="1" applyAlignment="1">
      <alignment horizontal="center" vertical="center" wrapText="1"/>
    </xf>
    <xf numFmtId="178" fontId="38" fillId="0" borderId="5" xfId="5" applyNumberFormat="1" applyFont="1" applyBorder="1" applyAlignment="1">
      <alignment horizontal="left" vertical="center" wrapText="1"/>
    </xf>
    <xf numFmtId="178" fontId="38" fillId="0" borderId="5" xfId="17" applyNumberFormat="1" applyFont="1" applyBorder="1" applyAlignment="1">
      <alignment vertical="center" shrinkToFit="1"/>
    </xf>
    <xf numFmtId="178" fontId="38" fillId="0" borderId="5" xfId="18" applyNumberFormat="1" applyFont="1" applyBorder="1" applyAlignment="1">
      <alignment vertical="center" shrinkToFit="1"/>
    </xf>
    <xf numFmtId="165" fontId="38" fillId="0" borderId="21" xfId="14" applyFont="1" applyFill="1" applyBorder="1" applyAlignment="1">
      <alignment vertical="center" shrinkToFit="1"/>
    </xf>
    <xf numFmtId="184" fontId="38" fillId="0" borderId="5" xfId="17" applyNumberFormat="1" applyFont="1" applyBorder="1" applyAlignment="1">
      <alignment vertical="center" shrinkToFit="1"/>
    </xf>
    <xf numFmtId="2" fontId="38" fillId="0" borderId="5" xfId="17" applyNumberFormat="1" applyFont="1" applyBorder="1" applyAlignment="1">
      <alignment vertical="center" shrinkToFit="1"/>
    </xf>
    <xf numFmtId="171" fontId="37" fillId="0" borderId="5" xfId="2" applyNumberFormat="1" applyFont="1" applyFill="1" applyBorder="1" applyAlignment="1">
      <alignment vertical="center" shrinkToFit="1"/>
    </xf>
    <xf numFmtId="0" fontId="1" fillId="0" borderId="0" xfId="17" applyFont="1" applyAlignment="1">
      <alignment vertical="center"/>
    </xf>
    <xf numFmtId="0" fontId="42" fillId="0" borderId="0" xfId="17" applyFont="1" applyAlignment="1">
      <alignment vertical="center"/>
    </xf>
    <xf numFmtId="0" fontId="44" fillId="0" borderId="0" xfId="17" applyFont="1"/>
    <xf numFmtId="178" fontId="105" fillId="0" borderId="5" xfId="17" applyNumberFormat="1" applyFont="1" applyBorder="1" applyAlignment="1">
      <alignment vertical="center" shrinkToFit="1"/>
    </xf>
    <xf numFmtId="165" fontId="105" fillId="0" borderId="21" xfId="14" applyFont="1" applyFill="1" applyBorder="1" applyAlignment="1">
      <alignment vertical="center" shrinkToFit="1"/>
    </xf>
    <xf numFmtId="178" fontId="37" fillId="0" borderId="5" xfId="18" applyNumberFormat="1" applyFont="1" applyBorder="1" applyAlignment="1">
      <alignment vertical="center" shrinkToFit="1"/>
    </xf>
    <xf numFmtId="185" fontId="38" fillId="0" borderId="5" xfId="14" applyNumberFormat="1" applyFont="1" applyFill="1" applyBorder="1" applyAlignment="1">
      <alignment vertical="center" shrinkToFit="1"/>
    </xf>
    <xf numFmtId="178" fontId="39" fillId="0" borderId="5" xfId="5" applyNumberFormat="1" applyFont="1" applyBorder="1" applyAlignment="1">
      <alignment horizontal="left" vertical="center"/>
    </xf>
    <xf numFmtId="0" fontId="1" fillId="0" borderId="5" xfId="14" applyNumberFormat="1" applyFont="1" applyFill="1" applyBorder="1" applyAlignment="1">
      <alignment vertical="justify" wrapText="1"/>
    </xf>
    <xf numFmtId="169" fontId="37" fillId="0" borderId="5" xfId="14" applyNumberFormat="1" applyFont="1" applyFill="1" applyBorder="1" applyAlignment="1">
      <alignment vertical="center" shrinkToFit="1"/>
    </xf>
    <xf numFmtId="178" fontId="38" fillId="5" borderId="5" xfId="17" applyNumberFormat="1" applyFont="1" applyFill="1" applyBorder="1" applyAlignment="1">
      <alignment vertical="center" shrinkToFit="1"/>
    </xf>
    <xf numFmtId="165" fontId="38" fillId="0" borderId="5" xfId="14" applyFont="1" applyFill="1" applyBorder="1" applyAlignment="1">
      <alignment vertical="center" shrinkToFit="1"/>
    </xf>
    <xf numFmtId="3" fontId="38" fillId="0" borderId="5" xfId="2" applyNumberFormat="1" applyFont="1" applyFill="1" applyBorder="1" applyAlignment="1">
      <alignment vertical="center" shrinkToFit="1"/>
    </xf>
    <xf numFmtId="3" fontId="37" fillId="0" borderId="5" xfId="2" applyNumberFormat="1" applyFont="1" applyFill="1" applyBorder="1" applyAlignment="1">
      <alignment vertical="center" shrinkToFit="1"/>
    </xf>
    <xf numFmtId="165" fontId="37" fillId="0" borderId="5" xfId="14" applyFont="1" applyFill="1" applyBorder="1" applyAlignment="1">
      <alignment vertical="center" shrinkToFit="1"/>
    </xf>
    <xf numFmtId="0" fontId="38" fillId="0" borderId="5" xfId="5" applyFont="1" applyBorder="1" applyAlignment="1">
      <alignment horizontal="left" vertical="center" wrapText="1"/>
    </xf>
    <xf numFmtId="165" fontId="39" fillId="0" borderId="5" xfId="14" applyFont="1" applyFill="1" applyBorder="1" applyAlignment="1">
      <alignment vertical="center" shrinkToFit="1"/>
    </xf>
    <xf numFmtId="184" fontId="38" fillId="0" borderId="5" xfId="18" applyNumberFormat="1" applyFont="1" applyBorder="1" applyAlignment="1">
      <alignment vertical="center" shrinkToFit="1"/>
    </xf>
    <xf numFmtId="178" fontId="38" fillId="0" borderId="5" xfId="17" applyNumberFormat="1" applyFont="1" applyBorder="1" applyAlignment="1">
      <alignment horizontal="right" vertical="center" shrinkToFit="1"/>
    </xf>
    <xf numFmtId="186" fontId="38" fillId="0" borderId="5" xfId="17" applyNumberFormat="1" applyFont="1" applyBorder="1" applyAlignment="1">
      <alignment vertical="center" shrinkToFit="1"/>
    </xf>
    <xf numFmtId="187" fontId="38" fillId="0" borderId="5" xfId="18" applyNumberFormat="1" applyFont="1" applyBorder="1" applyAlignment="1">
      <alignment vertical="center" shrinkToFit="1"/>
    </xf>
    <xf numFmtId="9" fontId="38" fillId="0" borderId="5" xfId="2" applyFont="1" applyFill="1" applyBorder="1" applyAlignment="1">
      <alignment vertical="center" shrinkToFit="1"/>
    </xf>
    <xf numFmtId="178" fontId="51" fillId="0" borderId="20" xfId="5" applyNumberFormat="1" applyFont="1" applyBorder="1" applyAlignment="1">
      <alignment horizontal="center" vertical="center" wrapText="1"/>
    </xf>
    <xf numFmtId="178" fontId="51" fillId="0" borderId="5" xfId="5" applyNumberFormat="1" applyFont="1" applyBorder="1" applyAlignment="1">
      <alignment horizontal="left" vertical="center" wrapText="1"/>
    </xf>
    <xf numFmtId="178" fontId="51" fillId="0" borderId="5" xfId="17" applyNumberFormat="1" applyFont="1" applyBorder="1" applyAlignment="1">
      <alignment horizontal="center" vertical="center" shrinkToFit="1"/>
    </xf>
    <xf numFmtId="178" fontId="51" fillId="0" borderId="5" xfId="17" applyNumberFormat="1" applyFont="1" applyBorder="1" applyAlignment="1">
      <alignment vertical="center" shrinkToFit="1"/>
    </xf>
    <xf numFmtId="187" fontId="51" fillId="0" borderId="5" xfId="18" applyNumberFormat="1" applyFont="1" applyBorder="1" applyAlignment="1">
      <alignment vertical="center" shrinkToFit="1"/>
    </xf>
    <xf numFmtId="165" fontId="51" fillId="0" borderId="21" xfId="14" applyFont="1" applyFill="1" applyBorder="1" applyAlignment="1">
      <alignment vertical="center" shrinkToFit="1"/>
    </xf>
    <xf numFmtId="0" fontId="47" fillId="0" borderId="0" xfId="17" applyFont="1"/>
    <xf numFmtId="178" fontId="51" fillId="0" borderId="5" xfId="18" applyNumberFormat="1" applyFont="1" applyBorder="1" applyAlignment="1">
      <alignment vertical="center" shrinkToFit="1"/>
    </xf>
    <xf numFmtId="171" fontId="105" fillId="0" borderId="5" xfId="2" applyNumberFormat="1" applyFont="1" applyFill="1" applyBorder="1" applyAlignment="1">
      <alignment vertical="center" shrinkToFit="1"/>
    </xf>
    <xf numFmtId="178" fontId="37" fillId="2" borderId="20" xfId="5" applyNumberFormat="1" applyFont="1" applyFill="1" applyBorder="1" applyAlignment="1">
      <alignment horizontal="center" vertical="center" wrapText="1"/>
    </xf>
    <xf numFmtId="178" fontId="37" fillId="2" borderId="5" xfId="5" applyNumberFormat="1" applyFont="1" applyFill="1" applyBorder="1" applyAlignment="1">
      <alignment horizontal="left" vertical="center" wrapText="1"/>
    </xf>
    <xf numFmtId="178" fontId="38" fillId="2" borderId="5" xfId="17" applyNumberFormat="1" applyFont="1" applyFill="1" applyBorder="1" applyAlignment="1">
      <alignment horizontal="center" vertical="center" shrinkToFit="1"/>
    </xf>
    <xf numFmtId="178" fontId="38" fillId="2" borderId="5" xfId="17" applyNumberFormat="1" applyFont="1" applyFill="1" applyBorder="1" applyAlignment="1">
      <alignment vertical="center" shrinkToFit="1"/>
    </xf>
    <xf numFmtId="165" fontId="38" fillId="2" borderId="5" xfId="14" quotePrefix="1" applyFont="1" applyFill="1" applyBorder="1" applyAlignment="1">
      <alignment horizontal="right" vertical="center" shrinkToFit="1"/>
    </xf>
    <xf numFmtId="178" fontId="37" fillId="2" borderId="5" xfId="18" applyNumberFormat="1" applyFont="1" applyFill="1" applyBorder="1" applyAlignment="1">
      <alignment vertical="center" shrinkToFit="1"/>
    </xf>
    <xf numFmtId="165" fontId="38" fillId="2" borderId="21" xfId="14" applyFont="1" applyFill="1" applyBorder="1" applyAlignment="1">
      <alignment vertical="center" shrinkToFit="1"/>
    </xf>
    <xf numFmtId="178" fontId="1" fillId="0" borderId="42" xfId="17" applyNumberFormat="1" applyFont="1" applyBorder="1"/>
    <xf numFmtId="178" fontId="1" fillId="0" borderId="43" xfId="17" applyNumberFormat="1" applyFont="1" applyBorder="1" applyAlignment="1">
      <alignment vertical="center" wrapText="1"/>
    </xf>
    <xf numFmtId="178" fontId="1" fillId="0" borderId="43" xfId="17" applyNumberFormat="1" applyFont="1" applyBorder="1" applyAlignment="1">
      <alignment vertical="center" shrinkToFit="1"/>
    </xf>
    <xf numFmtId="165" fontId="1" fillId="0" borderId="57" xfId="14" applyFont="1" applyFill="1" applyBorder="1" applyAlignment="1">
      <alignment vertical="center" shrinkToFit="1"/>
    </xf>
    <xf numFmtId="178" fontId="1" fillId="0" borderId="0" xfId="17" applyNumberFormat="1" applyFont="1"/>
    <xf numFmtId="178" fontId="1" fillId="0" borderId="0" xfId="17" applyNumberFormat="1" applyFont="1" applyAlignment="1">
      <alignment vertical="center"/>
    </xf>
    <xf numFmtId="178" fontId="42" fillId="0" borderId="71" xfId="5" applyNumberFormat="1" applyFont="1" applyBorder="1" applyAlignment="1">
      <alignment horizontal="center"/>
    </xf>
    <xf numFmtId="178" fontId="42" fillId="0" borderId="72" xfId="5" applyNumberFormat="1" applyFont="1" applyBorder="1" applyAlignment="1">
      <alignment horizontal="left" vertical="center"/>
    </xf>
    <xf numFmtId="178" fontId="42" fillId="0" borderId="72" xfId="17" applyNumberFormat="1" applyFont="1" applyBorder="1" applyAlignment="1">
      <alignment vertical="center"/>
    </xf>
    <xf numFmtId="178" fontId="42" fillId="0" borderId="72" xfId="17" applyNumberFormat="1" applyFont="1" applyBorder="1" applyAlignment="1">
      <alignment vertical="center" shrinkToFit="1"/>
    </xf>
    <xf numFmtId="178" fontId="42" fillId="0" borderId="73" xfId="17" applyNumberFormat="1" applyFont="1" applyBorder="1" applyAlignment="1">
      <alignment vertical="center" shrinkToFit="1"/>
    </xf>
    <xf numFmtId="178" fontId="42" fillId="0" borderId="0" xfId="17" applyNumberFormat="1" applyFont="1" applyAlignment="1">
      <alignment vertical="center"/>
    </xf>
    <xf numFmtId="178" fontId="1" fillId="0" borderId="20" xfId="5" applyNumberFormat="1" applyFont="1" applyBorder="1" applyAlignment="1">
      <alignment horizontal="center"/>
    </xf>
    <xf numFmtId="178" fontId="1" fillId="0" borderId="5" xfId="17" applyNumberFormat="1" applyFont="1" applyBorder="1" applyAlignment="1">
      <alignment vertical="center"/>
    </xf>
    <xf numFmtId="178" fontId="1" fillId="0" borderId="21" xfId="17" applyNumberFormat="1" applyFont="1" applyBorder="1" applyAlignment="1">
      <alignment vertical="center" shrinkToFit="1"/>
    </xf>
    <xf numFmtId="178" fontId="1" fillId="0" borderId="5" xfId="17" applyNumberFormat="1" applyFont="1" applyBorder="1" applyAlignment="1">
      <alignment vertical="center" shrinkToFit="1"/>
    </xf>
    <xf numFmtId="184" fontId="1" fillId="0" borderId="5" xfId="17" applyNumberFormat="1" applyFont="1" applyBorder="1" applyAlignment="1">
      <alignment vertical="center" shrinkToFit="1"/>
    </xf>
    <xf numFmtId="178" fontId="1" fillId="0" borderId="9" xfId="17" applyNumberFormat="1" applyFont="1" applyBorder="1" applyAlignment="1">
      <alignment vertical="center"/>
    </xf>
    <xf numFmtId="178" fontId="1" fillId="0" borderId="9" xfId="17" applyNumberFormat="1" applyFont="1" applyBorder="1" applyAlignment="1">
      <alignment vertical="center" shrinkToFit="1"/>
    </xf>
    <xf numFmtId="178" fontId="1" fillId="0" borderId="76" xfId="17" applyNumberFormat="1" applyFont="1" applyBorder="1" applyAlignment="1">
      <alignment vertical="center" shrinkToFit="1"/>
    </xf>
    <xf numFmtId="178" fontId="1" fillId="0" borderId="42" xfId="5" applyNumberFormat="1" applyFont="1" applyBorder="1" applyAlignment="1">
      <alignment horizontal="center"/>
    </xf>
    <xf numFmtId="178" fontId="1" fillId="0" borderId="43" xfId="5" applyNumberFormat="1" applyFont="1" applyBorder="1" applyAlignment="1">
      <alignment horizontal="left" vertical="center"/>
    </xf>
    <xf numFmtId="178" fontId="1" fillId="0" borderId="43" xfId="17" applyNumberFormat="1" applyFont="1" applyBorder="1" applyAlignment="1">
      <alignment vertical="center"/>
    </xf>
    <xf numFmtId="178" fontId="1" fillId="0" borderId="57" xfId="17" applyNumberFormat="1" applyFont="1" applyBorder="1" applyAlignment="1">
      <alignment vertical="center" shrinkToFit="1"/>
    </xf>
    <xf numFmtId="169" fontId="1" fillId="0" borderId="0" xfId="14" applyNumberFormat="1" applyFont="1" applyFill="1"/>
    <xf numFmtId="165" fontId="1" fillId="0" borderId="0" xfId="14" applyFont="1" applyFill="1"/>
    <xf numFmtId="169" fontId="1" fillId="0" borderId="0" xfId="17" applyNumberFormat="1" applyFont="1"/>
    <xf numFmtId="3" fontId="1" fillId="0" borderId="29" xfId="0" applyNumberFormat="1" applyFont="1" applyBorder="1" applyAlignment="1">
      <alignment horizontal="center"/>
    </xf>
    <xf numFmtId="3" fontId="43" fillId="0" borderId="5" xfId="0" applyNumberFormat="1" applyFont="1" applyBorder="1" applyAlignment="1">
      <alignment horizontal="center" shrinkToFit="1"/>
    </xf>
    <xf numFmtId="3" fontId="42" fillId="0" borderId="5" xfId="0" applyNumberFormat="1" applyFont="1" applyBorder="1" applyAlignment="1">
      <alignment horizontal="center" shrinkToFit="1"/>
    </xf>
    <xf numFmtId="3" fontId="43" fillId="0" borderId="8" xfId="0" applyNumberFormat="1" applyFont="1" applyBorder="1" applyAlignment="1">
      <alignment horizontal="center" shrinkToFit="1"/>
    </xf>
    <xf numFmtId="3" fontId="42" fillId="0" borderId="7" xfId="0" applyNumberFormat="1" applyFont="1" applyBorder="1" applyAlignment="1">
      <alignment horizontal="center" vertical="center" shrinkToFit="1"/>
    </xf>
    <xf numFmtId="168" fontId="43" fillId="0" borderId="6" xfId="0" applyNumberFormat="1" applyFont="1" applyBorder="1" applyAlignment="1">
      <alignment horizontal="center" vertical="center" wrapText="1" shrinkToFit="1"/>
    </xf>
    <xf numFmtId="10" fontId="43" fillId="0" borderId="6" xfId="2" applyNumberFormat="1" applyFont="1" applyBorder="1" applyAlignment="1">
      <alignment vertical="center" shrinkToFit="1"/>
    </xf>
    <xf numFmtId="168" fontId="43" fillId="0" borderId="5" xfId="0" applyNumberFormat="1" applyFont="1" applyBorder="1" applyAlignment="1">
      <alignment horizontal="center" vertical="center" wrapText="1" shrinkToFit="1"/>
    </xf>
    <xf numFmtId="168" fontId="42" fillId="0" borderId="5" xfId="0" applyNumberFormat="1" applyFont="1" applyBorder="1" applyAlignment="1">
      <alignment horizontal="center" vertical="center" wrapText="1" shrinkToFit="1"/>
    </xf>
    <xf numFmtId="168" fontId="43" fillId="0" borderId="5" xfId="0" applyNumberFormat="1" applyFont="1" applyBorder="1" applyAlignment="1">
      <alignment vertical="center" shrinkToFit="1"/>
    </xf>
    <xf numFmtId="3" fontId="43" fillId="0" borderId="5" xfId="0" applyNumberFormat="1" applyFont="1" applyBorder="1" applyAlignment="1">
      <alignment horizontal="center" vertical="center" wrapText="1"/>
    </xf>
    <xf numFmtId="3" fontId="43" fillId="0" borderId="5" xfId="0" applyNumberFormat="1" applyFont="1" applyBorder="1" applyAlignment="1">
      <alignment vertical="center"/>
    </xf>
    <xf numFmtId="3" fontId="75" fillId="0" borderId="5" xfId="0" applyNumberFormat="1" applyFont="1" applyBorder="1" applyAlignment="1">
      <alignment horizontal="center" vertical="center" wrapText="1"/>
    </xf>
    <xf numFmtId="38" fontId="75" fillId="0" borderId="5" xfId="0" applyNumberFormat="1" applyFont="1" applyBorder="1" applyAlignment="1">
      <alignment vertical="center" shrinkToFit="1"/>
    </xf>
    <xf numFmtId="180" fontId="76" fillId="0" borderId="5" xfId="7" applyNumberFormat="1" applyFont="1" applyBorder="1" applyAlignment="1">
      <alignment shrinkToFit="1"/>
    </xf>
    <xf numFmtId="169" fontId="76" fillId="0" borderId="5" xfId="8" applyNumberFormat="1" applyFont="1" applyFill="1" applyBorder="1" applyAlignment="1">
      <alignment horizontal="center" shrinkToFit="1"/>
    </xf>
    <xf numFmtId="3" fontId="75" fillId="0" borderId="0" xfId="0" applyNumberFormat="1" applyFont="1"/>
    <xf numFmtId="0" fontId="38" fillId="0" borderId="5" xfId="0" applyFont="1" applyBorder="1" applyAlignment="1">
      <alignment vertical="center"/>
    </xf>
    <xf numFmtId="3" fontId="38" fillId="0" borderId="5" xfId="0" applyNumberFormat="1" applyFont="1" applyBorder="1" applyAlignment="1">
      <alignment vertical="center" shrinkToFit="1"/>
    </xf>
    <xf numFmtId="180" fontId="38" fillId="0" borderId="5" xfId="5" applyNumberFormat="1" applyFont="1" applyBorder="1" applyAlignment="1">
      <alignment shrinkToFit="1"/>
    </xf>
    <xf numFmtId="180" fontId="38" fillId="0" borderId="5" xfId="8" applyNumberFormat="1" applyFont="1" applyBorder="1" applyAlignment="1">
      <alignment shrinkToFit="1"/>
    </xf>
    <xf numFmtId="169" fontId="38" fillId="0" borderId="5" xfId="8" applyNumberFormat="1" applyFont="1" applyFill="1" applyBorder="1" applyAlignment="1">
      <alignment horizontal="center" shrinkToFit="1"/>
    </xf>
    <xf numFmtId="0" fontId="51" fillId="0" borderId="5" xfId="0" applyFont="1" applyBorder="1" applyAlignment="1">
      <alignment vertical="center"/>
    </xf>
    <xf numFmtId="38" fontId="47" fillId="0" borderId="5" xfId="0" applyNumberFormat="1" applyFont="1" applyBorder="1" applyAlignment="1">
      <alignment vertical="center" shrinkToFit="1"/>
    </xf>
    <xf numFmtId="180" fontId="51" fillId="0" borderId="5" xfId="5" applyNumberFormat="1" applyFont="1" applyBorder="1" applyAlignment="1">
      <alignment shrinkToFit="1"/>
    </xf>
    <xf numFmtId="180" fontId="51" fillId="0" borderId="5" xfId="8" applyNumberFormat="1" applyFont="1" applyBorder="1" applyAlignment="1">
      <alignment shrinkToFit="1"/>
    </xf>
    <xf numFmtId="169" fontId="51" fillId="0" borderId="5" xfId="8" applyNumberFormat="1" applyFont="1" applyFill="1" applyBorder="1" applyAlignment="1">
      <alignment horizontal="center" shrinkToFit="1"/>
    </xf>
    <xf numFmtId="3" fontId="1" fillId="0" borderId="5" xfId="0" applyNumberFormat="1" applyFont="1" applyBorder="1"/>
    <xf numFmtId="180" fontId="38" fillId="0" borderId="5" xfId="5" applyNumberFormat="1" applyFont="1" applyBorder="1" applyAlignment="1">
      <alignment vertical="center" shrinkToFit="1"/>
    </xf>
    <xf numFmtId="180" fontId="38" fillId="0" borderId="5" xfId="8" applyNumberFormat="1" applyFont="1" applyBorder="1" applyAlignment="1">
      <alignment vertical="center" shrinkToFit="1"/>
    </xf>
    <xf numFmtId="169" fontId="51" fillId="0" borderId="5" xfId="8" applyNumberFormat="1" applyFont="1" applyFill="1" applyBorder="1" applyAlignment="1">
      <alignment horizontal="center" vertical="center" shrinkToFit="1"/>
    </xf>
    <xf numFmtId="171" fontId="1" fillId="0" borderId="5" xfId="2" applyNumberFormat="1" applyFont="1" applyBorder="1" applyAlignment="1">
      <alignment vertical="center" shrinkToFit="1"/>
    </xf>
    <xf numFmtId="9" fontId="43" fillId="0" borderId="5" xfId="2" applyFont="1" applyBorder="1" applyAlignment="1">
      <alignment vertical="center" shrinkToFit="1"/>
    </xf>
    <xf numFmtId="10" fontId="45" fillId="0" borderId="5" xfId="2" applyNumberFormat="1" applyFont="1" applyBorder="1" applyAlignment="1">
      <alignment vertical="center" shrinkToFit="1"/>
    </xf>
    <xf numFmtId="169" fontId="43" fillId="0" borderId="5" xfId="14" applyNumberFormat="1" applyFont="1" applyBorder="1" applyAlignment="1">
      <alignment vertical="center" shrinkToFit="1"/>
    </xf>
    <xf numFmtId="9" fontId="45" fillId="0" borderId="5" xfId="2" applyFont="1" applyBorder="1" applyAlignment="1">
      <alignment vertical="center" shrinkToFit="1"/>
    </xf>
    <xf numFmtId="3" fontId="45" fillId="0" borderId="0" xfId="0" applyNumberFormat="1" applyFont="1"/>
    <xf numFmtId="3" fontId="44" fillId="0" borderId="5" xfId="0" applyNumberFormat="1" applyFont="1" applyBorder="1" applyAlignment="1">
      <alignment horizontal="center" vertical="center" wrapText="1"/>
    </xf>
    <xf numFmtId="3" fontId="44" fillId="0" borderId="5" xfId="0" applyNumberFormat="1" applyFont="1" applyBorder="1" applyAlignment="1">
      <alignment vertical="center"/>
    </xf>
    <xf numFmtId="38" fontId="44" fillId="0" borderId="5" xfId="0" applyNumberFormat="1" applyFont="1" applyBorder="1" applyAlignment="1">
      <alignment vertical="center" shrinkToFit="1"/>
    </xf>
    <xf numFmtId="10" fontId="44" fillId="0" borderId="5" xfId="2" applyNumberFormat="1" applyFont="1" applyBorder="1" applyAlignment="1">
      <alignment vertical="center" shrinkToFit="1"/>
    </xf>
    <xf numFmtId="168" fontId="47" fillId="0" borderId="5" xfId="0" applyNumberFormat="1" applyFont="1" applyBorder="1" applyAlignment="1">
      <alignment vertical="center" shrinkToFit="1"/>
    </xf>
    <xf numFmtId="3" fontId="72" fillId="0" borderId="5" xfId="0" applyNumberFormat="1" applyFont="1" applyBorder="1" applyAlignment="1">
      <alignment horizontal="center" vertical="center" wrapText="1"/>
    </xf>
    <xf numFmtId="3" fontId="72" fillId="0" borderId="5" xfId="0" applyNumberFormat="1" applyFont="1" applyBorder="1" applyAlignment="1">
      <alignment vertical="center"/>
    </xf>
    <xf numFmtId="168" fontId="72" fillId="0" borderId="5" xfId="0" applyNumberFormat="1" applyFont="1" applyBorder="1" applyAlignment="1">
      <alignment horizontal="center" vertical="center" wrapText="1" shrinkToFit="1"/>
    </xf>
    <xf numFmtId="168" fontId="72" fillId="0" borderId="5" xfId="0" applyNumberFormat="1" applyFont="1" applyBorder="1" applyAlignment="1">
      <alignment vertical="center" shrinkToFit="1"/>
    </xf>
    <xf numFmtId="9" fontId="1" fillId="0" borderId="8" xfId="2" applyFont="1" applyBorder="1" applyAlignment="1">
      <alignment vertical="center" shrinkToFit="1"/>
    </xf>
    <xf numFmtId="10" fontId="1" fillId="0" borderId="0" xfId="2" applyNumberFormat="1" applyFont="1"/>
    <xf numFmtId="165" fontId="1" fillId="0" borderId="0" xfId="14" applyFont="1"/>
    <xf numFmtId="3" fontId="42" fillId="0" borderId="6" xfId="0" applyNumberFormat="1" applyFont="1" applyBorder="1" applyAlignment="1">
      <alignment horizontal="center" shrinkToFit="1"/>
    </xf>
    <xf numFmtId="9" fontId="47" fillId="0" borderId="5" xfId="2" applyFont="1" applyBorder="1" applyAlignment="1">
      <alignment horizontal="center" vertical="center" wrapText="1"/>
    </xf>
    <xf numFmtId="3" fontId="1" fillId="0" borderId="5" xfId="0" applyNumberFormat="1" applyFont="1" applyBorder="1" applyAlignment="1">
      <alignment vertical="center" wrapText="1"/>
    </xf>
    <xf numFmtId="3" fontId="47" fillId="0" borderId="5" xfId="0" applyNumberFormat="1" applyFont="1" applyBorder="1" applyAlignment="1">
      <alignment vertical="center" wrapText="1"/>
    </xf>
    <xf numFmtId="3" fontId="1" fillId="0" borderId="5" xfId="0" applyNumberFormat="1" applyFont="1" applyBorder="1" applyAlignment="1">
      <alignment horizontal="center" vertical="center" wrapText="1" shrinkToFit="1"/>
    </xf>
    <xf numFmtId="9" fontId="47" fillId="0" borderId="0" xfId="2" applyFont="1" applyBorder="1" applyAlignment="1"/>
    <xf numFmtId="169" fontId="76" fillId="0" borderId="5" xfId="8" applyNumberFormat="1" applyFont="1" applyBorder="1" applyAlignment="1">
      <alignment shrinkToFit="1"/>
    </xf>
    <xf numFmtId="169" fontId="76" fillId="0" borderId="5" xfId="9" applyNumberFormat="1" applyFont="1" applyFill="1" applyBorder="1" applyAlignment="1">
      <alignment shrinkToFit="1"/>
    </xf>
    <xf numFmtId="3" fontId="106" fillId="0" borderId="0" xfId="0" applyNumberFormat="1" applyFont="1"/>
    <xf numFmtId="169" fontId="38" fillId="0" borderId="5" xfId="9" applyNumberFormat="1" applyFont="1" applyFill="1" applyBorder="1" applyAlignment="1">
      <alignment shrinkToFit="1"/>
    </xf>
    <xf numFmtId="0" fontId="42" fillId="0" borderId="29" xfId="0" applyFont="1" applyBorder="1" applyAlignment="1">
      <alignment horizontal="right"/>
    </xf>
    <xf numFmtId="0" fontId="42" fillId="0" borderId="5" xfId="0" applyFont="1" applyBorder="1" applyAlignment="1">
      <alignment horizontal="center"/>
    </xf>
    <xf numFmtId="0" fontId="42" fillId="0" borderId="5" xfId="0" applyFont="1" applyBorder="1" applyAlignment="1">
      <alignment shrinkToFit="1"/>
    </xf>
    <xf numFmtId="3" fontId="42" fillId="0" borderId="0" xfId="0" applyNumberFormat="1" applyFont="1" applyAlignment="1">
      <alignment horizontal="centerContinuous" shrinkToFit="1"/>
    </xf>
    <xf numFmtId="3" fontId="1" fillId="0" borderId="0" xfId="0" applyNumberFormat="1" applyFont="1" applyAlignment="1">
      <alignment horizontal="right" shrinkToFit="1"/>
    </xf>
    <xf numFmtId="169" fontId="1" fillId="0" borderId="0" xfId="14" applyNumberFormat="1" applyFont="1" applyFill="1" applyAlignment="1">
      <alignment horizontal="center" shrinkToFit="1"/>
    </xf>
    <xf numFmtId="188" fontId="1" fillId="0" borderId="0" xfId="0" applyNumberFormat="1" applyFont="1" applyAlignment="1">
      <alignment horizontal="right"/>
    </xf>
    <xf numFmtId="3" fontId="1" fillId="0" borderId="7" xfId="0" applyNumberFormat="1" applyFont="1" applyBorder="1" applyAlignment="1">
      <alignment horizontal="center" vertical="center" shrinkToFit="1"/>
    </xf>
    <xf numFmtId="3" fontId="43" fillId="0" borderId="6" xfId="0" applyNumberFormat="1" applyFont="1" applyBorder="1" applyAlignment="1">
      <alignment vertical="center" shrinkToFit="1"/>
    </xf>
    <xf numFmtId="168" fontId="43" fillId="0" borderId="6" xfId="0" applyNumberFormat="1" applyFont="1" applyBorder="1" applyAlignment="1">
      <alignment vertical="center" shrinkToFit="1"/>
    </xf>
    <xf numFmtId="168" fontId="43" fillId="0" borderId="6" xfId="14" applyNumberFormat="1" applyFont="1" applyFill="1" applyBorder="1" applyAlignment="1">
      <alignment horizontal="center" vertical="center" shrinkToFit="1"/>
    </xf>
    <xf numFmtId="168" fontId="43" fillId="0" borderId="5" xfId="14" applyNumberFormat="1" applyFont="1" applyFill="1" applyBorder="1" applyAlignment="1">
      <alignment horizontal="center" vertical="center" shrinkToFit="1"/>
    </xf>
    <xf numFmtId="168" fontId="42" fillId="0" borderId="5" xfId="0" applyNumberFormat="1" applyFont="1" applyBorder="1" applyAlignment="1">
      <alignment shrinkToFit="1"/>
    </xf>
    <xf numFmtId="168" fontId="42" fillId="0" borderId="5" xfId="14" applyNumberFormat="1" applyFont="1" applyFill="1" applyBorder="1" applyAlignment="1">
      <alignment horizontal="center" vertical="center" shrinkToFit="1"/>
    </xf>
    <xf numFmtId="3" fontId="1" fillId="0" borderId="5" xfId="0" applyNumberFormat="1" applyFont="1" applyBorder="1" applyAlignment="1">
      <alignment horizontal="center" shrinkToFit="1"/>
    </xf>
    <xf numFmtId="168" fontId="1" fillId="0" borderId="5" xfId="14" applyNumberFormat="1" applyFont="1" applyFill="1" applyBorder="1" applyAlignment="1">
      <alignment horizontal="center" vertical="center" shrinkToFit="1"/>
    </xf>
    <xf numFmtId="174" fontId="42" fillId="0" borderId="5" xfId="0" applyNumberFormat="1" applyFont="1" applyBorder="1" applyAlignment="1">
      <alignment vertical="center" shrinkToFit="1"/>
    </xf>
    <xf numFmtId="178" fontId="42" fillId="0" borderId="5" xfId="0" applyNumberFormat="1" applyFont="1" applyBorder="1" applyAlignment="1">
      <alignment vertical="center" shrinkToFit="1"/>
    </xf>
    <xf numFmtId="3" fontId="1" fillId="0" borderId="5" xfId="0" applyNumberFormat="1" applyFont="1" applyBorder="1" applyAlignment="1">
      <alignment horizontal="center" vertical="center" shrinkToFit="1"/>
    </xf>
    <xf numFmtId="178" fontId="1" fillId="0" borderId="5" xfId="0" applyNumberFormat="1" applyFont="1" applyBorder="1" applyAlignment="1">
      <alignment vertical="center" shrinkToFit="1"/>
    </xf>
    <xf numFmtId="178" fontId="43" fillId="0" borderId="5" xfId="0" applyNumberFormat="1" applyFont="1" applyBorder="1" applyAlignment="1">
      <alignment vertical="center" shrinkToFit="1"/>
    </xf>
    <xf numFmtId="168" fontId="43" fillId="0" borderId="5" xfId="14" applyNumberFormat="1" applyFont="1" applyFill="1" applyBorder="1" applyAlignment="1">
      <alignment horizontal="center" vertical="center"/>
    </xf>
    <xf numFmtId="3" fontId="43" fillId="0" borderId="8" xfId="0" applyNumberFormat="1" applyFont="1" applyBorder="1" applyAlignment="1">
      <alignment vertical="center" shrinkToFit="1"/>
    </xf>
    <xf numFmtId="168" fontId="43" fillId="0" borderId="8" xfId="14" applyNumberFormat="1" applyFont="1" applyFill="1" applyBorder="1" applyAlignment="1">
      <alignment horizontal="center" vertical="center" shrinkToFit="1"/>
    </xf>
    <xf numFmtId="3" fontId="38" fillId="0" borderId="0" xfId="0" applyNumberFormat="1" applyFont="1"/>
    <xf numFmtId="169" fontId="1" fillId="0" borderId="0" xfId="14" applyNumberFormat="1" applyFont="1" applyFill="1" applyBorder="1" applyAlignment="1"/>
    <xf numFmtId="3" fontId="42" fillId="0" borderId="0" xfId="0" applyNumberFormat="1" applyFont="1" applyAlignment="1">
      <alignment wrapText="1"/>
    </xf>
    <xf numFmtId="169" fontId="42" fillId="0" borderId="4" xfId="14" applyNumberFormat="1" applyFont="1" applyFill="1" applyBorder="1" applyAlignment="1">
      <alignment horizontal="center" vertical="center" wrapText="1"/>
    </xf>
    <xf numFmtId="0" fontId="42" fillId="0" borderId="4" xfId="0" applyFont="1" applyBorder="1" applyAlignment="1">
      <alignment horizontal="center" shrinkToFit="1"/>
    </xf>
    <xf numFmtId="169" fontId="42" fillId="0" borderId="4" xfId="14" applyNumberFormat="1" applyFont="1" applyFill="1" applyBorder="1" applyAlignment="1">
      <alignment horizontal="center" shrinkToFit="1"/>
    </xf>
    <xf numFmtId="3" fontId="43" fillId="0" borderId="6" xfId="0" applyNumberFormat="1" applyFont="1" applyBorder="1" applyAlignment="1">
      <alignment vertical="center"/>
    </xf>
    <xf numFmtId="3" fontId="43" fillId="0" borderId="6" xfId="0" applyNumberFormat="1" applyFont="1" applyBorder="1" applyAlignment="1">
      <alignment horizontal="center" vertical="center" shrinkToFit="1"/>
    </xf>
    <xf numFmtId="175" fontId="43" fillId="0" borderId="6" xfId="14" applyNumberFormat="1" applyFont="1" applyFill="1" applyBorder="1" applyAlignment="1">
      <alignment vertical="center" shrinkToFit="1"/>
    </xf>
    <xf numFmtId="3" fontId="43" fillId="0" borderId="5" xfId="0" applyNumberFormat="1" applyFont="1" applyBorder="1" applyAlignment="1">
      <alignment horizontal="center" vertical="center"/>
    </xf>
    <xf numFmtId="168" fontId="43" fillId="0" borderId="5" xfId="14" applyNumberFormat="1" applyFont="1" applyFill="1" applyBorder="1" applyAlignment="1">
      <alignment vertical="center" shrinkToFit="1"/>
    </xf>
    <xf numFmtId="3" fontId="42" fillId="0" borderId="5" xfId="0" applyNumberFormat="1" applyFont="1" applyBorder="1" applyAlignment="1">
      <alignment horizontal="center" vertical="center"/>
    </xf>
    <xf numFmtId="3" fontId="42" fillId="0" borderId="5" xfId="0" applyNumberFormat="1" applyFont="1" applyBorder="1" applyAlignment="1">
      <alignment horizontal="left" vertical="center" shrinkToFit="1"/>
    </xf>
    <xf numFmtId="168" fontId="42" fillId="0" borderId="5" xfId="14" applyNumberFormat="1" applyFont="1" applyFill="1" applyBorder="1" applyAlignment="1">
      <alignment vertical="center" shrinkToFit="1"/>
    </xf>
    <xf numFmtId="175" fontId="42" fillId="0" borderId="5" xfId="14" applyNumberFormat="1" applyFont="1" applyFill="1" applyBorder="1" applyAlignment="1">
      <alignment vertical="center" shrinkToFit="1"/>
    </xf>
    <xf numFmtId="3" fontId="1" fillId="0" borderId="5" xfId="0" applyNumberFormat="1" applyFont="1" applyBorder="1" applyAlignment="1">
      <alignment horizontal="center" vertical="center"/>
    </xf>
    <xf numFmtId="3" fontId="1" fillId="0" borderId="5" xfId="0" applyNumberFormat="1" applyFont="1" applyBorder="1" applyAlignment="1">
      <alignment horizontal="left" vertical="center" shrinkToFit="1"/>
    </xf>
    <xf numFmtId="168" fontId="1" fillId="0" borderId="5" xfId="14" applyNumberFormat="1" applyFont="1" applyFill="1" applyBorder="1" applyAlignment="1">
      <alignment vertical="center" shrinkToFit="1"/>
    </xf>
    <xf numFmtId="175" fontId="1" fillId="0" borderId="5" xfId="14" applyNumberFormat="1" applyFont="1" applyFill="1" applyBorder="1" applyAlignment="1">
      <alignment vertical="center" shrinkToFit="1"/>
    </xf>
    <xf numFmtId="165" fontId="42" fillId="0" borderId="5" xfId="14" applyFont="1" applyFill="1" applyBorder="1" applyAlignment="1">
      <alignment vertical="center" shrinkToFit="1"/>
    </xf>
    <xf numFmtId="10" fontId="1" fillId="0" borderId="0" xfId="2" applyNumberFormat="1" applyFont="1" applyFill="1" applyBorder="1" applyAlignment="1"/>
    <xf numFmtId="10" fontId="1" fillId="0" borderId="0" xfId="2" applyNumberFormat="1" applyFont="1" applyFill="1" applyBorder="1" applyAlignment="1">
      <alignment shrinkToFit="1"/>
    </xf>
    <xf numFmtId="189" fontId="1" fillId="0" borderId="0" xfId="2" applyNumberFormat="1" applyFont="1" applyFill="1" applyBorder="1" applyAlignment="1"/>
    <xf numFmtId="9" fontId="1" fillId="0" borderId="0" xfId="2" applyFont="1" applyFill="1" applyBorder="1" applyAlignment="1"/>
    <xf numFmtId="165" fontId="1" fillId="0" borderId="0" xfId="14" applyFont="1" applyFill="1" applyBorder="1" applyAlignment="1"/>
    <xf numFmtId="169" fontId="1" fillId="0" borderId="0" xfId="14" applyNumberFormat="1" applyFont="1" applyFill="1" applyBorder="1" applyAlignment="1">
      <alignment shrinkToFit="1"/>
    </xf>
    <xf numFmtId="169" fontId="42" fillId="0" borderId="0" xfId="14" applyNumberFormat="1" applyFont="1" applyFill="1" applyBorder="1" applyAlignment="1">
      <alignment shrinkToFit="1"/>
    </xf>
    <xf numFmtId="9" fontId="42" fillId="0" borderId="0" xfId="2" applyFont="1" applyFill="1"/>
    <xf numFmtId="0" fontId="92" fillId="0" borderId="0" xfId="0" applyFont="1" applyAlignment="1">
      <alignment horizontal="center"/>
    </xf>
    <xf numFmtId="0" fontId="92" fillId="0" borderId="0" xfId="0" applyFont="1"/>
    <xf numFmtId="168" fontId="42" fillId="0" borderId="0" xfId="0" applyNumberFormat="1" applyFont="1" applyAlignment="1">
      <alignment horizontal="right"/>
    </xf>
    <xf numFmtId="0" fontId="82" fillId="0" borderId="0" xfId="0" applyFont="1" applyAlignment="1">
      <alignment horizontal="center"/>
    </xf>
    <xf numFmtId="0" fontId="42" fillId="0" borderId="7" xfId="0" applyFont="1" applyBorder="1" applyAlignment="1">
      <alignment horizontal="center" vertical="center"/>
    </xf>
    <xf numFmtId="0" fontId="42" fillId="0" borderId="7" xfId="0" applyFont="1" applyBorder="1" applyAlignment="1">
      <alignment horizontal="center"/>
    </xf>
    <xf numFmtId="168" fontId="42" fillId="0" borderId="6" xfId="0" applyNumberFormat="1" applyFont="1" applyBorder="1" applyAlignment="1">
      <alignment vertical="center" shrinkToFit="1"/>
    </xf>
    <xf numFmtId="168" fontId="42" fillId="0" borderId="6" xfId="0" applyNumberFormat="1" applyFont="1" applyBorder="1" applyAlignment="1">
      <alignment vertical="center"/>
    </xf>
    <xf numFmtId="0" fontId="42" fillId="0" borderId="5" xfId="0" applyFont="1" applyBorder="1" applyAlignment="1">
      <alignment vertical="center" shrinkToFit="1"/>
    </xf>
    <xf numFmtId="168" fontId="42" fillId="0" borderId="5" xfId="0" applyNumberFormat="1" applyFont="1" applyBorder="1" applyAlignment="1">
      <alignment vertical="center"/>
    </xf>
    <xf numFmtId="9" fontId="42" fillId="0" borderId="5" xfId="2" applyFont="1" applyFill="1" applyBorder="1" applyAlignment="1">
      <alignment vertical="center"/>
    </xf>
    <xf numFmtId="168" fontId="42" fillId="0" borderId="8" xfId="0" applyNumberFormat="1" applyFont="1" applyBorder="1" applyAlignment="1">
      <alignment vertical="center" shrinkToFit="1"/>
    </xf>
    <xf numFmtId="169" fontId="92" fillId="0" borderId="0" xfId="14" applyNumberFormat="1" applyFont="1" applyFill="1" applyAlignment="1">
      <alignment shrinkToFit="1"/>
    </xf>
    <xf numFmtId="3" fontId="92" fillId="0" borderId="0" xfId="0" applyNumberFormat="1" applyFont="1" applyAlignment="1">
      <alignment shrinkToFit="1"/>
    </xf>
    <xf numFmtId="168" fontId="92" fillId="0" borderId="0" xfId="0" applyNumberFormat="1" applyFont="1"/>
    <xf numFmtId="9" fontId="92" fillId="0" borderId="0" xfId="2" applyFont="1" applyFill="1"/>
    <xf numFmtId="0" fontId="38" fillId="0" borderId="0" xfId="0" applyFont="1"/>
    <xf numFmtId="0" fontId="110" fillId="0" borderId="0" xfId="0" applyFont="1"/>
    <xf numFmtId="0" fontId="111" fillId="0" borderId="0" xfId="0" applyFont="1"/>
    <xf numFmtId="0" fontId="112" fillId="0" borderId="0" xfId="0" applyFont="1"/>
    <xf numFmtId="0" fontId="113" fillId="0" borderId="0" xfId="0" applyFont="1"/>
    <xf numFmtId="38" fontId="110" fillId="0" borderId="0" xfId="0" applyNumberFormat="1" applyFont="1"/>
    <xf numFmtId="0" fontId="42" fillId="0" borderId="29" xfId="0" applyFont="1" applyBorder="1" applyAlignment="1">
      <alignment horizontal="center"/>
    </xf>
    <xf numFmtId="0" fontId="1" fillId="0" borderId="4" xfId="0" applyFont="1" applyBorder="1" applyAlignment="1">
      <alignment horizontal="center" vertical="center"/>
    </xf>
    <xf numFmtId="0" fontId="1" fillId="0" borderId="4" xfId="0" applyFont="1" applyBorder="1" applyAlignment="1">
      <alignment horizontal="left" vertical="center"/>
    </xf>
    <xf numFmtId="178" fontId="1" fillId="0" borderId="4" xfId="0" applyNumberFormat="1" applyFont="1" applyBorder="1" applyAlignment="1">
      <alignment vertical="center" shrinkToFit="1"/>
    </xf>
    <xf numFmtId="178" fontId="42" fillId="0" borderId="4" xfId="0" applyNumberFormat="1" applyFont="1" applyBorder="1" applyAlignment="1">
      <alignment vertical="center" shrinkToFit="1"/>
    </xf>
    <xf numFmtId="178" fontId="42" fillId="0" borderId="0" xfId="0" applyNumberFormat="1" applyFont="1"/>
    <xf numFmtId="0" fontId="1" fillId="0" borderId="0" xfId="19" applyFont="1"/>
    <xf numFmtId="0" fontId="1" fillId="0" borderId="0" xfId="19" applyFont="1" applyAlignment="1">
      <alignment horizontal="right"/>
    </xf>
    <xf numFmtId="0" fontId="42" fillId="0" borderId="0" xfId="19" applyFont="1"/>
    <xf numFmtId="0" fontId="43" fillId="0" borderId="5" xfId="19" applyFont="1" applyBorder="1" applyAlignment="1">
      <alignment horizontal="center" vertical="center" shrinkToFit="1"/>
    </xf>
    <xf numFmtId="0" fontId="115" fillId="0" borderId="6" xfId="19" applyFont="1" applyBorder="1" applyAlignment="1">
      <alignment horizontal="center" shrinkToFit="1"/>
    </xf>
    <xf numFmtId="0" fontId="115" fillId="0" borderId="6" xfId="19" applyFont="1" applyBorder="1" applyAlignment="1">
      <alignment vertical="center" shrinkToFit="1"/>
    </xf>
    <xf numFmtId="183" fontId="43" fillId="0" borderId="6" xfId="19" applyNumberFormat="1" applyFont="1" applyBorder="1" applyAlignment="1">
      <alignment shrinkToFit="1"/>
    </xf>
    <xf numFmtId="0" fontId="43" fillId="0" borderId="0" xfId="19" applyFont="1"/>
    <xf numFmtId="49" fontId="1" fillId="0" borderId="5" xfId="19" applyNumberFormat="1" applyFont="1" applyBorder="1" applyAlignment="1">
      <alignment horizontal="center" vertical="center"/>
    </xf>
    <xf numFmtId="49" fontId="116" fillId="0" borderId="5" xfId="19" applyNumberFormat="1" applyFont="1" applyBorder="1" applyAlignment="1">
      <alignment horizontal="center" vertical="center"/>
    </xf>
    <xf numFmtId="183" fontId="1" fillId="0" borderId="5" xfId="19" applyNumberFormat="1" applyFont="1" applyBorder="1" applyAlignment="1">
      <alignment vertical="center" shrinkToFit="1"/>
    </xf>
    <xf numFmtId="183" fontId="35" fillId="0" borderId="5" xfId="19" applyNumberFormat="1" applyFont="1" applyBorder="1" applyAlignment="1">
      <alignment vertical="center" shrinkToFit="1"/>
    </xf>
    <xf numFmtId="49" fontId="47" fillId="0" borderId="5" xfId="19" applyNumberFormat="1" applyFont="1" applyBorder="1" applyAlignment="1">
      <alignment horizontal="center" vertical="center"/>
    </xf>
    <xf numFmtId="49" fontId="104" fillId="0" borderId="5" xfId="19" applyNumberFormat="1" applyFont="1" applyBorder="1" applyAlignment="1">
      <alignment horizontal="center" vertical="center"/>
    </xf>
    <xf numFmtId="49" fontId="47" fillId="0" borderId="5" xfId="19" applyNumberFormat="1" applyFont="1" applyBorder="1" applyAlignment="1">
      <alignment vertical="center" shrinkToFit="1"/>
    </xf>
    <xf numFmtId="183" fontId="47" fillId="0" borderId="5" xfId="19" applyNumberFormat="1" applyFont="1" applyBorder="1" applyAlignment="1">
      <alignment vertical="center" shrinkToFit="1"/>
    </xf>
    <xf numFmtId="0" fontId="47" fillId="0" borderId="0" xfId="19" applyFont="1"/>
    <xf numFmtId="0" fontId="47" fillId="0" borderId="5" xfId="20" applyFont="1" applyBorder="1" applyAlignment="1">
      <alignment vertical="center" shrinkToFit="1"/>
    </xf>
    <xf numFmtId="49" fontId="104" fillId="0" borderId="5" xfId="19" applyNumberFormat="1" applyFont="1" applyBorder="1" applyAlignment="1">
      <alignment vertical="center" shrinkToFit="1"/>
    </xf>
    <xf numFmtId="49" fontId="43" fillId="0" borderId="5" xfId="19" applyNumberFormat="1" applyFont="1" applyBorder="1" applyAlignment="1">
      <alignment horizontal="center" vertical="center"/>
    </xf>
    <xf numFmtId="49" fontId="115" fillId="0" borderId="5" xfId="19" applyNumberFormat="1" applyFont="1" applyBorder="1" applyAlignment="1">
      <alignment horizontal="center" vertical="center"/>
    </xf>
    <xf numFmtId="49" fontId="115" fillId="0" borderId="5" xfId="19" applyNumberFormat="1" applyFont="1" applyBorder="1" applyAlignment="1">
      <alignment vertical="center" shrinkToFit="1"/>
    </xf>
    <xf numFmtId="183" fontId="43" fillId="0" borderId="5" xfId="19" applyNumberFormat="1" applyFont="1" applyBorder="1" applyAlignment="1">
      <alignment vertical="center" shrinkToFit="1"/>
    </xf>
    <xf numFmtId="0" fontId="116" fillId="0" borderId="5" xfId="0" applyFont="1" applyBorder="1" applyAlignment="1">
      <alignment vertical="center" shrinkToFit="1"/>
    </xf>
    <xf numFmtId="0" fontId="116" fillId="0" borderId="5" xfId="19" applyFont="1" applyBorder="1" applyAlignment="1">
      <alignment vertical="center" shrinkToFit="1"/>
    </xf>
    <xf numFmtId="0" fontId="116" fillId="0" borderId="5" xfId="19" applyFont="1" applyBorder="1" applyAlignment="1">
      <alignment horizontal="center" shrinkToFit="1"/>
    </xf>
    <xf numFmtId="0" fontId="35" fillId="0" borderId="5" xfId="19" applyFont="1" applyBorder="1" applyAlignment="1">
      <alignment horizontal="center" shrinkToFit="1"/>
    </xf>
    <xf numFmtId="183" fontId="35" fillId="5" borderId="5" xfId="19" applyNumberFormat="1" applyFont="1" applyFill="1" applyBorder="1" applyAlignment="1">
      <alignment vertical="center" shrinkToFit="1"/>
    </xf>
    <xf numFmtId="0" fontId="73" fillId="0" borderId="5" xfId="19" applyFont="1" applyBorder="1" applyAlignment="1">
      <alignment horizontal="center" shrinkToFit="1"/>
    </xf>
    <xf numFmtId="183" fontId="73" fillId="5" borderId="5" xfId="19" applyNumberFormat="1" applyFont="1" applyFill="1" applyBorder="1" applyAlignment="1">
      <alignment vertical="center" shrinkToFit="1"/>
    </xf>
    <xf numFmtId="183" fontId="73" fillId="0" borderId="5" xfId="19" applyNumberFormat="1" applyFont="1" applyBorder="1" applyAlignment="1">
      <alignment vertical="center" shrinkToFit="1"/>
    </xf>
    <xf numFmtId="174" fontId="73" fillId="0" borderId="5" xfId="0" applyNumberFormat="1" applyFont="1" applyBorder="1" applyAlignment="1">
      <alignment vertical="center" shrinkToFit="1"/>
    </xf>
    <xf numFmtId="0" fontId="115" fillId="0" borderId="5" xfId="0" applyFont="1" applyBorder="1" applyAlignment="1">
      <alignment vertical="center" shrinkToFit="1"/>
    </xf>
    <xf numFmtId="0" fontId="104" fillId="0" borderId="5" xfId="0" applyFont="1" applyBorder="1" applyAlignment="1">
      <alignment vertical="center" shrinkToFit="1"/>
    </xf>
    <xf numFmtId="49" fontId="104" fillId="0" borderId="8" xfId="19" applyNumberFormat="1" applyFont="1" applyBorder="1" applyAlignment="1">
      <alignment horizontal="center" vertical="center"/>
    </xf>
    <xf numFmtId="0" fontId="104" fillId="0" borderId="8" xfId="0" applyFont="1" applyBorder="1" applyAlignment="1">
      <alignment vertical="center" shrinkToFit="1"/>
    </xf>
    <xf numFmtId="183" fontId="1" fillId="0" borderId="0" xfId="19" applyNumberFormat="1" applyFont="1"/>
    <xf numFmtId="0" fontId="42" fillId="0" borderId="6" xfId="0" applyFont="1" applyBorder="1" applyAlignment="1">
      <alignment horizontal="center"/>
    </xf>
    <xf numFmtId="0" fontId="42" fillId="0" borderId="6" xfId="0" applyFont="1" applyBorder="1" applyAlignment="1">
      <alignment shrinkToFit="1"/>
    </xf>
    <xf numFmtId="0" fontId="1" fillId="0" borderId="5" xfId="0" applyFont="1" applyBorder="1" applyAlignment="1">
      <alignment shrinkToFit="1"/>
    </xf>
    <xf numFmtId="0" fontId="1" fillId="0" borderId="8" xfId="0" applyFont="1" applyBorder="1" applyAlignment="1">
      <alignment horizontal="center"/>
    </xf>
    <xf numFmtId="0" fontId="1" fillId="0" borderId="8" xfId="0" applyFont="1" applyBorder="1" applyAlignment="1">
      <alignment shrinkToFit="1"/>
    </xf>
    <xf numFmtId="0" fontId="37" fillId="0" borderId="0" xfId="0" applyFont="1" applyAlignment="1">
      <alignment shrinkToFit="1"/>
    </xf>
    <xf numFmtId="0" fontId="42" fillId="0" borderId="5" xfId="0" applyFont="1" applyBorder="1" applyAlignment="1">
      <alignment vertical="center"/>
    </xf>
    <xf numFmtId="0" fontId="1" fillId="0" borderId="5" xfId="0" applyFont="1" applyBorder="1" applyAlignment="1">
      <alignment vertical="center"/>
    </xf>
    <xf numFmtId="0" fontId="47" fillId="0" borderId="5" xfId="0" applyFont="1" applyBorder="1" applyAlignment="1">
      <alignment vertical="center"/>
    </xf>
    <xf numFmtId="0" fontId="43" fillId="0" borderId="5" xfId="0" applyFont="1" applyBorder="1" applyAlignment="1">
      <alignment vertical="center"/>
    </xf>
    <xf numFmtId="3" fontId="42" fillId="0" borderId="0" xfId="21" applyNumberFormat="1" applyFont="1"/>
    <xf numFmtId="3" fontId="1" fillId="0" borderId="0" xfId="21" applyNumberFormat="1" applyFont="1"/>
    <xf numFmtId="0" fontId="1" fillId="0" borderId="0" xfId="21" applyFont="1"/>
    <xf numFmtId="3" fontId="42" fillId="0" borderId="0" xfId="21" applyNumberFormat="1" applyFont="1" applyAlignment="1">
      <alignment horizontal="centerContinuous"/>
    </xf>
    <xf numFmtId="3" fontId="42" fillId="0" borderId="0" xfId="21" applyNumberFormat="1" applyFont="1" applyAlignment="1">
      <alignment horizontal="center" wrapText="1"/>
    </xf>
    <xf numFmtId="3" fontId="1" fillId="0" borderId="5" xfId="21" applyNumberFormat="1" applyFont="1" applyBorder="1" applyAlignment="1">
      <alignment horizontal="center" vertical="center"/>
    </xf>
    <xf numFmtId="3" fontId="1" fillId="0" borderId="5" xfId="21" applyNumberFormat="1" applyFont="1" applyBorder="1" applyAlignment="1">
      <alignment vertical="center" shrinkToFit="1"/>
    </xf>
    <xf numFmtId="38" fontId="1" fillId="0" borderId="5" xfId="21" applyNumberFormat="1" applyFont="1" applyBorder="1" applyAlignment="1">
      <alignment vertical="center"/>
    </xf>
    <xf numFmtId="3" fontId="42" fillId="0" borderId="5" xfId="21" applyNumberFormat="1" applyFont="1" applyBorder="1" applyAlignment="1">
      <alignment horizontal="center" vertical="center"/>
    </xf>
    <xf numFmtId="3" fontId="42" fillId="0" borderId="5" xfId="21" applyNumberFormat="1" applyFont="1" applyBorder="1" applyAlignment="1">
      <alignment vertical="center" shrinkToFit="1"/>
    </xf>
    <xf numFmtId="38" fontId="42" fillId="0" borderId="5" xfId="21" applyNumberFormat="1" applyFont="1" applyBorder="1" applyAlignment="1">
      <alignment vertical="center"/>
    </xf>
    <xf numFmtId="3" fontId="38" fillId="0" borderId="0" xfId="21" applyNumberFormat="1" applyFont="1"/>
    <xf numFmtId="0" fontId="37" fillId="0" borderId="0" xfId="0" applyFont="1"/>
    <xf numFmtId="0" fontId="1" fillId="0" borderId="8" xfId="0" applyFont="1" applyBorder="1" applyAlignment="1">
      <alignment horizontal="center" vertical="center"/>
    </xf>
    <xf numFmtId="0" fontId="7" fillId="0" borderId="4" xfId="0" applyFont="1" applyBorder="1" applyAlignment="1">
      <alignment horizontal="center"/>
    </xf>
    <xf numFmtId="0" fontId="7" fillId="0" borderId="4" xfId="0" applyFont="1" applyBorder="1"/>
    <xf numFmtId="0" fontId="7" fillId="0" borderId="4" xfId="0" applyFont="1" applyBorder="1" applyAlignment="1">
      <alignment horizontal="center" vertical="center"/>
    </xf>
    <xf numFmtId="0" fontId="7" fillId="0" borderId="4" xfId="0" applyFont="1" applyBorder="1" applyAlignment="1">
      <alignment vertical="center"/>
    </xf>
    <xf numFmtId="0" fontId="6" fillId="0" borderId="0" xfId="10" applyFont="1" applyAlignment="1">
      <alignment horizontal="center" vertical="center" wrapText="1"/>
    </xf>
    <xf numFmtId="0" fontId="6" fillId="0" borderId="4" xfId="10" applyFont="1" applyBorder="1" applyAlignment="1">
      <alignment horizontal="center" vertical="center" wrapText="1"/>
    </xf>
    <xf numFmtId="0" fontId="11" fillId="0" borderId="0" xfId="0" applyFont="1"/>
    <xf numFmtId="0" fontId="34" fillId="0" borderId="22" xfId="0" applyFont="1" applyBorder="1" applyAlignment="1">
      <alignment horizontal="center" vertical="center"/>
    </xf>
    <xf numFmtId="0" fontId="34" fillId="0" borderId="4" xfId="0" applyFont="1" applyBorder="1" applyAlignment="1">
      <alignment horizontal="center" vertical="center"/>
    </xf>
    <xf numFmtId="0" fontId="34" fillId="0" borderId="19" xfId="0" applyFont="1" applyBorder="1" applyAlignment="1">
      <alignment horizontal="center" vertical="center"/>
    </xf>
    <xf numFmtId="0" fontId="12" fillId="0" borderId="22" xfId="0" applyFont="1" applyBorder="1" applyAlignment="1">
      <alignment horizontal="center" vertical="center"/>
    </xf>
    <xf numFmtId="169" fontId="12" fillId="5" borderId="4" xfId="11" applyNumberFormat="1" applyFont="1" applyFill="1" applyBorder="1" applyAlignment="1">
      <alignment horizontal="center" vertical="center" wrapText="1"/>
    </xf>
    <xf numFmtId="38" fontId="11" fillId="0" borderId="4" xfId="0" applyNumberFormat="1" applyFont="1" applyBorder="1" applyAlignment="1">
      <alignment shrinkToFit="1"/>
    </xf>
    <xf numFmtId="38" fontId="12" fillId="5" borderId="4" xfId="11" applyNumberFormat="1" applyFont="1" applyFill="1" applyBorder="1" applyAlignment="1">
      <alignment horizontal="center" vertical="center" shrinkToFit="1"/>
    </xf>
    <xf numFmtId="38" fontId="11" fillId="0" borderId="19" xfId="0" applyNumberFormat="1" applyFont="1" applyBorder="1" applyAlignment="1">
      <alignment shrinkToFit="1"/>
    </xf>
    <xf numFmtId="38" fontId="11" fillId="5" borderId="4" xfId="11" applyNumberFormat="1" applyFont="1" applyFill="1" applyBorder="1" applyAlignment="1">
      <alignment horizontal="center" vertical="center" shrinkToFit="1"/>
    </xf>
    <xf numFmtId="0" fontId="12" fillId="0" borderId="26" xfId="0" applyFont="1" applyBorder="1" applyAlignment="1">
      <alignment horizontal="center" vertical="center"/>
    </xf>
    <xf numFmtId="38" fontId="11" fillId="0" borderId="27" xfId="0" applyNumberFormat="1" applyFont="1" applyBorder="1" applyAlignment="1">
      <alignment shrinkToFit="1"/>
    </xf>
    <xf numFmtId="38" fontId="11" fillId="0" borderId="28" xfId="0" applyNumberFormat="1" applyFont="1" applyBorder="1" applyAlignment="1">
      <alignment shrinkToFit="1"/>
    </xf>
    <xf numFmtId="43" fontId="11" fillId="5" borderId="4" xfId="11" applyFont="1" applyFill="1" applyBorder="1" applyAlignment="1">
      <alignment horizontal="left" vertical="center" wrapText="1"/>
    </xf>
    <xf numFmtId="0" fontId="11" fillId="0" borderId="27" xfId="0" applyFont="1" applyBorder="1" applyAlignment="1">
      <alignment horizontal="left"/>
    </xf>
    <xf numFmtId="0" fontId="12" fillId="0" borderId="0" xfId="0" applyFont="1" applyAlignment="1">
      <alignment horizontal="center" vertical="center"/>
    </xf>
    <xf numFmtId="0" fontId="11" fillId="0" borderId="0" xfId="0" applyFont="1" applyAlignment="1">
      <alignment horizontal="left"/>
    </xf>
    <xf numFmtId="38" fontId="11" fillId="0" borderId="0" xfId="0" applyNumberFormat="1" applyFont="1" applyAlignment="1">
      <alignment shrinkToFit="1"/>
    </xf>
    <xf numFmtId="38" fontId="117" fillId="0" borderId="5" xfId="0" applyNumberFormat="1" applyFont="1" applyBorder="1" applyAlignment="1">
      <alignment vertical="center" shrinkToFit="1"/>
    </xf>
    <xf numFmtId="176" fontId="20" fillId="4" borderId="0" xfId="0" applyNumberFormat="1" applyFont="1" applyFill="1" applyAlignment="1">
      <alignment vertical="center" shrinkToFit="1"/>
    </xf>
    <xf numFmtId="169" fontId="7" fillId="0" borderId="0" xfId="10" applyNumberFormat="1" applyFont="1" applyAlignment="1">
      <alignment horizontal="center" vertical="center" shrinkToFit="1"/>
    </xf>
    <xf numFmtId="0" fontId="7" fillId="0" borderId="0" xfId="10" applyFont="1" applyAlignment="1">
      <alignment horizontal="center" vertical="center" shrinkToFit="1"/>
    </xf>
    <xf numFmtId="3" fontId="12" fillId="0" borderId="5" xfId="0" applyNumberFormat="1" applyFont="1" applyBorder="1" applyAlignment="1">
      <alignment horizontal="right" vertical="center"/>
    </xf>
    <xf numFmtId="0" fontId="119" fillId="0" borderId="5" xfId="0" applyFont="1" applyBorder="1" applyAlignment="1">
      <alignment horizontal="left" vertical="center" wrapText="1"/>
    </xf>
    <xf numFmtId="3" fontId="119" fillId="0" borderId="5" xfId="0" quotePrefix="1" applyNumberFormat="1" applyFont="1" applyBorder="1" applyAlignment="1">
      <alignment horizontal="justify" vertical="center" wrapText="1" shrinkToFit="1"/>
    </xf>
    <xf numFmtId="169" fontId="6" fillId="0" borderId="8" xfId="10" applyNumberFormat="1" applyFont="1" applyBorder="1" applyAlignment="1">
      <alignment horizontal="center" vertical="center"/>
    </xf>
    <xf numFmtId="0" fontId="6" fillId="0" borderId="30" xfId="10" applyFont="1" applyBorder="1" applyAlignment="1">
      <alignment horizontal="left" vertical="center" shrinkToFit="1"/>
    </xf>
    <xf numFmtId="3" fontId="6" fillId="0" borderId="30" xfId="10" applyNumberFormat="1" applyFont="1" applyBorder="1" applyAlignment="1">
      <alignment horizontal="right" vertical="center"/>
    </xf>
    <xf numFmtId="0" fontId="6" fillId="0" borderId="30" xfId="10" applyFont="1" applyBorder="1" applyAlignment="1">
      <alignment vertical="center"/>
    </xf>
    <xf numFmtId="0" fontId="6" fillId="0" borderId="0" xfId="10" applyFont="1" applyAlignment="1">
      <alignment vertical="center"/>
    </xf>
    <xf numFmtId="0" fontId="6" fillId="0" borderId="5" xfId="10" applyFont="1" applyBorder="1" applyAlignment="1">
      <alignment horizontal="left" vertical="center" shrinkToFit="1"/>
    </xf>
    <xf numFmtId="169" fontId="6" fillId="0" borderId="5" xfId="1" applyNumberFormat="1" applyFont="1" applyBorder="1" applyAlignment="1">
      <alignment horizontal="right" vertical="center"/>
    </xf>
    <xf numFmtId="169" fontId="6" fillId="0" borderId="5" xfId="1" applyNumberFormat="1" applyFont="1" applyBorder="1" applyAlignment="1">
      <alignment vertical="center"/>
    </xf>
    <xf numFmtId="0" fontId="7" fillId="0" borderId="5" xfId="10" applyFont="1" applyBorder="1" applyAlignment="1">
      <alignment horizontal="left" vertical="center" shrinkToFit="1"/>
    </xf>
    <xf numFmtId="0" fontId="7" fillId="0" borderId="0" xfId="10" applyFont="1" applyAlignment="1">
      <alignment vertical="center"/>
    </xf>
    <xf numFmtId="3" fontId="7" fillId="0" borderId="5" xfId="10" applyNumberFormat="1" applyFont="1" applyBorder="1" applyAlignment="1">
      <alignment horizontal="right" vertical="center"/>
    </xf>
    <xf numFmtId="0" fontId="7" fillId="0" borderId="5" xfId="10" applyFont="1" applyBorder="1" applyAlignment="1">
      <alignment vertical="center"/>
    </xf>
    <xf numFmtId="169" fontId="7" fillId="0" borderId="5" xfId="1" applyNumberFormat="1" applyFont="1" applyBorder="1" applyAlignment="1">
      <alignment vertical="center"/>
    </xf>
    <xf numFmtId="0" fontId="6" fillId="0" borderId="5" xfId="10" applyFont="1" applyBorder="1" applyAlignment="1">
      <alignment vertical="center" shrinkToFit="1"/>
    </xf>
    <xf numFmtId="3" fontId="6" fillId="0" borderId="5" xfId="10" applyNumberFormat="1" applyFont="1" applyBorder="1" applyAlignment="1">
      <alignment horizontal="right" vertical="center"/>
    </xf>
    <xf numFmtId="0" fontId="6" fillId="0" borderId="5" xfId="10" applyFont="1" applyBorder="1" applyAlignment="1">
      <alignment vertical="center"/>
    </xf>
    <xf numFmtId="0" fontId="90" fillId="0" borderId="5" xfId="10" quotePrefix="1" applyFont="1" applyBorder="1" applyAlignment="1">
      <alignment vertical="center" shrinkToFit="1"/>
    </xf>
    <xf numFmtId="0" fontId="90" fillId="0" borderId="5" xfId="10" quotePrefix="1" applyFont="1" applyBorder="1" applyAlignment="1">
      <alignment vertical="center"/>
    </xf>
    <xf numFmtId="3" fontId="119" fillId="0" borderId="5" xfId="0" applyNumberFormat="1" applyFont="1" applyBorder="1" applyAlignment="1">
      <alignment horizontal="justify" vertical="center" wrapText="1" shrinkToFit="1"/>
    </xf>
    <xf numFmtId="0" fontId="119" fillId="0" borderId="5" xfId="0" applyFont="1" applyBorder="1" applyAlignment="1">
      <alignment horizontal="justify" vertical="center" wrapText="1" shrinkToFit="1"/>
    </xf>
    <xf numFmtId="3" fontId="119" fillId="0" borderId="78" xfId="0" quotePrefix="1" applyNumberFormat="1" applyFont="1" applyBorder="1" applyAlignment="1">
      <alignment horizontal="justify" vertical="center" wrapText="1" shrinkToFit="1"/>
    </xf>
    <xf numFmtId="0" fontId="90" fillId="0" borderId="0" xfId="10" applyFont="1" applyAlignment="1">
      <alignment vertical="center"/>
    </xf>
    <xf numFmtId="169" fontId="7" fillId="0" borderId="5" xfId="1" applyNumberFormat="1" applyFont="1" applyBorder="1" applyAlignment="1">
      <alignment horizontal="right" vertical="center"/>
    </xf>
    <xf numFmtId="0" fontId="7" fillId="0" borderId="5" xfId="10" quotePrefix="1" applyFont="1" applyBorder="1" applyAlignment="1">
      <alignment horizontal="left" vertical="center" shrinkToFit="1"/>
    </xf>
    <xf numFmtId="182" fontId="6" fillId="0" borderId="5" xfId="10" applyNumberFormat="1" applyFont="1" applyBorder="1" applyAlignment="1">
      <alignment horizontal="right" vertical="center"/>
    </xf>
    <xf numFmtId="0" fontId="6" fillId="0" borderId="3" xfId="10" applyFont="1" applyBorder="1" applyAlignment="1">
      <alignment horizontal="center" vertical="center" wrapText="1"/>
    </xf>
    <xf numFmtId="0" fontId="6" fillId="0" borderId="32" xfId="10" applyFont="1" applyBorder="1" applyAlignment="1">
      <alignment vertical="center"/>
    </xf>
    <xf numFmtId="169" fontId="6" fillId="0" borderId="16" xfId="1" applyNumberFormat="1" applyFont="1" applyBorder="1" applyAlignment="1">
      <alignment vertical="center"/>
    </xf>
    <xf numFmtId="182" fontId="6" fillId="0" borderId="16" xfId="10" applyNumberFormat="1" applyFont="1" applyBorder="1" applyAlignment="1">
      <alignment horizontal="right" vertical="center"/>
    </xf>
    <xf numFmtId="169" fontId="7" fillId="0" borderId="16" xfId="1" applyNumberFormat="1" applyFont="1" applyBorder="1" applyAlignment="1">
      <alignment vertical="center"/>
    </xf>
    <xf numFmtId="3" fontId="119" fillId="0" borderId="16" xfId="0" quotePrefix="1" applyNumberFormat="1" applyFont="1" applyBorder="1" applyAlignment="1">
      <alignment horizontal="justify" vertical="center" wrapText="1" shrinkToFit="1"/>
    </xf>
    <xf numFmtId="0" fontId="6" fillId="0" borderId="16" xfId="10" applyFont="1" applyBorder="1" applyAlignment="1">
      <alignment vertical="center"/>
    </xf>
    <xf numFmtId="0" fontId="7" fillId="0" borderId="16" xfId="10" applyFont="1" applyBorder="1" applyAlignment="1">
      <alignment vertical="center"/>
    </xf>
    <xf numFmtId="169" fontId="6" fillId="0" borderId="18" xfId="10" applyNumberFormat="1" applyFont="1" applyBorder="1" applyAlignment="1">
      <alignment horizontal="center" vertical="center"/>
    </xf>
    <xf numFmtId="0" fontId="6" fillId="0" borderId="24" xfId="10" applyFont="1" applyBorder="1" applyAlignment="1">
      <alignment horizontal="center" vertical="center" wrapText="1"/>
    </xf>
    <xf numFmtId="0" fontId="6" fillId="0" borderId="25" xfId="10" applyFont="1" applyBorder="1" applyAlignment="1">
      <alignment vertical="center" wrapText="1"/>
    </xf>
    <xf numFmtId="0" fontId="6" fillId="0" borderId="41" xfId="10" applyFont="1" applyBorder="1" applyAlignment="1">
      <alignment horizontal="center" vertical="center"/>
    </xf>
    <xf numFmtId="0" fontId="6" fillId="0" borderId="31" xfId="10" applyFont="1" applyBorder="1" applyAlignment="1">
      <alignment vertical="center"/>
    </xf>
    <xf numFmtId="0" fontId="6" fillId="0" borderId="20" xfId="10" applyFont="1" applyBorder="1" applyAlignment="1">
      <alignment horizontal="center" vertical="center"/>
    </xf>
    <xf numFmtId="169" fontId="6" fillId="0" borderId="21" xfId="1" applyNumberFormat="1" applyFont="1" applyBorder="1" applyAlignment="1">
      <alignment vertical="center" shrinkToFit="1"/>
    </xf>
    <xf numFmtId="182" fontId="6" fillId="0" borderId="21" xfId="10" applyNumberFormat="1" applyFont="1" applyBorder="1" applyAlignment="1">
      <alignment horizontal="right" vertical="center" shrinkToFit="1"/>
    </xf>
    <xf numFmtId="0" fontId="7" fillId="0" borderId="20" xfId="10" applyFont="1" applyBorder="1" applyAlignment="1">
      <alignment horizontal="center" vertical="center"/>
    </xf>
    <xf numFmtId="169" fontId="7" fillId="0" borderId="21" xfId="1" applyNumberFormat="1" applyFont="1" applyBorder="1" applyAlignment="1">
      <alignment vertical="center" shrinkToFit="1"/>
    </xf>
    <xf numFmtId="0" fontId="90" fillId="0" borderId="20" xfId="10" applyFont="1" applyBorder="1" applyAlignment="1">
      <alignment horizontal="center" vertical="center"/>
    </xf>
    <xf numFmtId="169" fontId="90" fillId="0" borderId="21" xfId="1" applyNumberFormat="1" applyFont="1" applyBorder="1" applyAlignment="1">
      <alignment vertical="center" shrinkToFit="1"/>
    </xf>
    <xf numFmtId="0" fontId="6" fillId="0" borderId="21" xfId="10" applyFont="1" applyBorder="1" applyAlignment="1">
      <alignment vertical="center" shrinkToFit="1"/>
    </xf>
    <xf numFmtId="43" fontId="7" fillId="0" borderId="21" xfId="1" applyFont="1" applyBorder="1" applyAlignment="1">
      <alignment vertical="center" shrinkToFit="1"/>
    </xf>
    <xf numFmtId="0" fontId="6" fillId="0" borderId="42" xfId="10" applyFont="1" applyBorder="1" applyAlignment="1">
      <alignment horizontal="center" vertical="center"/>
    </xf>
    <xf numFmtId="0" fontId="6" fillId="0" borderId="43" xfId="10" applyFont="1" applyBorder="1" applyAlignment="1">
      <alignment horizontal="left" vertical="center" shrinkToFit="1"/>
    </xf>
    <xf numFmtId="3" fontId="6" fillId="0" borderId="43" xfId="10" applyNumberFormat="1" applyFont="1" applyBorder="1" applyAlignment="1">
      <alignment horizontal="right" vertical="center"/>
    </xf>
    <xf numFmtId="169" fontId="6" fillId="0" borderId="43" xfId="10" applyNumberFormat="1" applyFont="1" applyBorder="1" applyAlignment="1">
      <alignment horizontal="center" vertical="center"/>
    </xf>
    <xf numFmtId="169" fontId="6" fillId="0" borderId="57" xfId="1" applyNumberFormat="1" applyFont="1" applyBorder="1" applyAlignment="1">
      <alignment horizontal="center" vertical="center" shrinkToFit="1"/>
    </xf>
    <xf numFmtId="0" fontId="120" fillId="0" borderId="0" xfId="10" applyFont="1" applyAlignment="1">
      <alignment vertical="center" wrapText="1"/>
    </xf>
    <xf numFmtId="0" fontId="121" fillId="0" borderId="0" xfId="10" applyFont="1"/>
    <xf numFmtId="0" fontId="120" fillId="0" borderId="0" xfId="10" applyFont="1" applyAlignment="1">
      <alignment horizontal="center" vertical="center" wrapText="1"/>
    </xf>
    <xf numFmtId="0" fontId="6" fillId="0" borderId="0" xfId="0" applyFont="1" applyAlignment="1">
      <alignment vertical="center"/>
    </xf>
    <xf numFmtId="0" fontId="6" fillId="0" borderId="58" xfId="0" applyFont="1" applyBorder="1" applyAlignment="1">
      <alignment horizontal="center" vertical="center" shrinkToFit="1"/>
    </xf>
    <xf numFmtId="0" fontId="6" fillId="0" borderId="59" xfId="0" applyFont="1" applyBorder="1" applyAlignment="1">
      <alignment horizontal="center" vertical="center" wrapText="1"/>
    </xf>
    <xf numFmtId="0" fontId="7" fillId="0" borderId="59" xfId="0" applyFont="1" applyBorder="1" applyAlignment="1">
      <alignment horizontal="center" vertical="center" shrinkToFit="1"/>
    </xf>
    <xf numFmtId="179" fontId="7" fillId="0" borderId="59" xfId="14" applyNumberFormat="1" applyFont="1" applyFill="1" applyBorder="1" applyAlignment="1">
      <alignment vertical="center" shrinkToFit="1"/>
    </xf>
    <xf numFmtId="3" fontId="7" fillId="0" borderId="59" xfId="14" applyNumberFormat="1" applyFont="1" applyFill="1" applyBorder="1" applyAlignment="1">
      <alignment vertical="center" shrinkToFit="1"/>
    </xf>
    <xf numFmtId="0" fontId="6" fillId="0" borderId="60" xfId="0" applyFont="1" applyBorder="1" applyAlignment="1">
      <alignment horizontal="center" vertical="center" wrapText="1"/>
    </xf>
    <xf numFmtId="0" fontId="7" fillId="0" borderId="60" xfId="0" applyFont="1" applyBorder="1" applyAlignment="1">
      <alignment horizontal="center" vertical="center" shrinkToFit="1"/>
    </xf>
    <xf numFmtId="165" fontId="7" fillId="0" borderId="60" xfId="14" applyFont="1" applyFill="1" applyBorder="1" applyAlignment="1">
      <alignment vertical="center" shrinkToFit="1"/>
    </xf>
    <xf numFmtId="165" fontId="7" fillId="0" borderId="60" xfId="14" applyFont="1" applyFill="1" applyBorder="1" applyAlignment="1">
      <alignment horizontal="right" vertical="center" shrinkToFit="1"/>
    </xf>
    <xf numFmtId="181" fontId="7" fillId="0" borderId="60" xfId="14" applyNumberFormat="1" applyFont="1" applyFill="1" applyBorder="1" applyAlignment="1">
      <alignment vertical="center" shrinkToFit="1"/>
    </xf>
    <xf numFmtId="179" fontId="7" fillId="0" borderId="60" xfId="14" applyNumberFormat="1" applyFont="1" applyFill="1" applyBorder="1" applyAlignment="1">
      <alignment vertical="center" shrinkToFit="1"/>
    </xf>
    <xf numFmtId="0" fontId="7" fillId="0" borderId="60" xfId="14" applyNumberFormat="1" applyFont="1" applyFill="1" applyBorder="1" applyAlignment="1">
      <alignment vertical="center" shrinkToFit="1"/>
    </xf>
    <xf numFmtId="0" fontId="7" fillId="0" borderId="60" xfId="14" applyNumberFormat="1" applyFont="1" applyFill="1" applyBorder="1" applyAlignment="1">
      <alignment horizontal="center" vertical="center" shrinkToFit="1"/>
    </xf>
    <xf numFmtId="2" fontId="7" fillId="0" borderId="60" xfId="14" applyNumberFormat="1" applyFont="1" applyFill="1" applyBorder="1" applyAlignment="1">
      <alignment vertical="center" shrinkToFit="1"/>
    </xf>
    <xf numFmtId="2" fontId="7" fillId="0" borderId="60" xfId="14" applyNumberFormat="1" applyFont="1" applyFill="1" applyBorder="1" applyAlignment="1">
      <alignment horizontal="center" vertical="center" shrinkToFit="1"/>
    </xf>
    <xf numFmtId="179" fontId="7" fillId="0" borderId="60" xfId="14" applyNumberFormat="1" applyFont="1" applyFill="1" applyBorder="1" applyAlignment="1">
      <alignment horizontal="center" vertical="center" shrinkToFit="1"/>
    </xf>
    <xf numFmtId="165" fontId="7" fillId="0" borderId="60" xfId="14" applyFont="1" applyFill="1" applyBorder="1" applyAlignment="1">
      <alignment horizontal="center" vertical="center" shrinkToFit="1"/>
    </xf>
    <xf numFmtId="181" fontId="7" fillId="0" borderId="60" xfId="14" applyNumberFormat="1" applyFont="1" applyFill="1" applyBorder="1" applyAlignment="1">
      <alignment horizontal="right" vertical="center" shrinkToFit="1"/>
    </xf>
    <xf numFmtId="169" fontId="7" fillId="0" borderId="60" xfId="14" applyNumberFormat="1" applyFont="1" applyFill="1" applyBorder="1" applyAlignment="1">
      <alignment vertical="center" shrinkToFit="1"/>
    </xf>
    <xf numFmtId="0" fontId="6" fillId="0" borderId="61" xfId="0" applyFont="1" applyBorder="1" applyAlignment="1">
      <alignment horizontal="center" vertical="center" wrapText="1"/>
    </xf>
    <xf numFmtId="0" fontId="7" fillId="0" borderId="61" xfId="0" applyFont="1" applyBorder="1" applyAlignment="1">
      <alignment horizontal="center" vertical="center" shrinkToFit="1"/>
    </xf>
    <xf numFmtId="179" fontId="7" fillId="0" borderId="61" xfId="14" applyNumberFormat="1" applyFont="1" applyFill="1" applyBorder="1" applyAlignment="1">
      <alignment vertical="center" shrinkToFit="1"/>
    </xf>
    <xf numFmtId="9" fontId="7" fillId="0" borderId="0" xfId="2" applyFont="1" applyFill="1"/>
    <xf numFmtId="169" fontId="7" fillId="0" borderId="0" xfId="14" applyNumberFormat="1" applyFont="1" applyFill="1"/>
    <xf numFmtId="175" fontId="7" fillId="0" borderId="0" xfId="0" applyNumberFormat="1" applyFont="1"/>
    <xf numFmtId="171" fontId="7" fillId="0" borderId="0" xfId="2" applyNumberFormat="1" applyFont="1" applyFill="1"/>
    <xf numFmtId="169" fontId="7" fillId="0" borderId="0" xfId="14" applyNumberFormat="1" applyFont="1" applyFill="1" applyBorder="1" applyAlignment="1">
      <alignment shrinkToFit="1"/>
    </xf>
    <xf numFmtId="9" fontId="7" fillId="0" borderId="0" xfId="0" applyNumberFormat="1" applyFont="1"/>
    <xf numFmtId="10" fontId="7" fillId="0" borderId="0" xfId="2" applyNumberFormat="1" applyFont="1" applyFill="1"/>
    <xf numFmtId="0" fontId="7" fillId="0" borderId="59" xfId="0" applyFont="1" applyBorder="1" applyAlignment="1">
      <alignment vertical="center" wrapText="1" shrinkToFit="1"/>
    </xf>
    <xf numFmtId="0" fontId="7" fillId="0" borderId="60" xfId="0" applyFont="1" applyBorder="1" applyAlignment="1">
      <alignment vertical="center" wrapText="1" shrinkToFit="1"/>
    </xf>
    <xf numFmtId="0" fontId="13" fillId="0" borderId="60" xfId="0" applyFont="1" applyBorder="1" applyAlignment="1">
      <alignment vertical="center" wrapText="1" shrinkToFit="1"/>
    </xf>
    <xf numFmtId="0" fontId="7" fillId="0" borderId="60" xfId="15" applyFont="1" applyFill="1" applyBorder="1" applyAlignment="1">
      <alignment vertical="center" wrapText="1" shrinkToFit="1"/>
    </xf>
    <xf numFmtId="0" fontId="7" fillId="0" borderId="60" xfId="0" quotePrefix="1" applyFont="1" applyBorder="1" applyAlignment="1">
      <alignment vertical="center" wrapText="1" shrinkToFit="1"/>
    </xf>
    <xf numFmtId="0" fontId="7" fillId="0" borderId="61" xfId="0" applyFont="1" applyBorder="1" applyAlignment="1">
      <alignment vertical="center" wrapText="1" shrinkToFit="1"/>
    </xf>
    <xf numFmtId="0" fontId="118" fillId="0" borderId="0" xfId="0" applyFont="1"/>
    <xf numFmtId="0" fontId="123" fillId="0" borderId="0" xfId="15" applyFont="1"/>
    <xf numFmtId="0" fontId="124" fillId="0" borderId="0" xfId="0" applyFont="1" applyAlignment="1">
      <alignment vertical="center"/>
    </xf>
    <xf numFmtId="0" fontId="122" fillId="0" borderId="80" xfId="0" applyFont="1" applyBorder="1" applyAlignment="1">
      <alignment horizontal="center" vertical="center" wrapText="1"/>
    </xf>
    <xf numFmtId="0" fontId="122" fillId="0" borderId="81" xfId="0" applyFont="1" applyBorder="1" applyAlignment="1">
      <alignment horizontal="center" vertical="center" wrapText="1"/>
    </xf>
    <xf numFmtId="0" fontId="124" fillId="0" borderId="79" xfId="0" applyFont="1" applyBorder="1" applyAlignment="1">
      <alignment horizontal="center" vertical="center" wrapText="1"/>
    </xf>
    <xf numFmtId="0" fontId="124" fillId="0" borderId="80" xfId="0" applyFont="1" applyBorder="1" applyAlignment="1">
      <alignment horizontal="center" vertical="center" wrapText="1"/>
    </xf>
    <xf numFmtId="0" fontId="124" fillId="0" borderId="81" xfId="0" applyFont="1" applyBorder="1" applyAlignment="1">
      <alignment horizontal="center" vertical="center" wrapText="1"/>
    </xf>
    <xf numFmtId="0" fontId="124" fillId="0" borderId="82" xfId="0" applyFont="1" applyBorder="1" applyAlignment="1">
      <alignment horizontal="center" vertical="center" wrapText="1"/>
    </xf>
    <xf numFmtId="0" fontId="124" fillId="0" borderId="83" xfId="0" applyFont="1" applyBorder="1" applyAlignment="1">
      <alignment vertical="center" wrapText="1"/>
    </xf>
    <xf numFmtId="0" fontId="124" fillId="0" borderId="83" xfId="0" applyFont="1" applyBorder="1" applyAlignment="1">
      <alignment horizontal="center" vertical="center" wrapText="1"/>
    </xf>
    <xf numFmtId="0" fontId="124" fillId="0" borderId="84" xfId="0" applyFont="1" applyBorder="1" applyAlignment="1">
      <alignment horizontal="center" vertical="center" wrapText="1"/>
    </xf>
    <xf numFmtId="0" fontId="124" fillId="0" borderId="85" xfId="0" applyFont="1" applyBorder="1" applyAlignment="1">
      <alignment horizontal="center" vertical="center" wrapText="1"/>
    </xf>
    <xf numFmtId="0" fontId="124" fillId="0" borderId="86" xfId="0" applyFont="1" applyBorder="1" applyAlignment="1">
      <alignment vertical="center" wrapText="1"/>
    </xf>
    <xf numFmtId="0" fontId="124" fillId="0" borderId="86" xfId="0" applyFont="1" applyBorder="1" applyAlignment="1">
      <alignment horizontal="center" vertical="center" wrapText="1"/>
    </xf>
    <xf numFmtId="0" fontId="124" fillId="0" borderId="87" xfId="0" applyFont="1" applyBorder="1" applyAlignment="1">
      <alignment horizontal="center" vertical="center" wrapText="1"/>
    </xf>
    <xf numFmtId="0" fontId="125" fillId="0" borderId="86" xfId="0" applyFont="1" applyBorder="1" applyAlignment="1">
      <alignment vertical="center" wrapText="1"/>
    </xf>
    <xf numFmtId="0" fontId="125" fillId="0" borderId="86" xfId="0" applyFont="1" applyBorder="1" applyAlignment="1">
      <alignment horizontal="center" vertical="center" wrapText="1"/>
    </xf>
    <xf numFmtId="0" fontId="124" fillId="0" borderId="85" xfId="0" applyFont="1" applyBorder="1" applyAlignment="1">
      <alignment vertical="center" wrapText="1"/>
    </xf>
    <xf numFmtId="0" fontId="124" fillId="0" borderId="88" xfId="0" applyFont="1" applyBorder="1" applyAlignment="1">
      <alignment horizontal="center" vertical="center" wrapText="1"/>
    </xf>
    <xf numFmtId="0" fontId="124" fillId="0" borderId="89" xfId="0" applyFont="1" applyBorder="1" applyAlignment="1">
      <alignment vertical="center" wrapText="1"/>
    </xf>
    <xf numFmtId="0" fontId="124" fillId="0" borderId="89" xfId="0" applyFont="1" applyBorder="1" applyAlignment="1">
      <alignment horizontal="center" vertical="center" wrapText="1"/>
    </xf>
    <xf numFmtId="0" fontId="124" fillId="0" borderId="90" xfId="0" applyFont="1" applyBorder="1" applyAlignment="1">
      <alignment horizontal="center" vertical="center" wrapText="1"/>
    </xf>
    <xf numFmtId="0" fontId="124" fillId="0" borderId="0" xfId="0" applyFont="1" applyAlignment="1">
      <alignment vertical="center" wrapText="1"/>
    </xf>
    <xf numFmtId="181" fontId="23" fillId="0" borderId="60" xfId="14" applyNumberFormat="1" applyFont="1" applyFill="1" applyBorder="1" applyAlignment="1">
      <alignment vertical="center" shrinkToFit="1"/>
    </xf>
    <xf numFmtId="165" fontId="23" fillId="0" borderId="60" xfId="14" applyFont="1" applyFill="1" applyBorder="1" applyAlignment="1">
      <alignment vertical="center" shrinkToFit="1"/>
    </xf>
    <xf numFmtId="3" fontId="42" fillId="0" borderId="4" xfId="0" applyNumberFormat="1" applyFont="1" applyBorder="1" applyAlignment="1">
      <alignment horizontal="center" vertical="center" wrapText="1"/>
    </xf>
    <xf numFmtId="3" fontId="57" fillId="0" borderId="4" xfId="0" applyNumberFormat="1" applyFont="1" applyBorder="1" applyAlignment="1">
      <alignment horizontal="center" vertical="center" wrapText="1"/>
    </xf>
    <xf numFmtId="3" fontId="42" fillId="0" borderId="3" xfId="0" applyNumberFormat="1" applyFont="1" applyBorder="1" applyAlignment="1">
      <alignment horizontal="center" vertical="center" wrapText="1"/>
    </xf>
    <xf numFmtId="0" fontId="12" fillId="0" borderId="0" xfId="0" applyFont="1" applyAlignment="1">
      <alignment horizontal="center" vertical="center" wrapText="1"/>
    </xf>
    <xf numFmtId="3" fontId="42" fillId="0" borderId="0" xfId="0" applyNumberFormat="1" applyFont="1" applyAlignment="1">
      <alignment horizontal="center" shrinkToFit="1"/>
    </xf>
    <xf numFmtId="3" fontId="42" fillId="0" borderId="1" xfId="0" applyNumberFormat="1" applyFont="1" applyBorder="1" applyAlignment="1">
      <alignment horizontal="center" vertical="center" wrapText="1"/>
    </xf>
    <xf numFmtId="3" fontId="42" fillId="0" borderId="2" xfId="0" applyNumberFormat="1" applyFont="1" applyBorder="1" applyAlignment="1">
      <alignment horizontal="center" vertical="center" wrapText="1"/>
    </xf>
    <xf numFmtId="0" fontId="18" fillId="0" borderId="5" xfId="0" applyFont="1" applyBorder="1" applyAlignment="1">
      <alignment vertical="center" shrinkToFit="1"/>
    </xf>
    <xf numFmtId="38" fontId="7" fillId="0" borderId="5" xfId="0" applyNumberFormat="1" applyFont="1" applyBorder="1" applyAlignment="1">
      <alignment shrinkToFit="1"/>
    </xf>
    <xf numFmtId="0" fontId="6" fillId="0" borderId="5" xfId="0" applyFont="1" applyBorder="1" applyAlignment="1">
      <alignment vertical="center" wrapText="1" shrinkToFit="1"/>
    </xf>
    <xf numFmtId="3" fontId="57" fillId="0" borderId="44" xfId="0" applyNumberFormat="1" applyFont="1" applyBorder="1" applyAlignment="1">
      <alignment horizontal="center" vertical="center" wrapText="1"/>
    </xf>
    <xf numFmtId="3" fontId="57" fillId="0" borderId="11" xfId="0" applyNumberFormat="1" applyFont="1" applyBorder="1" applyAlignment="1">
      <alignment horizontal="center" vertical="center" wrapText="1"/>
    </xf>
    <xf numFmtId="3" fontId="57" fillId="0" borderId="7" xfId="0" applyNumberFormat="1" applyFont="1" applyBorder="1" applyAlignment="1">
      <alignment horizontal="center" vertical="center" wrapText="1"/>
    </xf>
    <xf numFmtId="168" fontId="1" fillId="0" borderId="9" xfId="0" applyNumberFormat="1" applyFont="1" applyBorder="1" applyAlignment="1">
      <alignment vertical="center" shrinkToFit="1"/>
    </xf>
    <xf numFmtId="168" fontId="55" fillId="0" borderId="5" xfId="0" applyNumberFormat="1" applyFont="1" applyBorder="1" applyAlignment="1">
      <alignment vertical="center" shrinkToFit="1"/>
    </xf>
    <xf numFmtId="0" fontId="12" fillId="0" borderId="4" xfId="0" applyFont="1" applyBorder="1" applyAlignment="1">
      <alignment horizontal="center" vertical="center" wrapText="1"/>
    </xf>
    <xf numFmtId="174" fontId="6" fillId="0" borderId="5" xfId="0" applyNumberFormat="1" applyFont="1" applyBorder="1" applyAlignment="1">
      <alignment vertical="center" shrinkToFit="1"/>
    </xf>
    <xf numFmtId="3" fontId="6" fillId="0" borderId="5" xfId="0" applyNumberFormat="1" applyFont="1" applyBorder="1" applyAlignment="1">
      <alignment shrinkToFit="1"/>
    </xf>
    <xf numFmtId="3" fontId="10" fillId="0" borderId="5" xfId="0" applyNumberFormat="1" applyFont="1" applyBorder="1" applyAlignment="1">
      <alignment shrinkToFit="1"/>
    </xf>
    <xf numFmtId="3" fontId="13" fillId="0" borderId="5" xfId="0" applyNumberFormat="1" applyFont="1" applyBorder="1" applyAlignment="1">
      <alignment vertical="center" shrinkToFit="1"/>
    </xf>
    <xf numFmtId="3" fontId="6" fillId="0" borderId="0" xfId="0" applyNumberFormat="1" applyFont="1" applyAlignment="1">
      <alignment horizontal="centerContinuous"/>
    </xf>
    <xf numFmtId="3" fontId="6" fillId="0" borderId="0" xfId="0" applyNumberFormat="1" applyFont="1" applyAlignment="1">
      <alignment shrinkToFit="1"/>
    </xf>
    <xf numFmtId="3" fontId="7" fillId="0" borderId="29" xfId="0" applyNumberFormat="1" applyFont="1" applyBorder="1" applyAlignment="1">
      <alignment horizontal="center"/>
    </xf>
    <xf numFmtId="3" fontId="7" fillId="0" borderId="0" xfId="0" applyNumberFormat="1" applyFont="1" applyAlignment="1">
      <alignment horizontal="right" shrinkToFit="1"/>
    </xf>
    <xf numFmtId="169" fontId="7" fillId="0" borderId="0" xfId="14" applyNumberFormat="1" applyFont="1" applyFill="1" applyAlignment="1">
      <alignment horizontal="center" shrinkToFit="1"/>
    </xf>
    <xf numFmtId="188" fontId="7" fillId="0" borderId="0" xfId="0" applyNumberFormat="1" applyFont="1" applyAlignment="1">
      <alignment horizontal="right"/>
    </xf>
    <xf numFmtId="165" fontId="7" fillId="0" borderId="0" xfId="14" applyFont="1" applyFill="1"/>
    <xf numFmtId="3" fontId="10" fillId="0" borderId="6" xfId="0" applyNumberFormat="1" applyFont="1" applyBorder="1" applyAlignment="1">
      <alignment horizontal="center" shrinkToFit="1"/>
    </xf>
    <xf numFmtId="168" fontId="10" fillId="0" borderId="6" xfId="0" applyNumberFormat="1" applyFont="1" applyBorder="1" applyAlignment="1">
      <alignment shrinkToFit="1"/>
    </xf>
    <xf numFmtId="3" fontId="10" fillId="0" borderId="5" xfId="0" applyNumberFormat="1" applyFont="1" applyBorder="1" applyAlignment="1">
      <alignment horizontal="center" shrinkToFit="1"/>
    </xf>
    <xf numFmtId="3" fontId="25" fillId="0" borderId="5" xfId="0" applyNumberFormat="1" applyFont="1" applyBorder="1" applyAlignment="1">
      <alignment horizontal="center" shrinkToFit="1"/>
    </xf>
    <xf numFmtId="3" fontId="6" fillId="0" borderId="5" xfId="0" applyNumberFormat="1" applyFont="1" applyBorder="1" applyAlignment="1">
      <alignment horizontal="center" shrinkToFit="1"/>
    </xf>
    <xf numFmtId="3" fontId="7" fillId="0" borderId="5" xfId="0" applyNumberFormat="1" applyFont="1" applyBorder="1" applyAlignment="1">
      <alignment horizontal="center" shrinkToFit="1"/>
    </xf>
    <xf numFmtId="3" fontId="13" fillId="0" borderId="5" xfId="0" applyNumberFormat="1" applyFont="1" applyBorder="1" applyAlignment="1">
      <alignment horizontal="center" shrinkToFit="1"/>
    </xf>
    <xf numFmtId="168" fontId="10" fillId="0" borderId="5" xfId="0" applyNumberFormat="1" applyFont="1" applyBorder="1" applyAlignment="1">
      <alignment shrinkToFit="1"/>
    </xf>
    <xf numFmtId="168" fontId="7" fillId="0" borderId="9" xfId="0" applyNumberFormat="1" applyFont="1" applyBorder="1" applyAlignment="1">
      <alignment vertical="center" shrinkToFit="1"/>
    </xf>
    <xf numFmtId="3" fontId="10" fillId="0" borderId="5" xfId="0" applyNumberFormat="1" applyFont="1" applyBorder="1" applyAlignment="1">
      <alignment vertical="center" wrapText="1" shrinkToFit="1"/>
    </xf>
    <xf numFmtId="3" fontId="10" fillId="0" borderId="8" xfId="0" applyNumberFormat="1" applyFont="1" applyBorder="1" applyAlignment="1">
      <alignment horizontal="center" shrinkToFit="1"/>
    </xf>
    <xf numFmtId="3" fontId="25" fillId="0" borderId="5" xfId="0" applyNumberFormat="1" applyFont="1" applyBorder="1" applyAlignment="1">
      <alignment vertical="center" wrapText="1" shrinkToFit="1"/>
    </xf>
    <xf numFmtId="3" fontId="1" fillId="0" borderId="9" xfId="0" applyNumberFormat="1" applyFont="1" applyBorder="1" applyAlignment="1">
      <alignment horizontal="center" vertical="center" wrapText="1"/>
    </xf>
    <xf numFmtId="3" fontId="1" fillId="0" borderId="9" xfId="0" applyNumberFormat="1" applyFont="1" applyBorder="1" applyAlignment="1">
      <alignment vertical="center" shrinkToFit="1"/>
    </xf>
    <xf numFmtId="168" fontId="1" fillId="0" borderId="9" xfId="14" applyNumberFormat="1" applyFont="1" applyFill="1" applyBorder="1" applyAlignment="1">
      <alignment vertical="center" shrinkToFit="1"/>
    </xf>
    <xf numFmtId="175" fontId="1" fillId="0" borderId="9" xfId="14" applyNumberFormat="1" applyFont="1" applyFill="1" applyBorder="1" applyAlignment="1">
      <alignment vertical="center" shrinkToFit="1"/>
    </xf>
    <xf numFmtId="168" fontId="69" fillId="0" borderId="5" xfId="0" applyNumberFormat="1" applyFont="1" applyBorder="1" applyAlignment="1">
      <alignment vertical="center" shrinkToFit="1"/>
    </xf>
    <xf numFmtId="0" fontId="11" fillId="0" borderId="0" xfId="0" applyFont="1" applyAlignment="1">
      <alignment horizontal="center"/>
    </xf>
    <xf numFmtId="0" fontId="11" fillId="0" borderId="0" xfId="0" applyFont="1" applyAlignment="1">
      <alignment horizontal="right" vertical="center"/>
    </xf>
    <xf numFmtId="0" fontId="21" fillId="0" borderId="6" xfId="0" applyFont="1" applyBorder="1"/>
    <xf numFmtId="0" fontId="12" fillId="0" borderId="5" xfId="0" applyFont="1" applyBorder="1"/>
    <xf numFmtId="0" fontId="12" fillId="0" borderId="0" xfId="0" applyFont="1"/>
    <xf numFmtId="0" fontId="21" fillId="0" borderId="5" xfId="0" applyFont="1" applyBorder="1" applyAlignment="1">
      <alignment shrinkToFit="1"/>
    </xf>
    <xf numFmtId="38" fontId="33" fillId="0" borderId="0" xfId="0" applyNumberFormat="1" applyFont="1"/>
    <xf numFmtId="0" fontId="33" fillId="0" borderId="0" xfId="0" applyFont="1"/>
    <xf numFmtId="0" fontId="12" fillId="0" borderId="5" xfId="0" applyFont="1" applyBorder="1" applyAlignment="1">
      <alignment horizontal="center" vertical="center"/>
    </xf>
    <xf numFmtId="0" fontId="12" fillId="0" borderId="5" xfId="0" applyFont="1" applyBorder="1" applyAlignment="1">
      <alignment vertical="center" shrinkToFit="1"/>
    </xf>
    <xf numFmtId="174" fontId="12" fillId="0" borderId="5" xfId="0" applyNumberFormat="1" applyFont="1" applyBorder="1" applyAlignment="1">
      <alignment vertical="center" shrinkToFit="1"/>
    </xf>
    <xf numFmtId="0" fontId="11" fillId="0" borderId="0" xfId="0" applyFont="1" applyAlignment="1">
      <alignment vertical="center"/>
    </xf>
    <xf numFmtId="0" fontId="11" fillId="0" borderId="5" xfId="0" applyFont="1" applyBorder="1" applyAlignment="1">
      <alignment horizontal="center" vertical="center"/>
    </xf>
    <xf numFmtId="0" fontId="11" fillId="0" borderId="5" xfId="0" applyFont="1" applyBorder="1" applyAlignment="1">
      <alignment vertical="center"/>
    </xf>
    <xf numFmtId="174" fontId="11" fillId="0" borderId="5" xfId="0" applyNumberFormat="1" applyFont="1" applyBorder="1" applyAlignment="1">
      <alignment vertical="center" shrinkToFit="1"/>
    </xf>
    <xf numFmtId="0" fontId="30" fillId="0" borderId="5" xfId="0" applyFont="1" applyBorder="1" applyAlignment="1">
      <alignment vertical="center"/>
    </xf>
    <xf numFmtId="3" fontId="30" fillId="0" borderId="5" xfId="0" applyNumberFormat="1" applyFont="1" applyBorder="1" applyAlignment="1">
      <alignment vertical="center" shrinkToFit="1"/>
    </xf>
    <xf numFmtId="0" fontId="30" fillId="0" borderId="0" xfId="0" applyFont="1" applyAlignment="1">
      <alignment vertical="center"/>
    </xf>
    <xf numFmtId="0" fontId="30" fillId="0" borderId="5" xfId="0" applyFont="1" applyBorder="1" applyAlignment="1">
      <alignment vertical="center" shrinkToFit="1"/>
    </xf>
    <xf numFmtId="0" fontId="11" fillId="0" borderId="5" xfId="0" applyFont="1" applyBorder="1" applyAlignment="1">
      <alignment vertical="center" shrinkToFit="1"/>
    </xf>
    <xf numFmtId="3" fontId="21" fillId="0" borderId="5" xfId="0" applyNumberFormat="1" applyFont="1" applyBorder="1" applyAlignment="1">
      <alignment vertical="center" shrinkToFit="1"/>
    </xf>
    <xf numFmtId="0" fontId="21" fillId="0" borderId="5" xfId="0" applyFont="1" applyBorder="1"/>
    <xf numFmtId="0" fontId="11" fillId="0" borderId="5" xfId="0" applyFont="1" applyBorder="1" applyAlignment="1">
      <alignment horizontal="center"/>
    </xf>
    <xf numFmtId="0" fontId="11" fillId="0" borderId="5" xfId="0" applyFont="1" applyBorder="1"/>
    <xf numFmtId="3" fontId="11" fillId="0" borderId="5" xfId="0" applyNumberFormat="1" applyFont="1" applyBorder="1" applyAlignment="1">
      <alignment wrapText="1" shrinkToFit="1"/>
    </xf>
    <xf numFmtId="3" fontId="12" fillId="0" borderId="8" xfId="0" applyNumberFormat="1" applyFont="1" applyBorder="1" applyAlignment="1">
      <alignment vertical="center" shrinkToFit="1"/>
    </xf>
    <xf numFmtId="0" fontId="33" fillId="0" borderId="0" xfId="0" applyFont="1" applyAlignment="1">
      <alignment vertical="center"/>
    </xf>
    <xf numFmtId="0" fontId="12" fillId="0" borderId="8" xfId="0" applyFont="1" applyBorder="1" applyAlignment="1">
      <alignment horizontal="center"/>
    </xf>
    <xf numFmtId="3" fontId="21" fillId="0" borderId="8" xfId="0" applyNumberFormat="1" applyFont="1" applyBorder="1" applyAlignment="1">
      <alignment vertical="center" wrapText="1"/>
    </xf>
    <xf numFmtId="174" fontId="12" fillId="0" borderId="8" xfId="0" applyNumberFormat="1" applyFont="1" applyBorder="1" applyAlignment="1">
      <alignment vertical="center" shrinkToFit="1"/>
    </xf>
    <xf numFmtId="38" fontId="12" fillId="0" borderId="8" xfId="0" applyNumberFormat="1" applyFont="1" applyBorder="1" applyAlignment="1">
      <alignment shrinkToFit="1"/>
    </xf>
    <xf numFmtId="38" fontId="12" fillId="0" borderId="7" xfId="0" applyNumberFormat="1" applyFont="1" applyBorder="1" applyAlignment="1">
      <alignment shrinkToFit="1"/>
    </xf>
    <xf numFmtId="3" fontId="11" fillId="0" borderId="30" xfId="0" applyNumberFormat="1" applyFont="1" applyBorder="1" applyAlignment="1">
      <alignment vertical="center" shrinkToFit="1"/>
    </xf>
    <xf numFmtId="0" fontId="11" fillId="0" borderId="8" xfId="0" applyFont="1" applyBorder="1" applyAlignment="1">
      <alignment horizontal="center"/>
    </xf>
    <xf numFmtId="3" fontId="11" fillId="0" borderId="8" xfId="0" applyNumberFormat="1" applyFont="1" applyBorder="1" applyAlignment="1">
      <alignment vertical="center" wrapText="1"/>
    </xf>
    <xf numFmtId="174" fontId="11" fillId="0" borderId="8" xfId="0" applyNumberFormat="1" applyFont="1" applyBorder="1" applyAlignment="1">
      <alignment vertical="center" shrinkToFit="1"/>
    </xf>
    <xf numFmtId="38" fontId="11" fillId="0" borderId="8" xfId="0" applyNumberFormat="1" applyFont="1" applyBorder="1" applyAlignment="1">
      <alignment shrinkToFit="1"/>
    </xf>
    <xf numFmtId="3" fontId="11" fillId="0" borderId="0" xfId="0" applyNumberFormat="1" applyFont="1"/>
    <xf numFmtId="174" fontId="12" fillId="0" borderId="7" xfId="0" applyNumberFormat="1" applyFont="1" applyBorder="1" applyAlignment="1">
      <alignment vertical="center" shrinkToFit="1"/>
    </xf>
    <xf numFmtId="0" fontId="82" fillId="0" borderId="0" xfId="0" applyFont="1" applyAlignment="1">
      <alignment horizontal="center" vertical="center"/>
    </xf>
    <xf numFmtId="0" fontId="82" fillId="0" borderId="0" xfId="0" applyFont="1" applyAlignment="1">
      <alignment vertical="center"/>
    </xf>
    <xf numFmtId="0" fontId="92" fillId="0" borderId="0" xfId="0" applyFont="1" applyAlignment="1">
      <alignment vertical="center"/>
    </xf>
    <xf numFmtId="0" fontId="92" fillId="0" borderId="0" xfId="0" applyFont="1" applyAlignment="1">
      <alignment horizontal="center" vertical="center"/>
    </xf>
    <xf numFmtId="168" fontId="42" fillId="2" borderId="5" xfId="0" applyNumberFormat="1" applyFont="1" applyFill="1" applyBorder="1" applyAlignment="1">
      <alignment vertical="center" shrinkToFit="1"/>
    </xf>
    <xf numFmtId="168" fontId="42" fillId="2" borderId="6" xfId="0" applyNumberFormat="1" applyFont="1" applyFill="1" applyBorder="1" applyAlignment="1">
      <alignment vertical="center" shrinkToFit="1"/>
    </xf>
    <xf numFmtId="174" fontId="11" fillId="0" borderId="0" xfId="0" applyNumberFormat="1" applyFont="1" applyAlignment="1">
      <alignment vertical="center"/>
    </xf>
    <xf numFmtId="3" fontId="43" fillId="0" borderId="53" xfId="0" applyNumberFormat="1" applyFont="1" applyBorder="1" applyAlignment="1">
      <alignment horizontal="center" vertical="center" wrapText="1"/>
    </xf>
    <xf numFmtId="3" fontId="43" fillId="0" borderId="11" xfId="0" applyNumberFormat="1" applyFont="1" applyBorder="1" applyAlignment="1">
      <alignment vertical="center" wrapText="1" shrinkToFit="1"/>
    </xf>
    <xf numFmtId="3" fontId="43" fillId="0" borderId="11" xfId="0" applyNumberFormat="1" applyFont="1" applyBorder="1" applyAlignment="1">
      <alignment vertical="center" shrinkToFit="1"/>
    </xf>
    <xf numFmtId="3" fontId="60" fillId="0" borderId="11" xfId="0" applyNumberFormat="1" applyFont="1" applyBorder="1" applyAlignment="1">
      <alignment vertical="center" shrinkToFit="1"/>
    </xf>
    <xf numFmtId="3" fontId="59" fillId="0" borderId="11" xfId="0" applyNumberFormat="1" applyFont="1" applyBorder="1" applyAlignment="1">
      <alignment vertical="center" shrinkToFit="1"/>
    </xf>
    <xf numFmtId="9" fontId="57" fillId="0" borderId="11" xfId="2" applyFont="1" applyBorder="1" applyAlignment="1">
      <alignment vertical="center" shrinkToFit="1"/>
    </xf>
    <xf numFmtId="9" fontId="42" fillId="0" borderId="11" xfId="2" applyFont="1" applyBorder="1" applyAlignment="1">
      <alignment vertical="center" shrinkToFit="1"/>
    </xf>
    <xf numFmtId="10" fontId="44" fillId="0" borderId="11" xfId="2" applyNumberFormat="1" applyFont="1" applyBorder="1" applyAlignment="1">
      <alignment vertical="center" shrinkToFit="1"/>
    </xf>
    <xf numFmtId="3" fontId="43" fillId="0" borderId="12" xfId="0" applyNumberFormat="1" applyFont="1" applyBorder="1" applyAlignment="1">
      <alignment vertical="center" shrinkToFit="1"/>
    </xf>
    <xf numFmtId="9" fontId="42" fillId="0" borderId="0" xfId="2" applyFont="1" applyBorder="1" applyAlignment="1">
      <alignment vertical="center"/>
    </xf>
    <xf numFmtId="3" fontId="56" fillId="0" borderId="0" xfId="0" applyNumberFormat="1" applyFont="1" applyAlignment="1">
      <alignment horizontal="center" vertical="center" wrapText="1"/>
    </xf>
    <xf numFmtId="4" fontId="42" fillId="0" borderId="0" xfId="0" applyNumberFormat="1" applyFont="1" applyAlignment="1">
      <alignment shrinkToFit="1"/>
    </xf>
    <xf numFmtId="3" fontId="56" fillId="0" borderId="0" xfId="0" applyNumberFormat="1" applyFont="1" applyAlignment="1">
      <alignment shrinkToFit="1"/>
    </xf>
    <xf numFmtId="165" fontId="56" fillId="0" borderId="0" xfId="14" applyFont="1" applyFill="1" applyAlignment="1">
      <alignment horizontal="center" shrinkToFit="1"/>
    </xf>
    <xf numFmtId="9" fontId="42" fillId="0" borderId="0" xfId="2" applyFont="1" applyAlignment="1">
      <alignment horizontal="center"/>
    </xf>
    <xf numFmtId="3" fontId="35" fillId="0" borderId="0" xfId="0" applyNumberFormat="1" applyFont="1" applyAlignment="1">
      <alignment horizontal="center"/>
    </xf>
    <xf numFmtId="3" fontId="56" fillId="0" borderId="29" xfId="0" applyNumberFormat="1" applyFont="1" applyBorder="1" applyAlignment="1">
      <alignment horizontal="right"/>
    </xf>
    <xf numFmtId="3" fontId="35" fillId="0" borderId="7" xfId="0" applyNumberFormat="1" applyFont="1" applyBorder="1" applyAlignment="1">
      <alignment horizontal="center" vertical="center" shrinkToFit="1"/>
    </xf>
    <xf numFmtId="3" fontId="35" fillId="0" borderId="6" xfId="0" applyNumberFormat="1" applyFont="1" applyBorder="1" applyAlignment="1">
      <alignment horizontal="center" vertical="center" wrapText="1"/>
    </xf>
    <xf numFmtId="168" fontId="60" fillId="0" borderId="6" xfId="0" applyNumberFormat="1" applyFont="1" applyBorder="1" applyAlignment="1">
      <alignment shrinkToFit="1"/>
    </xf>
    <xf numFmtId="168" fontId="60" fillId="0" borderId="6" xfId="0" applyNumberFormat="1" applyFont="1" applyBorder="1" applyAlignment="1">
      <alignment horizontal="center" shrinkToFit="1"/>
    </xf>
    <xf numFmtId="168" fontId="60" fillId="0" borderId="5" xfId="0" applyNumberFormat="1" applyFont="1" applyBorder="1" applyAlignment="1">
      <alignment vertical="center" shrinkToFit="1"/>
    </xf>
    <xf numFmtId="168" fontId="60" fillId="0" borderId="5" xfId="14" applyNumberFormat="1" applyFont="1" applyFill="1" applyBorder="1" applyAlignment="1">
      <alignment horizontal="center" vertical="center" shrinkToFit="1"/>
    </xf>
    <xf numFmtId="168" fontId="60" fillId="0" borderId="5" xfId="0" applyNumberFormat="1" applyFont="1" applyBorder="1" applyAlignment="1">
      <alignment horizontal="center" shrinkToFit="1"/>
    </xf>
    <xf numFmtId="168" fontId="56" fillId="0" borderId="5" xfId="0" applyNumberFormat="1" applyFont="1" applyBorder="1" applyAlignment="1">
      <alignment vertical="center" shrinkToFit="1"/>
    </xf>
    <xf numFmtId="168" fontId="56" fillId="0" borderId="5" xfId="14" applyNumberFormat="1" applyFont="1" applyFill="1" applyBorder="1" applyAlignment="1">
      <alignment horizontal="center" vertical="center" shrinkToFit="1"/>
    </xf>
    <xf numFmtId="168" fontId="61" fillId="0" borderId="5" xfId="0" applyNumberFormat="1" applyFont="1" applyBorder="1" applyAlignment="1">
      <alignment vertical="center" shrinkToFit="1"/>
    </xf>
    <xf numFmtId="168" fontId="35" fillId="0" borderId="5" xfId="14" applyNumberFormat="1" applyFont="1" applyFill="1" applyBorder="1" applyAlignment="1">
      <alignment horizontal="center" vertical="center" shrinkToFit="1"/>
    </xf>
    <xf numFmtId="168" fontId="35" fillId="0" borderId="5" xfId="0" applyNumberFormat="1" applyFont="1" applyBorder="1" applyAlignment="1">
      <alignment horizontal="center" shrinkToFit="1"/>
    </xf>
    <xf numFmtId="3" fontId="35" fillId="0" borderId="5" xfId="0" applyNumberFormat="1" applyFont="1" applyBorder="1"/>
    <xf numFmtId="0" fontId="42" fillId="0" borderId="5" xfId="22" applyFont="1" applyBorder="1" applyAlignment="1">
      <alignment horizontal="left"/>
    </xf>
    <xf numFmtId="168" fontId="35" fillId="0" borderId="5" xfId="0" applyNumberFormat="1" applyFont="1" applyBorder="1" applyAlignment="1">
      <alignment shrinkToFit="1"/>
    </xf>
    <xf numFmtId="3" fontId="56" fillId="0" borderId="5" xfId="0" applyNumberFormat="1" applyFont="1" applyBorder="1"/>
    <xf numFmtId="1" fontId="56" fillId="0" borderId="5" xfId="2" applyNumberFormat="1" applyFont="1" applyBorder="1" applyAlignment="1">
      <alignment horizontal="center"/>
    </xf>
    <xf numFmtId="168" fontId="56" fillId="0" borderId="5" xfId="0" applyNumberFormat="1" applyFont="1" applyBorder="1" applyAlignment="1">
      <alignment shrinkToFit="1"/>
    </xf>
    <xf numFmtId="168" fontId="56" fillId="0" borderId="5" xfId="0" applyNumberFormat="1" applyFont="1" applyBorder="1" applyAlignment="1">
      <alignment horizontal="center" shrinkToFit="1"/>
    </xf>
    <xf numFmtId="3" fontId="56" fillId="0" borderId="5" xfId="2" applyNumberFormat="1" applyFont="1" applyBorder="1" applyAlignment="1">
      <alignment horizontal="center"/>
    </xf>
    <xf numFmtId="3" fontId="56" fillId="0" borderId="5" xfId="14" applyNumberFormat="1" applyFont="1" applyBorder="1" applyAlignment="1">
      <alignment horizontal="center"/>
    </xf>
    <xf numFmtId="3" fontId="60" fillId="0" borderId="5" xfId="0" applyNumberFormat="1" applyFont="1" applyBorder="1" applyAlignment="1">
      <alignment horizontal="center" shrinkToFit="1"/>
    </xf>
    <xf numFmtId="168" fontId="60" fillId="0" borderId="5" xfId="0" applyNumberFormat="1" applyFont="1" applyBorder="1" applyAlignment="1">
      <alignment shrinkToFit="1"/>
    </xf>
    <xf numFmtId="3" fontId="60" fillId="0" borderId="0" xfId="0" applyNumberFormat="1" applyFont="1"/>
    <xf numFmtId="3" fontId="35" fillId="0" borderId="5" xfId="0" applyNumberFormat="1" applyFont="1" applyBorder="1" applyAlignment="1">
      <alignment horizontal="center" shrinkToFit="1"/>
    </xf>
    <xf numFmtId="38" fontId="35" fillId="0" borderId="5" xfId="0" applyNumberFormat="1" applyFont="1" applyBorder="1" applyAlignment="1">
      <alignment vertical="center" shrinkToFit="1"/>
    </xf>
    <xf numFmtId="3" fontId="56" fillId="0" borderId="5" xfId="0" applyNumberFormat="1" applyFont="1" applyBorder="1" applyAlignment="1">
      <alignment vertical="center" wrapText="1"/>
    </xf>
    <xf numFmtId="3" fontId="35" fillId="0" borderId="5" xfId="0" applyNumberFormat="1" applyFont="1" applyBorder="1" applyAlignment="1">
      <alignment vertical="center" wrapText="1"/>
    </xf>
    <xf numFmtId="3" fontId="35" fillId="0" borderId="5" xfId="0" applyNumberFormat="1" applyFont="1" applyBorder="1" applyAlignment="1">
      <alignment vertical="center"/>
    </xf>
    <xf numFmtId="168" fontId="60" fillId="0" borderId="5" xfId="14" applyNumberFormat="1" applyFont="1" applyFill="1" applyBorder="1" applyAlignment="1">
      <alignment horizontal="center" vertical="center"/>
    </xf>
    <xf numFmtId="3" fontId="60" fillId="0" borderId="5" xfId="0" applyNumberFormat="1" applyFont="1" applyBorder="1"/>
    <xf numFmtId="168" fontId="60" fillId="0" borderId="8" xfId="0" applyNumberFormat="1" applyFont="1" applyBorder="1" applyAlignment="1">
      <alignment vertical="center" shrinkToFit="1"/>
    </xf>
    <xf numFmtId="168" fontId="60" fillId="0" borderId="8" xfId="14" applyNumberFormat="1" applyFont="1" applyFill="1" applyBorder="1" applyAlignment="1">
      <alignment horizontal="center" vertical="center" shrinkToFit="1"/>
    </xf>
    <xf numFmtId="168" fontId="56" fillId="0" borderId="8" xfId="14" applyNumberFormat="1" applyFont="1" applyFill="1" applyBorder="1" applyAlignment="1">
      <alignment horizontal="center" vertical="center" shrinkToFit="1"/>
    </xf>
    <xf numFmtId="3" fontId="43" fillId="0" borderId="0" xfId="0" applyNumberFormat="1" applyFont="1" applyAlignment="1">
      <alignment horizontal="center" shrinkToFit="1"/>
    </xf>
    <xf numFmtId="3" fontId="43" fillId="0" borderId="0" xfId="0" applyNumberFormat="1" applyFont="1" applyAlignment="1">
      <alignment vertical="center" shrinkToFit="1"/>
    </xf>
    <xf numFmtId="168" fontId="43" fillId="0" borderId="0" xfId="0" applyNumberFormat="1" applyFont="1" applyAlignment="1">
      <alignment vertical="center" shrinkToFit="1"/>
    </xf>
    <xf numFmtId="168" fontId="43" fillId="0" borderId="0" xfId="14" applyNumberFormat="1" applyFont="1" applyFill="1" applyBorder="1" applyAlignment="1">
      <alignment horizontal="center" vertical="center" shrinkToFit="1"/>
    </xf>
    <xf numFmtId="168" fontId="60" fillId="0" borderId="0" xfId="0" applyNumberFormat="1" applyFont="1" applyAlignment="1">
      <alignment vertical="center" shrinkToFit="1"/>
    </xf>
    <xf numFmtId="168" fontId="60" fillId="0" borderId="0" xfId="14" applyNumberFormat="1" applyFont="1" applyFill="1" applyBorder="1" applyAlignment="1">
      <alignment horizontal="center" vertical="center" shrinkToFit="1"/>
    </xf>
    <xf numFmtId="168" fontId="56" fillId="0" borderId="0" xfId="14" applyNumberFormat="1" applyFont="1" applyFill="1" applyBorder="1" applyAlignment="1">
      <alignment horizontal="center" vertical="center" shrinkToFit="1"/>
    </xf>
    <xf numFmtId="9" fontId="1" fillId="0" borderId="0" xfId="2" applyFont="1" applyAlignment="1">
      <alignment horizontal="center"/>
    </xf>
    <xf numFmtId="9" fontId="35" fillId="0" borderId="0" xfId="2" applyFont="1" applyFill="1"/>
    <xf numFmtId="10" fontId="35" fillId="0" borderId="0" xfId="2" applyNumberFormat="1" applyFont="1" applyFill="1"/>
    <xf numFmtId="3" fontId="35" fillId="0" borderId="0" xfId="2" applyNumberFormat="1" applyFont="1" applyFill="1"/>
    <xf numFmtId="165" fontId="35" fillId="0" borderId="0" xfId="14" applyFont="1" applyFill="1"/>
    <xf numFmtId="10" fontId="35" fillId="0" borderId="0" xfId="2" applyNumberFormat="1" applyFont="1" applyAlignment="1">
      <alignment shrinkToFit="1"/>
    </xf>
    <xf numFmtId="171" fontId="35" fillId="0" borderId="0" xfId="2" applyNumberFormat="1" applyFont="1" applyFill="1"/>
    <xf numFmtId="165" fontId="35" fillId="0" borderId="0" xfId="14" applyFont="1"/>
    <xf numFmtId="1" fontId="42" fillId="0" borderId="5" xfId="2" applyNumberFormat="1" applyFont="1" applyFill="1" applyBorder="1" applyAlignment="1">
      <alignment vertical="center" shrinkToFit="1"/>
    </xf>
    <xf numFmtId="173" fontId="42" fillId="0" borderId="5" xfId="14" applyNumberFormat="1" applyFont="1" applyFill="1" applyBorder="1" applyAlignment="1">
      <alignment vertical="center" shrinkToFit="1"/>
    </xf>
    <xf numFmtId="3" fontId="42" fillId="0" borderId="0" xfId="0" applyNumberFormat="1" applyFont="1" applyAlignment="1">
      <alignment horizontal="left"/>
    </xf>
    <xf numFmtId="169" fontId="42" fillId="0" borderId="0" xfId="14" applyNumberFormat="1" applyFont="1" applyFill="1" applyBorder="1" applyAlignment="1"/>
    <xf numFmtId="9" fontId="92" fillId="0" borderId="0" xfId="2" applyFont="1" applyAlignment="1">
      <alignment shrinkToFit="1"/>
    </xf>
    <xf numFmtId="171" fontId="92" fillId="0" borderId="0" xfId="2" applyNumberFormat="1" applyFont="1" applyAlignment="1">
      <alignment shrinkToFit="1"/>
    </xf>
    <xf numFmtId="10" fontId="55" fillId="0" borderId="0" xfId="2" applyNumberFormat="1" applyFont="1" applyFill="1" applyBorder="1" applyAlignment="1"/>
    <xf numFmtId="171" fontId="1" fillId="2" borderId="0" xfId="2" applyNumberFormat="1" applyFont="1" applyFill="1"/>
    <xf numFmtId="3" fontId="1" fillId="0" borderId="0" xfId="2" applyNumberFormat="1" applyFont="1" applyFill="1" applyBorder="1" applyAlignment="1">
      <alignment shrinkToFit="1"/>
    </xf>
    <xf numFmtId="3" fontId="42" fillId="0" borderId="0" xfId="2" applyNumberFormat="1" applyFont="1" applyFill="1" applyBorder="1" applyAlignment="1">
      <alignment shrinkToFit="1"/>
    </xf>
    <xf numFmtId="179" fontId="1" fillId="0" borderId="0" xfId="14" applyNumberFormat="1" applyFont="1"/>
    <xf numFmtId="179" fontId="1" fillId="0" borderId="0" xfId="14" applyNumberFormat="1" applyFont="1" applyFill="1" applyBorder="1" applyAlignment="1">
      <alignment shrinkToFit="1"/>
    </xf>
    <xf numFmtId="3" fontId="1" fillId="2" borderId="0" xfId="0" applyNumberFormat="1" applyFont="1" applyFill="1"/>
    <xf numFmtId="3" fontId="1" fillId="2" borderId="0" xfId="2" applyNumberFormat="1" applyFont="1" applyFill="1" applyBorder="1" applyAlignment="1">
      <alignment shrinkToFit="1"/>
    </xf>
    <xf numFmtId="0" fontId="42" fillId="0" borderId="24" xfId="0" applyFont="1" applyBorder="1" applyAlignment="1">
      <alignment horizontal="center" vertical="center" wrapText="1"/>
    </xf>
    <xf numFmtId="0" fontId="61" fillId="0" borderId="24" xfId="0" applyFont="1" applyBorder="1" applyAlignment="1">
      <alignment horizontal="center" vertical="center" wrapText="1"/>
    </xf>
    <xf numFmtId="0" fontId="57" fillId="0" borderId="24" xfId="0" applyFont="1" applyBorder="1" applyAlignment="1">
      <alignment horizontal="center" vertical="center" wrapText="1"/>
    </xf>
    <xf numFmtId="0" fontId="43" fillId="0" borderId="41" xfId="0" applyFont="1" applyBorder="1" applyAlignment="1">
      <alignment horizontal="center" vertical="center"/>
    </xf>
    <xf numFmtId="0" fontId="43" fillId="0" borderId="30" xfId="0" applyFont="1" applyBorder="1" applyAlignment="1">
      <alignment vertical="center"/>
    </xf>
    <xf numFmtId="38" fontId="43" fillId="0" borderId="30" xfId="0" applyNumberFormat="1" applyFont="1" applyBorder="1" applyAlignment="1">
      <alignment vertical="center" shrinkToFit="1"/>
    </xf>
    <xf numFmtId="0" fontId="1" fillId="0" borderId="0" xfId="0" applyFont="1" applyAlignment="1">
      <alignment vertical="center"/>
    </xf>
    <xf numFmtId="0" fontId="42" fillId="0" borderId="20" xfId="0" applyFont="1" applyBorder="1" applyAlignment="1">
      <alignment horizontal="center" vertical="center"/>
    </xf>
    <xf numFmtId="0" fontId="42" fillId="0" borderId="0" xfId="0" applyFont="1" applyAlignment="1">
      <alignment vertical="center"/>
    </xf>
    <xf numFmtId="0" fontId="43" fillId="0" borderId="20" xfId="0" applyFont="1" applyBorder="1" applyAlignment="1">
      <alignment horizontal="center" vertical="center"/>
    </xf>
    <xf numFmtId="0" fontId="44" fillId="0" borderId="0" xfId="0" applyFont="1" applyAlignment="1">
      <alignment vertical="center"/>
    </xf>
    <xf numFmtId="0" fontId="1" fillId="0" borderId="20" xfId="0" applyFont="1" applyBorder="1" applyAlignment="1">
      <alignment horizontal="center" vertical="center"/>
    </xf>
    <xf numFmtId="0" fontId="47" fillId="0" borderId="20" xfId="0" applyFont="1" applyBorder="1" applyAlignment="1">
      <alignment horizontal="center" vertical="center"/>
    </xf>
    <xf numFmtId="38" fontId="73" fillId="0" borderId="5" xfId="0" applyNumberFormat="1" applyFont="1" applyBorder="1" applyAlignment="1">
      <alignment vertical="center" shrinkToFit="1"/>
    </xf>
    <xf numFmtId="0" fontId="47" fillId="0" borderId="0" xfId="0" applyFont="1" applyAlignment="1">
      <alignment vertical="center"/>
    </xf>
    <xf numFmtId="0" fontId="47" fillId="0" borderId="20" xfId="0" applyFont="1" applyBorder="1" applyAlignment="1">
      <alignment horizontal="center" vertical="center" wrapText="1"/>
    </xf>
    <xf numFmtId="0" fontId="47" fillId="0" borderId="5" xfId="0" applyFont="1" applyBorder="1" applyAlignment="1">
      <alignment vertical="center" wrapText="1" shrinkToFit="1"/>
    </xf>
    <xf numFmtId="179" fontId="73" fillId="0" borderId="5" xfId="14" applyNumberFormat="1" applyFont="1" applyBorder="1" applyAlignment="1">
      <alignment vertical="center" shrinkToFit="1"/>
    </xf>
    <xf numFmtId="0" fontId="42" fillId="0" borderId="5" xfId="0" applyFont="1" applyBorder="1" applyAlignment="1">
      <alignment vertical="center" wrapText="1" shrinkToFit="1"/>
    </xf>
    <xf numFmtId="0" fontId="43" fillId="0" borderId="42" xfId="0" applyFont="1" applyBorder="1" applyAlignment="1">
      <alignment horizontal="center" vertical="center"/>
    </xf>
    <xf numFmtId="3" fontId="43" fillId="0" borderId="43" xfId="0" applyNumberFormat="1" applyFont="1" applyBorder="1" applyAlignment="1">
      <alignment vertical="center" wrapText="1"/>
    </xf>
    <xf numFmtId="38" fontId="43" fillId="0" borderId="43" xfId="0" applyNumberFormat="1" applyFont="1" applyBorder="1" applyAlignment="1">
      <alignment vertical="center" shrinkToFit="1"/>
    </xf>
    <xf numFmtId="0" fontId="43" fillId="0" borderId="0" xfId="0" applyFont="1" applyAlignment="1">
      <alignment vertical="center"/>
    </xf>
    <xf numFmtId="0" fontId="57" fillId="0" borderId="7" xfId="0" applyFont="1" applyBorder="1" applyAlignment="1">
      <alignment horizontal="center"/>
    </xf>
    <xf numFmtId="3" fontId="59" fillId="0" borderId="7" xfId="0" applyNumberFormat="1" applyFont="1" applyBorder="1" applyAlignment="1">
      <alignment vertical="center" wrapText="1"/>
    </xf>
    <xf numFmtId="38" fontId="57" fillId="0" borderId="7" xfId="0" applyNumberFormat="1" applyFont="1" applyBorder="1" applyAlignment="1">
      <alignment shrinkToFit="1"/>
    </xf>
    <xf numFmtId="0" fontId="55" fillId="0" borderId="0" xfId="0" applyFont="1"/>
    <xf numFmtId="0" fontId="57" fillId="0" borderId="8" xfId="0" applyFont="1" applyBorder="1" applyAlignment="1">
      <alignment horizontal="center"/>
    </xf>
    <xf numFmtId="3" fontId="59" fillId="0" borderId="8" xfId="0" applyNumberFormat="1" applyFont="1" applyBorder="1" applyAlignment="1">
      <alignment vertical="center" wrapText="1"/>
    </xf>
    <xf numFmtId="38" fontId="57" fillId="0" borderId="8" xfId="0" applyNumberFormat="1" applyFont="1" applyBorder="1" applyAlignment="1">
      <alignment shrinkToFit="1"/>
    </xf>
    <xf numFmtId="0" fontId="55" fillId="0" borderId="8" xfId="0" applyFont="1" applyBorder="1" applyAlignment="1">
      <alignment horizontal="center"/>
    </xf>
    <xf numFmtId="3" fontId="55" fillId="0" borderId="8" xfId="0" applyNumberFormat="1" applyFont="1" applyBorder="1" applyAlignment="1">
      <alignment vertical="center" wrapText="1"/>
    </xf>
    <xf numFmtId="38" fontId="55" fillId="0" borderId="8" xfId="0" applyNumberFormat="1" applyFont="1" applyBorder="1" applyAlignment="1">
      <alignment shrinkToFit="1"/>
    </xf>
    <xf numFmtId="10" fontId="1" fillId="0" borderId="0" xfId="0" applyNumberFormat="1" applyFont="1"/>
    <xf numFmtId="38" fontId="1" fillId="0" borderId="0" xfId="0" applyNumberFormat="1" applyFont="1" applyAlignment="1">
      <alignment shrinkToFit="1"/>
    </xf>
    <xf numFmtId="3" fontId="43" fillId="0" borderId="9" xfId="0" applyNumberFormat="1" applyFont="1" applyBorder="1" applyAlignment="1">
      <alignment vertical="center" shrinkToFit="1"/>
    </xf>
    <xf numFmtId="1" fontId="42" fillId="0" borderId="9" xfId="2" applyNumberFormat="1" applyFont="1" applyFill="1" applyBorder="1" applyAlignment="1">
      <alignment vertical="center" shrinkToFit="1"/>
    </xf>
    <xf numFmtId="10" fontId="59" fillId="0" borderId="12" xfId="2" applyNumberFormat="1" applyFont="1" applyBorder="1" applyAlignment="1">
      <alignment vertical="center" shrinkToFit="1"/>
    </xf>
    <xf numFmtId="168" fontId="60" fillId="0" borderId="16" xfId="0" applyNumberFormat="1" applyFont="1" applyBorder="1" applyAlignment="1">
      <alignment vertical="center" shrinkToFit="1"/>
    </xf>
    <xf numFmtId="3" fontId="56" fillId="0" borderId="16" xfId="0" applyNumberFormat="1" applyFont="1" applyBorder="1" applyAlignment="1">
      <alignment vertical="center" wrapText="1"/>
    </xf>
    <xf numFmtId="3" fontId="1" fillId="0" borderId="20" xfId="0" applyNumberFormat="1" applyFont="1" applyBorder="1" applyAlignment="1">
      <alignment horizontal="center" vertical="center" shrinkToFit="1"/>
    </xf>
    <xf numFmtId="168" fontId="43" fillId="0" borderId="43" xfId="0" applyNumberFormat="1" applyFont="1" applyBorder="1" applyAlignment="1">
      <alignment vertical="center" shrinkToFit="1"/>
    </xf>
    <xf numFmtId="168" fontId="43" fillId="0" borderId="43" xfId="14" applyNumberFormat="1" applyFont="1" applyFill="1" applyBorder="1" applyAlignment="1">
      <alignment horizontal="center" vertical="center" shrinkToFit="1"/>
    </xf>
    <xf numFmtId="168" fontId="60" fillId="0" borderId="43" xfId="0" applyNumberFormat="1" applyFont="1" applyBorder="1" applyAlignment="1">
      <alignment vertical="center" shrinkToFit="1"/>
    </xf>
    <xf numFmtId="168" fontId="60" fillId="0" borderId="43" xfId="14" applyNumberFormat="1" applyFont="1" applyFill="1" applyBorder="1" applyAlignment="1">
      <alignment horizontal="center" vertical="center" shrinkToFit="1"/>
    </xf>
    <xf numFmtId="168" fontId="56" fillId="0" borderId="43" xfId="14" applyNumberFormat="1" applyFont="1" applyFill="1" applyBorder="1" applyAlignment="1">
      <alignment horizontal="center" vertical="center" shrinkToFit="1"/>
    </xf>
    <xf numFmtId="10" fontId="57" fillId="0" borderId="6" xfId="2" applyNumberFormat="1" applyFont="1" applyBorder="1" applyAlignment="1">
      <alignment vertical="center" shrinkToFit="1"/>
    </xf>
    <xf numFmtId="38" fontId="60" fillId="0" borderId="5" xfId="0" applyNumberFormat="1" applyFont="1" applyBorder="1" applyAlignment="1">
      <alignment horizontal="right" vertical="center" shrinkToFit="1"/>
    </xf>
    <xf numFmtId="38" fontId="57" fillId="0" borderId="5" xfId="0" applyNumberFormat="1" applyFont="1" applyBorder="1" applyAlignment="1">
      <alignment horizontal="right" vertical="center" shrinkToFit="1"/>
    </xf>
    <xf numFmtId="10" fontId="59" fillId="0" borderId="21" xfId="2" applyNumberFormat="1" applyFont="1" applyBorder="1" applyAlignment="1">
      <alignment vertical="center" shrinkToFit="1"/>
    </xf>
    <xf numFmtId="3" fontId="43" fillId="0" borderId="20" xfId="0" applyNumberFormat="1" applyFont="1" applyBorder="1" applyAlignment="1">
      <alignment horizontal="center" vertical="center" shrinkToFit="1"/>
    </xf>
    <xf numFmtId="168" fontId="60" fillId="0" borderId="5" xfId="0" applyNumberFormat="1" applyFont="1" applyBorder="1" applyAlignment="1">
      <alignment horizontal="center" vertical="center" shrinkToFit="1"/>
    </xf>
    <xf numFmtId="3" fontId="56" fillId="0" borderId="5" xfId="0" applyNumberFormat="1" applyFont="1" applyBorder="1" applyAlignment="1">
      <alignment vertical="center"/>
    </xf>
    <xf numFmtId="3" fontId="60" fillId="0" borderId="5" xfId="0" applyNumberFormat="1" applyFont="1" applyBorder="1" applyAlignment="1">
      <alignment vertical="center"/>
    </xf>
    <xf numFmtId="3" fontId="60" fillId="0" borderId="16" xfId="0" applyNumberFormat="1" applyFont="1" applyBorder="1" applyAlignment="1">
      <alignment vertical="center"/>
    </xf>
    <xf numFmtId="3" fontId="43" fillId="0" borderId="42" xfId="0" applyNumberFormat="1" applyFont="1" applyBorder="1" applyAlignment="1">
      <alignment horizontal="center" vertical="center" shrinkToFit="1"/>
    </xf>
    <xf numFmtId="171" fontId="59" fillId="0" borderId="6" xfId="2" applyNumberFormat="1" applyFont="1" applyBorder="1" applyAlignment="1">
      <alignment vertical="center" shrinkToFit="1"/>
    </xf>
    <xf numFmtId="171" fontId="59" fillId="0" borderId="5" xfId="2" applyNumberFormat="1" applyFont="1" applyBorder="1" applyAlignment="1">
      <alignment vertical="center" shrinkToFit="1"/>
    </xf>
    <xf numFmtId="171" fontId="57" fillId="2" borderId="5" xfId="2" applyNumberFormat="1" applyFont="1" applyFill="1" applyBorder="1" applyAlignment="1">
      <alignment vertical="center" shrinkToFit="1"/>
    </xf>
    <xf numFmtId="38" fontId="117" fillId="0" borderId="6" xfId="0" applyNumberFormat="1" applyFont="1" applyBorder="1" applyAlignment="1">
      <alignment horizontal="right" vertical="center" shrinkToFit="1"/>
    </xf>
    <xf numFmtId="38" fontId="117" fillId="0" borderId="5" xfId="0" applyNumberFormat="1" applyFont="1" applyBorder="1" applyAlignment="1">
      <alignment horizontal="right" vertical="center" shrinkToFit="1"/>
    </xf>
    <xf numFmtId="38" fontId="61" fillId="0" borderId="5" xfId="0" applyNumberFormat="1" applyFont="1" applyBorder="1" applyAlignment="1">
      <alignment horizontal="right" vertical="center" shrinkToFit="1"/>
    </xf>
    <xf numFmtId="168" fontId="117" fillId="0" borderId="5" xfId="0" applyNumberFormat="1" applyFont="1" applyBorder="1" applyAlignment="1">
      <alignment horizontal="right" vertical="center" shrinkToFit="1"/>
    </xf>
    <xf numFmtId="168" fontId="117" fillId="0" borderId="5" xfId="14" applyNumberFormat="1" applyFont="1" applyFill="1" applyBorder="1" applyAlignment="1">
      <alignment horizontal="right" vertical="center" shrinkToFit="1"/>
    </xf>
    <xf numFmtId="168" fontId="69" fillId="0" borderId="5" xfId="14" applyNumberFormat="1" applyFont="1" applyFill="1" applyBorder="1" applyAlignment="1">
      <alignment horizontal="right" vertical="center" shrinkToFit="1"/>
    </xf>
    <xf numFmtId="168" fontId="117" fillId="0" borderId="5" xfId="14" applyNumberFormat="1" applyFont="1" applyFill="1" applyBorder="1" applyAlignment="1">
      <alignment horizontal="right" vertical="center"/>
    </xf>
    <xf numFmtId="168" fontId="61" fillId="0" borderId="43" xfId="14" applyNumberFormat="1" applyFont="1" applyFill="1" applyBorder="1" applyAlignment="1">
      <alignment horizontal="right" vertical="center" shrinkToFit="1"/>
    </xf>
    <xf numFmtId="168" fontId="117" fillId="0" borderId="5" xfId="0" applyNumberFormat="1" applyFont="1" applyBorder="1" applyAlignment="1">
      <alignment vertical="center" shrinkToFit="1"/>
    </xf>
    <xf numFmtId="168" fontId="60" fillId="0" borderId="9" xfId="0" applyNumberFormat="1" applyFont="1" applyBorder="1" applyAlignment="1">
      <alignment vertical="center" shrinkToFit="1"/>
    </xf>
    <xf numFmtId="168" fontId="60" fillId="0" borderId="9" xfId="14" applyNumberFormat="1" applyFont="1" applyFill="1" applyBorder="1" applyAlignment="1">
      <alignment horizontal="center" vertical="center" shrinkToFit="1"/>
    </xf>
    <xf numFmtId="168" fontId="60" fillId="0" borderId="17" xfId="0" applyNumberFormat="1" applyFont="1" applyBorder="1" applyAlignment="1">
      <alignment vertical="center" shrinkToFit="1"/>
    </xf>
    <xf numFmtId="168" fontId="43" fillId="0" borderId="0" xfId="0" applyNumberFormat="1" applyFont="1" applyAlignment="1">
      <alignment horizontal="center" vertical="center" wrapText="1" shrinkToFit="1"/>
    </xf>
    <xf numFmtId="168" fontId="59" fillId="0" borderId="0" xfId="0" applyNumberFormat="1" applyFont="1" applyAlignment="1">
      <alignment vertical="center" shrinkToFit="1"/>
    </xf>
    <xf numFmtId="3" fontId="60" fillId="0" borderId="0" xfId="2" applyNumberFormat="1" applyFont="1" applyBorder="1" applyAlignment="1">
      <alignment vertical="center" shrinkToFit="1"/>
    </xf>
    <xf numFmtId="38" fontId="60" fillId="0" borderId="0" xfId="0" applyNumberFormat="1" applyFont="1" applyAlignment="1">
      <alignment vertical="center" shrinkToFit="1"/>
    </xf>
    <xf numFmtId="38" fontId="57" fillId="0" borderId="0" xfId="0" applyNumberFormat="1" applyFont="1" applyAlignment="1">
      <alignment vertical="center" shrinkToFit="1"/>
    </xf>
    <xf numFmtId="38" fontId="57" fillId="0" borderId="0" xfId="0" applyNumberFormat="1" applyFont="1" applyAlignment="1">
      <alignment horizontal="right" vertical="center" shrinkToFit="1"/>
    </xf>
    <xf numFmtId="38" fontId="117" fillId="0" borderId="6" xfId="0" applyNumberFormat="1" applyFont="1" applyBorder="1" applyAlignment="1">
      <alignment vertical="center" shrinkToFit="1"/>
    </xf>
    <xf numFmtId="3" fontId="61" fillId="0" borderId="4" xfId="0" applyNumberFormat="1" applyFont="1" applyBorder="1" applyAlignment="1">
      <alignment horizontal="center" vertical="center" wrapText="1"/>
    </xf>
    <xf numFmtId="3" fontId="61" fillId="0" borderId="11" xfId="0" applyNumberFormat="1" applyFont="1" applyBorder="1" applyAlignment="1">
      <alignment horizontal="center" vertical="center" shrinkToFit="1"/>
    </xf>
    <xf numFmtId="3" fontId="69" fillId="0" borderId="5" xfId="0" applyNumberFormat="1" applyFont="1" applyBorder="1" applyAlignment="1">
      <alignment vertical="center" wrapText="1"/>
    </xf>
    <xf numFmtId="3" fontId="61" fillId="0" borderId="5" xfId="0" applyNumberFormat="1" applyFont="1" applyBorder="1" applyAlignment="1">
      <alignment vertical="center" wrapText="1"/>
    </xf>
    <xf numFmtId="3" fontId="117" fillId="0" borderId="5" xfId="0" applyNumberFormat="1" applyFont="1" applyBorder="1" applyAlignment="1">
      <alignment vertical="center" wrapText="1"/>
    </xf>
    <xf numFmtId="168" fontId="60" fillId="0" borderId="6" xfId="0" applyNumberFormat="1" applyFont="1" applyBorder="1" applyAlignment="1">
      <alignment vertical="center" shrinkToFit="1"/>
    </xf>
    <xf numFmtId="3" fontId="61" fillId="0" borderId="11" xfId="0" quotePrefix="1" applyNumberFormat="1" applyFont="1" applyBorder="1" applyAlignment="1">
      <alignment horizontal="center" vertical="center" shrinkToFit="1"/>
    </xf>
    <xf numFmtId="3" fontId="47" fillId="0" borderId="5" xfId="0" applyNumberFormat="1" applyFont="1" applyBorder="1" applyAlignment="1">
      <alignment horizontal="center" shrinkToFit="1"/>
    </xf>
    <xf numFmtId="168" fontId="47" fillId="0" borderId="5" xfId="14" applyNumberFormat="1" applyFont="1" applyFill="1" applyBorder="1" applyAlignment="1">
      <alignment horizontal="center" vertical="center" shrinkToFit="1"/>
    </xf>
    <xf numFmtId="168" fontId="73" fillId="0" borderId="5" xfId="0" applyNumberFormat="1" applyFont="1" applyBorder="1" applyAlignment="1">
      <alignment vertical="center" shrinkToFit="1"/>
    </xf>
    <xf numFmtId="168" fontId="73" fillId="0" borderId="5" xfId="14" applyNumberFormat="1" applyFont="1" applyFill="1" applyBorder="1" applyAlignment="1">
      <alignment horizontal="center" vertical="center" shrinkToFit="1"/>
    </xf>
    <xf numFmtId="3" fontId="35" fillId="0" borderId="5" xfId="14" applyNumberFormat="1" applyFont="1" applyBorder="1" applyAlignment="1">
      <alignment horizontal="center"/>
    </xf>
    <xf numFmtId="168" fontId="59" fillId="0" borderId="5" xfId="14" applyNumberFormat="1" applyFont="1" applyFill="1" applyBorder="1" applyAlignment="1">
      <alignment horizontal="center" vertical="center" shrinkToFit="1"/>
    </xf>
    <xf numFmtId="168" fontId="57" fillId="0" borderId="5" xfId="14" applyNumberFormat="1" applyFont="1" applyFill="1" applyBorder="1" applyAlignment="1">
      <alignment horizontal="center" vertical="center" shrinkToFit="1"/>
    </xf>
    <xf numFmtId="168" fontId="55" fillId="0" borderId="5" xfId="0" applyNumberFormat="1" applyFont="1" applyBorder="1" applyAlignment="1">
      <alignment shrinkToFit="1"/>
    </xf>
    <xf numFmtId="3" fontId="57" fillId="0" borderId="5" xfId="0" applyNumberFormat="1" applyFont="1" applyBorder="1"/>
    <xf numFmtId="1" fontId="57" fillId="0" borderId="5" xfId="2" applyNumberFormat="1" applyFont="1" applyBorder="1" applyAlignment="1">
      <alignment horizontal="center"/>
    </xf>
    <xf numFmtId="168" fontId="57" fillId="0" borderId="5" xfId="0" applyNumberFormat="1" applyFont="1" applyBorder="1" applyAlignment="1">
      <alignment shrinkToFit="1"/>
    </xf>
    <xf numFmtId="3" fontId="57" fillId="0" borderId="5" xfId="0" applyNumberFormat="1" applyFont="1" applyBorder="1" applyAlignment="1">
      <alignment shrinkToFit="1"/>
    </xf>
    <xf numFmtId="3" fontId="57" fillId="0" borderId="5" xfId="2" applyNumberFormat="1" applyFont="1" applyBorder="1" applyAlignment="1">
      <alignment horizontal="center"/>
    </xf>
    <xf numFmtId="3" fontId="57" fillId="0" borderId="5" xfId="14" applyNumberFormat="1" applyFont="1" applyBorder="1" applyAlignment="1">
      <alignment horizontal="center"/>
    </xf>
    <xf numFmtId="3" fontId="55" fillId="0" borderId="5" xfId="14" applyNumberFormat="1" applyFont="1" applyBorder="1" applyAlignment="1">
      <alignment horizontal="center"/>
    </xf>
    <xf numFmtId="3" fontId="55" fillId="0" borderId="5" xfId="0" applyNumberFormat="1" applyFont="1" applyBorder="1" applyAlignment="1">
      <alignment vertical="center" wrapText="1"/>
    </xf>
    <xf numFmtId="3" fontId="59" fillId="0" borderId="5" xfId="0" applyNumberFormat="1" applyFont="1" applyBorder="1"/>
    <xf numFmtId="168" fontId="59" fillId="0" borderId="8" xfId="0" applyNumberFormat="1" applyFont="1" applyBorder="1" applyAlignment="1">
      <alignment vertical="center" shrinkToFit="1"/>
    </xf>
    <xf numFmtId="168" fontId="59" fillId="0" borderId="8" xfId="14" applyNumberFormat="1" applyFont="1" applyFill="1" applyBorder="1" applyAlignment="1">
      <alignment horizontal="center" vertical="center" shrinkToFit="1"/>
    </xf>
    <xf numFmtId="3" fontId="44" fillId="0" borderId="5" xfId="0" applyNumberFormat="1" applyFont="1" applyBorder="1" applyAlignment="1">
      <alignment vertical="center" shrinkToFit="1"/>
    </xf>
    <xf numFmtId="3" fontId="69" fillId="0" borderId="5" xfId="0" applyNumberFormat="1" applyFont="1" applyBorder="1" applyAlignment="1">
      <alignment vertical="center"/>
    </xf>
    <xf numFmtId="3" fontId="61" fillId="0" borderId="5" xfId="0" applyNumberFormat="1" applyFont="1" applyBorder="1" applyAlignment="1">
      <alignment vertical="center"/>
    </xf>
    <xf numFmtId="168" fontId="59" fillId="0" borderId="43" xfId="14" applyNumberFormat="1" applyFont="1" applyFill="1" applyBorder="1" applyAlignment="1">
      <alignment horizontal="center" vertical="center" shrinkToFit="1"/>
    </xf>
    <xf numFmtId="168" fontId="59" fillId="0" borderId="43" xfId="0" applyNumberFormat="1" applyFont="1" applyBorder="1" applyAlignment="1">
      <alignment vertical="center" shrinkToFit="1"/>
    </xf>
    <xf numFmtId="3" fontId="57" fillId="0" borderId="0" xfId="0" applyNumberFormat="1" applyFont="1" applyAlignment="1">
      <alignment horizontal="center" vertical="center" shrinkToFit="1"/>
    </xf>
    <xf numFmtId="3" fontId="57" fillId="0" borderId="48" xfId="0" applyNumberFormat="1" applyFont="1" applyBorder="1" applyAlignment="1">
      <alignment horizontal="center" vertical="center" shrinkToFit="1"/>
    </xf>
    <xf numFmtId="38" fontId="59" fillId="0" borderId="6" xfId="0" applyNumberFormat="1" applyFont="1" applyBorder="1" applyAlignment="1">
      <alignment horizontal="right" vertical="center" shrinkToFit="1"/>
    </xf>
    <xf numFmtId="10" fontId="59" fillId="0" borderId="50" xfId="2" applyNumberFormat="1" applyFont="1" applyBorder="1" applyAlignment="1">
      <alignment vertical="center" shrinkToFit="1"/>
    </xf>
    <xf numFmtId="38" fontId="59" fillId="0" borderId="5" xfId="0" applyNumberFormat="1" applyFont="1" applyBorder="1" applyAlignment="1">
      <alignment horizontal="right" vertical="center" shrinkToFit="1"/>
    </xf>
    <xf numFmtId="10" fontId="57" fillId="0" borderId="21" xfId="2" applyNumberFormat="1" applyFont="1" applyBorder="1" applyAlignment="1">
      <alignment vertical="center" shrinkToFit="1"/>
    </xf>
    <xf numFmtId="168" fontId="59" fillId="0" borderId="21" xfId="0" applyNumberFormat="1" applyFont="1" applyBorder="1" applyAlignment="1">
      <alignment vertical="center" shrinkToFit="1"/>
    </xf>
    <xf numFmtId="3" fontId="55" fillId="0" borderId="21" xfId="0" applyNumberFormat="1" applyFont="1" applyBorder="1" applyAlignment="1">
      <alignment vertical="center" wrapText="1"/>
    </xf>
    <xf numFmtId="3" fontId="59" fillId="0" borderId="21" xfId="0" applyNumberFormat="1" applyFont="1" applyBorder="1" applyAlignment="1">
      <alignment vertical="center"/>
    </xf>
    <xf numFmtId="168" fontId="59" fillId="0" borderId="57" xfId="0" applyNumberFormat="1" applyFont="1" applyBorder="1" applyAlignment="1">
      <alignment vertical="center" shrinkToFit="1"/>
    </xf>
    <xf numFmtId="0" fontId="57" fillId="0" borderId="4" xfId="0" applyFont="1" applyBorder="1" applyAlignment="1">
      <alignment horizontal="center" vertical="center" wrapText="1"/>
    </xf>
    <xf numFmtId="3" fontId="57" fillId="0" borderId="4" xfId="0" applyNumberFormat="1" applyFont="1" applyBorder="1" applyAlignment="1">
      <alignment horizontal="center" shrinkToFit="1"/>
    </xf>
    <xf numFmtId="0" fontId="57" fillId="0" borderId="4" xfId="0" applyFont="1" applyBorder="1" applyAlignment="1">
      <alignment horizontal="center" shrinkToFit="1"/>
    </xf>
    <xf numFmtId="3" fontId="59" fillId="0" borderId="6" xfId="0" applyNumberFormat="1" applyFont="1" applyBorder="1" applyAlignment="1">
      <alignment vertical="center" shrinkToFit="1"/>
    </xf>
    <xf numFmtId="3" fontId="55" fillId="0" borderId="9" xfId="0" applyNumberFormat="1" applyFont="1" applyBorder="1" applyAlignment="1">
      <alignment vertical="center" shrinkToFit="1"/>
    </xf>
    <xf numFmtId="3" fontId="61" fillId="0" borderId="0" xfId="0" applyNumberFormat="1" applyFont="1" applyAlignment="1">
      <alignment horizontal="center" vertical="center" shrinkToFit="1"/>
    </xf>
    <xf numFmtId="38" fontId="59" fillId="0" borderId="53" xfId="0" applyNumberFormat="1" applyFont="1" applyBorder="1" applyAlignment="1">
      <alignment vertical="center" shrinkToFit="1"/>
    </xf>
    <xf numFmtId="168" fontId="35" fillId="0" borderId="5" xfId="14" applyNumberFormat="1" applyFont="1" applyFill="1" applyBorder="1" applyAlignment="1">
      <alignment horizontal="right" vertical="center" shrinkToFit="1"/>
    </xf>
    <xf numFmtId="168" fontId="35" fillId="0" borderId="5" xfId="0" applyNumberFormat="1" applyFont="1" applyBorder="1" applyAlignment="1">
      <alignment horizontal="right" vertical="center" shrinkToFit="1"/>
    </xf>
    <xf numFmtId="168" fontId="60" fillId="0" borderId="5" xfId="14" applyNumberFormat="1" applyFont="1" applyFill="1" applyBorder="1" applyAlignment="1">
      <alignment horizontal="right" vertical="center" shrinkToFit="1"/>
    </xf>
    <xf numFmtId="168" fontId="56" fillId="0" borderId="5" xfId="0" applyNumberFormat="1" applyFont="1" applyBorder="1" applyAlignment="1">
      <alignment horizontal="right" vertical="center" shrinkToFit="1"/>
    </xf>
    <xf numFmtId="168" fontId="60" fillId="0" borderId="5" xfId="0" applyNumberFormat="1" applyFont="1" applyBorder="1" applyAlignment="1">
      <alignment horizontal="right" vertical="center" shrinkToFit="1"/>
    </xf>
    <xf numFmtId="3" fontId="43" fillId="0" borderId="7" xfId="0" applyNumberFormat="1" applyFont="1" applyBorder="1" applyAlignment="1">
      <alignment horizontal="center" vertical="center" wrapText="1"/>
    </xf>
    <xf numFmtId="3" fontId="43" fillId="0" borderId="7" xfId="0" applyNumberFormat="1" applyFont="1" applyBorder="1" applyAlignment="1">
      <alignment vertical="center" wrapText="1"/>
    </xf>
    <xf numFmtId="3" fontId="59" fillId="0" borderId="7" xfId="0" applyNumberFormat="1" applyFont="1" applyBorder="1" applyAlignment="1">
      <alignment vertical="center" shrinkToFit="1"/>
    </xf>
    <xf numFmtId="168" fontId="43" fillId="0" borderId="7" xfId="0" applyNumberFormat="1" applyFont="1" applyBorder="1" applyAlignment="1">
      <alignment vertical="center" shrinkToFit="1"/>
    </xf>
    <xf numFmtId="169" fontId="43" fillId="0" borderId="7" xfId="14" applyNumberFormat="1" applyFont="1" applyFill="1" applyBorder="1" applyAlignment="1">
      <alignment vertical="center" shrinkToFit="1"/>
    </xf>
    <xf numFmtId="2" fontId="43" fillId="0" borderId="7" xfId="0" applyNumberFormat="1" applyFont="1" applyBorder="1" applyAlignment="1">
      <alignment vertical="center" shrinkToFit="1"/>
    </xf>
    <xf numFmtId="175" fontId="43" fillId="0" borderId="7" xfId="14" applyNumberFormat="1" applyFont="1" applyFill="1" applyBorder="1" applyAlignment="1">
      <alignment vertical="center" shrinkToFit="1"/>
    </xf>
    <xf numFmtId="3" fontId="43" fillId="0" borderId="7" xfId="0" applyNumberFormat="1" applyFont="1" applyBorder="1" applyAlignment="1">
      <alignment vertical="center" shrinkToFit="1"/>
    </xf>
    <xf numFmtId="1" fontId="1" fillId="0" borderId="5" xfId="2" applyNumberFormat="1" applyFont="1" applyFill="1" applyBorder="1" applyAlignment="1">
      <alignment vertical="center" shrinkToFit="1"/>
    </xf>
    <xf numFmtId="168" fontId="55" fillId="2" borderId="5" xfId="0" applyNumberFormat="1" applyFont="1" applyFill="1" applyBorder="1" applyAlignment="1">
      <alignment vertical="center" shrinkToFit="1"/>
    </xf>
    <xf numFmtId="1" fontId="43" fillId="0" borderId="7" xfId="2" applyNumberFormat="1" applyFont="1" applyFill="1" applyBorder="1" applyAlignment="1">
      <alignment vertical="center" shrinkToFit="1"/>
    </xf>
    <xf numFmtId="168" fontId="1" fillId="0" borderId="8" xfId="0" applyNumberFormat="1" applyFont="1" applyBorder="1" applyAlignment="1">
      <alignment vertical="center" shrinkToFit="1"/>
    </xf>
    <xf numFmtId="168" fontId="35" fillId="0" borderId="8" xfId="0" applyNumberFormat="1" applyFont="1" applyBorder="1" applyAlignment="1">
      <alignment vertical="center" shrinkToFit="1"/>
    </xf>
    <xf numFmtId="3" fontId="56" fillId="0" borderId="4" xfId="0" applyNumberFormat="1" applyFont="1" applyBorder="1" applyAlignment="1">
      <alignment horizontal="center" shrinkToFit="1"/>
    </xf>
    <xf numFmtId="0" fontId="56" fillId="0" borderId="4" xfId="0" applyFont="1" applyBorder="1" applyAlignment="1">
      <alignment horizontal="center" shrinkToFit="1"/>
    </xf>
    <xf numFmtId="3" fontId="60" fillId="0" borderId="6" xfId="0" applyNumberFormat="1" applyFont="1" applyBorder="1" applyAlignment="1">
      <alignment vertical="center" shrinkToFit="1"/>
    </xf>
    <xf numFmtId="168" fontId="60" fillId="0" borderId="5" xfId="14" applyNumberFormat="1" applyFont="1" applyFill="1" applyBorder="1" applyAlignment="1">
      <alignment vertical="center" shrinkToFit="1"/>
    </xf>
    <xf numFmtId="168" fontId="56" fillId="0" borderId="5" xfId="14" applyNumberFormat="1" applyFont="1" applyFill="1" applyBorder="1" applyAlignment="1">
      <alignment vertical="center" shrinkToFit="1"/>
    </xf>
    <xf numFmtId="168" fontId="35" fillId="0" borderId="5" xfId="14" applyNumberFormat="1" applyFont="1" applyFill="1" applyBorder="1" applyAlignment="1">
      <alignment vertical="center" shrinkToFit="1"/>
    </xf>
    <xf numFmtId="168" fontId="35" fillId="0" borderId="9" xfId="14" applyNumberFormat="1" applyFont="1" applyFill="1" applyBorder="1" applyAlignment="1">
      <alignment vertical="center" shrinkToFit="1"/>
    </xf>
    <xf numFmtId="2" fontId="60" fillId="0" borderId="7" xfId="0" applyNumberFormat="1" applyFont="1" applyBorder="1" applyAlignment="1">
      <alignment vertical="center" shrinkToFit="1"/>
    </xf>
    <xf numFmtId="3" fontId="60" fillId="0" borderId="7" xfId="0" applyNumberFormat="1" applyFont="1" applyBorder="1" applyAlignment="1">
      <alignment vertical="center" shrinkToFit="1"/>
    </xf>
    <xf numFmtId="3" fontId="58" fillId="0" borderId="0" xfId="0" applyNumberFormat="1" applyFont="1" applyAlignment="1">
      <alignment horizontal="center"/>
    </xf>
    <xf numFmtId="0" fontId="58" fillId="0" borderId="0" xfId="0" applyFont="1"/>
    <xf numFmtId="3" fontId="58" fillId="0" borderId="0" xfId="0" applyNumberFormat="1" applyFont="1"/>
    <xf numFmtId="3" fontId="83" fillId="0" borderId="0" xfId="0" applyNumberFormat="1" applyFont="1" applyAlignment="1">
      <alignment shrinkToFit="1"/>
    </xf>
    <xf numFmtId="169" fontId="83" fillId="0" borderId="0" xfId="14" applyNumberFormat="1" applyFont="1" applyFill="1" applyBorder="1" applyAlignment="1"/>
    <xf numFmtId="3" fontId="58" fillId="0" borderId="29" xfId="0" applyNumberFormat="1" applyFont="1" applyBorder="1"/>
    <xf numFmtId="9" fontId="58" fillId="0" borderId="29" xfId="2" applyFont="1" applyFill="1" applyBorder="1" applyAlignment="1">
      <alignment horizontal="right"/>
    </xf>
    <xf numFmtId="3" fontId="58" fillId="0" borderId="29" xfId="0" applyNumberFormat="1" applyFont="1" applyBorder="1" applyAlignment="1">
      <alignment horizontal="right"/>
    </xf>
    <xf numFmtId="3" fontId="58" fillId="0" borderId="0" xfId="0" applyNumberFormat="1" applyFont="1" applyAlignment="1">
      <alignment horizontal="right" shrinkToFit="1"/>
    </xf>
    <xf numFmtId="3" fontId="58" fillId="0" borderId="0" xfId="0" applyNumberFormat="1" applyFont="1" applyAlignment="1">
      <alignment horizontal="right"/>
    </xf>
    <xf numFmtId="168" fontId="59" fillId="0" borderId="5" xfId="14" applyNumberFormat="1" applyFont="1" applyFill="1" applyBorder="1" applyAlignment="1">
      <alignment vertical="center" shrinkToFit="1"/>
    </xf>
    <xf numFmtId="168" fontId="57" fillId="0" borderId="5" xfId="14" applyNumberFormat="1" applyFont="1" applyFill="1" applyBorder="1" applyAlignment="1">
      <alignment vertical="center" shrinkToFit="1"/>
    </xf>
    <xf numFmtId="168" fontId="55" fillId="0" borderId="5" xfId="14" applyNumberFormat="1" applyFont="1" applyFill="1" applyBorder="1" applyAlignment="1">
      <alignment vertical="center" shrinkToFit="1"/>
    </xf>
    <xf numFmtId="168" fontId="55" fillId="0" borderId="9" xfId="0" applyNumberFormat="1" applyFont="1" applyBorder="1" applyAlignment="1">
      <alignment vertical="center" shrinkToFit="1"/>
    </xf>
    <xf numFmtId="168" fontId="55" fillId="0" borderId="9" xfId="14" applyNumberFormat="1" applyFont="1" applyFill="1" applyBorder="1" applyAlignment="1">
      <alignment vertical="center" shrinkToFit="1"/>
    </xf>
    <xf numFmtId="168" fontId="59" fillId="0" borderId="7" xfId="0" applyNumberFormat="1" applyFont="1" applyBorder="1" applyAlignment="1">
      <alignment vertical="center" shrinkToFit="1"/>
    </xf>
    <xf numFmtId="2" fontId="59" fillId="0" borderId="7" xfId="0" applyNumberFormat="1" applyFont="1" applyBorder="1" applyAlignment="1">
      <alignment vertical="center" shrinkToFit="1"/>
    </xf>
    <xf numFmtId="169" fontId="64" fillId="0" borderId="5" xfId="8" applyNumberFormat="1" applyFont="1" applyBorder="1" applyAlignment="1">
      <alignment vertical="center" shrinkToFit="1"/>
    </xf>
    <xf numFmtId="180" fontId="128" fillId="0" borderId="5" xfId="8" applyNumberFormat="1" applyFont="1" applyBorder="1" applyAlignment="1">
      <alignment vertical="center" shrinkToFit="1"/>
    </xf>
    <xf numFmtId="180" fontId="129" fillId="0" borderId="5" xfId="8" applyNumberFormat="1" applyFont="1" applyBorder="1" applyAlignment="1">
      <alignment vertical="center" shrinkToFit="1"/>
    </xf>
    <xf numFmtId="10" fontId="48" fillId="0" borderId="30" xfId="2" applyNumberFormat="1" applyFont="1" applyBorder="1" applyAlignment="1">
      <alignment vertical="center" shrinkToFit="1"/>
    </xf>
    <xf numFmtId="10" fontId="57" fillId="0" borderId="8" xfId="2" applyNumberFormat="1" applyFont="1" applyBorder="1" applyAlignment="1">
      <alignment vertical="center" shrinkToFit="1"/>
    </xf>
    <xf numFmtId="10" fontId="59" fillId="0" borderId="43" xfId="2" applyNumberFormat="1" applyFont="1" applyBorder="1" applyAlignment="1">
      <alignment vertical="center" shrinkToFit="1"/>
    </xf>
    <xf numFmtId="9" fontId="55" fillId="0" borderId="0" xfId="2" applyFont="1" applyBorder="1" applyAlignment="1"/>
    <xf numFmtId="10" fontId="43" fillId="0" borderId="30" xfId="2" applyNumberFormat="1" applyFont="1" applyBorder="1" applyAlignment="1">
      <alignment vertical="center" shrinkToFit="1"/>
    </xf>
    <xf numFmtId="9" fontId="57" fillId="0" borderId="30" xfId="2" applyFont="1" applyBorder="1" applyAlignment="1">
      <alignment vertical="center" shrinkToFit="1"/>
    </xf>
    <xf numFmtId="9" fontId="42" fillId="0" borderId="30" xfId="2" applyFont="1" applyBorder="1" applyAlignment="1">
      <alignment vertical="center" shrinkToFit="1"/>
    </xf>
    <xf numFmtId="10" fontId="1" fillId="0" borderId="30" xfId="2" applyNumberFormat="1" applyFont="1" applyBorder="1" applyAlignment="1">
      <alignment vertical="center" shrinkToFit="1"/>
    </xf>
    <xf numFmtId="3" fontId="42" fillId="0" borderId="31" xfId="0" applyNumberFormat="1" applyFont="1" applyBorder="1" applyAlignment="1">
      <alignment vertical="center" shrinkToFit="1"/>
    </xf>
    <xf numFmtId="3" fontId="42" fillId="0" borderId="41" xfId="0" applyNumberFormat="1" applyFont="1" applyBorder="1" applyAlignment="1">
      <alignment horizontal="center" vertical="center" wrapText="1"/>
    </xf>
    <xf numFmtId="3" fontId="60" fillId="0" borderId="43" xfId="2" applyNumberFormat="1" applyFont="1" applyBorder="1" applyAlignment="1">
      <alignment vertical="center" shrinkToFit="1"/>
    </xf>
    <xf numFmtId="9" fontId="43" fillId="0" borderId="5" xfId="2" applyFont="1" applyBorder="1" applyAlignment="1">
      <alignment vertical="center"/>
    </xf>
    <xf numFmtId="3" fontId="55" fillId="0" borderId="10" xfId="0" applyNumberFormat="1" applyFont="1" applyBorder="1"/>
    <xf numFmtId="3" fontId="55" fillId="0" borderId="56" xfId="0" applyNumberFormat="1" applyFont="1" applyBorder="1"/>
    <xf numFmtId="3" fontId="57" fillId="0" borderId="50" xfId="0" applyNumberFormat="1" applyFont="1" applyBorder="1" applyAlignment="1">
      <alignment vertical="center" shrinkToFit="1"/>
    </xf>
    <xf numFmtId="3" fontId="48" fillId="0" borderId="21" xfId="0" applyNumberFormat="1" applyFont="1" applyBorder="1" applyAlignment="1">
      <alignment vertical="center" shrinkToFit="1"/>
    </xf>
    <xf numFmtId="3" fontId="59" fillId="0" borderId="21" xfId="0" applyNumberFormat="1" applyFont="1" applyBorder="1" applyAlignment="1">
      <alignment vertical="center" shrinkToFit="1"/>
    </xf>
    <xf numFmtId="3" fontId="57" fillId="0" borderId="21" xfId="0" applyNumberFormat="1" applyFont="1" applyBorder="1" applyAlignment="1">
      <alignment vertical="center" shrinkToFit="1"/>
    </xf>
    <xf numFmtId="3" fontId="55" fillId="0" borderId="21" xfId="0" applyNumberFormat="1" applyFont="1" applyBorder="1" applyAlignment="1">
      <alignment vertical="center" shrinkToFit="1"/>
    </xf>
    <xf numFmtId="3" fontId="59" fillId="0" borderId="57" xfId="0" applyNumberFormat="1" applyFont="1" applyBorder="1" applyAlignment="1">
      <alignment vertical="center" shrinkToFit="1"/>
    </xf>
    <xf numFmtId="3" fontId="35" fillId="0" borderId="10" xfId="0" applyNumberFormat="1" applyFont="1" applyBorder="1"/>
    <xf numFmtId="179" fontId="42" fillId="0" borderId="5" xfId="14" applyNumberFormat="1" applyFont="1" applyBorder="1" applyAlignment="1">
      <alignment vertical="center" shrinkToFit="1"/>
    </xf>
    <xf numFmtId="0" fontId="57" fillId="0" borderId="25" xfId="0" applyFont="1" applyBorder="1" applyAlignment="1">
      <alignment horizontal="center" vertical="center" wrapText="1"/>
    </xf>
    <xf numFmtId="3" fontId="59" fillId="0" borderId="30" xfId="0" applyNumberFormat="1" applyFont="1" applyBorder="1" applyAlignment="1">
      <alignment vertical="center" shrinkToFit="1"/>
    </xf>
    <xf numFmtId="3" fontId="59" fillId="0" borderId="31" xfId="0" applyNumberFormat="1" applyFont="1" applyBorder="1" applyAlignment="1">
      <alignment vertical="center" shrinkToFit="1"/>
    </xf>
    <xf numFmtId="3" fontId="48" fillId="0" borderId="5" xfId="14" applyNumberFormat="1" applyFont="1" applyBorder="1" applyAlignment="1">
      <alignment vertical="center" shrinkToFit="1"/>
    </xf>
    <xf numFmtId="3" fontId="59" fillId="0" borderId="5" xfId="14" applyNumberFormat="1" applyFont="1" applyBorder="1" applyAlignment="1">
      <alignment vertical="center" shrinkToFit="1"/>
    </xf>
    <xf numFmtId="3" fontId="57" fillId="0" borderId="5" xfId="14" applyNumberFormat="1" applyFont="1" applyBorder="1" applyAlignment="1">
      <alignment vertical="center" shrinkToFit="1"/>
    </xf>
    <xf numFmtId="3" fontId="55" fillId="0" borderId="76" xfId="0" applyNumberFormat="1" applyFont="1" applyBorder="1" applyAlignment="1">
      <alignment vertical="center" shrinkToFit="1"/>
    </xf>
    <xf numFmtId="0" fontId="57" fillId="0" borderId="39" xfId="0" applyFont="1" applyBorder="1" applyAlignment="1">
      <alignment horizontal="center" vertical="center" wrapText="1"/>
    </xf>
    <xf numFmtId="3" fontId="59" fillId="0" borderId="32" xfId="0" applyNumberFormat="1" applyFont="1" applyBorder="1" applyAlignment="1">
      <alignment vertical="center" shrinkToFit="1"/>
    </xf>
    <xf numFmtId="3" fontId="57" fillId="0" borderId="16" xfId="0" applyNumberFormat="1" applyFont="1" applyBorder="1" applyAlignment="1">
      <alignment vertical="center" shrinkToFit="1"/>
    </xf>
    <xf numFmtId="38" fontId="59" fillId="0" borderId="16" xfId="0" applyNumberFormat="1" applyFont="1" applyBorder="1" applyAlignment="1">
      <alignment vertical="center" shrinkToFit="1"/>
    </xf>
    <xf numFmtId="3" fontId="55" fillId="0" borderId="16" xfId="0" applyNumberFormat="1" applyFont="1" applyBorder="1" applyAlignment="1">
      <alignment vertical="center" shrinkToFit="1"/>
    </xf>
    <xf numFmtId="3" fontId="48" fillId="0" borderId="16" xfId="0" applyNumberFormat="1" applyFont="1" applyBorder="1" applyAlignment="1">
      <alignment vertical="center" shrinkToFit="1"/>
    </xf>
    <xf numFmtId="3" fontId="59" fillId="0" borderId="16" xfId="14" applyNumberFormat="1" applyFont="1" applyBorder="1" applyAlignment="1">
      <alignment vertical="center" shrinkToFit="1"/>
    </xf>
    <xf numFmtId="3" fontId="57" fillId="0" borderId="16" xfId="14" applyNumberFormat="1" applyFont="1" applyBorder="1" applyAlignment="1">
      <alignment vertical="center" shrinkToFit="1"/>
    </xf>
    <xf numFmtId="3" fontId="55" fillId="0" borderId="17" xfId="0" applyNumberFormat="1" applyFont="1" applyBorder="1" applyAlignment="1">
      <alignment vertical="center" shrinkToFit="1"/>
    </xf>
    <xf numFmtId="3" fontId="59" fillId="0" borderId="92" xfId="0" applyNumberFormat="1" applyFont="1" applyBorder="1" applyAlignment="1">
      <alignment vertical="center" shrinkToFit="1"/>
    </xf>
    <xf numFmtId="0" fontId="61" fillId="0" borderId="25" xfId="0" applyFont="1" applyBorder="1" applyAlignment="1">
      <alignment horizontal="center" vertical="center" wrapText="1"/>
    </xf>
    <xf numFmtId="3" fontId="1" fillId="0" borderId="91" xfId="0" applyNumberFormat="1" applyFont="1" applyBorder="1" applyAlignment="1">
      <alignment horizontal="center" vertical="center" wrapText="1"/>
    </xf>
    <xf numFmtId="174" fontId="1" fillId="0" borderId="0" xfId="0" applyNumberFormat="1" applyFont="1" applyAlignment="1">
      <alignment shrinkToFit="1"/>
    </xf>
    <xf numFmtId="169" fontId="117" fillId="0" borderId="30" xfId="1" applyNumberFormat="1" applyFont="1" applyBorder="1" applyAlignment="1">
      <alignment vertical="center" shrinkToFit="1"/>
    </xf>
    <xf numFmtId="169" fontId="59" fillId="0" borderId="30" xfId="1" applyNumberFormat="1" applyFont="1" applyBorder="1" applyAlignment="1">
      <alignment vertical="center" shrinkToFit="1"/>
    </xf>
    <xf numFmtId="169" fontId="43" fillId="0" borderId="30" xfId="1" applyNumberFormat="1" applyFont="1" applyBorder="1" applyAlignment="1">
      <alignment vertical="center" shrinkToFit="1"/>
    </xf>
    <xf numFmtId="169" fontId="117" fillId="0" borderId="31" xfId="1" applyNumberFormat="1" applyFont="1" applyBorder="1" applyAlignment="1">
      <alignment vertical="center" shrinkToFit="1"/>
    </xf>
    <xf numFmtId="169" fontId="61" fillId="0" borderId="5" xfId="1" applyNumberFormat="1" applyFont="1" applyBorder="1" applyAlignment="1">
      <alignment vertical="center" shrinkToFit="1"/>
    </xf>
    <xf numFmtId="169" fontId="57" fillId="0" borderId="30" xfId="1" applyNumberFormat="1" applyFont="1" applyBorder="1" applyAlignment="1">
      <alignment vertical="center" shrinkToFit="1"/>
    </xf>
    <xf numFmtId="169" fontId="42" fillId="0" borderId="30" xfId="1" applyNumberFormat="1" applyFont="1" applyBorder="1" applyAlignment="1">
      <alignment vertical="center" shrinkToFit="1"/>
    </xf>
    <xf numFmtId="169" fontId="61" fillId="0" borderId="21" xfId="1" applyNumberFormat="1" applyFont="1" applyBorder="1" applyAlignment="1">
      <alignment vertical="center" shrinkToFit="1"/>
    </xf>
    <xf numFmtId="169" fontId="117" fillId="0" borderId="5" xfId="1" applyNumberFormat="1" applyFont="1" applyBorder="1" applyAlignment="1">
      <alignment vertical="center" shrinkToFit="1"/>
    </xf>
    <xf numFmtId="169" fontId="117" fillId="0" borderId="21" xfId="1" applyNumberFormat="1" applyFont="1" applyBorder="1" applyAlignment="1">
      <alignment vertical="center" shrinkToFit="1"/>
    </xf>
    <xf numFmtId="169" fontId="1" fillId="0" borderId="5" xfId="1" applyNumberFormat="1" applyFont="1" applyBorder="1" applyAlignment="1">
      <alignment vertical="center" shrinkToFit="1"/>
    </xf>
    <xf numFmtId="169" fontId="69" fillId="0" borderId="5" xfId="1" applyNumberFormat="1" applyFont="1" applyBorder="1" applyAlignment="1">
      <alignment vertical="center" shrinkToFit="1"/>
    </xf>
    <xf numFmtId="169" fontId="55" fillId="0" borderId="30" xfId="1" applyNumberFormat="1" applyFont="1" applyBorder="1" applyAlignment="1">
      <alignment vertical="center" shrinkToFit="1"/>
    </xf>
    <xf numFmtId="169" fontId="1" fillId="0" borderId="30" xfId="1" applyNumberFormat="1" applyFont="1" applyBorder="1" applyAlignment="1">
      <alignment vertical="center" shrinkToFit="1"/>
    </xf>
    <xf numFmtId="169" fontId="69" fillId="0" borderId="21" xfId="1" applyNumberFormat="1" applyFont="1" applyBorder="1" applyAlignment="1">
      <alignment vertical="center" shrinkToFit="1"/>
    </xf>
    <xf numFmtId="169" fontId="67" fillId="0" borderId="5" xfId="1" applyNumberFormat="1" applyFont="1" applyBorder="1" applyAlignment="1">
      <alignment vertical="center" shrinkToFit="1"/>
    </xf>
    <xf numFmtId="169" fontId="67" fillId="0" borderId="21" xfId="1" applyNumberFormat="1" applyFont="1" applyBorder="1" applyAlignment="1">
      <alignment vertical="center" shrinkToFit="1"/>
    </xf>
    <xf numFmtId="169" fontId="69" fillId="0" borderId="9" xfId="1" applyNumberFormat="1" applyFont="1" applyBorder="1" applyAlignment="1">
      <alignment vertical="center" shrinkToFit="1"/>
    </xf>
    <xf numFmtId="169" fontId="55" fillId="0" borderId="11" xfId="1" applyNumberFormat="1" applyFont="1" applyBorder="1" applyAlignment="1">
      <alignment vertical="center" shrinkToFit="1"/>
    </xf>
    <xf numFmtId="169" fontId="69" fillId="0" borderId="76" xfId="1" applyNumberFormat="1" applyFont="1" applyBorder="1" applyAlignment="1">
      <alignment vertical="center" shrinkToFit="1"/>
    </xf>
    <xf numFmtId="169" fontId="117" fillId="0" borderId="43" xfId="1" applyNumberFormat="1" applyFont="1" applyBorder="1" applyAlignment="1">
      <alignment vertical="center" shrinkToFit="1"/>
    </xf>
    <xf numFmtId="169" fontId="59" fillId="0" borderId="51" xfId="1" applyNumberFormat="1" applyFont="1" applyBorder="1" applyAlignment="1">
      <alignment vertical="center" shrinkToFit="1"/>
    </xf>
    <xf numFmtId="169" fontId="42" fillId="0" borderId="43" xfId="1" applyNumberFormat="1" applyFont="1" applyBorder="1" applyAlignment="1">
      <alignment vertical="center" shrinkToFit="1"/>
    </xf>
    <xf numFmtId="169" fontId="117" fillId="0" borderId="57" xfId="1" applyNumberFormat="1" applyFont="1" applyBorder="1" applyAlignment="1">
      <alignment vertical="center" shrinkToFit="1"/>
    </xf>
    <xf numFmtId="3" fontId="1" fillId="0" borderId="4" xfId="0" applyNumberFormat="1" applyFont="1" applyBorder="1"/>
    <xf numFmtId="3" fontId="1" fillId="0" borderId="8" xfId="0" applyNumberFormat="1" applyFont="1" applyBorder="1" applyAlignment="1">
      <alignment horizontal="center" vertical="center"/>
    </xf>
    <xf numFmtId="3" fontId="1" fillId="0" borderId="8" xfId="0" applyNumberFormat="1" applyFont="1" applyBorder="1" applyAlignment="1">
      <alignment vertical="center"/>
    </xf>
    <xf numFmtId="4" fontId="1" fillId="0" borderId="8" xfId="0" applyNumberFormat="1" applyFont="1" applyBorder="1" applyAlignment="1">
      <alignment vertical="center"/>
    </xf>
    <xf numFmtId="3" fontId="59" fillId="0" borderId="6" xfId="0" applyNumberFormat="1" applyFont="1" applyBorder="1" applyAlignment="1">
      <alignment shrinkToFit="1"/>
    </xf>
    <xf numFmtId="3" fontId="55" fillId="0" borderId="8" xfId="0" applyNumberFormat="1" applyFont="1" applyBorder="1" applyAlignment="1">
      <alignment vertical="center"/>
    </xf>
    <xf numFmtId="3" fontId="1" fillId="0" borderId="8" xfId="0" applyNumberFormat="1" applyFont="1" applyBorder="1" applyAlignment="1">
      <alignment vertical="center" shrinkToFit="1"/>
    </xf>
    <xf numFmtId="0" fontId="11" fillId="0" borderId="0" xfId="0" applyFont="1" applyAlignment="1">
      <alignment horizontal="left" vertical="center" wrapText="1"/>
    </xf>
    <xf numFmtId="168" fontId="17" fillId="0" borderId="16" xfId="0" applyNumberFormat="1" applyFont="1" applyBorder="1" applyAlignment="1">
      <alignment vertical="center" shrinkToFit="1"/>
    </xf>
    <xf numFmtId="38" fontId="6" fillId="0" borderId="4" xfId="0" applyNumberFormat="1" applyFont="1" applyBorder="1" applyAlignment="1">
      <alignment horizontal="center" vertical="center" wrapText="1"/>
    </xf>
    <xf numFmtId="38" fontId="10" fillId="0" borderId="4" xfId="0" applyNumberFormat="1" applyFont="1" applyBorder="1"/>
    <xf numFmtId="0" fontId="14" fillId="0" borderId="5" xfId="0" applyFont="1" applyBorder="1" applyAlignment="1">
      <alignment horizontal="center"/>
    </xf>
    <xf numFmtId="0" fontId="7" fillId="0" borderId="5" xfId="0" applyFont="1" applyBorder="1" applyAlignment="1">
      <alignment horizontal="center"/>
    </xf>
    <xf numFmtId="0" fontId="13" fillId="0" borderId="5" xfId="0" applyFont="1" applyBorder="1" applyAlignment="1">
      <alignment horizontal="center"/>
    </xf>
    <xf numFmtId="38" fontId="14" fillId="0" borderId="5" xfId="0" applyNumberFormat="1" applyFont="1" applyBorder="1" applyAlignment="1">
      <alignment shrinkToFit="1"/>
    </xf>
    <xf numFmtId="183" fontId="7" fillId="0" borderId="0" xfId="14" applyNumberFormat="1" applyFont="1"/>
    <xf numFmtId="38" fontId="14" fillId="0" borderId="11" xfId="0" applyNumberFormat="1" applyFont="1" applyBorder="1" applyAlignment="1">
      <alignment shrinkToFit="1"/>
    </xf>
    <xf numFmtId="38" fontId="13" fillId="0" borderId="5" xfId="0" applyNumberFormat="1" applyFont="1" applyBorder="1" applyAlignment="1">
      <alignment shrinkToFit="1"/>
    </xf>
    <xf numFmtId="9" fontId="7" fillId="0" borderId="0" xfId="2" applyFont="1" applyAlignment="1">
      <alignment horizontal="right"/>
    </xf>
    <xf numFmtId="3" fontId="33" fillId="0" borderId="5" xfId="0" applyNumberFormat="1" applyFont="1" applyBorder="1" applyAlignment="1">
      <alignment vertical="center" shrinkToFit="1"/>
    </xf>
    <xf numFmtId="0" fontId="21" fillId="0" borderId="4" xfId="0" applyFont="1" applyBorder="1" applyAlignment="1">
      <alignment horizontal="center"/>
    </xf>
    <xf numFmtId="0" fontId="21" fillId="0" borderId="4" xfId="0" applyFont="1" applyBorder="1"/>
    <xf numFmtId="38" fontId="21" fillId="0" borderId="4" xfId="0" applyNumberFormat="1" applyFont="1" applyBorder="1"/>
    <xf numFmtId="0" fontId="33" fillId="0" borderId="5" xfId="0" applyFont="1" applyBorder="1" applyAlignment="1">
      <alignment horizontal="center"/>
    </xf>
    <xf numFmtId="0" fontId="33" fillId="0" borderId="5" xfId="0" applyFont="1" applyBorder="1" applyAlignment="1">
      <alignment shrinkToFit="1"/>
    </xf>
    <xf numFmtId="38" fontId="33" fillId="0" borderId="5" xfId="0" applyNumberFormat="1" applyFont="1" applyBorder="1" applyAlignment="1">
      <alignment shrinkToFit="1"/>
    </xf>
    <xf numFmtId="38" fontId="11" fillId="0" borderId="5" xfId="0" applyNumberFormat="1" applyFont="1" applyBorder="1" applyAlignment="1">
      <alignment shrinkToFit="1"/>
    </xf>
    <xf numFmtId="0" fontId="30" fillId="0" borderId="0" xfId="0" applyFont="1"/>
    <xf numFmtId="0" fontId="130" fillId="0" borderId="0" xfId="0" applyFont="1"/>
    <xf numFmtId="0" fontId="30" fillId="0" borderId="5" xfId="0" applyFont="1" applyBorder="1" applyAlignment="1">
      <alignment horizontal="center"/>
    </xf>
    <xf numFmtId="0" fontId="30" fillId="0" borderId="5" xfId="0" applyFont="1" applyBorder="1" applyAlignment="1">
      <alignment shrinkToFit="1"/>
    </xf>
    <xf numFmtId="38" fontId="30" fillId="0" borderId="5" xfId="0" applyNumberFormat="1" applyFont="1" applyBorder="1" applyAlignment="1">
      <alignment shrinkToFit="1"/>
    </xf>
    <xf numFmtId="3" fontId="17" fillId="0" borderId="0" xfId="0" applyNumberFormat="1" applyFont="1"/>
    <xf numFmtId="0" fontId="12" fillId="0" borderId="7" xfId="0" applyFont="1" applyBorder="1" applyAlignment="1">
      <alignment horizontal="center" vertical="center"/>
    </xf>
    <xf numFmtId="0" fontId="12" fillId="0" borderId="7" xfId="0" applyFont="1" applyBorder="1" applyAlignment="1">
      <alignment horizontal="center"/>
    </xf>
    <xf numFmtId="168" fontId="12" fillId="0" borderId="6" xfId="0" applyNumberFormat="1" applyFont="1" applyBorder="1" applyAlignment="1">
      <alignment vertical="center" shrinkToFit="1"/>
    </xf>
    <xf numFmtId="168" fontId="12" fillId="3" borderId="5" xfId="0" applyNumberFormat="1" applyFont="1" applyFill="1" applyBorder="1" applyAlignment="1">
      <alignment vertical="center" shrinkToFit="1"/>
    </xf>
    <xf numFmtId="168" fontId="7" fillId="0" borderId="0" xfId="0" applyNumberFormat="1" applyFont="1" applyAlignment="1">
      <alignment shrinkToFit="1"/>
    </xf>
    <xf numFmtId="0" fontId="12" fillId="0" borderId="0" xfId="0" applyFont="1" applyAlignment="1">
      <alignment horizontal="center"/>
    </xf>
    <xf numFmtId="0" fontId="12" fillId="0" borderId="4" xfId="0" applyFont="1" applyBorder="1" applyAlignment="1">
      <alignment horizontal="center" vertical="center"/>
    </xf>
    <xf numFmtId="168" fontId="12" fillId="0" borderId="30" xfId="0" applyNumberFormat="1" applyFont="1" applyBorder="1" applyAlignment="1">
      <alignment vertical="center" shrinkToFit="1"/>
    </xf>
    <xf numFmtId="3" fontId="17" fillId="0" borderId="0" xfId="1" applyNumberFormat="1" applyFont="1" applyAlignment="1">
      <alignment vertical="center" shrinkToFit="1"/>
    </xf>
    <xf numFmtId="0" fontId="12" fillId="0" borderId="4" xfId="0" applyFont="1" applyBorder="1" applyAlignment="1">
      <alignment horizontal="center" shrinkToFit="1"/>
    </xf>
    <xf numFmtId="168" fontId="21" fillId="0" borderId="30" xfId="0" applyNumberFormat="1" applyFont="1" applyBorder="1" applyAlignment="1">
      <alignment vertical="center" wrapText="1" shrinkToFit="1"/>
    </xf>
    <xf numFmtId="168" fontId="10" fillId="0" borderId="30" xfId="0" applyNumberFormat="1" applyFont="1" applyBorder="1" applyAlignment="1">
      <alignment vertical="center" wrapText="1" shrinkToFit="1"/>
    </xf>
    <xf numFmtId="170" fontId="10" fillId="0" borderId="30" xfId="1" applyNumberFormat="1" applyFont="1" applyFill="1" applyBorder="1" applyAlignment="1">
      <alignment vertical="center" wrapText="1" shrinkToFit="1"/>
    </xf>
    <xf numFmtId="168" fontId="21" fillId="0" borderId="31" xfId="0" applyNumberFormat="1" applyFont="1" applyBorder="1" applyAlignment="1">
      <alignment vertical="center" wrapText="1" shrinkToFit="1"/>
    </xf>
    <xf numFmtId="168" fontId="21" fillId="0" borderId="32" xfId="0" applyNumberFormat="1" applyFont="1" applyBorder="1" applyAlignment="1">
      <alignment vertical="center" wrapText="1" shrinkToFit="1"/>
    </xf>
    <xf numFmtId="170" fontId="21" fillId="0" borderId="30" xfId="1" applyNumberFormat="1" applyFont="1" applyFill="1" applyBorder="1" applyAlignment="1">
      <alignment vertical="center" wrapText="1" shrinkToFit="1"/>
    </xf>
    <xf numFmtId="172" fontId="10" fillId="0" borderId="30" xfId="2" applyNumberFormat="1" applyFont="1" applyFill="1" applyBorder="1" applyAlignment="1">
      <alignment vertical="center" wrapText="1" shrinkToFit="1"/>
    </xf>
    <xf numFmtId="168" fontId="21" fillId="0" borderId="0" xfId="0" applyNumberFormat="1" applyFont="1" applyAlignment="1">
      <alignment vertical="center" wrapText="1" shrinkToFit="1"/>
    </xf>
    <xf numFmtId="168" fontId="10" fillId="0" borderId="0" xfId="0" applyNumberFormat="1" applyFont="1" applyAlignment="1">
      <alignment vertical="center" wrapText="1" shrinkToFit="1"/>
    </xf>
    <xf numFmtId="3" fontId="10" fillId="0" borderId="0" xfId="0" applyNumberFormat="1" applyFont="1" applyAlignment="1">
      <alignment vertical="center" wrapText="1" shrinkToFit="1"/>
    </xf>
    <xf numFmtId="168" fontId="21" fillId="0" borderId="6" xfId="0" applyNumberFormat="1" applyFont="1" applyBorder="1" applyAlignment="1">
      <alignment vertical="center" wrapText="1" shrinkToFit="1"/>
    </xf>
    <xf numFmtId="9" fontId="10" fillId="0" borderId="0" xfId="2" applyFont="1" applyFill="1" applyBorder="1" applyAlignment="1">
      <alignment vertical="center" wrapText="1" shrinkToFit="1"/>
    </xf>
    <xf numFmtId="171" fontId="10" fillId="0" borderId="0" xfId="2" applyNumberFormat="1" applyFont="1" applyFill="1" applyBorder="1" applyAlignment="1">
      <alignment vertical="center" wrapText="1" shrinkToFit="1"/>
    </xf>
    <xf numFmtId="168" fontId="21" fillId="0" borderId="5" xfId="0" applyNumberFormat="1" applyFont="1" applyBorder="1" applyAlignment="1">
      <alignment vertical="center" wrapText="1" shrinkToFit="1"/>
    </xf>
    <xf numFmtId="168" fontId="10" fillId="0" borderId="5" xfId="0" applyNumberFormat="1" applyFont="1" applyBorder="1" applyAlignment="1">
      <alignment vertical="center" wrapText="1" shrinkToFit="1"/>
    </xf>
    <xf numFmtId="170" fontId="10" fillId="0" borderId="5" xfId="1" applyNumberFormat="1" applyFont="1" applyFill="1" applyBorder="1" applyAlignment="1">
      <alignment vertical="center" wrapText="1" shrinkToFit="1"/>
    </xf>
    <xf numFmtId="168" fontId="21" fillId="0" borderId="21" xfId="0" applyNumberFormat="1" applyFont="1" applyBorder="1" applyAlignment="1">
      <alignment vertical="center" wrapText="1" shrinkToFit="1"/>
    </xf>
    <xf numFmtId="170" fontId="21" fillId="0" borderId="5" xfId="1" applyNumberFormat="1" applyFont="1" applyFill="1" applyBorder="1" applyAlignment="1">
      <alignment vertical="center" wrapText="1" shrinkToFit="1"/>
    </xf>
    <xf numFmtId="172" fontId="10" fillId="0" borderId="5" xfId="2" applyNumberFormat="1" applyFont="1" applyFill="1" applyBorder="1" applyAlignment="1">
      <alignment vertical="center" wrapText="1" shrinkToFit="1"/>
    </xf>
    <xf numFmtId="168" fontId="12" fillId="0" borderId="5" xfId="0" applyNumberFormat="1" applyFont="1" applyBorder="1" applyAlignment="1">
      <alignment vertical="center" wrapText="1" shrinkToFit="1"/>
    </xf>
    <xf numFmtId="168" fontId="6" fillId="0" borderId="5" xfId="0" applyNumberFormat="1" applyFont="1" applyBorder="1" applyAlignment="1">
      <alignment vertical="center" wrapText="1" shrinkToFit="1"/>
    </xf>
    <xf numFmtId="170" fontId="6" fillId="0" borderId="5" xfId="1" applyNumberFormat="1" applyFont="1" applyFill="1" applyBorder="1" applyAlignment="1">
      <alignment vertical="center" wrapText="1" shrinkToFit="1"/>
    </xf>
    <xf numFmtId="168" fontId="6" fillId="0" borderId="21" xfId="0" applyNumberFormat="1" applyFont="1" applyBorder="1" applyAlignment="1">
      <alignment vertical="center" wrapText="1" shrinkToFit="1"/>
    </xf>
    <xf numFmtId="168" fontId="12" fillId="0" borderId="16" xfId="0" applyNumberFormat="1" applyFont="1" applyBorder="1" applyAlignment="1">
      <alignment vertical="center" wrapText="1" shrinkToFit="1"/>
    </xf>
    <xf numFmtId="170" fontId="12" fillId="0" borderId="5" xfId="1" applyNumberFormat="1" applyFont="1" applyFill="1" applyBorder="1" applyAlignment="1">
      <alignment vertical="center" wrapText="1" shrinkToFit="1"/>
    </xf>
    <xf numFmtId="168" fontId="6" fillId="0" borderId="16" xfId="0" applyNumberFormat="1" applyFont="1" applyBorder="1" applyAlignment="1">
      <alignment vertical="center" wrapText="1" shrinkToFit="1"/>
    </xf>
    <xf numFmtId="172" fontId="6" fillId="0" borderId="5" xfId="2" applyNumberFormat="1" applyFont="1" applyFill="1" applyBorder="1" applyAlignment="1">
      <alignment vertical="center" wrapText="1" shrinkToFit="1"/>
    </xf>
    <xf numFmtId="168" fontId="6" fillId="0" borderId="0" xfId="0" applyNumberFormat="1" applyFont="1" applyAlignment="1">
      <alignment vertical="center" wrapText="1" shrinkToFit="1"/>
    </xf>
    <xf numFmtId="3" fontId="6" fillId="0" borderId="0" xfId="0" applyNumberFormat="1" applyFont="1" applyAlignment="1">
      <alignment vertical="center" wrapText="1" shrinkToFit="1"/>
    </xf>
    <xf numFmtId="9" fontId="6" fillId="0" borderId="0" xfId="2" applyFont="1" applyFill="1" applyBorder="1" applyAlignment="1">
      <alignment vertical="center" wrapText="1" shrinkToFit="1"/>
    </xf>
    <xf numFmtId="171" fontId="6" fillId="0" borderId="0" xfId="2" applyNumberFormat="1" applyFont="1" applyFill="1" applyBorder="1" applyAlignment="1">
      <alignment vertical="center" wrapText="1" shrinkToFit="1"/>
    </xf>
    <xf numFmtId="3" fontId="7" fillId="0" borderId="5" xfId="0" applyNumberFormat="1" applyFont="1" applyBorder="1" applyAlignment="1">
      <alignment horizontal="center" vertical="center" wrapText="1" shrinkToFit="1"/>
    </xf>
    <xf numFmtId="168" fontId="11" fillId="0" borderId="5" xfId="0" applyNumberFormat="1" applyFont="1" applyBorder="1" applyAlignment="1">
      <alignment vertical="center" wrapText="1" shrinkToFit="1"/>
    </xf>
    <xf numFmtId="170" fontId="11" fillId="0" borderId="5" xfId="1" applyNumberFormat="1" applyFont="1" applyFill="1" applyBorder="1" applyAlignment="1">
      <alignment vertical="center" wrapText="1" shrinkToFit="1"/>
    </xf>
    <xf numFmtId="168" fontId="7" fillId="0" borderId="5" xfId="0" applyNumberFormat="1" applyFont="1" applyBorder="1" applyAlignment="1">
      <alignment vertical="center" wrapText="1" shrinkToFit="1"/>
    </xf>
    <xf numFmtId="170" fontId="7" fillId="0" borderId="5" xfId="1" applyNumberFormat="1" applyFont="1" applyFill="1" applyBorder="1" applyAlignment="1">
      <alignment vertical="center" wrapText="1" shrinkToFit="1"/>
    </xf>
    <xf numFmtId="168" fontId="7" fillId="0" borderId="21" xfId="0" applyNumberFormat="1" applyFont="1" applyBorder="1" applyAlignment="1">
      <alignment vertical="center" wrapText="1" shrinkToFit="1"/>
    </xf>
    <xf numFmtId="168" fontId="11" fillId="0" borderId="16" xfId="0" applyNumberFormat="1" applyFont="1" applyBorder="1" applyAlignment="1">
      <alignment vertical="center" wrapText="1" shrinkToFit="1"/>
    </xf>
    <xf numFmtId="168" fontId="7" fillId="0" borderId="16" xfId="0" applyNumberFormat="1" applyFont="1" applyBorder="1" applyAlignment="1">
      <alignment vertical="center" wrapText="1" shrinkToFit="1"/>
    </xf>
    <xf numFmtId="172" fontId="11" fillId="0" borderId="5" xfId="2" applyNumberFormat="1" applyFont="1" applyFill="1" applyBorder="1" applyAlignment="1">
      <alignment vertical="center" wrapText="1" shrinkToFit="1"/>
    </xf>
    <xf numFmtId="168" fontId="7" fillId="0" borderId="0" xfId="0" applyNumberFormat="1" applyFont="1" applyAlignment="1">
      <alignment vertical="center" wrapText="1" shrinkToFit="1"/>
    </xf>
    <xf numFmtId="3" fontId="7" fillId="0" borderId="0" xfId="0" applyNumberFormat="1" applyFont="1" applyAlignment="1">
      <alignment vertical="center" wrapText="1" shrinkToFit="1"/>
    </xf>
    <xf numFmtId="9" fontId="7" fillId="0" borderId="0" xfId="2" applyFont="1" applyFill="1" applyBorder="1" applyAlignment="1">
      <alignment vertical="center" wrapText="1" shrinkToFit="1"/>
    </xf>
    <xf numFmtId="171" fontId="7" fillId="0" borderId="0" xfId="2" applyNumberFormat="1" applyFont="1" applyFill="1" applyBorder="1" applyAlignment="1">
      <alignment vertical="center" wrapText="1" shrinkToFit="1"/>
    </xf>
    <xf numFmtId="168" fontId="17" fillId="0" borderId="5" xfId="0" applyNumberFormat="1" applyFont="1" applyBorder="1" applyAlignment="1">
      <alignment vertical="center" wrapText="1" shrinkToFit="1"/>
    </xf>
    <xf numFmtId="170" fontId="17" fillId="0" borderId="5" xfId="1" applyNumberFormat="1" applyFont="1" applyFill="1" applyBorder="1" applyAlignment="1">
      <alignment vertical="center" wrapText="1" shrinkToFit="1"/>
    </xf>
    <xf numFmtId="168" fontId="17" fillId="0" borderId="21" xfId="0" applyNumberFormat="1" applyFont="1" applyBorder="1" applyAlignment="1">
      <alignment vertical="center" wrapText="1" shrinkToFit="1"/>
    </xf>
    <xf numFmtId="168" fontId="11" fillId="0" borderId="21" xfId="0" applyNumberFormat="1" applyFont="1" applyBorder="1" applyAlignment="1">
      <alignment vertical="center" wrapText="1" shrinkToFit="1"/>
    </xf>
    <xf numFmtId="170" fontId="9" fillId="0" borderId="5" xfId="1" applyNumberFormat="1" applyFont="1" applyFill="1" applyBorder="1" applyAlignment="1">
      <alignment vertical="center" wrapText="1" shrinkToFit="1"/>
    </xf>
    <xf numFmtId="172" fontId="9" fillId="0" borderId="5" xfId="2" applyNumberFormat="1" applyFont="1" applyFill="1" applyBorder="1" applyAlignment="1">
      <alignment vertical="center" wrapText="1" shrinkToFit="1"/>
    </xf>
    <xf numFmtId="3" fontId="12" fillId="0" borderId="5" xfId="0" applyNumberFormat="1" applyFont="1" applyBorder="1" applyAlignment="1">
      <alignment horizontal="center" vertical="center" wrapText="1" shrinkToFit="1"/>
    </xf>
    <xf numFmtId="168" fontId="12" fillId="0" borderId="21" xfId="0" applyNumberFormat="1" applyFont="1" applyBorder="1" applyAlignment="1">
      <alignment vertical="center" wrapText="1" shrinkToFit="1"/>
    </xf>
    <xf numFmtId="168" fontId="12" fillId="0" borderId="0" xfId="0" applyNumberFormat="1" applyFont="1" applyAlignment="1">
      <alignment vertical="center" wrapText="1" shrinkToFit="1"/>
    </xf>
    <xf numFmtId="172" fontId="7" fillId="0" borderId="5" xfId="2" applyNumberFormat="1" applyFont="1" applyFill="1" applyBorder="1" applyAlignment="1">
      <alignment vertical="center" wrapText="1" shrinkToFit="1"/>
    </xf>
    <xf numFmtId="168" fontId="11" fillId="0" borderId="0" xfId="0" applyNumberFormat="1" applyFont="1" applyAlignment="1">
      <alignment vertical="center" wrapText="1" shrinkToFit="1"/>
    </xf>
    <xf numFmtId="168" fontId="22" fillId="0" borderId="0" xfId="0" applyNumberFormat="1" applyFont="1" applyAlignment="1">
      <alignment vertical="center" wrapText="1" shrinkToFit="1"/>
    </xf>
    <xf numFmtId="3" fontId="22" fillId="0" borderId="0" xfId="0" applyNumberFormat="1" applyFont="1" applyAlignment="1">
      <alignment vertical="center" wrapText="1" shrinkToFit="1"/>
    </xf>
    <xf numFmtId="170" fontId="8" fillId="0" borderId="5" xfId="1" applyNumberFormat="1" applyFont="1" applyFill="1" applyBorder="1" applyAlignment="1">
      <alignment vertical="center" wrapText="1" shrinkToFit="1"/>
    </xf>
    <xf numFmtId="172" fontId="8" fillId="0" borderId="5" xfId="2" applyNumberFormat="1" applyFont="1" applyFill="1" applyBorder="1" applyAlignment="1">
      <alignment vertical="center" wrapText="1" shrinkToFit="1"/>
    </xf>
    <xf numFmtId="3" fontId="12" fillId="0" borderId="0" xfId="0" applyNumberFormat="1" applyFont="1" applyAlignment="1">
      <alignment vertical="center" wrapText="1" shrinkToFit="1"/>
    </xf>
    <xf numFmtId="172" fontId="12" fillId="0" borderId="5" xfId="2" applyNumberFormat="1" applyFont="1" applyFill="1" applyBorder="1" applyAlignment="1">
      <alignment vertical="center" wrapText="1" shrinkToFit="1"/>
    </xf>
    <xf numFmtId="3" fontId="18" fillId="0" borderId="0" xfId="0" applyNumberFormat="1" applyFont="1" applyAlignment="1">
      <alignment vertical="center" wrapText="1" shrinkToFit="1"/>
    </xf>
    <xf numFmtId="168" fontId="18" fillId="0" borderId="5" xfId="0" applyNumberFormat="1" applyFont="1" applyBorder="1" applyAlignment="1">
      <alignment vertical="center" wrapText="1" shrinkToFit="1"/>
    </xf>
    <xf numFmtId="3" fontId="21" fillId="0" borderId="5" xfId="0" applyNumberFormat="1" applyFont="1" applyBorder="1" applyAlignment="1">
      <alignment vertical="center" wrapText="1" shrinkToFit="1"/>
    </xf>
    <xf numFmtId="168" fontId="21" fillId="0" borderId="16" xfId="0" applyNumberFormat="1" applyFont="1" applyBorder="1" applyAlignment="1">
      <alignment vertical="center" wrapText="1" shrinkToFit="1"/>
    </xf>
    <xf numFmtId="168" fontId="24" fillId="0" borderId="0" xfId="0" applyNumberFormat="1" applyFont="1" applyAlignment="1">
      <alignment vertical="center" wrapText="1" shrinkToFit="1"/>
    </xf>
    <xf numFmtId="3" fontId="24" fillId="0" borderId="0" xfId="0" applyNumberFormat="1" applyFont="1" applyAlignment="1">
      <alignment vertical="center" wrapText="1" shrinkToFit="1"/>
    </xf>
    <xf numFmtId="168" fontId="24" fillId="0" borderId="5" xfId="0" applyNumberFormat="1" applyFont="1" applyBorder="1" applyAlignment="1">
      <alignment vertical="center" wrapText="1" shrinkToFit="1"/>
    </xf>
    <xf numFmtId="168" fontId="23" fillId="0" borderId="0" xfId="0" applyNumberFormat="1" applyFont="1" applyAlignment="1">
      <alignment vertical="center" wrapText="1" shrinkToFit="1"/>
    </xf>
    <xf numFmtId="3" fontId="23" fillId="0" borderId="0" xfId="0" applyNumberFormat="1" applyFont="1" applyAlignment="1">
      <alignment vertical="center" wrapText="1" shrinkToFit="1"/>
    </xf>
    <xf numFmtId="168" fontId="11" fillId="0" borderId="9" xfId="0" applyNumberFormat="1" applyFont="1" applyBorder="1" applyAlignment="1">
      <alignment vertical="center" wrapText="1" shrinkToFit="1"/>
    </xf>
    <xf numFmtId="170" fontId="11" fillId="0" borderId="9" xfId="1" applyNumberFormat="1" applyFont="1" applyFill="1" applyBorder="1" applyAlignment="1">
      <alignment vertical="center" wrapText="1" shrinkToFit="1"/>
    </xf>
    <xf numFmtId="168" fontId="11" fillId="0" borderId="76" xfId="0" applyNumberFormat="1" applyFont="1" applyBorder="1" applyAlignment="1">
      <alignment vertical="center" wrapText="1" shrinkToFit="1"/>
    </xf>
    <xf numFmtId="168" fontId="11" fillId="0" borderId="17" xfId="0" applyNumberFormat="1" applyFont="1" applyBorder="1" applyAlignment="1">
      <alignment vertical="center" wrapText="1" shrinkToFit="1"/>
    </xf>
    <xf numFmtId="168" fontId="6" fillId="0" borderId="9" xfId="0" applyNumberFormat="1" applyFont="1" applyBorder="1" applyAlignment="1">
      <alignment vertical="center" wrapText="1" shrinkToFit="1"/>
    </xf>
    <xf numFmtId="168" fontId="7" fillId="0" borderId="17" xfId="0" applyNumberFormat="1" applyFont="1" applyBorder="1" applyAlignment="1">
      <alignment vertical="center" wrapText="1" shrinkToFit="1"/>
    </xf>
    <xf numFmtId="172" fontId="6" fillId="0" borderId="9" xfId="2" applyNumberFormat="1" applyFont="1" applyFill="1" applyBorder="1" applyAlignment="1">
      <alignment vertical="center" wrapText="1" shrinkToFit="1"/>
    </xf>
    <xf numFmtId="168" fontId="21" fillId="0" borderId="8" xfId="0" applyNumberFormat="1" applyFont="1" applyBorder="1" applyAlignment="1">
      <alignment vertical="center" wrapText="1" shrinkToFit="1"/>
    </xf>
    <xf numFmtId="168" fontId="10" fillId="0" borderId="8" xfId="0" applyNumberFormat="1" applyFont="1" applyBorder="1" applyAlignment="1">
      <alignment vertical="center" wrapText="1" shrinkToFit="1"/>
    </xf>
    <xf numFmtId="170" fontId="36" fillId="0" borderId="8" xfId="1" applyNumberFormat="1" applyFont="1" applyFill="1" applyBorder="1" applyAlignment="1">
      <alignment vertical="center" wrapText="1" shrinkToFit="1"/>
    </xf>
    <xf numFmtId="168" fontId="33" fillId="0" borderId="8" xfId="0" applyNumberFormat="1" applyFont="1" applyBorder="1" applyAlignment="1">
      <alignment vertical="center" wrapText="1" shrinkToFit="1"/>
    </xf>
    <xf numFmtId="172" fontId="36" fillId="0" borderId="8" xfId="2" applyNumberFormat="1" applyFont="1" applyFill="1" applyBorder="1" applyAlignment="1">
      <alignment vertical="center" wrapText="1" shrinkToFit="1"/>
    </xf>
    <xf numFmtId="9" fontId="14" fillId="0" borderId="0" xfId="2" applyFont="1" applyFill="1" applyBorder="1" applyAlignment="1">
      <alignment vertical="center" wrapText="1" shrinkToFit="1"/>
    </xf>
    <xf numFmtId="171" fontId="14" fillId="0" borderId="0" xfId="2" applyNumberFormat="1" applyFont="1" applyFill="1" applyBorder="1" applyAlignment="1">
      <alignment vertical="center" wrapText="1" shrinkToFit="1"/>
    </xf>
    <xf numFmtId="3" fontId="11" fillId="0" borderId="15" xfId="0" applyNumberFormat="1" applyFont="1" applyBorder="1" applyAlignment="1">
      <alignment horizontal="center" vertical="center" shrinkToFit="1"/>
    </xf>
    <xf numFmtId="3" fontId="11" fillId="0" borderId="7" xfId="0" applyNumberFormat="1" applyFont="1" applyBorder="1" applyAlignment="1">
      <alignment horizontal="center" vertical="center" shrinkToFit="1"/>
    </xf>
    <xf numFmtId="168" fontId="34" fillId="0" borderId="5" xfId="0" applyNumberFormat="1" applyFont="1" applyBorder="1" applyAlignment="1">
      <alignment vertical="center" shrinkToFit="1"/>
    </xf>
    <xf numFmtId="170" fontId="30" fillId="0" borderId="5" xfId="0" applyNumberFormat="1" applyFont="1" applyBorder="1" applyAlignment="1">
      <alignment vertical="center" shrinkToFit="1"/>
    </xf>
    <xf numFmtId="0" fontId="21" fillId="0" borderId="9" xfId="0" applyFont="1" applyBorder="1" applyAlignment="1">
      <alignment vertical="center" shrinkToFit="1"/>
    </xf>
    <xf numFmtId="170" fontId="33" fillId="0" borderId="5" xfId="0" applyNumberFormat="1" applyFont="1" applyBorder="1" applyAlignment="1">
      <alignment vertical="center" shrinkToFit="1"/>
    </xf>
    <xf numFmtId="168" fontId="30" fillId="0" borderId="0" xfId="0" applyNumberFormat="1" applyFont="1" applyAlignment="1">
      <alignment vertical="center" shrinkToFit="1"/>
    </xf>
    <xf numFmtId="3" fontId="30" fillId="0" borderId="0" xfId="0" applyNumberFormat="1" applyFont="1" applyAlignment="1">
      <alignment vertical="center"/>
    </xf>
    <xf numFmtId="9" fontId="26" fillId="0" borderId="0" xfId="2" applyFont="1" applyBorder="1" applyAlignment="1">
      <alignment vertical="center"/>
    </xf>
    <xf numFmtId="171" fontId="26" fillId="0" borderId="0" xfId="2" applyNumberFormat="1" applyFont="1" applyBorder="1" applyAlignment="1">
      <alignment vertical="center"/>
    </xf>
    <xf numFmtId="10" fontId="11" fillId="0" borderId="0" xfId="2" applyNumberFormat="1" applyFont="1"/>
    <xf numFmtId="0" fontId="10" fillId="0" borderId="0" xfId="10" applyFont="1" applyAlignment="1">
      <alignment horizontal="right"/>
    </xf>
    <xf numFmtId="169" fontId="12" fillId="0" borderId="5" xfId="1" quotePrefix="1" applyNumberFormat="1" applyFont="1" applyBorder="1" applyAlignment="1">
      <alignment horizontal="left" vertical="center"/>
    </xf>
    <xf numFmtId="169" fontId="18" fillId="0" borderId="5" xfId="1" quotePrefix="1" applyNumberFormat="1" applyFont="1" applyBorder="1" applyAlignment="1">
      <alignment horizontal="left" vertical="center"/>
    </xf>
    <xf numFmtId="174" fontId="17" fillId="0" borderId="5" xfId="10" applyNumberFormat="1" applyFont="1" applyBorder="1" applyAlignment="1">
      <alignment shrinkToFit="1"/>
    </xf>
    <xf numFmtId="10" fontId="7" fillId="0" borderId="0" xfId="10" applyNumberFormat="1" applyFont="1"/>
    <xf numFmtId="174" fontId="18" fillId="0" borderId="5" xfId="10" applyNumberFormat="1" applyFont="1" applyBorder="1" applyAlignment="1">
      <alignment vertical="center" shrinkToFit="1"/>
    </xf>
    <xf numFmtId="0" fontId="12" fillId="0" borderId="6" xfId="10" applyFont="1" applyBorder="1" applyAlignment="1">
      <alignment horizontal="left" vertical="center" shrinkToFit="1"/>
    </xf>
    <xf numFmtId="174" fontId="12" fillId="0" borderId="6" xfId="10" applyNumberFormat="1" applyFont="1" applyBorder="1" applyAlignment="1">
      <alignment vertical="center" shrinkToFit="1"/>
    </xf>
    <xf numFmtId="9" fontId="12" fillId="0" borderId="6" xfId="2" applyFont="1" applyFill="1" applyBorder="1" applyAlignment="1">
      <alignment vertical="center" shrinkToFit="1"/>
    </xf>
    <xf numFmtId="174" fontId="12" fillId="0" borderId="6" xfId="1" applyNumberFormat="1" applyFont="1" applyFill="1" applyBorder="1" applyAlignment="1">
      <alignment vertical="center" shrinkToFit="1"/>
    </xf>
    <xf numFmtId="0" fontId="12" fillId="0" borderId="5" xfId="10" applyFont="1" applyBorder="1" applyAlignment="1">
      <alignment horizontal="left" vertical="center" shrinkToFit="1"/>
    </xf>
    <xf numFmtId="169" fontId="12" fillId="0" borderId="5" xfId="1" applyNumberFormat="1" applyFont="1" applyBorder="1" applyAlignment="1">
      <alignment horizontal="left" vertical="center"/>
    </xf>
    <xf numFmtId="174" fontId="12" fillId="0" borderId="5" xfId="10" applyNumberFormat="1" applyFont="1" applyBorder="1" applyAlignment="1">
      <alignment vertical="center" shrinkToFit="1"/>
    </xf>
    <xf numFmtId="174" fontId="12" fillId="0" borderId="5" xfId="12" applyNumberFormat="1" applyFont="1" applyFill="1" applyBorder="1" applyAlignment="1">
      <alignment vertical="center" shrinkToFit="1"/>
    </xf>
    <xf numFmtId="0" fontId="11" fillId="0" borderId="5" xfId="10" applyFont="1" applyBorder="1" applyAlignment="1">
      <alignment horizontal="left" vertical="center" shrinkToFit="1"/>
    </xf>
    <xf numFmtId="9" fontId="11" fillId="0" borderId="5" xfId="2" applyFont="1" applyBorder="1" applyAlignment="1">
      <alignment horizontal="right" vertical="center"/>
    </xf>
    <xf numFmtId="174" fontId="11" fillId="0" borderId="5" xfId="12" applyNumberFormat="1" applyFont="1" applyFill="1" applyBorder="1" applyAlignment="1">
      <alignment vertical="center" shrinkToFit="1"/>
    </xf>
    <xf numFmtId="0" fontId="12" fillId="0" borderId="5" xfId="10" quotePrefix="1" applyFont="1" applyBorder="1" applyAlignment="1">
      <alignment horizontal="left" vertical="center" shrinkToFit="1"/>
    </xf>
    <xf numFmtId="0" fontId="30" fillId="0" borderId="5" xfId="10" applyFont="1" applyBorder="1" applyAlignment="1">
      <alignment horizontal="left" vertical="center" shrinkToFit="1"/>
    </xf>
    <xf numFmtId="174" fontId="30" fillId="0" borderId="5" xfId="13" applyNumberFormat="1" applyFont="1" applyBorder="1" applyAlignment="1">
      <alignment shrinkToFit="1"/>
    </xf>
    <xf numFmtId="174" fontId="30" fillId="0" borderId="5" xfId="10" applyNumberFormat="1" applyFont="1" applyBorder="1" applyAlignment="1">
      <alignment vertical="center" shrinkToFit="1"/>
    </xf>
    <xf numFmtId="174" fontId="30" fillId="0" borderId="5" xfId="12" applyNumberFormat="1" applyFont="1" applyFill="1" applyBorder="1" applyAlignment="1">
      <alignment vertical="center" shrinkToFit="1"/>
    </xf>
    <xf numFmtId="174" fontId="30" fillId="0" borderId="5" xfId="0" applyNumberFormat="1" applyFont="1" applyBorder="1" applyAlignment="1">
      <alignment shrinkToFit="1"/>
    </xf>
    <xf numFmtId="0" fontId="12" fillId="0" borderId="5" xfId="10" quotePrefix="1" applyFont="1" applyBorder="1" applyAlignment="1">
      <alignment horizontal="left" shrinkToFit="1"/>
    </xf>
    <xf numFmtId="169" fontId="12" fillId="0" borderId="5" xfId="1" quotePrefix="1" applyNumberFormat="1" applyFont="1" applyBorder="1" applyAlignment="1">
      <alignment horizontal="left"/>
    </xf>
    <xf numFmtId="174" fontId="12" fillId="0" borderId="5" xfId="12" applyNumberFormat="1" applyFont="1" applyFill="1" applyBorder="1" applyAlignment="1">
      <alignment shrinkToFit="1"/>
    </xf>
    <xf numFmtId="0" fontId="12" fillId="0" borderId="5" xfId="10" applyFont="1" applyBorder="1" applyAlignment="1">
      <alignment horizontal="left" shrinkToFit="1"/>
    </xf>
    <xf numFmtId="169" fontId="12" fillId="0" borderId="5" xfId="1" applyNumberFormat="1" applyFont="1" applyBorder="1" applyAlignment="1">
      <alignment horizontal="left"/>
    </xf>
    <xf numFmtId="0" fontId="11" fillId="0" borderId="5" xfId="10" quotePrefix="1" applyFont="1" applyBorder="1" applyAlignment="1">
      <alignment horizontal="left" vertical="center" shrinkToFit="1"/>
    </xf>
    <xf numFmtId="174" fontId="11" fillId="0" borderId="5" xfId="10" applyNumberFormat="1" applyFont="1" applyBorder="1" applyAlignment="1">
      <alignment shrinkToFit="1"/>
    </xf>
    <xf numFmtId="174" fontId="11" fillId="0" borderId="5" xfId="12" applyNumberFormat="1" applyFont="1" applyFill="1" applyBorder="1" applyAlignment="1">
      <alignment shrinkToFit="1"/>
    </xf>
    <xf numFmtId="174" fontId="30" fillId="0" borderId="5" xfId="10" applyNumberFormat="1" applyFont="1" applyBorder="1" applyAlignment="1">
      <alignment shrinkToFit="1"/>
    </xf>
    <xf numFmtId="174" fontId="30" fillId="0" borderId="5" xfId="12" applyNumberFormat="1" applyFont="1" applyFill="1" applyBorder="1" applyAlignment="1">
      <alignment shrinkToFit="1"/>
    </xf>
    <xf numFmtId="0" fontId="11" fillId="0" borderId="5" xfId="10" quotePrefix="1" applyFont="1" applyBorder="1" applyAlignment="1">
      <alignment horizontal="left" shrinkToFit="1"/>
    </xf>
    <xf numFmtId="0" fontId="18" fillId="0" borderId="4" xfId="10" applyFont="1" applyBorder="1" applyAlignment="1">
      <alignment horizontal="center" vertical="center" wrapText="1"/>
    </xf>
    <xf numFmtId="174" fontId="18" fillId="0" borderId="6" xfId="10" applyNumberFormat="1" applyFont="1" applyBorder="1" applyAlignment="1">
      <alignment vertical="center" shrinkToFit="1"/>
    </xf>
    <xf numFmtId="169" fontId="18" fillId="0" borderId="6" xfId="1" applyNumberFormat="1" applyFont="1" applyBorder="1" applyAlignment="1">
      <alignment horizontal="left" vertical="center" wrapText="1"/>
    </xf>
    <xf numFmtId="169" fontId="18" fillId="0" borderId="5" xfId="1" applyNumberFormat="1" applyFont="1" applyBorder="1" applyAlignment="1">
      <alignment horizontal="left" vertical="center"/>
    </xf>
    <xf numFmtId="9" fontId="17" fillId="0" borderId="5" xfId="2" applyFont="1" applyBorder="1" applyAlignment="1">
      <alignment horizontal="right" vertical="center"/>
    </xf>
    <xf numFmtId="174" fontId="133" fillId="0" borderId="5" xfId="13" applyNumberFormat="1" applyFont="1" applyBorder="1" applyAlignment="1">
      <alignment shrinkToFit="1"/>
    </xf>
    <xf numFmtId="174" fontId="18" fillId="0" borderId="5" xfId="10" applyNumberFormat="1" applyFont="1" applyBorder="1" applyAlignment="1">
      <alignment shrinkToFit="1"/>
    </xf>
    <xf numFmtId="169" fontId="18" fillId="0" borderId="5" xfId="1" applyNumberFormat="1" applyFont="1" applyBorder="1" applyAlignment="1">
      <alignment horizontal="left"/>
    </xf>
    <xf numFmtId="174" fontId="133" fillId="0" borderId="5" xfId="10" applyNumberFormat="1" applyFont="1" applyBorder="1" applyAlignment="1">
      <alignment shrinkToFit="1"/>
    </xf>
    <xf numFmtId="169" fontId="17" fillId="0" borderId="5" xfId="1" quotePrefix="1" applyNumberFormat="1" applyFont="1" applyBorder="1" applyAlignment="1">
      <alignment horizontal="left" vertical="center"/>
    </xf>
    <xf numFmtId="169" fontId="17" fillId="0" borderId="5" xfId="1" quotePrefix="1" applyNumberFormat="1" applyFont="1" applyBorder="1" applyAlignment="1">
      <alignment horizontal="left"/>
    </xf>
    <xf numFmtId="169" fontId="18" fillId="0" borderId="5" xfId="1" quotePrefix="1" applyNumberFormat="1" applyFont="1" applyBorder="1" applyAlignment="1">
      <alignment horizontal="left"/>
    </xf>
    <xf numFmtId="174" fontId="18" fillId="2" borderId="5" xfId="10" applyNumberFormat="1" applyFont="1" applyFill="1" applyBorder="1" applyAlignment="1">
      <alignment shrinkToFit="1"/>
    </xf>
    <xf numFmtId="174" fontId="12" fillId="2" borderId="5" xfId="10" applyNumberFormat="1" applyFont="1" applyFill="1" applyBorder="1" applyAlignment="1">
      <alignment vertical="center" shrinkToFit="1"/>
    </xf>
    <xf numFmtId="174" fontId="12" fillId="2" borderId="5" xfId="12" applyNumberFormat="1" applyFont="1" applyFill="1" applyBorder="1" applyAlignment="1">
      <alignment shrinkToFit="1"/>
    </xf>
    <xf numFmtId="169" fontId="133" fillId="0" borderId="5" xfId="1" applyNumberFormat="1" applyFont="1" applyFill="1" applyBorder="1" applyAlignment="1">
      <alignment shrinkToFit="1"/>
    </xf>
    <xf numFmtId="169" fontId="133" fillId="0" borderId="5" xfId="1" applyNumberFormat="1" applyFont="1" applyBorder="1" applyAlignment="1">
      <alignment shrinkToFit="1"/>
    </xf>
    <xf numFmtId="169" fontId="30" fillId="0" borderId="5" xfId="1" applyNumberFormat="1" applyFont="1" applyBorder="1" applyAlignment="1">
      <alignment shrinkToFit="1"/>
    </xf>
    <xf numFmtId="169" fontId="30" fillId="0" borderId="5" xfId="1" applyNumberFormat="1" applyFont="1" applyFill="1" applyBorder="1" applyAlignment="1">
      <alignment shrinkToFit="1"/>
    </xf>
    <xf numFmtId="169" fontId="18" fillId="0" borderId="5" xfId="1" applyNumberFormat="1" applyFont="1" applyFill="1" applyBorder="1" applyAlignment="1">
      <alignment shrinkToFit="1"/>
    </xf>
    <xf numFmtId="169" fontId="18" fillId="0" borderId="5" xfId="1" applyNumberFormat="1" applyFont="1" applyBorder="1" applyAlignment="1">
      <alignment shrinkToFit="1"/>
    </xf>
    <xf numFmtId="169" fontId="12" fillId="0" borderId="5" xfId="1" applyNumberFormat="1" applyFont="1" applyBorder="1" applyAlignment="1">
      <alignment shrinkToFit="1"/>
    </xf>
    <xf numFmtId="169" fontId="12" fillId="0" borderId="5" xfId="1" applyNumberFormat="1" applyFont="1" applyFill="1" applyBorder="1" applyAlignment="1">
      <alignment shrinkToFit="1"/>
    </xf>
    <xf numFmtId="169" fontId="17" fillId="0" borderId="5" xfId="1" applyNumberFormat="1" applyFont="1" applyFill="1" applyBorder="1" applyAlignment="1">
      <alignment shrinkToFit="1"/>
    </xf>
    <xf numFmtId="169" fontId="11" fillId="0" borderId="5" xfId="1" applyNumberFormat="1" applyFont="1" applyBorder="1" applyAlignment="1">
      <alignment shrinkToFit="1"/>
    </xf>
    <xf numFmtId="169" fontId="11" fillId="0" borderId="5" xfId="1" applyNumberFormat="1" applyFont="1" applyFill="1" applyBorder="1" applyAlignment="1">
      <alignment shrinkToFit="1"/>
    </xf>
    <xf numFmtId="169" fontId="17" fillId="0" borderId="5" xfId="1" applyNumberFormat="1" applyFont="1" applyBorder="1" applyAlignment="1">
      <alignment shrinkToFit="1"/>
    </xf>
    <xf numFmtId="0" fontId="6" fillId="0" borderId="22" xfId="10" applyFont="1" applyBorder="1" applyAlignment="1">
      <alignment horizontal="center" vertical="center" wrapText="1"/>
    </xf>
    <xf numFmtId="0" fontId="6" fillId="0" borderId="19" xfId="10" applyFont="1" applyBorder="1" applyAlignment="1">
      <alignment horizontal="center" vertical="center" wrapText="1"/>
    </xf>
    <xf numFmtId="0" fontId="12" fillId="0" borderId="49" xfId="10" applyFont="1" applyBorder="1" applyAlignment="1">
      <alignment horizontal="center" vertical="center" wrapText="1"/>
    </xf>
    <xf numFmtId="174" fontId="12" fillId="0" borderId="50" xfId="1" applyNumberFormat="1" applyFont="1" applyFill="1" applyBorder="1" applyAlignment="1">
      <alignment vertical="center" shrinkToFit="1"/>
    </xf>
    <xf numFmtId="0" fontId="12" fillId="0" borderId="20" xfId="10" applyFont="1" applyBorder="1" applyAlignment="1">
      <alignment horizontal="center" vertical="center" wrapText="1"/>
    </xf>
    <xf numFmtId="174" fontId="12" fillId="0" borderId="21" xfId="10" applyNumberFormat="1" applyFont="1" applyBorder="1" applyAlignment="1">
      <alignment vertical="center" shrinkToFit="1"/>
    </xf>
    <xf numFmtId="169" fontId="12" fillId="0" borderId="21" xfId="1" applyNumberFormat="1" applyFont="1" applyBorder="1" applyAlignment="1">
      <alignment horizontal="left" vertical="center"/>
    </xf>
    <xf numFmtId="0" fontId="11" fillId="0" borderId="20" xfId="10" applyFont="1" applyBorder="1" applyAlignment="1">
      <alignment horizontal="center" vertical="center" wrapText="1"/>
    </xf>
    <xf numFmtId="9" fontId="11" fillId="0" borderId="21" xfId="2" applyFont="1" applyBorder="1" applyAlignment="1">
      <alignment horizontal="right" vertical="center"/>
    </xf>
    <xf numFmtId="0" fontId="12" fillId="0" borderId="20" xfId="10" applyFont="1" applyBorder="1" applyAlignment="1">
      <alignment horizontal="center" vertical="center"/>
    </xf>
    <xf numFmtId="169" fontId="12" fillId="0" borderId="21" xfId="1" quotePrefix="1" applyNumberFormat="1" applyFont="1" applyBorder="1" applyAlignment="1">
      <alignment horizontal="left" vertical="center"/>
    </xf>
    <xf numFmtId="0" fontId="30" fillId="0" borderId="20" xfId="10" applyFont="1" applyBorder="1" applyAlignment="1">
      <alignment horizontal="center" vertical="center"/>
    </xf>
    <xf numFmtId="174" fontId="30" fillId="0" borderId="21" xfId="10" applyNumberFormat="1" applyFont="1" applyBorder="1" applyAlignment="1">
      <alignment vertical="center" shrinkToFit="1"/>
    </xf>
    <xf numFmtId="174" fontId="12" fillId="2" borderId="21" xfId="10" applyNumberFormat="1" applyFont="1" applyFill="1" applyBorder="1" applyAlignment="1">
      <alignment vertical="center" shrinkToFit="1"/>
    </xf>
    <xf numFmtId="169" fontId="12" fillId="0" borderId="21" xfId="1" applyNumberFormat="1" applyFont="1" applyBorder="1" applyAlignment="1">
      <alignment horizontal="left"/>
    </xf>
    <xf numFmtId="174" fontId="11" fillId="0" borderId="21" xfId="10" applyNumberFormat="1" applyFont="1" applyBorder="1" applyAlignment="1">
      <alignment shrinkToFit="1"/>
    </xf>
    <xf numFmtId="0" fontId="34" fillId="0" borderId="20" xfId="10" applyFont="1" applyBorder="1" applyAlignment="1">
      <alignment horizontal="center" vertical="center"/>
    </xf>
    <xf numFmtId="174" fontId="30" fillId="0" borderId="21" xfId="10" applyNumberFormat="1" applyFont="1" applyBorder="1" applyAlignment="1">
      <alignment shrinkToFit="1"/>
    </xf>
    <xf numFmtId="0" fontId="11" fillId="0" borderId="20" xfId="10" applyFont="1" applyBorder="1" applyAlignment="1">
      <alignment horizontal="center"/>
    </xf>
    <xf numFmtId="0" fontId="12" fillId="0" borderId="20" xfId="10" applyFont="1" applyBorder="1" applyAlignment="1">
      <alignment horizontal="center"/>
    </xf>
    <xf numFmtId="169" fontId="12" fillId="0" borderId="21" xfId="1" quotePrefix="1" applyNumberFormat="1" applyFont="1" applyBorder="1" applyAlignment="1">
      <alignment horizontal="left"/>
    </xf>
    <xf numFmtId="169" fontId="11" fillId="0" borderId="21" xfId="1" applyNumberFormat="1" applyFont="1" applyBorder="1" applyAlignment="1">
      <alignment shrinkToFit="1"/>
    </xf>
    <xf numFmtId="43" fontId="30" fillId="0" borderId="21" xfId="1" applyFont="1" applyBorder="1" applyAlignment="1">
      <alignment shrinkToFit="1"/>
    </xf>
    <xf numFmtId="169" fontId="12" fillId="0" borderId="21" xfId="1" applyNumberFormat="1" applyFont="1" applyBorder="1" applyAlignment="1">
      <alignment shrinkToFit="1"/>
    </xf>
    <xf numFmtId="0" fontId="12" fillId="0" borderId="42" xfId="10" applyFont="1" applyBorder="1" applyAlignment="1">
      <alignment horizontal="center"/>
    </xf>
    <xf numFmtId="0" fontId="12" fillId="0" borderId="43" xfId="10" quotePrefix="1" applyFont="1" applyBorder="1" applyAlignment="1">
      <alignment horizontal="left" shrinkToFit="1"/>
    </xf>
    <xf numFmtId="169" fontId="18" fillId="0" borderId="43" xfId="1" applyNumberFormat="1" applyFont="1" applyFill="1" applyBorder="1" applyAlignment="1">
      <alignment shrinkToFit="1"/>
    </xf>
    <xf numFmtId="169" fontId="18" fillId="0" borderId="43" xfId="1" quotePrefix="1" applyNumberFormat="1" applyFont="1" applyBorder="1" applyAlignment="1">
      <alignment horizontal="left"/>
    </xf>
    <xf numFmtId="169" fontId="12" fillId="0" borderId="43" xfId="1" applyNumberFormat="1" applyFont="1" applyBorder="1" applyAlignment="1">
      <alignment shrinkToFit="1"/>
    </xf>
    <xf numFmtId="169" fontId="12" fillId="0" borderId="43" xfId="1" applyNumberFormat="1" applyFont="1" applyFill="1" applyBorder="1" applyAlignment="1">
      <alignment shrinkToFit="1"/>
    </xf>
    <xf numFmtId="169" fontId="12" fillId="0" borderId="57" xfId="1" applyNumberFormat="1" applyFont="1" applyBorder="1" applyAlignment="1">
      <alignment shrinkToFit="1"/>
    </xf>
    <xf numFmtId="0" fontId="25" fillId="0" borderId="0" xfId="0" applyFont="1" applyAlignment="1">
      <alignment horizontal="right"/>
    </xf>
    <xf numFmtId="0" fontId="6" fillId="0" borderId="6" xfId="0" applyFont="1" applyBorder="1" applyAlignment="1">
      <alignment horizontal="center"/>
    </xf>
    <xf numFmtId="169" fontId="6" fillId="0" borderId="6" xfId="1" applyNumberFormat="1" applyFont="1" applyBorder="1"/>
    <xf numFmtId="0" fontId="7" fillId="0" borderId="5" xfId="0" applyFont="1" applyBorder="1" applyAlignment="1">
      <alignment vertical="center" wrapText="1"/>
    </xf>
    <xf numFmtId="169" fontId="134" fillId="0" borderId="5" xfId="1" applyNumberFormat="1" applyFont="1" applyBorder="1" applyAlignment="1">
      <alignment vertical="center" wrapText="1"/>
    </xf>
    <xf numFmtId="169" fontId="7" fillId="0" borderId="5" xfId="1" applyNumberFormat="1" applyFont="1" applyBorder="1" applyAlignment="1">
      <alignment vertical="center" wrapText="1"/>
    </xf>
    <xf numFmtId="0" fontId="134" fillId="0" borderId="5" xfId="0" applyFont="1" applyBorder="1" applyAlignment="1">
      <alignment vertical="center" wrapText="1"/>
    </xf>
    <xf numFmtId="169" fontId="17" fillId="0" borderId="5" xfId="1" applyNumberFormat="1" applyFont="1" applyBorder="1" applyAlignment="1">
      <alignment vertical="center" wrapText="1"/>
    </xf>
    <xf numFmtId="175" fontId="6" fillId="0" borderId="6" xfId="1" applyNumberFormat="1" applyFont="1" applyBorder="1"/>
    <xf numFmtId="0" fontId="6" fillId="0" borderId="22" xfId="0" applyFont="1" applyBorder="1" applyAlignment="1">
      <alignment horizontal="center"/>
    </xf>
    <xf numFmtId="0" fontId="6" fillId="0" borderId="19" xfId="0" applyFont="1" applyBorder="1" applyAlignment="1">
      <alignment horizontal="center"/>
    </xf>
    <xf numFmtId="0" fontId="6" fillId="0" borderId="49" xfId="0" applyFont="1" applyBorder="1" applyAlignment="1">
      <alignment horizontal="center"/>
    </xf>
    <xf numFmtId="0" fontId="6" fillId="0" borderId="50" xfId="0" applyFont="1" applyBorder="1"/>
    <xf numFmtId="0" fontId="7" fillId="0" borderId="20" xfId="0" applyFont="1" applyBorder="1" applyAlignment="1">
      <alignment horizontal="center" vertical="center" wrapText="1"/>
    </xf>
    <xf numFmtId="169" fontId="7" fillId="0" borderId="21" xfId="1" applyNumberFormat="1" applyFont="1" applyBorder="1" applyAlignment="1">
      <alignment vertical="center" wrapText="1"/>
    </xf>
    <xf numFmtId="0" fontId="7" fillId="0" borderId="42" xfId="0" applyFont="1" applyBorder="1" applyAlignment="1">
      <alignment horizontal="center" vertical="center" wrapText="1"/>
    </xf>
    <xf numFmtId="0" fontId="7" fillId="0" borderId="43" xfId="0" applyFont="1" applyBorder="1" applyAlignment="1">
      <alignment vertical="center" wrapText="1"/>
    </xf>
    <xf numFmtId="0" fontId="134" fillId="0" borderId="43" xfId="0" applyFont="1" applyBorder="1" applyAlignment="1">
      <alignment vertical="center" wrapText="1"/>
    </xf>
    <xf numFmtId="169" fontId="134" fillId="0" borderId="43" xfId="1" applyNumberFormat="1" applyFont="1" applyBorder="1" applyAlignment="1">
      <alignment vertical="center" wrapText="1"/>
    </xf>
    <xf numFmtId="169" fontId="7" fillId="0" borderId="57" xfId="1" applyNumberFormat="1" applyFont="1" applyBorder="1" applyAlignment="1">
      <alignment vertical="center" wrapText="1"/>
    </xf>
    <xf numFmtId="43" fontId="11" fillId="0" borderId="0" xfId="1" applyFont="1"/>
    <xf numFmtId="169" fontId="12" fillId="0" borderId="4" xfId="0" applyNumberFormat="1" applyFont="1" applyBorder="1" applyAlignment="1">
      <alignment horizontal="center" vertical="center"/>
    </xf>
    <xf numFmtId="0" fontId="12" fillId="0" borderId="19" xfId="0" applyFont="1" applyBorder="1" applyAlignment="1">
      <alignment horizontal="center" vertical="center" wrapText="1"/>
    </xf>
    <xf numFmtId="0" fontId="12" fillId="0" borderId="0" xfId="0" applyFont="1" applyAlignment="1">
      <alignment vertical="center"/>
    </xf>
    <xf numFmtId="169" fontId="11" fillId="0" borderId="0" xfId="0" applyNumberFormat="1" applyFont="1" applyAlignment="1">
      <alignment vertical="center"/>
    </xf>
    <xf numFmtId="169" fontId="12" fillId="0" borderId="0" xfId="0" applyNumberFormat="1" applyFont="1" applyAlignment="1">
      <alignment vertical="center"/>
    </xf>
    <xf numFmtId="0" fontId="12" fillId="0" borderId="49" xfId="0" applyFont="1" applyBorder="1" applyAlignment="1">
      <alignment horizontal="center" vertical="center"/>
    </xf>
    <xf numFmtId="0" fontId="12" fillId="0" borderId="6" xfId="0" applyFont="1" applyBorder="1" applyAlignment="1">
      <alignment vertical="center"/>
    </xf>
    <xf numFmtId="0" fontId="12" fillId="0" borderId="50" xfId="0" applyFont="1" applyBorder="1" applyAlignment="1">
      <alignment vertical="center"/>
    </xf>
    <xf numFmtId="0" fontId="11" fillId="0" borderId="20" xfId="0" applyFont="1" applyBorder="1" applyAlignment="1">
      <alignment horizontal="center" vertical="center"/>
    </xf>
    <xf numFmtId="0" fontId="11" fillId="0" borderId="5" xfId="0" applyFont="1" applyBorder="1" applyAlignment="1">
      <alignment vertical="center" wrapText="1"/>
    </xf>
    <xf numFmtId="169" fontId="11" fillId="0" borderId="5" xfId="1" applyNumberFormat="1" applyFont="1" applyBorder="1" applyAlignment="1">
      <alignment horizontal="center" vertical="center"/>
    </xf>
    <xf numFmtId="169" fontId="11" fillId="0" borderId="5" xfId="1" applyNumberFormat="1" applyFont="1" applyBorder="1" applyAlignment="1">
      <alignment horizontal="right" vertical="center"/>
    </xf>
    <xf numFmtId="0" fontId="11" fillId="0" borderId="21" xfId="0" applyFont="1" applyBorder="1" applyAlignment="1">
      <alignment horizontal="center" vertical="center"/>
    </xf>
    <xf numFmtId="0" fontId="12" fillId="0" borderId="20" xfId="0" applyFont="1" applyBorder="1" applyAlignment="1">
      <alignment horizontal="center" vertical="center"/>
    </xf>
    <xf numFmtId="0" fontId="12" fillId="0" borderId="5" xfId="0" applyFont="1" applyBorder="1" applyAlignment="1">
      <alignment vertical="center"/>
    </xf>
    <xf numFmtId="169" fontId="12" fillId="0" borderId="5" xfId="1" applyNumberFormat="1" applyFont="1" applyBorder="1" applyAlignment="1">
      <alignment horizontal="center" vertical="center"/>
    </xf>
    <xf numFmtId="0" fontId="12" fillId="0" borderId="21" xfId="0" applyFont="1" applyBorder="1" applyAlignment="1">
      <alignment horizontal="center" vertical="center"/>
    </xf>
    <xf numFmtId="0" fontId="11" fillId="0" borderId="42" xfId="0" applyFont="1" applyBorder="1" applyAlignment="1">
      <alignment vertical="center"/>
    </xf>
    <xf numFmtId="169" fontId="11" fillId="0" borderId="43" xfId="1" applyNumberFormat="1" applyFont="1" applyBorder="1" applyAlignment="1">
      <alignment horizontal="center" vertical="center"/>
    </xf>
    <xf numFmtId="169" fontId="11" fillId="0" borderId="43" xfId="1" applyNumberFormat="1" applyFont="1" applyBorder="1" applyAlignment="1">
      <alignment horizontal="right" vertical="center"/>
    </xf>
    <xf numFmtId="0" fontId="11" fillId="0" borderId="57" xfId="0" applyFont="1" applyBorder="1" applyAlignment="1">
      <alignment horizontal="center" vertical="center"/>
    </xf>
    <xf numFmtId="43" fontId="11" fillId="0" borderId="0" xfId="1" applyFont="1" applyAlignment="1">
      <alignment vertical="center"/>
    </xf>
    <xf numFmtId="0" fontId="11" fillId="0" borderId="43" xfId="0" applyFont="1" applyBorder="1" applyAlignment="1">
      <alignment vertical="center" wrapText="1"/>
    </xf>
    <xf numFmtId="0" fontId="7" fillId="0" borderId="22" xfId="0" applyFont="1" applyBorder="1" applyAlignment="1">
      <alignment horizontal="center" vertical="center" wrapText="1"/>
    </xf>
    <xf numFmtId="0" fontId="7" fillId="0" borderId="4" xfId="0" quotePrefix="1" applyFont="1" applyBorder="1" applyAlignment="1">
      <alignment horizontal="justify" vertical="center" wrapText="1"/>
    </xf>
    <xf numFmtId="0" fontId="13" fillId="0" borderId="4" xfId="0" applyFont="1" applyBorder="1" applyAlignment="1">
      <alignment horizontal="center" vertical="center" shrinkToFit="1"/>
    </xf>
    <xf numFmtId="169" fontId="13" fillId="0" borderId="4" xfId="12" applyNumberFormat="1" applyFont="1" applyFill="1" applyBorder="1" applyAlignment="1">
      <alignment horizontal="right" vertical="center" shrinkToFit="1"/>
    </xf>
    <xf numFmtId="0" fontId="13" fillId="0" borderId="19" xfId="0" applyFont="1" applyBorder="1" applyAlignment="1">
      <alignment horizontal="center" vertical="center" shrinkToFit="1"/>
    </xf>
    <xf numFmtId="0" fontId="7" fillId="0" borderId="4" xfId="0" applyFont="1" applyBorder="1" applyAlignment="1">
      <alignment horizontal="center" vertical="center" wrapText="1"/>
    </xf>
    <xf numFmtId="0" fontId="7" fillId="0" borderId="19" xfId="0" applyFont="1" applyBorder="1" applyAlignment="1">
      <alignment horizontal="center" vertical="center" wrapText="1"/>
    </xf>
    <xf numFmtId="169" fontId="13" fillId="0" borderId="4" xfId="1" applyNumberFormat="1" applyFont="1" applyFill="1" applyBorder="1" applyAlignment="1">
      <alignment horizontal="center" vertical="center" shrinkToFit="1"/>
    </xf>
    <xf numFmtId="174" fontId="12" fillId="0" borderId="5" xfId="10" applyNumberFormat="1" applyFont="1" applyBorder="1" applyAlignment="1">
      <alignment shrinkToFit="1"/>
    </xf>
    <xf numFmtId="169" fontId="12" fillId="0" borderId="5" xfId="1" applyNumberFormat="1" applyFont="1" applyFill="1" applyBorder="1" applyAlignment="1">
      <alignment horizontal="left"/>
    </xf>
    <xf numFmtId="10" fontId="21" fillId="0" borderId="0" xfId="2" applyNumberFormat="1" applyFont="1" applyFill="1" applyBorder="1" applyAlignment="1">
      <alignment vertical="center" shrinkToFit="1"/>
    </xf>
    <xf numFmtId="0" fontId="12" fillId="0" borderId="4" xfId="0" applyFont="1" applyBorder="1" applyAlignment="1">
      <alignment horizontal="center"/>
    </xf>
    <xf numFmtId="3" fontId="12" fillId="0" borderId="103" xfId="0" applyNumberFormat="1" applyFont="1" applyBorder="1" applyAlignment="1">
      <alignment horizontal="center" vertical="center"/>
    </xf>
    <xf numFmtId="3" fontId="11" fillId="0" borderId="104" xfId="0" applyNumberFormat="1" applyFont="1" applyBorder="1" applyAlignment="1">
      <alignment horizontal="center" vertical="center" shrinkToFit="1"/>
    </xf>
    <xf numFmtId="3" fontId="10" fillId="0" borderId="105" xfId="0" applyNumberFormat="1" applyFont="1" applyBorder="1" applyAlignment="1">
      <alignment horizontal="center" vertical="center" shrinkToFit="1"/>
    </xf>
    <xf numFmtId="168" fontId="21" fillId="0" borderId="106" xfId="0" applyNumberFormat="1" applyFont="1" applyBorder="1" applyAlignment="1">
      <alignment vertical="center" shrinkToFit="1"/>
    </xf>
    <xf numFmtId="3" fontId="10" fillId="0" borderId="107" xfId="0" applyNumberFormat="1" applyFont="1" applyBorder="1" applyAlignment="1">
      <alignment horizontal="center" vertical="center" shrinkToFit="1"/>
    </xf>
    <xf numFmtId="168" fontId="21" fillId="0" borderId="108" xfId="0" applyNumberFormat="1" applyFont="1" applyBorder="1" applyAlignment="1">
      <alignment vertical="center" shrinkToFit="1"/>
    </xf>
    <xf numFmtId="3" fontId="6" fillId="0" borderId="107" xfId="0" applyNumberFormat="1" applyFont="1" applyBorder="1" applyAlignment="1">
      <alignment horizontal="center" vertical="center" shrinkToFit="1"/>
    </xf>
    <xf numFmtId="168" fontId="12" fillId="0" borderId="109" xfId="0" applyNumberFormat="1" applyFont="1" applyBorder="1" applyAlignment="1">
      <alignment vertical="center" shrinkToFit="1"/>
    </xf>
    <xf numFmtId="3" fontId="7" fillId="0" borderId="107" xfId="0" applyNumberFormat="1" applyFont="1" applyBorder="1" applyAlignment="1">
      <alignment horizontal="center" vertical="center" shrinkToFit="1"/>
    </xf>
    <xf numFmtId="168" fontId="11" fillId="0" borderId="108" xfId="0" applyNumberFormat="1" applyFont="1" applyBorder="1" applyAlignment="1">
      <alignment vertical="center" shrinkToFit="1"/>
    </xf>
    <xf numFmtId="168" fontId="12" fillId="0" borderId="108" xfId="0" applyNumberFormat="1" applyFont="1" applyBorder="1" applyAlignment="1">
      <alignment vertical="center" shrinkToFit="1"/>
    </xf>
    <xf numFmtId="3" fontId="12" fillId="0" borderId="107" xfId="0" applyNumberFormat="1" applyFont="1" applyBorder="1" applyAlignment="1">
      <alignment horizontal="center" vertical="center" shrinkToFit="1"/>
    </xf>
    <xf numFmtId="168" fontId="30" fillId="0" borderId="108" xfId="0" applyNumberFormat="1" applyFont="1" applyBorder="1" applyAlignment="1">
      <alignment vertical="center" shrinkToFit="1"/>
    </xf>
    <xf numFmtId="168" fontId="21" fillId="0" borderId="109" xfId="0" applyNumberFormat="1" applyFont="1" applyBorder="1" applyAlignment="1">
      <alignment vertical="center" shrinkToFit="1"/>
    </xf>
    <xf numFmtId="3" fontId="10" fillId="0" borderId="110" xfId="0" applyNumberFormat="1" applyFont="1" applyBorder="1" applyAlignment="1">
      <alignment horizontal="center" vertical="center" shrinkToFit="1"/>
    </xf>
    <xf numFmtId="3" fontId="10" fillId="0" borderId="111" xfId="0" applyNumberFormat="1" applyFont="1" applyBorder="1" applyAlignment="1">
      <alignment horizontal="center" vertical="center" shrinkToFit="1"/>
    </xf>
    <xf numFmtId="168" fontId="21" fillId="0" borderId="112" xfId="0" applyNumberFormat="1" applyFont="1" applyBorder="1" applyAlignment="1">
      <alignment vertical="center" shrinkToFit="1"/>
    </xf>
    <xf numFmtId="168" fontId="10" fillId="0" borderId="112" xfId="0" applyNumberFormat="1" applyFont="1" applyBorder="1" applyAlignment="1">
      <alignment vertical="center" shrinkToFit="1"/>
    </xf>
    <xf numFmtId="170" fontId="10" fillId="0" borderId="112" xfId="0" applyNumberFormat="1" applyFont="1" applyBorder="1" applyAlignment="1">
      <alignment vertical="center" shrinkToFit="1"/>
    </xf>
    <xf numFmtId="168" fontId="21" fillId="0" borderId="113" xfId="0" applyNumberFormat="1" applyFont="1" applyBorder="1" applyAlignment="1">
      <alignment vertical="center" shrinkToFit="1"/>
    </xf>
    <xf numFmtId="168" fontId="36" fillId="0" borderId="112" xfId="0" applyNumberFormat="1" applyFont="1" applyBorder="1" applyAlignment="1">
      <alignment vertical="center" shrinkToFit="1"/>
    </xf>
    <xf numFmtId="170" fontId="21" fillId="0" borderId="112" xfId="0" applyNumberFormat="1" applyFont="1" applyBorder="1" applyAlignment="1">
      <alignment vertical="center" shrinkToFit="1"/>
    </xf>
    <xf numFmtId="170" fontId="12" fillId="0" borderId="112" xfId="0" applyNumberFormat="1" applyFont="1" applyBorder="1" applyAlignment="1">
      <alignment vertical="center" shrinkToFit="1"/>
    </xf>
    <xf numFmtId="168" fontId="21" fillId="0" borderId="114" xfId="0" applyNumberFormat="1" applyFont="1" applyBorder="1" applyAlignment="1">
      <alignment vertical="center" shrinkToFit="1"/>
    </xf>
    <xf numFmtId="0" fontId="6" fillId="0" borderId="15" xfId="0" applyFont="1" applyBorder="1" applyAlignment="1">
      <alignment horizontal="center" vertical="center"/>
    </xf>
    <xf numFmtId="168" fontId="6" fillId="0" borderId="36" xfId="0" applyNumberFormat="1" applyFont="1" applyBorder="1" applyAlignment="1">
      <alignment vertical="center" shrinkToFit="1"/>
    </xf>
    <xf numFmtId="168" fontId="6" fillId="0" borderId="16" xfId="0" applyNumberFormat="1" applyFont="1" applyBorder="1" applyAlignment="1">
      <alignment vertical="center" shrinkToFit="1"/>
    </xf>
    <xf numFmtId="168" fontId="7" fillId="0" borderId="16" xfId="0" applyNumberFormat="1" applyFont="1" applyBorder="1" applyAlignment="1">
      <alignment vertical="center" shrinkToFit="1"/>
    </xf>
    <xf numFmtId="168" fontId="6" fillId="3" borderId="16" xfId="0" applyNumberFormat="1" applyFont="1" applyFill="1" applyBorder="1" applyAlignment="1">
      <alignment vertical="center" shrinkToFit="1"/>
    </xf>
    <xf numFmtId="168" fontId="6" fillId="0" borderId="18" xfId="0" applyNumberFormat="1" applyFont="1" applyBorder="1" applyAlignment="1">
      <alignment vertical="center" shrinkToFit="1"/>
    </xf>
    <xf numFmtId="0" fontId="12" fillId="0" borderId="104" xfId="0" applyFont="1" applyBorder="1" applyAlignment="1">
      <alignment horizontal="center"/>
    </xf>
    <xf numFmtId="0" fontId="6" fillId="0" borderId="105" xfId="0" applyFont="1" applyBorder="1" applyAlignment="1">
      <alignment horizontal="center" vertical="center"/>
    </xf>
    <xf numFmtId="168" fontId="12" fillId="0" borderId="106" xfId="0" applyNumberFormat="1" applyFont="1" applyBorder="1" applyAlignment="1">
      <alignment vertical="center" shrinkToFit="1"/>
    </xf>
    <xf numFmtId="0" fontId="6" fillId="0" borderId="107" xfId="0" applyFont="1" applyBorder="1" applyAlignment="1">
      <alignment horizontal="center" vertical="center"/>
    </xf>
    <xf numFmtId="0" fontId="7" fillId="0" borderId="107" xfId="0" applyFont="1" applyBorder="1" applyAlignment="1">
      <alignment horizontal="center" vertical="center"/>
    </xf>
    <xf numFmtId="0" fontId="6" fillId="3" borderId="107" xfId="0" applyFont="1" applyFill="1" applyBorder="1" applyAlignment="1">
      <alignment horizontal="center" vertical="center"/>
    </xf>
    <xf numFmtId="168" fontId="12" fillId="3" borderId="108" xfId="0" applyNumberFormat="1" applyFont="1" applyFill="1" applyBorder="1" applyAlignment="1">
      <alignment vertical="center" shrinkToFit="1"/>
    </xf>
    <xf numFmtId="0" fontId="6" fillId="0" borderId="107" xfId="0" applyFont="1" applyBorder="1" applyAlignment="1">
      <alignment horizontal="center" vertical="center" shrinkToFit="1"/>
    </xf>
    <xf numFmtId="0" fontId="6" fillId="0" borderId="111" xfId="0" applyFont="1" applyBorder="1" applyAlignment="1">
      <alignment horizontal="center" vertical="center"/>
    </xf>
    <xf numFmtId="0" fontId="6" fillId="0" borderId="112" xfId="0" applyFont="1" applyBorder="1" applyAlignment="1">
      <alignment horizontal="center" vertical="center" shrinkToFit="1"/>
    </xf>
    <xf numFmtId="168" fontId="6" fillId="0" borderId="112" xfId="0" applyNumberFormat="1" applyFont="1" applyBorder="1" applyAlignment="1">
      <alignment vertical="center" shrinkToFit="1"/>
    </xf>
    <xf numFmtId="168" fontId="12" fillId="0" borderId="112" xfId="0" applyNumberFormat="1" applyFont="1" applyBorder="1" applyAlignment="1">
      <alignment vertical="center" shrinkToFit="1"/>
    </xf>
    <xf numFmtId="168" fontId="12" fillId="0" borderId="114" xfId="0" applyNumberFormat="1" applyFont="1" applyBorder="1" applyAlignment="1">
      <alignment vertical="center" shrinkToFit="1"/>
    </xf>
    <xf numFmtId="168" fontId="7" fillId="0" borderId="108" xfId="0" applyNumberFormat="1" applyFont="1" applyBorder="1" applyAlignment="1">
      <alignment vertical="center" shrinkToFit="1"/>
    </xf>
    <xf numFmtId="168" fontId="6" fillId="0" borderId="108" xfId="0" applyNumberFormat="1" applyFont="1" applyBorder="1" applyAlignment="1">
      <alignment vertical="center" shrinkToFit="1"/>
    </xf>
    <xf numFmtId="168" fontId="6" fillId="3" borderId="108" xfId="0" applyNumberFormat="1" applyFont="1" applyFill="1" applyBorder="1" applyAlignment="1">
      <alignment vertical="center" shrinkToFit="1"/>
    </xf>
    <xf numFmtId="168" fontId="6" fillId="0" borderId="114" xfId="0" applyNumberFormat="1" applyFont="1" applyBorder="1" applyAlignment="1">
      <alignment vertical="center" shrinkToFit="1"/>
    </xf>
    <xf numFmtId="3" fontId="7" fillId="2" borderId="0" xfId="0" applyNumberFormat="1" applyFont="1" applyFill="1"/>
    <xf numFmtId="49" fontId="72" fillId="0" borderId="5" xfId="19" applyNumberFormat="1" applyFont="1" applyBorder="1" applyAlignment="1">
      <alignment horizontal="center" vertical="center"/>
    </xf>
    <xf numFmtId="49" fontId="90" fillId="0" borderId="5" xfId="19" applyNumberFormat="1" applyFont="1" applyBorder="1" applyAlignment="1">
      <alignment horizontal="center" vertical="center"/>
    </xf>
    <xf numFmtId="49" fontId="90" fillId="0" borderId="5" xfId="19" applyNumberFormat="1" applyFont="1" applyBorder="1" applyAlignment="1">
      <alignment vertical="center" shrinkToFit="1"/>
    </xf>
    <xf numFmtId="183" fontId="42" fillId="0" borderId="5" xfId="19" applyNumberFormat="1" applyFont="1" applyBorder="1" applyAlignment="1">
      <alignment vertical="center" shrinkToFit="1"/>
    </xf>
    <xf numFmtId="0" fontId="72" fillId="0" borderId="0" xfId="19" applyFont="1"/>
    <xf numFmtId="49" fontId="135" fillId="0" borderId="5" xfId="19" applyNumberFormat="1" applyFont="1" applyBorder="1" applyAlignment="1">
      <alignment horizontal="center" vertical="center"/>
    </xf>
    <xf numFmtId="183" fontId="67" fillId="0" borderId="5" xfId="19" applyNumberFormat="1" applyFont="1" applyBorder="1" applyAlignment="1">
      <alignment vertical="center" shrinkToFit="1"/>
    </xf>
    <xf numFmtId="49" fontId="135" fillId="0" borderId="5" xfId="19" applyNumberFormat="1" applyFont="1" applyBorder="1" applyAlignment="1">
      <alignment vertical="center" shrinkToFit="1"/>
    </xf>
    <xf numFmtId="49" fontId="48" fillId="0" borderId="5" xfId="19" applyNumberFormat="1" applyFont="1" applyBorder="1" applyAlignment="1">
      <alignment horizontal="center" vertical="center"/>
    </xf>
    <xf numFmtId="49" fontId="136" fillId="0" borderId="5" xfId="19" applyNumberFormat="1" applyFont="1" applyBorder="1" applyAlignment="1">
      <alignment horizontal="center" vertical="center"/>
    </xf>
    <xf numFmtId="49" fontId="136" fillId="0" borderId="5" xfId="19" applyNumberFormat="1" applyFont="1" applyBorder="1" applyAlignment="1">
      <alignment vertical="center" wrapText="1" shrinkToFit="1"/>
    </xf>
    <xf numFmtId="183" fontId="48" fillId="0" borderId="5" xfId="19" applyNumberFormat="1" applyFont="1" applyBorder="1" applyAlignment="1">
      <alignment vertical="center" shrinkToFit="1"/>
    </xf>
    <xf numFmtId="0" fontId="48" fillId="0" borderId="0" xfId="19" applyFont="1"/>
    <xf numFmtId="0" fontId="1" fillId="0" borderId="0" xfId="0" applyFont="1" applyAlignment="1">
      <alignment horizontal="center" vertical="center" wrapText="1"/>
    </xf>
    <xf numFmtId="3" fontId="9" fillId="0" borderId="0" xfId="0" applyNumberFormat="1" applyFont="1" applyAlignment="1">
      <alignment horizontal="center"/>
    </xf>
    <xf numFmtId="3" fontId="9" fillId="0" borderId="0" xfId="0" applyNumberFormat="1" applyFont="1" applyAlignment="1">
      <alignment horizontal="right"/>
    </xf>
    <xf numFmtId="3" fontId="8" fillId="0" borderId="0" xfId="0" applyNumberFormat="1" applyFont="1" applyAlignment="1">
      <alignment horizontal="right"/>
    </xf>
    <xf numFmtId="0" fontId="0" fillId="0" borderId="0" xfId="0" applyAlignment="1">
      <alignment horizontal="center"/>
    </xf>
    <xf numFmtId="168" fontId="12" fillId="0" borderId="5" xfId="0" applyNumberFormat="1" applyFont="1" applyBorder="1" applyAlignment="1">
      <alignment wrapText="1" shrinkToFit="1"/>
    </xf>
    <xf numFmtId="0" fontId="137" fillId="0" borderId="4" xfId="15" applyFont="1" applyBorder="1" applyAlignment="1">
      <alignment horizontal="center" vertical="center" wrapText="1"/>
    </xf>
    <xf numFmtId="0" fontId="42" fillId="0" borderId="0" xfId="0" applyFont="1" applyAlignment="1">
      <alignment horizontal="center" wrapText="1"/>
    </xf>
    <xf numFmtId="0" fontId="137" fillId="0" borderId="23" xfId="15" applyFont="1" applyBorder="1" applyAlignment="1">
      <alignment horizontal="center" vertical="center" wrapText="1"/>
    </xf>
    <xf numFmtId="0" fontId="6" fillId="0" borderId="0" xfId="0" applyFont="1" applyAlignment="1">
      <alignment horizontal="right" vertical="center"/>
    </xf>
    <xf numFmtId="0" fontId="6" fillId="6" borderId="4" xfId="0" applyFont="1" applyFill="1" applyBorder="1" applyAlignment="1">
      <alignment horizontal="center" vertical="center" wrapText="1" shrinkToFit="1"/>
    </xf>
    <xf numFmtId="0" fontId="6" fillId="6" borderId="4" xfId="0" applyFont="1" applyFill="1" applyBorder="1" applyAlignment="1">
      <alignment horizontal="center" vertical="center" shrinkToFit="1"/>
    </xf>
    <xf numFmtId="169" fontId="6" fillId="6" borderId="4" xfId="1" applyNumberFormat="1" applyFont="1" applyFill="1" applyBorder="1" applyAlignment="1">
      <alignment horizontal="center" vertical="center" shrinkToFit="1"/>
    </xf>
    <xf numFmtId="0" fontId="7" fillId="0" borderId="6" xfId="0" applyFont="1" applyBorder="1" applyAlignment="1">
      <alignment horizontal="center" vertical="center" shrinkToFit="1"/>
    </xf>
    <xf numFmtId="0" fontId="7" fillId="0" borderId="6" xfId="0" applyFont="1" applyBorder="1" applyAlignment="1">
      <alignment vertical="center" shrinkToFit="1"/>
    </xf>
    <xf numFmtId="169" fontId="7" fillId="0" borderId="6" xfId="1" applyNumberFormat="1" applyFont="1" applyBorder="1" applyAlignment="1">
      <alignment horizontal="right" vertical="center" shrinkToFit="1"/>
    </xf>
    <xf numFmtId="169" fontId="7" fillId="0" borderId="6" xfId="1" applyNumberFormat="1" applyFont="1" applyBorder="1" applyAlignment="1">
      <alignment horizontal="center" vertical="center" shrinkToFit="1"/>
    </xf>
    <xf numFmtId="169" fontId="7" fillId="0" borderId="6" xfId="1" applyNumberFormat="1" applyFont="1" applyFill="1" applyBorder="1" applyAlignment="1">
      <alignment vertical="center" shrinkToFit="1"/>
    </xf>
    <xf numFmtId="0" fontId="7" fillId="0" borderId="5" xfId="0" applyFont="1" applyBorder="1" applyAlignment="1">
      <alignment horizontal="center" vertical="center" shrinkToFit="1"/>
    </xf>
    <xf numFmtId="169" fontId="7" fillId="0" borderId="5" xfId="1" applyNumberFormat="1" applyFont="1" applyBorder="1" applyAlignment="1">
      <alignment horizontal="center" vertical="center" shrinkToFit="1"/>
    </xf>
    <xf numFmtId="169" fontId="7" fillId="0" borderId="5" xfId="1" applyNumberFormat="1" applyFont="1" applyFill="1" applyBorder="1" applyAlignment="1">
      <alignment vertical="center" shrinkToFit="1"/>
    </xf>
    <xf numFmtId="169" fontId="17" fillId="0" borderId="5" xfId="1" applyNumberFormat="1" applyFont="1" applyFill="1" applyBorder="1" applyAlignment="1">
      <alignment vertical="center" shrinkToFit="1"/>
    </xf>
    <xf numFmtId="43" fontId="7" fillId="0" borderId="5" xfId="1" applyFont="1" applyFill="1" applyBorder="1" applyAlignment="1">
      <alignment vertical="center" shrinkToFit="1"/>
    </xf>
    <xf numFmtId="0" fontId="7" fillId="0" borderId="8" xfId="0" applyFont="1" applyBorder="1" applyAlignment="1">
      <alignment horizontal="center" vertical="center" shrinkToFit="1"/>
    </xf>
    <xf numFmtId="0" fontId="7" fillId="0" borderId="8" xfId="0" applyFont="1" applyBorder="1" applyAlignment="1">
      <alignment vertical="center" shrinkToFit="1"/>
    </xf>
    <xf numFmtId="169" fontId="7" fillId="0" borderId="8" xfId="1" applyNumberFormat="1" applyFont="1" applyBorder="1" applyAlignment="1">
      <alignment horizontal="center" vertical="center" shrinkToFit="1"/>
    </xf>
    <xf numFmtId="169" fontId="7" fillId="0" borderId="8" xfId="1" applyNumberFormat="1" applyFont="1" applyFill="1" applyBorder="1" applyAlignment="1">
      <alignment vertical="center" shrinkToFit="1"/>
    </xf>
    <xf numFmtId="0" fontId="137" fillId="0" borderId="79" xfId="15" applyFont="1" applyBorder="1" applyAlignment="1">
      <alignment horizontal="center" vertical="center" wrapText="1"/>
    </xf>
    <xf numFmtId="0" fontId="137" fillId="0" borderId="0" xfId="15" applyFont="1"/>
    <xf numFmtId="169" fontId="137" fillId="0" borderId="0" xfId="15" applyNumberFormat="1" applyFont="1" applyAlignment="1">
      <alignment horizontal="center" vertical="center"/>
    </xf>
    <xf numFmtId="0" fontId="137" fillId="0" borderId="4" xfId="15" applyFont="1" applyBorder="1" applyAlignment="1">
      <alignment horizontal="center" vertical="top" wrapText="1"/>
    </xf>
    <xf numFmtId="0" fontId="42" fillId="0" borderId="5" xfId="0" applyFont="1" applyBorder="1"/>
    <xf numFmtId="3" fontId="1" fillId="0" borderId="0" xfId="21" applyNumberFormat="1" applyFont="1" applyAlignment="1">
      <alignment horizontal="center"/>
    </xf>
    <xf numFmtId="0" fontId="137" fillId="0" borderId="0" xfId="15" applyFont="1" applyAlignment="1">
      <alignment horizontal="center"/>
    </xf>
    <xf numFmtId="0" fontId="1" fillId="0" borderId="6" xfId="0" applyFont="1" applyBorder="1" applyAlignment="1">
      <alignment horizontal="center"/>
    </xf>
    <xf numFmtId="0" fontId="1" fillId="0" borderId="6" xfId="0" applyFont="1" applyBorder="1" applyAlignment="1">
      <alignment shrinkToFit="1"/>
    </xf>
    <xf numFmtId="9" fontId="1" fillId="0" borderId="6" xfId="0" applyNumberFormat="1" applyFont="1" applyBorder="1" applyAlignment="1">
      <alignment horizontal="center"/>
    </xf>
    <xf numFmtId="9" fontId="1" fillId="0" borderId="5" xfId="0" applyNumberFormat="1" applyFont="1" applyBorder="1" applyAlignment="1">
      <alignment horizontal="center"/>
    </xf>
    <xf numFmtId="9" fontId="1" fillId="0" borderId="8" xfId="0" applyNumberFormat="1" applyFont="1" applyBorder="1" applyAlignment="1">
      <alignment horizontal="center"/>
    </xf>
    <xf numFmtId="0" fontId="139" fillId="0" borderId="0" xfId="0" applyFont="1" applyAlignment="1">
      <alignment vertical="center" wrapText="1"/>
    </xf>
    <xf numFmtId="9" fontId="42" fillId="0" borderId="6" xfId="0" applyNumberFormat="1" applyFont="1" applyBorder="1" applyAlignment="1">
      <alignment horizontal="center"/>
    </xf>
    <xf numFmtId="9" fontId="42" fillId="0" borderId="5" xfId="0" applyNumberFormat="1" applyFont="1" applyBorder="1" applyAlignment="1">
      <alignment horizontal="center"/>
    </xf>
    <xf numFmtId="0" fontId="1" fillId="13" borderId="5" xfId="0" applyFont="1" applyFill="1" applyBorder="1" applyAlignment="1">
      <alignment horizontal="center"/>
    </xf>
    <xf numFmtId="0" fontId="1" fillId="3" borderId="5" xfId="0" applyFont="1" applyFill="1" applyBorder="1" applyAlignment="1">
      <alignment shrinkToFit="1"/>
    </xf>
    <xf numFmtId="9" fontId="1" fillId="3" borderId="5" xfId="0" applyNumberFormat="1" applyFont="1" applyFill="1" applyBorder="1" applyAlignment="1">
      <alignment horizontal="center"/>
    </xf>
    <xf numFmtId="0" fontId="1" fillId="13" borderId="5" xfId="0" applyFont="1" applyFill="1" applyBorder="1" applyAlignment="1">
      <alignment horizontal="center" vertical="center"/>
    </xf>
    <xf numFmtId="0" fontId="1" fillId="3" borderId="5" xfId="0" applyFont="1" applyFill="1" applyBorder="1" applyAlignment="1">
      <alignment vertical="center" shrinkToFit="1"/>
    </xf>
    <xf numFmtId="9" fontId="1" fillId="3" borderId="5" xfId="0" applyNumberFormat="1" applyFont="1" applyFill="1" applyBorder="1" applyAlignment="1">
      <alignment horizontal="center" vertical="center" wrapText="1"/>
    </xf>
    <xf numFmtId="0" fontId="1" fillId="0" borderId="5" xfId="0" applyFont="1" applyBorder="1"/>
    <xf numFmtId="0" fontId="1" fillId="3" borderId="5" xfId="0" applyFont="1" applyFill="1" applyBorder="1" applyAlignment="1">
      <alignment horizontal="center"/>
    </xf>
    <xf numFmtId="0" fontId="1" fillId="3" borderId="5" xfId="0" applyFont="1" applyFill="1" applyBorder="1"/>
    <xf numFmtId="0" fontId="1" fillId="3" borderId="5" xfId="0" applyFont="1" applyFill="1" applyBorder="1" applyAlignment="1">
      <alignment horizontal="center" vertical="center" wrapText="1"/>
    </xf>
    <xf numFmtId="0" fontId="1" fillId="3" borderId="5" xfId="0" applyFont="1" applyFill="1" applyBorder="1" applyAlignment="1">
      <alignment vertical="center" wrapText="1"/>
    </xf>
    <xf numFmtId="0" fontId="1" fillId="0" borderId="8" xfId="0" applyFont="1" applyBorder="1"/>
    <xf numFmtId="0" fontId="47" fillId="0" borderId="0" xfId="0" applyFont="1" applyAlignment="1">
      <alignment horizontal="center"/>
    </xf>
    <xf numFmtId="3" fontId="47" fillId="0" borderId="0" xfId="21" applyNumberFormat="1" applyFont="1" applyAlignment="1">
      <alignment horizontal="right"/>
    </xf>
    <xf numFmtId="3" fontId="42" fillId="0" borderId="6" xfId="21" applyNumberFormat="1" applyFont="1" applyBorder="1" applyAlignment="1">
      <alignment horizontal="center" vertical="center"/>
    </xf>
    <xf numFmtId="3" fontId="42" fillId="0" borderId="6" xfId="21" applyNumberFormat="1" applyFont="1" applyBorder="1" applyAlignment="1">
      <alignment vertical="center" wrapText="1"/>
    </xf>
    <xf numFmtId="38" fontId="42" fillId="0" borderId="6" xfId="21" applyNumberFormat="1" applyFont="1" applyBorder="1" applyAlignment="1">
      <alignment vertical="center"/>
    </xf>
    <xf numFmtId="9" fontId="42" fillId="0" borderId="6" xfId="2" applyFont="1" applyFill="1" applyBorder="1" applyAlignment="1">
      <alignment vertical="center"/>
    </xf>
    <xf numFmtId="9" fontId="1" fillId="0" borderId="5" xfId="2" applyFont="1" applyFill="1" applyBorder="1" applyAlignment="1">
      <alignment vertical="center"/>
    </xf>
    <xf numFmtId="9" fontId="1" fillId="0" borderId="5" xfId="0" applyNumberFormat="1" applyFont="1" applyBorder="1" applyAlignment="1">
      <alignment horizontal="center" vertical="center" wrapText="1"/>
    </xf>
    <xf numFmtId="0" fontId="38" fillId="0" borderId="5" xfId="0" applyFont="1" applyBorder="1"/>
    <xf numFmtId="0" fontId="139" fillId="0" borderId="0" xfId="0" applyFont="1"/>
    <xf numFmtId="0" fontId="1" fillId="0" borderId="6" xfId="0" applyFont="1" applyBorder="1" applyAlignment="1">
      <alignment vertical="center" shrinkToFit="1"/>
    </xf>
    <xf numFmtId="0" fontId="142" fillId="0" borderId="4" xfId="15" applyFont="1" applyBorder="1"/>
    <xf numFmtId="0" fontId="12" fillId="2" borderId="4" xfId="0" applyFont="1" applyFill="1" applyBorder="1" applyAlignment="1">
      <alignment horizontal="center" vertical="center" wrapText="1"/>
    </xf>
    <xf numFmtId="0" fontId="7" fillId="2" borderId="4" xfId="0" applyFont="1" applyFill="1" applyBorder="1"/>
    <xf numFmtId="0" fontId="11" fillId="0" borderId="4" xfId="0" applyFont="1" applyBorder="1"/>
    <xf numFmtId="0" fontId="6" fillId="0" borderId="0" xfId="0" applyFont="1" applyAlignment="1">
      <alignment horizontal="center" wrapText="1"/>
    </xf>
    <xf numFmtId="0" fontId="7" fillId="0" borderId="0" xfId="0" applyFont="1" applyAlignment="1">
      <alignment horizontal="center" vertical="center" wrapText="1"/>
    </xf>
    <xf numFmtId="0" fontId="6" fillId="0" borderId="0" xfId="0" applyFont="1" applyAlignment="1">
      <alignment shrinkToFit="1"/>
    </xf>
    <xf numFmtId="0" fontId="10" fillId="0" borderId="6" xfId="0" applyFont="1" applyBorder="1" applyAlignment="1">
      <alignment vertical="center"/>
    </xf>
    <xf numFmtId="3" fontId="10" fillId="0" borderId="0" xfId="0" applyNumberFormat="1" applyFont="1"/>
    <xf numFmtId="0" fontId="10" fillId="0" borderId="5" xfId="0" applyFont="1" applyBorder="1" applyAlignment="1">
      <alignment vertical="center"/>
    </xf>
    <xf numFmtId="0" fontId="13" fillId="0" borderId="5" xfId="0" applyFont="1" applyBorder="1" applyAlignment="1">
      <alignment horizontal="center" vertical="center"/>
    </xf>
    <xf numFmtId="0" fontId="13" fillId="0" borderId="5" xfId="0" applyFont="1" applyBorder="1" applyAlignment="1">
      <alignment vertical="center"/>
    </xf>
    <xf numFmtId="0" fontId="13" fillId="0" borderId="5" xfId="0" applyFont="1" applyBorder="1" applyAlignment="1">
      <alignment vertical="center" shrinkToFit="1"/>
    </xf>
    <xf numFmtId="174" fontId="10" fillId="0" borderId="0" xfId="0" applyNumberFormat="1" applyFont="1"/>
    <xf numFmtId="0" fontId="10" fillId="0" borderId="5" xfId="0" applyFont="1" applyBorder="1" applyAlignment="1">
      <alignment vertical="center" wrapText="1"/>
    </xf>
    <xf numFmtId="0" fontId="10" fillId="0" borderId="0" xfId="0" applyFont="1" applyAlignment="1">
      <alignment vertical="center" wrapText="1"/>
    </xf>
    <xf numFmtId="3" fontId="13" fillId="0" borderId="0" xfId="0" applyNumberFormat="1" applyFont="1" applyAlignment="1">
      <alignment vertical="center" wrapText="1"/>
    </xf>
    <xf numFmtId="0" fontId="13" fillId="0" borderId="0" xfId="0" applyFont="1" applyAlignment="1">
      <alignment vertical="center" wrapText="1"/>
    </xf>
    <xf numFmtId="38" fontId="10" fillId="0" borderId="0" xfId="0" applyNumberFormat="1" applyFont="1" applyAlignment="1">
      <alignment vertical="center" wrapText="1"/>
    </xf>
    <xf numFmtId="3" fontId="6" fillId="0" borderId="0" xfId="0" applyNumberFormat="1" applyFont="1" applyAlignment="1">
      <alignment vertical="center" wrapText="1"/>
    </xf>
    <xf numFmtId="3" fontId="10" fillId="0" borderId="5" xfId="0" applyNumberFormat="1" applyFont="1" applyBorder="1" applyAlignment="1">
      <alignment vertical="center" wrapText="1"/>
    </xf>
    <xf numFmtId="0" fontId="13" fillId="0" borderId="8" xfId="0" applyFont="1" applyBorder="1" applyAlignment="1">
      <alignment horizontal="center" vertical="center"/>
    </xf>
    <xf numFmtId="0" fontId="6" fillId="0" borderId="5" xfId="0" applyFont="1" applyBorder="1" applyAlignment="1">
      <alignment vertical="center"/>
    </xf>
    <xf numFmtId="0" fontId="7" fillId="0" borderId="5" xfId="0" applyFont="1" applyBorder="1" applyAlignment="1">
      <alignment vertical="center"/>
    </xf>
    <xf numFmtId="0" fontId="13" fillId="0" borderId="5" xfId="0" applyFont="1" applyBorder="1" applyAlignment="1">
      <alignment horizontal="center" vertical="center" wrapText="1"/>
    </xf>
    <xf numFmtId="0" fontId="13" fillId="0" borderId="5" xfId="0" applyFont="1" applyBorder="1" applyAlignment="1">
      <alignment vertical="center" wrapText="1"/>
    </xf>
    <xf numFmtId="38" fontId="6" fillId="0" borderId="0" xfId="0" applyNumberFormat="1" applyFont="1"/>
    <xf numFmtId="3" fontId="6" fillId="0" borderId="0" xfId="21" applyNumberFormat="1" applyFont="1"/>
    <xf numFmtId="3" fontId="7" fillId="0" borderId="0" xfId="21" applyNumberFormat="1" applyFont="1"/>
    <xf numFmtId="0" fontId="7" fillId="0" borderId="0" xfId="21" applyFont="1"/>
    <xf numFmtId="3" fontId="7" fillId="0" borderId="0" xfId="21" applyNumberFormat="1" applyFont="1" applyAlignment="1">
      <alignment horizontal="center"/>
    </xf>
    <xf numFmtId="3" fontId="6" fillId="0" borderId="0" xfId="21" applyNumberFormat="1" applyFont="1" applyAlignment="1">
      <alignment horizontal="centerContinuous"/>
    </xf>
    <xf numFmtId="3" fontId="6" fillId="0" borderId="0" xfId="21" applyNumberFormat="1" applyFont="1" applyAlignment="1">
      <alignment horizontal="center" wrapText="1"/>
    </xf>
    <xf numFmtId="3" fontId="10" fillId="0" borderId="6" xfId="21" applyNumberFormat="1" applyFont="1" applyBorder="1" applyAlignment="1">
      <alignment vertical="center" wrapText="1"/>
    </xf>
    <xf numFmtId="3" fontId="10" fillId="0" borderId="5" xfId="21" applyNumberFormat="1" applyFont="1" applyBorder="1" applyAlignment="1">
      <alignment vertical="center" shrinkToFit="1"/>
    </xf>
    <xf numFmtId="3" fontId="7" fillId="0" borderId="5" xfId="21" applyNumberFormat="1" applyFont="1" applyBorder="1" applyAlignment="1">
      <alignment vertical="center" shrinkToFit="1"/>
    </xf>
    <xf numFmtId="3" fontId="6" fillId="0" borderId="5" xfId="21" applyNumberFormat="1" applyFont="1" applyBorder="1" applyAlignment="1">
      <alignment vertical="center" shrinkToFit="1"/>
    </xf>
    <xf numFmtId="3" fontId="6" fillId="0" borderId="9" xfId="21" applyNumberFormat="1" applyFont="1" applyBorder="1" applyAlignment="1">
      <alignment vertical="center" shrinkToFit="1"/>
    </xf>
    <xf numFmtId="3" fontId="10" fillId="0" borderId="0" xfId="21" applyNumberFormat="1" applyFont="1" applyAlignment="1">
      <alignment vertical="center"/>
    </xf>
    <xf numFmtId="3" fontId="7" fillId="0" borderId="0" xfId="21" applyNumberFormat="1" applyFont="1" applyAlignment="1">
      <alignment vertical="center"/>
    </xf>
    <xf numFmtId="3" fontId="6" fillId="0" borderId="0" xfId="21" applyNumberFormat="1" applyFont="1" applyAlignment="1">
      <alignment vertical="center"/>
    </xf>
    <xf numFmtId="3" fontId="14" fillId="0" borderId="0" xfId="21" applyNumberFormat="1" applyFont="1" applyAlignment="1">
      <alignment vertical="center"/>
    </xf>
    <xf numFmtId="3" fontId="10" fillId="0" borderId="5" xfId="21" applyNumberFormat="1" applyFont="1" applyBorder="1" applyAlignment="1">
      <alignment horizontal="center" vertical="center" shrinkToFit="1"/>
    </xf>
    <xf numFmtId="0" fontId="36" fillId="0" borderId="5" xfId="0" applyFont="1" applyBorder="1" applyAlignment="1">
      <alignment vertical="center"/>
    </xf>
    <xf numFmtId="0" fontId="23" fillId="0" borderId="5" xfId="0" applyFont="1" applyBorder="1" applyAlignment="1">
      <alignment vertical="center"/>
    </xf>
    <xf numFmtId="0" fontId="24" fillId="0" borderId="0" xfId="0" applyFont="1"/>
    <xf numFmtId="0" fontId="22" fillId="0" borderId="0" xfId="0" applyFont="1"/>
    <xf numFmtId="0" fontId="23" fillId="0" borderId="0" xfId="0" applyFont="1"/>
    <xf numFmtId="38" fontId="7" fillId="0" borderId="0" xfId="0" applyNumberFormat="1" applyFont="1"/>
    <xf numFmtId="0" fontId="10" fillId="0" borderId="0" xfId="0" applyFont="1" applyAlignment="1">
      <alignment horizontal="center" vertical="center" wrapText="1"/>
    </xf>
    <xf numFmtId="3" fontId="10" fillId="0" borderId="0" xfId="0" applyNumberFormat="1" applyFont="1" applyAlignment="1">
      <alignment vertical="center" shrinkToFit="1"/>
    </xf>
    <xf numFmtId="0" fontId="21" fillId="0" borderId="6" xfId="0" applyFont="1" applyBorder="1" applyAlignment="1">
      <alignment horizontal="center" shrinkToFit="1"/>
    </xf>
    <xf numFmtId="3" fontId="21" fillId="0" borderId="6" xfId="0" applyNumberFormat="1" applyFont="1" applyBorder="1" applyAlignment="1">
      <alignment vertical="center" shrinkToFit="1"/>
    </xf>
    <xf numFmtId="0" fontId="21" fillId="0" borderId="5" xfId="0" applyFont="1" applyBorder="1" applyAlignment="1">
      <alignment horizontal="center" vertical="center"/>
    </xf>
    <xf numFmtId="0" fontId="21" fillId="0" borderId="5" xfId="0" applyFont="1" applyBorder="1" applyAlignment="1">
      <alignment vertical="center"/>
    </xf>
    <xf numFmtId="0" fontId="11" fillId="0" borderId="5" xfId="0" applyFont="1" applyBorder="1" applyAlignment="1">
      <alignment horizontal="center" vertical="center" wrapText="1"/>
    </xf>
    <xf numFmtId="0" fontId="21" fillId="0" borderId="5" xfId="0" applyFont="1" applyBorder="1" applyAlignment="1">
      <alignment vertical="center" shrinkToFit="1"/>
    </xf>
    <xf numFmtId="0" fontId="21" fillId="0" borderId="5" xfId="0" applyFont="1" applyBorder="1" applyAlignment="1">
      <alignment horizontal="center" vertical="center" wrapText="1"/>
    </xf>
    <xf numFmtId="0" fontId="21" fillId="0" borderId="5" xfId="0" applyFont="1" applyBorder="1" applyAlignment="1">
      <alignment vertical="center" wrapText="1"/>
    </xf>
    <xf numFmtId="0" fontId="11" fillId="0" borderId="9" xfId="0" applyFont="1" applyBorder="1" applyAlignment="1">
      <alignment horizontal="center" vertical="center" wrapText="1"/>
    </xf>
    <xf numFmtId="3" fontId="11" fillId="0" borderId="9" xfId="0" applyNumberFormat="1" applyFont="1" applyBorder="1" applyAlignment="1">
      <alignment vertical="center" shrinkToFit="1"/>
    </xf>
    <xf numFmtId="0" fontId="11" fillId="0" borderId="9" xfId="0" applyFont="1" applyBorder="1" applyAlignment="1">
      <alignment vertical="center" wrapText="1"/>
    </xf>
    <xf numFmtId="3" fontId="12" fillId="0" borderId="8" xfId="0" applyNumberFormat="1" applyFont="1" applyBorder="1" applyAlignment="1">
      <alignment vertical="center" wrapText="1"/>
    </xf>
    <xf numFmtId="0" fontId="12" fillId="0" borderId="8" xfId="0" applyFont="1" applyBorder="1" applyAlignment="1">
      <alignment horizontal="center" vertical="center" wrapText="1"/>
    </xf>
    <xf numFmtId="0" fontId="7" fillId="0" borderId="4" xfId="0" applyFont="1" applyBorder="1" applyAlignment="1">
      <alignment shrinkToFit="1"/>
    </xf>
    <xf numFmtId="3" fontId="7" fillId="0" borderId="0" xfId="0" applyNumberFormat="1" applyFont="1" applyAlignment="1">
      <alignment horizontal="left"/>
    </xf>
    <xf numFmtId="3" fontId="10" fillId="0" borderId="6" xfId="0" applyNumberFormat="1" applyFont="1" applyBorder="1" applyAlignment="1">
      <alignment shrinkToFit="1"/>
    </xf>
    <xf numFmtId="3" fontId="10" fillId="0" borderId="6" xfId="0" applyNumberFormat="1" applyFont="1" applyBorder="1" applyAlignment="1">
      <alignment horizontal="right" shrinkToFit="1"/>
    </xf>
    <xf numFmtId="3" fontId="14" fillId="0" borderId="0" xfId="0" applyNumberFormat="1" applyFont="1"/>
    <xf numFmtId="3" fontId="10" fillId="0" borderId="5" xfId="0" applyNumberFormat="1" applyFont="1" applyBorder="1" applyAlignment="1">
      <alignment horizontal="right" shrinkToFit="1"/>
    </xf>
    <xf numFmtId="3" fontId="7" fillId="0" borderId="5" xfId="0" applyNumberFormat="1" applyFont="1" applyBorder="1" applyAlignment="1">
      <alignment horizontal="right" shrinkToFit="1"/>
    </xf>
    <xf numFmtId="3" fontId="23" fillId="0" borderId="5" xfId="0" applyNumberFormat="1" applyFont="1" applyBorder="1" applyAlignment="1">
      <alignment horizontal="center" shrinkToFit="1"/>
    </xf>
    <xf numFmtId="0" fontId="23" fillId="0" borderId="5" xfId="0" applyFont="1" applyBorder="1" applyAlignment="1">
      <alignment vertical="center" shrinkToFit="1"/>
    </xf>
    <xf numFmtId="3" fontId="23" fillId="0" borderId="5" xfId="0" applyNumberFormat="1" applyFont="1" applyBorder="1" applyAlignment="1">
      <alignment shrinkToFit="1"/>
    </xf>
    <xf numFmtId="3" fontId="23" fillId="0" borderId="0" xfId="0" applyNumberFormat="1" applyFont="1"/>
    <xf numFmtId="0" fontId="7" fillId="0" borderId="5" xfId="0" applyFont="1" applyBorder="1" applyAlignment="1">
      <alignment horizontal="center" shrinkToFit="1"/>
    </xf>
    <xf numFmtId="0" fontId="23" fillId="0" borderId="5" xfId="0" applyFont="1" applyBorder="1" applyAlignment="1">
      <alignment horizontal="center" shrinkToFit="1"/>
    </xf>
    <xf numFmtId="3" fontId="6" fillId="0" borderId="5" xfId="0" applyNumberFormat="1" applyFont="1" applyBorder="1" applyAlignment="1">
      <alignment horizontal="right" shrinkToFit="1"/>
    </xf>
    <xf numFmtId="3" fontId="10" fillId="0" borderId="5" xfId="0" applyNumberFormat="1" applyFont="1" applyBorder="1" applyAlignment="1">
      <alignment horizontal="right" vertical="center" shrinkToFit="1"/>
    </xf>
    <xf numFmtId="178" fontId="7" fillId="0" borderId="5" xfId="5" applyNumberFormat="1" applyFont="1" applyBorder="1" applyAlignment="1">
      <alignment vertical="center" wrapText="1"/>
    </xf>
    <xf numFmtId="3" fontId="7" fillId="0" borderId="5" xfId="0" applyNumberFormat="1" applyFont="1" applyBorder="1" applyAlignment="1">
      <alignment horizontal="right" vertical="center" shrinkToFit="1"/>
    </xf>
    <xf numFmtId="3" fontId="10" fillId="0" borderId="8" xfId="0" applyNumberFormat="1" applyFont="1" applyBorder="1" applyAlignment="1">
      <alignment shrinkToFit="1"/>
    </xf>
    <xf numFmtId="3" fontId="10" fillId="0" borderId="9" xfId="0" applyNumberFormat="1" applyFont="1" applyBorder="1" applyAlignment="1">
      <alignment horizontal="right" vertical="center" shrinkToFit="1"/>
    </xf>
    <xf numFmtId="3" fontId="144" fillId="0" borderId="4" xfId="15" applyNumberFormat="1" applyFont="1" applyBorder="1" applyAlignment="1">
      <alignment horizontal="center" vertical="center" wrapText="1"/>
    </xf>
    <xf numFmtId="3" fontId="10" fillId="0" borderId="6" xfId="0" applyNumberFormat="1" applyFont="1" applyBorder="1" applyAlignment="1">
      <alignment horizontal="center"/>
    </xf>
    <xf numFmtId="3" fontId="24" fillId="0" borderId="5" xfId="0" applyNumberFormat="1" applyFont="1" applyBorder="1" applyAlignment="1">
      <alignment horizontal="center"/>
    </xf>
    <xf numFmtId="3" fontId="24" fillId="0" borderId="5" xfId="0" applyNumberFormat="1" applyFont="1" applyBorder="1" applyAlignment="1">
      <alignment shrinkToFit="1"/>
    </xf>
    <xf numFmtId="174" fontId="145" fillId="0" borderId="5" xfId="0" applyNumberFormat="1" applyFont="1" applyBorder="1" applyAlignment="1">
      <alignment horizontal="center"/>
    </xf>
    <xf numFmtId="174" fontId="145" fillId="0" borderId="5" xfId="0" applyNumberFormat="1" applyFont="1" applyBorder="1" applyAlignment="1">
      <alignment vertical="center" wrapText="1" shrinkToFit="1"/>
    </xf>
    <xf numFmtId="3" fontId="23" fillId="0" borderId="5" xfId="0" applyNumberFormat="1" applyFont="1" applyBorder="1" applyAlignment="1">
      <alignment horizontal="center"/>
    </xf>
    <xf numFmtId="3" fontId="7" fillId="0" borderId="0" xfId="0" applyNumberFormat="1" applyFont="1" applyAlignment="1">
      <alignment horizontal="center" wrapText="1"/>
    </xf>
    <xf numFmtId="3" fontId="145" fillId="0" borderId="5" xfId="0" applyNumberFormat="1" applyFont="1" applyBorder="1" applyAlignment="1">
      <alignment horizontal="center"/>
    </xf>
    <xf numFmtId="3" fontId="145" fillId="0" borderId="5" xfId="0" applyNumberFormat="1" applyFont="1" applyBorder="1" applyAlignment="1">
      <alignment shrinkToFit="1"/>
    </xf>
    <xf numFmtId="174" fontId="1" fillId="0" borderId="8" xfId="0" applyNumberFormat="1" applyFont="1" applyBorder="1" applyAlignment="1">
      <alignment shrinkToFit="1"/>
    </xf>
    <xf numFmtId="0" fontId="6" fillId="0" borderId="11" xfId="0" applyFont="1" applyBorder="1" applyAlignment="1">
      <alignment horizontal="center" vertical="center" wrapText="1"/>
    </xf>
    <xf numFmtId="0" fontId="144" fillId="0" borderId="4" xfId="15" applyFont="1" applyBorder="1" applyAlignment="1">
      <alignment horizontal="center" vertical="center" wrapText="1"/>
    </xf>
    <xf numFmtId="0" fontId="7" fillId="0" borderId="8" xfId="0" applyFont="1" applyBorder="1" applyAlignment="1">
      <alignment horizontal="center" vertical="center"/>
    </xf>
    <xf numFmtId="174" fontId="7" fillId="0" borderId="5" xfId="0" applyNumberFormat="1" applyFont="1" applyBorder="1" applyAlignment="1">
      <alignment vertical="center" shrinkToFit="1"/>
    </xf>
    <xf numFmtId="0" fontId="7" fillId="0" borderId="30" xfId="0" applyFont="1" applyBorder="1" applyAlignment="1">
      <alignment vertical="center" shrinkToFit="1"/>
    </xf>
    <xf numFmtId="174" fontId="7" fillId="0" borderId="30" xfId="0" applyNumberFormat="1" applyFont="1" applyBorder="1" applyAlignment="1">
      <alignment horizontal="right" vertical="center" shrinkToFit="1"/>
    </xf>
    <xf numFmtId="0" fontId="6" fillId="0" borderId="4" xfId="0" applyFont="1" applyBorder="1" applyAlignment="1">
      <alignment horizontal="center" vertical="center" shrinkToFit="1"/>
    </xf>
    <xf numFmtId="0" fontId="7" fillId="0" borderId="5" xfId="0" applyFont="1" applyBorder="1" applyAlignment="1">
      <alignment shrinkToFit="1"/>
    </xf>
    <xf numFmtId="0" fontId="6" fillId="0" borderId="4" xfId="4" applyFont="1" applyBorder="1" applyAlignment="1">
      <alignment horizontal="center" vertical="center" wrapText="1" shrinkToFit="1"/>
    </xf>
    <xf numFmtId="168" fontId="21" fillId="0" borderId="5" xfId="4" applyNumberFormat="1" applyFont="1" applyBorder="1" applyAlignment="1">
      <alignment vertical="center"/>
    </xf>
    <xf numFmtId="0" fontId="21" fillId="0" borderId="5" xfId="4" applyFont="1" applyBorder="1" applyAlignment="1">
      <alignment vertical="center" wrapText="1"/>
    </xf>
    <xf numFmtId="0" fontId="12" fillId="0" borderId="5" xfId="4" applyFont="1" applyBorder="1" applyAlignment="1">
      <alignment vertical="center" wrapText="1"/>
    </xf>
    <xf numFmtId="168" fontId="12" fillId="0" borderId="5" xfId="4" applyNumberFormat="1" applyFont="1" applyBorder="1" applyAlignment="1">
      <alignment vertical="center" wrapText="1"/>
    </xf>
    <xf numFmtId="0" fontId="30" fillId="0" borderId="5" xfId="4" applyFont="1" applyBorder="1" applyAlignment="1">
      <alignment vertical="center" wrapText="1"/>
    </xf>
    <xf numFmtId="168" fontId="30" fillId="0" borderId="5" xfId="4" applyNumberFormat="1" applyFont="1" applyBorder="1" applyAlignment="1">
      <alignment vertical="center" wrapText="1"/>
    </xf>
    <xf numFmtId="0" fontId="11" fillId="0" borderId="5" xfId="4" applyFont="1" applyBorder="1" applyAlignment="1">
      <alignment horizontal="center" vertical="center" shrinkToFit="1"/>
    </xf>
    <xf numFmtId="0" fontId="11" fillId="0" borderId="5" xfId="4" applyFont="1" applyBorder="1" applyAlignment="1">
      <alignment vertical="center" wrapText="1"/>
    </xf>
    <xf numFmtId="168" fontId="11" fillId="0" borderId="5" xfId="4" applyNumberFormat="1" applyFont="1" applyBorder="1" applyAlignment="1">
      <alignment vertical="center" wrapText="1"/>
    </xf>
    <xf numFmtId="168" fontId="21" fillId="0" borderId="5" xfId="4" applyNumberFormat="1" applyFont="1" applyBorder="1" applyAlignment="1">
      <alignment vertical="center" wrapText="1"/>
    </xf>
    <xf numFmtId="0" fontId="7" fillId="0" borderId="5" xfId="4" applyFont="1" applyBorder="1" applyAlignment="1">
      <alignment horizontal="center" vertical="center" shrinkToFit="1"/>
    </xf>
    <xf numFmtId="0" fontId="7" fillId="0" borderId="5" xfId="4" applyFont="1" applyBorder="1" applyAlignment="1">
      <alignment vertical="center" wrapText="1"/>
    </xf>
    <xf numFmtId="168" fontId="7" fillId="0" borderId="5" xfId="4" applyNumberFormat="1" applyFont="1" applyBorder="1" applyAlignment="1">
      <alignment vertical="center" wrapText="1"/>
    </xf>
    <xf numFmtId="0" fontId="6" fillId="0" borderId="5" xfId="4" applyFont="1" applyBorder="1" applyAlignment="1">
      <alignment vertical="center" wrapText="1"/>
    </xf>
    <xf numFmtId="168" fontId="6" fillId="0" borderId="5" xfId="4" applyNumberFormat="1" applyFont="1" applyBorder="1" applyAlignment="1">
      <alignment vertical="center" wrapText="1"/>
    </xf>
    <xf numFmtId="168" fontId="11" fillId="0" borderId="5" xfId="4" applyNumberFormat="1" applyFont="1" applyBorder="1" applyAlignment="1">
      <alignment vertical="center"/>
    </xf>
    <xf numFmtId="0" fontId="17" fillId="0" borderId="0" xfId="0" applyFont="1" applyAlignment="1">
      <alignment vertical="center"/>
    </xf>
    <xf numFmtId="0" fontId="10" fillId="0" borderId="6" xfId="4" applyFont="1" applyBorder="1" applyAlignment="1">
      <alignment horizontal="center" vertical="center" shrinkToFit="1"/>
    </xf>
    <xf numFmtId="168" fontId="10" fillId="0" borderId="6" xfId="4" applyNumberFormat="1" applyFont="1" applyBorder="1" applyAlignment="1">
      <alignment vertical="center"/>
    </xf>
    <xf numFmtId="0" fontId="10" fillId="0" borderId="5" xfId="4" applyFont="1" applyBorder="1" applyAlignment="1">
      <alignment horizontal="center" vertical="center" wrapText="1"/>
    </xf>
    <xf numFmtId="0" fontId="10" fillId="0" borderId="5" xfId="4" applyFont="1" applyBorder="1" applyAlignment="1">
      <alignment vertical="center" wrapText="1"/>
    </xf>
    <xf numFmtId="168" fontId="10" fillId="0" borderId="5" xfId="4" applyNumberFormat="1" applyFont="1" applyBorder="1" applyAlignment="1">
      <alignment vertical="center"/>
    </xf>
    <xf numFmtId="0" fontId="15" fillId="0" borderId="5" xfId="4" applyFont="1" applyBorder="1" applyAlignment="1">
      <alignment horizontal="center" vertical="center" wrapText="1"/>
    </xf>
    <xf numFmtId="0" fontId="13" fillId="0" borderId="5" xfId="4" applyFont="1" applyBorder="1" applyAlignment="1">
      <alignment vertical="center" wrapText="1"/>
    </xf>
    <xf numFmtId="0" fontId="10" fillId="0" borderId="5" xfId="4" applyFont="1" applyBorder="1" applyAlignment="1">
      <alignment horizontal="center" vertical="center" shrinkToFit="1"/>
    </xf>
    <xf numFmtId="168" fontId="7" fillId="0" borderId="5" xfId="4" applyNumberFormat="1" applyFont="1" applyBorder="1" applyAlignment="1">
      <alignment vertical="center"/>
    </xf>
    <xf numFmtId="168" fontId="13" fillId="0" borderId="5" xfId="4" applyNumberFormat="1" applyFont="1" applyBorder="1" applyAlignment="1">
      <alignment vertical="center" wrapText="1"/>
    </xf>
    <xf numFmtId="0" fontId="13" fillId="0" borderId="5" xfId="4" applyFont="1" applyBorder="1" applyAlignment="1">
      <alignment horizontal="center" vertical="center" shrinkToFit="1"/>
    </xf>
    <xf numFmtId="0" fontId="7" fillId="0" borderId="5" xfId="4" applyFont="1" applyBorder="1" applyAlignment="1">
      <alignment horizontal="center" vertical="center" wrapText="1"/>
    </xf>
    <xf numFmtId="3" fontId="7" fillId="0" borderId="5" xfId="4" applyNumberFormat="1" applyFont="1" applyBorder="1" applyAlignment="1">
      <alignment vertical="center" wrapText="1"/>
    </xf>
    <xf numFmtId="3" fontId="7" fillId="0" borderId="5" xfId="0" applyNumberFormat="1" applyFont="1" applyBorder="1" applyAlignment="1">
      <alignment vertical="center"/>
    </xf>
    <xf numFmtId="0" fontId="7" fillId="0" borderId="8" xfId="4" applyFont="1" applyBorder="1" applyAlignment="1">
      <alignment horizontal="center" vertical="center" wrapText="1"/>
    </xf>
    <xf numFmtId="0" fontId="7" fillId="0" borderId="8" xfId="4" applyFont="1" applyBorder="1" applyAlignment="1">
      <alignment vertical="center" wrapText="1"/>
    </xf>
    <xf numFmtId="3" fontId="7" fillId="0" borderId="8" xfId="0" applyNumberFormat="1" applyFont="1" applyBorder="1" applyAlignment="1">
      <alignment vertical="center"/>
    </xf>
    <xf numFmtId="0" fontId="10" fillId="0" borderId="6" xfId="4" applyFont="1" applyBorder="1" applyAlignment="1">
      <alignment horizontal="left" vertical="center" shrinkToFit="1"/>
    </xf>
    <xf numFmtId="0" fontId="6" fillId="0" borderId="29" xfId="0" applyFont="1" applyBorder="1" applyAlignment="1">
      <alignment horizontal="right"/>
    </xf>
    <xf numFmtId="0" fontId="55" fillId="0" borderId="5" xfId="0" applyFont="1" applyBorder="1" applyAlignment="1">
      <alignment vertical="center"/>
    </xf>
    <xf numFmtId="3" fontId="17" fillId="0" borderId="5" xfId="0" applyNumberFormat="1" applyFont="1" applyBorder="1" applyAlignment="1">
      <alignment vertical="center" shrinkToFit="1"/>
    </xf>
    <xf numFmtId="169" fontId="17" fillId="0" borderId="5" xfId="1" applyNumberFormat="1" applyFont="1" applyBorder="1" applyAlignment="1">
      <alignment vertical="center" shrinkToFit="1"/>
    </xf>
    <xf numFmtId="38" fontId="13" fillId="0" borderId="0" xfId="0" applyNumberFormat="1" applyFont="1"/>
    <xf numFmtId="9" fontId="13" fillId="0" borderId="0" xfId="2" applyFont="1" applyFill="1"/>
    <xf numFmtId="0" fontId="10" fillId="0" borderId="6" xfId="0" applyFont="1" applyBorder="1" applyAlignment="1">
      <alignment horizontal="center" shrinkToFit="1"/>
    </xf>
    <xf numFmtId="0" fontId="6" fillId="0" borderId="5" xfId="0" applyFont="1" applyBorder="1" applyAlignment="1">
      <alignment horizontal="center"/>
    </xf>
    <xf numFmtId="0" fontId="6" fillId="0" borderId="5" xfId="0" applyFont="1" applyBorder="1" applyAlignment="1">
      <alignment shrinkToFit="1"/>
    </xf>
    <xf numFmtId="0" fontId="6" fillId="0" borderId="5" xfId="0" applyFont="1" applyBorder="1"/>
    <xf numFmtId="49" fontId="7" fillId="0" borderId="5" xfId="0" applyNumberFormat="1" applyFont="1" applyBorder="1" applyAlignment="1">
      <alignment vertical="center" wrapText="1"/>
    </xf>
    <xf numFmtId="0" fontId="13" fillId="0" borderId="0" xfId="0" applyFont="1" applyAlignment="1">
      <alignment vertical="center"/>
    </xf>
    <xf numFmtId="9" fontId="13" fillId="0" borderId="0" xfId="2" applyFont="1" applyFill="1" applyAlignment="1">
      <alignment vertical="center"/>
    </xf>
    <xf numFmtId="38" fontId="6" fillId="0" borderId="0" xfId="14" applyNumberFormat="1" applyFont="1" applyFill="1" applyBorder="1"/>
    <xf numFmtId="169" fontId="6" fillId="0" borderId="0" xfId="0" applyNumberFormat="1" applyFont="1"/>
    <xf numFmtId="49" fontId="7" fillId="0" borderId="0" xfId="0" applyNumberFormat="1" applyFont="1"/>
    <xf numFmtId="38" fontId="7" fillId="0" borderId="0" xfId="14" applyNumberFormat="1" applyFont="1" applyFill="1" applyBorder="1"/>
    <xf numFmtId="49" fontId="7" fillId="0" borderId="0" xfId="0" applyNumberFormat="1" applyFont="1" applyAlignment="1">
      <alignment vertical="center"/>
    </xf>
    <xf numFmtId="0" fontId="13" fillId="0" borderId="0" xfId="0" applyFont="1" applyAlignment="1">
      <alignment horizontal="center"/>
    </xf>
    <xf numFmtId="49" fontId="13" fillId="0" borderId="0" xfId="0" applyNumberFormat="1" applyFont="1"/>
    <xf numFmtId="38" fontId="13" fillId="0" borderId="0" xfId="14" applyNumberFormat="1" applyFont="1" applyFill="1" applyBorder="1"/>
    <xf numFmtId="0" fontId="42" fillId="0" borderId="4" xfId="21" applyFont="1" applyBorder="1" applyAlignment="1">
      <alignment horizontal="center" vertical="center" wrapText="1"/>
    </xf>
    <xf numFmtId="0" fontId="142" fillId="0" borderId="0" xfId="15" applyFont="1"/>
    <xf numFmtId="0" fontId="146" fillId="0" borderId="4" xfId="15" applyFont="1" applyBorder="1"/>
    <xf numFmtId="0" fontId="0" fillId="0" borderId="0" xfId="0" applyAlignment="1">
      <alignment vertical="center"/>
    </xf>
    <xf numFmtId="9" fontId="1" fillId="0" borderId="6" xfId="0" applyNumberFormat="1" applyFont="1" applyBorder="1" applyAlignment="1">
      <alignment horizontal="right" vertical="center"/>
    </xf>
    <xf numFmtId="9" fontId="1" fillId="0" borderId="5" xfId="0" applyNumberFormat="1" applyFont="1" applyBorder="1" applyAlignment="1">
      <alignment horizontal="right" vertical="center"/>
    </xf>
    <xf numFmtId="9" fontId="1" fillId="0" borderId="8" xfId="0" applyNumberFormat="1" applyFont="1" applyBorder="1" applyAlignment="1">
      <alignment horizontal="right" vertical="center"/>
    </xf>
    <xf numFmtId="0" fontId="18" fillId="0" borderId="4" xfId="0" applyFont="1" applyBorder="1" applyAlignment="1">
      <alignment horizontal="center"/>
    </xf>
    <xf numFmtId="174" fontId="7" fillId="0" borderId="5" xfId="0" applyNumberFormat="1" applyFont="1" applyBorder="1" applyAlignment="1">
      <alignment horizontal="right" vertical="center" shrinkToFit="1"/>
    </xf>
    <xf numFmtId="0" fontId="6" fillId="0" borderId="11" xfId="0" applyFont="1" applyBorder="1" applyAlignment="1">
      <alignment vertical="center" wrapText="1"/>
    </xf>
    <xf numFmtId="9" fontId="6" fillId="0" borderId="11" xfId="2" applyFont="1" applyFill="1" applyBorder="1" applyAlignment="1">
      <alignment vertical="center" wrapText="1"/>
    </xf>
    <xf numFmtId="9" fontId="6" fillId="0" borderId="5" xfId="2" applyFont="1" applyFill="1" applyBorder="1" applyAlignment="1">
      <alignment vertical="center"/>
    </xf>
    <xf numFmtId="9" fontId="13" fillId="0" borderId="5" xfId="2" applyFont="1" applyFill="1" applyBorder="1" applyAlignment="1">
      <alignment vertical="center"/>
    </xf>
    <xf numFmtId="3" fontId="13" fillId="0" borderId="5" xfId="0" applyNumberFormat="1" applyFont="1" applyBorder="1" applyAlignment="1">
      <alignment vertical="center" wrapText="1" shrinkToFit="1"/>
    </xf>
    <xf numFmtId="0" fontId="29" fillId="0" borderId="0" xfId="0" applyFont="1"/>
    <xf numFmtId="38" fontId="6" fillId="0" borderId="5" xfId="0" applyNumberFormat="1" applyFont="1" applyBorder="1" applyAlignment="1">
      <alignment vertical="center"/>
    </xf>
    <xf numFmtId="38" fontId="13" fillId="0" borderId="5" xfId="0" applyNumberFormat="1" applyFont="1" applyBorder="1" applyAlignment="1">
      <alignment vertical="center"/>
    </xf>
    <xf numFmtId="3" fontId="13" fillId="0" borderId="8" xfId="0" applyNumberFormat="1" applyFont="1" applyBorder="1" applyAlignment="1">
      <alignment vertical="center" wrapText="1" shrinkToFit="1"/>
    </xf>
    <xf numFmtId="38" fontId="13" fillId="0" borderId="8" xfId="0" applyNumberFormat="1" applyFont="1" applyBorder="1" applyAlignment="1">
      <alignment vertical="center"/>
    </xf>
    <xf numFmtId="0" fontId="6" fillId="0" borderId="5" xfId="0" applyFont="1" applyBorder="1" applyAlignment="1">
      <alignment vertical="center" wrapText="1"/>
    </xf>
    <xf numFmtId="174" fontId="6" fillId="0" borderId="11" xfId="0" applyNumberFormat="1" applyFont="1" applyBorder="1" applyAlignment="1">
      <alignment vertical="center" shrinkToFit="1"/>
    </xf>
    <xf numFmtId="174" fontId="18" fillId="0" borderId="5" xfId="0" applyNumberFormat="1" applyFont="1" applyBorder="1" applyAlignment="1">
      <alignment vertical="center" shrinkToFit="1"/>
    </xf>
    <xf numFmtId="174" fontId="13" fillId="0" borderId="5" xfId="0" applyNumberFormat="1" applyFont="1" applyBorder="1" applyAlignment="1">
      <alignment vertical="center" shrinkToFit="1"/>
    </xf>
    <xf numFmtId="174" fontId="13" fillId="0" borderId="8" xfId="0" applyNumberFormat="1" applyFont="1" applyBorder="1" applyAlignment="1">
      <alignment vertical="center" shrinkToFit="1"/>
    </xf>
    <xf numFmtId="3" fontId="42" fillId="0" borderId="0" xfId="21" applyNumberFormat="1" applyFont="1" applyAlignment="1">
      <alignment horizontal="center"/>
    </xf>
    <xf numFmtId="0" fontId="6" fillId="0" borderId="6" xfId="0" applyFont="1" applyBorder="1" applyAlignment="1">
      <alignment horizontal="center" vertical="center" wrapText="1"/>
    </xf>
    <xf numFmtId="0" fontId="6" fillId="0" borderId="6" xfId="0" applyFont="1" applyBorder="1" applyAlignment="1">
      <alignment vertical="center" wrapText="1"/>
    </xf>
    <xf numFmtId="3" fontId="6" fillId="0" borderId="0" xfId="0" applyNumberFormat="1" applyFont="1" applyAlignment="1">
      <alignment horizontal="right" vertical="center"/>
    </xf>
    <xf numFmtId="9" fontId="6" fillId="0" borderId="5" xfId="2" applyFont="1" applyFill="1" applyBorder="1" applyAlignment="1">
      <alignment horizontal="right" vertical="center"/>
    </xf>
    <xf numFmtId="3" fontId="6" fillId="0" borderId="0" xfId="0" applyNumberFormat="1" applyFont="1" applyAlignment="1">
      <alignment horizontal="right" vertical="center" wrapText="1"/>
    </xf>
    <xf numFmtId="9" fontId="6" fillId="0" borderId="5" xfId="2" applyFont="1" applyFill="1" applyBorder="1" applyAlignment="1">
      <alignment horizontal="right" vertical="center" wrapText="1"/>
    </xf>
    <xf numFmtId="3" fontId="13" fillId="0" borderId="0" xfId="0" applyNumberFormat="1" applyFont="1" applyAlignment="1">
      <alignment horizontal="right" vertical="center"/>
    </xf>
    <xf numFmtId="9" fontId="13" fillId="0" borderId="5" xfId="2" applyFont="1" applyFill="1" applyBorder="1" applyAlignment="1">
      <alignment horizontal="right" vertical="center"/>
    </xf>
    <xf numFmtId="0" fontId="29" fillId="0" borderId="0" xfId="0" applyFont="1" applyAlignment="1">
      <alignment vertical="center"/>
    </xf>
    <xf numFmtId="9" fontId="29" fillId="0" borderId="9" xfId="2" applyFont="1" applyFill="1" applyBorder="1" applyAlignment="1">
      <alignment vertical="center"/>
    </xf>
    <xf numFmtId="9" fontId="6" fillId="0" borderId="8" xfId="2" applyFont="1" applyFill="1" applyBorder="1" applyAlignment="1">
      <alignment vertical="center"/>
    </xf>
    <xf numFmtId="0" fontId="142" fillId="0" borderId="4" xfId="15" applyFont="1" applyBorder="1" applyAlignment="1">
      <alignment vertical="center"/>
    </xf>
    <xf numFmtId="0" fontId="7" fillId="0" borderId="4" xfId="0" applyFont="1" applyBorder="1" applyAlignment="1">
      <alignment vertical="center" shrinkToFit="1"/>
    </xf>
    <xf numFmtId="38" fontId="9" fillId="0" borderId="0" xfId="0" applyNumberFormat="1" applyFont="1"/>
    <xf numFmtId="0" fontId="9" fillId="0" borderId="0" xfId="0" applyFont="1"/>
    <xf numFmtId="3" fontId="6" fillId="0" borderId="0" xfId="0" applyNumberFormat="1" applyFont="1" applyAlignment="1">
      <alignment horizontal="center"/>
    </xf>
    <xf numFmtId="3" fontId="6" fillId="0" borderId="4" xfId="0" applyNumberFormat="1" applyFont="1" applyBorder="1" applyAlignment="1">
      <alignment horizontal="center" vertical="center" shrinkToFit="1"/>
    </xf>
    <xf numFmtId="0" fontId="6" fillId="0" borderId="4" xfId="0" applyFont="1" applyBorder="1" applyAlignment="1">
      <alignment horizontal="center" vertical="center"/>
    </xf>
    <xf numFmtId="0" fontId="13" fillId="0" borderId="0" xfId="0" applyFont="1" applyAlignment="1">
      <alignment horizontal="center" vertical="center"/>
    </xf>
    <xf numFmtId="0" fontId="6" fillId="0" borderId="4" xfId="0" applyFont="1" applyBorder="1" applyAlignment="1">
      <alignment horizontal="center" vertical="center" wrapText="1" shrinkToFit="1"/>
    </xf>
    <xf numFmtId="0" fontId="17" fillId="0" borderId="0" xfId="0" applyFont="1"/>
    <xf numFmtId="0" fontId="147" fillId="0" borderId="0" xfId="0" applyFont="1" applyAlignment="1">
      <alignment horizontal="center" vertical="center"/>
    </xf>
    <xf numFmtId="0" fontId="148" fillId="0" borderId="0" xfId="0" applyFont="1" applyAlignment="1">
      <alignment horizontal="center" vertical="center"/>
    </xf>
    <xf numFmtId="174" fontId="6" fillId="0" borderId="6" xfId="0" applyNumberFormat="1" applyFont="1" applyBorder="1" applyAlignment="1">
      <alignment horizontal="right" vertical="center" wrapText="1"/>
    </xf>
    <xf numFmtId="174" fontId="6" fillId="0" borderId="5" xfId="0" applyNumberFormat="1" applyFont="1" applyBorder="1" applyAlignment="1">
      <alignment horizontal="right" vertical="center" wrapText="1"/>
    </xf>
    <xf numFmtId="174" fontId="7" fillId="0" borderId="5" xfId="1" applyNumberFormat="1" applyFont="1" applyFill="1" applyBorder="1" applyAlignment="1">
      <alignment horizontal="right" vertical="center" shrinkToFit="1"/>
    </xf>
    <xf numFmtId="174" fontId="7" fillId="0" borderId="5" xfId="14" applyNumberFormat="1" applyFont="1" applyFill="1" applyBorder="1" applyAlignment="1">
      <alignment horizontal="right" vertical="center" wrapText="1"/>
    </xf>
    <xf numFmtId="174" fontId="6" fillId="0" borderId="5" xfId="14" applyNumberFormat="1" applyFont="1" applyFill="1" applyBorder="1" applyAlignment="1">
      <alignment horizontal="right" vertical="center" wrapText="1"/>
    </xf>
    <xf numFmtId="174" fontId="7" fillId="0" borderId="5" xfId="1" applyNumberFormat="1" applyFont="1" applyBorder="1" applyAlignment="1">
      <alignment vertical="center" shrinkToFit="1"/>
    </xf>
    <xf numFmtId="174" fontId="38" fillId="0" borderId="5" xfId="1" applyNumberFormat="1" applyFont="1" applyFill="1" applyBorder="1" applyAlignment="1">
      <alignment horizontal="right" vertical="center" shrinkToFit="1"/>
    </xf>
    <xf numFmtId="174" fontId="7" fillId="0" borderId="5" xfId="1" applyNumberFormat="1" applyFont="1" applyFill="1" applyBorder="1" applyAlignment="1">
      <alignment horizontal="right" vertical="center" wrapText="1"/>
    </xf>
    <xf numFmtId="174" fontId="7" fillId="0" borderId="5" xfId="1" applyNumberFormat="1" applyFont="1" applyBorder="1" applyAlignment="1">
      <alignment horizontal="left" vertical="center" shrinkToFit="1"/>
    </xf>
    <xf numFmtId="174" fontId="17" fillId="0" borderId="5" xfId="1" applyNumberFormat="1" applyFont="1" applyFill="1" applyBorder="1" applyAlignment="1">
      <alignment horizontal="right" vertical="center" wrapText="1"/>
    </xf>
    <xf numFmtId="174" fontId="7" fillId="0" borderId="5" xfId="1" applyNumberFormat="1" applyFont="1" applyBorder="1" applyAlignment="1">
      <alignment horizontal="right" vertical="center" shrinkToFit="1"/>
    </xf>
    <xf numFmtId="0" fontId="6" fillId="0" borderId="19" xfId="0" applyFont="1" applyBorder="1" applyAlignment="1">
      <alignment horizontal="center" vertical="center" wrapText="1" shrinkToFit="1"/>
    </xf>
    <xf numFmtId="0" fontId="6" fillId="0" borderId="22" xfId="0" applyFont="1" applyBorder="1" applyAlignment="1">
      <alignment horizontal="center" vertical="center" wrapText="1" shrinkToFit="1"/>
    </xf>
    <xf numFmtId="0" fontId="6" fillId="0" borderId="49" xfId="0" applyFont="1" applyBorder="1" applyAlignment="1">
      <alignment horizontal="center" vertical="center" wrapText="1"/>
    </xf>
    <xf numFmtId="174" fontId="6" fillId="0" borderId="50" xfId="0" applyNumberFormat="1" applyFont="1" applyBorder="1" applyAlignment="1">
      <alignment horizontal="right" vertical="center" wrapText="1"/>
    </xf>
    <xf numFmtId="0" fontId="6" fillId="0" borderId="20" xfId="0" applyFont="1" applyBorder="1" applyAlignment="1">
      <alignment horizontal="center" vertical="center" wrapText="1"/>
    </xf>
    <xf numFmtId="174" fontId="6" fillId="0" borderId="21" xfId="0" applyNumberFormat="1" applyFont="1" applyBorder="1" applyAlignment="1">
      <alignment horizontal="right" vertical="center" wrapText="1"/>
    </xf>
    <xf numFmtId="174" fontId="7" fillId="0" borderId="21" xfId="1" applyNumberFormat="1" applyFont="1" applyFill="1" applyBorder="1" applyAlignment="1">
      <alignment horizontal="right" vertical="center" shrinkToFit="1"/>
    </xf>
    <xf numFmtId="174" fontId="6" fillId="0" borderId="21" xfId="14" applyNumberFormat="1" applyFont="1" applyFill="1" applyBorder="1" applyAlignment="1">
      <alignment horizontal="right" vertical="center" wrapText="1"/>
    </xf>
    <xf numFmtId="0" fontId="6" fillId="0" borderId="42" xfId="0" applyFont="1" applyBorder="1" applyAlignment="1">
      <alignment horizontal="center" vertical="center" wrapText="1"/>
    </xf>
    <xf numFmtId="174" fontId="7" fillId="0" borderId="43" xfId="14" applyNumberFormat="1" applyFont="1" applyFill="1" applyBorder="1" applyAlignment="1">
      <alignment horizontal="right" vertical="center" wrapText="1"/>
    </xf>
    <xf numFmtId="174" fontId="7" fillId="0" borderId="43" xfId="1" applyNumberFormat="1" applyFont="1" applyFill="1" applyBorder="1" applyAlignment="1">
      <alignment horizontal="right" vertical="center" shrinkToFit="1"/>
    </xf>
    <xf numFmtId="174" fontId="7" fillId="0" borderId="43" xfId="1" applyNumberFormat="1" applyFont="1" applyBorder="1" applyAlignment="1">
      <alignment vertical="center" shrinkToFit="1"/>
    </xf>
    <xf numFmtId="174" fontId="38" fillId="0" borderId="43" xfId="1" applyNumberFormat="1" applyFont="1" applyFill="1" applyBorder="1" applyAlignment="1">
      <alignment horizontal="right" vertical="center" shrinkToFit="1"/>
    </xf>
    <xf numFmtId="174" fontId="7" fillId="0" borderId="43" xfId="1" applyNumberFormat="1" applyFont="1" applyFill="1" applyBorder="1" applyAlignment="1">
      <alignment horizontal="right" vertical="center" wrapText="1"/>
    </xf>
    <xf numFmtId="174" fontId="7" fillId="0" borderId="57" xfId="1" applyNumberFormat="1" applyFont="1" applyFill="1" applyBorder="1" applyAlignment="1">
      <alignment horizontal="right" vertical="center" shrinkToFit="1"/>
    </xf>
    <xf numFmtId="174" fontId="7" fillId="0" borderId="21" xfId="14" applyNumberFormat="1" applyFont="1" applyFill="1" applyBorder="1" applyAlignment="1">
      <alignment horizontal="right" vertical="center" wrapText="1"/>
    </xf>
    <xf numFmtId="174" fontId="7" fillId="0" borderId="57" xfId="14" applyNumberFormat="1" applyFont="1" applyFill="1" applyBorder="1" applyAlignment="1">
      <alignment horizontal="right" vertical="center" wrapText="1"/>
    </xf>
    <xf numFmtId="174" fontId="6" fillId="0" borderId="49" xfId="0" applyNumberFormat="1" applyFont="1" applyBorder="1" applyAlignment="1">
      <alignment horizontal="right" vertical="center" wrapText="1"/>
    </xf>
    <xf numFmtId="174" fontId="6" fillId="0" borderId="20" xfId="0" applyNumberFormat="1" applyFont="1" applyBorder="1" applyAlignment="1">
      <alignment horizontal="right" vertical="center" wrapText="1"/>
    </xf>
    <xf numFmtId="174" fontId="7" fillId="0" borderId="20" xfId="14" applyNumberFormat="1" applyFont="1" applyFill="1" applyBorder="1" applyAlignment="1">
      <alignment horizontal="right" vertical="center" wrapText="1"/>
    </xf>
    <xf numFmtId="174" fontId="6" fillId="0" borderId="20" xfId="14" applyNumberFormat="1" applyFont="1" applyFill="1" applyBorder="1" applyAlignment="1">
      <alignment horizontal="right" vertical="center" wrapText="1"/>
    </xf>
    <xf numFmtId="174" fontId="7" fillId="0" borderId="42" xfId="14" applyNumberFormat="1" applyFont="1" applyFill="1" applyBorder="1" applyAlignment="1">
      <alignment horizontal="right" vertical="center" wrapText="1"/>
    </xf>
    <xf numFmtId="174" fontId="7" fillId="0" borderId="20" xfId="1" applyNumberFormat="1" applyFont="1" applyFill="1" applyBorder="1" applyAlignment="1">
      <alignment horizontal="right" vertical="center" shrinkToFit="1"/>
    </xf>
    <xf numFmtId="174" fontId="7" fillId="0" borderId="42" xfId="1" applyNumberFormat="1" applyFont="1" applyFill="1" applyBorder="1" applyAlignment="1">
      <alignment horizontal="right" vertical="center" shrinkToFit="1"/>
    </xf>
    <xf numFmtId="174" fontId="7" fillId="0" borderId="0" xfId="0" applyNumberFormat="1" applyFont="1" applyAlignment="1">
      <alignment horizontal="center" vertical="center"/>
    </xf>
    <xf numFmtId="0" fontId="6" fillId="0" borderId="0" xfId="3" applyFont="1" applyAlignment="1">
      <alignment horizontal="centerContinuous" vertical="center"/>
    </xf>
    <xf numFmtId="0" fontId="7" fillId="0" borderId="0" xfId="3" applyFont="1" applyAlignment="1">
      <alignment horizontal="centerContinuous" vertical="center"/>
    </xf>
    <xf numFmtId="0" fontId="6" fillId="0" borderId="0" xfId="3" applyFont="1"/>
    <xf numFmtId="0" fontId="6" fillId="0" borderId="0" xfId="3" applyFont="1" applyAlignment="1">
      <alignment horizontal="centerContinuous"/>
    </xf>
    <xf numFmtId="168" fontId="6" fillId="0" borderId="0" xfId="3" applyNumberFormat="1" applyFont="1" applyAlignment="1">
      <alignment horizontal="centerContinuous"/>
    </xf>
    <xf numFmtId="0" fontId="6" fillId="0" borderId="0" xfId="3" applyFont="1" applyAlignment="1">
      <alignment horizontal="right"/>
    </xf>
    <xf numFmtId="0" fontId="13" fillId="0" borderId="0" xfId="3" applyFont="1" applyAlignment="1">
      <alignment vertical="center"/>
    </xf>
    <xf numFmtId="0" fontId="6" fillId="0" borderId="0" xfId="3" applyFont="1" applyAlignment="1">
      <alignment horizontal="center" vertical="center"/>
    </xf>
    <xf numFmtId="0" fontId="10" fillId="0" borderId="41" xfId="3" applyFont="1" applyBorder="1" applyAlignment="1">
      <alignment horizontal="center" vertical="center"/>
    </xf>
    <xf numFmtId="0" fontId="10" fillId="0" borderId="0" xfId="3" applyFont="1" applyAlignment="1">
      <alignment horizontal="center" vertical="center"/>
    </xf>
    <xf numFmtId="0" fontId="6" fillId="0" borderId="20" xfId="3" applyFont="1" applyBorder="1" applyAlignment="1">
      <alignment horizontal="center" vertical="center"/>
    </xf>
    <xf numFmtId="0" fontId="13" fillId="0" borderId="20" xfId="3" applyFont="1" applyBorder="1" applyAlignment="1">
      <alignment horizontal="center" vertical="center"/>
    </xf>
    <xf numFmtId="0" fontId="13" fillId="0" borderId="0" xfId="3" applyFont="1" applyAlignment="1">
      <alignment horizontal="center" vertical="center"/>
    </xf>
    <xf numFmtId="0" fontId="12" fillId="0" borderId="20" xfId="3" applyFont="1" applyBorder="1" applyAlignment="1">
      <alignment horizontal="center" vertical="center"/>
    </xf>
    <xf numFmtId="0" fontId="12" fillId="0" borderId="0" xfId="3" applyFont="1" applyAlignment="1">
      <alignment horizontal="center" vertical="center"/>
    </xf>
    <xf numFmtId="0" fontId="7" fillId="0" borderId="20" xfId="3" applyFont="1" applyBorder="1" applyAlignment="1">
      <alignment horizontal="center" vertical="center"/>
    </xf>
    <xf numFmtId="0" fontId="7" fillId="0" borderId="0" xfId="3" applyFont="1" applyAlignment="1">
      <alignment horizontal="center" vertical="center"/>
    </xf>
    <xf numFmtId="0" fontId="10" fillId="0" borderId="20" xfId="3" applyFont="1" applyBorder="1" applyAlignment="1">
      <alignment horizontal="center" vertical="center"/>
    </xf>
    <xf numFmtId="43" fontId="10" fillId="0" borderId="5" xfId="1" applyFont="1" applyFill="1" applyBorder="1" applyAlignment="1">
      <alignment vertical="center" shrinkToFit="1"/>
    </xf>
    <xf numFmtId="0" fontId="10" fillId="0" borderId="0" xfId="3" applyFont="1" applyAlignment="1">
      <alignment vertical="center"/>
    </xf>
    <xf numFmtId="0" fontId="10" fillId="0" borderId="5" xfId="3" applyFont="1" applyBorder="1" applyAlignment="1">
      <alignment vertical="center" shrinkToFit="1"/>
    </xf>
    <xf numFmtId="0" fontId="6" fillId="0" borderId="0" xfId="3" applyFont="1" applyAlignment="1">
      <alignment vertical="center"/>
    </xf>
    <xf numFmtId="0" fontId="29" fillId="0" borderId="20" xfId="3" applyFont="1" applyBorder="1" applyAlignment="1">
      <alignment horizontal="center" vertical="center"/>
    </xf>
    <xf numFmtId="0" fontId="13" fillId="0" borderId="5" xfId="3" quotePrefix="1" applyFont="1" applyBorder="1" applyAlignment="1">
      <alignment vertical="center" wrapText="1"/>
    </xf>
    <xf numFmtId="0" fontId="29" fillId="0" borderId="0" xfId="3" applyFont="1" applyAlignment="1">
      <alignment vertical="center"/>
    </xf>
    <xf numFmtId="168" fontId="7" fillId="0" borderId="5" xfId="0" applyNumberFormat="1" applyFont="1" applyBorder="1" applyAlignment="1">
      <alignment horizontal="right" vertical="center" shrinkToFit="1"/>
    </xf>
    <xf numFmtId="0" fontId="7" fillId="0" borderId="5" xfId="3" applyFont="1" applyBorder="1" applyAlignment="1">
      <alignment vertical="center" shrinkToFit="1"/>
    </xf>
    <xf numFmtId="0" fontId="10" fillId="0" borderId="42" xfId="3" applyFont="1" applyBorder="1" applyAlignment="1">
      <alignment horizontal="center" vertical="center"/>
    </xf>
    <xf numFmtId="0" fontId="10" fillId="0" borderId="43" xfId="3" applyFont="1" applyBorder="1" applyAlignment="1">
      <alignment vertical="center" shrinkToFit="1"/>
    </xf>
    <xf numFmtId="168" fontId="6" fillId="0" borderId="3" xfId="3" applyNumberFormat="1" applyFont="1" applyBorder="1" applyAlignment="1">
      <alignment horizontal="center" vertical="center" wrapText="1"/>
    </xf>
    <xf numFmtId="168" fontId="6" fillId="0" borderId="22" xfId="3" applyNumberFormat="1" applyFont="1" applyBorder="1" applyAlignment="1">
      <alignment horizontal="center" vertical="center" wrapText="1"/>
    </xf>
    <xf numFmtId="0" fontId="17" fillId="0" borderId="0" xfId="3" applyFont="1" applyAlignment="1">
      <alignment horizontal="center" vertical="center"/>
    </xf>
    <xf numFmtId="0" fontId="18" fillId="0" borderId="20" xfId="3" applyFont="1" applyBorder="1" applyAlignment="1">
      <alignment horizontal="center" vertical="center"/>
    </xf>
    <xf numFmtId="174" fontId="10" fillId="0" borderId="6" xfId="3" applyNumberFormat="1" applyFont="1" applyBorder="1" applyAlignment="1">
      <alignment vertical="center" shrinkToFit="1"/>
    </xf>
    <xf numFmtId="174" fontId="10" fillId="0" borderId="5" xfId="1" applyNumberFormat="1" applyFont="1" applyFill="1" applyBorder="1" applyAlignment="1">
      <alignment vertical="center" shrinkToFit="1"/>
    </xf>
    <xf numFmtId="174" fontId="10" fillId="0" borderId="21" xfId="3" applyNumberFormat="1" applyFont="1" applyBorder="1" applyAlignment="1">
      <alignment vertical="center" shrinkToFit="1"/>
    </xf>
    <xf numFmtId="174" fontId="10" fillId="0" borderId="49" xfId="3" applyNumberFormat="1" applyFont="1" applyBorder="1" applyAlignment="1">
      <alignment vertical="center" shrinkToFit="1"/>
    </xf>
    <xf numFmtId="174" fontId="6" fillId="0" borderId="5" xfId="3" applyNumberFormat="1" applyFont="1" applyBorder="1" applyAlignment="1">
      <alignment vertical="center" shrinkToFit="1"/>
    </xf>
    <xf numFmtId="174" fontId="6" fillId="0" borderId="5" xfId="1" applyNumberFormat="1" applyFont="1" applyFill="1" applyBorder="1" applyAlignment="1">
      <alignment vertical="center" shrinkToFit="1"/>
    </xf>
    <xf numFmtId="174" fontId="6" fillId="0" borderId="21" xfId="3" applyNumberFormat="1" applyFont="1" applyBorder="1" applyAlignment="1">
      <alignment vertical="center" shrinkToFit="1"/>
    </xf>
    <xf numFmtId="174" fontId="6" fillId="0" borderId="20" xfId="3" applyNumberFormat="1" applyFont="1" applyBorder="1" applyAlignment="1">
      <alignment vertical="center" shrinkToFit="1"/>
    </xf>
    <xf numFmtId="174" fontId="13" fillId="0" borderId="5" xfId="3" applyNumberFormat="1" applyFont="1" applyBorder="1" applyAlignment="1">
      <alignment vertical="center" shrinkToFit="1"/>
    </xf>
    <xf numFmtId="174" fontId="13" fillId="0" borderId="5" xfId="1" applyNumberFormat="1" applyFont="1" applyFill="1" applyBorder="1" applyAlignment="1">
      <alignment vertical="center" shrinkToFit="1"/>
    </xf>
    <xf numFmtId="174" fontId="13" fillId="0" borderId="21" xfId="3" applyNumberFormat="1" applyFont="1" applyBorder="1" applyAlignment="1">
      <alignment vertical="center" shrinkToFit="1"/>
    </xf>
    <xf numFmtId="174" fontId="13" fillId="0" borderId="20" xfId="3" applyNumberFormat="1" applyFont="1" applyBorder="1" applyAlignment="1">
      <alignment vertical="center" shrinkToFit="1"/>
    </xf>
    <xf numFmtId="174" fontId="12" fillId="0" borderId="5" xfId="3" applyNumberFormat="1" applyFont="1" applyBorder="1" applyAlignment="1">
      <alignment vertical="center" shrinkToFit="1"/>
    </xf>
    <xf numFmtId="174" fontId="12" fillId="0" borderId="5" xfId="1" applyNumberFormat="1" applyFont="1" applyFill="1" applyBorder="1" applyAlignment="1">
      <alignment vertical="center" shrinkToFit="1"/>
    </xf>
    <xf numFmtId="174" fontId="12" fillId="0" borderId="21" xfId="3" applyNumberFormat="1" applyFont="1" applyBorder="1" applyAlignment="1">
      <alignment vertical="center" shrinkToFit="1"/>
    </xf>
    <xf numFmtId="174" fontId="12" fillId="0" borderId="20" xfId="3" applyNumberFormat="1" applyFont="1" applyBorder="1" applyAlignment="1">
      <alignment vertical="center" shrinkToFit="1"/>
    </xf>
    <xf numFmtId="174" fontId="7" fillId="0" borderId="5" xfId="3" applyNumberFormat="1" applyFont="1" applyBorder="1" applyAlignment="1">
      <alignment vertical="center" shrinkToFit="1"/>
    </xf>
    <xf numFmtId="174" fontId="7" fillId="0" borderId="5" xfId="1" applyNumberFormat="1" applyFont="1" applyFill="1" applyBorder="1" applyAlignment="1">
      <alignment vertical="center" shrinkToFit="1"/>
    </xf>
    <xf numFmtId="174" fontId="7" fillId="0" borderId="21" xfId="3" applyNumberFormat="1" applyFont="1" applyBorder="1" applyAlignment="1">
      <alignment vertical="center" shrinkToFit="1"/>
    </xf>
    <xf numFmtId="174" fontId="7" fillId="0" borderId="20" xfId="3" applyNumberFormat="1" applyFont="1" applyBorder="1" applyAlignment="1">
      <alignment vertical="center" shrinkToFit="1"/>
    </xf>
    <xf numFmtId="174" fontId="17" fillId="0" borderId="5" xfId="3" applyNumberFormat="1" applyFont="1" applyBorder="1" applyAlignment="1">
      <alignment vertical="center" shrinkToFit="1"/>
    </xf>
    <xf numFmtId="174" fontId="133" fillId="0" borderId="5" xfId="3" applyNumberFormat="1" applyFont="1" applyBorder="1" applyAlignment="1">
      <alignment vertical="center" shrinkToFit="1"/>
    </xf>
    <xf numFmtId="174" fontId="133" fillId="0" borderId="5" xfId="1" applyNumberFormat="1" applyFont="1" applyFill="1" applyBorder="1" applyAlignment="1">
      <alignment vertical="center" shrinkToFit="1"/>
    </xf>
    <xf numFmtId="174" fontId="133" fillId="0" borderId="21" xfId="3" applyNumberFormat="1" applyFont="1" applyBorder="1" applyAlignment="1">
      <alignment vertical="center" shrinkToFit="1"/>
    </xf>
    <xf numFmtId="174" fontId="17" fillId="0" borderId="20" xfId="3" applyNumberFormat="1" applyFont="1" applyBorder="1" applyAlignment="1">
      <alignment vertical="center" shrinkToFit="1"/>
    </xf>
    <xf numFmtId="174" fontId="17" fillId="0" borderId="5" xfId="1" applyNumberFormat="1" applyFont="1" applyFill="1" applyBorder="1" applyAlignment="1">
      <alignment vertical="center" shrinkToFit="1"/>
    </xf>
    <xf numFmtId="174" fontId="17" fillId="0" borderId="21" xfId="3" applyNumberFormat="1" applyFont="1" applyBorder="1" applyAlignment="1">
      <alignment vertical="center" shrinkToFit="1"/>
    </xf>
    <xf numFmtId="174" fontId="18" fillId="0" borderId="5" xfId="3" applyNumberFormat="1" applyFont="1" applyBorder="1" applyAlignment="1">
      <alignment vertical="center" shrinkToFit="1"/>
    </xf>
    <xf numFmtId="174" fontId="10" fillId="0" borderId="5" xfId="3" applyNumberFormat="1" applyFont="1" applyBorder="1" applyAlignment="1">
      <alignment vertical="center" shrinkToFit="1"/>
    </xf>
    <xf numFmtId="174" fontId="10" fillId="0" borderId="20" xfId="3" applyNumberFormat="1" applyFont="1" applyBorder="1" applyAlignment="1">
      <alignment vertical="center" shrinkToFit="1"/>
    </xf>
    <xf numFmtId="174" fontId="20" fillId="0" borderId="5" xfId="3" applyNumberFormat="1" applyFont="1" applyBorder="1" applyAlignment="1">
      <alignment vertical="center" shrinkToFit="1"/>
    </xf>
    <xf numFmtId="174" fontId="10" fillId="0" borderId="43" xfId="3" applyNumberFormat="1" applyFont="1" applyBorder="1" applyAlignment="1">
      <alignment vertical="center" shrinkToFit="1"/>
    </xf>
    <xf numFmtId="174" fontId="10" fillId="0" borderId="43" xfId="1" applyNumberFormat="1" applyFont="1" applyFill="1" applyBorder="1" applyAlignment="1">
      <alignment vertical="center" shrinkToFit="1"/>
    </xf>
    <xf numFmtId="174" fontId="10" fillId="0" borderId="57" xfId="3" applyNumberFormat="1" applyFont="1" applyBorder="1" applyAlignment="1">
      <alignment vertical="center" shrinkToFit="1"/>
    </xf>
    <xf numFmtId="174" fontId="10" fillId="0" borderId="42" xfId="3" applyNumberFormat="1" applyFont="1" applyBorder="1" applyAlignment="1">
      <alignment vertical="center" shrinkToFit="1"/>
    </xf>
    <xf numFmtId="174" fontId="20" fillId="0" borderId="43" xfId="3" applyNumberFormat="1" applyFont="1" applyBorder="1" applyAlignment="1">
      <alignment vertical="center" shrinkToFit="1"/>
    </xf>
    <xf numFmtId="43" fontId="7" fillId="0" borderId="0" xfId="1" applyFont="1"/>
    <xf numFmtId="3" fontId="6" fillId="0" borderId="29" xfId="0" applyNumberFormat="1" applyFont="1" applyBorder="1"/>
    <xf numFmtId="168" fontId="10" fillId="0" borderId="6" xfId="0" applyNumberFormat="1" applyFont="1" applyBorder="1" applyAlignment="1">
      <alignment horizontal="right" shrinkToFit="1"/>
    </xf>
    <xf numFmtId="3" fontId="15" fillId="0" borderId="5" xfId="0" applyNumberFormat="1" applyFont="1" applyBorder="1" applyAlignment="1">
      <alignment horizontal="center" shrinkToFit="1"/>
    </xf>
    <xf numFmtId="3" fontId="15" fillId="0" borderId="5" xfId="0" applyNumberFormat="1" applyFont="1" applyBorder="1" applyAlignment="1">
      <alignment shrinkToFit="1"/>
    </xf>
    <xf numFmtId="168" fontId="15" fillId="0" borderId="5" xfId="0" applyNumberFormat="1" applyFont="1" applyBorder="1" applyAlignment="1">
      <alignment horizontal="right" shrinkToFit="1"/>
    </xf>
    <xf numFmtId="3" fontId="15" fillId="0" borderId="0" xfId="0" applyNumberFormat="1" applyFont="1"/>
    <xf numFmtId="168" fontId="10" fillId="0" borderId="5" xfId="0" applyNumberFormat="1" applyFont="1" applyBorder="1" applyAlignment="1">
      <alignment horizontal="right" shrinkToFit="1"/>
    </xf>
    <xf numFmtId="168" fontId="7" fillId="0" borderId="5" xfId="0" applyNumberFormat="1" applyFont="1" applyBorder="1" applyAlignment="1">
      <alignment horizontal="right" shrinkToFit="1"/>
    </xf>
    <xf numFmtId="169" fontId="7" fillId="0" borderId="5" xfId="1" applyNumberFormat="1" applyFont="1" applyBorder="1" applyAlignment="1">
      <alignment horizontal="right" shrinkToFit="1"/>
    </xf>
    <xf numFmtId="169" fontId="10" fillId="0" borderId="5" xfId="1" applyNumberFormat="1" applyFont="1" applyBorder="1" applyAlignment="1">
      <alignment horizontal="right" shrinkToFit="1"/>
    </xf>
    <xf numFmtId="168" fontId="6" fillId="0" borderId="5" xfId="0" applyNumberFormat="1" applyFont="1" applyBorder="1" applyAlignment="1">
      <alignment horizontal="right" shrinkToFit="1"/>
    </xf>
    <xf numFmtId="169" fontId="150" fillId="0" borderId="5" xfId="1" applyNumberFormat="1" applyFont="1" applyBorder="1" applyAlignment="1">
      <alignment horizontal="right" shrinkToFit="1"/>
    </xf>
    <xf numFmtId="168" fontId="150" fillId="0" borderId="5" xfId="0" applyNumberFormat="1" applyFont="1" applyBorder="1" applyAlignment="1">
      <alignment horizontal="right" shrinkToFit="1"/>
    </xf>
    <xf numFmtId="3" fontId="150" fillId="0" borderId="0" xfId="0" applyNumberFormat="1" applyFont="1"/>
    <xf numFmtId="168" fontId="23" fillId="0" borderId="5" xfId="0" applyNumberFormat="1" applyFont="1" applyBorder="1" applyAlignment="1">
      <alignment horizontal="right" shrinkToFit="1"/>
    </xf>
    <xf numFmtId="169" fontId="23" fillId="0" borderId="5" xfId="1" applyNumberFormat="1" applyFont="1" applyBorder="1" applyAlignment="1">
      <alignment horizontal="right" shrinkToFit="1"/>
    </xf>
    <xf numFmtId="1" fontId="23" fillId="0" borderId="5" xfId="2" applyNumberFormat="1" applyFont="1" applyBorder="1" applyAlignment="1">
      <alignment horizontal="right" shrinkToFit="1"/>
    </xf>
    <xf numFmtId="172" fontId="23" fillId="0" borderId="5" xfId="2" applyNumberFormat="1" applyFont="1" applyBorder="1" applyAlignment="1">
      <alignment horizontal="right" shrinkToFit="1"/>
    </xf>
    <xf numFmtId="168" fontId="24" fillId="0" borderId="5" xfId="0" applyNumberFormat="1" applyFont="1" applyBorder="1" applyAlignment="1">
      <alignment horizontal="right" shrinkToFit="1"/>
    </xf>
    <xf numFmtId="168" fontId="10" fillId="0" borderId="8" xfId="0" applyNumberFormat="1" applyFont="1" applyBorder="1" applyAlignment="1">
      <alignment horizontal="right" shrinkToFit="1"/>
    </xf>
    <xf numFmtId="3" fontId="7" fillId="0" borderId="9" xfId="0" applyNumberFormat="1" applyFont="1" applyBorder="1" applyAlignment="1">
      <alignment horizontal="right" vertical="center" shrinkToFit="1"/>
    </xf>
    <xf numFmtId="174" fontId="10" fillId="0" borderId="36" xfId="3" applyNumberFormat="1" applyFont="1" applyBorder="1" applyAlignment="1">
      <alignment vertical="center" shrinkToFit="1"/>
    </xf>
    <xf numFmtId="174" fontId="6" fillId="0" borderId="16" xfId="3" applyNumberFormat="1" applyFont="1" applyBorder="1" applyAlignment="1">
      <alignment vertical="center" shrinkToFit="1"/>
    </xf>
    <xf numFmtId="174" fontId="13" fillId="0" borderId="16" xfId="3" applyNumberFormat="1" applyFont="1" applyBorder="1" applyAlignment="1">
      <alignment vertical="center" shrinkToFit="1"/>
    </xf>
    <xf numFmtId="174" fontId="12" fillId="0" borderId="16" xfId="3" applyNumberFormat="1" applyFont="1" applyBorder="1" applyAlignment="1">
      <alignment vertical="center" shrinkToFit="1"/>
    </xf>
    <xf numFmtId="174" fontId="7" fillId="0" borderId="16" xfId="3" applyNumberFormat="1" applyFont="1" applyBorder="1" applyAlignment="1">
      <alignment vertical="center" shrinkToFit="1"/>
    </xf>
    <xf numFmtId="174" fontId="17" fillId="0" borderId="16" xfId="3" applyNumberFormat="1" applyFont="1" applyBorder="1" applyAlignment="1">
      <alignment vertical="center" shrinkToFit="1"/>
    </xf>
    <xf numFmtId="174" fontId="10" fillId="0" borderId="16" xfId="3" applyNumberFormat="1" applyFont="1" applyBorder="1" applyAlignment="1">
      <alignment vertical="center" shrinkToFit="1"/>
    </xf>
    <xf numFmtId="174" fontId="10" fillId="0" borderId="92" xfId="3" applyNumberFormat="1" applyFont="1" applyBorder="1" applyAlignment="1">
      <alignment vertical="center" shrinkToFit="1"/>
    </xf>
    <xf numFmtId="49" fontId="6" fillId="0" borderId="4" xfId="0" applyNumberFormat="1" applyFont="1" applyBorder="1" applyAlignment="1">
      <alignment horizontal="center" vertical="center" wrapText="1"/>
    </xf>
    <xf numFmtId="0" fontId="7" fillId="0" borderId="8" xfId="0" applyFont="1" applyBorder="1" applyAlignment="1">
      <alignment shrinkToFit="1"/>
    </xf>
    <xf numFmtId="0" fontId="6" fillId="0" borderId="22" xfId="0" applyFont="1" applyBorder="1" applyAlignment="1">
      <alignment horizontal="center" vertical="center" shrinkToFit="1"/>
    </xf>
    <xf numFmtId="0" fontId="7" fillId="0" borderId="41" xfId="0" applyFont="1" applyBorder="1" applyAlignment="1">
      <alignment horizontal="center" vertical="center"/>
    </xf>
    <xf numFmtId="0" fontId="7" fillId="0" borderId="20" xfId="0" applyFont="1" applyBorder="1" applyAlignment="1">
      <alignment horizontal="center" vertical="center"/>
    </xf>
    <xf numFmtId="174" fontId="6" fillId="3" borderId="51" xfId="0" applyNumberFormat="1" applyFont="1" applyFill="1" applyBorder="1" applyAlignment="1">
      <alignment horizontal="right" vertical="center" shrinkToFit="1"/>
    </xf>
    <xf numFmtId="0" fontId="7" fillId="0" borderId="35" xfId="0" applyFont="1" applyBorder="1" applyAlignment="1">
      <alignment horizontal="center" vertical="center"/>
    </xf>
    <xf numFmtId="0" fontId="6" fillId="0" borderId="6" xfId="0" applyFont="1" applyBorder="1" applyAlignment="1">
      <alignment shrinkToFit="1"/>
    </xf>
    <xf numFmtId="0" fontId="13" fillId="0" borderId="6" xfId="0" applyFont="1" applyBorder="1" applyAlignment="1">
      <alignment horizontal="center" shrinkToFit="1"/>
    </xf>
    <xf numFmtId="3" fontId="6" fillId="0" borderId="6" xfId="0" applyNumberFormat="1" applyFont="1" applyBorder="1"/>
    <xf numFmtId="4" fontId="6" fillId="0" borderId="6" xfId="0" applyNumberFormat="1" applyFont="1" applyBorder="1" applyAlignment="1">
      <alignment horizontal="center"/>
    </xf>
    <xf numFmtId="0" fontId="13" fillId="0" borderId="5" xfId="0" applyFont="1" applyBorder="1" applyAlignment="1">
      <alignment horizontal="center" shrinkToFit="1"/>
    </xf>
    <xf numFmtId="3" fontId="6" fillId="0" borderId="5" xfId="0" applyNumberFormat="1" applyFont="1" applyBorder="1"/>
    <xf numFmtId="4" fontId="6" fillId="0" borderId="5" xfId="0" applyNumberFormat="1" applyFont="1" applyBorder="1" applyAlignment="1">
      <alignment horizontal="center"/>
    </xf>
    <xf numFmtId="3" fontId="7" fillId="0" borderId="5" xfId="0" applyNumberFormat="1" applyFont="1" applyBorder="1"/>
    <xf numFmtId="4" fontId="7" fillId="0" borderId="5" xfId="0" applyNumberFormat="1" applyFont="1" applyBorder="1" applyAlignment="1">
      <alignment horizontal="center"/>
    </xf>
    <xf numFmtId="3" fontId="17" fillId="0" borderId="5" xfId="0" applyNumberFormat="1" applyFont="1" applyBorder="1"/>
    <xf numFmtId="165" fontId="7" fillId="0" borderId="5" xfId="14" applyFont="1" applyBorder="1"/>
    <xf numFmtId="165" fontId="17" fillId="0" borderId="5" xfId="14" applyFont="1" applyBorder="1"/>
    <xf numFmtId="165" fontId="7" fillId="0" borderId="0" xfId="14" applyFont="1"/>
    <xf numFmtId="0" fontId="7" fillId="0" borderId="8" xfId="0" applyFont="1" applyBorder="1" applyAlignment="1">
      <alignment horizontal="center"/>
    </xf>
    <xf numFmtId="0" fontId="13" fillId="0" borderId="8" xfId="0" applyFont="1" applyBorder="1" applyAlignment="1">
      <alignment horizontal="center" shrinkToFit="1"/>
    </xf>
    <xf numFmtId="165" fontId="7" fillId="0" borderId="8" xfId="14" applyFont="1" applyBorder="1"/>
    <xf numFmtId="165" fontId="17" fillId="0" borderId="8" xfId="14" applyFont="1" applyBorder="1"/>
    <xf numFmtId="4" fontId="7" fillId="0" borderId="8" xfId="0" applyNumberFormat="1" applyFont="1" applyBorder="1" applyAlignment="1">
      <alignment horizontal="center"/>
    </xf>
    <xf numFmtId="0" fontId="149" fillId="0" borderId="4" xfId="15" applyFont="1" applyBorder="1" applyAlignment="1">
      <alignment horizontal="center" vertical="center"/>
    </xf>
    <xf numFmtId="49" fontId="42" fillId="0" borderId="5" xfId="19" applyNumberFormat="1" applyFont="1" applyBorder="1" applyAlignment="1">
      <alignment horizontal="center" vertical="center"/>
    </xf>
    <xf numFmtId="183" fontId="56" fillId="0" borderId="5" xfId="19" applyNumberFormat="1" applyFont="1" applyBorder="1" applyAlignment="1">
      <alignment vertical="center" shrinkToFit="1"/>
    </xf>
    <xf numFmtId="183" fontId="42" fillId="0" borderId="5" xfId="14" applyNumberFormat="1" applyFont="1" applyFill="1" applyBorder="1" applyAlignment="1">
      <alignment vertical="center" shrinkToFit="1"/>
    </xf>
    <xf numFmtId="49" fontId="56" fillId="0" borderId="5" xfId="19" applyNumberFormat="1" applyFont="1" applyBorder="1" applyAlignment="1">
      <alignment vertical="center" shrinkToFit="1"/>
    </xf>
    <xf numFmtId="179" fontId="56" fillId="0" borderId="5" xfId="14" applyNumberFormat="1" applyFont="1" applyBorder="1" applyAlignment="1">
      <alignment horizontal="right" shrinkToFit="1"/>
    </xf>
    <xf numFmtId="0" fontId="7" fillId="0" borderId="0" xfId="0" applyFont="1" applyAlignment="1">
      <alignment shrinkToFit="1"/>
    </xf>
    <xf numFmtId="169" fontId="6" fillId="0" borderId="0" xfId="1" applyNumberFormat="1" applyFont="1"/>
    <xf numFmtId="9" fontId="11" fillId="0" borderId="0" xfId="2" applyFont="1"/>
    <xf numFmtId="0" fontId="13" fillId="0" borderId="0" xfId="0" applyFont="1" applyAlignment="1">
      <alignment horizontal="center" vertical="center" wrapText="1"/>
    </xf>
    <xf numFmtId="0" fontId="7" fillId="0" borderId="5" xfId="0" applyFont="1" applyBorder="1"/>
    <xf numFmtId="0" fontId="7" fillId="0" borderId="8" xfId="0" applyFont="1" applyBorder="1"/>
    <xf numFmtId="9" fontId="7" fillId="0" borderId="0" xfId="2" applyFont="1" applyBorder="1" applyAlignment="1">
      <alignment horizontal="right"/>
    </xf>
    <xf numFmtId="3" fontId="10" fillId="0" borderId="5" xfId="1" applyNumberFormat="1" applyFont="1" applyBorder="1"/>
    <xf numFmtId="3" fontId="10" fillId="0" borderId="5" xfId="0" applyNumberFormat="1" applyFont="1" applyBorder="1" applyAlignment="1">
      <alignment horizontal="centerContinuous"/>
    </xf>
    <xf numFmtId="3" fontId="7" fillId="0" borderId="5" xfId="0" applyNumberFormat="1" applyFont="1" applyBorder="1" applyAlignment="1">
      <alignment horizontal="centerContinuous"/>
    </xf>
    <xf numFmtId="3" fontId="151" fillId="0" borderId="5" xfId="0" applyNumberFormat="1" applyFont="1" applyBorder="1" applyAlignment="1">
      <alignment horizontal="centerContinuous"/>
    </xf>
    <xf numFmtId="3" fontId="151" fillId="0" borderId="8" xfId="0" applyNumberFormat="1" applyFont="1" applyBorder="1" applyAlignment="1">
      <alignment horizontal="centerContinuous"/>
    </xf>
    <xf numFmtId="3" fontId="7" fillId="0" borderId="5" xfId="1" applyNumberFormat="1" applyFont="1" applyBorder="1"/>
    <xf numFmtId="3" fontId="6" fillId="0" borderId="5" xfId="1" applyNumberFormat="1" applyFont="1" applyBorder="1"/>
    <xf numFmtId="3" fontId="10" fillId="0" borderId="6" xfId="0" applyNumberFormat="1" applyFont="1" applyBorder="1"/>
    <xf numFmtId="49" fontId="10" fillId="0" borderId="107" xfId="0" applyNumberFormat="1" applyFont="1" applyBorder="1" applyAlignment="1">
      <alignment shrinkToFit="1"/>
    </xf>
    <xf numFmtId="3" fontId="7" fillId="0" borderId="8" xfId="1" applyNumberFormat="1" applyFont="1" applyBorder="1"/>
    <xf numFmtId="3" fontId="10" fillId="0" borderId="6" xfId="1" applyNumberFormat="1" applyFont="1" applyBorder="1"/>
    <xf numFmtId="3" fontId="13" fillId="0" borderId="5" xfId="0" applyNumberFormat="1" applyFont="1" applyBorder="1" applyAlignment="1">
      <alignment shrinkToFit="1"/>
    </xf>
    <xf numFmtId="3" fontId="10" fillId="0" borderId="5" xfId="0" applyNumberFormat="1" applyFont="1" applyBorder="1"/>
    <xf numFmtId="3" fontId="7" fillId="0" borderId="8" xfId="0" applyNumberFormat="1" applyFont="1" applyBorder="1"/>
    <xf numFmtId="3" fontId="10" fillId="0" borderId="5" xfId="0" applyNumberFormat="1" applyFont="1" applyBorder="1" applyAlignment="1">
      <alignment horizontal="center"/>
    </xf>
    <xf numFmtId="174" fontId="13" fillId="0" borderId="5" xfId="0" applyNumberFormat="1" applyFont="1" applyBorder="1" applyAlignment="1">
      <alignment horizontal="center"/>
    </xf>
    <xf numFmtId="168" fontId="133" fillId="0" borderId="5" xfId="0" applyNumberFormat="1" applyFont="1" applyBorder="1" applyAlignment="1">
      <alignment shrinkToFit="1"/>
    </xf>
    <xf numFmtId="3" fontId="7" fillId="0" borderId="5" xfId="0" applyNumberFormat="1" applyFont="1" applyBorder="1" applyAlignment="1">
      <alignment horizontal="center"/>
    </xf>
    <xf numFmtId="3" fontId="13" fillId="0" borderId="5" xfId="0" applyNumberFormat="1" applyFont="1" applyBorder="1" applyAlignment="1">
      <alignment horizontal="center"/>
    </xf>
    <xf numFmtId="3" fontId="10" fillId="0" borderId="8" xfId="0" applyNumberFormat="1" applyFont="1" applyBorder="1" applyAlignment="1">
      <alignment horizontal="center"/>
    </xf>
    <xf numFmtId="168" fontId="10" fillId="0" borderId="8" xfId="0" applyNumberFormat="1" applyFont="1" applyBorder="1" applyAlignment="1">
      <alignment shrinkToFit="1"/>
    </xf>
    <xf numFmtId="3" fontId="10" fillId="0" borderId="6" xfId="0" applyNumberFormat="1" applyFont="1" applyBorder="1" applyAlignment="1">
      <alignment horizontal="centerContinuous"/>
    </xf>
    <xf numFmtId="174" fontId="10" fillId="0" borderId="6" xfId="0" applyNumberFormat="1" applyFont="1" applyBorder="1" applyAlignment="1">
      <alignment shrinkToFit="1"/>
    </xf>
    <xf numFmtId="168" fontId="11" fillId="5" borderId="5" xfId="0" applyNumberFormat="1" applyFont="1" applyFill="1" applyBorder="1" applyAlignment="1">
      <alignment vertical="center" shrinkToFit="1"/>
    </xf>
    <xf numFmtId="168" fontId="12" fillId="5" borderId="5" xfId="0" applyNumberFormat="1" applyFont="1" applyFill="1" applyBorder="1" applyAlignment="1">
      <alignment vertical="center" shrinkToFit="1"/>
    </xf>
    <xf numFmtId="190" fontId="21" fillId="4" borderId="0" xfId="0" applyNumberFormat="1" applyFont="1" applyFill="1" applyAlignment="1">
      <alignment vertical="center" shrinkToFit="1"/>
    </xf>
    <xf numFmtId="3" fontId="18" fillId="0" borderId="0" xfId="0" applyNumberFormat="1" applyFont="1"/>
    <xf numFmtId="3" fontId="18" fillId="0" borderId="0" xfId="0" applyNumberFormat="1" applyFont="1" applyAlignment="1">
      <alignment shrinkToFit="1"/>
    </xf>
    <xf numFmtId="4" fontId="14" fillId="0" borderId="0" xfId="0" applyNumberFormat="1" applyFont="1"/>
    <xf numFmtId="188" fontId="14" fillId="0" borderId="0" xfId="0" applyNumberFormat="1" applyFont="1"/>
    <xf numFmtId="188" fontId="7" fillId="0" borderId="0" xfId="0" applyNumberFormat="1" applyFont="1" applyAlignment="1">
      <alignment shrinkToFit="1"/>
    </xf>
    <xf numFmtId="1" fontId="7" fillId="0" borderId="0" xfId="2" applyNumberFormat="1" applyFont="1" applyAlignment="1"/>
    <xf numFmtId="191" fontId="21" fillId="0" borderId="0" xfId="0" applyNumberFormat="1" applyFont="1" applyAlignment="1">
      <alignment vertical="center" shrinkToFit="1"/>
    </xf>
    <xf numFmtId="176" fontId="10" fillId="0" borderId="0" xfId="0" applyNumberFormat="1" applyFont="1" applyAlignment="1">
      <alignment shrinkToFit="1"/>
    </xf>
    <xf numFmtId="174" fontId="6" fillId="0" borderId="112" xfId="0" applyNumberFormat="1" applyFont="1" applyBorder="1" applyAlignment="1">
      <alignment vertical="center" shrinkToFit="1"/>
    </xf>
    <xf numFmtId="174" fontId="6" fillId="0" borderId="112" xfId="1" applyNumberFormat="1" applyFont="1" applyBorder="1" applyAlignment="1">
      <alignment vertical="center" shrinkToFit="1"/>
    </xf>
    <xf numFmtId="174" fontId="6" fillId="0" borderId="114" xfId="0" applyNumberFormat="1" applyFont="1" applyBorder="1" applyAlignment="1">
      <alignment vertical="center" shrinkToFit="1"/>
    </xf>
    <xf numFmtId="174" fontId="6" fillId="0" borderId="18" xfId="0" applyNumberFormat="1" applyFont="1" applyBorder="1" applyAlignment="1">
      <alignment vertical="center" shrinkToFit="1"/>
    </xf>
    <xf numFmtId="174" fontId="6" fillId="0" borderId="8" xfId="0" applyNumberFormat="1" applyFont="1" applyBorder="1" applyAlignment="1">
      <alignment vertical="center" shrinkToFit="1"/>
    </xf>
    <xf numFmtId="0" fontId="42" fillId="0" borderId="0" xfId="0" quotePrefix="1" applyFont="1"/>
    <xf numFmtId="3" fontId="137" fillId="0" borderId="102" xfId="15" applyNumberFormat="1" applyFont="1" applyBorder="1" applyAlignment="1">
      <alignment horizontal="center" vertical="center" shrinkToFit="1"/>
    </xf>
    <xf numFmtId="3" fontId="34" fillId="0" borderId="107" xfId="0" applyNumberFormat="1" applyFont="1" applyBorder="1" applyAlignment="1">
      <alignment horizontal="center" vertical="center" shrinkToFit="1"/>
    </xf>
    <xf numFmtId="0" fontId="12" fillId="0" borderId="15" xfId="0" applyFont="1" applyBorder="1" applyAlignment="1">
      <alignment horizontal="center" vertical="center"/>
    </xf>
    <xf numFmtId="3" fontId="6" fillId="0" borderId="3" xfId="0" applyNumberFormat="1" applyFont="1" applyBorder="1" applyAlignment="1">
      <alignment horizontal="center" vertical="center" wrapText="1"/>
    </xf>
    <xf numFmtId="0" fontId="6" fillId="0" borderId="3" xfId="0" applyFont="1" applyBorder="1" applyAlignment="1">
      <alignment horizontal="center" shrinkToFit="1"/>
    </xf>
    <xf numFmtId="168" fontId="10" fillId="0" borderId="18" xfId="0" applyNumberFormat="1" applyFont="1" applyBorder="1" applyAlignment="1">
      <alignment vertical="center" wrapText="1" shrinkToFit="1"/>
    </xf>
    <xf numFmtId="3" fontId="7" fillId="0" borderId="20" xfId="0" applyNumberFormat="1" applyFont="1" applyBorder="1" applyAlignment="1">
      <alignment horizontal="center" vertical="center" wrapText="1" shrinkToFit="1"/>
    </xf>
    <xf numFmtId="168" fontId="12" fillId="0" borderId="36" xfId="0" applyNumberFormat="1" applyFont="1" applyBorder="1" applyAlignment="1">
      <alignment vertical="center" shrinkToFit="1"/>
    </xf>
    <xf numFmtId="168" fontId="12" fillId="3" borderId="16" xfId="0" applyNumberFormat="1" applyFont="1" applyFill="1" applyBorder="1" applyAlignment="1">
      <alignment vertical="center" shrinkToFit="1"/>
    </xf>
    <xf numFmtId="168" fontId="12" fillId="0" borderId="113" xfId="0" applyNumberFormat="1" applyFont="1" applyBorder="1" applyAlignment="1">
      <alignment vertical="center" shrinkToFit="1"/>
    </xf>
    <xf numFmtId="0" fontId="12" fillId="0" borderId="124" xfId="0" applyFont="1" applyBorder="1" applyAlignment="1">
      <alignment horizontal="center"/>
    </xf>
    <xf numFmtId="0" fontId="0" fillId="0" borderId="128" xfId="0" applyBorder="1" applyAlignment="1">
      <alignment horizontal="center"/>
    </xf>
    <xf numFmtId="168" fontId="12" fillId="0" borderId="50" xfId="0" applyNumberFormat="1" applyFont="1" applyBorder="1" applyAlignment="1">
      <alignment vertical="center" shrinkToFit="1"/>
    </xf>
    <xf numFmtId="0" fontId="6" fillId="0" borderId="20" xfId="0" applyFont="1" applyBorder="1" applyAlignment="1">
      <alignment horizontal="center" vertical="center"/>
    </xf>
    <xf numFmtId="168" fontId="12" fillId="0" borderId="21" xfId="0" applyNumberFormat="1" applyFont="1" applyBorder="1" applyAlignment="1">
      <alignment vertical="center" shrinkToFit="1"/>
    </xf>
    <xf numFmtId="168" fontId="11" fillId="0" borderId="21" xfId="0" applyNumberFormat="1" applyFont="1" applyBorder="1" applyAlignment="1">
      <alignment vertical="center" shrinkToFit="1"/>
    </xf>
    <xf numFmtId="0" fontId="6" fillId="3" borderId="20" xfId="0" applyFont="1" applyFill="1" applyBorder="1" applyAlignment="1">
      <alignment horizontal="center" vertical="center"/>
    </xf>
    <xf numFmtId="168" fontId="12" fillId="3" borderId="21" xfId="0" applyNumberFormat="1" applyFont="1" applyFill="1" applyBorder="1" applyAlignment="1">
      <alignment vertical="center" shrinkToFit="1"/>
    </xf>
    <xf numFmtId="0" fontId="6" fillId="0" borderId="20" xfId="0" applyFont="1" applyBorder="1" applyAlignment="1">
      <alignment horizontal="center" vertical="center" shrinkToFit="1"/>
    </xf>
    <xf numFmtId="0" fontId="6" fillId="0" borderId="42" xfId="0" applyFont="1" applyBorder="1" applyAlignment="1">
      <alignment horizontal="center" vertical="center"/>
    </xf>
    <xf numFmtId="0" fontId="6" fillId="0" borderId="43" xfId="0" applyFont="1" applyBorder="1" applyAlignment="1">
      <alignment horizontal="center" vertical="center" shrinkToFit="1"/>
    </xf>
    <xf numFmtId="168" fontId="6" fillId="0" borderId="43" xfId="0" applyNumberFormat="1" applyFont="1" applyBorder="1" applyAlignment="1">
      <alignment vertical="center" shrinkToFit="1"/>
    </xf>
    <xf numFmtId="168" fontId="12" fillId="0" borderId="43" xfId="0" applyNumberFormat="1" applyFont="1" applyBorder="1" applyAlignment="1">
      <alignment vertical="center" shrinkToFit="1"/>
    </xf>
    <xf numFmtId="168" fontId="12" fillId="0" borderId="57" xfId="0" applyNumberFormat="1" applyFont="1" applyBorder="1" applyAlignment="1">
      <alignment vertical="center" shrinkToFit="1"/>
    </xf>
    <xf numFmtId="168" fontId="6" fillId="0" borderId="113" xfId="0" applyNumberFormat="1" applyFont="1" applyBorder="1" applyAlignment="1">
      <alignment vertical="center" shrinkToFit="1"/>
    </xf>
    <xf numFmtId="0" fontId="6" fillId="0" borderId="49" xfId="0" applyFont="1" applyBorder="1" applyAlignment="1">
      <alignment horizontal="center" vertical="center"/>
    </xf>
    <xf numFmtId="0" fontId="12" fillId="0" borderId="0" xfId="0" applyFont="1" applyAlignment="1">
      <alignment horizontal="right"/>
    </xf>
    <xf numFmtId="3" fontId="21" fillId="0" borderId="7" xfId="0" applyNumberFormat="1" applyFont="1" applyBorder="1" applyAlignment="1">
      <alignment vertical="center" wrapText="1"/>
    </xf>
    <xf numFmtId="168" fontId="42" fillId="0" borderId="21" xfId="0" applyNumberFormat="1" applyFont="1" applyBorder="1" applyAlignment="1">
      <alignment vertical="center" shrinkToFit="1"/>
    </xf>
    <xf numFmtId="168" fontId="1" fillId="0" borderId="21" xfId="0" applyNumberFormat="1" applyFont="1" applyBorder="1" applyAlignment="1">
      <alignment vertical="center" shrinkToFit="1"/>
    </xf>
    <xf numFmtId="168" fontId="42" fillId="0" borderId="43" xfId="0" applyNumberFormat="1" applyFont="1" applyBorder="1" applyAlignment="1">
      <alignment vertical="center" shrinkToFit="1"/>
    </xf>
    <xf numFmtId="168" fontId="42" fillId="0" borderId="57" xfId="0" applyNumberFormat="1" applyFont="1" applyBorder="1" applyAlignment="1">
      <alignment vertical="center" shrinkToFit="1"/>
    </xf>
    <xf numFmtId="0" fontId="42" fillId="0" borderId="15" xfId="0" applyFont="1" applyBorder="1" applyAlignment="1">
      <alignment horizontal="center" vertical="center"/>
    </xf>
    <xf numFmtId="168" fontId="42" fillId="0" borderId="36" xfId="0" applyNumberFormat="1" applyFont="1" applyBorder="1" applyAlignment="1">
      <alignment vertical="center" shrinkToFit="1"/>
    </xf>
    <xf numFmtId="168" fontId="42" fillId="2" borderId="16" xfId="0" applyNumberFormat="1" applyFont="1" applyFill="1" applyBorder="1" applyAlignment="1">
      <alignment vertical="center" shrinkToFit="1"/>
    </xf>
    <xf numFmtId="168" fontId="42" fillId="0" borderId="16" xfId="0" applyNumberFormat="1" applyFont="1" applyBorder="1" applyAlignment="1">
      <alignment vertical="center" shrinkToFit="1"/>
    </xf>
    <xf numFmtId="168" fontId="1" fillId="0" borderId="16" xfId="0" applyNumberFormat="1" applyFont="1" applyBorder="1" applyAlignment="1">
      <alignment vertical="center" shrinkToFit="1"/>
    </xf>
    <xf numFmtId="168" fontId="42" fillId="0" borderId="18" xfId="0" applyNumberFormat="1" applyFont="1" applyBorder="1" applyAlignment="1">
      <alignment vertical="center" shrinkToFit="1"/>
    </xf>
    <xf numFmtId="0" fontId="42" fillId="0" borderId="124" xfId="0" applyFont="1" applyBorder="1" applyAlignment="1">
      <alignment horizontal="center"/>
    </xf>
    <xf numFmtId="168" fontId="42" fillId="0" borderId="50" xfId="0" applyNumberFormat="1" applyFont="1" applyBorder="1" applyAlignment="1">
      <alignment vertical="center" shrinkToFit="1"/>
    </xf>
    <xf numFmtId="0" fontId="6" fillId="0" borderId="43" xfId="0" applyFont="1" applyBorder="1" applyAlignment="1">
      <alignment vertical="center" shrinkToFit="1"/>
    </xf>
    <xf numFmtId="0" fontId="42" fillId="0" borderId="0" xfId="0" applyFont="1" applyAlignment="1">
      <alignment vertical="center" wrapText="1"/>
    </xf>
    <xf numFmtId="169" fontId="7" fillId="0" borderId="5" xfId="1" applyNumberFormat="1" applyFont="1" applyBorder="1" applyAlignment="1">
      <alignment vertical="center" shrinkToFit="1"/>
    </xf>
    <xf numFmtId="174" fontId="7" fillId="0" borderId="5" xfId="1" applyNumberFormat="1" applyFont="1" applyBorder="1" applyAlignment="1">
      <alignment horizontal="center" vertical="center" shrinkToFit="1"/>
    </xf>
    <xf numFmtId="169" fontId="7" fillId="0" borderId="5" xfId="1" applyNumberFormat="1" applyFont="1" applyFill="1" applyBorder="1" applyAlignment="1">
      <alignment horizontal="right" vertical="center" shrinkToFit="1"/>
    </xf>
    <xf numFmtId="169" fontId="7" fillId="0" borderId="43" xfId="1" applyNumberFormat="1" applyFont="1" applyFill="1" applyBorder="1" applyAlignment="1">
      <alignment horizontal="right" vertical="center" shrinkToFit="1"/>
    </xf>
    <xf numFmtId="0" fontId="6" fillId="0" borderId="25" xfId="0" applyFont="1" applyBorder="1" applyAlignment="1">
      <alignment horizontal="center" vertical="center" wrapText="1"/>
    </xf>
    <xf numFmtId="0" fontId="6" fillId="0" borderId="24" xfId="0" applyFont="1" applyBorder="1" applyAlignment="1">
      <alignment horizontal="center" vertical="center" wrapText="1"/>
    </xf>
    <xf numFmtId="0" fontId="10" fillId="0" borderId="0" xfId="0" applyFont="1" applyAlignment="1">
      <alignment horizontal="right"/>
    </xf>
    <xf numFmtId="3" fontId="13" fillId="0" borderId="0" xfId="0" applyNumberFormat="1" applyFont="1" applyAlignment="1">
      <alignment vertical="center"/>
    </xf>
    <xf numFmtId="3" fontId="10" fillId="0" borderId="49" xfId="0" applyNumberFormat="1" applyFont="1" applyBorder="1" applyAlignment="1">
      <alignment horizontal="center" shrinkToFit="1"/>
    </xf>
    <xf numFmtId="3" fontId="10" fillId="0" borderId="20" xfId="0" applyNumberFormat="1" applyFont="1" applyBorder="1" applyAlignment="1">
      <alignment horizontal="center" shrinkToFit="1"/>
    </xf>
    <xf numFmtId="3" fontId="7" fillId="0" borderId="20" xfId="0" applyNumberFormat="1" applyFont="1" applyBorder="1" applyAlignment="1">
      <alignment horizontal="center" shrinkToFit="1"/>
    </xf>
    <xf numFmtId="3" fontId="6" fillId="0" borderId="20" xfId="0" applyNumberFormat="1" applyFont="1" applyBorder="1" applyAlignment="1">
      <alignment horizontal="center" shrinkToFit="1"/>
    </xf>
    <xf numFmtId="3" fontId="23" fillId="0" borderId="20" xfId="0" applyNumberFormat="1" applyFont="1" applyBorder="1" applyAlignment="1">
      <alignment horizontal="center" shrinkToFit="1"/>
    </xf>
    <xf numFmtId="0" fontId="7" fillId="0" borderId="20" xfId="0" applyFont="1" applyBorder="1" applyAlignment="1">
      <alignment horizontal="center" shrinkToFit="1"/>
    </xf>
    <xf numFmtId="0" fontId="23" fillId="0" borderId="20" xfId="0" applyFont="1" applyBorder="1" applyAlignment="1">
      <alignment horizontal="center" shrinkToFit="1"/>
    </xf>
    <xf numFmtId="3" fontId="43" fillId="0" borderId="30" xfId="0" applyNumberFormat="1" applyFont="1" applyBorder="1" applyAlignment="1">
      <alignment horizontal="centerContinuous"/>
    </xf>
    <xf numFmtId="3" fontId="43" fillId="0" borderId="30" xfId="0" applyNumberFormat="1" applyFont="1" applyBorder="1" applyAlignment="1">
      <alignment shrinkToFit="1"/>
    </xf>
    <xf numFmtId="174" fontId="43" fillId="0" borderId="30" xfId="0" applyNumberFormat="1" applyFont="1" applyBorder="1" applyAlignment="1">
      <alignment shrinkToFit="1"/>
    </xf>
    <xf numFmtId="3" fontId="10" fillId="0" borderId="50" xfId="0" applyNumberFormat="1" applyFont="1" applyBorder="1"/>
    <xf numFmtId="3" fontId="15" fillId="0" borderId="20" xfId="0" applyNumberFormat="1" applyFont="1" applyBorder="1" applyAlignment="1">
      <alignment horizontal="center" shrinkToFit="1"/>
    </xf>
    <xf numFmtId="3" fontId="15" fillId="0" borderId="21" xfId="0" applyNumberFormat="1" applyFont="1" applyBorder="1"/>
    <xf numFmtId="3" fontId="10" fillId="0" borderId="21" xfId="0" applyNumberFormat="1" applyFont="1" applyBorder="1"/>
    <xf numFmtId="3" fontId="7" fillId="0" borderId="21" xfId="0" applyNumberFormat="1" applyFont="1" applyBorder="1"/>
    <xf numFmtId="0" fontId="7" fillId="0" borderId="21" xfId="0" applyFont="1" applyBorder="1"/>
    <xf numFmtId="9" fontId="7" fillId="0" borderId="21" xfId="0" applyNumberFormat="1" applyFont="1" applyBorder="1"/>
    <xf numFmtId="3" fontId="10" fillId="0" borderId="20" xfId="0" applyNumberFormat="1" applyFont="1" applyBorder="1" applyAlignment="1">
      <alignment horizontal="center" vertical="center" shrinkToFit="1"/>
    </xf>
    <xf numFmtId="3" fontId="10" fillId="0" borderId="21" xfId="0" applyNumberFormat="1" applyFont="1" applyBorder="1" applyAlignment="1">
      <alignment vertical="center"/>
    </xf>
    <xf numFmtId="3" fontId="7" fillId="0" borderId="21" xfId="0" applyNumberFormat="1" applyFont="1" applyBorder="1" applyAlignment="1">
      <alignment vertical="center"/>
    </xf>
    <xf numFmtId="3" fontId="10" fillId="0" borderId="126" xfId="0" applyNumberFormat="1" applyFont="1" applyBorder="1" applyAlignment="1">
      <alignment horizontal="center" vertical="center" shrinkToFit="1"/>
    </xf>
    <xf numFmtId="3" fontId="10" fillId="0" borderId="51" xfId="0" applyNumberFormat="1" applyFont="1" applyBorder="1" applyAlignment="1">
      <alignment horizontal="center" vertical="center" shrinkToFit="1"/>
    </xf>
    <xf numFmtId="0" fontId="7" fillId="0" borderId="127" xfId="0" applyFont="1" applyBorder="1"/>
    <xf numFmtId="3" fontId="10" fillId="0" borderId="42" xfId="1" applyNumberFormat="1" applyFont="1" applyBorder="1" applyAlignment="1">
      <alignment horizontal="center" vertical="center" shrinkToFit="1"/>
    </xf>
    <xf numFmtId="3" fontId="10" fillId="0" borderId="43" xfId="1" applyNumberFormat="1" applyFont="1" applyBorder="1" applyAlignment="1">
      <alignment vertical="center" shrinkToFit="1"/>
    </xf>
    <xf numFmtId="3" fontId="10" fillId="0" borderId="57" xfId="0" applyNumberFormat="1" applyFont="1" applyBorder="1" applyAlignment="1">
      <alignment vertical="center"/>
    </xf>
    <xf numFmtId="3" fontId="10" fillId="0" borderId="7" xfId="0" applyNumberFormat="1" applyFont="1" applyBorder="1" applyAlignment="1">
      <alignment horizontal="center" vertical="center" shrinkToFit="1"/>
    </xf>
    <xf numFmtId="0" fontId="7" fillId="0" borderId="7" xfId="0" applyFont="1" applyBorder="1"/>
    <xf numFmtId="3" fontId="10" fillId="0" borderId="57" xfId="0" applyNumberFormat="1" applyFont="1" applyBorder="1"/>
    <xf numFmtId="178" fontId="7" fillId="0" borderId="5" xfId="5" applyNumberFormat="1" applyFont="1" applyBorder="1" applyAlignment="1">
      <alignment horizontal="justify" vertical="justify" wrapText="1"/>
    </xf>
    <xf numFmtId="0" fontId="7" fillId="0" borderId="5" xfId="3" applyFont="1" applyBorder="1" applyAlignment="1">
      <alignment horizontal="justify" vertical="justify" wrapText="1" shrinkToFit="1"/>
    </xf>
    <xf numFmtId="49" fontId="7" fillId="0" borderId="5" xfId="3" applyNumberFormat="1" applyFont="1" applyBorder="1" applyAlignment="1">
      <alignment horizontal="justify" vertical="justify" wrapText="1" shrinkToFit="1"/>
    </xf>
    <xf numFmtId="3" fontId="6" fillId="0" borderId="21" xfId="0" applyNumberFormat="1" applyFont="1" applyBorder="1" applyAlignment="1">
      <alignment vertical="center"/>
    </xf>
    <xf numFmtId="169" fontId="10" fillId="0" borderId="42" xfId="1" applyNumberFormat="1" applyFont="1" applyBorder="1" applyAlignment="1">
      <alignment horizontal="center" vertical="center" shrinkToFit="1"/>
    </xf>
    <xf numFmtId="169" fontId="10" fillId="0" borderId="43" xfId="1" applyNumberFormat="1" applyFont="1" applyBorder="1" applyAlignment="1">
      <alignment vertical="center" shrinkToFit="1"/>
    </xf>
    <xf numFmtId="3" fontId="6" fillId="0" borderId="57" xfId="0" applyNumberFormat="1" applyFont="1" applyBorder="1" applyAlignment="1">
      <alignment vertical="center"/>
    </xf>
    <xf numFmtId="3" fontId="13" fillId="0" borderId="21" xfId="0" applyNumberFormat="1" applyFont="1" applyBorder="1"/>
    <xf numFmtId="169" fontId="10" fillId="0" borderId="43" xfId="1" applyNumberFormat="1" applyFont="1" applyBorder="1" applyAlignment="1">
      <alignment horizontal="justify" vertical="justify" shrinkToFit="1"/>
    </xf>
    <xf numFmtId="3" fontId="7" fillId="0" borderId="7" xfId="0" applyNumberFormat="1" applyFont="1" applyBorder="1" applyAlignment="1">
      <alignment vertical="center"/>
    </xf>
    <xf numFmtId="3" fontId="6" fillId="0" borderId="21" xfId="1" applyNumberFormat="1" applyFont="1" applyBorder="1"/>
    <xf numFmtId="9" fontId="7" fillId="0" borderId="21" xfId="2" applyFont="1" applyBorder="1"/>
    <xf numFmtId="3" fontId="10" fillId="0" borderId="7" xfId="0" applyNumberFormat="1" applyFont="1" applyBorder="1" applyAlignment="1">
      <alignment horizontal="center" shrinkToFit="1"/>
    </xf>
    <xf numFmtId="3" fontId="10" fillId="0" borderId="21" xfId="1" applyNumberFormat="1" applyFont="1" applyBorder="1"/>
    <xf numFmtId="3" fontId="7" fillId="0" borderId="21" xfId="1" applyNumberFormat="1" applyFont="1" applyBorder="1"/>
    <xf numFmtId="3" fontId="7" fillId="0" borderId="21" xfId="1" applyNumberFormat="1" applyFont="1" applyBorder="1" applyAlignment="1">
      <alignment vertical="center"/>
    </xf>
    <xf numFmtId="169" fontId="10" fillId="0" borderId="42" xfId="1" applyNumberFormat="1" applyFont="1" applyBorder="1" applyAlignment="1">
      <alignment horizontal="center" shrinkToFit="1"/>
    </xf>
    <xf numFmtId="169" fontId="10" fillId="0" borderId="43" xfId="1" applyNumberFormat="1" applyFont="1" applyBorder="1" applyAlignment="1">
      <alignment shrinkToFit="1"/>
    </xf>
    <xf numFmtId="3" fontId="6" fillId="0" borderId="57" xfId="1" applyNumberFormat="1" applyFont="1" applyBorder="1"/>
    <xf numFmtId="174" fontId="17" fillId="0" borderId="0" xfId="0" applyNumberFormat="1" applyFont="1"/>
    <xf numFmtId="0" fontId="17" fillId="0" borderId="0" xfId="0" applyFont="1" applyAlignment="1">
      <alignment horizontal="left" vertical="center" wrapText="1"/>
    </xf>
    <xf numFmtId="174" fontId="18" fillId="0" borderId="0" xfId="0" applyNumberFormat="1" applyFont="1"/>
    <xf numFmtId="0" fontId="6" fillId="0" borderId="29" xfId="0" applyFont="1" applyBorder="1"/>
    <xf numFmtId="9" fontId="6" fillId="0" borderId="29" xfId="0" applyNumberFormat="1" applyFont="1" applyBorder="1" applyAlignment="1">
      <alignment horizontal="right"/>
    </xf>
    <xf numFmtId="0" fontId="18" fillId="0" borderId="4" xfId="0" applyFont="1" applyBorder="1" applyAlignment="1">
      <alignment horizontal="center" vertical="center"/>
    </xf>
    <xf numFmtId="0" fontId="10" fillId="0" borderId="6" xfId="0" applyFont="1" applyBorder="1" applyAlignment="1">
      <alignment horizontal="center" vertical="center" shrinkToFit="1"/>
    </xf>
    <xf numFmtId="0" fontId="10" fillId="0" borderId="6" xfId="0" applyFont="1" applyBorder="1" applyAlignment="1">
      <alignment vertical="center" shrinkToFit="1"/>
    </xf>
    <xf numFmtId="168" fontId="20" fillId="0" borderId="6" xfId="0" applyNumberFormat="1" applyFont="1" applyBorder="1" applyAlignment="1">
      <alignment vertical="center" shrinkToFit="1"/>
    </xf>
    <xf numFmtId="9" fontId="10" fillId="0" borderId="6" xfId="2" applyFont="1" applyFill="1" applyBorder="1" applyAlignment="1">
      <alignment vertical="center" shrinkToFit="1"/>
    </xf>
    <xf numFmtId="174" fontId="10" fillId="0" borderId="6" xfId="1" applyNumberFormat="1" applyFont="1" applyFill="1" applyBorder="1" applyAlignment="1">
      <alignment vertical="center" shrinkToFit="1"/>
    </xf>
    <xf numFmtId="0" fontId="10" fillId="0" borderId="30" xfId="0" applyFont="1" applyBorder="1" applyAlignment="1">
      <alignment horizontal="center" vertical="center" shrinkToFit="1"/>
    </xf>
    <xf numFmtId="0" fontId="10" fillId="0" borderId="30" xfId="0" applyFont="1" applyBorder="1" applyAlignment="1">
      <alignment vertical="center" shrinkToFit="1"/>
    </xf>
    <xf numFmtId="168" fontId="10" fillId="0" borderId="30" xfId="0" applyNumberFormat="1" applyFont="1" applyBorder="1" applyAlignment="1">
      <alignment vertical="center" shrinkToFit="1"/>
    </xf>
    <xf numFmtId="9" fontId="10" fillId="0" borderId="5" xfId="2" applyFont="1" applyFill="1" applyBorder="1" applyAlignment="1">
      <alignment vertical="center" shrinkToFit="1"/>
    </xf>
    <xf numFmtId="0" fontId="14" fillId="0" borderId="5" xfId="0" applyFont="1" applyBorder="1" applyAlignment="1">
      <alignment horizontal="center" vertical="center" shrinkToFit="1"/>
    </xf>
    <xf numFmtId="0" fontId="14" fillId="0" borderId="5" xfId="0" applyFont="1" applyBorder="1" applyAlignment="1">
      <alignment vertical="center" shrinkToFit="1"/>
    </xf>
    <xf numFmtId="168" fontId="14" fillId="0" borderId="5" xfId="0" applyNumberFormat="1" applyFont="1" applyBorder="1" applyAlignment="1">
      <alignment vertical="center" shrinkToFit="1"/>
    </xf>
    <xf numFmtId="168" fontId="28" fillId="0" borderId="5" xfId="0" applyNumberFormat="1" applyFont="1" applyBorder="1" applyAlignment="1">
      <alignment vertical="center" shrinkToFit="1"/>
    </xf>
    <xf numFmtId="9" fontId="14" fillId="0" borderId="5" xfId="2" applyFont="1" applyFill="1" applyBorder="1" applyAlignment="1">
      <alignment vertical="center" shrinkToFit="1"/>
    </xf>
    <xf numFmtId="174" fontId="14" fillId="0" borderId="5" xfId="1" applyNumberFormat="1" applyFont="1" applyFill="1" applyBorder="1" applyAlignment="1">
      <alignment vertical="center" shrinkToFit="1"/>
    </xf>
    <xf numFmtId="9" fontId="7" fillId="0" borderId="5" xfId="2" applyFont="1" applyFill="1" applyBorder="1" applyAlignment="1">
      <alignment vertical="center" shrinkToFit="1"/>
    </xf>
    <xf numFmtId="0" fontId="7" fillId="0" borderId="9" xfId="0" applyFont="1" applyBorder="1" applyAlignment="1">
      <alignment vertical="center" shrinkToFit="1"/>
    </xf>
    <xf numFmtId="9" fontId="14" fillId="0" borderId="8" xfId="2" applyFont="1" applyFill="1" applyBorder="1" applyAlignment="1">
      <alignment vertical="center" shrinkToFit="1"/>
    </xf>
    <xf numFmtId="174" fontId="14" fillId="0" borderId="8" xfId="1" applyNumberFormat="1" applyFont="1" applyFill="1" applyBorder="1" applyAlignment="1">
      <alignment vertical="center" shrinkToFit="1"/>
    </xf>
    <xf numFmtId="0" fontId="10" fillId="0" borderId="5" xfId="0" applyFont="1" applyBorder="1" applyAlignment="1">
      <alignment vertical="center" shrinkToFit="1"/>
    </xf>
    <xf numFmtId="168" fontId="25" fillId="0" borderId="5" xfId="0" applyNumberFormat="1" applyFont="1" applyBorder="1" applyAlignment="1">
      <alignment vertical="center" shrinkToFit="1"/>
    </xf>
    <xf numFmtId="168" fontId="15" fillId="0" borderId="5" xfId="0" applyNumberFormat="1" applyFont="1" applyBorder="1" applyAlignment="1">
      <alignment vertical="center" shrinkToFit="1"/>
    </xf>
    <xf numFmtId="49" fontId="7" fillId="0" borderId="5" xfId="0" applyNumberFormat="1" applyFont="1" applyBorder="1" applyAlignment="1">
      <alignment vertical="center" shrinkToFit="1"/>
    </xf>
    <xf numFmtId="49" fontId="6" fillId="0" borderId="5" xfId="0" applyNumberFormat="1" applyFont="1" applyBorder="1" applyAlignment="1">
      <alignment vertical="center" shrinkToFit="1"/>
    </xf>
    <xf numFmtId="49" fontId="10" fillId="0" borderId="5" xfId="0" applyNumberFormat="1" applyFont="1" applyBorder="1" applyAlignment="1">
      <alignment vertical="center" shrinkToFit="1"/>
    </xf>
    <xf numFmtId="49" fontId="10" fillId="0" borderId="8" xfId="0" applyNumberFormat="1" applyFont="1" applyBorder="1" applyAlignment="1">
      <alignment vertical="center" shrinkToFit="1"/>
    </xf>
    <xf numFmtId="168" fontId="14" fillId="0" borderId="8" xfId="0" applyNumberFormat="1" applyFont="1" applyBorder="1" applyAlignment="1">
      <alignment vertical="center" shrinkToFit="1"/>
    </xf>
    <xf numFmtId="38" fontId="7" fillId="0" borderId="0" xfId="0" applyNumberFormat="1" applyFont="1" applyAlignment="1">
      <alignment shrinkToFit="1"/>
    </xf>
    <xf numFmtId="9" fontId="7" fillId="0" borderId="0" xfId="2" applyFont="1" applyFill="1" applyAlignment="1">
      <alignment shrinkToFit="1"/>
    </xf>
    <xf numFmtId="10" fontId="7" fillId="0" borderId="0" xfId="2" applyNumberFormat="1" applyFont="1" applyFill="1" applyAlignment="1">
      <alignment shrinkToFit="1"/>
    </xf>
    <xf numFmtId="10" fontId="7" fillId="0" borderId="0" xfId="0" applyNumberFormat="1" applyFont="1" applyAlignment="1">
      <alignment shrinkToFit="1"/>
    </xf>
    <xf numFmtId="0" fontId="7" fillId="0" borderId="0" xfId="0" quotePrefix="1" applyFont="1" applyAlignment="1">
      <alignment horizontal="center"/>
    </xf>
    <xf numFmtId="0" fontId="10" fillId="0" borderId="0" xfId="0" applyFont="1" applyAlignment="1">
      <alignment vertical="center"/>
    </xf>
    <xf numFmtId="0" fontId="14" fillId="0" borderId="0" xfId="0" applyFont="1" applyAlignment="1">
      <alignment vertical="center"/>
    </xf>
    <xf numFmtId="3" fontId="14" fillId="0" borderId="5" xfId="0" applyNumberFormat="1" applyFont="1" applyBorder="1" applyAlignment="1">
      <alignment vertical="center"/>
    </xf>
    <xf numFmtId="0" fontId="7" fillId="0" borderId="9" xfId="0" applyFont="1" applyBorder="1" applyAlignment="1">
      <alignment horizontal="center" vertical="center" shrinkToFit="1"/>
    </xf>
    <xf numFmtId="0" fontId="10" fillId="0" borderId="5" xfId="0" applyFont="1" applyBorder="1" applyAlignment="1">
      <alignment horizontal="center" vertical="center" shrinkToFit="1"/>
    </xf>
    <xf numFmtId="0" fontId="6" fillId="0" borderId="5" xfId="0" applyFont="1" applyBorder="1" applyAlignment="1">
      <alignment horizontal="center" vertical="center" shrinkToFit="1"/>
    </xf>
    <xf numFmtId="0" fontId="10" fillId="0" borderId="8" xfId="0" applyFont="1" applyBorder="1" applyAlignment="1">
      <alignment horizontal="center" vertical="center" shrinkToFit="1"/>
    </xf>
    <xf numFmtId="0" fontId="6" fillId="0" borderId="22" xfId="3" applyFont="1" applyBorder="1" applyAlignment="1">
      <alignment horizontal="center" vertical="center"/>
    </xf>
    <xf numFmtId="0" fontId="6" fillId="0" borderId="4" xfId="3" applyFont="1" applyBorder="1" applyAlignment="1">
      <alignment horizontal="center" vertical="center"/>
    </xf>
    <xf numFmtId="168" fontId="6" fillId="0" borderId="4" xfId="3" applyNumberFormat="1" applyFont="1" applyBorder="1" applyAlignment="1">
      <alignment horizontal="center" vertical="center"/>
    </xf>
    <xf numFmtId="0" fontId="6" fillId="0" borderId="19" xfId="3" applyFont="1" applyBorder="1" applyAlignment="1">
      <alignment horizontal="center" vertical="center"/>
    </xf>
    <xf numFmtId="168" fontId="6" fillId="0" borderId="22" xfId="3" applyNumberFormat="1" applyFont="1" applyBorder="1" applyAlignment="1">
      <alignment horizontal="center" vertical="center"/>
    </xf>
    <xf numFmtId="168" fontId="6" fillId="0" borderId="3" xfId="3" applyNumberFormat="1" applyFont="1" applyBorder="1" applyAlignment="1">
      <alignment horizontal="center" vertical="center"/>
    </xf>
    <xf numFmtId="0" fontId="10" fillId="0" borderId="30" xfId="3" applyFont="1" applyBorder="1" applyAlignment="1">
      <alignment horizontal="justify" vertical="center" shrinkToFit="1"/>
    </xf>
    <xf numFmtId="0" fontId="6" fillId="0" borderId="30" xfId="3" applyFont="1" applyBorder="1" applyAlignment="1">
      <alignment horizontal="justify" vertical="center" shrinkToFit="1"/>
    </xf>
    <xf numFmtId="0" fontId="13" fillId="0" borderId="30" xfId="3" applyFont="1" applyBorder="1" applyAlignment="1">
      <alignment horizontal="justify" vertical="center" shrinkToFit="1"/>
    </xf>
    <xf numFmtId="0" fontId="12" fillId="0" borderId="5" xfId="3" applyFont="1" applyBorder="1" applyAlignment="1">
      <alignment horizontal="justify" vertical="center" shrinkToFit="1"/>
    </xf>
    <xf numFmtId="0" fontId="6" fillId="0" borderId="5" xfId="3" applyFont="1" applyBorder="1" applyAlignment="1">
      <alignment horizontal="justify" vertical="center" shrinkToFit="1"/>
    </xf>
    <xf numFmtId="178" fontId="7" fillId="0" borderId="5" xfId="5" applyNumberFormat="1" applyFont="1" applyBorder="1" applyAlignment="1">
      <alignment horizontal="justify" vertical="center" wrapText="1"/>
    </xf>
    <xf numFmtId="0" fontId="7" fillId="0" borderId="5" xfId="3" applyFont="1" applyBorder="1" applyAlignment="1">
      <alignment horizontal="justify" vertical="center" shrinkToFit="1"/>
    </xf>
    <xf numFmtId="49" fontId="7" fillId="0" borderId="5" xfId="3" applyNumberFormat="1" applyFont="1" applyBorder="1" applyAlignment="1">
      <alignment horizontal="justify" vertical="center" wrapText="1" shrinkToFit="1"/>
    </xf>
    <xf numFmtId="4" fontId="17" fillId="0" borderId="5" xfId="0" applyNumberFormat="1" applyFont="1" applyBorder="1" applyAlignment="1">
      <alignment horizontal="justify" vertical="center" shrinkToFit="1"/>
    </xf>
    <xf numFmtId="4" fontId="17" fillId="0" borderId="5" xfId="0" applyNumberFormat="1" applyFont="1" applyBorder="1" applyAlignment="1">
      <alignment horizontal="justify" vertical="center" wrapText="1" shrinkToFit="1"/>
    </xf>
    <xf numFmtId="0" fontId="6" fillId="0" borderId="5" xfId="0" applyFont="1" applyBorder="1" applyAlignment="1">
      <alignment horizontal="justify" vertical="justify" wrapText="1"/>
    </xf>
    <xf numFmtId="0" fontId="7" fillId="0" borderId="5" xfId="0" applyFont="1" applyBorder="1" applyAlignment="1">
      <alignment horizontal="justify" vertical="justify" wrapText="1"/>
    </xf>
    <xf numFmtId="0" fontId="7" fillId="0" borderId="43" xfId="0" applyFont="1" applyBorder="1" applyAlignment="1">
      <alignment horizontal="justify" vertical="justify" wrapText="1"/>
    </xf>
    <xf numFmtId="0" fontId="6" fillId="0" borderId="19" xfId="0" applyFont="1" applyBorder="1" applyAlignment="1">
      <alignment horizontal="center" vertical="center" shrinkToFit="1"/>
    </xf>
    <xf numFmtId="169" fontId="6" fillId="0" borderId="0" xfId="1" applyNumberFormat="1" applyFont="1" applyAlignment="1">
      <alignment shrinkToFit="1"/>
    </xf>
    <xf numFmtId="169" fontId="6" fillId="0" borderId="0" xfId="0" applyNumberFormat="1" applyFont="1" applyAlignment="1">
      <alignment shrinkToFit="1"/>
    </xf>
    <xf numFmtId="0" fontId="7" fillId="0" borderId="5" xfId="0" applyFont="1" applyBorder="1" applyAlignment="1">
      <alignment horizontal="justify" vertical="justify" wrapText="1" shrinkToFit="1"/>
    </xf>
    <xf numFmtId="0" fontId="6" fillId="0" borderId="5" xfId="0" applyFont="1" applyBorder="1" applyAlignment="1">
      <alignment horizontal="justify" vertical="justify" wrapText="1" shrinkToFit="1"/>
    </xf>
    <xf numFmtId="0" fontId="6" fillId="0" borderId="5" xfId="0" applyFont="1" applyBorder="1" applyAlignment="1">
      <alignment horizontal="justify" vertical="center" wrapText="1" shrinkToFit="1"/>
    </xf>
    <xf numFmtId="168" fontId="33" fillId="0" borderId="5" xfId="0" applyNumberFormat="1" applyFont="1" applyBorder="1" applyAlignment="1">
      <alignment vertical="center" shrinkToFit="1"/>
    </xf>
    <xf numFmtId="3" fontId="33" fillId="0" borderId="5" xfId="0" applyNumberFormat="1" applyFont="1" applyBorder="1" applyAlignment="1">
      <alignment vertical="center"/>
    </xf>
    <xf numFmtId="169" fontId="7" fillId="0" borderId="0" xfId="1" applyNumberFormat="1" applyFont="1" applyFill="1"/>
    <xf numFmtId="3" fontId="7" fillId="0" borderId="0" xfId="1" applyNumberFormat="1" applyFont="1" applyFill="1"/>
    <xf numFmtId="2" fontId="7" fillId="0" borderId="0" xfId="2" applyNumberFormat="1" applyFont="1" applyFill="1" applyAlignment="1">
      <alignment shrinkToFit="1"/>
    </xf>
    <xf numFmtId="2" fontId="7" fillId="0" borderId="0" xfId="0" applyNumberFormat="1" applyFont="1" applyAlignment="1">
      <alignment shrinkToFit="1"/>
    </xf>
    <xf numFmtId="174" fontId="7" fillId="0" borderId="0" xfId="3" applyNumberFormat="1" applyFont="1"/>
    <xf numFmtId="169" fontId="7" fillId="0" borderId="0" xfId="0" applyNumberFormat="1" applyFont="1" applyAlignment="1">
      <alignment shrinkToFit="1"/>
    </xf>
    <xf numFmtId="169" fontId="7" fillId="0" borderId="0" xfId="1" applyNumberFormat="1" applyFont="1" applyFill="1" applyAlignment="1">
      <alignment shrinkToFit="1"/>
    </xf>
    <xf numFmtId="3" fontId="6" fillId="0" borderId="29" xfId="0" applyNumberFormat="1" applyFont="1" applyBorder="1" applyAlignment="1">
      <alignment horizontal="center"/>
    </xf>
    <xf numFmtId="3" fontId="6" fillId="0" borderId="29" xfId="0" applyNumberFormat="1" applyFont="1" applyBorder="1" applyAlignment="1">
      <alignment horizontal="right"/>
    </xf>
    <xf numFmtId="168" fontId="18" fillId="0" borderId="5" xfId="0" applyNumberFormat="1" applyFont="1" applyBorder="1" applyAlignment="1">
      <alignment vertical="center" shrinkToFit="1"/>
    </xf>
    <xf numFmtId="183" fontId="42" fillId="0" borderId="0" xfId="19" applyNumberFormat="1" applyFont="1"/>
    <xf numFmtId="0" fontId="119" fillId="0" borderId="5" xfId="0" applyFont="1" applyBorder="1"/>
    <xf numFmtId="169" fontId="1" fillId="0" borderId="0" xfId="1" applyNumberFormat="1" applyFont="1"/>
    <xf numFmtId="169" fontId="42" fillId="0" borderId="0" xfId="1" applyNumberFormat="1" applyFont="1"/>
    <xf numFmtId="169" fontId="1" fillId="0" borderId="0" xfId="19" applyNumberFormat="1" applyFont="1"/>
    <xf numFmtId="168" fontId="17" fillId="4" borderId="5" xfId="0" applyNumberFormat="1" applyFont="1" applyFill="1" applyBorder="1" applyAlignment="1">
      <alignment vertical="center" shrinkToFit="1"/>
    </xf>
    <xf numFmtId="3" fontId="10" fillId="0" borderId="30" xfId="0" applyNumberFormat="1" applyFont="1" applyBorder="1" applyAlignment="1">
      <alignment vertical="center" shrinkToFit="1"/>
    </xf>
    <xf numFmtId="3" fontId="14" fillId="0" borderId="5" xfId="0" applyNumberFormat="1" applyFont="1" applyBorder="1" applyAlignment="1">
      <alignment vertical="center" shrinkToFit="1"/>
    </xf>
    <xf numFmtId="3" fontId="11" fillId="0" borderId="5" xfId="0" applyNumberFormat="1" applyFont="1" applyBorder="1" applyAlignment="1">
      <alignment vertical="center"/>
    </xf>
    <xf numFmtId="3" fontId="11" fillId="0" borderId="5" xfId="0" applyNumberFormat="1" applyFont="1" applyBorder="1" applyAlignment="1">
      <alignment horizontal="center" vertical="center" shrinkToFit="1"/>
    </xf>
    <xf numFmtId="3" fontId="33" fillId="0" borderId="0" xfId="0" applyNumberFormat="1" applyFont="1" applyAlignment="1">
      <alignment vertical="center"/>
    </xf>
    <xf numFmtId="0" fontId="17" fillId="0" borderId="20" xfId="3" applyFont="1" applyBorder="1" applyAlignment="1">
      <alignment horizontal="center" vertical="center"/>
    </xf>
    <xf numFmtId="3" fontId="7" fillId="0" borderId="91" xfId="0" applyNumberFormat="1" applyFont="1" applyBorder="1" applyAlignment="1">
      <alignment horizontal="center" vertical="center" wrapText="1" shrinkToFit="1"/>
    </xf>
    <xf numFmtId="178" fontId="7" fillId="0" borderId="9" xfId="5" applyNumberFormat="1" applyFont="1" applyBorder="1" applyAlignment="1">
      <alignment horizontal="justify" vertical="justify" wrapText="1"/>
    </xf>
    <xf numFmtId="174" fontId="7" fillId="0" borderId="0" xfId="0" applyNumberFormat="1" applyFont="1"/>
    <xf numFmtId="3" fontId="7" fillId="0" borderId="5" xfId="0" applyNumberFormat="1" applyFont="1" applyBorder="1" applyAlignment="1">
      <alignment horizontal="center" vertical="center"/>
    </xf>
    <xf numFmtId="3" fontId="151" fillId="0" borderId="5" xfId="0" applyNumberFormat="1" applyFont="1" applyBorder="1" applyAlignment="1">
      <alignment horizontal="center" vertical="center"/>
    </xf>
    <xf numFmtId="174" fontId="151" fillId="0" borderId="5" xfId="0" applyNumberFormat="1" applyFont="1" applyBorder="1" applyAlignment="1">
      <alignment vertical="center" shrinkToFit="1"/>
    </xf>
    <xf numFmtId="3" fontId="151" fillId="0" borderId="0" xfId="0" applyNumberFormat="1" applyFont="1" applyAlignment="1">
      <alignment vertical="center"/>
    </xf>
    <xf numFmtId="3" fontId="151" fillId="0" borderId="8" xfId="0" applyNumberFormat="1" applyFont="1" applyBorder="1" applyAlignment="1">
      <alignment horizontal="center" vertical="center"/>
    </xf>
    <xf numFmtId="3" fontId="151" fillId="0" borderId="8" xfId="0" applyNumberFormat="1" applyFont="1" applyBorder="1" applyAlignment="1">
      <alignment vertical="center" shrinkToFit="1"/>
    </xf>
    <xf numFmtId="174" fontId="151" fillId="0" borderId="8" xfId="0" applyNumberFormat="1" applyFont="1" applyBorder="1" applyAlignment="1">
      <alignment vertical="center" shrinkToFit="1"/>
    </xf>
    <xf numFmtId="169" fontId="10" fillId="0" borderId="57" xfId="1" applyNumberFormat="1" applyFont="1" applyBorder="1" applyAlignment="1">
      <alignment vertical="center"/>
    </xf>
    <xf numFmtId="3" fontId="7" fillId="0" borderId="8" xfId="0" applyNumberFormat="1" applyFont="1" applyBorder="1" applyAlignment="1">
      <alignment shrinkToFit="1"/>
    </xf>
    <xf numFmtId="174" fontId="7" fillId="0" borderId="8" xfId="0" applyNumberFormat="1" applyFont="1" applyBorder="1" applyAlignment="1">
      <alignment horizontal="right" vertical="center" shrinkToFit="1"/>
    </xf>
    <xf numFmtId="169" fontId="7" fillId="0" borderId="0" xfId="3" applyNumberFormat="1" applyFont="1"/>
    <xf numFmtId="168" fontId="1" fillId="0" borderId="6" xfId="0" applyNumberFormat="1" applyFont="1" applyBorder="1" applyAlignment="1">
      <alignment vertical="center" wrapText="1"/>
    </xf>
    <xf numFmtId="168" fontId="1" fillId="0" borderId="5" xfId="0" applyNumberFormat="1" applyFont="1" applyBorder="1" applyAlignment="1">
      <alignment vertical="center" wrapText="1"/>
    </xf>
    <xf numFmtId="0" fontId="10" fillId="0" borderId="91" xfId="3" applyFont="1" applyBorder="1" applyAlignment="1">
      <alignment horizontal="center" vertical="center"/>
    </xf>
    <xf numFmtId="0" fontId="10" fillId="0" borderId="9" xfId="3" applyFont="1" applyBorder="1" applyAlignment="1">
      <alignment vertical="center" shrinkToFit="1"/>
    </xf>
    <xf numFmtId="174" fontId="10" fillId="0" borderId="9" xfId="3" applyNumberFormat="1" applyFont="1" applyBorder="1" applyAlignment="1">
      <alignment vertical="center" shrinkToFit="1"/>
    </xf>
    <xf numFmtId="174" fontId="20" fillId="0" borderId="9" xfId="3" applyNumberFormat="1" applyFont="1" applyBorder="1" applyAlignment="1">
      <alignment vertical="center" shrinkToFit="1"/>
    </xf>
    <xf numFmtId="174" fontId="10" fillId="0" borderId="9" xfId="1" applyNumberFormat="1" applyFont="1" applyFill="1" applyBorder="1" applyAlignment="1">
      <alignment vertical="center" shrinkToFit="1"/>
    </xf>
    <xf numFmtId="174" fontId="10" fillId="0" borderId="76" xfId="3" applyNumberFormat="1" applyFont="1" applyBorder="1" applyAlignment="1">
      <alignment vertical="center" shrinkToFit="1"/>
    </xf>
    <xf numFmtId="174" fontId="10" fillId="0" borderId="91" xfId="3" applyNumberFormat="1" applyFont="1" applyBorder="1" applyAlignment="1">
      <alignment vertical="center" shrinkToFit="1"/>
    </xf>
    <xf numFmtId="174" fontId="10" fillId="0" borderId="17" xfId="3" applyNumberFormat="1" applyFont="1" applyBorder="1" applyAlignment="1">
      <alignment vertical="center" shrinkToFit="1"/>
    </xf>
    <xf numFmtId="0" fontId="7" fillId="0" borderId="0" xfId="3" applyFont="1" applyAlignment="1">
      <alignment shrinkToFit="1"/>
    </xf>
    <xf numFmtId="169" fontId="6" fillId="0" borderId="0" xfId="1" applyNumberFormat="1" applyFont="1" applyFill="1"/>
    <xf numFmtId="174" fontId="7" fillId="0" borderId="0" xfId="3" applyNumberFormat="1" applyFont="1" applyAlignment="1">
      <alignment vertical="center" shrinkToFit="1"/>
    </xf>
    <xf numFmtId="168" fontId="55" fillId="0" borderId="5" xfId="0" applyNumberFormat="1" applyFont="1" applyBorder="1" applyAlignment="1">
      <alignment vertical="center" wrapText="1" shrinkToFit="1"/>
    </xf>
    <xf numFmtId="3" fontId="7" fillId="0" borderId="0" xfId="2" applyNumberFormat="1" applyFont="1" applyFill="1"/>
    <xf numFmtId="174" fontId="6" fillId="0" borderId="0" xfId="3" applyNumberFormat="1" applyFont="1" applyAlignment="1">
      <alignment vertical="center" shrinkToFit="1"/>
    </xf>
    <xf numFmtId="174" fontId="10" fillId="2" borderId="5" xfId="3" applyNumberFormat="1" applyFont="1" applyFill="1" applyBorder="1" applyAlignment="1">
      <alignment vertical="center" shrinkToFit="1"/>
    </xf>
    <xf numFmtId="174" fontId="20" fillId="2" borderId="43" xfId="3" applyNumberFormat="1" applyFont="1" applyFill="1" applyBorder="1" applyAlignment="1">
      <alignment vertical="center" shrinkToFit="1"/>
    </xf>
    <xf numFmtId="174" fontId="10" fillId="2" borderId="43" xfId="3" applyNumberFormat="1" applyFont="1" applyFill="1" applyBorder="1" applyAlignment="1">
      <alignment vertical="center" shrinkToFit="1"/>
    </xf>
    <xf numFmtId="169" fontId="10" fillId="0" borderId="0" xfId="1" applyNumberFormat="1" applyFont="1"/>
    <xf numFmtId="169" fontId="10" fillId="0" borderId="0" xfId="1" applyNumberFormat="1" applyFont="1" applyAlignment="1">
      <alignment vertical="center" wrapText="1"/>
    </xf>
    <xf numFmtId="169" fontId="13" fillId="0" borderId="0" xfId="1" applyNumberFormat="1" applyFont="1" applyAlignment="1">
      <alignment vertical="center" wrapText="1"/>
    </xf>
    <xf numFmtId="3" fontId="1" fillId="0" borderId="5" xfId="1" applyNumberFormat="1" applyFont="1" applyBorder="1" applyAlignment="1">
      <alignment vertical="center" shrinkToFit="1"/>
    </xf>
    <xf numFmtId="3" fontId="47" fillId="0" borderId="5" xfId="1" applyNumberFormat="1" applyFont="1" applyBorder="1" applyAlignment="1">
      <alignment vertical="center" shrinkToFit="1"/>
    </xf>
    <xf numFmtId="3" fontId="47" fillId="0" borderId="8" xfId="1" applyNumberFormat="1" applyFont="1" applyBorder="1" applyAlignment="1">
      <alignment vertical="center" shrinkToFit="1"/>
    </xf>
    <xf numFmtId="3" fontId="1" fillId="0" borderId="0" xfId="1" applyNumberFormat="1" applyFont="1"/>
    <xf numFmtId="49" fontId="115" fillId="0" borderId="30" xfId="19" applyNumberFormat="1" applyFont="1" applyBorder="1" applyAlignment="1">
      <alignment horizontal="center" vertical="center"/>
    </xf>
    <xf numFmtId="0" fontId="115" fillId="0" borderId="30" xfId="0" applyFont="1" applyBorder="1" applyAlignment="1">
      <alignment vertical="center" shrinkToFit="1"/>
    </xf>
    <xf numFmtId="3" fontId="43" fillId="0" borderId="30" xfId="1" applyNumberFormat="1" applyFont="1" applyBorder="1" applyAlignment="1">
      <alignment vertical="center" shrinkToFit="1"/>
    </xf>
    <xf numFmtId="0" fontId="1" fillId="0" borderId="29" xfId="19" applyFont="1" applyBorder="1"/>
    <xf numFmtId="49" fontId="116" fillId="0" borderId="8" xfId="19" applyNumberFormat="1" applyFont="1" applyBorder="1" applyAlignment="1">
      <alignment horizontal="center" vertical="center"/>
    </xf>
    <xf numFmtId="0" fontId="116" fillId="0" borderId="8" xfId="0" applyFont="1" applyBorder="1" applyAlignment="1">
      <alignment vertical="center" shrinkToFit="1"/>
    </xf>
    <xf numFmtId="3" fontId="1" fillId="0" borderId="8" xfId="1" applyNumberFormat="1" applyFont="1" applyBorder="1" applyAlignment="1">
      <alignment vertical="center" shrinkToFit="1"/>
    </xf>
    <xf numFmtId="183" fontId="43" fillId="2" borderId="6" xfId="19" applyNumberFormat="1" applyFont="1" applyFill="1" applyBorder="1" applyAlignment="1">
      <alignment shrinkToFit="1"/>
    </xf>
    <xf numFmtId="169" fontId="7" fillId="2" borderId="0" xfId="3" applyNumberFormat="1" applyFont="1" applyFill="1"/>
    <xf numFmtId="168" fontId="6" fillId="0" borderId="29" xfId="0" applyNumberFormat="1" applyFont="1" applyBorder="1"/>
    <xf numFmtId="3" fontId="21" fillId="0" borderId="5" xfId="0" applyNumberFormat="1" applyFont="1" applyBorder="1" applyAlignment="1">
      <alignment vertical="center"/>
    </xf>
    <xf numFmtId="3" fontId="1" fillId="2" borderId="5" xfId="1" applyNumberFormat="1" applyFont="1" applyFill="1" applyBorder="1" applyAlignment="1">
      <alignment vertical="center" shrinkToFit="1"/>
    </xf>
    <xf numFmtId="169" fontId="6" fillId="2" borderId="0" xfId="1" applyNumberFormat="1" applyFont="1" applyFill="1"/>
    <xf numFmtId="183" fontId="57" fillId="2" borderId="5" xfId="19" applyNumberFormat="1" applyFont="1" applyFill="1" applyBorder="1" applyAlignment="1">
      <alignment vertical="center" shrinkToFit="1"/>
    </xf>
    <xf numFmtId="183" fontId="55" fillId="2" borderId="5" xfId="19" applyNumberFormat="1" applyFont="1" applyFill="1" applyBorder="1" applyAlignment="1">
      <alignment vertical="center" shrinkToFit="1"/>
    </xf>
    <xf numFmtId="3" fontId="1" fillId="0" borderId="0" xfId="19" applyNumberFormat="1" applyFont="1"/>
    <xf numFmtId="183" fontId="56" fillId="2" borderId="5" xfId="19" applyNumberFormat="1" applyFont="1" applyFill="1" applyBorder="1" applyAlignment="1">
      <alignment vertical="center" shrinkToFit="1"/>
    </xf>
    <xf numFmtId="183" fontId="1" fillId="0" borderId="0" xfId="19" applyNumberFormat="1" applyFont="1" applyAlignment="1">
      <alignment horizontal="right"/>
    </xf>
    <xf numFmtId="183" fontId="43" fillId="0" borderId="0" xfId="19" applyNumberFormat="1" applyFont="1"/>
    <xf numFmtId="9" fontId="10" fillId="0" borderId="0" xfId="2" applyFont="1" applyBorder="1" applyAlignment="1">
      <alignment vertical="center" shrinkToFit="1"/>
    </xf>
    <xf numFmtId="9" fontId="10" fillId="2" borderId="0" xfId="2" applyFont="1" applyFill="1" applyBorder="1" applyAlignment="1">
      <alignment vertical="center" shrinkToFit="1"/>
    </xf>
    <xf numFmtId="168" fontId="18" fillId="0" borderId="21" xfId="0" applyNumberFormat="1" applyFont="1" applyBorder="1" applyAlignment="1">
      <alignment vertical="center" shrinkToFit="1"/>
    </xf>
    <xf numFmtId="169" fontId="6" fillId="2" borderId="0" xfId="1" applyNumberFormat="1" applyFont="1" applyFill="1" applyAlignment="1">
      <alignment shrinkToFit="1"/>
    </xf>
    <xf numFmtId="169" fontId="6" fillId="2" borderId="0" xfId="0" applyNumberFormat="1" applyFont="1" applyFill="1" applyAlignment="1">
      <alignment shrinkToFit="1"/>
    </xf>
    <xf numFmtId="0" fontId="7" fillId="0" borderId="0" xfId="0" applyFont="1" applyProtection="1">
      <protection locked="0"/>
    </xf>
    <xf numFmtId="0" fontId="6" fillId="0" borderId="0" xfId="0" applyFont="1" applyAlignment="1" applyProtection="1">
      <alignment horizontal="right"/>
      <protection locked="0"/>
    </xf>
    <xf numFmtId="0" fontId="6" fillId="0" borderId="4" xfId="0" applyFont="1" applyBorder="1" applyAlignment="1" applyProtection="1">
      <alignment horizontal="center" vertical="center" wrapText="1"/>
      <protection locked="0"/>
    </xf>
    <xf numFmtId="3" fontId="10" fillId="0" borderId="6" xfId="0" applyNumberFormat="1" applyFont="1" applyBorder="1" applyAlignment="1" applyProtection="1">
      <alignment horizontal="center" vertical="center"/>
      <protection locked="0"/>
    </xf>
    <xf numFmtId="3" fontId="10" fillId="0" borderId="6" xfId="0" applyNumberFormat="1" applyFont="1" applyBorder="1" applyAlignment="1" applyProtection="1">
      <alignment horizontal="center" vertical="center" shrinkToFit="1"/>
      <protection locked="0"/>
    </xf>
    <xf numFmtId="38" fontId="10" fillId="0" borderId="6" xfId="0" applyNumberFormat="1" applyFont="1" applyBorder="1" applyAlignment="1" applyProtection="1">
      <alignment vertical="center"/>
      <protection locked="0"/>
    </xf>
    <xf numFmtId="3" fontId="10" fillId="0" borderId="5" xfId="0" applyNumberFormat="1" applyFont="1" applyBorder="1" applyAlignment="1" applyProtection="1">
      <alignment horizontal="center" vertical="center"/>
      <protection locked="0"/>
    </xf>
    <xf numFmtId="3" fontId="10" fillId="0" borderId="5" xfId="0" applyNumberFormat="1" applyFont="1" applyBorder="1" applyAlignment="1" applyProtection="1">
      <alignment vertical="center" shrinkToFit="1"/>
      <protection locked="0"/>
    </xf>
    <xf numFmtId="38" fontId="10" fillId="0" borderId="5" xfId="0" applyNumberFormat="1" applyFont="1" applyBorder="1" applyAlignment="1" applyProtection="1">
      <alignment vertical="center"/>
      <protection locked="0"/>
    </xf>
    <xf numFmtId="3" fontId="7" fillId="0" borderId="5" xfId="0" applyNumberFormat="1" applyFont="1" applyBorder="1" applyAlignment="1" applyProtection="1">
      <alignment horizontal="center" vertical="center"/>
      <protection locked="0"/>
    </xf>
    <xf numFmtId="3" fontId="7" fillId="0" borderId="5" xfId="0" applyNumberFormat="1" applyFont="1" applyBorder="1" applyAlignment="1" applyProtection="1">
      <alignment vertical="center" shrinkToFit="1"/>
      <protection locked="0"/>
    </xf>
    <xf numFmtId="38" fontId="7" fillId="0" borderId="5" xfId="0" applyNumberFormat="1" applyFont="1" applyBorder="1" applyAlignment="1" applyProtection="1">
      <alignment vertical="center" shrinkToFit="1"/>
      <protection locked="0"/>
    </xf>
    <xf numFmtId="38" fontId="10" fillId="0" borderId="5" xfId="0" applyNumberFormat="1" applyFont="1" applyBorder="1" applyAlignment="1" applyProtection="1">
      <alignment vertical="center" shrinkToFit="1"/>
      <protection locked="0"/>
    </xf>
    <xf numFmtId="3" fontId="10" fillId="0" borderId="8" xfId="0" applyNumberFormat="1" applyFont="1" applyBorder="1" applyAlignment="1" applyProtection="1">
      <alignment horizontal="center" vertical="center"/>
      <protection locked="0"/>
    </xf>
    <xf numFmtId="3" fontId="10" fillId="0" borderId="8" xfId="0" applyNumberFormat="1" applyFont="1" applyBorder="1" applyAlignment="1" applyProtection="1">
      <alignment vertical="center" wrapText="1" shrinkToFit="1"/>
      <protection locked="0"/>
    </xf>
    <xf numFmtId="169" fontId="21" fillId="0" borderId="0" xfId="1" applyNumberFormat="1" applyFont="1" applyFill="1" applyBorder="1" applyAlignment="1">
      <alignment vertical="center" shrinkToFit="1"/>
    </xf>
    <xf numFmtId="168" fontId="13" fillId="0" borderId="5" xfId="4" applyNumberFormat="1" applyFont="1" applyBorder="1" applyAlignment="1">
      <alignment vertical="center"/>
    </xf>
    <xf numFmtId="168" fontId="21" fillId="0" borderId="8" xfId="0" applyNumberFormat="1" applyFont="1" applyBorder="1" applyAlignment="1">
      <alignment vertical="center" shrinkToFit="1"/>
    </xf>
    <xf numFmtId="168" fontId="130" fillId="0" borderId="5" xfId="0" applyNumberFormat="1" applyFont="1" applyBorder="1" applyAlignment="1">
      <alignment vertical="center" shrinkToFit="1"/>
    </xf>
    <xf numFmtId="3" fontId="17" fillId="0" borderId="5" xfId="0" applyNumberFormat="1" applyFont="1" applyBorder="1" applyAlignment="1">
      <alignment vertical="center"/>
    </xf>
    <xf numFmtId="3" fontId="28" fillId="0" borderId="5" xfId="0" applyNumberFormat="1" applyFont="1" applyBorder="1" applyAlignment="1">
      <alignment vertical="center"/>
    </xf>
    <xf numFmtId="175" fontId="12" fillId="0" borderId="5" xfId="1" applyNumberFormat="1" applyFont="1" applyFill="1" applyBorder="1" applyAlignment="1">
      <alignment vertical="center" shrinkToFit="1"/>
    </xf>
    <xf numFmtId="3" fontId="10" fillId="0" borderId="96" xfId="0" applyNumberFormat="1" applyFont="1" applyBorder="1" applyAlignment="1">
      <alignment horizontal="centerContinuous" wrapText="1"/>
    </xf>
    <xf numFmtId="3" fontId="10" fillId="0" borderId="97" xfId="0" applyNumberFormat="1" applyFont="1" applyBorder="1" applyAlignment="1">
      <alignment horizontal="centerContinuous" wrapText="1"/>
    </xf>
    <xf numFmtId="3" fontId="10" fillId="0" borderId="0" xfId="0" applyNumberFormat="1" applyFont="1" applyAlignment="1">
      <alignment horizontal="center" vertical="center" shrinkToFit="1"/>
    </xf>
    <xf numFmtId="3" fontId="10" fillId="0" borderId="0" xfId="0" applyNumberFormat="1" applyFont="1" applyAlignment="1">
      <alignment horizontal="center" wrapText="1"/>
    </xf>
    <xf numFmtId="3" fontId="10" fillId="0" borderId="0" xfId="0" applyNumberFormat="1" applyFont="1" applyAlignment="1">
      <alignment wrapText="1" shrinkToFit="1"/>
    </xf>
    <xf numFmtId="3" fontId="10" fillId="0" borderId="0" xfId="0" applyNumberFormat="1" applyFont="1" applyAlignment="1">
      <alignment horizontal="center" wrapText="1" shrinkToFit="1"/>
    </xf>
    <xf numFmtId="0" fontId="12" fillId="0" borderId="0" xfId="0" applyFont="1" applyAlignment="1">
      <alignment horizontal="center" wrapText="1"/>
    </xf>
    <xf numFmtId="3" fontId="7" fillId="0" borderId="0" xfId="0" applyNumberFormat="1" applyFont="1" applyAlignment="1">
      <alignment horizontal="center"/>
    </xf>
    <xf numFmtId="174" fontId="17" fillId="2" borderId="5" xfId="3" applyNumberFormat="1" applyFont="1" applyFill="1" applyBorder="1" applyAlignment="1">
      <alignment vertical="center" shrinkToFit="1"/>
    </xf>
    <xf numFmtId="174" fontId="6" fillId="2" borderId="5" xfId="3" applyNumberFormat="1" applyFont="1" applyFill="1" applyBorder="1" applyAlignment="1">
      <alignment vertical="center" shrinkToFit="1"/>
    </xf>
    <xf numFmtId="174" fontId="18" fillId="2" borderId="5" xfId="3" applyNumberFormat="1" applyFont="1" applyFill="1" applyBorder="1" applyAlignment="1">
      <alignment vertical="center" shrinkToFit="1"/>
    </xf>
    <xf numFmtId="0" fontId="6" fillId="0" borderId="19" xfId="0" applyFont="1" applyBorder="1" applyAlignment="1">
      <alignment horizontal="center" vertical="center" wrapText="1"/>
    </xf>
    <xf numFmtId="0" fontId="18" fillId="0" borderId="4" xfId="0" applyFont="1" applyBorder="1" applyAlignment="1">
      <alignment horizontal="center" vertical="center" wrapText="1"/>
    </xf>
    <xf numFmtId="169" fontId="7" fillId="0" borderId="0" xfId="1" applyNumberFormat="1" applyFont="1" applyFill="1" applyAlignment="1">
      <alignment vertical="center"/>
    </xf>
    <xf numFmtId="3" fontId="12" fillId="0" borderId="4" xfId="0" applyNumberFormat="1" applyFont="1" applyBorder="1" applyAlignment="1">
      <alignment horizontal="center" shrinkToFit="1"/>
    </xf>
    <xf numFmtId="168" fontId="12" fillId="0" borderId="9" xfId="0" applyNumberFormat="1" applyFont="1" applyBorder="1" applyAlignment="1">
      <alignment vertical="center" wrapText="1" shrinkToFit="1"/>
    </xf>
    <xf numFmtId="0" fontId="11" fillId="0" borderId="5" xfId="0" applyFont="1" applyBorder="1" applyAlignment="1">
      <alignment horizontal="justify" vertical="justify" shrinkToFit="1"/>
    </xf>
    <xf numFmtId="3" fontId="11" fillId="0" borderId="5" xfId="0" applyNumberFormat="1" applyFont="1" applyBorder="1" applyAlignment="1">
      <alignment horizontal="justify" vertical="justify" shrinkToFit="1"/>
    </xf>
    <xf numFmtId="0" fontId="12" fillId="0" borderId="5" xfId="0" applyFont="1" applyBorder="1" applyAlignment="1">
      <alignment horizontal="justify" vertical="justify" shrinkToFit="1"/>
    </xf>
    <xf numFmtId="0" fontId="12" fillId="0" borderId="5" xfId="0" applyFont="1" applyBorder="1" applyAlignment="1">
      <alignment horizontal="justify" vertical="center" shrinkToFit="1"/>
    </xf>
    <xf numFmtId="0" fontId="144" fillId="0" borderId="116" xfId="15" applyFont="1" applyBorder="1" applyAlignment="1">
      <alignment horizontal="center" vertical="center" wrapText="1"/>
    </xf>
    <xf numFmtId="0" fontId="6" fillId="0" borderId="115" xfId="0" applyFont="1" applyBorder="1" applyAlignment="1">
      <alignment horizontal="center" vertical="center" wrapText="1"/>
    </xf>
    <xf numFmtId="0" fontId="6" fillId="0" borderId="129" xfId="0" applyFont="1" applyBorder="1" applyAlignment="1">
      <alignment horizontal="center" vertical="center" wrapText="1"/>
    </xf>
    <xf numFmtId="0" fontId="13" fillId="0" borderId="107" xfId="0" applyFont="1" applyBorder="1" applyAlignment="1">
      <alignment horizontal="center" vertical="center"/>
    </xf>
    <xf numFmtId="0" fontId="10" fillId="0" borderId="107" xfId="0" applyFont="1" applyBorder="1" applyAlignment="1">
      <alignment horizontal="center" vertical="center"/>
    </xf>
    <xf numFmtId="0" fontId="12" fillId="0" borderId="116" xfId="15" applyFont="1" applyBorder="1" applyAlignment="1">
      <alignment horizontal="center" vertical="center" wrapText="1"/>
    </xf>
    <xf numFmtId="0" fontId="12" fillId="0" borderId="115" xfId="0" applyFont="1" applyBorder="1" applyAlignment="1">
      <alignment horizontal="center" vertical="center" wrapText="1"/>
    </xf>
    <xf numFmtId="0" fontId="12" fillId="0" borderId="129" xfId="0" applyFont="1" applyBorder="1" applyAlignment="1">
      <alignment horizontal="center" vertical="center" wrapText="1"/>
    </xf>
    <xf numFmtId="0" fontId="21" fillId="0" borderId="105" xfId="0" applyFont="1" applyBorder="1" applyAlignment="1">
      <alignment horizontal="center" vertical="center"/>
    </xf>
    <xf numFmtId="0" fontId="21" fillId="0" borderId="6" xfId="0" applyFont="1" applyBorder="1" applyAlignment="1">
      <alignment vertical="center"/>
    </xf>
    <xf numFmtId="0" fontId="12" fillId="0" borderId="107" xfId="0" applyFont="1" applyBorder="1" applyAlignment="1">
      <alignment horizontal="center" vertical="center"/>
    </xf>
    <xf numFmtId="0" fontId="11" fillId="0" borderId="107" xfId="0" applyFont="1" applyBorder="1" applyAlignment="1">
      <alignment horizontal="center" vertical="center"/>
    </xf>
    <xf numFmtId="0" fontId="30" fillId="0" borderId="107" xfId="0" applyFont="1" applyBorder="1" applyAlignment="1">
      <alignment horizontal="center" vertical="center"/>
    </xf>
    <xf numFmtId="0" fontId="21" fillId="0" borderId="107" xfId="0" applyFont="1" applyBorder="1" applyAlignment="1">
      <alignment horizontal="center" vertical="center"/>
    </xf>
    <xf numFmtId="0" fontId="30" fillId="0" borderId="107" xfId="0" applyFont="1" applyBorder="1" applyAlignment="1">
      <alignment horizontal="center" vertical="center" wrapText="1"/>
    </xf>
    <xf numFmtId="0" fontId="30" fillId="0" borderId="5" xfId="0" applyFont="1" applyBorder="1" applyAlignment="1">
      <alignment vertical="center" wrapText="1"/>
    </xf>
    <xf numFmtId="0" fontId="12" fillId="0" borderId="111" xfId="0" applyFont="1" applyBorder="1" applyAlignment="1">
      <alignment horizontal="center" vertical="center"/>
    </xf>
    <xf numFmtId="3" fontId="12" fillId="0" borderId="112" xfId="0" applyNumberFormat="1" applyFont="1" applyBorder="1" applyAlignment="1">
      <alignment vertical="center" wrapText="1"/>
    </xf>
    <xf numFmtId="0" fontId="10" fillId="0" borderId="130" xfId="0" applyFont="1" applyBorder="1" applyAlignment="1">
      <alignment horizontal="center" vertical="center"/>
    </xf>
    <xf numFmtId="0" fontId="10" fillId="0" borderId="107" xfId="0" applyFont="1" applyBorder="1" applyAlignment="1">
      <alignment horizontal="center" vertical="center" wrapText="1"/>
    </xf>
    <xf numFmtId="3" fontId="10" fillId="0" borderId="107" xfId="0" applyNumberFormat="1" applyFont="1" applyBorder="1" applyAlignment="1">
      <alignment horizontal="center" vertical="center"/>
    </xf>
    <xf numFmtId="3" fontId="13" fillId="0" borderId="107" xfId="0" applyNumberFormat="1" applyFont="1" applyBorder="1" applyAlignment="1">
      <alignment horizontal="center" vertical="center"/>
    </xf>
    <xf numFmtId="3" fontId="6" fillId="0" borderId="107" xfId="0" applyNumberFormat="1" applyFont="1" applyBorder="1" applyAlignment="1">
      <alignment horizontal="center" vertical="center"/>
    </xf>
    <xf numFmtId="0" fontId="13" fillId="0" borderId="111" xfId="0" applyFont="1" applyBorder="1" applyAlignment="1">
      <alignment horizontal="center" vertical="center"/>
    </xf>
    <xf numFmtId="0" fontId="13" fillId="0" borderId="112" xfId="0" applyFont="1" applyBorder="1" applyAlignment="1">
      <alignment vertical="center"/>
    </xf>
    <xf numFmtId="3" fontId="21" fillId="0" borderId="108" xfId="0" applyNumberFormat="1" applyFont="1" applyBorder="1" applyAlignment="1">
      <alignment vertical="center"/>
    </xf>
    <xf numFmtId="3" fontId="21" fillId="0" borderId="131" xfId="0" applyNumberFormat="1" applyFont="1" applyBorder="1" applyAlignment="1">
      <alignment horizontal="right" vertical="center"/>
    </xf>
    <xf numFmtId="3" fontId="21" fillId="0" borderId="108" xfId="0" applyNumberFormat="1" applyFont="1" applyBorder="1" applyAlignment="1">
      <alignment horizontal="right" vertical="center"/>
    </xf>
    <xf numFmtId="3" fontId="30" fillId="0" borderId="108" xfId="0" applyNumberFormat="1" applyFont="1" applyBorder="1" applyAlignment="1">
      <alignment horizontal="right" vertical="center"/>
    </xf>
    <xf numFmtId="3" fontId="21" fillId="0" borderId="108" xfId="0" applyNumberFormat="1" applyFont="1" applyBorder="1" applyAlignment="1">
      <alignment horizontal="right" vertical="center" wrapText="1"/>
    </xf>
    <xf numFmtId="3" fontId="30" fillId="0" borderId="108" xfId="0" applyNumberFormat="1" applyFont="1" applyBorder="1" applyAlignment="1">
      <alignment horizontal="right" vertical="center" wrapText="1"/>
    </xf>
    <xf numFmtId="3" fontId="12" fillId="0" borderId="108" xfId="0" applyNumberFormat="1" applyFont="1" applyBorder="1" applyAlignment="1">
      <alignment horizontal="right" vertical="center" wrapText="1"/>
    </xf>
    <xf numFmtId="3" fontId="11" fillId="0" borderId="108" xfId="0" applyNumberFormat="1" applyFont="1" applyBorder="1" applyAlignment="1">
      <alignment horizontal="right" vertical="center" wrapText="1"/>
    </xf>
    <xf numFmtId="3" fontId="30" fillId="0" borderId="114" xfId="0" applyNumberFormat="1" applyFont="1" applyBorder="1" applyAlignment="1">
      <alignment horizontal="right" vertical="center"/>
    </xf>
    <xf numFmtId="169" fontId="7" fillId="0" borderId="5" xfId="1" applyNumberFormat="1" applyFont="1" applyFill="1" applyBorder="1" applyAlignment="1">
      <alignment vertical="center"/>
    </xf>
    <xf numFmtId="169" fontId="7" fillId="0" borderId="5" xfId="1" applyNumberFormat="1" applyFont="1" applyFill="1" applyBorder="1" applyAlignment="1">
      <alignment horizontal="right" vertical="center"/>
    </xf>
    <xf numFmtId="169" fontId="6" fillId="0" borderId="5" xfId="1" applyNumberFormat="1" applyFont="1" applyFill="1" applyBorder="1" applyAlignment="1">
      <alignment vertical="center"/>
    </xf>
    <xf numFmtId="0" fontId="6" fillId="0" borderId="103" xfId="4" applyFont="1" applyBorder="1" applyAlignment="1">
      <alignment horizontal="center" vertical="center" wrapText="1" shrinkToFit="1"/>
    </xf>
    <xf numFmtId="0" fontId="11" fillId="0" borderId="100" xfId="0" applyFont="1" applyBorder="1"/>
    <xf numFmtId="0" fontId="21" fillId="0" borderId="6" xfId="4" applyFont="1" applyBorder="1" applyAlignment="1">
      <alignment horizontal="center" vertical="center" shrinkToFit="1"/>
    </xf>
    <xf numFmtId="168" fontId="21" fillId="0" borderId="108" xfId="4" applyNumberFormat="1" applyFont="1" applyBorder="1" applyAlignment="1">
      <alignment vertical="center"/>
    </xf>
    <xf numFmtId="0" fontId="21" fillId="0" borderId="107" xfId="4" applyFont="1" applyBorder="1" applyAlignment="1">
      <alignment horizontal="center" vertical="center" wrapText="1"/>
    </xf>
    <xf numFmtId="168" fontId="30" fillId="0" borderId="108" xfId="4" applyNumberFormat="1" applyFont="1" applyBorder="1" applyAlignment="1">
      <alignment vertical="center" wrapText="1"/>
    </xf>
    <xf numFmtId="168" fontId="12" fillId="0" borderId="108" xfId="4" applyNumberFormat="1" applyFont="1" applyBorder="1" applyAlignment="1">
      <alignment vertical="center" wrapText="1"/>
    </xf>
    <xf numFmtId="0" fontId="130" fillId="0" borderId="107" xfId="4" applyFont="1" applyBorder="1" applyAlignment="1">
      <alignment horizontal="center" vertical="center" wrapText="1"/>
    </xf>
    <xf numFmtId="0" fontId="12" fillId="0" borderId="107" xfId="4" applyFont="1" applyBorder="1" applyAlignment="1">
      <alignment horizontal="center" vertical="center" shrinkToFit="1"/>
    </xf>
    <xf numFmtId="0" fontId="21" fillId="0" borderId="107" xfId="4" applyFont="1" applyBorder="1" applyAlignment="1">
      <alignment horizontal="center" vertical="center" shrinkToFit="1"/>
    </xf>
    <xf numFmtId="168" fontId="21" fillId="0" borderId="108" xfId="4" applyNumberFormat="1" applyFont="1" applyBorder="1" applyAlignment="1">
      <alignment vertical="center" wrapText="1"/>
    </xf>
    <xf numFmtId="168" fontId="11" fillId="0" borderId="108" xfId="4" applyNumberFormat="1" applyFont="1" applyBorder="1" applyAlignment="1">
      <alignment vertical="center" wrapText="1"/>
    </xf>
    <xf numFmtId="0" fontId="7" fillId="0" borderId="107" xfId="4" applyFont="1" applyBorder="1" applyAlignment="1">
      <alignment horizontal="center" vertical="center" shrinkToFit="1"/>
    </xf>
    <xf numFmtId="168" fontId="7" fillId="0" borderId="108" xfId="4" applyNumberFormat="1" applyFont="1" applyBorder="1" applyAlignment="1">
      <alignment vertical="center" wrapText="1"/>
    </xf>
    <xf numFmtId="0" fontId="6" fillId="0" borderId="107" xfId="4" applyFont="1" applyBorder="1" applyAlignment="1">
      <alignment horizontal="center" vertical="center" shrinkToFit="1"/>
    </xf>
    <xf numFmtId="0" fontId="11" fillId="0" borderId="107" xfId="4" applyFont="1" applyBorder="1" applyAlignment="1">
      <alignment horizontal="center" vertical="center" wrapText="1"/>
    </xf>
    <xf numFmtId="168" fontId="11" fillId="0" borderId="108" xfId="4" applyNumberFormat="1" applyFont="1" applyBorder="1" applyAlignment="1">
      <alignment vertical="center"/>
    </xf>
    <xf numFmtId="0" fontId="11" fillId="0" borderId="111" xfId="4" applyFont="1" applyBorder="1" applyAlignment="1">
      <alignment horizontal="center" vertical="center" wrapText="1"/>
    </xf>
    <xf numFmtId="0" fontId="11" fillId="0" borderId="112" xfId="4" applyFont="1" applyBorder="1" applyAlignment="1">
      <alignment vertical="center" wrapText="1"/>
    </xf>
    <xf numFmtId="168" fontId="11" fillId="0" borderId="112" xfId="4" applyNumberFormat="1" applyFont="1" applyBorder="1" applyAlignment="1">
      <alignment vertical="center" wrapText="1"/>
    </xf>
    <xf numFmtId="168" fontId="11" fillId="0" borderId="114" xfId="4" applyNumberFormat="1" applyFont="1" applyBorder="1" applyAlignment="1">
      <alignment vertical="center"/>
    </xf>
    <xf numFmtId="3" fontId="21" fillId="0" borderId="106" xfId="0" applyNumberFormat="1" applyFont="1" applyBorder="1" applyAlignment="1">
      <alignment vertical="center"/>
    </xf>
    <xf numFmtId="3" fontId="12" fillId="0" borderId="108" xfId="0" applyNumberFormat="1" applyFont="1" applyBorder="1" applyAlignment="1">
      <alignment vertical="center"/>
    </xf>
    <xf numFmtId="3" fontId="11" fillId="0" borderId="108" xfId="0" applyNumberFormat="1" applyFont="1" applyBorder="1" applyAlignment="1">
      <alignment vertical="center"/>
    </xf>
    <xf numFmtId="3" fontId="30" fillId="0" borderId="108" xfId="0" applyNumberFormat="1" applyFont="1" applyBorder="1" applyAlignment="1">
      <alignment vertical="center"/>
    </xf>
    <xf numFmtId="3" fontId="12" fillId="0" borderId="114" xfId="0" applyNumberFormat="1" applyFont="1" applyBorder="1" applyAlignment="1">
      <alignment vertical="center"/>
    </xf>
    <xf numFmtId="3" fontId="10" fillId="0" borderId="105" xfId="21" applyNumberFormat="1" applyFont="1" applyBorder="1" applyAlignment="1">
      <alignment horizontal="center" vertical="center"/>
    </xf>
    <xf numFmtId="174" fontId="10" fillId="0" borderId="106" xfId="21" applyNumberFormat="1" applyFont="1" applyBorder="1" applyAlignment="1">
      <alignment vertical="center"/>
    </xf>
    <xf numFmtId="3" fontId="10" fillId="0" borderId="107" xfId="21" applyNumberFormat="1" applyFont="1" applyBorder="1" applyAlignment="1">
      <alignment horizontal="center" vertical="center"/>
    </xf>
    <xf numFmtId="174" fontId="10" fillId="0" borderId="108" xfId="21" applyNumberFormat="1" applyFont="1" applyBorder="1" applyAlignment="1">
      <alignment vertical="center"/>
    </xf>
    <xf numFmtId="3" fontId="7" fillId="0" borderId="107" xfId="21" applyNumberFormat="1" applyFont="1" applyBorder="1" applyAlignment="1">
      <alignment horizontal="center" vertical="center"/>
    </xf>
    <xf numFmtId="174" fontId="7" fillId="0" borderId="108" xfId="21" applyNumberFormat="1" applyFont="1" applyBorder="1" applyAlignment="1">
      <alignment vertical="center"/>
    </xf>
    <xf numFmtId="174" fontId="7" fillId="0" borderId="108" xfId="21" applyNumberFormat="1" applyFont="1" applyBorder="1" applyAlignment="1">
      <alignment vertical="center" shrinkToFit="1"/>
    </xf>
    <xf numFmtId="174" fontId="10" fillId="0" borderId="108" xfId="21" applyNumberFormat="1" applyFont="1" applyBorder="1" applyAlignment="1">
      <alignment vertical="center" shrinkToFit="1"/>
    </xf>
    <xf numFmtId="3" fontId="36" fillId="0" borderId="107" xfId="21" applyNumberFormat="1" applyFont="1" applyBorder="1" applyAlignment="1">
      <alignment horizontal="center" vertical="center"/>
    </xf>
    <xf numFmtId="174" fontId="36" fillId="0" borderId="108" xfId="21" applyNumberFormat="1" applyFont="1" applyBorder="1" applyAlignment="1">
      <alignment vertical="center"/>
    </xf>
    <xf numFmtId="3" fontId="6" fillId="0" borderId="107" xfId="21" applyNumberFormat="1" applyFont="1" applyBorder="1" applyAlignment="1">
      <alignment horizontal="center" vertical="center"/>
    </xf>
    <xf numFmtId="174" fontId="6" fillId="0" borderId="108" xfId="21" applyNumberFormat="1" applyFont="1" applyBorder="1" applyAlignment="1">
      <alignment vertical="center" shrinkToFit="1"/>
    </xf>
    <xf numFmtId="174" fontId="6" fillId="0" borderId="108" xfId="21" applyNumberFormat="1" applyFont="1" applyBorder="1" applyAlignment="1">
      <alignment vertical="center"/>
    </xf>
    <xf numFmtId="3" fontId="6" fillId="0" borderId="110" xfId="21" applyNumberFormat="1" applyFont="1" applyBorder="1" applyAlignment="1">
      <alignment horizontal="center" vertical="center"/>
    </xf>
    <xf numFmtId="174" fontId="6" fillId="0" borderId="132" xfId="21" applyNumberFormat="1" applyFont="1" applyBorder="1" applyAlignment="1">
      <alignment vertical="center"/>
    </xf>
    <xf numFmtId="3" fontId="6" fillId="0" borderId="111" xfId="21" applyNumberFormat="1" applyFont="1" applyBorder="1" applyAlignment="1">
      <alignment horizontal="center" vertical="center"/>
    </xf>
    <xf numFmtId="0" fontId="6" fillId="0" borderId="112" xfId="0" applyFont="1" applyBorder="1" applyAlignment="1">
      <alignment vertical="center"/>
    </xf>
    <xf numFmtId="174" fontId="6" fillId="0" borderId="114" xfId="21" applyNumberFormat="1" applyFont="1" applyBorder="1" applyAlignment="1">
      <alignment vertical="center"/>
    </xf>
    <xf numFmtId="0" fontId="6" fillId="0" borderId="103" xfId="0" applyFont="1" applyBorder="1" applyAlignment="1">
      <alignment horizontal="center" vertical="center" wrapText="1"/>
    </xf>
    <xf numFmtId="0" fontId="21" fillId="0" borderId="105" xfId="0" applyFont="1" applyBorder="1"/>
    <xf numFmtId="3" fontId="21" fillId="0" borderId="106" xfId="0" applyNumberFormat="1" applyFont="1" applyBorder="1" applyAlignment="1">
      <alignment vertical="center" shrinkToFit="1"/>
    </xf>
    <xf numFmtId="3" fontId="21" fillId="0" borderId="108" xfId="0" applyNumberFormat="1" applyFont="1" applyBorder="1" applyAlignment="1">
      <alignment vertical="center" shrinkToFit="1"/>
    </xf>
    <xf numFmtId="3" fontId="11" fillId="0" borderId="108" xfId="0" applyNumberFormat="1" applyFont="1" applyBorder="1" applyAlignment="1">
      <alignment vertical="center" shrinkToFit="1"/>
    </xf>
    <xf numFmtId="0" fontId="11" fillId="0" borderId="107" xfId="0" applyFont="1" applyBorder="1" applyAlignment="1">
      <alignment horizontal="center" vertical="center" wrapText="1"/>
    </xf>
    <xf numFmtId="3" fontId="12" fillId="0" borderId="108" xfId="0" applyNumberFormat="1" applyFont="1" applyBorder="1" applyAlignment="1">
      <alignment vertical="center" shrinkToFit="1"/>
    </xf>
    <xf numFmtId="0" fontId="21" fillId="0" borderId="107" xfId="0" applyFont="1" applyBorder="1" applyAlignment="1">
      <alignment horizontal="center" vertical="center" wrapText="1"/>
    </xf>
    <xf numFmtId="0" fontId="11" fillId="0" borderId="110" xfId="0" applyFont="1" applyBorder="1" applyAlignment="1">
      <alignment horizontal="center" vertical="center" wrapText="1"/>
    </xf>
    <xf numFmtId="3" fontId="11" fillId="0" borderId="132" xfId="0" applyNumberFormat="1" applyFont="1" applyBorder="1" applyAlignment="1">
      <alignment vertical="center" shrinkToFit="1"/>
    </xf>
    <xf numFmtId="0" fontId="12" fillId="0" borderId="111" xfId="0" applyFont="1" applyBorder="1" applyAlignment="1">
      <alignment horizontal="center" vertical="center" wrapText="1"/>
    </xf>
    <xf numFmtId="3" fontId="12" fillId="0" borderId="112" xfId="0" applyNumberFormat="1" applyFont="1" applyBorder="1" applyAlignment="1">
      <alignment vertical="center" shrinkToFit="1"/>
    </xf>
    <xf numFmtId="3" fontId="12" fillId="0" borderId="114" xfId="0" applyNumberFormat="1" applyFont="1" applyBorder="1" applyAlignment="1">
      <alignment vertical="center" shrinkToFit="1"/>
    </xf>
    <xf numFmtId="3" fontId="7" fillId="0" borderId="0" xfId="0" applyNumberFormat="1" applyFont="1" applyAlignment="1">
      <alignment horizontal="justify" vertical="justify" wrapText="1" shrinkToFit="1"/>
    </xf>
    <xf numFmtId="3" fontId="13" fillId="0" borderId="0" xfId="0" quotePrefix="1" applyNumberFormat="1" applyFont="1" applyAlignment="1">
      <alignment horizontal="justify" vertical="justify" wrapText="1" shrinkToFit="1"/>
    </xf>
    <xf numFmtId="0" fontId="13" fillId="0" borderId="0" xfId="0" applyFont="1" applyAlignment="1">
      <alignment horizontal="right" vertical="center"/>
    </xf>
    <xf numFmtId="0" fontId="7" fillId="0" borderId="0" xfId="0" applyFont="1" applyAlignment="1">
      <alignment horizontal="right" vertical="center"/>
    </xf>
    <xf numFmtId="3" fontId="7" fillId="0" borderId="107" xfId="0" applyNumberFormat="1" applyFont="1" applyBorder="1" applyAlignment="1">
      <alignment horizontal="center" vertical="center" wrapText="1" shrinkToFit="1"/>
    </xf>
    <xf numFmtId="3" fontId="144" fillId="0" borderId="116" xfId="15" applyNumberFormat="1" applyFont="1" applyBorder="1" applyAlignment="1">
      <alignment horizontal="center" vertical="center" wrapText="1"/>
    </xf>
    <xf numFmtId="3" fontId="6" fillId="0" borderId="115" xfId="0" applyNumberFormat="1" applyFont="1" applyBorder="1" applyAlignment="1">
      <alignment horizontal="center" vertical="center" shrinkToFit="1"/>
    </xf>
    <xf numFmtId="3" fontId="6" fillId="0" borderId="115" xfId="0" applyNumberFormat="1" applyFont="1" applyBorder="1" applyAlignment="1">
      <alignment horizontal="center" vertical="center" wrapText="1"/>
    </xf>
    <xf numFmtId="3" fontId="6" fillId="0" borderId="129" xfId="0" applyNumberFormat="1" applyFont="1" applyBorder="1" applyAlignment="1">
      <alignment horizontal="center" vertical="center" wrapText="1"/>
    </xf>
    <xf numFmtId="3" fontId="21" fillId="0" borderId="105" xfId="0" applyNumberFormat="1" applyFont="1" applyBorder="1" applyAlignment="1">
      <alignment horizontal="center"/>
    </xf>
    <xf numFmtId="3" fontId="21" fillId="0" borderId="6" xfId="0" applyNumberFormat="1" applyFont="1" applyBorder="1" applyAlignment="1">
      <alignment horizontal="center" shrinkToFit="1"/>
    </xf>
    <xf numFmtId="168" fontId="21" fillId="0" borderId="6" xfId="0" applyNumberFormat="1" applyFont="1" applyBorder="1" applyAlignment="1">
      <alignment shrinkToFit="1"/>
    </xf>
    <xf numFmtId="168" fontId="21" fillId="0" borderId="106" xfId="0" applyNumberFormat="1" applyFont="1" applyBorder="1" applyAlignment="1">
      <alignment shrinkToFit="1"/>
    </xf>
    <xf numFmtId="3" fontId="21" fillId="0" borderId="0" xfId="0" applyNumberFormat="1" applyFont="1"/>
    <xf numFmtId="3" fontId="21" fillId="0" borderId="107" xfId="0" applyNumberFormat="1" applyFont="1" applyBorder="1" applyAlignment="1">
      <alignment horizontal="center" vertical="center"/>
    </xf>
    <xf numFmtId="3" fontId="21" fillId="0" borderId="0" xfId="0" applyNumberFormat="1" applyFont="1" applyAlignment="1">
      <alignment vertical="center"/>
    </xf>
    <xf numFmtId="174" fontId="30" fillId="0" borderId="107" xfId="0" applyNumberFormat="1" applyFont="1" applyBorder="1" applyAlignment="1">
      <alignment horizontal="center" vertical="center"/>
    </xf>
    <xf numFmtId="3" fontId="11" fillId="0" borderId="107" xfId="0" applyNumberFormat="1" applyFont="1" applyBorder="1" applyAlignment="1">
      <alignment horizontal="center" vertical="center"/>
    </xf>
    <xf numFmtId="3" fontId="11" fillId="0" borderId="0" xfId="0" applyNumberFormat="1" applyFont="1" applyAlignment="1">
      <alignment vertical="center"/>
    </xf>
    <xf numFmtId="3" fontId="30" fillId="0" borderId="107" xfId="0" applyNumberFormat="1" applyFont="1" applyBorder="1" applyAlignment="1">
      <alignment horizontal="center" vertical="center"/>
    </xf>
    <xf numFmtId="3" fontId="60" fillId="0" borderId="111" xfId="0" applyNumberFormat="1" applyFont="1" applyBorder="1" applyAlignment="1">
      <alignment horizontal="center" vertical="center"/>
    </xf>
    <xf numFmtId="3" fontId="60" fillId="0" borderId="112" xfId="0" applyNumberFormat="1" applyFont="1" applyBorder="1" applyAlignment="1">
      <alignment vertical="center" shrinkToFit="1"/>
    </xf>
    <xf numFmtId="168" fontId="60" fillId="0" borderId="112" xfId="0" applyNumberFormat="1" applyFont="1" applyBorder="1" applyAlignment="1">
      <alignment vertical="center" shrinkToFit="1"/>
    </xf>
    <xf numFmtId="168" fontId="60" fillId="0" borderId="114" xfId="0" applyNumberFormat="1" applyFont="1" applyBorder="1" applyAlignment="1">
      <alignment vertical="center" shrinkToFit="1"/>
    </xf>
    <xf numFmtId="3" fontId="12" fillId="0" borderId="0" xfId="0" applyNumberFormat="1" applyFont="1" applyAlignment="1">
      <alignment vertical="center"/>
    </xf>
    <xf numFmtId="0" fontId="12" fillId="0" borderId="4" xfId="0" applyFont="1" applyBorder="1" applyAlignment="1">
      <alignment horizontal="center" vertical="center" shrinkToFit="1"/>
    </xf>
    <xf numFmtId="0" fontId="11" fillId="0" borderId="30" xfId="0" applyFont="1" applyBorder="1" applyAlignment="1">
      <alignment vertical="center" shrinkToFit="1"/>
    </xf>
    <xf numFmtId="174" fontId="11" fillId="0" borderId="30" xfId="0" applyNumberFormat="1" applyFont="1" applyBorder="1" applyAlignment="1">
      <alignment vertical="center" shrinkToFit="1"/>
    </xf>
    <xf numFmtId="174" fontId="11" fillId="0" borderId="30" xfId="0" applyNumberFormat="1" applyFont="1" applyBorder="1" applyAlignment="1">
      <alignment horizontal="right" vertical="center" shrinkToFit="1"/>
    </xf>
    <xf numFmtId="0" fontId="11" fillId="0" borderId="8" xfId="0" applyFont="1" applyBorder="1" applyAlignment="1">
      <alignment vertical="center" shrinkToFit="1"/>
    </xf>
    <xf numFmtId="9" fontId="11" fillId="5" borderId="0" xfId="2" applyFont="1" applyFill="1"/>
    <xf numFmtId="38" fontId="11" fillId="0" borderId="0" xfId="0" applyNumberFormat="1" applyFont="1"/>
    <xf numFmtId="0" fontId="12" fillId="0" borderId="117" xfId="0" applyFont="1" applyBorder="1" applyAlignment="1">
      <alignment horizontal="center" vertical="center" shrinkToFit="1"/>
    </xf>
    <xf numFmtId="0" fontId="12" fillId="0" borderId="103" xfId="0" applyFont="1" applyBorder="1" applyAlignment="1">
      <alignment horizontal="center" vertical="center" shrinkToFit="1"/>
    </xf>
    <xf numFmtId="0" fontId="11" fillId="0" borderId="130" xfId="0" applyFont="1" applyBorder="1" applyAlignment="1">
      <alignment horizontal="center" vertical="center"/>
    </xf>
    <xf numFmtId="3" fontId="11" fillId="0" borderId="131" xfId="1" applyNumberFormat="1" applyFont="1" applyBorder="1" applyAlignment="1">
      <alignment vertical="center"/>
    </xf>
    <xf numFmtId="3" fontId="11" fillId="0" borderId="108" xfId="1" applyNumberFormat="1" applyFont="1" applyBorder="1" applyAlignment="1">
      <alignment vertical="center"/>
    </xf>
    <xf numFmtId="0" fontId="11" fillId="0" borderId="135" xfId="0" applyFont="1" applyBorder="1" applyAlignment="1">
      <alignment horizontal="center" vertical="center"/>
    </xf>
    <xf numFmtId="3" fontId="11" fillId="0" borderId="136" xfId="1" applyNumberFormat="1" applyFont="1" applyBorder="1" applyAlignment="1">
      <alignment vertical="center"/>
    </xf>
    <xf numFmtId="0" fontId="12" fillId="0" borderId="137" xfId="0" applyFont="1" applyBorder="1" applyAlignment="1">
      <alignment vertical="center"/>
    </xf>
    <xf numFmtId="0" fontId="12" fillId="0" borderId="138" xfId="0" applyFont="1" applyBorder="1" applyAlignment="1">
      <alignment vertical="center"/>
    </xf>
    <xf numFmtId="174" fontId="12" fillId="0" borderId="138" xfId="0" applyNumberFormat="1" applyFont="1" applyBorder="1" applyAlignment="1">
      <alignment vertical="center" shrinkToFit="1"/>
    </xf>
    <xf numFmtId="174" fontId="12" fillId="0" borderId="139" xfId="0" applyNumberFormat="1" applyFont="1" applyBorder="1" applyAlignment="1">
      <alignment horizontal="right" vertical="center" shrinkToFit="1"/>
    </xf>
    <xf numFmtId="3" fontId="6" fillId="0" borderId="0" xfId="0" applyNumberFormat="1" applyFont="1" applyAlignment="1">
      <alignment horizontal="right" shrinkToFit="1"/>
    </xf>
    <xf numFmtId="0" fontId="137" fillId="0" borderId="116" xfId="15" applyFont="1" applyBorder="1" applyAlignment="1">
      <alignment horizontal="center" vertical="center" wrapText="1"/>
    </xf>
    <xf numFmtId="0" fontId="21" fillId="0" borderId="105" xfId="0" applyFont="1" applyBorder="1" applyAlignment="1">
      <alignment horizontal="center"/>
    </xf>
    <xf numFmtId="0" fontId="12" fillId="0" borderId="107" xfId="0" applyFont="1" applyBorder="1" applyAlignment="1">
      <alignment horizontal="center"/>
    </xf>
    <xf numFmtId="0" fontId="21" fillId="0" borderId="107" xfId="0" applyFont="1" applyBorder="1" applyAlignment="1">
      <alignment horizontal="center"/>
    </xf>
    <xf numFmtId="3" fontId="11" fillId="0" borderId="107" xfId="0" applyNumberFormat="1" applyFont="1" applyBorder="1" applyAlignment="1">
      <alignment horizontal="center" vertical="center" shrinkToFit="1"/>
    </xf>
    <xf numFmtId="0" fontId="11" fillId="0" borderId="107" xfId="0" applyFont="1" applyBorder="1" applyAlignment="1">
      <alignment horizontal="center"/>
    </xf>
    <xf numFmtId="0" fontId="21" fillId="0" borderId="111" xfId="0" applyFont="1" applyBorder="1" applyAlignment="1">
      <alignment horizontal="center" vertical="center"/>
    </xf>
    <xf numFmtId="3" fontId="21" fillId="0" borderId="112" xfId="0" applyNumberFormat="1" applyFont="1" applyBorder="1" applyAlignment="1">
      <alignment vertical="center" shrinkToFit="1"/>
    </xf>
    <xf numFmtId="0" fontId="12" fillId="0" borderId="103" xfId="0" applyFont="1" applyBorder="1" applyAlignment="1">
      <alignment horizontal="center" vertical="center" wrapText="1"/>
    </xf>
    <xf numFmtId="0" fontId="87" fillId="0" borderId="141" xfId="15" applyBorder="1" applyAlignment="1">
      <alignment horizontal="center"/>
    </xf>
    <xf numFmtId="0" fontId="12" fillId="0" borderId="103" xfId="0" applyFont="1" applyBorder="1" applyAlignment="1">
      <alignment horizontal="center" shrinkToFit="1"/>
    </xf>
    <xf numFmtId="168" fontId="21" fillId="0" borderId="131" xfId="0" applyNumberFormat="1" applyFont="1" applyBorder="1" applyAlignment="1">
      <alignment vertical="center" wrapText="1" shrinkToFit="1"/>
    </xf>
    <xf numFmtId="3" fontId="10" fillId="0" borderId="107" xfId="0" applyNumberFormat="1" applyFont="1" applyBorder="1" applyAlignment="1">
      <alignment horizontal="center" vertical="center" wrapText="1" shrinkToFit="1"/>
    </xf>
    <xf numFmtId="168" fontId="21" fillId="0" borderId="108" xfId="0" applyNumberFormat="1" applyFont="1" applyBorder="1" applyAlignment="1">
      <alignment vertical="center" wrapText="1" shrinkToFit="1"/>
    </xf>
    <xf numFmtId="3" fontId="6" fillId="0" borderId="107" xfId="0" applyNumberFormat="1" applyFont="1" applyBorder="1" applyAlignment="1">
      <alignment horizontal="center" vertical="center" wrapText="1" shrinkToFit="1"/>
    </xf>
    <xf numFmtId="168" fontId="11" fillId="0" borderId="108" xfId="0" applyNumberFormat="1" applyFont="1" applyBorder="1" applyAlignment="1">
      <alignment vertical="center" wrapText="1" shrinkToFit="1"/>
    </xf>
    <xf numFmtId="3" fontId="12" fillId="0" borderId="107" xfId="0" applyNumberFormat="1" applyFont="1" applyBorder="1" applyAlignment="1">
      <alignment horizontal="center" vertical="center" wrapText="1" shrinkToFit="1"/>
    </xf>
    <xf numFmtId="168" fontId="12" fillId="0" borderId="108" xfId="0" applyNumberFormat="1" applyFont="1" applyBorder="1" applyAlignment="1">
      <alignment vertical="center" wrapText="1" shrinkToFit="1"/>
    </xf>
    <xf numFmtId="3" fontId="11" fillId="0" borderId="107" xfId="0" applyNumberFormat="1" applyFont="1" applyBorder="1" applyAlignment="1">
      <alignment horizontal="center" vertical="center" wrapText="1" shrinkToFit="1"/>
    </xf>
    <xf numFmtId="3" fontId="21" fillId="0" borderId="107" xfId="0" applyNumberFormat="1" applyFont="1" applyBorder="1" applyAlignment="1">
      <alignment horizontal="center" vertical="center" wrapText="1" shrinkToFit="1"/>
    </xf>
    <xf numFmtId="168" fontId="21" fillId="0" borderId="109" xfId="0" applyNumberFormat="1" applyFont="1" applyBorder="1" applyAlignment="1">
      <alignment vertical="center" wrapText="1" shrinkToFit="1"/>
    </xf>
    <xf numFmtId="3" fontId="11" fillId="0" borderId="110" xfId="0" applyNumberFormat="1" applyFont="1" applyBorder="1" applyAlignment="1">
      <alignment horizontal="center" vertical="center" wrapText="1" shrinkToFit="1"/>
    </xf>
    <xf numFmtId="168" fontId="11" fillId="0" borderId="132" xfId="0" applyNumberFormat="1" applyFont="1" applyBorder="1" applyAlignment="1">
      <alignment vertical="center" wrapText="1" shrinkToFit="1"/>
    </xf>
    <xf numFmtId="3" fontId="21" fillId="0" borderId="111" xfId="0" applyNumberFormat="1" applyFont="1" applyBorder="1" applyAlignment="1">
      <alignment horizontal="center" vertical="center" wrapText="1" shrinkToFit="1"/>
    </xf>
    <xf numFmtId="168" fontId="21" fillId="0" borderId="112" xfId="0" applyNumberFormat="1" applyFont="1" applyBorder="1" applyAlignment="1">
      <alignment vertical="center" wrapText="1" shrinkToFit="1"/>
    </xf>
    <xf numFmtId="170" fontId="21" fillId="0" borderId="112" xfId="1" applyNumberFormat="1" applyFont="1" applyFill="1" applyBorder="1" applyAlignment="1">
      <alignment vertical="center" wrapText="1" shrinkToFit="1"/>
    </xf>
    <xf numFmtId="168" fontId="21" fillId="0" borderId="134" xfId="0" applyNumberFormat="1" applyFont="1" applyBorder="1" applyAlignment="1">
      <alignment vertical="center" wrapText="1" shrinkToFit="1"/>
    </xf>
    <xf numFmtId="168" fontId="21" fillId="0" borderId="142" xfId="0" applyNumberFormat="1" applyFont="1" applyBorder="1" applyAlignment="1">
      <alignment vertical="center" wrapText="1" shrinkToFit="1"/>
    </xf>
    <xf numFmtId="168" fontId="21" fillId="0" borderId="114" xfId="0" applyNumberFormat="1" applyFont="1" applyBorder="1" applyAlignment="1">
      <alignment vertical="center" wrapText="1" shrinkToFit="1"/>
    </xf>
    <xf numFmtId="169" fontId="7" fillId="0" borderId="0" xfId="14" applyNumberFormat="1" applyFont="1" applyFill="1" applyBorder="1" applyAlignment="1"/>
    <xf numFmtId="9" fontId="6" fillId="0" borderId="0" xfId="2" applyFont="1" applyFill="1" applyBorder="1" applyAlignment="1">
      <alignment horizontal="right"/>
    </xf>
    <xf numFmtId="169" fontId="6" fillId="0" borderId="4" xfId="14" applyNumberFormat="1" applyFont="1" applyFill="1" applyBorder="1" applyAlignment="1">
      <alignment horizontal="center" vertical="center" wrapText="1"/>
    </xf>
    <xf numFmtId="3" fontId="6" fillId="0" borderId="22" xfId="0" applyNumberFormat="1" applyFont="1" applyBorder="1" applyAlignment="1">
      <alignment horizontal="center" shrinkToFit="1"/>
    </xf>
    <xf numFmtId="169" fontId="6" fillId="0" borderId="4" xfId="14" applyNumberFormat="1" applyFont="1" applyFill="1" applyBorder="1" applyAlignment="1">
      <alignment horizontal="center" shrinkToFit="1"/>
    </xf>
    <xf numFmtId="0" fontId="6" fillId="0" borderId="19" xfId="0" applyFont="1" applyBorder="1" applyAlignment="1">
      <alignment horizontal="center" shrinkToFit="1"/>
    </xf>
    <xf numFmtId="3" fontId="10" fillId="0" borderId="49" xfId="0" applyNumberFormat="1" applyFont="1" applyBorder="1" applyAlignment="1">
      <alignment vertical="center"/>
    </xf>
    <xf numFmtId="3" fontId="10" fillId="0" borderId="6" xfId="0" applyNumberFormat="1" applyFont="1" applyBorder="1" applyAlignment="1">
      <alignment horizontal="center" vertical="center" shrinkToFit="1"/>
    </xf>
    <xf numFmtId="175" fontId="10" fillId="0" borderId="6" xfId="14" applyNumberFormat="1" applyFont="1" applyFill="1" applyBorder="1" applyAlignment="1">
      <alignment vertical="center" shrinkToFit="1"/>
    </xf>
    <xf numFmtId="3" fontId="10" fillId="0" borderId="50" xfId="0" applyNumberFormat="1" applyFont="1" applyBorder="1" applyAlignment="1">
      <alignment vertical="center" shrinkToFit="1"/>
    </xf>
    <xf numFmtId="3" fontId="10" fillId="0" borderId="20" xfId="0" applyNumberFormat="1" applyFont="1" applyBorder="1" applyAlignment="1">
      <alignment horizontal="center" vertical="center"/>
    </xf>
    <xf numFmtId="168" fontId="10" fillId="0" borderId="5" xfId="14" applyNumberFormat="1" applyFont="1" applyFill="1" applyBorder="1" applyAlignment="1">
      <alignment vertical="center" shrinkToFit="1"/>
    </xf>
    <xf numFmtId="175" fontId="10" fillId="0" borderId="5" xfId="14" applyNumberFormat="1" applyFont="1" applyFill="1" applyBorder="1" applyAlignment="1">
      <alignment vertical="center" shrinkToFit="1"/>
    </xf>
    <xf numFmtId="168" fontId="10" fillId="0" borderId="21" xfId="0" applyNumberFormat="1" applyFont="1" applyBorder="1" applyAlignment="1">
      <alignment vertical="center" shrinkToFit="1"/>
    </xf>
    <xf numFmtId="3" fontId="6" fillId="0" borderId="20" xfId="0" applyNumberFormat="1" applyFont="1" applyBorder="1" applyAlignment="1">
      <alignment horizontal="center" vertical="center"/>
    </xf>
    <xf numFmtId="3" fontId="6" fillId="0" borderId="5" xfId="0" applyNumberFormat="1" applyFont="1" applyBorder="1" applyAlignment="1">
      <alignment horizontal="left" vertical="center" shrinkToFit="1"/>
    </xf>
    <xf numFmtId="168" fontId="6" fillId="0" borderId="5" xfId="14" applyNumberFormat="1" applyFont="1" applyFill="1" applyBorder="1" applyAlignment="1">
      <alignment vertical="center" shrinkToFit="1"/>
    </xf>
    <xf numFmtId="175" fontId="6" fillId="0" borderId="5" xfId="14" applyNumberFormat="1" applyFont="1" applyFill="1" applyBorder="1" applyAlignment="1">
      <alignment vertical="center" shrinkToFit="1"/>
    </xf>
    <xf numFmtId="168" fontId="6" fillId="0" borderId="21" xfId="0" applyNumberFormat="1" applyFont="1" applyBorder="1" applyAlignment="1">
      <alignment vertical="center" shrinkToFit="1"/>
    </xf>
    <xf numFmtId="3" fontId="7" fillId="0" borderId="20" xfId="0" applyNumberFormat="1" applyFont="1" applyBorder="1" applyAlignment="1">
      <alignment horizontal="center" vertical="center"/>
    </xf>
    <xf numFmtId="3" fontId="7" fillId="0" borderId="5" xfId="0" applyNumberFormat="1" applyFont="1" applyBorder="1" applyAlignment="1">
      <alignment horizontal="left" vertical="center" shrinkToFit="1"/>
    </xf>
    <xf numFmtId="168" fontId="7" fillId="0" borderId="5" xfId="14" applyNumberFormat="1" applyFont="1" applyFill="1" applyBorder="1" applyAlignment="1">
      <alignment vertical="center" shrinkToFit="1"/>
    </xf>
    <xf numFmtId="175" fontId="7" fillId="0" borderId="5" xfId="14" applyNumberFormat="1" applyFont="1" applyFill="1" applyBorder="1" applyAlignment="1">
      <alignment vertical="center" shrinkToFit="1"/>
    </xf>
    <xf numFmtId="168" fontId="7" fillId="0" borderId="21" xfId="0" applyNumberFormat="1" applyFont="1" applyBorder="1" applyAlignment="1">
      <alignment vertical="center" shrinkToFit="1"/>
    </xf>
    <xf numFmtId="168" fontId="23" fillId="0" borderId="5" xfId="0" applyNumberFormat="1" applyFont="1" applyBorder="1" applyAlignment="1">
      <alignment vertical="center" shrinkToFit="1"/>
    </xf>
    <xf numFmtId="3" fontId="12" fillId="0" borderId="20" xfId="0" applyNumberFormat="1" applyFont="1" applyBorder="1" applyAlignment="1">
      <alignment horizontal="center"/>
    </xf>
    <xf numFmtId="165" fontId="6" fillId="0" borderId="5" xfId="14" applyFont="1" applyFill="1" applyBorder="1" applyAlignment="1">
      <alignment vertical="center" shrinkToFit="1"/>
    </xf>
    <xf numFmtId="3" fontId="7" fillId="0" borderId="20" xfId="0" applyNumberFormat="1" applyFont="1" applyBorder="1" applyAlignment="1">
      <alignment horizontal="center" vertical="center" wrapText="1"/>
    </xf>
    <xf numFmtId="3" fontId="7" fillId="0" borderId="91" xfId="0" applyNumberFormat="1" applyFont="1" applyBorder="1" applyAlignment="1">
      <alignment horizontal="center" vertical="center" wrapText="1"/>
    </xf>
    <xf numFmtId="3" fontId="7" fillId="0" borderId="9" xfId="0" applyNumberFormat="1" applyFont="1" applyBorder="1" applyAlignment="1">
      <alignment vertical="center" shrinkToFit="1"/>
    </xf>
    <xf numFmtId="168" fontId="7" fillId="0" borderId="9" xfId="14" applyNumberFormat="1" applyFont="1" applyFill="1" applyBorder="1" applyAlignment="1">
      <alignment vertical="center" shrinkToFit="1"/>
    </xf>
    <xf numFmtId="175" fontId="7" fillId="0" borderId="9" xfId="14" applyNumberFormat="1" applyFont="1" applyFill="1" applyBorder="1" applyAlignment="1">
      <alignment vertical="center" shrinkToFit="1"/>
    </xf>
    <xf numFmtId="3" fontId="10" fillId="0" borderId="42" xfId="0" applyNumberFormat="1" applyFont="1" applyBorder="1" applyAlignment="1">
      <alignment horizontal="center" vertical="center" wrapText="1"/>
    </xf>
    <xf numFmtId="3" fontId="10" fillId="0" borderId="43" xfId="0" applyNumberFormat="1" applyFont="1" applyBorder="1" applyAlignment="1">
      <alignment vertical="center" wrapText="1"/>
    </xf>
    <xf numFmtId="3" fontId="10" fillId="0" borderId="43" xfId="0" applyNumberFormat="1" applyFont="1" applyBorder="1" applyAlignment="1">
      <alignment vertical="center" shrinkToFit="1"/>
    </xf>
    <xf numFmtId="168" fontId="10" fillId="0" borderId="43" xfId="0" applyNumberFormat="1" applyFont="1" applyBorder="1" applyAlignment="1">
      <alignment vertical="center" shrinkToFit="1"/>
    </xf>
    <xf numFmtId="169" fontId="10" fillId="0" borderId="43" xfId="14" applyNumberFormat="1" applyFont="1" applyFill="1" applyBorder="1" applyAlignment="1">
      <alignment vertical="center" shrinkToFit="1"/>
    </xf>
    <xf numFmtId="2" fontId="10" fillId="0" borderId="43" xfId="0" applyNumberFormat="1" applyFont="1" applyBorder="1" applyAlignment="1">
      <alignment vertical="center" shrinkToFit="1"/>
    </xf>
    <xf numFmtId="175" fontId="10" fillId="0" borderId="43" xfId="14" applyNumberFormat="1" applyFont="1" applyFill="1" applyBorder="1" applyAlignment="1">
      <alignment vertical="center" shrinkToFit="1"/>
    </xf>
    <xf numFmtId="2" fontId="6" fillId="0" borderId="43" xfId="0" applyNumberFormat="1" applyFont="1" applyBorder="1" applyAlignment="1">
      <alignment vertical="center" shrinkToFit="1"/>
    </xf>
    <xf numFmtId="3" fontId="6" fillId="0" borderId="43" xfId="0" applyNumberFormat="1" applyFont="1" applyBorder="1" applyAlignment="1">
      <alignment vertical="center" shrinkToFit="1"/>
    </xf>
    <xf numFmtId="168" fontId="6" fillId="0" borderId="57" xfId="0" applyNumberFormat="1" applyFont="1" applyBorder="1" applyAlignment="1">
      <alignment vertical="center" shrinkToFit="1"/>
    </xf>
    <xf numFmtId="3" fontId="6" fillId="0" borderId="0" xfId="0" applyNumberFormat="1" applyFont="1" applyAlignment="1">
      <alignment horizontal="left"/>
    </xf>
    <xf numFmtId="169" fontId="6" fillId="0" borderId="0" xfId="14" applyNumberFormat="1" applyFont="1" applyFill="1" applyBorder="1" applyAlignment="1"/>
    <xf numFmtId="3" fontId="6" fillId="0" borderId="69" xfId="0" applyNumberFormat="1" applyFont="1" applyBorder="1"/>
    <xf numFmtId="10" fontId="7" fillId="0" borderId="0" xfId="2" applyNumberFormat="1" applyFont="1" applyFill="1" applyBorder="1" applyAlignment="1"/>
    <xf numFmtId="10" fontId="7" fillId="0" borderId="0" xfId="2" applyNumberFormat="1" applyFont="1" applyFill="1" applyBorder="1" applyAlignment="1">
      <alignment shrinkToFit="1"/>
    </xf>
    <xf numFmtId="189" fontId="7" fillId="0" borderId="0" xfId="2" applyNumberFormat="1" applyFont="1" applyFill="1" applyBorder="1" applyAlignment="1"/>
    <xf numFmtId="165" fontId="7" fillId="0" borderId="0" xfId="14" applyFont="1" applyFill="1" applyBorder="1" applyAlignment="1"/>
    <xf numFmtId="169" fontId="6" fillId="0" borderId="0" xfId="14" applyNumberFormat="1" applyFont="1" applyFill="1" applyBorder="1" applyAlignment="1">
      <alignment shrinkToFit="1"/>
    </xf>
    <xf numFmtId="9" fontId="6" fillId="0" borderId="0" xfId="2" applyFont="1" applyFill="1"/>
    <xf numFmtId="3" fontId="6" fillId="0" borderId="1" xfId="0" applyNumberFormat="1" applyFont="1" applyBorder="1" applyAlignment="1">
      <alignment horizontal="center" vertical="center" wrapText="1"/>
    </xf>
    <xf numFmtId="3" fontId="6" fillId="0" borderId="2" xfId="0" applyNumberFormat="1" applyFont="1" applyBorder="1" applyAlignment="1">
      <alignment horizontal="center" vertical="center" wrapText="1"/>
    </xf>
    <xf numFmtId="0" fontId="6" fillId="0" borderId="7" xfId="0" applyFont="1" applyBorder="1" applyAlignment="1">
      <alignment horizontal="center" vertical="center" wrapText="1"/>
    </xf>
    <xf numFmtId="169" fontId="7" fillId="0" borderId="108" xfId="1" applyNumberFormat="1" applyFont="1" applyFill="1" applyBorder="1" applyAlignment="1">
      <alignment horizontal="right" vertical="center"/>
    </xf>
    <xf numFmtId="169" fontId="7" fillId="0" borderId="108" xfId="1" applyNumberFormat="1" applyFont="1" applyFill="1" applyBorder="1" applyAlignment="1">
      <alignment vertical="center"/>
    </xf>
    <xf numFmtId="169" fontId="6" fillId="0" borderId="108" xfId="1" applyNumberFormat="1" applyFont="1" applyFill="1" applyBorder="1" applyAlignment="1">
      <alignment vertical="center"/>
    </xf>
    <xf numFmtId="169" fontId="6" fillId="0" borderId="112" xfId="1" applyNumberFormat="1" applyFont="1" applyFill="1" applyBorder="1" applyAlignment="1">
      <alignment vertical="center"/>
    </xf>
    <xf numFmtId="0" fontId="6" fillId="0" borderId="112" xfId="0" applyFont="1" applyBorder="1" applyAlignment="1">
      <alignment horizontal="justify" vertical="justify" wrapText="1" shrinkToFit="1"/>
    </xf>
    <xf numFmtId="169" fontId="6" fillId="0" borderId="114" xfId="1" applyNumberFormat="1" applyFont="1" applyFill="1" applyBorder="1" applyAlignment="1">
      <alignment vertical="center"/>
    </xf>
    <xf numFmtId="3" fontId="7" fillId="0" borderId="0" xfId="1" applyNumberFormat="1" applyFont="1" applyFill="1" applyAlignment="1">
      <alignment shrinkToFit="1"/>
    </xf>
    <xf numFmtId="3" fontId="7" fillId="0" borderId="0" xfId="3" applyNumberFormat="1" applyFont="1" applyAlignment="1">
      <alignment shrinkToFit="1"/>
    </xf>
    <xf numFmtId="169" fontId="7" fillId="0" borderId="0" xfId="3" applyNumberFormat="1" applyFont="1" applyAlignment="1">
      <alignment shrinkToFit="1"/>
    </xf>
    <xf numFmtId="4" fontId="11" fillId="0" borderId="5" xfId="3" applyNumberFormat="1" applyFont="1" applyBorder="1" applyAlignment="1">
      <alignment horizontal="justify" vertical="center" shrinkToFit="1"/>
    </xf>
    <xf numFmtId="4" fontId="11" fillId="0" borderId="5" xfId="3" applyNumberFormat="1" applyFont="1" applyBorder="1" applyAlignment="1">
      <alignment horizontal="justify" vertical="justify" wrapText="1" shrinkToFit="1"/>
    </xf>
    <xf numFmtId="169" fontId="7" fillId="0" borderId="109" xfId="1" applyNumberFormat="1" applyFont="1" applyFill="1" applyBorder="1" applyAlignment="1">
      <alignment horizontal="right" vertical="center"/>
    </xf>
    <xf numFmtId="169" fontId="7" fillId="0" borderId="109" xfId="1" applyNumberFormat="1" applyFont="1" applyFill="1" applyBorder="1" applyAlignment="1">
      <alignment vertical="center"/>
    </xf>
    <xf numFmtId="169" fontId="6" fillId="0" borderId="109" xfId="1" applyNumberFormat="1" applyFont="1" applyFill="1" applyBorder="1" applyAlignment="1">
      <alignment vertical="center"/>
    </xf>
    <xf numFmtId="169" fontId="6" fillId="0" borderId="147" xfId="1" applyNumberFormat="1" applyFont="1" applyFill="1" applyBorder="1" applyAlignment="1">
      <alignment vertical="center"/>
    </xf>
    <xf numFmtId="0" fontId="12" fillId="0" borderId="112" xfId="0" applyFont="1" applyBorder="1" applyAlignment="1">
      <alignment horizontal="justify" vertical="justify" shrinkToFit="1"/>
    </xf>
    <xf numFmtId="0" fontId="10" fillId="0" borderId="117" xfId="0" applyFont="1" applyBorder="1" applyAlignment="1">
      <alignment horizontal="center"/>
    </xf>
    <xf numFmtId="169" fontId="10" fillId="0" borderId="4" xfId="1" applyNumberFormat="1" applyFont="1" applyBorder="1" applyAlignment="1">
      <alignment horizontal="right"/>
    </xf>
    <xf numFmtId="169" fontId="10" fillId="0" borderId="3" xfId="1" applyNumberFormat="1" applyFont="1" applyBorder="1" applyAlignment="1">
      <alignment horizontal="right"/>
    </xf>
    <xf numFmtId="3" fontId="10" fillId="0" borderId="4" xfId="1" applyNumberFormat="1" applyFont="1" applyBorder="1" applyAlignment="1">
      <alignment horizontal="right"/>
    </xf>
    <xf numFmtId="3" fontId="10" fillId="0" borderId="4" xfId="1" applyNumberFormat="1" applyFont="1" applyBorder="1" applyAlignment="1"/>
    <xf numFmtId="3" fontId="10" fillId="0" borderId="103" xfId="1" applyNumberFormat="1" applyFont="1" applyBorder="1" applyAlignment="1"/>
    <xf numFmtId="0" fontId="6" fillId="0" borderId="5" xfId="0" applyFont="1" applyBorder="1" applyAlignment="1">
      <alignment horizontal="justify" vertical="justify" shrinkToFit="1"/>
    </xf>
    <xf numFmtId="0" fontId="7" fillId="0" borderId="16" xfId="0" applyFont="1" applyBorder="1" applyAlignment="1">
      <alignment vertical="center"/>
    </xf>
    <xf numFmtId="0" fontId="7" fillId="0" borderId="5" xfId="0" applyFont="1" applyBorder="1" applyAlignment="1">
      <alignment horizontal="justify" vertical="justify" shrinkToFit="1"/>
    </xf>
    <xf numFmtId="0" fontId="6" fillId="0" borderId="16" xfId="0" applyFont="1" applyBorder="1" applyAlignment="1">
      <alignment vertical="center"/>
    </xf>
    <xf numFmtId="4" fontId="12" fillId="0" borderId="4" xfId="3" applyNumberFormat="1" applyFont="1" applyBorder="1" applyAlignment="1">
      <alignment horizontal="center" vertical="center" wrapText="1" shrinkToFit="1"/>
    </xf>
    <xf numFmtId="3" fontId="21" fillId="0" borderId="6" xfId="1" applyNumberFormat="1" applyFont="1" applyBorder="1" applyAlignment="1">
      <alignment horizontal="right" vertical="center" shrinkToFit="1"/>
    </xf>
    <xf numFmtId="3" fontId="21" fillId="0" borderId="6" xfId="0" applyNumberFormat="1" applyFont="1" applyBorder="1" applyAlignment="1">
      <alignment horizontal="right" shrinkToFit="1"/>
    </xf>
    <xf numFmtId="3" fontId="21" fillId="0" borderId="106" xfId="0" applyNumberFormat="1" applyFont="1" applyBorder="1" applyAlignment="1">
      <alignment horizontal="right" shrinkToFit="1"/>
    </xf>
    <xf numFmtId="3" fontId="12" fillId="0" borderId="5" xfId="1" applyNumberFormat="1" applyFont="1" applyBorder="1" applyAlignment="1">
      <alignment horizontal="right" vertical="center" shrinkToFit="1"/>
    </xf>
    <xf numFmtId="3" fontId="12" fillId="0" borderId="5" xfId="0" applyNumberFormat="1" applyFont="1" applyBorder="1" applyAlignment="1">
      <alignment horizontal="right" shrinkToFit="1"/>
    </xf>
    <xf numFmtId="3" fontId="12" fillId="0" borderId="108" xfId="0" applyNumberFormat="1" applyFont="1" applyBorder="1" applyAlignment="1">
      <alignment horizontal="right" shrinkToFit="1"/>
    </xf>
    <xf numFmtId="3" fontId="21" fillId="0" borderId="5" xfId="1" applyNumberFormat="1" applyFont="1" applyBorder="1" applyAlignment="1">
      <alignment horizontal="right" vertical="center" shrinkToFit="1"/>
    </xf>
    <xf numFmtId="3" fontId="21" fillId="0" borderId="108" xfId="1" applyNumberFormat="1" applyFont="1" applyBorder="1" applyAlignment="1">
      <alignment horizontal="right" vertical="center" shrinkToFit="1"/>
    </xf>
    <xf numFmtId="3" fontId="12" fillId="0" borderId="108" xfId="1" applyNumberFormat="1" applyFont="1" applyBorder="1" applyAlignment="1">
      <alignment horizontal="right" vertical="center" shrinkToFit="1"/>
    </xf>
    <xf numFmtId="3" fontId="11" fillId="0" borderId="5" xfId="1" applyNumberFormat="1" applyFont="1" applyBorder="1" applyAlignment="1">
      <alignment horizontal="right" vertical="center" shrinkToFit="1"/>
    </xf>
    <xf numFmtId="3" fontId="11" fillId="0" borderId="5" xfId="0" applyNumberFormat="1" applyFont="1" applyBorder="1" applyAlignment="1">
      <alignment horizontal="right" vertical="center" shrinkToFit="1"/>
    </xf>
    <xf numFmtId="3" fontId="11" fillId="0" borderId="108" xfId="0" applyNumberFormat="1" applyFont="1" applyBorder="1" applyAlignment="1">
      <alignment horizontal="right" vertical="center" shrinkToFit="1"/>
    </xf>
    <xf numFmtId="3" fontId="30" fillId="0" borderId="5" xfId="1" applyNumberFormat="1" applyFont="1" applyBorder="1" applyAlignment="1">
      <alignment horizontal="right" vertical="center" shrinkToFit="1"/>
    </xf>
    <xf numFmtId="3" fontId="30" fillId="0" borderId="5" xfId="0" applyNumberFormat="1" applyFont="1" applyBorder="1" applyAlignment="1">
      <alignment horizontal="right" vertical="center" shrinkToFit="1"/>
    </xf>
    <xf numFmtId="3" fontId="30" fillId="0" borderId="108" xfId="0" applyNumberFormat="1" applyFont="1" applyBorder="1" applyAlignment="1">
      <alignment horizontal="right" vertical="center" shrinkToFit="1"/>
    </xf>
    <xf numFmtId="3" fontId="21" fillId="0" borderId="5" xfId="0" applyNumberFormat="1" applyFont="1" applyBorder="1" applyAlignment="1">
      <alignment horizontal="right" shrinkToFit="1"/>
    </xf>
    <xf numFmtId="3" fontId="21" fillId="0" borderId="108" xfId="0" applyNumberFormat="1" applyFont="1" applyBorder="1" applyAlignment="1">
      <alignment horizontal="right" vertical="center" shrinkToFit="1"/>
    </xf>
    <xf numFmtId="3" fontId="21" fillId="0" borderId="108" xfId="0" applyNumberFormat="1" applyFont="1" applyBorder="1" applyAlignment="1">
      <alignment horizontal="right" shrinkToFit="1"/>
    </xf>
    <xf numFmtId="3" fontId="11" fillId="0" borderId="5" xfId="0" applyNumberFormat="1" applyFont="1" applyBorder="1" applyAlignment="1">
      <alignment horizontal="right" shrinkToFit="1"/>
    </xf>
    <xf numFmtId="3" fontId="11" fillId="0" borderId="108" xfId="0" applyNumberFormat="1" applyFont="1" applyBorder="1" applyAlignment="1">
      <alignment horizontal="right" shrinkToFit="1"/>
    </xf>
    <xf numFmtId="3" fontId="11" fillId="0" borderId="9" xfId="1" applyNumberFormat="1" applyFont="1" applyBorder="1" applyAlignment="1">
      <alignment horizontal="right" vertical="center" shrinkToFit="1"/>
    </xf>
    <xf numFmtId="3" fontId="21" fillId="0" borderId="112" xfId="1" applyNumberFormat="1" applyFont="1" applyBorder="1" applyAlignment="1">
      <alignment horizontal="right" vertical="center" shrinkToFit="1"/>
    </xf>
    <xf numFmtId="3" fontId="21" fillId="0" borderId="112" xfId="0" applyNumberFormat="1" applyFont="1" applyBorder="1" applyAlignment="1">
      <alignment horizontal="right" vertical="center" shrinkToFit="1"/>
    </xf>
    <xf numFmtId="3" fontId="21" fillId="0" borderId="112" xfId="0" applyNumberFormat="1" applyFont="1" applyBorder="1" applyAlignment="1">
      <alignment horizontal="right" shrinkToFit="1"/>
    </xf>
    <xf numFmtId="3" fontId="12" fillId="0" borderId="112" xfId="1" applyNumberFormat="1" applyFont="1" applyBorder="1" applyAlignment="1">
      <alignment horizontal="right" vertical="center" shrinkToFit="1"/>
    </xf>
    <xf numFmtId="3" fontId="12" fillId="0" borderId="114" xfId="0" applyNumberFormat="1" applyFont="1" applyBorder="1" applyAlignment="1">
      <alignment horizontal="right" vertical="center" shrinkToFit="1"/>
    </xf>
    <xf numFmtId="9" fontId="25" fillId="0" borderId="0" xfId="2" applyFont="1"/>
    <xf numFmtId="10" fontId="25" fillId="0" borderId="0" xfId="2" applyNumberFormat="1" applyFont="1"/>
    <xf numFmtId="3" fontId="25" fillId="0" borderId="0" xfId="0" applyNumberFormat="1" applyFont="1"/>
    <xf numFmtId="3" fontId="14" fillId="0" borderId="0" xfId="0" applyNumberFormat="1" applyFont="1" applyAlignment="1">
      <alignment vertical="center"/>
    </xf>
    <xf numFmtId="3" fontId="10" fillId="0" borderId="6" xfId="0" applyNumberFormat="1" applyFont="1" applyBorder="1" applyAlignment="1">
      <alignment horizontal="right" vertical="center" shrinkToFit="1"/>
    </xf>
    <xf numFmtId="3" fontId="10" fillId="0" borderId="6" xfId="14" applyNumberFormat="1" applyFont="1" applyFill="1" applyBorder="1" applyAlignment="1">
      <alignment horizontal="right" vertical="center" shrinkToFit="1"/>
    </xf>
    <xf numFmtId="3" fontId="10" fillId="0" borderId="5" xfId="14" applyNumberFormat="1" applyFont="1" applyFill="1" applyBorder="1" applyAlignment="1">
      <alignment horizontal="right" vertical="center" shrinkToFit="1"/>
    </xf>
    <xf numFmtId="3" fontId="25" fillId="0" borderId="5" xfId="0" applyNumberFormat="1" applyFont="1" applyBorder="1" applyAlignment="1">
      <alignment horizontal="right" vertical="center" shrinkToFit="1"/>
    </xf>
    <xf numFmtId="3" fontId="25" fillId="0" borderId="5" xfId="14" applyNumberFormat="1" applyFont="1" applyFill="1" applyBorder="1" applyAlignment="1">
      <alignment horizontal="right" vertical="center" shrinkToFit="1"/>
    </xf>
    <xf numFmtId="3" fontId="6" fillId="0" borderId="5" xfId="0" applyNumberFormat="1" applyFont="1" applyBorder="1" applyAlignment="1">
      <alignment horizontal="right" vertical="center" shrinkToFit="1"/>
    </xf>
    <xf numFmtId="3" fontId="6" fillId="0" borderId="5" xfId="14" applyNumberFormat="1" applyFont="1" applyFill="1" applyBorder="1" applyAlignment="1">
      <alignment horizontal="right" vertical="center" shrinkToFit="1"/>
    </xf>
    <xf numFmtId="3" fontId="17" fillId="0" borderId="5" xfId="0" applyNumberFormat="1" applyFont="1" applyBorder="1" applyAlignment="1">
      <alignment horizontal="right" vertical="center" shrinkToFit="1"/>
    </xf>
    <xf numFmtId="3" fontId="7" fillId="0" borderId="5" xfId="14" applyNumberFormat="1" applyFont="1" applyFill="1" applyBorder="1" applyAlignment="1">
      <alignment horizontal="right" vertical="center" shrinkToFit="1"/>
    </xf>
    <xf numFmtId="3" fontId="13" fillId="0" borderId="5" xfId="0" applyNumberFormat="1" applyFont="1" applyBorder="1" applyAlignment="1">
      <alignment horizontal="right" vertical="center" shrinkToFit="1"/>
    </xf>
    <xf numFmtId="3" fontId="13" fillId="0" borderId="5" xfId="0" applyNumberFormat="1" applyFont="1" applyBorder="1" applyAlignment="1">
      <alignment horizontal="right" shrinkToFit="1"/>
    </xf>
    <xf numFmtId="3" fontId="13" fillId="0" borderId="5" xfId="14" applyNumberFormat="1" applyFont="1" applyFill="1" applyBorder="1" applyAlignment="1">
      <alignment horizontal="right" vertical="center" shrinkToFit="1"/>
    </xf>
    <xf numFmtId="3" fontId="10" fillId="0" borderId="5" xfId="14" applyNumberFormat="1" applyFont="1" applyFill="1" applyBorder="1" applyAlignment="1">
      <alignment horizontal="right" vertical="center"/>
    </xf>
    <xf numFmtId="3" fontId="10" fillId="0" borderId="8" xfId="0" applyNumberFormat="1" applyFont="1" applyBorder="1" applyAlignment="1">
      <alignment horizontal="right" vertical="center" shrinkToFit="1"/>
    </xf>
    <xf numFmtId="3" fontId="10" fillId="0" borderId="8" xfId="14" applyNumberFormat="1" applyFont="1" applyFill="1" applyBorder="1" applyAlignment="1">
      <alignment horizontal="right" vertical="center" shrinkToFit="1"/>
    </xf>
    <xf numFmtId="0" fontId="12" fillId="0" borderId="0" xfId="0" applyFont="1" applyAlignment="1">
      <alignment horizontal="justify" vertical="justify" wrapText="1" shrinkToFit="1"/>
    </xf>
    <xf numFmtId="4" fontId="6" fillId="0" borderId="4" xfId="3" applyNumberFormat="1" applyFont="1" applyBorder="1" applyAlignment="1">
      <alignment horizontal="center" vertical="center" wrapText="1" shrinkToFit="1"/>
    </xf>
    <xf numFmtId="3" fontId="6" fillId="0" borderId="5" xfId="1" applyNumberFormat="1" applyFont="1" applyBorder="1" applyAlignment="1">
      <alignment horizontal="right" vertical="center" shrinkToFit="1"/>
    </xf>
    <xf numFmtId="168" fontId="13" fillId="0" borderId="16" xfId="0" applyNumberFormat="1" applyFont="1" applyBorder="1" applyAlignment="1">
      <alignment vertical="center" shrinkToFit="1"/>
    </xf>
    <xf numFmtId="4" fontId="7" fillId="0" borderId="0" xfId="2" applyNumberFormat="1" applyFont="1" applyAlignment="1">
      <alignment vertical="center" shrinkToFit="1"/>
    </xf>
    <xf numFmtId="171" fontId="7" fillId="0" borderId="0" xfId="2" applyNumberFormat="1" applyFont="1" applyAlignment="1">
      <alignment vertical="center"/>
    </xf>
    <xf numFmtId="3" fontId="29" fillId="0" borderId="0" xfId="0" applyNumberFormat="1" applyFont="1"/>
    <xf numFmtId="4" fontId="13" fillId="0" borderId="0" xfId="2" applyNumberFormat="1" applyFont="1" applyAlignment="1">
      <alignment shrinkToFit="1"/>
    </xf>
    <xf numFmtId="9" fontId="13" fillId="0" borderId="0" xfId="2" applyFont="1"/>
    <xf numFmtId="3" fontId="13" fillId="0" borderId="0" xfId="0" applyNumberFormat="1" applyFont="1" applyAlignment="1">
      <alignment shrinkToFit="1"/>
    </xf>
    <xf numFmtId="10" fontId="13" fillId="0" borderId="0" xfId="2" applyNumberFormat="1" applyFont="1"/>
    <xf numFmtId="188" fontId="7" fillId="0" borderId="0" xfId="0" applyNumberFormat="1" applyFont="1"/>
    <xf numFmtId="168" fontId="10" fillId="0" borderId="16" xfId="0" applyNumberFormat="1" applyFont="1" applyBorder="1" applyAlignment="1">
      <alignment vertical="center" shrinkToFit="1"/>
    </xf>
    <xf numFmtId="168" fontId="10" fillId="0" borderId="17" xfId="0" applyNumberFormat="1" applyFont="1" applyBorder="1" applyAlignment="1">
      <alignment vertical="center" shrinkToFit="1"/>
    </xf>
    <xf numFmtId="168" fontId="10" fillId="0" borderId="108" xfId="0" applyNumberFormat="1" applyFont="1" applyBorder="1" applyAlignment="1">
      <alignment vertical="center" shrinkToFit="1"/>
    </xf>
    <xf numFmtId="3" fontId="11" fillId="0" borderId="0" xfId="0" applyNumberFormat="1" applyFont="1" applyAlignment="1">
      <alignment horizontal="left"/>
    </xf>
    <xf numFmtId="3" fontId="12" fillId="0" borderId="0" xfId="0" applyNumberFormat="1" applyFont="1" applyAlignment="1">
      <alignment vertical="center" wrapText="1"/>
    </xf>
    <xf numFmtId="3" fontId="11" fillId="0" borderId="0" xfId="0" applyNumberFormat="1" applyFont="1" applyAlignment="1">
      <alignment vertical="center" wrapText="1"/>
    </xf>
    <xf numFmtId="3" fontId="11" fillId="0" borderId="0" xfId="0" applyNumberFormat="1" applyFont="1" applyAlignment="1">
      <alignment horizontal="center" vertical="center" wrapText="1"/>
    </xf>
    <xf numFmtId="3" fontId="12" fillId="0" borderId="0" xfId="0" applyNumberFormat="1" applyFont="1" applyAlignment="1">
      <alignment horizontal="center" vertical="center" wrapText="1"/>
    </xf>
    <xf numFmtId="165" fontId="11" fillId="0" borderId="0" xfId="14" applyFont="1" applyFill="1"/>
    <xf numFmtId="4" fontId="11" fillId="0" borderId="0" xfId="0" applyNumberFormat="1" applyFont="1"/>
    <xf numFmtId="3" fontId="12" fillId="0" borderId="0" xfId="0" applyNumberFormat="1" applyFont="1"/>
    <xf numFmtId="3" fontId="12" fillId="0" borderId="4" xfId="0" applyNumberFormat="1" applyFont="1" applyBorder="1" applyAlignment="1">
      <alignment horizontal="center" vertical="center" shrinkToFit="1"/>
    </xf>
    <xf numFmtId="3" fontId="12" fillId="0" borderId="19" xfId="0" applyNumberFormat="1" applyFont="1" applyBorder="1" applyAlignment="1">
      <alignment horizontal="center" vertical="center" shrinkToFit="1"/>
    </xf>
    <xf numFmtId="3" fontId="12" fillId="0" borderId="3" xfId="0" applyNumberFormat="1" applyFont="1" applyBorder="1" applyAlignment="1">
      <alignment horizontal="center" vertical="center" shrinkToFit="1"/>
    </xf>
    <xf numFmtId="3" fontId="12" fillId="0" borderId="103" xfId="0" applyNumberFormat="1" applyFont="1" applyBorder="1" applyAlignment="1">
      <alignment horizontal="center" vertical="center" shrinkToFit="1"/>
    </xf>
    <xf numFmtId="3" fontId="11" fillId="0" borderId="0" xfId="0" applyNumberFormat="1" applyFont="1" applyAlignment="1">
      <alignment shrinkToFit="1"/>
    </xf>
    <xf numFmtId="3" fontId="21" fillId="0" borderId="105" xfId="0" applyNumberFormat="1" applyFont="1" applyBorder="1" applyAlignment="1">
      <alignment horizontal="center" shrinkToFit="1"/>
    </xf>
    <xf numFmtId="3" fontId="21" fillId="0" borderId="6" xfId="0" applyNumberFormat="1" applyFont="1" applyBorder="1" applyAlignment="1">
      <alignment shrinkToFit="1"/>
    </xf>
    <xf numFmtId="3" fontId="21" fillId="0" borderId="50" xfId="0" applyNumberFormat="1" applyFont="1" applyBorder="1" applyAlignment="1">
      <alignment horizontal="right" shrinkToFit="1"/>
    </xf>
    <xf numFmtId="3" fontId="21" fillId="0" borderId="36" xfId="0" applyNumberFormat="1" applyFont="1" applyBorder="1" applyAlignment="1">
      <alignment horizontal="right" shrinkToFit="1"/>
    </xf>
    <xf numFmtId="3" fontId="21" fillId="0" borderId="106" xfId="0" applyNumberFormat="1" applyFont="1" applyBorder="1" applyAlignment="1">
      <alignment shrinkToFit="1"/>
    </xf>
    <xf numFmtId="3" fontId="33" fillId="0" borderId="0" xfId="0" applyNumberFormat="1" applyFont="1"/>
    <xf numFmtId="3" fontId="130" fillId="0" borderId="130" xfId="0" applyNumberFormat="1" applyFont="1" applyBorder="1" applyAlignment="1">
      <alignment horizontal="center" shrinkToFit="1"/>
    </xf>
    <xf numFmtId="3" fontId="130" fillId="0" borderId="30" xfId="0" applyNumberFormat="1" applyFont="1" applyBorder="1" applyAlignment="1">
      <alignment shrinkToFit="1"/>
    </xf>
    <xf numFmtId="3" fontId="130" fillId="0" borderId="30" xfId="0" applyNumberFormat="1" applyFont="1" applyBorder="1" applyAlignment="1">
      <alignment horizontal="right" shrinkToFit="1"/>
    </xf>
    <xf numFmtId="3" fontId="130" fillId="0" borderId="31" xfId="0" applyNumberFormat="1" applyFont="1" applyBorder="1" applyAlignment="1">
      <alignment horizontal="right" shrinkToFit="1"/>
    </xf>
    <xf numFmtId="3" fontId="130" fillId="0" borderId="32" xfId="0" applyNumberFormat="1" applyFont="1" applyBorder="1" applyAlignment="1">
      <alignment horizontal="right" shrinkToFit="1"/>
    </xf>
    <xf numFmtId="3" fontId="130" fillId="0" borderId="131" xfId="0" applyNumberFormat="1" applyFont="1" applyBorder="1" applyAlignment="1">
      <alignment shrinkToFit="1"/>
    </xf>
    <xf numFmtId="3" fontId="130" fillId="0" borderId="0" xfId="0" applyNumberFormat="1" applyFont="1"/>
    <xf numFmtId="3" fontId="21" fillId="0" borderId="107" xfId="0" applyNumberFormat="1" applyFont="1" applyBorder="1" applyAlignment="1">
      <alignment horizontal="center" shrinkToFit="1"/>
    </xf>
    <xf numFmtId="3" fontId="21" fillId="0" borderId="5" xfId="0" applyNumberFormat="1" applyFont="1" applyBorder="1" applyAlignment="1">
      <alignment shrinkToFit="1"/>
    </xf>
    <xf numFmtId="3" fontId="21" fillId="0" borderId="21" xfId="0" applyNumberFormat="1" applyFont="1" applyBorder="1" applyAlignment="1">
      <alignment horizontal="right" shrinkToFit="1"/>
    </xf>
    <xf numFmtId="3" fontId="21" fillId="0" borderId="16" xfId="0" applyNumberFormat="1" applyFont="1" applyBorder="1" applyAlignment="1">
      <alignment horizontal="right" shrinkToFit="1"/>
    </xf>
    <xf numFmtId="3" fontId="21" fillId="0" borderId="108" xfId="0" applyNumberFormat="1" applyFont="1" applyBorder="1" applyAlignment="1">
      <alignment shrinkToFit="1"/>
    </xf>
    <xf numFmtId="3" fontId="11" fillId="0" borderId="107" xfId="0" applyNumberFormat="1" applyFont="1" applyBorder="1" applyAlignment="1">
      <alignment horizontal="center" shrinkToFit="1"/>
    </xf>
    <xf numFmtId="3" fontId="11" fillId="0" borderId="21" xfId="0" applyNumberFormat="1" applyFont="1" applyBorder="1" applyAlignment="1">
      <alignment horizontal="right" shrinkToFit="1"/>
    </xf>
    <xf numFmtId="3" fontId="11" fillId="0" borderId="16" xfId="0" applyNumberFormat="1" applyFont="1" applyBorder="1" applyAlignment="1">
      <alignment horizontal="right" shrinkToFit="1"/>
    </xf>
    <xf numFmtId="3" fontId="11" fillId="0" borderId="108" xfId="0" applyNumberFormat="1" applyFont="1" applyBorder="1" applyAlignment="1">
      <alignment shrinkToFit="1"/>
    </xf>
    <xf numFmtId="3" fontId="12" fillId="0" borderId="107" xfId="0" applyNumberFormat="1" applyFont="1" applyBorder="1" applyAlignment="1">
      <alignment horizontal="center" shrinkToFit="1"/>
    </xf>
    <xf numFmtId="0" fontId="11" fillId="0" borderId="107" xfId="0" applyFont="1" applyBorder="1" applyAlignment="1">
      <alignment horizontal="center" shrinkToFit="1"/>
    </xf>
    <xf numFmtId="3" fontId="21" fillId="0" borderId="5" xfId="0" applyNumberFormat="1" applyFont="1" applyBorder="1" applyAlignment="1">
      <alignment horizontal="right" vertical="center" shrinkToFit="1"/>
    </xf>
    <xf numFmtId="178" fontId="11" fillId="0" borderId="5" xfId="5" applyNumberFormat="1" applyFont="1" applyBorder="1" applyAlignment="1">
      <alignment horizontal="justify" vertical="justify" wrapText="1"/>
    </xf>
    <xf numFmtId="3" fontId="11" fillId="0" borderId="21" xfId="0" applyNumberFormat="1" applyFont="1" applyBorder="1" applyAlignment="1">
      <alignment horizontal="right" vertical="center" shrinkToFit="1"/>
    </xf>
    <xf numFmtId="3" fontId="11" fillId="0" borderId="16" xfId="0" applyNumberFormat="1" applyFont="1" applyBorder="1" applyAlignment="1">
      <alignment horizontal="right" vertical="center" shrinkToFit="1"/>
    </xf>
    <xf numFmtId="3" fontId="11" fillId="0" borderId="9" xfId="0" applyNumberFormat="1" applyFont="1" applyBorder="1" applyAlignment="1">
      <alignment horizontal="right" vertical="center" shrinkToFit="1"/>
    </xf>
    <xf numFmtId="3" fontId="21" fillId="0" borderId="110" xfId="0" applyNumberFormat="1" applyFont="1" applyBorder="1" applyAlignment="1">
      <alignment horizontal="center" vertical="center" wrapText="1" shrinkToFit="1"/>
    </xf>
    <xf numFmtId="178" fontId="21" fillId="0" borderId="9" xfId="5" applyNumberFormat="1" applyFont="1" applyBorder="1" applyAlignment="1">
      <alignment vertical="center" wrapText="1"/>
    </xf>
    <xf numFmtId="3" fontId="21" fillId="0" borderId="9" xfId="0" applyNumberFormat="1" applyFont="1" applyBorder="1" applyAlignment="1">
      <alignment horizontal="right" vertical="center" shrinkToFit="1"/>
    </xf>
    <xf numFmtId="3" fontId="21" fillId="0" borderId="76" xfId="0" applyNumberFormat="1" applyFont="1" applyBorder="1" applyAlignment="1">
      <alignment horizontal="right" vertical="center" shrinkToFit="1"/>
    </xf>
    <xf numFmtId="3" fontId="21" fillId="0" borderId="17" xfId="0" applyNumberFormat="1" applyFont="1" applyBorder="1" applyAlignment="1">
      <alignment horizontal="right" vertical="center" shrinkToFit="1"/>
    </xf>
    <xf numFmtId="3" fontId="21" fillId="0" borderId="9" xfId="0" applyNumberFormat="1" applyFont="1" applyBorder="1" applyAlignment="1">
      <alignment vertical="center" shrinkToFit="1"/>
    </xf>
    <xf numFmtId="3" fontId="21" fillId="0" borderId="132" xfId="0" applyNumberFormat="1" applyFont="1" applyBorder="1" applyAlignment="1">
      <alignment vertical="center" shrinkToFit="1"/>
    </xf>
    <xf numFmtId="3" fontId="21" fillId="0" borderId="111" xfId="0" applyNumberFormat="1" applyFont="1" applyBorder="1" applyAlignment="1">
      <alignment horizontal="center" vertical="center" shrinkToFit="1"/>
    </xf>
    <xf numFmtId="3" fontId="21" fillId="0" borderId="112" xfId="0" applyNumberFormat="1" applyFont="1" applyBorder="1" applyAlignment="1">
      <alignment horizontal="center" vertical="center" shrinkToFit="1"/>
    </xf>
    <xf numFmtId="3" fontId="21" fillId="0" borderId="134" xfId="0" applyNumberFormat="1" applyFont="1" applyBorder="1" applyAlignment="1">
      <alignment horizontal="right" vertical="center" shrinkToFit="1"/>
    </xf>
    <xf numFmtId="3" fontId="21" fillId="0" borderId="113" xfId="0" applyNumberFormat="1" applyFont="1" applyBorder="1" applyAlignment="1">
      <alignment horizontal="right" vertical="center" shrinkToFit="1"/>
    </xf>
    <xf numFmtId="3" fontId="21" fillId="0" borderId="114" xfId="0" applyNumberFormat="1" applyFont="1" applyBorder="1" applyAlignment="1">
      <alignment horizontal="right" vertical="center" shrinkToFit="1"/>
    </xf>
    <xf numFmtId="9" fontId="11" fillId="0" borderId="0" xfId="2" applyFont="1" applyFill="1"/>
    <xf numFmtId="3" fontId="10" fillId="0" borderId="6" xfId="0" applyNumberFormat="1" applyFont="1" applyBorder="1" applyAlignment="1">
      <alignment horizontal="left" shrinkToFit="1"/>
    </xf>
    <xf numFmtId="3" fontId="23" fillId="0" borderId="5" xfId="0" applyNumberFormat="1" applyFont="1" applyBorder="1" applyAlignment="1">
      <alignment vertical="center"/>
    </xf>
    <xf numFmtId="0" fontId="30" fillId="0" borderId="0" xfId="0" applyFont="1" applyAlignment="1">
      <alignment horizontal="center" vertical="center" wrapText="1"/>
    </xf>
    <xf numFmtId="3" fontId="12" fillId="0" borderId="4" xfId="15" applyNumberFormat="1" applyFont="1" applyBorder="1" applyAlignment="1">
      <alignment horizontal="center" vertical="center" wrapText="1"/>
    </xf>
    <xf numFmtId="3" fontId="21" fillId="0" borderId="6" xfId="0" applyNumberFormat="1" applyFont="1" applyBorder="1" applyAlignment="1">
      <alignment horizontal="center"/>
    </xf>
    <xf numFmtId="3" fontId="21" fillId="0" borderId="6" xfId="0" applyNumberFormat="1" applyFont="1" applyBorder="1"/>
    <xf numFmtId="3" fontId="21" fillId="0" borderId="5" xfId="0" applyNumberFormat="1" applyFont="1" applyBorder="1" applyAlignment="1">
      <alignment horizontal="center"/>
    </xf>
    <xf numFmtId="3" fontId="21" fillId="0" borderId="5" xfId="0" applyNumberFormat="1" applyFont="1" applyBorder="1"/>
    <xf numFmtId="174" fontId="30" fillId="0" borderId="5" xfId="0" applyNumberFormat="1" applyFont="1" applyBorder="1" applyAlignment="1">
      <alignment horizontal="center"/>
    </xf>
    <xf numFmtId="3" fontId="30" fillId="0" borderId="5" xfId="0" applyNumberFormat="1" applyFont="1" applyBorder="1" applyAlignment="1">
      <alignment shrinkToFit="1"/>
    </xf>
    <xf numFmtId="3" fontId="11" fillId="0" borderId="5" xfId="0" applyNumberFormat="1" applyFont="1" applyBorder="1" applyAlignment="1">
      <alignment horizontal="center"/>
    </xf>
    <xf numFmtId="3" fontId="30" fillId="0" borderId="5" xfId="0" applyNumberFormat="1" applyFont="1" applyBorder="1" applyAlignment="1">
      <alignment horizontal="center"/>
    </xf>
    <xf numFmtId="3" fontId="21" fillId="0" borderId="5" xfId="0" applyNumberFormat="1" applyFont="1" applyBorder="1" applyAlignment="1">
      <alignment horizontal="centerContinuous"/>
    </xf>
    <xf numFmtId="0" fontId="21" fillId="0" borderId="0" xfId="0" applyFont="1"/>
    <xf numFmtId="174" fontId="30" fillId="0" borderId="5" xfId="0" applyNumberFormat="1" applyFont="1" applyBorder="1" applyAlignment="1">
      <alignment vertical="center" wrapText="1" shrinkToFit="1"/>
    </xf>
    <xf numFmtId="3" fontId="11" fillId="0" borderId="5" xfId="0" applyNumberFormat="1" applyFont="1" applyBorder="1"/>
    <xf numFmtId="168" fontId="21" fillId="0" borderId="109" xfId="4" applyNumberFormat="1" applyFont="1" applyBorder="1" applyAlignment="1">
      <alignment vertical="center"/>
    </xf>
    <xf numFmtId="168" fontId="21" fillId="0" borderId="6" xfId="4" applyNumberFormat="1" applyFont="1" applyBorder="1" applyAlignment="1">
      <alignment vertical="center"/>
    </xf>
    <xf numFmtId="0" fontId="23" fillId="0" borderId="0" xfId="0" applyFont="1" applyAlignment="1">
      <alignment horizontal="justify" vertical="justify" wrapText="1"/>
    </xf>
    <xf numFmtId="0" fontId="7" fillId="0" borderId="0" xfId="0" applyFont="1" applyAlignment="1">
      <alignment horizontal="left" wrapText="1"/>
    </xf>
    <xf numFmtId="0" fontId="10" fillId="0" borderId="105" xfId="0" applyFont="1" applyBorder="1" applyAlignment="1">
      <alignment horizontal="center" vertical="center"/>
    </xf>
    <xf numFmtId="0" fontId="13" fillId="0" borderId="107" xfId="0" applyFont="1" applyBorder="1" applyAlignment="1">
      <alignment horizontal="center" vertical="center" wrapText="1"/>
    </xf>
    <xf numFmtId="3" fontId="6" fillId="0" borderId="112" xfId="0" applyNumberFormat="1" applyFont="1" applyBorder="1" applyAlignment="1">
      <alignment vertical="center" wrapText="1"/>
    </xf>
    <xf numFmtId="0" fontId="55" fillId="0" borderId="107" xfId="0" applyFont="1" applyBorder="1" applyAlignment="1">
      <alignment horizontal="center" vertical="center"/>
    </xf>
    <xf numFmtId="3" fontId="17" fillId="0" borderId="108" xfId="0" applyNumberFormat="1" applyFont="1" applyBorder="1" applyAlignment="1">
      <alignment vertical="center" shrinkToFit="1"/>
    </xf>
    <xf numFmtId="0" fontId="17" fillId="0" borderId="107" xfId="0" applyFont="1" applyBorder="1" applyAlignment="1">
      <alignment horizontal="center" vertical="center"/>
    </xf>
    <xf numFmtId="0" fontId="21" fillId="0" borderId="111" xfId="0" applyFont="1" applyBorder="1" applyAlignment="1">
      <alignment horizontal="center" vertical="center" wrapText="1"/>
    </xf>
    <xf numFmtId="3" fontId="21" fillId="0" borderId="112" xfId="0" applyNumberFormat="1" applyFont="1" applyBorder="1" applyAlignment="1">
      <alignment vertical="center" wrapText="1"/>
    </xf>
    <xf numFmtId="3" fontId="21" fillId="0" borderId="114" xfId="0" applyNumberFormat="1" applyFont="1" applyBorder="1" applyAlignment="1">
      <alignment vertical="center" shrinkToFit="1"/>
    </xf>
    <xf numFmtId="3" fontId="21" fillId="0" borderId="5" xfId="0" applyNumberFormat="1" applyFont="1" applyBorder="1" applyAlignment="1">
      <alignment vertical="center" wrapText="1"/>
    </xf>
    <xf numFmtId="0" fontId="11" fillId="0" borderId="141" xfId="0" applyFont="1" applyBorder="1"/>
    <xf numFmtId="0" fontId="11" fillId="0" borderId="107" xfId="4" applyFont="1" applyBorder="1" applyAlignment="1">
      <alignment horizontal="center" vertical="center" shrinkToFit="1"/>
    </xf>
    <xf numFmtId="0" fontId="30" fillId="0" borderId="5" xfId="4" applyFont="1" applyBorder="1" applyAlignment="1">
      <alignment horizontal="justify" vertical="justify" wrapText="1"/>
    </xf>
    <xf numFmtId="174" fontId="10" fillId="0" borderId="6" xfId="0" applyNumberFormat="1" applyFont="1" applyBorder="1"/>
    <xf numFmtId="174" fontId="6" fillId="0" borderId="5" xfId="0" applyNumberFormat="1" applyFont="1" applyBorder="1"/>
    <xf numFmtId="174" fontId="7" fillId="0" borderId="5" xfId="0" applyNumberFormat="1" applyFont="1" applyBorder="1"/>
    <xf numFmtId="174" fontId="7" fillId="0" borderId="5" xfId="0" applyNumberFormat="1" applyFont="1" applyBorder="1" applyAlignment="1">
      <alignment vertical="center"/>
    </xf>
    <xf numFmtId="174" fontId="17" fillId="0" borderId="5" xfId="0" applyNumberFormat="1" applyFont="1" applyBorder="1"/>
    <xf numFmtId="174" fontId="17" fillId="0" borderId="5" xfId="0" applyNumberFormat="1" applyFont="1" applyBorder="1" applyAlignment="1">
      <alignment vertical="center"/>
    </xf>
    <xf numFmtId="43" fontId="6" fillId="0" borderId="0" xfId="1" applyFont="1"/>
    <xf numFmtId="169" fontId="7" fillId="0" borderId="0" xfId="10" applyNumberFormat="1" applyFont="1"/>
    <xf numFmtId="174" fontId="6" fillId="0" borderId="0" xfId="0" applyNumberFormat="1" applyFont="1"/>
    <xf numFmtId="0" fontId="10" fillId="0" borderId="105" xfId="0" applyFont="1" applyBorder="1" applyAlignment="1">
      <alignment horizontal="center"/>
    </xf>
    <xf numFmtId="38" fontId="10" fillId="0" borderId="106" xfId="0" applyNumberFormat="1" applyFont="1" applyBorder="1"/>
    <xf numFmtId="0" fontId="6" fillId="0" borderId="107" xfId="0" applyFont="1" applyBorder="1" applyAlignment="1">
      <alignment horizontal="center"/>
    </xf>
    <xf numFmtId="38" fontId="6" fillId="0" borderId="108" xfId="0" applyNumberFormat="1" applyFont="1" applyBorder="1"/>
    <xf numFmtId="0" fontId="7" fillId="0" borderId="107" xfId="0" applyFont="1" applyBorder="1" applyAlignment="1">
      <alignment horizontal="center"/>
    </xf>
    <xf numFmtId="38" fontId="7" fillId="0" borderId="108" xfId="0" applyNumberFormat="1" applyFont="1" applyBorder="1"/>
    <xf numFmtId="38" fontId="7" fillId="0" borderId="108" xfId="0" applyNumberFormat="1" applyFont="1" applyBorder="1" applyAlignment="1">
      <alignment vertical="center"/>
    </xf>
    <xf numFmtId="38" fontId="9" fillId="0" borderId="108" xfId="0" applyNumberFormat="1" applyFont="1" applyBorder="1" applyAlignment="1">
      <alignment shrinkToFit="1"/>
    </xf>
    <xf numFmtId="38" fontId="7" fillId="0" borderId="108" xfId="0" applyNumberFormat="1" applyFont="1" applyBorder="1" applyAlignment="1">
      <alignment vertical="center" wrapText="1" shrinkToFit="1"/>
    </xf>
    <xf numFmtId="0" fontId="6" fillId="0" borderId="111" xfId="0" applyFont="1" applyBorder="1" applyAlignment="1">
      <alignment horizontal="center"/>
    </xf>
    <xf numFmtId="0" fontId="6" fillId="0" borderId="112" xfId="0" applyFont="1" applyBorder="1" applyAlignment="1">
      <alignment shrinkToFit="1"/>
    </xf>
    <xf numFmtId="174" fontId="6" fillId="0" borderId="112" xfId="0" applyNumberFormat="1" applyFont="1" applyBorder="1"/>
    <xf numFmtId="38" fontId="6" fillId="0" borderId="114" xfId="0" applyNumberFormat="1" applyFont="1" applyBorder="1"/>
    <xf numFmtId="0" fontId="12" fillId="0" borderId="0" xfId="0" applyFont="1" applyAlignment="1">
      <alignment shrinkToFit="1"/>
    </xf>
    <xf numFmtId="38" fontId="12" fillId="0" borderId="0" xfId="0" applyNumberFormat="1" applyFont="1"/>
    <xf numFmtId="3" fontId="7" fillId="0" borderId="107" xfId="0" applyNumberFormat="1" applyFont="1" applyBorder="1" applyAlignment="1">
      <alignment horizontal="center" vertical="center"/>
    </xf>
    <xf numFmtId="0" fontId="10" fillId="0" borderId="5" xfId="0" applyFont="1" applyBorder="1" applyAlignment="1">
      <alignment horizontal="left" vertical="center"/>
    </xf>
    <xf numFmtId="3" fontId="21" fillId="0" borderId="131" xfId="0" applyNumberFormat="1" applyFont="1" applyBorder="1" applyAlignment="1">
      <alignment vertical="center"/>
    </xf>
    <xf numFmtId="3" fontId="21" fillId="0" borderId="108" xfId="0" applyNumberFormat="1" applyFont="1" applyBorder="1" applyAlignment="1">
      <alignment vertical="center" wrapText="1"/>
    </xf>
    <xf numFmtId="3" fontId="30" fillId="0" borderId="108" xfId="0" applyNumberFormat="1" applyFont="1" applyBorder="1" applyAlignment="1">
      <alignment vertical="center" wrapText="1"/>
    </xf>
    <xf numFmtId="3" fontId="11" fillId="0" borderId="108" xfId="0" applyNumberFormat="1" applyFont="1" applyBorder="1" applyAlignment="1">
      <alignment vertical="center" wrapText="1"/>
    </xf>
    <xf numFmtId="3" fontId="30" fillId="0" borderId="114" xfId="0" applyNumberFormat="1" applyFont="1" applyBorder="1" applyAlignment="1">
      <alignment vertical="center"/>
    </xf>
    <xf numFmtId="0" fontId="22" fillId="0" borderId="0" xfId="0" applyFont="1" applyAlignment="1">
      <alignment horizontal="justify" vertical="justify"/>
    </xf>
    <xf numFmtId="0" fontId="23" fillId="0" borderId="0" xfId="0" applyFont="1" applyAlignment="1">
      <alignment horizontal="justify" vertical="justify"/>
    </xf>
    <xf numFmtId="0" fontId="7" fillId="0" borderId="0" xfId="0" applyFont="1" applyAlignment="1">
      <alignment horizontal="left"/>
    </xf>
    <xf numFmtId="3" fontId="6" fillId="0" borderId="0" xfId="1" applyNumberFormat="1" applyFont="1"/>
    <xf numFmtId="3" fontId="7" fillId="0" borderId="0" xfId="1" applyNumberFormat="1" applyFont="1" applyAlignment="1">
      <alignment vertical="center"/>
    </xf>
    <xf numFmtId="3" fontId="7" fillId="0" borderId="0" xfId="1" applyNumberFormat="1" applyFont="1"/>
    <xf numFmtId="3" fontId="13" fillId="0" borderId="0" xfId="1" applyNumberFormat="1" applyFont="1"/>
    <xf numFmtId="3" fontId="7" fillId="0" borderId="0" xfId="0" applyNumberFormat="1" applyFont="1" applyAlignment="1">
      <alignment vertical="center" shrinkToFit="1"/>
    </xf>
    <xf numFmtId="3" fontId="13" fillId="0" borderId="0" xfId="0" applyNumberFormat="1" applyFont="1" applyAlignment="1">
      <alignment wrapText="1" shrinkToFit="1"/>
    </xf>
    <xf numFmtId="3" fontId="7" fillId="0" borderId="0" xfId="0" applyNumberFormat="1" applyFont="1" applyAlignment="1">
      <alignment wrapText="1" shrinkToFit="1"/>
    </xf>
    <xf numFmtId="3" fontId="7" fillId="0" borderId="0" xfId="2" applyNumberFormat="1" applyFont="1" applyAlignment="1">
      <alignment wrapText="1" shrinkToFit="1"/>
    </xf>
    <xf numFmtId="3" fontId="13" fillId="0" borderId="0" xfId="2" applyNumberFormat="1" applyFont="1" applyAlignment="1">
      <alignment wrapText="1" shrinkToFit="1"/>
    </xf>
    <xf numFmtId="3" fontId="6" fillId="0" borderId="0" xfId="2" applyNumberFormat="1" applyFont="1" applyAlignment="1">
      <alignment wrapText="1" shrinkToFit="1"/>
    </xf>
    <xf numFmtId="3" fontId="6" fillId="0" borderId="0" xfId="2" applyNumberFormat="1" applyFont="1" applyAlignment="1">
      <alignment shrinkToFit="1"/>
    </xf>
    <xf numFmtId="3" fontId="6" fillId="0" borderId="0" xfId="0" applyNumberFormat="1" applyFont="1" applyAlignment="1">
      <alignment wrapText="1" shrinkToFit="1"/>
    </xf>
    <xf numFmtId="3" fontId="7" fillId="0" borderId="0" xfId="2" applyNumberFormat="1" applyFont="1"/>
    <xf numFmtId="3" fontId="6" fillId="0" borderId="0" xfId="2" applyNumberFormat="1" applyFont="1"/>
    <xf numFmtId="4" fontId="6" fillId="0" borderId="0" xfId="0" applyNumberFormat="1" applyFont="1"/>
    <xf numFmtId="3" fontId="12" fillId="0" borderId="5" xfId="1" applyNumberFormat="1" applyFont="1" applyFill="1" applyBorder="1" applyAlignment="1">
      <alignment horizontal="right" vertical="center" shrinkToFit="1"/>
    </xf>
    <xf numFmtId="169" fontId="17" fillId="0" borderId="0" xfId="0" applyNumberFormat="1" applyFont="1"/>
    <xf numFmtId="9" fontId="7" fillId="0" borderId="0" xfId="2" applyFont="1" applyAlignment="1">
      <alignment shrinkToFit="1"/>
    </xf>
    <xf numFmtId="0" fontId="17" fillId="0" borderId="0" xfId="0" applyFont="1" applyAlignment="1">
      <alignment horizontal="right" wrapText="1"/>
    </xf>
    <xf numFmtId="0" fontId="7" fillId="0" borderId="0" xfId="0" applyFont="1" applyAlignment="1">
      <alignment horizontal="right" wrapText="1"/>
    </xf>
    <xf numFmtId="174" fontId="7" fillId="3" borderId="30" xfId="0" applyNumberFormat="1" applyFont="1" applyFill="1" applyBorder="1" applyAlignment="1">
      <alignment horizontal="right" vertical="center" shrinkToFit="1"/>
    </xf>
    <xf numFmtId="174" fontId="7" fillId="0" borderId="31" xfId="0" applyNumberFormat="1" applyFont="1" applyBorder="1" applyAlignment="1">
      <alignment horizontal="right" vertical="center"/>
    </xf>
    <xf numFmtId="174" fontId="7" fillId="3" borderId="5" xfId="0" applyNumberFormat="1" applyFont="1" applyFill="1" applyBorder="1" applyAlignment="1">
      <alignment horizontal="right" vertical="center" shrinkToFit="1"/>
    </xf>
    <xf numFmtId="174" fontId="7" fillId="0" borderId="21" xfId="0" applyNumberFormat="1" applyFont="1" applyBorder="1" applyAlignment="1">
      <alignment horizontal="right" vertical="center"/>
    </xf>
    <xf numFmtId="174" fontId="7" fillId="3" borderId="8" xfId="0" applyNumberFormat="1" applyFont="1" applyFill="1" applyBorder="1" applyAlignment="1">
      <alignment horizontal="right" vertical="center" shrinkToFit="1"/>
    </xf>
    <xf numFmtId="174" fontId="7" fillId="0" borderId="33" xfId="0" applyNumberFormat="1" applyFont="1" applyBorder="1" applyAlignment="1">
      <alignment horizontal="right" vertical="center"/>
    </xf>
    <xf numFmtId="174" fontId="6" fillId="3" borderId="127" xfId="0" applyNumberFormat="1" applyFont="1" applyFill="1" applyBorder="1" applyAlignment="1">
      <alignment horizontal="right" vertical="center" shrinkToFit="1"/>
    </xf>
    <xf numFmtId="168" fontId="21" fillId="0" borderId="0" xfId="1" applyNumberFormat="1" applyFont="1" applyFill="1" applyBorder="1" applyAlignment="1">
      <alignment shrinkToFit="1"/>
    </xf>
    <xf numFmtId="175" fontId="6" fillId="0" borderId="0" xfId="14" applyNumberFormat="1" applyFont="1"/>
    <xf numFmtId="175" fontId="7" fillId="0" borderId="0" xfId="14" applyNumberFormat="1" applyFont="1"/>
    <xf numFmtId="175" fontId="6" fillId="0" borderId="0" xfId="14" applyNumberFormat="1" applyFont="1" applyBorder="1" applyAlignment="1">
      <alignment horizontal="center" wrapText="1"/>
    </xf>
    <xf numFmtId="3" fontId="6" fillId="0" borderId="54" xfId="0" applyNumberFormat="1" applyFont="1" applyBorder="1" applyAlignment="1">
      <alignment horizontal="center" vertical="center" shrinkToFit="1"/>
    </xf>
    <xf numFmtId="3" fontId="6" fillId="0" borderId="7" xfId="0" applyNumberFormat="1" applyFont="1" applyBorder="1" applyAlignment="1">
      <alignment horizontal="center" vertical="center" shrinkToFit="1"/>
    </xf>
    <xf numFmtId="3" fontId="12" fillId="0" borderId="7" xfId="0" applyNumberFormat="1" applyFont="1" applyBorder="1" applyAlignment="1">
      <alignment horizontal="center" vertical="center" shrinkToFit="1"/>
    </xf>
    <xf numFmtId="165" fontId="12" fillId="0" borderId="4" xfId="14" applyFont="1" applyBorder="1" applyAlignment="1">
      <alignment horizontal="center" vertical="center" shrinkToFit="1"/>
    </xf>
    <xf numFmtId="175" fontId="6" fillId="0" borderId="0" xfId="14" applyNumberFormat="1" applyFont="1" applyBorder="1" applyAlignment="1">
      <alignment horizontal="center" vertical="center" wrapText="1"/>
    </xf>
    <xf numFmtId="178" fontId="21" fillId="0" borderId="6" xfId="0" applyNumberFormat="1" applyFont="1" applyBorder="1" applyAlignment="1">
      <alignment shrinkToFit="1"/>
    </xf>
    <xf numFmtId="169" fontId="21" fillId="0" borderId="6" xfId="14" applyNumberFormat="1" applyFont="1" applyBorder="1" applyAlignment="1">
      <alignment shrinkToFit="1"/>
    </xf>
    <xf numFmtId="169" fontId="21" fillId="0" borderId="30" xfId="14" applyNumberFormat="1" applyFont="1" applyBorder="1" applyAlignment="1">
      <alignment shrinkToFit="1"/>
    </xf>
    <xf numFmtId="169" fontId="21" fillId="0" borderId="31" xfId="14" applyNumberFormat="1" applyFont="1" applyBorder="1" applyAlignment="1">
      <alignment shrinkToFit="1"/>
    </xf>
    <xf numFmtId="182" fontId="10" fillId="0" borderId="0" xfId="0" applyNumberFormat="1" applyFont="1"/>
    <xf numFmtId="9" fontId="10" fillId="0" borderId="0" xfId="2" applyFont="1" applyBorder="1"/>
    <xf numFmtId="165" fontId="10" fillId="0" borderId="0" xfId="14" applyFont="1" applyBorder="1"/>
    <xf numFmtId="175" fontId="10" fillId="0" borderId="0" xfId="14" applyNumberFormat="1" applyFont="1" applyBorder="1"/>
    <xf numFmtId="169" fontId="21" fillId="0" borderId="5" xfId="14" applyNumberFormat="1" applyFont="1" applyBorder="1" applyAlignment="1">
      <alignment shrinkToFit="1"/>
    </xf>
    <xf numFmtId="169" fontId="21" fillId="0" borderId="21" xfId="14" applyNumberFormat="1" applyFont="1" applyBorder="1" applyAlignment="1">
      <alignment shrinkToFit="1"/>
    </xf>
    <xf numFmtId="178" fontId="6" fillId="0" borderId="5" xfId="0" applyNumberFormat="1" applyFont="1" applyBorder="1" applyAlignment="1">
      <alignment shrinkToFit="1"/>
    </xf>
    <xf numFmtId="178" fontId="12" fillId="0" borderId="5" xfId="0" applyNumberFormat="1" applyFont="1" applyBorder="1" applyAlignment="1">
      <alignment shrinkToFit="1"/>
    </xf>
    <xf numFmtId="169" fontId="12" fillId="0" borderId="5" xfId="14" applyNumberFormat="1" applyFont="1" applyBorder="1" applyAlignment="1">
      <alignment shrinkToFit="1"/>
    </xf>
    <xf numFmtId="169" fontId="12" fillId="0" borderId="21" xfId="14" applyNumberFormat="1" applyFont="1" applyBorder="1" applyAlignment="1">
      <alignment shrinkToFit="1"/>
    </xf>
    <xf numFmtId="169" fontId="12" fillId="0" borderId="5" xfId="0" applyNumberFormat="1" applyFont="1" applyBorder="1" applyAlignment="1">
      <alignment shrinkToFit="1"/>
    </xf>
    <xf numFmtId="169" fontId="12" fillId="0" borderId="21" xfId="0" applyNumberFormat="1" applyFont="1" applyBorder="1" applyAlignment="1">
      <alignment shrinkToFit="1"/>
    </xf>
    <xf numFmtId="3" fontId="10" fillId="0" borderId="42" xfId="0" applyNumberFormat="1" applyFont="1" applyBorder="1" applyAlignment="1">
      <alignment horizontal="center" shrinkToFit="1"/>
    </xf>
    <xf numFmtId="3" fontId="10" fillId="0" borderId="43" xfId="0" applyNumberFormat="1" applyFont="1" applyBorder="1" applyAlignment="1">
      <alignment shrinkToFit="1"/>
    </xf>
    <xf numFmtId="178" fontId="10" fillId="0" borderId="43" xfId="0" applyNumberFormat="1" applyFont="1" applyBorder="1" applyAlignment="1">
      <alignment shrinkToFit="1"/>
    </xf>
    <xf numFmtId="178" fontId="21" fillId="0" borderId="43" xfId="0" applyNumberFormat="1" applyFont="1" applyBorder="1" applyAlignment="1">
      <alignment shrinkToFit="1"/>
    </xf>
    <xf numFmtId="169" fontId="21" fillId="0" borderId="43" xfId="14" applyNumberFormat="1" applyFont="1" applyBorder="1" applyAlignment="1">
      <alignment shrinkToFit="1"/>
    </xf>
    <xf numFmtId="178" fontId="12" fillId="0" borderId="43" xfId="0" applyNumberFormat="1" applyFont="1" applyBorder="1" applyAlignment="1">
      <alignment shrinkToFit="1"/>
    </xf>
    <xf numFmtId="169" fontId="21" fillId="0" borderId="57" xfId="14" applyNumberFormat="1" applyFont="1" applyBorder="1" applyAlignment="1">
      <alignment shrinkToFit="1"/>
    </xf>
    <xf numFmtId="3" fontId="18" fillId="0" borderId="7" xfId="0" applyNumberFormat="1" applyFont="1" applyBorder="1" applyAlignment="1">
      <alignment horizontal="center" vertical="center" shrinkToFit="1"/>
    </xf>
    <xf numFmtId="178" fontId="20" fillId="0" borderId="6" xfId="0" applyNumberFormat="1" applyFont="1" applyBorder="1" applyAlignment="1">
      <alignment shrinkToFit="1"/>
    </xf>
    <xf numFmtId="165" fontId="20" fillId="0" borderId="6" xfId="14" applyFont="1" applyBorder="1" applyAlignment="1">
      <alignment shrinkToFit="1"/>
    </xf>
    <xf numFmtId="3" fontId="20" fillId="0" borderId="5" xfId="0" applyNumberFormat="1" applyFont="1" applyBorder="1" applyAlignment="1">
      <alignment shrinkToFit="1"/>
    </xf>
    <xf numFmtId="165" fontId="20" fillId="0" borderId="5" xfId="14" applyFont="1" applyBorder="1" applyAlignment="1">
      <alignment shrinkToFit="1"/>
    </xf>
    <xf numFmtId="178" fontId="18" fillId="0" borderId="5" xfId="0" applyNumberFormat="1" applyFont="1" applyBorder="1" applyAlignment="1">
      <alignment shrinkToFit="1"/>
    </xf>
    <xf numFmtId="165" fontId="18" fillId="0" borderId="5" xfId="14" applyFont="1" applyBorder="1" applyAlignment="1">
      <alignment shrinkToFit="1"/>
    </xf>
    <xf numFmtId="3" fontId="18" fillId="0" borderId="5" xfId="0" applyNumberFormat="1" applyFont="1" applyBorder="1" applyAlignment="1">
      <alignment shrinkToFit="1"/>
    </xf>
    <xf numFmtId="178" fontId="20" fillId="0" borderId="43" xfId="0" applyNumberFormat="1" applyFont="1" applyBorder="1" applyAlignment="1">
      <alignment shrinkToFit="1"/>
    </xf>
    <xf numFmtId="165" fontId="20" fillId="0" borderId="43" xfId="14" applyFont="1" applyBorder="1" applyAlignment="1">
      <alignment shrinkToFit="1"/>
    </xf>
    <xf numFmtId="3" fontId="10" fillId="0" borderId="0" xfId="0" applyNumberFormat="1" applyFont="1" applyAlignment="1">
      <alignment horizontal="center" shrinkToFit="1"/>
    </xf>
    <xf numFmtId="3" fontId="10" fillId="0" borderId="0" xfId="0" applyNumberFormat="1" applyFont="1" applyAlignment="1">
      <alignment shrinkToFit="1"/>
    </xf>
    <xf numFmtId="178" fontId="10" fillId="0" borderId="0" xfId="0" applyNumberFormat="1" applyFont="1" applyAlignment="1">
      <alignment shrinkToFit="1"/>
    </xf>
    <xf numFmtId="178" fontId="21" fillId="0" borderId="0" xfId="0" applyNumberFormat="1" applyFont="1" applyAlignment="1">
      <alignment shrinkToFit="1"/>
    </xf>
    <xf numFmtId="178" fontId="20" fillId="0" borderId="0" xfId="0" applyNumberFormat="1" applyFont="1" applyAlignment="1">
      <alignment shrinkToFit="1"/>
    </xf>
    <xf numFmtId="165" fontId="20" fillId="0" borderId="0" xfId="14" applyFont="1" applyBorder="1" applyAlignment="1">
      <alignment shrinkToFit="1"/>
    </xf>
    <xf numFmtId="169" fontId="21" fillId="0" borderId="0" xfId="14" applyNumberFormat="1" applyFont="1" applyBorder="1" applyAlignment="1">
      <alignment shrinkToFit="1"/>
    </xf>
    <xf numFmtId="178" fontId="12" fillId="0" borderId="0" xfId="0" applyNumberFormat="1" applyFont="1" applyAlignment="1">
      <alignment shrinkToFit="1"/>
    </xf>
    <xf numFmtId="3" fontId="7" fillId="0" borderId="5" xfId="1" applyNumberFormat="1" applyFont="1" applyBorder="1" applyAlignment="1">
      <alignment vertical="center" shrinkToFit="1"/>
    </xf>
    <xf numFmtId="3" fontId="7" fillId="0" borderId="5" xfId="3" applyNumberFormat="1" applyFont="1" applyBorder="1" applyAlignment="1">
      <alignment vertical="center" shrinkToFit="1"/>
    </xf>
    <xf numFmtId="3" fontId="7" fillId="0" borderId="5" xfId="3" applyNumberFormat="1" applyFont="1" applyBorder="1" applyAlignment="1">
      <alignment horizontal="right" vertical="center" shrinkToFit="1"/>
    </xf>
    <xf numFmtId="3" fontId="7" fillId="0" borderId="5" xfId="1" applyNumberFormat="1" applyFont="1" applyBorder="1" applyAlignment="1">
      <alignment shrinkToFit="1"/>
    </xf>
    <xf numFmtId="3" fontId="7" fillId="0" borderId="5" xfId="3" applyNumberFormat="1" applyFont="1" applyBorder="1" applyAlignment="1">
      <alignment shrinkToFit="1"/>
    </xf>
    <xf numFmtId="3" fontId="7" fillId="0" borderId="5" xfId="3" applyNumberFormat="1" applyFont="1" applyBorder="1" applyAlignment="1">
      <alignment horizontal="right" shrinkToFit="1"/>
    </xf>
    <xf numFmtId="3" fontId="13" fillId="0" borderId="5" xfId="3" applyNumberFormat="1" applyFont="1" applyBorder="1" applyAlignment="1">
      <alignment horizontal="right" shrinkToFit="1"/>
    </xf>
    <xf numFmtId="3" fontId="10" fillId="0" borderId="5" xfId="3" applyNumberFormat="1" applyFont="1" applyBorder="1" applyAlignment="1">
      <alignment shrinkToFit="1"/>
    </xf>
    <xf numFmtId="3" fontId="6" fillId="0" borderId="5" xfId="3" applyNumberFormat="1" applyFont="1" applyBorder="1" applyAlignment="1">
      <alignment shrinkToFit="1"/>
    </xf>
    <xf numFmtId="3" fontId="6" fillId="0" borderId="5" xfId="3" applyNumberFormat="1" applyFont="1" applyBorder="1" applyAlignment="1">
      <alignment horizontal="right" shrinkToFit="1"/>
    </xf>
    <xf numFmtId="38" fontId="8" fillId="0" borderId="5" xfId="3" applyNumberFormat="1" applyFont="1" applyBorder="1" applyAlignment="1">
      <alignment horizontal="right" shrinkToFit="1"/>
    </xf>
    <xf numFmtId="174" fontId="12" fillId="0" borderId="5" xfId="3" applyNumberFormat="1" applyFont="1" applyBorder="1" applyAlignment="1">
      <alignment horizontal="right" shrinkToFit="1"/>
    </xf>
    <xf numFmtId="174" fontId="11" fillId="0" borderId="5" xfId="3" applyNumberFormat="1" applyFont="1" applyBorder="1" applyAlignment="1">
      <alignment horizontal="right" shrinkToFit="1"/>
    </xf>
    <xf numFmtId="174" fontId="12" fillId="0" borderId="5" xfId="3" applyNumberFormat="1" applyFont="1" applyBorder="1" applyAlignment="1">
      <alignment shrinkToFit="1"/>
    </xf>
    <xf numFmtId="3" fontId="10" fillId="0" borderId="8" xfId="3" applyNumberFormat="1" applyFont="1" applyBorder="1" applyAlignment="1">
      <alignment shrinkToFit="1"/>
    </xf>
    <xf numFmtId="174" fontId="6" fillId="0" borderId="8" xfId="3" applyNumberFormat="1" applyFont="1" applyBorder="1" applyAlignment="1">
      <alignment horizontal="right" shrinkToFit="1"/>
    </xf>
    <xf numFmtId="3" fontId="6" fillId="0" borderId="8" xfId="3" applyNumberFormat="1" applyFont="1" applyBorder="1" applyAlignment="1">
      <alignment horizontal="right" shrinkToFit="1"/>
    </xf>
    <xf numFmtId="49" fontId="7" fillId="0" borderId="5" xfId="3" applyNumberFormat="1" applyFont="1" applyBorder="1" applyAlignment="1">
      <alignment vertical="center" shrinkToFit="1"/>
    </xf>
    <xf numFmtId="0" fontId="6" fillId="0" borderId="6" xfId="0" applyFont="1" applyBorder="1" applyAlignment="1">
      <alignment horizontal="center" vertical="center"/>
    </xf>
    <xf numFmtId="0" fontId="6" fillId="0" borderId="8" xfId="0" applyFont="1" applyBorder="1" applyAlignment="1">
      <alignment horizontal="center"/>
    </xf>
    <xf numFmtId="0" fontId="10" fillId="0" borderId="10" xfId="0" applyFont="1" applyBorder="1" applyAlignment="1">
      <alignment horizontal="center"/>
    </xf>
    <xf numFmtId="49" fontId="10" fillId="0" borderId="10" xfId="3" applyNumberFormat="1" applyFont="1" applyBorder="1" applyAlignment="1">
      <alignment horizontal="left"/>
    </xf>
    <xf numFmtId="3" fontId="10" fillId="0" borderId="10" xfId="3" applyNumberFormat="1" applyFont="1" applyBorder="1" applyAlignment="1">
      <alignment horizontal="center"/>
    </xf>
    <xf numFmtId="3" fontId="10" fillId="0" borderId="10" xfId="3" applyNumberFormat="1" applyFont="1" applyBorder="1" applyAlignment="1">
      <alignment horizontal="right"/>
    </xf>
    <xf numFmtId="38" fontId="9" fillId="0" borderId="5" xfId="3" applyNumberFormat="1" applyFont="1" applyBorder="1" applyAlignment="1">
      <alignment horizontal="right" vertical="center" shrinkToFit="1"/>
    </xf>
    <xf numFmtId="38" fontId="9" fillId="0" borderId="5" xfId="3" applyNumberFormat="1" applyFont="1" applyBorder="1" applyAlignment="1">
      <alignment horizontal="right" shrinkToFit="1"/>
    </xf>
    <xf numFmtId="38" fontId="6" fillId="0" borderId="8" xfId="3" applyNumberFormat="1" applyFont="1" applyBorder="1" applyAlignment="1">
      <alignment horizontal="center" shrinkToFit="1"/>
    </xf>
    <xf numFmtId="0" fontId="10" fillId="0" borderId="5" xfId="0" applyFont="1" applyBorder="1" applyAlignment="1">
      <alignment horizontal="center"/>
    </xf>
    <xf numFmtId="3" fontId="10" fillId="0" borderId="5" xfId="1" applyNumberFormat="1" applyFont="1" applyBorder="1" applyAlignment="1">
      <alignment shrinkToFit="1"/>
    </xf>
    <xf numFmtId="3" fontId="10" fillId="0" borderId="5" xfId="1" applyNumberFormat="1" applyFont="1" applyBorder="1" applyAlignment="1">
      <alignment horizontal="right" shrinkToFit="1"/>
    </xf>
    <xf numFmtId="174" fontId="21" fillId="0" borderId="5" xfId="3" applyNumberFormat="1" applyFont="1" applyBorder="1" applyAlignment="1">
      <alignment horizontal="right" shrinkToFit="1"/>
    </xf>
    <xf numFmtId="3" fontId="10" fillId="0" borderId="5" xfId="3" applyNumberFormat="1" applyFont="1" applyBorder="1" applyAlignment="1">
      <alignment horizontal="right" shrinkToFit="1"/>
    </xf>
    <xf numFmtId="49" fontId="6" fillId="0" borderId="6" xfId="3" applyNumberFormat="1" applyFont="1" applyBorder="1" applyAlignment="1">
      <alignment vertical="center" wrapText="1"/>
    </xf>
    <xf numFmtId="3" fontId="6" fillId="0" borderId="6" xfId="3" applyNumberFormat="1" applyFont="1" applyBorder="1" applyAlignment="1">
      <alignment vertical="center" shrinkToFit="1"/>
    </xf>
    <xf numFmtId="3" fontId="6" fillId="0" borderId="6" xfId="3" applyNumberFormat="1" applyFont="1" applyBorder="1" applyAlignment="1">
      <alignment horizontal="right" vertical="center" shrinkToFit="1"/>
    </xf>
    <xf numFmtId="1" fontId="10" fillId="0" borderId="10" xfId="2" applyNumberFormat="1" applyFont="1" applyBorder="1" applyAlignment="1">
      <alignment horizontal="right" vertical="center"/>
    </xf>
    <xf numFmtId="1" fontId="7" fillId="0" borderId="5" xfId="2" applyNumberFormat="1" applyFont="1" applyBorder="1" applyAlignment="1">
      <alignment horizontal="right" vertical="center"/>
    </xf>
    <xf numFmtId="1" fontId="6" fillId="0" borderId="6" xfId="2" applyNumberFormat="1" applyFont="1" applyBorder="1" applyAlignment="1">
      <alignment horizontal="right" vertical="center"/>
    </xf>
    <xf numFmtId="1" fontId="6" fillId="0" borderId="5" xfId="2" applyNumberFormat="1" applyFont="1" applyBorder="1" applyAlignment="1">
      <alignment horizontal="right" vertical="center"/>
    </xf>
    <xf numFmtId="1" fontId="10" fillId="0" borderId="5" xfId="2" applyNumberFormat="1" applyFont="1" applyBorder="1" applyAlignment="1">
      <alignment horizontal="right" vertical="center"/>
    </xf>
    <xf numFmtId="0" fontId="6" fillId="0" borderId="4" xfId="0" applyFont="1" applyBorder="1"/>
    <xf numFmtId="3" fontId="6" fillId="0" borderId="4" xfId="0" applyNumberFormat="1" applyFont="1" applyBorder="1" applyAlignment="1">
      <alignment shrinkToFit="1"/>
    </xf>
    <xf numFmtId="3" fontId="6" fillId="0" borderId="6" xfId="1" applyNumberFormat="1" applyFont="1" applyBorder="1" applyAlignment="1">
      <alignment shrinkToFit="1"/>
    </xf>
    <xf numFmtId="3" fontId="6" fillId="0" borderId="5" xfId="1" applyNumberFormat="1" applyFont="1" applyBorder="1" applyAlignment="1">
      <alignment vertical="center" shrinkToFit="1"/>
    </xf>
    <xf numFmtId="0" fontId="6" fillId="0" borderId="5" xfId="0" applyFont="1" applyBorder="1" applyAlignment="1">
      <alignment horizontal="center" shrinkToFit="1"/>
    </xf>
    <xf numFmtId="3" fontId="6" fillId="0" borderId="5" xfId="1" applyNumberFormat="1" applyFont="1" applyBorder="1" applyAlignment="1">
      <alignment horizontal="right" shrinkToFit="1"/>
    </xf>
    <xf numFmtId="3" fontId="6" fillId="0" borderId="5" xfId="1" applyNumberFormat="1" applyFont="1" applyBorder="1" applyAlignment="1">
      <alignment shrinkToFit="1"/>
    </xf>
    <xf numFmtId="3" fontId="7" fillId="0" borderId="5" xfId="1" applyNumberFormat="1" applyFont="1" applyBorder="1" applyAlignment="1">
      <alignment horizontal="right" shrinkToFit="1"/>
    </xf>
    <xf numFmtId="3" fontId="7" fillId="0" borderId="8" xfId="1" applyNumberFormat="1" applyFont="1" applyBorder="1" applyAlignment="1">
      <alignment shrinkToFit="1"/>
    </xf>
    <xf numFmtId="0" fontId="6" fillId="0" borderId="9" xfId="0" applyFont="1" applyBorder="1" applyAlignment="1">
      <alignment horizontal="center"/>
    </xf>
    <xf numFmtId="0" fontId="7" fillId="0" borderId="9" xfId="0" applyFont="1" applyBorder="1" applyAlignment="1">
      <alignment shrinkToFit="1"/>
    </xf>
    <xf numFmtId="3" fontId="7" fillId="0" borderId="9" xfId="1" applyNumberFormat="1" applyFont="1" applyBorder="1" applyAlignment="1">
      <alignment shrinkToFit="1"/>
    </xf>
    <xf numFmtId="3" fontId="7" fillId="0" borderId="9" xfId="0" applyNumberFormat="1" applyFont="1" applyBorder="1" applyAlignment="1">
      <alignment shrinkToFit="1"/>
    </xf>
    <xf numFmtId="0" fontId="7" fillId="0" borderId="9" xfId="0" applyFont="1" applyBorder="1"/>
    <xf numFmtId="3" fontId="7" fillId="2" borderId="5" xfId="0" applyNumberFormat="1" applyFont="1" applyFill="1" applyBorder="1" applyAlignment="1">
      <alignment shrinkToFit="1"/>
    </xf>
    <xf numFmtId="3" fontId="17" fillId="0" borderId="9" xfId="0" applyNumberFormat="1" applyFont="1" applyBorder="1" applyAlignment="1">
      <alignment shrinkToFit="1"/>
    </xf>
    <xf numFmtId="3" fontId="17" fillId="0" borderId="5" xfId="0" applyNumberFormat="1" applyFont="1" applyBorder="1" applyAlignment="1">
      <alignment shrinkToFit="1"/>
    </xf>
    <xf numFmtId="3" fontId="18" fillId="2" borderId="5" xfId="1" applyNumberFormat="1" applyFont="1" applyFill="1" applyBorder="1" applyAlignment="1">
      <alignment vertical="center" shrinkToFit="1"/>
    </xf>
    <xf numFmtId="3" fontId="6" fillId="0" borderId="4" xfId="1" applyNumberFormat="1" applyFont="1" applyBorder="1" applyAlignment="1">
      <alignment horizontal="center"/>
    </xf>
    <xf numFmtId="10" fontId="10" fillId="0" borderId="0" xfId="0" applyNumberFormat="1" applyFont="1" applyAlignment="1">
      <alignment shrinkToFit="1"/>
    </xf>
    <xf numFmtId="10" fontId="21" fillId="0" borderId="0" xfId="1" applyNumberFormat="1" applyFont="1" applyFill="1" applyBorder="1" applyAlignment="1">
      <alignment shrinkToFit="1"/>
    </xf>
    <xf numFmtId="0" fontId="6" fillId="0" borderId="4" xfId="0" applyFont="1" applyBorder="1" applyAlignment="1">
      <alignment vertical="center"/>
    </xf>
    <xf numFmtId="3" fontId="6" fillId="3" borderId="4" xfId="0" applyNumberFormat="1" applyFont="1" applyFill="1" applyBorder="1" applyAlignment="1">
      <alignment horizontal="center" vertical="center" shrinkToFit="1"/>
    </xf>
    <xf numFmtId="3" fontId="6" fillId="3" borderId="4" xfId="1" applyNumberFormat="1" applyFont="1" applyFill="1" applyBorder="1" applyAlignment="1">
      <alignment horizontal="center" vertical="center" shrinkToFit="1"/>
    </xf>
    <xf numFmtId="0" fontId="7" fillId="0" borderId="6" xfId="0" applyFont="1" applyBorder="1" applyAlignment="1">
      <alignment horizontal="center" vertical="center"/>
    </xf>
    <xf numFmtId="169" fontId="7" fillId="0" borderId="6" xfId="1" applyNumberFormat="1" applyFont="1" applyBorder="1" applyAlignment="1">
      <alignment horizontal="center" vertical="center"/>
    </xf>
    <xf numFmtId="169" fontId="7" fillId="0" borderId="6" xfId="0" applyNumberFormat="1" applyFont="1" applyBorder="1" applyAlignment="1">
      <alignment horizontal="center" vertical="center"/>
    </xf>
    <xf numFmtId="0" fontId="7" fillId="0" borderId="6" xfId="0" applyFont="1" applyBorder="1" applyAlignment="1">
      <alignment vertical="center"/>
    </xf>
    <xf numFmtId="169" fontId="7" fillId="0" borderId="5" xfId="1" applyNumberFormat="1" applyFont="1" applyBorder="1" applyAlignment="1">
      <alignment horizontal="center" vertical="center"/>
    </xf>
    <xf numFmtId="169" fontId="7" fillId="0" borderId="5" xfId="0" applyNumberFormat="1" applyFont="1" applyBorder="1" applyAlignment="1">
      <alignment horizontal="center" vertical="center"/>
    </xf>
    <xf numFmtId="169" fontId="7" fillId="0" borderId="8" xfId="1" applyNumberFormat="1" applyFont="1" applyBorder="1" applyAlignment="1">
      <alignment horizontal="center" vertical="center"/>
    </xf>
    <xf numFmtId="169" fontId="7" fillId="0" borderId="8" xfId="0" applyNumberFormat="1" applyFont="1" applyBorder="1" applyAlignment="1">
      <alignment horizontal="center" vertical="center"/>
    </xf>
    <xf numFmtId="0" fontId="7" fillId="0" borderId="8" xfId="0" applyFont="1" applyBorder="1" applyAlignment="1">
      <alignment vertical="center"/>
    </xf>
    <xf numFmtId="178" fontId="12" fillId="2" borderId="5" xfId="0" applyNumberFormat="1" applyFont="1" applyFill="1" applyBorder="1" applyAlignment="1">
      <alignment shrinkToFit="1"/>
    </xf>
    <xf numFmtId="175" fontId="6" fillId="0" borderId="0" xfId="14" applyNumberFormat="1" applyFont="1" applyAlignment="1">
      <alignment vertical="center"/>
    </xf>
    <xf numFmtId="175" fontId="6" fillId="0" borderId="0" xfId="14" applyNumberFormat="1" applyFont="1" applyAlignment="1">
      <alignment shrinkToFit="1"/>
    </xf>
    <xf numFmtId="175" fontId="13" fillId="0" borderId="0" xfId="14" applyNumberFormat="1" applyFont="1"/>
    <xf numFmtId="168" fontId="11" fillId="2" borderId="5" xfId="0" applyNumberFormat="1" applyFont="1" applyFill="1" applyBorder="1" applyAlignment="1">
      <alignment vertical="center" shrinkToFit="1"/>
    </xf>
    <xf numFmtId="3" fontId="6" fillId="0" borderId="6" xfId="0" applyNumberFormat="1" applyFont="1" applyBorder="1" applyAlignment="1">
      <alignment vertical="center"/>
    </xf>
    <xf numFmtId="3" fontId="6" fillId="0" borderId="6" xfId="0" applyNumberFormat="1" applyFont="1" applyBorder="1" applyAlignment="1">
      <alignment vertical="center" wrapText="1" shrinkToFit="1"/>
    </xf>
    <xf numFmtId="3" fontId="6" fillId="0" borderId="6" xfId="0" applyNumberFormat="1" applyFont="1" applyBorder="1" applyAlignment="1">
      <alignment vertical="center" shrinkToFit="1"/>
    </xf>
    <xf numFmtId="3" fontId="13" fillId="0" borderId="5" xfId="0" applyNumberFormat="1" applyFont="1" applyBorder="1"/>
    <xf numFmtId="9" fontId="6" fillId="0" borderId="5" xfId="2" applyFont="1" applyBorder="1" applyAlignment="1">
      <alignment shrinkToFit="1"/>
    </xf>
    <xf numFmtId="3" fontId="6" fillId="0" borderId="5" xfId="2" applyNumberFormat="1" applyFont="1" applyBorder="1" applyAlignment="1">
      <alignment shrinkToFit="1"/>
    </xf>
    <xf numFmtId="3" fontId="6" fillId="0" borderId="8" xfId="0" applyNumberFormat="1" applyFont="1" applyBorder="1"/>
    <xf numFmtId="3" fontId="6" fillId="0" borderId="8" xfId="0" applyNumberFormat="1" applyFont="1" applyBorder="1" applyAlignment="1">
      <alignment shrinkToFit="1"/>
    </xf>
    <xf numFmtId="3" fontId="6" fillId="0" borderId="8" xfId="2" applyNumberFormat="1" applyFont="1" applyBorder="1" applyAlignment="1">
      <alignment shrinkToFit="1"/>
    </xf>
    <xf numFmtId="3" fontId="6" fillId="0" borderId="6" xfId="0" applyNumberFormat="1" applyFont="1" applyBorder="1" applyAlignment="1">
      <alignment horizontal="center" vertical="center"/>
    </xf>
    <xf numFmtId="3" fontId="29" fillId="0" borderId="5" xfId="0" applyNumberFormat="1" applyFont="1" applyBorder="1" applyAlignment="1">
      <alignment horizontal="center"/>
    </xf>
    <xf numFmtId="3" fontId="6" fillId="0" borderId="5" xfId="0" applyNumberFormat="1" applyFont="1" applyBorder="1" applyAlignment="1">
      <alignment horizontal="center"/>
    </xf>
    <xf numFmtId="3" fontId="6" fillId="0" borderId="8" xfId="0" applyNumberFormat="1" applyFont="1" applyBorder="1" applyAlignment="1">
      <alignment horizontal="center"/>
    </xf>
    <xf numFmtId="9" fontId="7" fillId="0" borderId="8" xfId="2" applyFont="1" applyBorder="1" applyAlignment="1">
      <alignment shrinkToFit="1"/>
    </xf>
    <xf numFmtId="168" fontId="12" fillId="2" borderId="5" xfId="0" applyNumberFormat="1" applyFont="1" applyFill="1" applyBorder="1" applyAlignment="1">
      <alignment vertical="center" shrinkToFit="1"/>
    </xf>
    <xf numFmtId="10" fontId="18" fillId="0" borderId="0" xfId="2" applyNumberFormat="1" applyFont="1"/>
    <xf numFmtId="9" fontId="6" fillId="0" borderId="0" xfId="2" applyFont="1"/>
    <xf numFmtId="0" fontId="6" fillId="0" borderId="0" xfId="0" applyFont="1" applyAlignment="1">
      <alignment wrapText="1" shrinkToFit="1"/>
    </xf>
    <xf numFmtId="0" fontId="6" fillId="0" borderId="0" xfId="0" applyFont="1" applyAlignment="1">
      <alignment vertical="center" wrapText="1" shrinkToFit="1"/>
    </xf>
    <xf numFmtId="169" fontId="6" fillId="0" borderId="0" xfId="1" applyNumberFormat="1" applyFont="1" applyAlignment="1">
      <alignment vertical="center" shrinkToFit="1"/>
    </xf>
    <xf numFmtId="169" fontId="6" fillId="0" borderId="0" xfId="0" applyNumberFormat="1" applyFont="1" applyAlignment="1">
      <alignment vertical="center" shrinkToFit="1"/>
    </xf>
    <xf numFmtId="169" fontId="22" fillId="2" borderId="0" xfId="0" applyNumberFormat="1" applyFont="1" applyFill="1" applyAlignment="1">
      <alignment vertical="center" shrinkToFit="1"/>
    </xf>
    <xf numFmtId="0" fontId="6" fillId="0" borderId="0" xfId="0" applyFont="1" applyAlignment="1">
      <alignment vertical="center" shrinkToFit="1"/>
    </xf>
    <xf numFmtId="169" fontId="153" fillId="0" borderId="0" xfId="0" applyNumberFormat="1" applyFont="1" applyAlignment="1">
      <alignment vertical="center" shrinkToFit="1"/>
    </xf>
    <xf numFmtId="169" fontId="18" fillId="0" borderId="0" xfId="0" applyNumberFormat="1" applyFont="1" applyAlignment="1">
      <alignment vertical="center" shrinkToFit="1"/>
    </xf>
    <xf numFmtId="169" fontId="22" fillId="0" borderId="0" xfId="0" applyNumberFormat="1" applyFont="1" applyAlignment="1">
      <alignment vertical="center" shrinkToFit="1"/>
    </xf>
    <xf numFmtId="169" fontId="22" fillId="0" borderId="0" xfId="1" applyNumberFormat="1" applyFont="1" applyAlignment="1">
      <alignment vertical="center"/>
    </xf>
    <xf numFmtId="0" fontId="13" fillId="0" borderId="0" xfId="0" applyFont="1" applyAlignment="1">
      <alignment vertical="center" wrapText="1" shrinkToFit="1"/>
    </xf>
    <xf numFmtId="10" fontId="13" fillId="0" borderId="0" xfId="2" applyNumberFormat="1" applyFont="1" applyAlignment="1">
      <alignment vertical="center"/>
    </xf>
    <xf numFmtId="171" fontId="13" fillId="0" borderId="0" xfId="0" applyNumberFormat="1" applyFont="1" applyAlignment="1">
      <alignment vertical="center"/>
    </xf>
    <xf numFmtId="9" fontId="13" fillId="0" borderId="0" xfId="0" applyNumberFormat="1" applyFont="1" applyAlignment="1">
      <alignment vertical="center"/>
    </xf>
    <xf numFmtId="169" fontId="6" fillId="0" borderId="0" xfId="1" applyNumberFormat="1" applyFont="1" applyFill="1" applyAlignment="1">
      <alignment shrinkToFit="1"/>
    </xf>
    <xf numFmtId="169" fontId="18" fillId="0" borderId="0" xfId="1" applyNumberFormat="1" applyFont="1"/>
    <xf numFmtId="169" fontId="18" fillId="2" borderId="0" xfId="0" applyNumberFormat="1" applyFont="1" applyFill="1"/>
    <xf numFmtId="169" fontId="6" fillId="2" borderId="0" xfId="0" applyNumberFormat="1" applyFont="1" applyFill="1"/>
    <xf numFmtId="169" fontId="18" fillId="0" borderId="0" xfId="0" applyNumberFormat="1" applyFont="1"/>
    <xf numFmtId="169" fontId="22" fillId="2" borderId="0" xfId="0" applyNumberFormat="1" applyFont="1" applyFill="1"/>
    <xf numFmtId="9" fontId="11" fillId="0" borderId="5" xfId="2" applyFont="1" applyBorder="1" applyAlignment="1">
      <alignment vertical="center" wrapText="1" shrinkToFit="1"/>
    </xf>
    <xf numFmtId="169" fontId="18" fillId="0" borderId="0" xfId="0" applyNumberFormat="1" applyFont="1" applyAlignment="1">
      <alignment shrinkToFit="1"/>
    </xf>
    <xf numFmtId="0" fontId="7" fillId="0" borderId="0" xfId="0" applyFont="1" applyAlignment="1">
      <alignment horizontal="left" vertical="justify"/>
    </xf>
    <xf numFmtId="10" fontId="6" fillId="0" borderId="0" xfId="2" applyNumberFormat="1" applyFont="1"/>
    <xf numFmtId="168" fontId="17" fillId="2" borderId="16" xfId="0" applyNumberFormat="1" applyFont="1" applyFill="1" applyBorder="1" applyAlignment="1">
      <alignment vertical="center" shrinkToFit="1"/>
    </xf>
    <xf numFmtId="38" fontId="7" fillId="0" borderId="0" xfId="0" applyNumberFormat="1" applyFont="1" applyAlignment="1">
      <alignment horizontal="right"/>
    </xf>
    <xf numFmtId="175" fontId="7" fillId="0" borderId="0" xfId="1" applyNumberFormat="1" applyFont="1" applyFill="1"/>
    <xf numFmtId="3" fontId="18" fillId="0" borderId="5" xfId="0" applyNumberFormat="1" applyFont="1" applyBorder="1" applyAlignment="1">
      <alignment horizontal="right" vertical="center" shrinkToFit="1"/>
    </xf>
    <xf numFmtId="9" fontId="7" fillId="0" borderId="0" xfId="2" applyFont="1" applyBorder="1" applyAlignment="1">
      <alignment shrinkToFit="1"/>
    </xf>
    <xf numFmtId="3" fontId="6" fillId="0" borderId="0" xfId="2" applyNumberFormat="1" applyFont="1" applyBorder="1" applyAlignment="1">
      <alignment shrinkToFit="1"/>
    </xf>
    <xf numFmtId="168" fontId="14" fillId="0" borderId="5" xfId="4" applyNumberFormat="1" applyFont="1" applyBorder="1" applyAlignment="1">
      <alignment vertical="center"/>
    </xf>
    <xf numFmtId="0" fontId="33" fillId="0" borderId="107" xfId="4" applyFont="1" applyBorder="1" applyAlignment="1">
      <alignment horizontal="center" vertical="center" shrinkToFit="1"/>
    </xf>
    <xf numFmtId="0" fontId="21" fillId="0" borderId="5" xfId="4" applyFont="1" applyBorder="1" applyAlignment="1">
      <alignment vertical="center" wrapText="1" shrinkToFit="1"/>
    </xf>
    <xf numFmtId="0" fontId="30" fillId="0" borderId="5" xfId="4" applyFont="1" applyBorder="1" applyAlignment="1">
      <alignment vertical="center" wrapText="1" shrinkToFit="1"/>
    </xf>
    <xf numFmtId="0" fontId="11" fillId="0" borderId="5" xfId="4" applyFont="1" applyBorder="1" applyAlignment="1">
      <alignment vertical="center" wrapText="1" shrinkToFit="1"/>
    </xf>
    <xf numFmtId="0" fontId="6" fillId="0" borderId="5" xfId="4" applyFont="1" applyBorder="1" applyAlignment="1">
      <alignment vertical="center" wrapText="1" shrinkToFit="1"/>
    </xf>
    <xf numFmtId="0" fontId="7" fillId="0" borderId="5" xfId="4" applyFont="1" applyBorder="1" applyAlignment="1">
      <alignment vertical="center" wrapText="1" shrinkToFit="1"/>
    </xf>
    <xf numFmtId="0" fontId="11" fillId="0" borderId="112" xfId="4" applyFont="1" applyBorder="1" applyAlignment="1">
      <alignment vertical="center" wrapText="1" shrinkToFit="1"/>
    </xf>
    <xf numFmtId="0" fontId="33" fillId="0" borderId="107" xfId="4" applyFont="1" applyBorder="1" applyAlignment="1">
      <alignment horizontal="center" vertical="center" wrapText="1"/>
    </xf>
    <xf numFmtId="0" fontId="21" fillId="0" borderId="6" xfId="4" applyFont="1" applyBorder="1" applyAlignment="1">
      <alignment horizontal="justify" vertical="justify" wrapText="1" shrinkToFit="1"/>
    </xf>
    <xf numFmtId="3" fontId="10" fillId="0" borderId="5" xfId="0" applyNumberFormat="1" applyFont="1" applyBorder="1" applyAlignment="1">
      <alignment horizontal="justify" vertical="justify" wrapText="1" shrinkToFit="1"/>
    </xf>
    <xf numFmtId="3" fontId="10" fillId="0" borderId="5" xfId="1" applyNumberFormat="1" applyFont="1" applyFill="1" applyBorder="1" applyAlignment="1">
      <alignment vertical="center"/>
    </xf>
    <xf numFmtId="3" fontId="10" fillId="0" borderId="108" xfId="1" applyNumberFormat="1" applyFont="1" applyFill="1" applyBorder="1" applyAlignment="1">
      <alignment vertical="center"/>
    </xf>
    <xf numFmtId="0" fontId="10" fillId="0" borderId="5" xfId="0" applyFont="1" applyBorder="1" applyAlignment="1">
      <alignment horizontal="justify" vertical="justify" wrapText="1" shrinkToFit="1"/>
    </xf>
    <xf numFmtId="3" fontId="152" fillId="0" borderId="5" xfId="1" applyNumberFormat="1" applyFont="1" applyFill="1" applyBorder="1" applyAlignment="1">
      <alignment vertical="center"/>
    </xf>
    <xf numFmtId="3" fontId="152" fillId="0" borderId="108" xfId="1" applyNumberFormat="1" applyFont="1" applyFill="1" applyBorder="1" applyAlignment="1">
      <alignment vertical="center"/>
    </xf>
    <xf numFmtId="0" fontId="7" fillId="0" borderId="117" xfId="0" applyFont="1" applyBorder="1" applyAlignment="1">
      <alignment horizontal="center"/>
    </xf>
    <xf numFmtId="3" fontId="6" fillId="0" borderId="4" xfId="1" applyNumberFormat="1" applyFont="1" applyFill="1" applyBorder="1" applyAlignment="1">
      <alignment horizontal="right"/>
    </xf>
    <xf numFmtId="3" fontId="6" fillId="0" borderId="103" xfId="1" applyNumberFormat="1" applyFont="1" applyFill="1" applyBorder="1" applyAlignment="1">
      <alignment horizontal="right"/>
    </xf>
    <xf numFmtId="169" fontId="6" fillId="0" borderId="101" xfId="1" applyNumberFormat="1" applyFont="1" applyFill="1" applyBorder="1"/>
    <xf numFmtId="3" fontId="10" fillId="0" borderId="105" xfId="0" applyNumberFormat="1" applyFont="1" applyBorder="1" applyAlignment="1">
      <alignment horizontal="center" vertical="center"/>
    </xf>
    <xf numFmtId="3" fontId="10" fillId="0" borderId="6" xfId="0" applyNumberFormat="1" applyFont="1" applyBorder="1" applyAlignment="1">
      <alignment horizontal="justify" vertical="justify" wrapText="1" shrinkToFit="1"/>
    </xf>
    <xf numFmtId="3" fontId="10" fillId="0" borderId="6" xfId="1" applyNumberFormat="1" applyFont="1" applyFill="1" applyBorder="1" applyAlignment="1">
      <alignment horizontal="right" vertical="center"/>
    </xf>
    <xf numFmtId="3" fontId="10" fillId="0" borderId="106" xfId="1" applyNumberFormat="1" applyFont="1" applyFill="1" applyBorder="1" applyAlignment="1">
      <alignment horizontal="right" vertical="center"/>
    </xf>
    <xf numFmtId="169" fontId="6" fillId="0" borderId="146" xfId="1" applyNumberFormat="1" applyFont="1" applyFill="1" applyBorder="1" applyAlignment="1">
      <alignment horizontal="right" vertical="center"/>
    </xf>
    <xf numFmtId="3" fontId="10" fillId="0" borderId="5" xfId="1" applyNumberFormat="1" applyFont="1" applyFill="1" applyBorder="1" applyAlignment="1">
      <alignment horizontal="right" vertical="center"/>
    </xf>
    <xf numFmtId="3" fontId="10" fillId="0" borderId="108" xfId="1" applyNumberFormat="1" applyFont="1" applyFill="1" applyBorder="1" applyAlignment="1">
      <alignment horizontal="right" vertical="center"/>
    </xf>
    <xf numFmtId="169" fontId="6" fillId="0" borderId="109" xfId="1" applyNumberFormat="1" applyFont="1" applyFill="1" applyBorder="1" applyAlignment="1">
      <alignment horizontal="right" vertical="center"/>
    </xf>
    <xf numFmtId="0" fontId="7" fillId="0" borderId="5" xfId="0" applyFont="1" applyBorder="1" applyAlignment="1">
      <alignment horizontal="justify" wrapText="1" shrinkToFit="1"/>
    </xf>
    <xf numFmtId="169" fontId="7" fillId="0" borderId="5" xfId="1" applyNumberFormat="1" applyFont="1" applyFill="1" applyBorder="1" applyAlignment="1"/>
    <xf numFmtId="169" fontId="7" fillId="0" borderId="108" xfId="1" applyNumberFormat="1" applyFont="1" applyFill="1" applyBorder="1" applyAlignment="1"/>
    <xf numFmtId="169" fontId="7" fillId="0" borderId="109" xfId="1" applyNumberFormat="1" applyFont="1" applyFill="1" applyBorder="1" applyAlignment="1"/>
    <xf numFmtId="0" fontId="6" fillId="0" borderId="4" xfId="0" applyFont="1" applyBorder="1" applyAlignment="1">
      <alignment horizontal="center" wrapText="1" shrinkToFit="1"/>
    </xf>
    <xf numFmtId="3" fontId="9" fillId="0" borderId="0" xfId="0" applyNumberFormat="1" applyFont="1" applyAlignment="1">
      <alignment shrinkToFit="1"/>
    </xf>
    <xf numFmtId="3" fontId="17" fillId="0" borderId="0" xfId="0" applyNumberFormat="1" applyFont="1" applyAlignment="1">
      <alignment shrinkToFit="1"/>
    </xf>
    <xf numFmtId="3" fontId="7" fillId="0" borderId="5" xfId="0" applyNumberFormat="1" applyFont="1" applyBorder="1" applyAlignment="1">
      <alignment horizontal="justify" vertical="justify" wrapText="1" shrinkToFit="1"/>
    </xf>
    <xf numFmtId="3" fontId="12" fillId="0" borderId="5" xfId="0" applyNumberFormat="1" applyFont="1" applyBorder="1" applyAlignment="1">
      <alignment horizontal="justify" vertical="justify" wrapText="1" shrinkToFit="1"/>
    </xf>
    <xf numFmtId="3" fontId="10" fillId="0" borderId="6" xfId="0" applyNumberFormat="1" applyFont="1" applyBorder="1" applyAlignment="1">
      <alignment horizontal="justify" vertical="center" wrapText="1" shrinkToFit="1"/>
    </xf>
    <xf numFmtId="3" fontId="10" fillId="0" borderId="5" xfId="0" applyNumberFormat="1" applyFont="1" applyBorder="1" applyAlignment="1">
      <alignment horizontal="justify" vertical="center" wrapText="1" shrinkToFit="1"/>
    </xf>
    <xf numFmtId="3" fontId="25" fillId="0" borderId="5" xfId="0" applyNumberFormat="1" applyFont="1" applyBorder="1" applyAlignment="1">
      <alignment horizontal="justify" vertical="center" wrapText="1" shrinkToFit="1"/>
    </xf>
    <xf numFmtId="3" fontId="6" fillId="0" borderId="5" xfId="0" applyNumberFormat="1" applyFont="1" applyBorder="1" applyAlignment="1">
      <alignment horizontal="justify" vertical="center" wrapText="1" shrinkToFit="1"/>
    </xf>
    <xf numFmtId="3" fontId="7" fillId="0" borderId="5" xfId="0" applyNumberFormat="1" applyFont="1" applyBorder="1" applyAlignment="1">
      <alignment horizontal="justify" vertical="center" wrapText="1" shrinkToFit="1"/>
    </xf>
    <xf numFmtId="3" fontId="12" fillId="0" borderId="5" xfId="0" applyNumberFormat="1" applyFont="1" applyBorder="1" applyAlignment="1">
      <alignment horizontal="justify" vertical="center" wrapText="1" shrinkToFit="1"/>
    </xf>
    <xf numFmtId="3" fontId="30" fillId="0" borderId="5" xfId="0" applyNumberFormat="1" applyFont="1" applyBorder="1" applyAlignment="1">
      <alignment horizontal="justify" vertical="center" wrapText="1" shrinkToFit="1"/>
    </xf>
    <xf numFmtId="3" fontId="10" fillId="0" borderId="112" xfId="0" applyNumberFormat="1" applyFont="1" applyBorder="1" applyAlignment="1">
      <alignment horizontal="justify" vertical="center" wrapText="1" shrinkToFit="1"/>
    </xf>
    <xf numFmtId="3" fontId="25" fillId="0" borderId="107" xfId="0" applyNumberFormat="1" applyFont="1" applyBorder="1" applyAlignment="1">
      <alignment horizontal="center" vertical="center" wrapText="1" shrinkToFit="1"/>
    </xf>
    <xf numFmtId="168" fontId="26" fillId="0" borderId="5" xfId="0" applyNumberFormat="1" applyFont="1" applyBorder="1" applyAlignment="1">
      <alignment vertical="center" wrapText="1" shrinkToFit="1"/>
    </xf>
    <xf numFmtId="168" fontId="25" fillId="0" borderId="5" xfId="0" applyNumberFormat="1" applyFont="1" applyBorder="1" applyAlignment="1">
      <alignment vertical="center" wrapText="1" shrinkToFit="1"/>
    </xf>
    <xf numFmtId="170" fontId="25" fillId="0" borderId="5" xfId="0" applyNumberFormat="1" applyFont="1" applyBorder="1" applyAlignment="1">
      <alignment vertical="center" wrapText="1" shrinkToFit="1"/>
    </xf>
    <xf numFmtId="168" fontId="26" fillId="0" borderId="16" xfId="0" applyNumberFormat="1" applyFont="1" applyBorder="1" applyAlignment="1">
      <alignment vertical="center" wrapText="1" shrinkToFit="1"/>
    </xf>
    <xf numFmtId="170" fontId="26" fillId="0" borderId="5" xfId="0" applyNumberFormat="1" applyFont="1" applyBorder="1" applyAlignment="1">
      <alignment vertical="center" wrapText="1" shrinkToFit="1"/>
    </xf>
    <xf numFmtId="170" fontId="21" fillId="0" borderId="5" xfId="0" applyNumberFormat="1" applyFont="1" applyBorder="1" applyAlignment="1">
      <alignment vertical="center" wrapText="1" shrinkToFit="1"/>
    </xf>
    <xf numFmtId="168" fontId="26" fillId="0" borderId="108" xfId="0" applyNumberFormat="1" applyFont="1" applyBorder="1" applyAlignment="1">
      <alignment vertical="center" wrapText="1" shrinkToFit="1"/>
    </xf>
    <xf numFmtId="9" fontId="10" fillId="0" borderId="0" xfId="2" applyFont="1" applyBorder="1" applyAlignment="1">
      <alignment vertical="center" wrapText="1" shrinkToFit="1"/>
    </xf>
    <xf numFmtId="168" fontId="25" fillId="0" borderId="0" xfId="0" applyNumberFormat="1" applyFont="1" applyAlignment="1">
      <alignment vertical="center" wrapText="1" shrinkToFit="1"/>
    </xf>
    <xf numFmtId="3" fontId="25" fillId="0" borderId="0" xfId="0" applyNumberFormat="1" applyFont="1" applyAlignment="1">
      <alignment vertical="center" wrapText="1" shrinkToFit="1"/>
    </xf>
    <xf numFmtId="168" fontId="26" fillId="2" borderId="5" xfId="0" applyNumberFormat="1" applyFont="1" applyFill="1" applyBorder="1" applyAlignment="1">
      <alignment vertical="center" wrapText="1" shrinkToFit="1"/>
    </xf>
    <xf numFmtId="9" fontId="25" fillId="0" borderId="0" xfId="2" applyFont="1" applyBorder="1" applyAlignment="1">
      <alignment vertical="center" wrapText="1" shrinkToFit="1"/>
    </xf>
    <xf numFmtId="171" fontId="25" fillId="0" borderId="0" xfId="2" applyNumberFormat="1" applyFont="1" applyBorder="1" applyAlignment="1">
      <alignment vertical="center" wrapText="1" shrinkToFit="1"/>
    </xf>
    <xf numFmtId="3" fontId="10" fillId="0" borderId="30" xfId="0" applyNumberFormat="1" applyFont="1" applyBorder="1" applyAlignment="1">
      <alignment horizontal="justify" vertical="justify" wrapText="1" shrinkToFit="1"/>
    </xf>
    <xf numFmtId="3" fontId="6" fillId="0" borderId="5" xfId="0" applyNumberFormat="1" applyFont="1" applyBorder="1" applyAlignment="1">
      <alignment horizontal="justify" vertical="justify" wrapText="1" shrinkToFit="1"/>
    </xf>
    <xf numFmtId="3" fontId="11" fillId="0" borderId="5" xfId="0" applyNumberFormat="1" applyFont="1" applyBorder="1" applyAlignment="1">
      <alignment horizontal="justify" vertical="justify" wrapText="1" shrinkToFit="1"/>
    </xf>
    <xf numFmtId="3" fontId="21" fillId="0" borderId="5" xfId="0" applyNumberFormat="1" applyFont="1" applyBorder="1" applyAlignment="1">
      <alignment horizontal="justify" vertical="justify" wrapText="1" shrinkToFit="1"/>
    </xf>
    <xf numFmtId="3" fontId="21" fillId="0" borderId="112" xfId="0" applyNumberFormat="1" applyFont="1" applyBorder="1" applyAlignment="1">
      <alignment horizontal="justify" vertical="justify" wrapText="1" shrinkToFit="1"/>
    </xf>
    <xf numFmtId="3" fontId="10" fillId="0" borderId="105" xfId="0" applyNumberFormat="1" applyFont="1" applyBorder="1" applyAlignment="1">
      <alignment vertical="center" wrapText="1" shrinkToFit="1"/>
    </xf>
    <xf numFmtId="0" fontId="10" fillId="0" borderId="6" xfId="0" applyFont="1" applyBorder="1" applyAlignment="1">
      <alignment horizontal="justify" vertical="justify" shrinkToFit="1"/>
    </xf>
    <xf numFmtId="3" fontId="10" fillId="0" borderId="6" xfId="0" applyNumberFormat="1" applyFont="1" applyBorder="1" applyAlignment="1">
      <alignment horizontal="right" vertical="center"/>
    </xf>
    <xf numFmtId="3" fontId="10" fillId="0" borderId="6" xfId="0" applyNumberFormat="1" applyFont="1" applyBorder="1" applyAlignment="1">
      <alignment horizontal="center" vertical="center"/>
    </xf>
    <xf numFmtId="3" fontId="10" fillId="0" borderId="6" xfId="1" applyNumberFormat="1" applyFont="1" applyFill="1" applyBorder="1" applyAlignment="1">
      <alignment vertical="center"/>
    </xf>
    <xf numFmtId="3" fontId="10" fillId="0" borderId="106" xfId="1" applyNumberFormat="1" applyFont="1" applyFill="1" applyBorder="1" applyAlignment="1">
      <alignment vertical="center"/>
    </xf>
    <xf numFmtId="0" fontId="6" fillId="0" borderId="36" xfId="0" applyFont="1" applyBorder="1" applyAlignment="1">
      <alignment horizontal="center" vertical="center"/>
    </xf>
    <xf numFmtId="0" fontId="10" fillId="0" borderId="5" xfId="0" applyFont="1" applyBorder="1" applyAlignment="1">
      <alignment horizontal="justify" vertical="justify" shrinkToFit="1"/>
    </xf>
    <xf numFmtId="3" fontId="10" fillId="0" borderId="5" xfId="1" applyNumberFormat="1" applyFont="1" applyFill="1" applyBorder="1" applyAlignment="1">
      <alignment horizontal="center" vertical="center"/>
    </xf>
    <xf numFmtId="0" fontId="6" fillId="0" borderId="16" xfId="0" applyFont="1" applyBorder="1" applyAlignment="1">
      <alignment horizontal="center" vertical="center"/>
    </xf>
    <xf numFmtId="3" fontId="7" fillId="0" borderId="5" xfId="0" applyNumberFormat="1" applyFont="1" applyBorder="1" applyAlignment="1">
      <alignment horizontal="right" vertical="center"/>
    </xf>
    <xf numFmtId="3" fontId="7" fillId="0" borderId="5" xfId="1" applyNumberFormat="1" applyFont="1" applyFill="1" applyBorder="1" applyAlignment="1">
      <alignment horizontal="right" vertical="center"/>
    </xf>
    <xf numFmtId="3" fontId="7" fillId="0" borderId="5" xfId="23" applyNumberFormat="1" applyFont="1" applyFill="1" applyBorder="1" applyAlignment="1">
      <alignment horizontal="right" vertical="center"/>
    </xf>
    <xf numFmtId="169" fontId="17" fillId="0" borderId="108" xfId="1" applyNumberFormat="1" applyFont="1" applyFill="1" applyBorder="1" applyAlignment="1">
      <alignment vertical="center"/>
    </xf>
    <xf numFmtId="3" fontId="17" fillId="0" borderId="5" xfId="23" applyNumberFormat="1" applyFont="1" applyFill="1" applyBorder="1" applyAlignment="1">
      <alignment horizontal="right" vertical="center"/>
    </xf>
    <xf numFmtId="3" fontId="7" fillId="0" borderId="5" xfId="24" applyNumberFormat="1" applyFont="1" applyFill="1" applyBorder="1" applyAlignment="1">
      <alignment horizontal="right" vertical="center" shrinkToFit="1"/>
    </xf>
    <xf numFmtId="182" fontId="10" fillId="0" borderId="107" xfId="0" applyNumberFormat="1" applyFont="1" applyBorder="1" applyAlignment="1">
      <alignment horizontal="center" vertical="center"/>
    </xf>
    <xf numFmtId="182" fontId="10" fillId="0" borderId="5" xfId="0" applyNumberFormat="1" applyFont="1" applyBorder="1" applyAlignment="1">
      <alignment horizontal="justify" vertical="justify" shrinkToFit="1"/>
    </xf>
    <xf numFmtId="169" fontId="7" fillId="0" borderId="5" xfId="0" applyNumberFormat="1" applyFont="1" applyBorder="1" applyAlignment="1">
      <alignment vertical="center"/>
    </xf>
    <xf numFmtId="3" fontId="7" fillId="0" borderId="5" xfId="7" applyNumberFormat="1" applyFont="1" applyBorder="1" applyAlignment="1">
      <alignment vertical="center"/>
    </xf>
    <xf numFmtId="3" fontId="7" fillId="0" borderId="5" xfId="23" applyNumberFormat="1" applyFont="1" applyFill="1" applyBorder="1" applyAlignment="1">
      <alignment vertical="center"/>
    </xf>
    <xf numFmtId="0" fontId="7" fillId="0" borderId="108" xfId="0" applyFont="1" applyBorder="1" applyAlignment="1">
      <alignment vertical="center"/>
    </xf>
    <xf numFmtId="0" fontId="21" fillId="0" borderId="5" xfId="0" applyFont="1" applyBorder="1" applyAlignment="1">
      <alignment horizontal="justify" vertical="justify" shrinkToFit="1"/>
    </xf>
    <xf numFmtId="9" fontId="7" fillId="0" borderId="0" xfId="2" applyFont="1" applyFill="1" applyAlignment="1">
      <alignment vertical="center"/>
    </xf>
    <xf numFmtId="3" fontId="7" fillId="0" borderId="5" xfId="1" applyNumberFormat="1" applyFont="1" applyFill="1" applyBorder="1" applyAlignment="1">
      <alignment vertical="center"/>
    </xf>
    <xf numFmtId="3" fontId="10" fillId="0" borderId="5" xfId="0" applyNumberFormat="1" applyFont="1" applyBorder="1" applyAlignment="1">
      <alignment vertical="center"/>
    </xf>
    <xf numFmtId="3" fontId="10" fillId="0" borderId="108" xfId="0" applyNumberFormat="1" applyFont="1" applyBorder="1" applyAlignment="1">
      <alignment vertical="center"/>
    </xf>
    <xf numFmtId="169" fontId="7" fillId="0" borderId="16" xfId="0" applyNumberFormat="1" applyFont="1" applyBorder="1" applyAlignment="1">
      <alignment vertical="center"/>
    </xf>
    <xf numFmtId="169" fontId="7" fillId="0" borderId="112" xfId="0" applyNumberFormat="1" applyFont="1" applyBorder="1" applyAlignment="1">
      <alignment vertical="center"/>
    </xf>
    <xf numFmtId="169" fontId="7" fillId="0" borderId="112" xfId="1" applyNumberFormat="1" applyFont="1" applyFill="1" applyBorder="1" applyAlignment="1">
      <alignment vertical="center"/>
    </xf>
    <xf numFmtId="0" fontId="7" fillId="0" borderId="112" xfId="0" applyFont="1" applyBorder="1" applyAlignment="1">
      <alignment vertical="center"/>
    </xf>
    <xf numFmtId="0" fontId="7" fillId="0" borderId="114" xfId="0" applyFont="1" applyBorder="1" applyAlignment="1">
      <alignment vertical="center"/>
    </xf>
    <xf numFmtId="169" fontId="7" fillId="0" borderId="18" xfId="1" applyNumberFormat="1" applyFont="1" applyFill="1" applyBorder="1" applyAlignment="1">
      <alignment vertical="center"/>
    </xf>
    <xf numFmtId="0" fontId="30" fillId="0" borderId="5" xfId="0" applyFont="1" applyBorder="1" applyAlignment="1">
      <alignment horizontal="justify" vertical="justify" shrinkToFit="1"/>
    </xf>
    <xf numFmtId="169" fontId="13" fillId="0" borderId="5" xfId="0" applyNumberFormat="1" applyFont="1" applyBorder="1" applyAlignment="1">
      <alignment vertical="center"/>
    </xf>
    <xf numFmtId="169" fontId="13" fillId="0" borderId="5" xfId="1" applyNumberFormat="1" applyFont="1" applyFill="1" applyBorder="1" applyAlignment="1">
      <alignment vertical="center"/>
    </xf>
    <xf numFmtId="0" fontId="13" fillId="0" borderId="108" xfId="0" applyFont="1" applyBorder="1" applyAlignment="1">
      <alignment vertical="center"/>
    </xf>
    <xf numFmtId="0" fontId="13" fillId="0" borderId="16" xfId="0" applyFont="1" applyBorder="1" applyAlignment="1">
      <alignment vertical="center"/>
    </xf>
    <xf numFmtId="169" fontId="6" fillId="0" borderId="5" xfId="0" applyNumberFormat="1" applyFont="1" applyBorder="1" applyAlignment="1">
      <alignment vertical="center"/>
    </xf>
    <xf numFmtId="3" fontId="6" fillId="0" borderId="5" xfId="0" applyNumberFormat="1" applyFont="1" applyBorder="1" applyAlignment="1">
      <alignment vertical="center"/>
    </xf>
    <xf numFmtId="0" fontId="6" fillId="0" borderId="108" xfId="0" applyFont="1" applyBorder="1" applyAlignment="1">
      <alignment vertical="center"/>
    </xf>
    <xf numFmtId="0" fontId="34" fillId="0" borderId="107" xfId="0" applyFont="1" applyBorder="1" applyAlignment="1">
      <alignment horizontal="center" vertical="center"/>
    </xf>
    <xf numFmtId="3" fontId="13" fillId="0" borderId="5" xfId="0" applyNumberFormat="1" applyFont="1" applyBorder="1" applyAlignment="1">
      <alignment vertical="center"/>
    </xf>
    <xf numFmtId="3" fontId="13" fillId="0" borderId="108" xfId="0" applyNumberFormat="1" applyFont="1" applyBorder="1" applyAlignment="1">
      <alignment vertical="center"/>
    </xf>
    <xf numFmtId="3" fontId="10" fillId="0" borderId="109" xfId="0" applyNumberFormat="1" applyFont="1" applyBorder="1" applyAlignment="1">
      <alignment vertical="center"/>
    </xf>
    <xf numFmtId="3" fontId="10" fillId="0" borderId="16" xfId="0" applyNumberFormat="1" applyFont="1" applyBorder="1" applyAlignment="1">
      <alignment vertical="center"/>
    </xf>
    <xf numFmtId="169" fontId="29" fillId="0" borderId="5" xfId="0" applyNumberFormat="1" applyFont="1" applyBorder="1" applyAlignment="1">
      <alignment vertical="center"/>
    </xf>
    <xf numFmtId="0" fontId="29" fillId="0" borderId="5" xfId="0" applyFont="1" applyBorder="1" applyAlignment="1">
      <alignment vertical="center"/>
    </xf>
    <xf numFmtId="169" fontId="29" fillId="0" borderId="5" xfId="1" applyNumberFormat="1" applyFont="1" applyFill="1" applyBorder="1" applyAlignment="1">
      <alignment vertical="center"/>
    </xf>
    <xf numFmtId="0" fontId="29" fillId="0" borderId="16" xfId="0" applyFont="1" applyBorder="1" applyAlignment="1">
      <alignment vertical="center"/>
    </xf>
    <xf numFmtId="3" fontId="6" fillId="0" borderId="108" xfId="0" applyNumberFormat="1" applyFont="1" applyBorder="1" applyAlignment="1">
      <alignment vertical="center"/>
    </xf>
    <xf numFmtId="169" fontId="6" fillId="0" borderId="16" xfId="0" applyNumberFormat="1" applyFont="1" applyBorder="1" applyAlignment="1">
      <alignment vertical="center"/>
    </xf>
    <xf numFmtId="0" fontId="29" fillId="0" borderId="108" xfId="0" applyFont="1" applyBorder="1" applyAlignment="1">
      <alignment vertical="center"/>
    </xf>
    <xf numFmtId="0" fontId="12" fillId="0" borderId="5" xfId="0" applyFont="1" applyBorder="1" applyAlignment="1">
      <alignment vertical="center" wrapText="1" shrinkToFit="1"/>
    </xf>
    <xf numFmtId="169" fontId="17" fillId="0" borderId="5" xfId="1" applyNumberFormat="1" applyFont="1" applyFill="1" applyBorder="1" applyAlignment="1">
      <alignment vertical="center"/>
    </xf>
    <xf numFmtId="3" fontId="12" fillId="0" borderId="107" xfId="0" applyNumberFormat="1" applyFont="1" applyBorder="1" applyAlignment="1">
      <alignment horizontal="center" vertical="center"/>
    </xf>
    <xf numFmtId="0" fontId="17" fillId="0" borderId="5" xfId="0" applyFont="1" applyBorder="1" applyAlignment="1">
      <alignment horizontal="justify" vertical="center" wrapText="1" shrinkToFit="1"/>
    </xf>
    <xf numFmtId="3" fontId="13" fillId="0" borderId="5" xfId="0" applyNumberFormat="1" applyFont="1" applyBorder="1" applyAlignment="1">
      <alignment horizontal="justify" vertical="center" wrapText="1" shrinkToFit="1"/>
    </xf>
    <xf numFmtId="169" fontId="13" fillId="0" borderId="108" xfId="1" applyNumberFormat="1" applyFont="1" applyFill="1" applyBorder="1" applyAlignment="1">
      <alignment vertical="center"/>
    </xf>
    <xf numFmtId="169" fontId="13" fillId="0" borderId="109" xfId="1" applyNumberFormat="1" applyFont="1" applyFill="1" applyBorder="1" applyAlignment="1">
      <alignment vertical="center"/>
    </xf>
    <xf numFmtId="0" fontId="18" fillId="0" borderId="107" xfId="0" applyFont="1" applyBorder="1" applyAlignment="1">
      <alignment horizontal="center" vertical="center"/>
    </xf>
    <xf numFmtId="0" fontId="18" fillId="0" borderId="5" xfId="0" applyFont="1" applyBorder="1" applyAlignment="1">
      <alignment horizontal="justify" vertical="justify" shrinkToFit="1"/>
    </xf>
    <xf numFmtId="169" fontId="133" fillId="0" borderId="5" xfId="0" applyNumberFormat="1" applyFont="1" applyBorder="1" applyAlignment="1">
      <alignment vertical="center"/>
    </xf>
    <xf numFmtId="0" fontId="133" fillId="0" borderId="5" xfId="0" applyFont="1" applyBorder="1" applyAlignment="1">
      <alignment vertical="center"/>
    </xf>
    <xf numFmtId="169" fontId="133" fillId="0" borderId="5" xfId="1" applyNumberFormat="1" applyFont="1" applyFill="1" applyBorder="1" applyAlignment="1">
      <alignment vertical="center"/>
    </xf>
    <xf numFmtId="3" fontId="133" fillId="0" borderId="5" xfId="0" applyNumberFormat="1" applyFont="1" applyBorder="1" applyAlignment="1">
      <alignment vertical="center"/>
    </xf>
    <xf numFmtId="3" fontId="133" fillId="0" borderId="108" xfId="0" applyNumberFormat="1" applyFont="1" applyBorder="1" applyAlignment="1">
      <alignment vertical="center"/>
    </xf>
    <xf numFmtId="0" fontId="133" fillId="0" borderId="16" xfId="0" applyFont="1" applyBorder="1" applyAlignment="1">
      <alignment vertical="center"/>
    </xf>
    <xf numFmtId="0" fontId="133" fillId="0" borderId="0" xfId="0" applyFont="1" applyAlignment="1">
      <alignment vertical="center"/>
    </xf>
    <xf numFmtId="0" fontId="133" fillId="0" borderId="107" xfId="0" applyFont="1" applyBorder="1" applyAlignment="1">
      <alignment horizontal="center" vertical="center"/>
    </xf>
    <xf numFmtId="0" fontId="133" fillId="0" borderId="5" xfId="0" applyFont="1" applyBorder="1" applyAlignment="1">
      <alignment horizontal="justify" vertical="justify" shrinkToFit="1"/>
    </xf>
    <xf numFmtId="169" fontId="133" fillId="2" borderId="5" xfId="1" applyNumberFormat="1" applyFont="1" applyFill="1" applyBorder="1" applyAlignment="1">
      <alignment vertical="center"/>
    </xf>
    <xf numFmtId="0" fontId="18" fillId="0" borderId="5" xfId="0" applyFont="1" applyBorder="1" applyAlignment="1">
      <alignment vertical="center"/>
    </xf>
    <xf numFmtId="43" fontId="133" fillId="2" borderId="5" xfId="1" applyFont="1" applyFill="1" applyBorder="1" applyAlignment="1">
      <alignment vertical="center"/>
    </xf>
    <xf numFmtId="0" fontId="17" fillId="15" borderId="107" xfId="0" applyFont="1" applyFill="1" applyBorder="1" applyAlignment="1">
      <alignment horizontal="center" vertical="center"/>
    </xf>
    <xf numFmtId="0" fontId="17" fillId="15" borderId="5" xfId="0" applyFont="1" applyFill="1" applyBorder="1" applyAlignment="1">
      <alignment horizontal="justify" vertical="center" shrinkToFit="1"/>
    </xf>
    <xf numFmtId="169" fontId="17" fillId="15" borderId="5" xfId="0" applyNumberFormat="1" applyFont="1" applyFill="1" applyBorder="1" applyAlignment="1">
      <alignment vertical="center"/>
    </xf>
    <xf numFmtId="0" fontId="17" fillId="15" borderId="5" xfId="0" applyFont="1" applyFill="1" applyBorder="1" applyAlignment="1">
      <alignment vertical="center"/>
    </xf>
    <xf numFmtId="3" fontId="17" fillId="15" borderId="5" xfId="0" applyNumberFormat="1" applyFont="1" applyFill="1" applyBorder="1" applyAlignment="1">
      <alignment horizontal="right" vertical="center"/>
    </xf>
    <xf numFmtId="3" fontId="17" fillId="15" borderId="5" xfId="1" applyNumberFormat="1" applyFont="1" applyFill="1" applyBorder="1" applyAlignment="1">
      <alignment horizontal="right" vertical="center"/>
    </xf>
    <xf numFmtId="3" fontId="17" fillId="15" borderId="5" xfId="0" applyNumberFormat="1" applyFont="1" applyFill="1" applyBorder="1" applyAlignment="1">
      <alignment horizontal="right" vertical="center" shrinkToFit="1"/>
    </xf>
    <xf numFmtId="3" fontId="17" fillId="15" borderId="5" xfId="0" applyNumberFormat="1" applyFont="1" applyFill="1" applyBorder="1" applyAlignment="1">
      <alignment vertical="center"/>
    </xf>
    <xf numFmtId="3" fontId="17" fillId="15" borderId="108" xfId="0" applyNumberFormat="1" applyFont="1" applyFill="1" applyBorder="1" applyAlignment="1">
      <alignment vertical="center"/>
    </xf>
    <xf numFmtId="3" fontId="18" fillId="0" borderId="107" xfId="0" applyNumberFormat="1" applyFont="1" applyBorder="1" applyAlignment="1">
      <alignment horizontal="center" vertical="center"/>
    </xf>
    <xf numFmtId="3" fontId="18" fillId="0" borderId="5" xfId="0" applyNumberFormat="1" applyFont="1" applyBorder="1" applyAlignment="1">
      <alignment horizontal="justify" vertical="center" wrapText="1" shrinkToFit="1"/>
    </xf>
    <xf numFmtId="169" fontId="18" fillId="0" borderId="5" xfId="1" applyNumberFormat="1" applyFont="1" applyFill="1" applyBorder="1" applyAlignment="1">
      <alignment vertical="center"/>
    </xf>
    <xf numFmtId="169" fontId="133" fillId="0" borderId="108" xfId="1" applyNumberFormat="1" applyFont="1" applyFill="1" applyBorder="1" applyAlignment="1">
      <alignment vertical="center"/>
    </xf>
    <xf numFmtId="169" fontId="133" fillId="0" borderId="109" xfId="1" applyNumberFormat="1" applyFont="1" applyFill="1" applyBorder="1" applyAlignment="1">
      <alignment vertical="center"/>
    </xf>
    <xf numFmtId="3" fontId="133" fillId="0" borderId="107" xfId="0" applyNumberFormat="1" applyFont="1" applyBorder="1" applyAlignment="1">
      <alignment horizontal="center" vertical="center"/>
    </xf>
    <xf numFmtId="3" fontId="133" fillId="0" borderId="5" xfId="0" applyNumberFormat="1" applyFont="1" applyBorder="1" applyAlignment="1">
      <alignment horizontal="justify" vertical="center" wrapText="1" shrinkToFit="1"/>
    </xf>
    <xf numFmtId="169" fontId="18" fillId="0" borderId="108" xfId="1" applyNumberFormat="1" applyFont="1" applyFill="1" applyBorder="1" applyAlignment="1">
      <alignment vertical="center"/>
    </xf>
    <xf numFmtId="169" fontId="18" fillId="0" borderId="109" xfId="1" applyNumberFormat="1" applyFont="1" applyFill="1" applyBorder="1" applyAlignment="1">
      <alignment vertical="center"/>
    </xf>
    <xf numFmtId="0" fontId="18" fillId="0" borderId="0" xfId="0" applyFont="1" applyAlignment="1">
      <alignment vertical="center"/>
    </xf>
    <xf numFmtId="169" fontId="18" fillId="0" borderId="5" xfId="0" applyNumberFormat="1" applyFont="1" applyBorder="1" applyAlignment="1">
      <alignment vertical="center"/>
    </xf>
    <xf numFmtId="1" fontId="154" fillId="0" borderId="5" xfId="0" applyNumberFormat="1" applyFont="1" applyBorder="1" applyAlignment="1">
      <alignment vertical="center"/>
    </xf>
    <xf numFmtId="0" fontId="133" fillId="0" borderId="108" xfId="0" applyFont="1" applyBorder="1" applyAlignment="1">
      <alignment vertical="center"/>
    </xf>
    <xf numFmtId="3" fontId="133" fillId="2" borderId="5" xfId="0" applyNumberFormat="1" applyFont="1" applyFill="1" applyBorder="1" applyAlignment="1">
      <alignment vertical="center"/>
    </xf>
    <xf numFmtId="3" fontId="12" fillId="0" borderId="7" xfId="0" applyNumberFormat="1" applyFont="1" applyBorder="1" applyAlignment="1">
      <alignment horizontal="center" vertical="center" wrapText="1"/>
    </xf>
    <xf numFmtId="3" fontId="12" fillId="0" borderId="19" xfId="0" applyNumberFormat="1" applyFont="1" applyBorder="1" applyAlignment="1">
      <alignment horizontal="center" vertical="center" wrapText="1"/>
    </xf>
    <xf numFmtId="38" fontId="21" fillId="0" borderId="4" xfId="0" applyNumberFormat="1" applyFont="1" applyBorder="1" applyAlignment="1">
      <alignment horizontal="right" shrinkToFit="1"/>
    </xf>
    <xf numFmtId="38" fontId="33" fillId="0" borderId="5" xfId="0" applyNumberFormat="1" applyFont="1" applyBorder="1" applyAlignment="1">
      <alignment horizontal="right" shrinkToFit="1"/>
    </xf>
    <xf numFmtId="38" fontId="11" fillId="0" borderId="5" xfId="0" applyNumberFormat="1" applyFont="1" applyBorder="1" applyAlignment="1">
      <alignment horizontal="right" shrinkToFit="1"/>
    </xf>
    <xf numFmtId="38" fontId="30" fillId="0" borderId="5" xfId="0" applyNumberFormat="1" applyFont="1" applyBorder="1" applyAlignment="1">
      <alignment horizontal="right" shrinkToFit="1"/>
    </xf>
    <xf numFmtId="38" fontId="14" fillId="0" borderId="5" xfId="0" applyNumberFormat="1" applyFont="1" applyBorder="1" applyAlignment="1">
      <alignment horizontal="right" shrinkToFit="1"/>
    </xf>
    <xf numFmtId="38" fontId="10" fillId="0" borderId="4" xfId="0" applyNumberFormat="1" applyFont="1" applyBorder="1" applyAlignment="1">
      <alignment horizontal="right" shrinkToFit="1"/>
    </xf>
    <xf numFmtId="38" fontId="14" fillId="0" borderId="11" xfId="0" applyNumberFormat="1" applyFont="1" applyBorder="1" applyAlignment="1">
      <alignment horizontal="right" shrinkToFit="1"/>
    </xf>
    <xf numFmtId="38" fontId="7" fillId="0" borderId="5" xfId="0" applyNumberFormat="1" applyFont="1" applyBorder="1" applyAlignment="1">
      <alignment horizontal="right" shrinkToFit="1"/>
    </xf>
    <xf numFmtId="38" fontId="13" fillId="0" borderId="5" xfId="0" applyNumberFormat="1" applyFont="1" applyBorder="1" applyAlignment="1">
      <alignment horizontal="right" shrinkToFit="1"/>
    </xf>
    <xf numFmtId="178" fontId="7" fillId="0" borderId="5" xfId="0" applyNumberFormat="1" applyFont="1" applyBorder="1" applyAlignment="1">
      <alignment shrinkToFit="1"/>
    </xf>
    <xf numFmtId="178" fontId="11" fillId="0" borderId="5" xfId="0" applyNumberFormat="1" applyFont="1" applyBorder="1" applyAlignment="1">
      <alignment shrinkToFit="1"/>
    </xf>
    <xf numFmtId="178" fontId="17" fillId="0" borderId="5" xfId="0" applyNumberFormat="1" applyFont="1" applyBorder="1" applyAlignment="1">
      <alignment shrinkToFit="1"/>
    </xf>
    <xf numFmtId="165" fontId="17" fillId="0" borderId="5" xfId="14" applyFont="1" applyBorder="1" applyAlignment="1">
      <alignment shrinkToFit="1"/>
    </xf>
    <xf numFmtId="169" fontId="11" fillId="0" borderId="5" xfId="14" applyNumberFormat="1" applyFont="1" applyBorder="1" applyAlignment="1">
      <alignment shrinkToFit="1"/>
    </xf>
    <xf numFmtId="178" fontId="11" fillId="2" borderId="5" xfId="0" applyNumberFormat="1" applyFont="1" applyFill="1" applyBorder="1" applyAlignment="1">
      <alignment shrinkToFit="1"/>
    </xf>
    <xf numFmtId="169" fontId="11" fillId="0" borderId="5" xfId="0" applyNumberFormat="1" applyFont="1" applyBorder="1" applyAlignment="1">
      <alignment shrinkToFit="1"/>
    </xf>
    <xf numFmtId="9" fontId="7" fillId="0" borderId="0" xfId="2" applyFont="1" applyBorder="1"/>
    <xf numFmtId="165" fontId="7" fillId="0" borderId="0" xfId="14" applyFont="1" applyBorder="1"/>
    <xf numFmtId="175" fontId="7" fillId="0" borderId="0" xfId="14" applyNumberFormat="1" applyFont="1" applyBorder="1"/>
    <xf numFmtId="3" fontId="133" fillId="0" borderId="5" xfId="0" applyNumberFormat="1" applyFont="1" applyBorder="1" applyAlignment="1">
      <alignment shrinkToFit="1"/>
    </xf>
    <xf numFmtId="165" fontId="133" fillId="0" borderId="5" xfId="14" applyFont="1" applyBorder="1" applyAlignment="1">
      <alignment shrinkToFit="1"/>
    </xf>
    <xf numFmtId="169" fontId="30" fillId="0" borderId="5" xfId="14" applyNumberFormat="1" applyFont="1" applyBorder="1" applyAlignment="1">
      <alignment shrinkToFit="1"/>
    </xf>
    <xf numFmtId="9" fontId="13" fillId="0" borderId="0" xfId="2" applyFont="1" applyBorder="1"/>
    <xf numFmtId="165" fontId="13" fillId="0" borderId="0" xfId="14" applyFont="1" applyBorder="1"/>
    <xf numFmtId="175" fontId="13" fillId="0" borderId="0" xfId="14" applyNumberFormat="1" applyFont="1" applyBorder="1"/>
    <xf numFmtId="3" fontId="18" fillId="0" borderId="4" xfId="0" applyNumberFormat="1" applyFont="1" applyBorder="1" applyAlignment="1">
      <alignment horizontal="center" vertical="center" shrinkToFit="1"/>
    </xf>
    <xf numFmtId="178" fontId="21" fillId="0" borderId="5" xfId="0" applyNumberFormat="1" applyFont="1" applyBorder="1" applyAlignment="1">
      <alignment shrinkToFit="1"/>
    </xf>
    <xf numFmtId="178" fontId="21" fillId="0" borderId="5" xfId="0" applyNumberFormat="1" applyFont="1" applyBorder="1" applyAlignment="1">
      <alignment vertical="center" shrinkToFit="1"/>
    </xf>
    <xf numFmtId="165" fontId="10" fillId="0" borderId="0" xfId="14" applyFont="1" applyBorder="1" applyAlignment="1">
      <alignment vertical="center"/>
    </xf>
    <xf numFmtId="175" fontId="10" fillId="0" borderId="0" xfId="14" applyNumberFormat="1" applyFont="1" applyBorder="1" applyAlignment="1">
      <alignment vertical="center"/>
    </xf>
    <xf numFmtId="0" fontId="6" fillId="16" borderId="5" xfId="0" applyFont="1" applyFill="1" applyBorder="1" applyAlignment="1">
      <alignment vertical="center" shrinkToFit="1"/>
    </xf>
    <xf numFmtId="3" fontId="6" fillId="16" borderId="0" xfId="0" applyNumberFormat="1" applyFont="1" applyFill="1" applyAlignment="1">
      <alignment shrinkToFit="1"/>
    </xf>
    <xf numFmtId="175" fontId="6" fillId="16" borderId="0" xfId="14" applyNumberFormat="1" applyFont="1" applyFill="1" applyAlignment="1">
      <alignment shrinkToFit="1"/>
    </xf>
    <xf numFmtId="0" fontId="6" fillId="16" borderId="5" xfId="0" applyFont="1" applyFill="1" applyBorder="1" applyAlignment="1">
      <alignment horizontal="center" vertical="center" shrinkToFit="1"/>
    </xf>
    <xf numFmtId="3" fontId="6" fillId="16" borderId="5" xfId="0" applyNumberFormat="1" applyFont="1" applyFill="1" applyBorder="1" applyAlignment="1">
      <alignment shrinkToFit="1"/>
    </xf>
    <xf numFmtId="0" fontId="6" fillId="0" borderId="8" xfId="0" applyFont="1" applyBorder="1" applyAlignment="1">
      <alignment horizontal="center" vertical="center" shrinkToFit="1"/>
    </xf>
    <xf numFmtId="175" fontId="10" fillId="0" borderId="0" xfId="14" applyNumberFormat="1" applyFont="1"/>
    <xf numFmtId="0" fontId="10" fillId="0" borderId="5" xfId="0" applyFont="1" applyBorder="1" applyAlignment="1">
      <alignment horizontal="center" vertical="center"/>
    </xf>
    <xf numFmtId="175" fontId="7" fillId="0" borderId="0" xfId="14" applyNumberFormat="1" applyFont="1" applyAlignment="1">
      <alignment vertical="center"/>
    </xf>
    <xf numFmtId="182" fontId="10" fillId="0" borderId="6" xfId="0" applyNumberFormat="1" applyFont="1" applyBorder="1"/>
    <xf numFmtId="182" fontId="7" fillId="0" borderId="5" xfId="0" applyNumberFormat="1" applyFont="1" applyBorder="1"/>
    <xf numFmtId="182" fontId="13" fillId="0" borderId="5" xfId="0" applyNumberFormat="1" applyFont="1" applyBorder="1"/>
    <xf numFmtId="182" fontId="10" fillId="0" borderId="5" xfId="0" applyNumberFormat="1" applyFont="1" applyBorder="1" applyAlignment="1">
      <alignment vertical="center"/>
    </xf>
    <xf numFmtId="3" fontId="10" fillId="0" borderId="8" xfId="0" applyNumberFormat="1" applyFont="1" applyBorder="1"/>
    <xf numFmtId="186" fontId="21" fillId="0" borderId="6" xfId="0" applyNumberFormat="1" applyFont="1" applyBorder="1" applyAlignment="1">
      <alignment shrinkToFit="1"/>
    </xf>
    <xf numFmtId="186" fontId="11" fillId="0" borderId="5" xfId="0" applyNumberFormat="1" applyFont="1" applyBorder="1" applyAlignment="1">
      <alignment shrinkToFit="1"/>
    </xf>
    <xf numFmtId="186" fontId="21" fillId="0" borderId="5" xfId="0" applyNumberFormat="1" applyFont="1" applyBorder="1" applyAlignment="1">
      <alignment shrinkToFit="1"/>
    </xf>
    <xf numFmtId="175" fontId="21" fillId="0" borderId="6" xfId="14" applyNumberFormat="1" applyFont="1" applyBorder="1" applyAlignment="1">
      <alignment shrinkToFit="1"/>
    </xf>
    <xf numFmtId="186" fontId="12" fillId="0" borderId="5" xfId="0" applyNumberFormat="1" applyFont="1" applyBorder="1" applyAlignment="1">
      <alignment shrinkToFit="1"/>
    </xf>
    <xf numFmtId="175" fontId="11" fillId="0" borderId="5" xfId="14" applyNumberFormat="1" applyFont="1" applyBorder="1" applyAlignment="1">
      <alignment shrinkToFit="1"/>
    </xf>
    <xf numFmtId="175" fontId="21" fillId="0" borderId="5" xfId="14" applyNumberFormat="1" applyFont="1" applyBorder="1" applyAlignment="1">
      <alignment shrinkToFit="1"/>
    </xf>
    <xf numFmtId="175" fontId="33" fillId="0" borderId="5" xfId="14" applyNumberFormat="1" applyFont="1" applyBorder="1" applyAlignment="1">
      <alignment shrinkToFit="1"/>
    </xf>
    <xf numFmtId="175" fontId="12" fillId="0" borderId="5" xfId="14" applyNumberFormat="1" applyFont="1" applyBorder="1" applyAlignment="1">
      <alignment shrinkToFit="1"/>
    </xf>
    <xf numFmtId="3" fontId="21" fillId="0" borderId="6" xfId="14" applyNumberFormat="1" applyFont="1" applyBorder="1" applyAlignment="1">
      <alignment shrinkToFit="1"/>
    </xf>
    <xf numFmtId="3" fontId="11" fillId="0" borderId="5" xfId="14" applyNumberFormat="1" applyFont="1" applyBorder="1" applyAlignment="1">
      <alignment shrinkToFit="1"/>
    </xf>
    <xf numFmtId="3" fontId="21" fillId="0" borderId="5" xfId="14" applyNumberFormat="1" applyFont="1" applyBorder="1" applyAlignment="1">
      <alignment shrinkToFit="1"/>
    </xf>
    <xf numFmtId="3" fontId="33" fillId="0" borderId="5" xfId="14" applyNumberFormat="1" applyFont="1" applyBorder="1" applyAlignment="1">
      <alignment shrinkToFit="1"/>
    </xf>
    <xf numFmtId="3" fontId="12" fillId="0" borderId="5" xfId="14" applyNumberFormat="1" applyFont="1" applyBorder="1" applyAlignment="1">
      <alignment shrinkToFit="1"/>
    </xf>
    <xf numFmtId="3" fontId="11" fillId="0" borderId="5" xfId="14" applyNumberFormat="1" applyFont="1" applyBorder="1" applyAlignment="1">
      <alignment vertical="center" shrinkToFit="1"/>
    </xf>
    <xf numFmtId="3" fontId="12" fillId="0" borderId="8" xfId="14" applyNumberFormat="1" applyFont="1" applyBorder="1" applyAlignment="1">
      <alignment shrinkToFit="1"/>
    </xf>
    <xf numFmtId="0" fontId="7" fillId="0" borderId="5" xfId="0" applyFont="1" applyBorder="1" applyAlignment="1">
      <alignment horizontal="justify" vertical="center" wrapText="1"/>
    </xf>
    <xf numFmtId="3" fontId="7" fillId="0" borderId="30" xfId="0" applyNumberFormat="1" applyFont="1" applyBorder="1" applyAlignment="1">
      <alignment horizontal="centerContinuous"/>
    </xf>
    <xf numFmtId="3" fontId="7" fillId="0" borderId="30" xfId="0" applyNumberFormat="1" applyFont="1" applyBorder="1" applyAlignment="1">
      <alignment shrinkToFit="1"/>
    </xf>
    <xf numFmtId="3" fontId="7" fillId="0" borderId="30" xfId="0" applyNumberFormat="1" applyFont="1" applyBorder="1" applyAlignment="1">
      <alignment vertical="center"/>
    </xf>
    <xf numFmtId="3" fontId="21" fillId="0" borderId="8" xfId="0" applyNumberFormat="1" applyFont="1" applyBorder="1" applyAlignment="1">
      <alignment horizontal="centerContinuous"/>
    </xf>
    <xf numFmtId="3" fontId="21" fillId="0" borderId="8" xfId="0" applyNumberFormat="1" applyFont="1" applyBorder="1" applyAlignment="1">
      <alignment shrinkToFit="1"/>
    </xf>
    <xf numFmtId="3" fontId="21" fillId="0" borderId="8" xfId="0" applyNumberFormat="1" applyFont="1" applyBorder="1"/>
    <xf numFmtId="0" fontId="6" fillId="0" borderId="5" xfId="0" applyFont="1" applyBorder="1" applyAlignment="1">
      <alignment horizontal="justify" vertical="center" wrapText="1"/>
    </xf>
    <xf numFmtId="0" fontId="7" fillId="0" borderId="8" xfId="0" applyFont="1" applyBorder="1" applyAlignment="1">
      <alignment horizontal="justify" vertical="center" wrapText="1"/>
    </xf>
    <xf numFmtId="169" fontId="6" fillId="0" borderId="6" xfId="1" applyNumberFormat="1" applyFont="1" applyBorder="1" applyAlignment="1">
      <alignment vertical="center"/>
    </xf>
    <xf numFmtId="169" fontId="11" fillId="0" borderId="5" xfId="1" applyNumberFormat="1" applyFont="1" applyBorder="1" applyAlignment="1">
      <alignment vertical="center"/>
    </xf>
    <xf numFmtId="169" fontId="11" fillId="0" borderId="0" xfId="1" applyNumberFormat="1" applyFont="1" applyFill="1"/>
    <xf numFmtId="169" fontId="30" fillId="0" borderId="0" xfId="1" applyNumberFormat="1" applyFont="1" applyFill="1"/>
    <xf numFmtId="169" fontId="11" fillId="0" borderId="0" xfId="1" applyNumberFormat="1" applyFont="1" applyFill="1" applyAlignment="1">
      <alignment vertical="center"/>
    </xf>
    <xf numFmtId="0" fontId="30" fillId="0" borderId="107" xfId="4" applyFont="1" applyBorder="1" applyAlignment="1">
      <alignment horizontal="center" vertical="center" wrapText="1"/>
    </xf>
    <xf numFmtId="0" fontId="9" fillId="0" borderId="107" xfId="4" applyFont="1" applyBorder="1" applyAlignment="1">
      <alignment horizontal="center" vertical="center" shrinkToFit="1"/>
    </xf>
    <xf numFmtId="0" fontId="9" fillId="0" borderId="5" xfId="4" applyFont="1" applyBorder="1" applyAlignment="1">
      <alignment vertical="center" wrapText="1"/>
    </xf>
    <xf numFmtId="168" fontId="9" fillId="0" borderId="5" xfId="4" applyNumberFormat="1" applyFont="1" applyBorder="1" applyAlignment="1">
      <alignment vertical="center" wrapText="1"/>
    </xf>
    <xf numFmtId="168" fontId="9" fillId="0" borderId="108" xfId="4" applyNumberFormat="1" applyFont="1" applyBorder="1" applyAlignment="1">
      <alignment vertical="center" wrapText="1"/>
    </xf>
    <xf numFmtId="168" fontId="11" fillId="0" borderId="112" xfId="4" applyNumberFormat="1" applyFont="1" applyBorder="1" applyAlignment="1">
      <alignment vertical="center"/>
    </xf>
    <xf numFmtId="3" fontId="21" fillId="0" borderId="77" xfId="4" applyNumberFormat="1" applyFont="1" applyBorder="1" applyAlignment="1">
      <alignment horizontal="left" vertical="center" wrapText="1" shrinkToFit="1"/>
    </xf>
    <xf numFmtId="0" fontId="10" fillId="0" borderId="0" xfId="0" applyFont="1" applyAlignment="1">
      <alignment horizontal="center"/>
    </xf>
    <xf numFmtId="3" fontId="6" fillId="0" borderId="4" xfId="0" applyNumberFormat="1" applyFont="1" applyBorder="1" applyAlignment="1">
      <alignment horizontal="centerContinuous" wrapText="1"/>
    </xf>
    <xf numFmtId="3" fontId="7" fillId="0" borderId="4" xfId="0" applyNumberFormat="1" applyFont="1" applyBorder="1" applyAlignment="1">
      <alignment horizontal="center" vertical="center" shrinkToFit="1"/>
    </xf>
    <xf numFmtId="0" fontId="0" fillId="0" borderId="4" xfId="0" applyBorder="1"/>
    <xf numFmtId="3" fontId="10" fillId="0" borderId="4" xfId="0" applyNumberFormat="1" applyFont="1" applyBorder="1" applyAlignment="1">
      <alignment horizontal="justify" vertical="center" wrapText="1" shrinkToFit="1"/>
    </xf>
    <xf numFmtId="168" fontId="10" fillId="0" borderId="4" xfId="0" applyNumberFormat="1" applyFont="1" applyBorder="1" applyAlignment="1">
      <alignment shrinkToFit="1"/>
    </xf>
    <xf numFmtId="173" fontId="10" fillId="0" borderId="4" xfId="0" applyNumberFormat="1" applyFont="1" applyBorder="1" applyAlignment="1">
      <alignment shrinkToFit="1"/>
    </xf>
    <xf numFmtId="3" fontId="25" fillId="0" borderId="4" xfId="0" applyNumberFormat="1" applyFont="1" applyBorder="1" applyAlignment="1">
      <alignment horizontal="justify" vertical="center" wrapText="1" shrinkToFit="1"/>
    </xf>
    <xf numFmtId="168" fontId="10" fillId="0" borderId="4" xfId="0" applyNumberFormat="1" applyFont="1" applyBorder="1" applyAlignment="1">
      <alignment vertical="center" shrinkToFit="1"/>
    </xf>
    <xf numFmtId="173" fontId="10" fillId="0" borderId="4" xfId="0" applyNumberFormat="1" applyFont="1" applyBorder="1" applyAlignment="1">
      <alignment vertical="center" shrinkToFit="1"/>
    </xf>
    <xf numFmtId="3" fontId="6" fillId="0" borderId="4" xfId="0" applyNumberFormat="1" applyFont="1" applyBorder="1" applyAlignment="1">
      <alignment horizontal="justify" vertical="center" wrapText="1" shrinkToFit="1"/>
    </xf>
    <xf numFmtId="168" fontId="6" fillId="0" borderId="4" xfId="0" applyNumberFormat="1" applyFont="1" applyBorder="1" applyAlignment="1">
      <alignment shrinkToFit="1"/>
    </xf>
    <xf numFmtId="3" fontId="7" fillId="0" borderId="4" xfId="0" applyNumberFormat="1" applyFont="1" applyBorder="1" applyAlignment="1">
      <alignment horizontal="justify" vertical="center" wrapText="1" shrinkToFit="1"/>
    </xf>
    <xf numFmtId="168" fontId="11" fillId="0" borderId="4" xfId="0" applyNumberFormat="1" applyFont="1" applyBorder="1" applyAlignment="1">
      <alignment vertical="center" shrinkToFit="1"/>
    </xf>
    <xf numFmtId="168" fontId="7" fillId="0" borderId="4" xfId="0" applyNumberFormat="1" applyFont="1" applyBorder="1" applyAlignment="1">
      <alignment shrinkToFit="1"/>
    </xf>
    <xf numFmtId="168" fontId="12" fillId="0" borderId="4" xfId="0" applyNumberFormat="1" applyFont="1" applyBorder="1" applyAlignment="1">
      <alignment vertical="center" shrinkToFit="1"/>
    </xf>
    <xf numFmtId="168" fontId="6" fillId="0" borderId="4" xfId="0" applyNumberFormat="1" applyFont="1" applyBorder="1" applyAlignment="1">
      <alignment vertical="center" shrinkToFit="1"/>
    </xf>
    <xf numFmtId="3" fontId="12" fillId="0" borderId="4" xfId="0" applyNumberFormat="1" applyFont="1" applyBorder="1" applyAlignment="1">
      <alignment horizontal="justify" vertical="center" wrapText="1" shrinkToFit="1"/>
    </xf>
    <xf numFmtId="3" fontId="30" fillId="0" borderId="4" xfId="0" applyNumberFormat="1" applyFont="1" applyBorder="1" applyAlignment="1">
      <alignment horizontal="justify" vertical="center" wrapText="1" shrinkToFit="1"/>
    </xf>
    <xf numFmtId="168" fontId="13" fillId="0" borderId="4" xfId="0" applyNumberFormat="1" applyFont="1" applyBorder="1" applyAlignment="1">
      <alignment shrinkToFit="1"/>
    </xf>
    <xf numFmtId="168" fontId="7" fillId="0" borderId="4" xfId="0" applyNumberFormat="1" applyFont="1" applyBorder="1" applyAlignment="1">
      <alignment vertical="center" shrinkToFit="1"/>
    </xf>
    <xf numFmtId="3" fontId="6" fillId="0" borderId="115" xfId="0" applyNumberFormat="1" applyFont="1" applyBorder="1" applyAlignment="1">
      <alignment horizontal="centerContinuous" wrapText="1"/>
    </xf>
    <xf numFmtId="3" fontId="6" fillId="0" borderId="115" xfId="0" applyNumberFormat="1" applyFont="1" applyBorder="1" applyAlignment="1">
      <alignment horizontal="centerContinuous" vertical="center" wrapText="1"/>
    </xf>
    <xf numFmtId="3" fontId="6" fillId="0" borderId="103" xfId="0" applyNumberFormat="1" applyFont="1" applyBorder="1" applyAlignment="1">
      <alignment horizontal="centerContinuous" wrapText="1"/>
    </xf>
    <xf numFmtId="3" fontId="6" fillId="0" borderId="103" xfId="0" applyNumberFormat="1" applyFont="1" applyBorder="1" applyAlignment="1">
      <alignment horizontal="center" vertical="center" wrapText="1"/>
    </xf>
    <xf numFmtId="3" fontId="137" fillId="0" borderId="117" xfId="15" applyNumberFormat="1" applyFont="1" applyBorder="1" applyAlignment="1">
      <alignment horizontal="center" vertical="center" shrinkToFit="1"/>
    </xf>
    <xf numFmtId="3" fontId="7" fillId="0" borderId="103" xfId="0" applyNumberFormat="1" applyFont="1" applyBorder="1" applyAlignment="1">
      <alignment horizontal="center" vertical="center" shrinkToFit="1"/>
    </xf>
    <xf numFmtId="3" fontId="10" fillId="0" borderId="117" xfId="0" applyNumberFormat="1" applyFont="1" applyBorder="1" applyAlignment="1">
      <alignment horizontal="center" vertical="center" shrinkToFit="1"/>
    </xf>
    <xf numFmtId="168" fontId="10" fillId="0" borderId="103" xfId="0" applyNumberFormat="1" applyFont="1" applyBorder="1" applyAlignment="1">
      <alignment shrinkToFit="1"/>
    </xf>
    <xf numFmtId="3" fontId="25" fillId="0" borderId="117" xfId="0" applyNumberFormat="1" applyFont="1" applyBorder="1" applyAlignment="1">
      <alignment horizontal="center" vertical="center" wrapText="1" shrinkToFit="1"/>
    </xf>
    <xf numFmtId="168" fontId="10" fillId="0" borderId="103" xfId="0" applyNumberFormat="1" applyFont="1" applyBorder="1" applyAlignment="1">
      <alignment vertical="center" shrinkToFit="1"/>
    </xf>
    <xf numFmtId="3" fontId="6" fillId="0" borderId="117" xfId="0" applyNumberFormat="1" applyFont="1" applyBorder="1" applyAlignment="1">
      <alignment horizontal="center" vertical="center" shrinkToFit="1"/>
    </xf>
    <xf numFmtId="168" fontId="6" fillId="0" borderId="103" xfId="0" applyNumberFormat="1" applyFont="1" applyBorder="1" applyAlignment="1">
      <alignment shrinkToFit="1"/>
    </xf>
    <xf numFmtId="168" fontId="7" fillId="0" borderId="103" xfId="0" applyNumberFormat="1" applyFont="1" applyBorder="1" applyAlignment="1">
      <alignment shrinkToFit="1"/>
    </xf>
    <xf numFmtId="3" fontId="12" fillId="0" borderId="117" xfId="0" applyNumberFormat="1" applyFont="1" applyBorder="1" applyAlignment="1">
      <alignment horizontal="center" vertical="center" shrinkToFit="1"/>
    </xf>
    <xf numFmtId="3" fontId="34" fillId="0" borderId="117" xfId="0" applyNumberFormat="1" applyFont="1" applyBorder="1" applyAlignment="1">
      <alignment horizontal="center" vertical="center" shrinkToFit="1"/>
    </xf>
    <xf numFmtId="168" fontId="13" fillId="0" borderId="103" xfId="0" applyNumberFormat="1" applyFont="1" applyBorder="1" applyAlignment="1">
      <alignment shrinkToFit="1"/>
    </xf>
    <xf numFmtId="168" fontId="7" fillId="0" borderId="103" xfId="0" applyNumberFormat="1" applyFont="1" applyBorder="1" applyAlignment="1">
      <alignment vertical="center" shrinkToFit="1"/>
    </xf>
    <xf numFmtId="3" fontId="10" fillId="0" borderId="137" xfId="0" applyNumberFormat="1" applyFont="1" applyBorder="1" applyAlignment="1">
      <alignment horizontal="center" vertical="center" shrinkToFit="1"/>
    </xf>
    <xf numFmtId="3" fontId="10" fillId="0" borderId="138" xfId="0" applyNumberFormat="1" applyFont="1" applyBorder="1" applyAlignment="1">
      <alignment horizontal="justify" vertical="center" wrapText="1" shrinkToFit="1"/>
    </xf>
    <xf numFmtId="0" fontId="0" fillId="0" borderId="138" xfId="0" applyBorder="1"/>
    <xf numFmtId="0" fontId="0" fillId="0" borderId="139" xfId="0" applyBorder="1"/>
    <xf numFmtId="168" fontId="10" fillId="0" borderId="6" xfId="1" applyNumberFormat="1" applyFont="1" applyFill="1" applyBorder="1" applyAlignment="1">
      <alignment shrinkToFit="1"/>
    </xf>
    <xf numFmtId="173" fontId="10" fillId="0" borderId="6" xfId="1" applyNumberFormat="1" applyFont="1" applyFill="1" applyBorder="1" applyAlignment="1">
      <alignment shrinkToFit="1"/>
    </xf>
    <xf numFmtId="173" fontId="10" fillId="0" borderId="5" xfId="1" applyNumberFormat="1" applyFont="1" applyFill="1" applyBorder="1" applyAlignment="1">
      <alignment shrinkToFit="1"/>
    </xf>
    <xf numFmtId="168" fontId="10" fillId="0" borderId="5" xfId="1" applyNumberFormat="1" applyFont="1" applyFill="1" applyBorder="1" applyAlignment="1">
      <alignment shrinkToFit="1"/>
    </xf>
    <xf numFmtId="168" fontId="6" fillId="0" borderId="5" xfId="0" applyNumberFormat="1" applyFont="1" applyBorder="1" applyAlignment="1">
      <alignment shrinkToFit="1"/>
    </xf>
    <xf numFmtId="168" fontId="6" fillId="0" borderId="5" xfId="1" applyNumberFormat="1" applyFont="1" applyFill="1" applyBorder="1" applyAlignment="1">
      <alignment shrinkToFit="1"/>
    </xf>
    <xf numFmtId="173" fontId="6" fillId="0" borderId="5" xfId="1" applyNumberFormat="1" applyFont="1" applyFill="1" applyBorder="1" applyAlignment="1">
      <alignment shrinkToFit="1"/>
    </xf>
    <xf numFmtId="168" fontId="7" fillId="0" borderId="5" xfId="1" applyNumberFormat="1" applyFont="1" applyFill="1" applyBorder="1" applyAlignment="1">
      <alignment shrinkToFit="1"/>
    </xf>
    <xf numFmtId="168" fontId="7" fillId="0" borderId="5" xfId="1" applyNumberFormat="1" applyFont="1" applyFill="1" applyBorder="1" applyAlignment="1">
      <alignment vertical="center" shrinkToFit="1"/>
    </xf>
    <xf numFmtId="168" fontId="6" fillId="2" borderId="5" xfId="1" applyNumberFormat="1" applyFont="1" applyFill="1" applyBorder="1" applyAlignment="1">
      <alignment shrinkToFit="1"/>
    </xf>
    <xf numFmtId="168" fontId="10" fillId="0" borderId="5" xfId="1" applyNumberFormat="1" applyFont="1" applyFill="1" applyBorder="1" applyAlignment="1">
      <alignment vertical="center" shrinkToFit="1"/>
    </xf>
    <xf numFmtId="168" fontId="10" fillId="0" borderId="8" xfId="1" applyNumberFormat="1" applyFont="1" applyFill="1" applyBorder="1" applyAlignment="1">
      <alignment vertical="center" shrinkToFit="1"/>
    </xf>
    <xf numFmtId="171" fontId="17" fillId="0" borderId="0" xfId="2" applyNumberFormat="1" applyFont="1"/>
    <xf numFmtId="192" fontId="21" fillId="0" borderId="0" xfId="1" applyNumberFormat="1" applyFont="1" applyFill="1" applyBorder="1" applyAlignment="1">
      <alignment shrinkToFit="1"/>
    </xf>
    <xf numFmtId="188" fontId="7" fillId="0" borderId="0" xfId="2" applyNumberFormat="1" applyFont="1" applyFill="1" applyBorder="1" applyAlignment="1"/>
    <xf numFmtId="3" fontId="11" fillId="0" borderId="5" xfId="23" applyNumberFormat="1" applyFont="1" applyFill="1" applyBorder="1" applyAlignment="1">
      <alignment horizontal="right" vertical="center"/>
    </xf>
    <xf numFmtId="3" fontId="6" fillId="2" borderId="4" xfId="0" applyNumberFormat="1" applyFont="1" applyFill="1" applyBorder="1" applyAlignment="1">
      <alignment horizontal="center" vertical="center" wrapText="1"/>
    </xf>
    <xf numFmtId="168" fontId="11" fillId="0" borderId="9" xfId="0" applyNumberFormat="1" applyFont="1" applyBorder="1" applyAlignment="1">
      <alignment vertical="center" shrinkToFit="1"/>
    </xf>
    <xf numFmtId="9" fontId="14" fillId="0" borderId="0" xfId="2" applyFont="1" applyBorder="1" applyAlignment="1">
      <alignment vertical="center" shrinkToFit="1"/>
    </xf>
    <xf numFmtId="169" fontId="30" fillId="0" borderId="5" xfId="1" applyNumberFormat="1" applyFont="1" applyFill="1" applyBorder="1" applyAlignment="1">
      <alignment vertical="center"/>
    </xf>
    <xf numFmtId="10" fontId="10" fillId="0" borderId="0" xfId="2" applyNumberFormat="1" applyFont="1" applyFill="1" applyBorder="1" applyAlignment="1">
      <alignment shrinkToFit="1"/>
    </xf>
    <xf numFmtId="3" fontId="17" fillId="0" borderId="107" xfId="0" applyNumberFormat="1" applyFont="1" applyBorder="1" applyAlignment="1">
      <alignment horizontal="center" vertical="center" wrapText="1" shrinkToFit="1"/>
    </xf>
    <xf numFmtId="3" fontId="17" fillId="0" borderId="5" xfId="0" applyNumberFormat="1" applyFont="1" applyBorder="1" applyAlignment="1">
      <alignment horizontal="justify" vertical="justify" wrapText="1" shrinkToFit="1"/>
    </xf>
    <xf numFmtId="168" fontId="17" fillId="0" borderId="16" xfId="0" applyNumberFormat="1" applyFont="1" applyBorder="1" applyAlignment="1">
      <alignment vertical="center" wrapText="1" shrinkToFit="1"/>
    </xf>
    <xf numFmtId="168" fontId="17" fillId="0" borderId="108" xfId="0" applyNumberFormat="1" applyFont="1" applyBorder="1" applyAlignment="1">
      <alignment vertical="center" wrapText="1" shrinkToFit="1"/>
    </xf>
    <xf numFmtId="172" fontId="17" fillId="0" borderId="5" xfId="2" applyNumberFormat="1" applyFont="1" applyFill="1" applyBorder="1" applyAlignment="1">
      <alignment vertical="center" wrapText="1" shrinkToFit="1"/>
    </xf>
    <xf numFmtId="168" fontId="17" fillId="0" borderId="0" xfId="0" applyNumberFormat="1" applyFont="1" applyAlignment="1">
      <alignment vertical="center" wrapText="1" shrinkToFit="1"/>
    </xf>
    <xf numFmtId="3" fontId="17" fillId="0" borderId="0" xfId="0" applyNumberFormat="1" applyFont="1" applyAlignment="1">
      <alignment vertical="center" wrapText="1" shrinkToFit="1"/>
    </xf>
    <xf numFmtId="9" fontId="17" fillId="0" borderId="0" xfId="2" applyFont="1" applyFill="1" applyBorder="1" applyAlignment="1">
      <alignment vertical="center" wrapText="1" shrinkToFit="1"/>
    </xf>
    <xf numFmtId="171" fontId="17" fillId="0" borderId="0" xfId="2" applyNumberFormat="1" applyFont="1" applyFill="1" applyBorder="1" applyAlignment="1">
      <alignment vertical="center" wrapText="1" shrinkToFit="1"/>
    </xf>
    <xf numFmtId="0" fontId="17" fillId="0" borderId="107" xfId="0" applyFont="1" applyBorder="1" applyAlignment="1">
      <alignment horizontal="center" vertical="center" wrapText="1"/>
    </xf>
    <xf numFmtId="3" fontId="12" fillId="0" borderId="5" xfId="0" applyNumberFormat="1" applyFont="1" applyBorder="1" applyAlignment="1">
      <alignment horizontal="justify" vertical="center" shrinkToFit="1"/>
    </xf>
    <xf numFmtId="10" fontId="17" fillId="0" borderId="0" xfId="2" applyNumberFormat="1" applyFont="1"/>
    <xf numFmtId="169" fontId="154" fillId="0" borderId="0" xfId="1" applyNumberFormat="1" applyFont="1"/>
    <xf numFmtId="0" fontId="6" fillId="0" borderId="7" xfId="0" applyFont="1" applyBorder="1" applyAlignment="1">
      <alignment horizontal="center" vertical="center" shrinkToFit="1"/>
    </xf>
    <xf numFmtId="0" fontId="6" fillId="0" borderId="4" xfId="5" applyFont="1" applyBorder="1" applyAlignment="1">
      <alignment horizontal="center" vertical="center" wrapText="1"/>
    </xf>
    <xf numFmtId="169" fontId="7" fillId="0" borderId="6" xfId="1" applyNumberFormat="1" applyFont="1" applyBorder="1" applyAlignment="1">
      <alignment horizontal="right" vertical="center"/>
    </xf>
    <xf numFmtId="169" fontId="7" fillId="0" borderId="6" xfId="1" applyNumberFormat="1" applyFont="1" applyBorder="1" applyAlignment="1">
      <alignment vertical="center"/>
    </xf>
    <xf numFmtId="169" fontId="6" fillId="0" borderId="7" xfId="1" applyNumberFormat="1" applyFont="1" applyBorder="1" applyAlignment="1">
      <alignment vertical="center"/>
    </xf>
    <xf numFmtId="169" fontId="7" fillId="0" borderId="8" xfId="1" applyNumberFormat="1" applyFont="1" applyBorder="1" applyAlignment="1">
      <alignment vertical="center"/>
    </xf>
    <xf numFmtId="3" fontId="12" fillId="0" borderId="5" xfId="1" applyNumberFormat="1" applyFont="1" applyFill="1" applyBorder="1" applyAlignment="1">
      <alignment horizontal="right" vertical="center"/>
    </xf>
    <xf numFmtId="3" fontId="6" fillId="0" borderId="5" xfId="23" applyNumberFormat="1" applyFont="1" applyFill="1" applyBorder="1" applyAlignment="1">
      <alignment horizontal="right" vertical="center"/>
    </xf>
    <xf numFmtId="3" fontId="6" fillId="0" borderId="5" xfId="1" applyNumberFormat="1" applyFont="1" applyFill="1" applyBorder="1" applyAlignment="1">
      <alignment horizontal="right" vertical="center"/>
    </xf>
    <xf numFmtId="0" fontId="42" fillId="0" borderId="8" xfId="0" applyFont="1" applyBorder="1" applyAlignment="1">
      <alignment horizontal="center" vertical="center"/>
    </xf>
    <xf numFmtId="0" fontId="42" fillId="0" borderId="4" xfId="0" applyFont="1" applyBorder="1" applyAlignment="1">
      <alignment horizontal="center" vertical="center"/>
    </xf>
    <xf numFmtId="0" fontId="42" fillId="0" borderId="6" xfId="0" applyFont="1" applyBorder="1" applyAlignment="1">
      <alignment horizontal="center" vertical="center"/>
    </xf>
    <xf numFmtId="169" fontId="42" fillId="0" borderId="6" xfId="1" applyNumberFormat="1" applyFont="1" applyBorder="1" applyAlignment="1">
      <alignment vertical="center"/>
    </xf>
    <xf numFmtId="0" fontId="42" fillId="0" borderId="5" xfId="0" applyFont="1" applyBorder="1" applyAlignment="1">
      <alignment horizontal="center" vertical="center"/>
    </xf>
    <xf numFmtId="169" fontId="42" fillId="0" borderId="5" xfId="1" applyNumberFormat="1" applyFont="1" applyBorder="1" applyAlignment="1">
      <alignment vertical="center"/>
    </xf>
    <xf numFmtId="0" fontId="0" fillId="0" borderId="5" xfId="0" applyBorder="1" applyAlignment="1">
      <alignment vertical="center"/>
    </xf>
    <xf numFmtId="9" fontId="0" fillId="0" borderId="5" xfId="2" applyFont="1" applyBorder="1" applyAlignment="1">
      <alignment vertical="center"/>
    </xf>
    <xf numFmtId="0" fontId="1" fillId="0" borderId="8" xfId="0" applyFont="1" applyBorder="1" applyAlignment="1">
      <alignment vertical="center"/>
    </xf>
    <xf numFmtId="9" fontId="0" fillId="0" borderId="8" xfId="2" applyFont="1" applyBorder="1" applyAlignment="1">
      <alignment vertical="center"/>
    </xf>
    <xf numFmtId="168" fontId="7" fillId="2" borderId="5" xfId="4" applyNumberFormat="1" applyFont="1" applyFill="1" applyBorder="1" applyAlignment="1">
      <alignment vertical="center"/>
    </xf>
    <xf numFmtId="0" fontId="11" fillId="2" borderId="5" xfId="4" applyFont="1" applyFill="1" applyBorder="1" applyAlignment="1">
      <alignment horizontal="center" vertical="center" shrinkToFit="1"/>
    </xf>
    <xf numFmtId="0" fontId="11" fillId="2" borderId="5" xfId="4" applyFont="1" applyFill="1" applyBorder="1" applyAlignment="1">
      <alignment vertical="center" wrapText="1"/>
    </xf>
    <xf numFmtId="168" fontId="11" fillId="2" borderId="5" xfId="4" applyNumberFormat="1" applyFont="1" applyFill="1" applyBorder="1" applyAlignment="1">
      <alignment vertical="center"/>
    </xf>
    <xf numFmtId="168" fontId="11" fillId="2" borderId="5" xfId="4" applyNumberFormat="1" applyFont="1" applyFill="1" applyBorder="1" applyAlignment="1">
      <alignment vertical="center" wrapText="1"/>
    </xf>
    <xf numFmtId="168" fontId="30" fillId="2" borderId="5" xfId="4" applyNumberFormat="1" applyFont="1" applyFill="1" applyBorder="1" applyAlignment="1">
      <alignment vertical="center" wrapText="1"/>
    </xf>
    <xf numFmtId="0" fontId="17" fillId="2" borderId="107" xfId="4" applyFont="1" applyFill="1" applyBorder="1" applyAlignment="1">
      <alignment horizontal="center" vertical="center" shrinkToFit="1"/>
    </xf>
    <xf numFmtId="0" fontId="17" fillId="2" borderId="5" xfId="4" applyFont="1" applyFill="1" applyBorder="1" applyAlignment="1">
      <alignment vertical="center" wrapText="1" shrinkToFit="1"/>
    </xf>
    <xf numFmtId="168" fontId="17" fillId="2" borderId="5" xfId="4" applyNumberFormat="1" applyFont="1" applyFill="1" applyBorder="1" applyAlignment="1">
      <alignment vertical="center" wrapText="1"/>
    </xf>
    <xf numFmtId="168" fontId="17" fillId="2" borderId="108" xfId="4" applyNumberFormat="1" applyFont="1" applyFill="1" applyBorder="1" applyAlignment="1">
      <alignment vertical="center" wrapText="1"/>
    </xf>
    <xf numFmtId="168" fontId="14" fillId="2" borderId="5" xfId="4" applyNumberFormat="1" applyFont="1" applyFill="1" applyBorder="1" applyAlignment="1">
      <alignment vertical="center"/>
    </xf>
    <xf numFmtId="0" fontId="30" fillId="0" borderId="5" xfId="0" applyFont="1" applyBorder="1" applyAlignment="1">
      <alignment horizontal="center" vertical="center"/>
    </xf>
    <xf numFmtId="0" fontId="12" fillId="0" borderId="5" xfId="0" applyFont="1" applyBorder="1" applyAlignment="1">
      <alignment vertical="center" wrapText="1"/>
    </xf>
    <xf numFmtId="3" fontId="30" fillId="0" borderId="5" xfId="0" applyNumberFormat="1" applyFont="1" applyBorder="1" applyAlignment="1">
      <alignment horizontal="right" vertical="center"/>
    </xf>
    <xf numFmtId="0" fontId="12" fillId="0" borderId="9" xfId="0" applyFont="1" applyBorder="1" applyAlignment="1">
      <alignment horizontal="center" vertical="center"/>
    </xf>
    <xf numFmtId="0" fontId="12" fillId="0" borderId="9" xfId="0" applyFont="1" applyBorder="1" applyAlignment="1">
      <alignment vertical="center"/>
    </xf>
    <xf numFmtId="3" fontId="12" fillId="0" borderId="9" xfId="0" applyNumberFormat="1" applyFont="1" applyBorder="1" applyAlignment="1">
      <alignment horizontal="right" vertical="center"/>
    </xf>
    <xf numFmtId="0" fontId="12" fillId="0" borderId="8" xfId="0" applyFont="1" applyBorder="1" applyAlignment="1">
      <alignment horizontal="center" vertical="center"/>
    </xf>
    <xf numFmtId="0" fontId="12" fillId="0" borderId="8" xfId="0" applyFont="1" applyBorder="1" applyAlignment="1">
      <alignment vertical="center"/>
    </xf>
    <xf numFmtId="3" fontId="12" fillId="0" borderId="8" xfId="0" applyNumberFormat="1" applyFont="1" applyBorder="1" applyAlignment="1">
      <alignment horizontal="right" vertical="center"/>
    </xf>
    <xf numFmtId="3" fontId="35" fillId="0" borderId="5" xfId="21" applyNumberFormat="1" applyFont="1" applyBorder="1" applyAlignment="1">
      <alignment horizontal="center" vertical="center"/>
    </xf>
    <xf numFmtId="38" fontId="35" fillId="0" borderId="5" xfId="21" applyNumberFormat="1" applyFont="1" applyBorder="1" applyAlignment="1">
      <alignment vertical="center" shrinkToFit="1"/>
    </xf>
    <xf numFmtId="9" fontId="35" fillId="0" borderId="5" xfId="2" applyFont="1" applyFill="1" applyBorder="1" applyAlignment="1">
      <alignment vertical="center" shrinkToFit="1"/>
    </xf>
    <xf numFmtId="3" fontId="35" fillId="0" borderId="0" xfId="21" applyNumberFormat="1" applyFont="1"/>
    <xf numFmtId="3" fontId="56" fillId="0" borderId="5" xfId="21" applyNumberFormat="1" applyFont="1" applyBorder="1" applyAlignment="1">
      <alignment horizontal="center" vertical="center"/>
    </xf>
    <xf numFmtId="3" fontId="56" fillId="0" borderId="5" xfId="21" applyNumberFormat="1" applyFont="1" applyBorder="1" applyAlignment="1">
      <alignment shrinkToFit="1"/>
    </xf>
    <xf numFmtId="38" fontId="56" fillId="0" borderId="5" xfId="21" applyNumberFormat="1" applyFont="1" applyBorder="1" applyAlignment="1">
      <alignment vertical="center" shrinkToFit="1"/>
    </xf>
    <xf numFmtId="9" fontId="56" fillId="0" borderId="5" xfId="2" applyFont="1" applyFill="1" applyBorder="1" applyAlignment="1">
      <alignment vertical="center" shrinkToFit="1"/>
    </xf>
    <xf numFmtId="3" fontId="56" fillId="0" borderId="5" xfId="21" applyNumberFormat="1" applyFont="1" applyBorder="1" applyAlignment="1">
      <alignment vertical="center" shrinkToFit="1"/>
    </xf>
    <xf numFmtId="3" fontId="73" fillId="0" borderId="5" xfId="21" applyNumberFormat="1" applyFont="1" applyBorder="1" applyAlignment="1">
      <alignment horizontal="center" vertical="center"/>
    </xf>
    <xf numFmtId="38" fontId="73" fillId="0" borderId="5" xfId="21" applyNumberFormat="1" applyFont="1" applyBorder="1" applyAlignment="1">
      <alignment vertical="center"/>
    </xf>
    <xf numFmtId="9" fontId="73" fillId="0" borderId="5" xfId="2" applyFont="1" applyFill="1" applyBorder="1" applyAlignment="1">
      <alignment vertical="center"/>
    </xf>
    <xf numFmtId="3" fontId="73" fillId="0" borderId="0" xfId="21" applyNumberFormat="1" applyFont="1"/>
    <xf numFmtId="3" fontId="35" fillId="0" borderId="5" xfId="21" applyNumberFormat="1" applyFont="1" applyBorder="1" applyAlignment="1">
      <alignment vertical="center" shrinkToFit="1"/>
    </xf>
    <xf numFmtId="38" fontId="35" fillId="0" borderId="5" xfId="21" applyNumberFormat="1" applyFont="1" applyBorder="1" applyAlignment="1">
      <alignment vertical="center"/>
    </xf>
    <xf numFmtId="9" fontId="35" fillId="0" borderId="5" xfId="2" applyFont="1" applyFill="1" applyBorder="1" applyAlignment="1">
      <alignment vertical="center"/>
    </xf>
    <xf numFmtId="3" fontId="56" fillId="0" borderId="0" xfId="21" applyNumberFormat="1" applyFont="1"/>
    <xf numFmtId="3" fontId="74" fillId="0" borderId="0" xfId="21" applyNumberFormat="1" applyFont="1"/>
    <xf numFmtId="3" fontId="73" fillId="0" borderId="5" xfId="21" applyNumberFormat="1" applyFont="1" applyBorder="1" applyAlignment="1">
      <alignment vertical="center" shrinkToFit="1"/>
    </xf>
    <xf numFmtId="38" fontId="73" fillId="0" borderId="5" xfId="21" applyNumberFormat="1" applyFont="1" applyBorder="1" applyAlignment="1">
      <alignment vertical="center" shrinkToFit="1"/>
    </xf>
    <xf numFmtId="9" fontId="73" fillId="0" borderId="5" xfId="2" applyFont="1" applyFill="1" applyBorder="1" applyAlignment="1">
      <alignment vertical="center" shrinkToFit="1"/>
    </xf>
    <xf numFmtId="3" fontId="56" fillId="0" borderId="8" xfId="21" applyNumberFormat="1" applyFont="1" applyBorder="1" applyAlignment="1">
      <alignment horizontal="center" vertical="center"/>
    </xf>
    <xf numFmtId="0" fontId="56" fillId="0" borderId="8" xfId="0" applyFont="1" applyBorder="1" applyAlignment="1">
      <alignment vertical="center"/>
    </xf>
    <xf numFmtId="38" fontId="56" fillId="0" borderId="8" xfId="21" applyNumberFormat="1" applyFont="1" applyBorder="1" applyAlignment="1">
      <alignment vertical="center"/>
    </xf>
    <xf numFmtId="9" fontId="56" fillId="0" borderId="8" xfId="2" applyFont="1" applyFill="1" applyBorder="1" applyAlignment="1">
      <alignment vertical="center"/>
    </xf>
    <xf numFmtId="0" fontId="12" fillId="0" borderId="6" xfId="0" applyFont="1" applyBorder="1" applyAlignment="1">
      <alignment horizontal="center" vertical="center" wrapText="1"/>
    </xf>
    <xf numFmtId="0" fontId="12" fillId="0" borderId="6" xfId="0" applyFont="1" applyBorder="1" applyAlignment="1">
      <alignment vertical="center" wrapText="1"/>
    </xf>
    <xf numFmtId="3" fontId="12" fillId="0" borderId="6" xfId="0" applyNumberFormat="1" applyFont="1" applyBorder="1" applyAlignment="1">
      <alignment vertical="center" wrapText="1"/>
    </xf>
    <xf numFmtId="3" fontId="12" fillId="0" borderId="5" xfId="0" applyNumberFormat="1" applyFont="1" applyBorder="1" applyAlignment="1">
      <alignment vertical="center"/>
    </xf>
    <xf numFmtId="3" fontId="30" fillId="0" borderId="5" xfId="0" applyNumberFormat="1" applyFont="1" applyBorder="1" applyAlignment="1">
      <alignment vertical="center"/>
    </xf>
    <xf numFmtId="0" fontId="12" fillId="0" borderId="5" xfId="0" applyFont="1" applyBorder="1" applyAlignment="1">
      <alignment horizontal="center" vertical="center" wrapText="1"/>
    </xf>
    <xf numFmtId="3" fontId="12" fillId="0" borderId="5" xfId="0" applyNumberFormat="1" applyFont="1" applyBorder="1" applyAlignment="1">
      <alignment horizontal="right" vertical="center" wrapText="1"/>
    </xf>
    <xf numFmtId="0" fontId="7" fillId="0" borderId="100" xfId="0" applyFont="1" applyBorder="1"/>
    <xf numFmtId="0" fontId="10" fillId="0" borderId="6" xfId="4" applyFont="1" applyBorder="1" applyAlignment="1">
      <alignment horizontal="justify" vertical="justify" wrapText="1" shrinkToFit="1"/>
    </xf>
    <xf numFmtId="168" fontId="10" fillId="0" borderId="109" xfId="4" applyNumberFormat="1" applyFont="1" applyBorder="1" applyAlignment="1">
      <alignment vertical="center"/>
    </xf>
    <xf numFmtId="0" fontId="10" fillId="0" borderId="107" xfId="4" applyFont="1" applyBorder="1" applyAlignment="1">
      <alignment horizontal="center" vertical="center" wrapText="1"/>
    </xf>
    <xf numFmtId="0" fontId="10" fillId="0" borderId="5" xfId="4" applyFont="1" applyBorder="1" applyAlignment="1">
      <alignment vertical="center" wrapText="1" shrinkToFit="1"/>
    </xf>
    <xf numFmtId="0" fontId="14" fillId="0" borderId="107" xfId="4" applyFont="1" applyBorder="1" applyAlignment="1">
      <alignment horizontal="center" vertical="center" wrapText="1"/>
    </xf>
    <xf numFmtId="168" fontId="13" fillId="0" borderId="108" xfId="4" applyNumberFormat="1" applyFont="1" applyBorder="1" applyAlignment="1">
      <alignment vertical="center" wrapText="1"/>
    </xf>
    <xf numFmtId="0" fontId="15" fillId="0" borderId="107" xfId="4" applyFont="1" applyBorder="1" applyAlignment="1">
      <alignment horizontal="center" vertical="center" wrapText="1"/>
    </xf>
    <xf numFmtId="0" fontId="13" fillId="0" borderId="5" xfId="4" applyFont="1" applyBorder="1" applyAlignment="1">
      <alignment vertical="center" wrapText="1" shrinkToFit="1"/>
    </xf>
    <xf numFmtId="168" fontId="6" fillId="0" borderId="108" xfId="4" applyNumberFormat="1" applyFont="1" applyBorder="1" applyAlignment="1">
      <alignment vertical="center" wrapText="1"/>
    </xf>
    <xf numFmtId="168" fontId="10" fillId="0" borderId="108" xfId="4" applyNumberFormat="1" applyFont="1" applyBorder="1" applyAlignment="1">
      <alignment vertical="center"/>
    </xf>
    <xf numFmtId="0" fontId="7" fillId="0" borderId="107" xfId="4" applyFont="1" applyBorder="1" applyAlignment="1">
      <alignment horizontal="center" vertical="center" wrapText="1"/>
    </xf>
    <xf numFmtId="168" fontId="7" fillId="0" borderId="108" xfId="4" applyNumberFormat="1" applyFont="1" applyBorder="1" applyAlignment="1">
      <alignment vertical="center"/>
    </xf>
    <xf numFmtId="0" fontId="7" fillId="0" borderId="111" xfId="4" applyFont="1" applyBorder="1" applyAlignment="1">
      <alignment horizontal="center" vertical="center" wrapText="1"/>
    </xf>
    <xf numFmtId="0" fontId="7" fillId="0" borderId="112" xfId="4" applyFont="1" applyBorder="1" applyAlignment="1">
      <alignment vertical="center" wrapText="1" shrinkToFit="1"/>
    </xf>
    <xf numFmtId="168" fontId="7" fillId="0" borderId="112" xfId="4" applyNumberFormat="1" applyFont="1" applyBorder="1" applyAlignment="1">
      <alignment vertical="center" wrapText="1"/>
    </xf>
    <xf numFmtId="168" fontId="7" fillId="0" borderId="114" xfId="4" applyNumberFormat="1" applyFont="1" applyBorder="1" applyAlignment="1">
      <alignment vertical="center"/>
    </xf>
    <xf numFmtId="0" fontId="6" fillId="0" borderId="6" xfId="0" applyFont="1" applyBorder="1" applyAlignment="1">
      <alignment vertical="center"/>
    </xf>
    <xf numFmtId="0" fontId="6" fillId="0" borderId="6" xfId="0" applyFont="1" applyBorder="1" applyAlignment="1">
      <alignment horizontal="center" vertical="center" shrinkToFit="1"/>
    </xf>
    <xf numFmtId="38" fontId="6" fillId="0" borderId="6" xfId="0" applyNumberFormat="1" applyFont="1" applyBorder="1" applyAlignment="1">
      <alignment vertical="center" shrinkToFit="1"/>
    </xf>
    <xf numFmtId="38" fontId="6" fillId="0" borderId="0" xfId="0" applyNumberFormat="1" applyFont="1" applyAlignment="1">
      <alignment vertical="center"/>
    </xf>
    <xf numFmtId="0" fontId="6" fillId="0" borderId="30" xfId="0" applyFont="1" applyBorder="1" applyAlignment="1">
      <alignment horizontal="center" vertical="center"/>
    </xf>
    <xf numFmtId="0" fontId="6" fillId="0" borderId="30" xfId="0" applyFont="1" applyBorder="1" applyAlignment="1">
      <alignment horizontal="center" vertical="center" shrinkToFit="1"/>
    </xf>
    <xf numFmtId="38" fontId="22" fillId="0" borderId="30" xfId="0" applyNumberFormat="1" applyFont="1" applyBorder="1" applyAlignment="1">
      <alignment vertical="center" shrinkToFit="1"/>
    </xf>
    <xf numFmtId="38" fontId="6" fillId="0" borderId="30" xfId="0" applyNumberFormat="1" applyFont="1" applyBorder="1" applyAlignment="1">
      <alignment vertical="center" shrinkToFit="1"/>
    </xf>
    <xf numFmtId="38" fontId="6" fillId="0" borderId="5" xfId="0" applyNumberFormat="1" applyFont="1" applyBorder="1" applyAlignment="1">
      <alignment vertical="center" shrinkToFit="1"/>
    </xf>
    <xf numFmtId="38" fontId="7" fillId="0" borderId="5" xfId="0" applyNumberFormat="1" applyFont="1" applyBorder="1" applyAlignment="1">
      <alignment vertical="center" shrinkToFit="1"/>
    </xf>
    <xf numFmtId="0" fontId="6" fillId="0" borderId="5" xfId="0" applyFont="1" applyBorder="1" applyAlignment="1">
      <alignment horizontal="center" vertical="center" wrapText="1"/>
    </xf>
    <xf numFmtId="3" fontId="13" fillId="0" borderId="5" xfId="0" applyNumberFormat="1" applyFont="1" applyBorder="1" applyAlignment="1">
      <alignment horizontal="center" vertical="center" wrapText="1"/>
    </xf>
    <xf numFmtId="38" fontId="13" fillId="0" borderId="5" xfId="0" applyNumberFormat="1" applyFont="1" applyBorder="1" applyAlignment="1">
      <alignment vertical="center" shrinkToFit="1"/>
    </xf>
    <xf numFmtId="0" fontId="6" fillId="0" borderId="8" xfId="0" applyFont="1" applyBorder="1" applyAlignment="1">
      <alignment horizontal="center" vertical="center" wrapText="1"/>
    </xf>
    <xf numFmtId="3" fontId="6" fillId="0" borderId="8" xfId="0" applyNumberFormat="1" applyFont="1" applyBorder="1" applyAlignment="1">
      <alignment vertical="center" wrapText="1"/>
    </xf>
    <xf numFmtId="3" fontId="6" fillId="0" borderId="8" xfId="0" applyNumberFormat="1" applyFont="1" applyBorder="1" applyAlignment="1">
      <alignment vertical="center" shrinkToFit="1"/>
    </xf>
    <xf numFmtId="0" fontId="55" fillId="0" borderId="5" xfId="0" applyFont="1" applyBorder="1" applyAlignment="1">
      <alignment horizontal="center" vertical="center"/>
    </xf>
    <xf numFmtId="0" fontId="17" fillId="0" borderId="5" xfId="0" applyFont="1" applyBorder="1" applyAlignment="1">
      <alignment horizontal="center" vertical="center"/>
    </xf>
    <xf numFmtId="3" fontId="7" fillId="0" borderId="0" xfId="0" applyNumberFormat="1" applyFont="1" applyAlignment="1">
      <alignment horizontal="justify" vertical="center" wrapText="1" shrinkToFit="1"/>
    </xf>
    <xf numFmtId="3" fontId="13" fillId="0" borderId="0" xfId="0" quotePrefix="1" applyNumberFormat="1" applyFont="1" applyAlignment="1">
      <alignment horizontal="justify" vertical="center" wrapText="1" shrinkToFit="1"/>
    </xf>
    <xf numFmtId="0" fontId="7" fillId="17" borderId="5" xfId="4" applyFont="1" applyFill="1" applyBorder="1" applyAlignment="1">
      <alignment vertical="center" wrapText="1" shrinkToFit="1"/>
    </xf>
    <xf numFmtId="168" fontId="7" fillId="17" borderId="5" xfId="4" applyNumberFormat="1" applyFont="1" applyFill="1" applyBorder="1" applyAlignment="1">
      <alignment vertical="center" wrapText="1"/>
    </xf>
    <xf numFmtId="168" fontId="7" fillId="17" borderId="108" xfId="4" applyNumberFormat="1" applyFont="1" applyFill="1" applyBorder="1" applyAlignment="1">
      <alignment vertical="center" wrapText="1"/>
    </xf>
    <xf numFmtId="0" fontId="7" fillId="17" borderId="107" xfId="4" applyFont="1" applyFill="1" applyBorder="1" applyAlignment="1">
      <alignment horizontal="center" vertical="center" shrinkToFit="1"/>
    </xf>
    <xf numFmtId="0" fontId="42" fillId="0" borderId="66" xfId="0" applyFont="1" applyBorder="1" applyAlignment="1">
      <alignment horizontal="center" vertical="center" wrapText="1"/>
    </xf>
    <xf numFmtId="0" fontId="1" fillId="0" borderId="66" xfId="0" applyFont="1" applyBorder="1" applyAlignment="1">
      <alignment horizontal="center" vertical="center" wrapText="1"/>
    </xf>
    <xf numFmtId="0" fontId="1" fillId="0" borderId="58" xfId="0" applyFont="1" applyBorder="1" applyAlignment="1">
      <alignment horizontal="center" vertical="center" wrapText="1"/>
    </xf>
    <xf numFmtId="0" fontId="1" fillId="0" borderId="60" xfId="0" applyFont="1" applyBorder="1" applyAlignment="1">
      <alignment horizontal="center" vertical="center" wrapText="1"/>
    </xf>
    <xf numFmtId="0" fontId="1" fillId="0" borderId="60" xfId="0" applyFont="1" applyBorder="1" applyAlignment="1">
      <alignment horizontal="left" vertical="center" wrapText="1"/>
    </xf>
    <xf numFmtId="3" fontId="42" fillId="0" borderId="60" xfId="0" applyNumberFormat="1" applyFont="1" applyBorder="1" applyAlignment="1">
      <alignment horizontal="right" vertical="center" wrapText="1"/>
    </xf>
    <xf numFmtId="3" fontId="1" fillId="0" borderId="60" xfId="0" applyNumberFormat="1" applyFont="1" applyBorder="1" applyAlignment="1">
      <alignment horizontal="right" vertical="center" wrapText="1"/>
    </xf>
    <xf numFmtId="0" fontId="1" fillId="0" borderId="60" xfId="0" applyFont="1" applyBorder="1" applyAlignment="1">
      <alignment horizontal="right" vertical="center"/>
    </xf>
    <xf numFmtId="3" fontId="1" fillId="0" borderId="60" xfId="0" applyNumberFormat="1" applyFont="1" applyBorder="1" applyAlignment="1">
      <alignment horizontal="right" vertical="center"/>
    </xf>
    <xf numFmtId="0" fontId="1" fillId="0" borderId="61" xfId="0" applyFont="1" applyBorder="1" applyAlignment="1">
      <alignment vertical="top" wrapText="1"/>
    </xf>
    <xf numFmtId="0" fontId="1" fillId="0" borderId="61" xfId="0" applyFont="1" applyBorder="1"/>
    <xf numFmtId="0" fontId="42" fillId="0" borderId="5" xfId="7" applyFont="1" applyBorder="1" applyAlignment="1">
      <alignment horizontal="center" vertical="center" wrapText="1"/>
    </xf>
    <xf numFmtId="3" fontId="42" fillId="0" borderId="5" xfId="0" applyNumberFormat="1" applyFont="1" applyBorder="1" applyAlignment="1">
      <alignment horizontal="left" vertical="center" wrapText="1"/>
    </xf>
    <xf numFmtId="0" fontId="1" fillId="0" borderId="0" xfId="0" applyFont="1" applyAlignment="1">
      <alignment vertical="top"/>
    </xf>
    <xf numFmtId="0" fontId="42" fillId="0" borderId="0" xfId="0" applyFont="1" applyAlignment="1">
      <alignment vertical="top"/>
    </xf>
    <xf numFmtId="0" fontId="35" fillId="0" borderId="0" xfId="0" applyFont="1"/>
    <xf numFmtId="0" fontId="56" fillId="0" borderId="0" xfId="0" applyFont="1" applyAlignment="1">
      <alignment vertical="center"/>
    </xf>
    <xf numFmtId="0" fontId="35" fillId="0" borderId="0" xfId="0" applyFont="1" applyAlignment="1">
      <alignment vertical="center" wrapText="1"/>
    </xf>
    <xf numFmtId="0" fontId="35" fillId="0" borderId="0" xfId="0" applyFont="1" applyAlignment="1">
      <alignment vertical="center"/>
    </xf>
    <xf numFmtId="0" fontId="70" fillId="0" borderId="0" xfId="0" applyFont="1"/>
    <xf numFmtId="0" fontId="55" fillId="0" borderId="0" xfId="0" applyFont="1" applyAlignment="1">
      <alignment vertical="center"/>
    </xf>
    <xf numFmtId="3" fontId="1" fillId="0" borderId="66" xfId="0" applyNumberFormat="1" applyFont="1" applyBorder="1" applyAlignment="1">
      <alignment horizontal="center" vertical="center" wrapText="1"/>
    </xf>
    <xf numFmtId="0" fontId="43" fillId="0" borderId="59" xfId="0" applyFont="1" applyBorder="1" applyAlignment="1">
      <alignment horizontal="center" vertical="center" wrapText="1"/>
    </xf>
    <xf numFmtId="3" fontId="43" fillId="0" borderId="59" xfId="0" applyNumberFormat="1" applyFont="1" applyBorder="1" applyAlignment="1">
      <alignment horizontal="center" vertical="center" wrapText="1"/>
    </xf>
    <xf numFmtId="0" fontId="43" fillId="0" borderId="0" xfId="0" applyFont="1" applyAlignment="1">
      <alignment horizontal="center" vertical="center"/>
    </xf>
    <xf numFmtId="0" fontId="42" fillId="0" borderId="60" xfId="7" applyFont="1" applyBorder="1" applyAlignment="1">
      <alignment horizontal="center" vertical="center" wrapText="1"/>
    </xf>
    <xf numFmtId="3" fontId="42" fillId="0" borderId="60" xfId="0" applyNumberFormat="1" applyFont="1" applyBorder="1" applyAlignment="1">
      <alignment horizontal="left" vertical="center" wrapText="1"/>
    </xf>
    <xf numFmtId="3" fontId="42" fillId="0" borderId="60" xfId="0" applyNumberFormat="1" applyFont="1" applyBorder="1" applyAlignment="1">
      <alignment horizontal="center" vertical="center"/>
    </xf>
    <xf numFmtId="0" fontId="7" fillId="0" borderId="0" xfId="7" applyFont="1" applyAlignment="1">
      <alignment vertical="top" wrapText="1"/>
    </xf>
    <xf numFmtId="0" fontId="161" fillId="0" borderId="0" xfId="7" applyFont="1" applyAlignment="1">
      <alignment vertical="top" wrapText="1"/>
    </xf>
    <xf numFmtId="3" fontId="7" fillId="0" borderId="0" xfId="7" applyNumberFormat="1" applyFont="1"/>
    <xf numFmtId="0" fontId="7" fillId="0" borderId="0" xfId="7" applyFont="1"/>
    <xf numFmtId="0" fontId="6" fillId="0" borderId="0" xfId="7" applyFont="1" applyAlignment="1">
      <alignment vertical="top" wrapText="1"/>
    </xf>
    <xf numFmtId="0" fontId="13" fillId="0" borderId="0" xfId="7" applyFont="1" applyAlignment="1">
      <alignment vertical="top" wrapText="1"/>
    </xf>
    <xf numFmtId="0" fontId="42" fillId="0" borderId="66" xfId="7" applyFont="1" applyBorder="1" applyAlignment="1">
      <alignment horizontal="center" vertical="center" wrapText="1"/>
    </xf>
    <xf numFmtId="3" fontId="42" fillId="0" borderId="66" xfId="7" applyNumberFormat="1" applyFont="1" applyBorder="1" applyAlignment="1">
      <alignment horizontal="center" vertical="center" wrapText="1"/>
    </xf>
    <xf numFmtId="0" fontId="42" fillId="0" borderId="58" xfId="7" applyFont="1" applyBorder="1" applyAlignment="1">
      <alignment horizontal="center" vertical="center" wrapText="1"/>
    </xf>
    <xf numFmtId="0" fontId="1" fillId="0" borderId="65" xfId="7" applyFont="1" applyBorder="1" applyAlignment="1">
      <alignment horizontal="center" vertical="center" wrapText="1"/>
    </xf>
    <xf numFmtId="3" fontId="1" fillId="0" borderId="65" xfId="7" applyNumberFormat="1" applyFont="1" applyBorder="1" applyAlignment="1">
      <alignment horizontal="center" vertical="center" wrapText="1"/>
    </xf>
    <xf numFmtId="0" fontId="44" fillId="0" borderId="59" xfId="7" applyFont="1" applyBorder="1" applyAlignment="1">
      <alignment horizontal="center" vertical="center" wrapText="1"/>
    </xf>
    <xf numFmtId="0" fontId="43" fillId="0" borderId="59" xfId="7" applyFont="1" applyBorder="1" applyAlignment="1">
      <alignment horizontal="center" vertical="center" wrapText="1"/>
    </xf>
    <xf numFmtId="3" fontId="43" fillId="0" borderId="59" xfId="7" applyNumberFormat="1" applyFont="1" applyBorder="1" applyAlignment="1">
      <alignment horizontal="center" vertical="center" wrapText="1"/>
    </xf>
    <xf numFmtId="0" fontId="44" fillId="0" borderId="0" xfId="0" applyFont="1" applyAlignment="1">
      <alignment horizontal="center"/>
    </xf>
    <xf numFmtId="3" fontId="42" fillId="0" borderId="60" xfId="7" applyNumberFormat="1" applyFont="1" applyBorder="1" applyAlignment="1">
      <alignment horizontal="right" vertical="center" wrapText="1"/>
    </xf>
    <xf numFmtId="0" fontId="42" fillId="0" borderId="60" xfId="7" applyFont="1" applyBorder="1" applyAlignment="1">
      <alignment horizontal="left" vertical="center" wrapText="1"/>
    </xf>
    <xf numFmtId="3" fontId="42" fillId="0" borderId="60" xfId="1" applyNumberFormat="1" applyFont="1" applyFill="1" applyBorder="1" applyAlignment="1">
      <alignment horizontal="right" vertical="center" wrapText="1"/>
    </xf>
    <xf numFmtId="0" fontId="55" fillId="0" borderId="60" xfId="0" applyFont="1" applyBorder="1" applyAlignment="1">
      <alignment horizontal="center" vertical="center" wrapText="1"/>
    </xf>
    <xf numFmtId="0" fontId="55" fillId="0" borderId="60" xfId="0" applyFont="1" applyBorder="1" applyAlignment="1">
      <alignment vertical="center" wrapText="1"/>
    </xf>
    <xf numFmtId="3" fontId="55" fillId="0" borderId="60" xfId="1" applyNumberFormat="1" applyFont="1" applyFill="1" applyBorder="1" applyAlignment="1">
      <alignment horizontal="right" vertical="center" wrapText="1"/>
    </xf>
    <xf numFmtId="3" fontId="1" fillId="0" borderId="60" xfId="1" applyNumberFormat="1" applyFont="1" applyFill="1" applyBorder="1" applyAlignment="1">
      <alignment horizontal="right" vertical="center" wrapText="1"/>
    </xf>
    <xf numFmtId="0" fontId="1" fillId="0" borderId="60" xfId="0" applyFont="1" applyBorder="1" applyAlignment="1">
      <alignment vertical="center" wrapText="1"/>
    </xf>
    <xf numFmtId="0" fontId="55" fillId="0" borderId="60" xfId="7" applyFont="1" applyBorder="1" applyAlignment="1">
      <alignment horizontal="center" vertical="center" wrapText="1"/>
    </xf>
    <xf numFmtId="1" fontId="1" fillId="0" borderId="60" xfId="25" applyNumberFormat="1" applyFont="1" applyBorder="1" applyAlignment="1">
      <alignment horizontal="center" vertical="center"/>
    </xf>
    <xf numFmtId="1" fontId="1" fillId="0" borderId="60" xfId="25" quotePrefix="1" applyNumberFormat="1" applyFont="1" applyBorder="1" applyAlignment="1">
      <alignment horizontal="justify" vertical="top" wrapText="1"/>
    </xf>
    <xf numFmtId="0" fontId="1" fillId="0" borderId="60" xfId="0" quotePrefix="1" applyFont="1" applyBorder="1" applyAlignment="1">
      <alignment horizontal="center" vertical="top" wrapText="1"/>
    </xf>
    <xf numFmtId="0" fontId="1" fillId="0" borderId="60" xfId="0" applyFont="1" applyBorder="1" applyAlignment="1">
      <alignment horizontal="center" vertical="top" wrapText="1"/>
    </xf>
    <xf numFmtId="3" fontId="1" fillId="0" borderId="60" xfId="0" applyNumberFormat="1" applyFont="1" applyBorder="1" applyAlignment="1">
      <alignment horizontal="left" vertical="center" wrapText="1"/>
    </xf>
    <xf numFmtId="3" fontId="1" fillId="0" borderId="60" xfId="0" applyNumberFormat="1" applyFont="1" applyBorder="1" applyAlignment="1">
      <alignment horizontal="center" vertical="center" wrapText="1"/>
    </xf>
    <xf numFmtId="169" fontId="1" fillId="0" borderId="60" xfId="16" quotePrefix="1" applyNumberFormat="1" applyFont="1" applyFill="1" applyBorder="1" applyAlignment="1">
      <alignment horizontal="justify" vertical="top" wrapText="1"/>
    </xf>
    <xf numFmtId="0" fontId="1" fillId="0" borderId="60" xfId="7" applyFont="1" applyBorder="1" applyAlignment="1">
      <alignment horizontal="center" vertical="center" wrapText="1"/>
    </xf>
    <xf numFmtId="0" fontId="1" fillId="0" borderId="60" xfId="7" applyFont="1" applyBorder="1" applyAlignment="1">
      <alignment horizontal="left" vertical="center" wrapText="1"/>
    </xf>
    <xf numFmtId="1" fontId="1" fillId="0" borderId="60" xfId="25" applyNumberFormat="1" applyFont="1" applyBorder="1" applyAlignment="1">
      <alignment horizontal="center" vertical="center" wrapText="1"/>
    </xf>
    <xf numFmtId="0" fontId="1" fillId="0" borderId="60" xfId="0" applyFont="1" applyBorder="1" applyAlignment="1">
      <alignment horizontal="left" vertical="center" wrapText="1" shrinkToFit="1"/>
    </xf>
    <xf numFmtId="0" fontId="35" fillId="0" borderId="60" xfId="0" applyFont="1" applyBorder="1" applyAlignment="1">
      <alignment horizontal="center" vertical="center" wrapText="1"/>
    </xf>
    <xf numFmtId="0" fontId="1" fillId="0" borderId="60" xfId="15" applyFont="1" applyFill="1" applyBorder="1" applyAlignment="1" applyProtection="1">
      <alignment horizontal="center" vertical="center" wrapText="1"/>
    </xf>
    <xf numFmtId="169" fontId="1" fillId="0" borderId="60" xfId="15" applyNumberFormat="1" applyFont="1" applyFill="1" applyBorder="1" applyAlignment="1" applyProtection="1">
      <alignment horizontal="center" vertical="center" wrapText="1"/>
    </xf>
    <xf numFmtId="3" fontId="1" fillId="0" borderId="60" xfId="7" applyNumberFormat="1" applyFont="1" applyBorder="1" applyAlignment="1">
      <alignment horizontal="right" vertical="center" wrapText="1"/>
    </xf>
    <xf numFmtId="3" fontId="1" fillId="0" borderId="60" xfId="26" applyNumberFormat="1" applyFont="1" applyFill="1" applyBorder="1" applyAlignment="1">
      <alignment horizontal="right" vertical="center" wrapText="1"/>
    </xf>
    <xf numFmtId="0" fontId="155" fillId="0" borderId="60" xfId="0" applyFont="1" applyBorder="1" applyAlignment="1">
      <alignment horizontal="center" vertical="center" wrapText="1"/>
    </xf>
    <xf numFmtId="0" fontId="1" fillId="0" borderId="60" xfId="27" applyFont="1" applyBorder="1" applyAlignment="1">
      <alignment horizontal="left" vertical="center" wrapText="1"/>
    </xf>
    <xf numFmtId="0" fontId="1" fillId="0" borderId="60" xfId="27" applyFont="1" applyBorder="1" applyAlignment="1">
      <alignment horizontal="center" vertical="center" wrapText="1"/>
    </xf>
    <xf numFmtId="169" fontId="1" fillId="0" borderId="60" xfId="26" applyNumberFormat="1" applyFont="1" applyFill="1" applyBorder="1" applyAlignment="1">
      <alignment horizontal="center" vertical="center" wrapText="1"/>
    </xf>
    <xf numFmtId="3" fontId="42" fillId="0" borderId="60" xfId="26" applyNumberFormat="1" applyFont="1" applyFill="1" applyBorder="1" applyAlignment="1">
      <alignment horizontal="right" vertical="center" wrapText="1"/>
    </xf>
    <xf numFmtId="3" fontId="35" fillId="0" borderId="60" xfId="1" applyNumberFormat="1" applyFont="1" applyFill="1" applyBorder="1" applyAlignment="1">
      <alignment horizontal="right" vertical="center" wrapText="1"/>
    </xf>
    <xf numFmtId="3" fontId="35" fillId="0" borderId="60" xfId="0" applyNumberFormat="1" applyFont="1" applyBorder="1" applyAlignment="1">
      <alignment horizontal="right" vertical="center" wrapText="1"/>
    </xf>
    <xf numFmtId="3" fontId="56" fillId="0" borderId="60" xfId="0" applyNumberFormat="1" applyFont="1" applyBorder="1" applyAlignment="1">
      <alignment horizontal="right" vertical="center" wrapText="1"/>
    </xf>
    <xf numFmtId="0" fontId="1" fillId="0" borderId="60" xfId="28" applyBorder="1" applyAlignment="1">
      <alignment horizontal="left" vertical="center" wrapText="1"/>
    </xf>
    <xf numFmtId="0" fontId="1" fillId="0" borderId="60" xfId="29" applyBorder="1" applyAlignment="1">
      <alignment horizontal="center" vertical="center" wrapText="1"/>
    </xf>
    <xf numFmtId="3" fontId="1" fillId="0" borderId="60" xfId="29" applyNumberFormat="1" applyBorder="1" applyAlignment="1">
      <alignment horizontal="right" vertical="center"/>
    </xf>
    <xf numFmtId="0" fontId="1" fillId="0" borderId="60" xfId="30" applyBorder="1" applyAlignment="1">
      <alignment horizontal="left" vertical="center" wrapText="1"/>
    </xf>
    <xf numFmtId="0" fontId="1" fillId="0" borderId="60" xfId="31" applyBorder="1" applyAlignment="1">
      <alignment horizontal="center" vertical="center" wrapText="1"/>
    </xf>
    <xf numFmtId="3" fontId="1" fillId="0" borderId="60" xfId="25" quotePrefix="1" applyNumberFormat="1" applyFont="1" applyBorder="1" applyAlignment="1">
      <alignment horizontal="right" vertical="center" wrapText="1"/>
    </xf>
    <xf numFmtId="0" fontId="1" fillId="0" borderId="60" xfId="0" applyFont="1" applyBorder="1" applyAlignment="1">
      <alignment horizontal="justify" vertical="center" wrapText="1"/>
    </xf>
    <xf numFmtId="0" fontId="162" fillId="0" borderId="60" xfId="0" applyFont="1" applyBorder="1" applyAlignment="1">
      <alignment horizontal="center" vertical="center" wrapText="1"/>
    </xf>
    <xf numFmtId="0" fontId="162" fillId="0" borderId="60" xfId="0" applyFont="1" applyBorder="1" applyAlignment="1">
      <alignment horizontal="justify" vertical="center" wrapText="1"/>
    </xf>
    <xf numFmtId="3" fontId="162" fillId="0" borderId="60" xfId="0" applyNumberFormat="1" applyFont="1" applyBorder="1" applyAlignment="1">
      <alignment horizontal="center" vertical="center" wrapText="1"/>
    </xf>
    <xf numFmtId="3" fontId="162" fillId="0" borderId="60" xfId="0" applyNumberFormat="1" applyFont="1" applyBorder="1" applyAlignment="1">
      <alignment horizontal="right" vertical="center" wrapText="1"/>
    </xf>
    <xf numFmtId="3" fontId="163" fillId="0" borderId="60" xfId="0" applyNumberFormat="1" applyFont="1" applyBorder="1" applyAlignment="1">
      <alignment horizontal="right" vertical="center" wrapText="1"/>
    </xf>
    <xf numFmtId="0" fontId="74" fillId="0" borderId="0" xfId="0" applyFont="1"/>
    <xf numFmtId="3" fontId="72" fillId="0" borderId="60" xfId="0" applyNumberFormat="1" applyFont="1" applyBorder="1" applyAlignment="1">
      <alignment horizontal="right" vertical="center" wrapText="1"/>
    </xf>
    <xf numFmtId="0" fontId="1" fillId="0" borderId="60" xfId="0" quotePrefix="1" applyFont="1" applyBorder="1" applyAlignment="1">
      <alignment horizontal="center" vertical="center" wrapText="1"/>
    </xf>
    <xf numFmtId="188" fontId="1" fillId="0" borderId="60" xfId="0" applyNumberFormat="1" applyFont="1" applyBorder="1" applyAlignment="1">
      <alignment horizontal="center" vertical="center" wrapText="1"/>
    </xf>
    <xf numFmtId="3" fontId="42" fillId="0" borderId="60" xfId="0" applyNumberFormat="1" applyFont="1" applyBorder="1" applyAlignment="1">
      <alignment horizontal="right" vertical="center"/>
    </xf>
    <xf numFmtId="3" fontId="1" fillId="0" borderId="60" xfId="0" quotePrefix="1" applyNumberFormat="1" applyFont="1" applyBorder="1" applyAlignment="1">
      <alignment horizontal="center" vertical="center" wrapText="1"/>
    </xf>
    <xf numFmtId="0" fontId="42" fillId="0" borderId="151" xfId="7" applyFont="1" applyBorder="1" applyAlignment="1">
      <alignment horizontal="center" vertical="center" wrapText="1"/>
    </xf>
    <xf numFmtId="3" fontId="42" fillId="0" borderId="151" xfId="0" applyNumberFormat="1" applyFont="1" applyBorder="1" applyAlignment="1">
      <alignment horizontal="left" vertical="center" wrapText="1"/>
    </xf>
    <xf numFmtId="3" fontId="42" fillId="0" borderId="151" xfId="7" applyNumberFormat="1" applyFont="1" applyBorder="1" applyAlignment="1">
      <alignment horizontal="right" vertical="center" wrapText="1"/>
    </xf>
    <xf numFmtId="0" fontId="42" fillId="0" borderId="5" xfId="7" applyFont="1" applyBorder="1" applyAlignment="1">
      <alignment horizontal="left" vertical="center" wrapText="1"/>
    </xf>
    <xf numFmtId="3" fontId="42" fillId="0" borderId="5" xfId="1" applyNumberFormat="1" applyFont="1" applyFill="1" applyBorder="1" applyAlignment="1">
      <alignment horizontal="right" vertical="center" wrapText="1"/>
    </xf>
    <xf numFmtId="0" fontId="35" fillId="0" borderId="5" xfId="0" applyFont="1" applyBorder="1" applyAlignment="1">
      <alignment horizontal="center" vertical="center" wrapText="1"/>
    </xf>
    <xf numFmtId="0" fontId="35" fillId="0" borderId="5" xfId="0" applyFont="1" applyBorder="1" applyAlignment="1">
      <alignment vertical="center" wrapText="1"/>
    </xf>
    <xf numFmtId="3" fontId="35" fillId="0" borderId="5" xfId="1" applyNumberFormat="1" applyFont="1" applyFill="1" applyBorder="1" applyAlignment="1">
      <alignment horizontal="right" vertical="center" wrapText="1"/>
    </xf>
    <xf numFmtId="3" fontId="1" fillId="0" borderId="5" xfId="0" applyNumberFormat="1" applyFont="1" applyBorder="1" applyAlignment="1">
      <alignment horizontal="right" vertical="center"/>
    </xf>
    <xf numFmtId="3" fontId="42" fillId="0" borderId="5" xfId="25" applyNumberFormat="1" applyFont="1" applyBorder="1" applyAlignment="1">
      <alignment horizontal="right" vertical="center"/>
    </xf>
    <xf numFmtId="3" fontId="35" fillId="0" borderId="5" xfId="0" applyNumberFormat="1" applyFont="1" applyBorder="1" applyAlignment="1">
      <alignment horizontal="right" vertical="center" wrapText="1"/>
    </xf>
    <xf numFmtId="3" fontId="1" fillId="0" borderId="5" xfId="0" applyNumberFormat="1" applyFont="1" applyBorder="1" applyAlignment="1">
      <alignment horizontal="right" vertical="center" wrapText="1"/>
    </xf>
    <xf numFmtId="3" fontId="1" fillId="0" borderId="5" xfId="1" applyNumberFormat="1" applyFont="1" applyFill="1" applyBorder="1" applyAlignment="1">
      <alignment horizontal="right" vertical="center" wrapText="1"/>
    </xf>
    <xf numFmtId="0" fontId="55" fillId="0" borderId="5" xfId="7" applyFont="1" applyBorder="1" applyAlignment="1">
      <alignment horizontal="center" vertical="center" wrapText="1"/>
    </xf>
    <xf numFmtId="3" fontId="42" fillId="0" borderId="5" xfId="7" applyNumberFormat="1" applyFont="1" applyBorder="1" applyAlignment="1">
      <alignment horizontal="right" vertical="center" wrapText="1"/>
    </xf>
    <xf numFmtId="0" fontId="1" fillId="0" borderId="152" xfId="0" applyFont="1" applyBorder="1" applyAlignment="1">
      <alignment horizontal="center" vertical="center" wrapText="1"/>
    </xf>
    <xf numFmtId="0" fontId="1" fillId="0" borderId="152" xfId="0" applyFont="1" applyBorder="1" applyAlignment="1">
      <alignment vertical="center" wrapText="1"/>
    </xf>
    <xf numFmtId="3" fontId="1" fillId="0" borderId="152" xfId="0" applyNumberFormat="1" applyFont="1" applyBorder="1" applyAlignment="1">
      <alignment horizontal="right" vertical="center" wrapText="1"/>
    </xf>
    <xf numFmtId="0" fontId="164" fillId="0" borderId="0" xfId="0" applyFont="1"/>
    <xf numFmtId="0" fontId="35" fillId="0" borderId="60" xfId="0" applyFont="1" applyBorder="1" applyAlignment="1">
      <alignment vertical="center" wrapText="1"/>
    </xf>
    <xf numFmtId="3" fontId="35" fillId="0" borderId="60" xfId="26" applyNumberFormat="1" applyFont="1" applyFill="1" applyBorder="1" applyAlignment="1">
      <alignment horizontal="right" vertical="center" wrapText="1"/>
    </xf>
    <xf numFmtId="169" fontId="1" fillId="0" borderId="60" xfId="26" applyNumberFormat="1" applyFont="1" applyFill="1" applyBorder="1" applyAlignment="1">
      <alignment vertical="center" wrapText="1"/>
    </xf>
    <xf numFmtId="3" fontId="1" fillId="0" borderId="60" xfId="25" quotePrefix="1" applyNumberFormat="1" applyFont="1" applyBorder="1" applyAlignment="1">
      <alignment horizontal="center" vertical="center" wrapText="1"/>
    </xf>
    <xf numFmtId="0" fontId="42" fillId="0" borderId="60" xfId="0" applyFont="1" applyBorder="1" applyAlignment="1">
      <alignment horizontal="center" vertical="center" wrapText="1"/>
    </xf>
    <xf numFmtId="0" fontId="35" fillId="0" borderId="60" xfId="0" applyFont="1" applyBorder="1" applyAlignment="1">
      <alignment horizontal="center" vertical="center"/>
    </xf>
    <xf numFmtId="0" fontId="155" fillId="0" borderId="60" xfId="0" applyFont="1" applyBorder="1" applyAlignment="1">
      <alignment horizontal="left" vertical="center" wrapText="1"/>
    </xf>
    <xf numFmtId="3" fontId="1" fillId="0" borderId="60" xfId="32" applyNumberFormat="1" applyFont="1" applyBorder="1" applyAlignment="1">
      <alignment horizontal="center" vertical="center" wrapText="1"/>
    </xf>
    <xf numFmtId="3" fontId="1" fillId="0" borderId="60" xfId="9" applyNumberFormat="1" applyFont="1" applyFill="1" applyBorder="1" applyAlignment="1">
      <alignment horizontal="right" vertical="center" wrapText="1"/>
    </xf>
    <xf numFmtId="0" fontId="42" fillId="0" borderId="60" xfId="0" applyFont="1" applyBorder="1" applyAlignment="1">
      <alignment horizontal="left" vertical="center" wrapText="1"/>
    </xf>
    <xf numFmtId="0" fontId="43" fillId="0" borderId="60" xfId="0" applyFont="1" applyBorder="1" applyAlignment="1">
      <alignment horizontal="center" vertical="center" wrapText="1"/>
    </xf>
    <xf numFmtId="3" fontId="43" fillId="0" borderId="60" xfId="0" applyNumberFormat="1" applyFont="1" applyBorder="1" applyAlignment="1">
      <alignment horizontal="right" vertical="center" wrapText="1"/>
    </xf>
    <xf numFmtId="0" fontId="1" fillId="0" borderId="60" xfId="0" quotePrefix="1" applyFont="1" applyBorder="1" applyAlignment="1">
      <alignment horizontal="left" vertical="center" wrapText="1"/>
    </xf>
    <xf numFmtId="1" fontId="55" fillId="0" borderId="60" xfId="25" applyNumberFormat="1" applyFont="1" applyBorder="1" applyAlignment="1">
      <alignment horizontal="center" vertical="center" wrapText="1"/>
    </xf>
    <xf numFmtId="0" fontId="55" fillId="0" borderId="60" xfId="0" quotePrefix="1" applyFont="1" applyBorder="1" applyAlignment="1">
      <alignment horizontal="left" vertical="center" wrapText="1"/>
    </xf>
    <xf numFmtId="3" fontId="55" fillId="0" borderId="60" xfId="0" applyNumberFormat="1" applyFont="1" applyBorder="1" applyAlignment="1">
      <alignment horizontal="center" vertical="center" wrapText="1"/>
    </xf>
    <xf numFmtId="3" fontId="55" fillId="0" borderId="60" xfId="0" applyNumberFormat="1" applyFont="1" applyBorder="1" applyAlignment="1">
      <alignment horizontal="right" vertical="center" wrapText="1"/>
    </xf>
    <xf numFmtId="3" fontId="1" fillId="0" borderId="60" xfId="33" applyNumberFormat="1" applyBorder="1" applyAlignment="1">
      <alignment horizontal="left" vertical="center" wrapText="1"/>
    </xf>
    <xf numFmtId="3" fontId="35" fillId="0" borderId="60" xfId="0" applyNumberFormat="1" applyFont="1" applyBorder="1" applyAlignment="1">
      <alignment horizontal="center" vertical="center" wrapText="1"/>
    </xf>
    <xf numFmtId="3" fontId="1" fillId="0" borderId="60" xfId="34" applyNumberFormat="1" applyBorder="1" applyAlignment="1">
      <alignment horizontal="center" vertical="center" wrapText="1"/>
    </xf>
    <xf numFmtId="3" fontId="1" fillId="0" borderId="60" xfId="34" applyNumberFormat="1" applyBorder="1" applyAlignment="1">
      <alignment horizontal="right" vertical="center"/>
    </xf>
    <xf numFmtId="3" fontId="35" fillId="0" borderId="60" xfId="0" applyNumberFormat="1" applyFont="1" applyBorder="1" applyAlignment="1">
      <alignment horizontal="right" vertical="center"/>
    </xf>
    <xf numFmtId="0" fontId="42" fillId="0" borderId="60" xfId="0" applyFont="1" applyBorder="1" applyAlignment="1">
      <alignment vertical="center" wrapText="1"/>
    </xf>
    <xf numFmtId="0" fontId="35" fillId="0" borderId="60" xfId="0" applyFont="1" applyBorder="1" applyAlignment="1">
      <alignment vertical="center"/>
    </xf>
    <xf numFmtId="0" fontId="55" fillId="0" borderId="60" xfId="0" applyFont="1" applyBorder="1" applyAlignment="1">
      <alignment horizontal="center" vertical="center"/>
    </xf>
    <xf numFmtId="169" fontId="1" fillId="0" borderId="60" xfId="35" applyNumberFormat="1" applyFont="1" applyFill="1" applyBorder="1" applyAlignment="1">
      <alignment horizontal="center" vertical="center" wrapText="1"/>
    </xf>
    <xf numFmtId="3" fontId="1" fillId="0" borderId="60" xfId="0" quotePrefix="1" applyNumberFormat="1" applyFont="1" applyBorder="1" applyAlignment="1">
      <alignment horizontal="right" vertical="center" wrapText="1"/>
    </xf>
    <xf numFmtId="0" fontId="1" fillId="0" borderId="60" xfId="0" applyFont="1" applyBorder="1" applyAlignment="1">
      <alignment horizontal="center" vertical="center" wrapText="1" shrinkToFit="1"/>
    </xf>
    <xf numFmtId="3" fontId="1" fillId="0" borderId="60" xfId="0" applyNumberFormat="1" applyFont="1" applyBorder="1" applyAlignment="1">
      <alignment horizontal="center" vertical="center" wrapText="1" shrinkToFit="1"/>
    </xf>
    <xf numFmtId="0" fontId="163" fillId="0" borderId="60" xfId="0" applyFont="1" applyBorder="1" applyAlignment="1">
      <alignment horizontal="justify" vertical="center" wrapText="1"/>
    </xf>
    <xf numFmtId="0" fontId="1" fillId="0" borderId="60" xfId="0" applyFont="1" applyBorder="1" applyAlignment="1">
      <alignment horizontal="center" vertical="center"/>
    </xf>
    <xf numFmtId="3" fontId="1" fillId="0" borderId="60" xfId="0" quotePrefix="1" applyNumberFormat="1" applyFont="1" applyBorder="1" applyAlignment="1">
      <alignment horizontal="left" vertical="center" wrapText="1"/>
    </xf>
    <xf numFmtId="0" fontId="56" fillId="0" borderId="60" xfId="0" applyFont="1" applyBorder="1" applyAlignment="1">
      <alignment horizontal="center" vertical="center" wrapText="1"/>
    </xf>
    <xf numFmtId="0" fontId="56" fillId="0" borderId="60" xfId="0" applyFont="1" applyBorder="1" applyAlignment="1">
      <alignment vertical="center" wrapText="1"/>
    </xf>
    <xf numFmtId="3" fontId="56" fillId="0" borderId="60" xfId="1" applyNumberFormat="1" applyFont="1" applyFill="1" applyBorder="1" applyAlignment="1">
      <alignment horizontal="right" vertical="center" wrapText="1"/>
    </xf>
    <xf numFmtId="0" fontId="35" fillId="0" borderId="60" xfId="0" applyFont="1" applyBorder="1" applyAlignment="1">
      <alignment horizontal="right" vertical="center" wrapText="1"/>
    </xf>
    <xf numFmtId="3" fontId="42" fillId="0" borderId="60" xfId="25" applyNumberFormat="1" applyFont="1" applyBorder="1" applyAlignment="1">
      <alignment horizontal="right" vertical="center"/>
    </xf>
    <xf numFmtId="3" fontId="42" fillId="0" borderId="60" xfId="0" applyNumberFormat="1" applyFont="1" applyBorder="1" applyAlignment="1">
      <alignment horizontal="center" vertical="center" wrapText="1"/>
    </xf>
    <xf numFmtId="169" fontId="42" fillId="0" borderId="60" xfId="26" applyNumberFormat="1" applyFont="1" applyFill="1" applyBorder="1" applyAlignment="1">
      <alignment horizontal="center" vertical="center" wrapText="1"/>
    </xf>
    <xf numFmtId="0" fontId="56" fillId="0" borderId="0" xfId="0" applyFont="1"/>
    <xf numFmtId="0" fontId="1" fillId="0" borderId="60" xfId="36" applyFont="1" applyBorder="1" applyAlignment="1">
      <alignment horizontal="center" vertical="center" wrapText="1"/>
    </xf>
    <xf numFmtId="0" fontId="1" fillId="0" borderId="60" xfId="36" quotePrefix="1" applyFont="1" applyBorder="1" applyAlignment="1">
      <alignment horizontal="left" vertical="center" wrapText="1"/>
    </xf>
    <xf numFmtId="0" fontId="35" fillId="0" borderId="60" xfId="36" applyFont="1" applyBorder="1" applyAlignment="1">
      <alignment horizontal="center" vertical="center" wrapText="1"/>
    </xf>
    <xf numFmtId="0" fontId="1" fillId="0" borderId="60" xfId="37" applyFont="1" applyBorder="1" applyAlignment="1">
      <alignment horizontal="center" vertical="center" wrapText="1" shrinkToFit="1"/>
    </xf>
    <xf numFmtId="3" fontId="1" fillId="0" borderId="60" xfId="15" applyNumberFormat="1" applyFont="1" applyFill="1" applyBorder="1" applyAlignment="1" applyProtection="1">
      <alignment horizontal="center" vertical="center" wrapText="1"/>
    </xf>
    <xf numFmtId="3" fontId="1" fillId="0" borderId="60" xfId="36" applyNumberFormat="1" applyFont="1" applyBorder="1" applyAlignment="1">
      <alignment horizontal="right" vertical="center" wrapText="1"/>
    </xf>
    <xf numFmtId="3" fontId="1" fillId="0" borderId="60" xfId="38" applyNumberFormat="1" applyFont="1" applyFill="1" applyBorder="1" applyAlignment="1">
      <alignment horizontal="right" vertical="center" wrapText="1" shrinkToFit="1"/>
    </xf>
    <xf numFmtId="193" fontId="1" fillId="0" borderId="60" xfId="1" applyNumberFormat="1" applyFont="1" applyFill="1" applyBorder="1" applyAlignment="1">
      <alignment horizontal="left" vertical="center" wrapText="1"/>
    </xf>
    <xf numFmtId="193" fontId="1" fillId="0" borderId="60" xfId="1" applyNumberFormat="1" applyFont="1" applyFill="1" applyBorder="1" applyAlignment="1">
      <alignment horizontal="center" vertical="center" wrapText="1"/>
    </xf>
    <xf numFmtId="3" fontId="1" fillId="0" borderId="60" xfId="1" applyNumberFormat="1" applyFont="1" applyFill="1" applyBorder="1" applyAlignment="1">
      <alignment horizontal="right" vertical="center" wrapText="1" shrinkToFit="1"/>
    </xf>
    <xf numFmtId="3" fontId="47" fillId="0" borderId="60" xfId="26" applyNumberFormat="1" applyFont="1" applyFill="1" applyBorder="1" applyAlignment="1">
      <alignment horizontal="right" vertical="center" wrapText="1"/>
    </xf>
    <xf numFmtId="1" fontId="1" fillId="0" borderId="60" xfId="0" applyNumberFormat="1" applyFont="1" applyBorder="1" applyAlignment="1">
      <alignment horizontal="center" vertical="center" wrapText="1" shrinkToFit="1"/>
    </xf>
    <xf numFmtId="193" fontId="1" fillId="0" borderId="60" xfId="0" applyNumberFormat="1" applyFont="1" applyBorder="1" applyAlignment="1">
      <alignment horizontal="center" vertical="center" wrapText="1" shrinkToFit="1"/>
    </xf>
    <xf numFmtId="0" fontId="1" fillId="0" borderId="60" xfId="0" quotePrefix="1" applyFont="1" applyBorder="1" applyAlignment="1">
      <alignment vertical="center" wrapText="1"/>
    </xf>
    <xf numFmtId="0" fontId="35" fillId="0" borderId="60" xfId="0" quotePrefix="1" applyFont="1" applyBorder="1" applyAlignment="1">
      <alignment horizontal="center" vertical="center" wrapText="1"/>
    </xf>
    <xf numFmtId="0" fontId="35" fillId="0" borderId="60" xfId="0" applyFont="1" applyBorder="1" applyAlignment="1">
      <alignment horizontal="left" vertical="center" wrapText="1"/>
    </xf>
    <xf numFmtId="0" fontId="1" fillId="0" borderId="60" xfId="31" quotePrefix="1" applyBorder="1" applyAlignment="1">
      <alignment horizontal="left" vertical="center" wrapText="1"/>
    </xf>
    <xf numFmtId="0" fontId="1" fillId="0" borderId="60" xfId="31" quotePrefix="1" applyBorder="1" applyAlignment="1">
      <alignment horizontal="center" vertical="center" wrapText="1"/>
    </xf>
    <xf numFmtId="0" fontId="1" fillId="0" borderId="60" xfId="36" quotePrefix="1" applyFont="1" applyBorder="1" applyAlignment="1">
      <alignment vertical="center" wrapText="1"/>
    </xf>
    <xf numFmtId="0" fontId="1" fillId="0" borderId="60" xfId="36" quotePrefix="1" applyFont="1" applyBorder="1" applyAlignment="1">
      <alignment horizontal="center" vertical="center" wrapText="1"/>
    </xf>
    <xf numFmtId="0" fontId="1" fillId="0" borderId="60" xfId="0" applyFont="1" applyBorder="1" applyAlignment="1">
      <alignment vertical="center"/>
    </xf>
    <xf numFmtId="3" fontId="1" fillId="0" borderId="60" xfId="1" applyNumberFormat="1" applyFont="1" applyFill="1" applyBorder="1" applyAlignment="1">
      <alignment horizontal="right" vertical="center"/>
    </xf>
    <xf numFmtId="0" fontId="1" fillId="0" borderId="0" xfId="0" applyFont="1" applyAlignment="1">
      <alignment horizontal="center" vertical="center"/>
    </xf>
    <xf numFmtId="0" fontId="1" fillId="0" borderId="60" xfId="36" quotePrefix="1" applyFont="1" applyBorder="1" applyAlignment="1">
      <alignment vertical="top" wrapText="1"/>
    </xf>
    <xf numFmtId="0" fontId="56" fillId="0" borderId="60" xfId="0" applyFont="1" applyBorder="1" applyAlignment="1">
      <alignment vertical="center"/>
    </xf>
    <xf numFmtId="3" fontId="56" fillId="0" borderId="60" xfId="26" applyNumberFormat="1" applyFont="1" applyFill="1" applyBorder="1" applyAlignment="1">
      <alignment horizontal="right" vertical="center"/>
    </xf>
    <xf numFmtId="3" fontId="42" fillId="0" borderId="60" xfId="26" applyNumberFormat="1" applyFont="1" applyFill="1" applyBorder="1" applyAlignment="1">
      <alignment horizontal="right" vertical="center"/>
    </xf>
    <xf numFmtId="3" fontId="35" fillId="0" borderId="60" xfId="26" applyNumberFormat="1" applyFont="1" applyFill="1" applyBorder="1" applyAlignment="1">
      <alignment horizontal="right" vertical="center"/>
    </xf>
    <xf numFmtId="3" fontId="1" fillId="0" borderId="60" xfId="26" applyNumberFormat="1" applyFont="1" applyFill="1" applyBorder="1" applyAlignment="1">
      <alignment horizontal="right" vertical="center"/>
    </xf>
    <xf numFmtId="0" fontId="1" fillId="0" borderId="60" xfId="26" applyNumberFormat="1" applyFont="1" applyFill="1" applyBorder="1" applyAlignment="1">
      <alignment horizontal="center" vertical="center" wrapText="1"/>
    </xf>
    <xf numFmtId="0" fontId="1" fillId="0" borderId="60" xfId="5" quotePrefix="1" applyFont="1" applyBorder="1" applyAlignment="1">
      <alignment horizontal="left" vertical="center" wrapText="1"/>
    </xf>
    <xf numFmtId="0" fontId="55" fillId="0" borderId="60" xfId="0" applyFont="1" applyBorder="1" applyAlignment="1">
      <alignment horizontal="left" vertical="center" wrapText="1"/>
    </xf>
    <xf numFmtId="3" fontId="55" fillId="0" borderId="60" xfId="26" applyNumberFormat="1" applyFont="1" applyFill="1" applyBorder="1" applyAlignment="1">
      <alignment horizontal="right" vertical="center" wrapText="1"/>
    </xf>
    <xf numFmtId="3" fontId="1" fillId="0" borderId="60" xfId="15" applyNumberFormat="1" applyFont="1" applyFill="1" applyBorder="1" applyAlignment="1" applyProtection="1">
      <alignment horizontal="right" vertical="center" wrapText="1"/>
    </xf>
    <xf numFmtId="0" fontId="1" fillId="0" borderId="60" xfId="39" applyFont="1" applyBorder="1" applyAlignment="1">
      <alignment horizontal="center" vertical="center" wrapText="1"/>
    </xf>
    <xf numFmtId="0" fontId="1" fillId="0" borderId="60" xfId="15" applyNumberFormat="1" applyFont="1" applyFill="1" applyBorder="1" applyAlignment="1" applyProtection="1">
      <alignment horizontal="center" vertical="center" wrapText="1"/>
    </xf>
    <xf numFmtId="3" fontId="1" fillId="0" borderId="60" xfId="40" applyNumberFormat="1" applyFont="1" applyFill="1" applyBorder="1" applyAlignment="1">
      <alignment horizontal="right" vertical="center" wrapText="1"/>
    </xf>
    <xf numFmtId="3" fontId="1" fillId="0" borderId="60" xfId="0" applyNumberFormat="1" applyFont="1" applyBorder="1" applyAlignment="1">
      <alignment horizontal="center" vertical="center"/>
    </xf>
    <xf numFmtId="0" fontId="1" fillId="0" borderId="60" xfId="41" applyBorder="1" applyAlignment="1">
      <alignment horizontal="left" vertical="center" wrapText="1"/>
    </xf>
    <xf numFmtId="3" fontId="1" fillId="0" borderId="60" xfId="42" applyNumberFormat="1" applyBorder="1" applyAlignment="1">
      <alignment horizontal="center" vertical="center" wrapText="1"/>
    </xf>
    <xf numFmtId="0" fontId="1" fillId="0" borderId="60" xfId="42" applyBorder="1" applyAlignment="1">
      <alignment horizontal="center" vertical="center" wrapText="1"/>
    </xf>
    <xf numFmtId="3" fontId="1" fillId="0" borderId="60" xfId="42" applyNumberFormat="1" applyBorder="1" applyAlignment="1">
      <alignment horizontal="right" vertical="center"/>
    </xf>
    <xf numFmtId="0" fontId="162" fillId="0" borderId="60" xfId="0" applyFont="1" applyBorder="1" applyAlignment="1">
      <alignment vertical="center" wrapText="1"/>
    </xf>
    <xf numFmtId="0" fontId="1" fillId="0" borderId="60" xfId="43" applyFont="1" applyBorder="1" applyAlignment="1">
      <alignment horizontal="center" vertical="center" wrapText="1"/>
    </xf>
    <xf numFmtId="3" fontId="1" fillId="0" borderId="60" xfId="1" quotePrefix="1" applyNumberFormat="1" applyFont="1" applyFill="1" applyBorder="1" applyAlignment="1">
      <alignment horizontal="right" vertical="center" wrapText="1"/>
    </xf>
    <xf numFmtId="1" fontId="1" fillId="0" borderId="60" xfId="25" applyNumberFormat="1" applyFont="1" applyBorder="1" applyAlignment="1">
      <alignment horizontal="justify" vertical="center" wrapText="1"/>
    </xf>
    <xf numFmtId="41" fontId="1" fillId="0" borderId="60" xfId="26" applyNumberFormat="1" applyFont="1" applyFill="1" applyBorder="1" applyAlignment="1">
      <alignment horizontal="left" vertical="center" wrapText="1"/>
    </xf>
    <xf numFmtId="3" fontId="1" fillId="0" borderId="61" xfId="0" applyNumberFormat="1" applyFont="1" applyBorder="1" applyAlignment="1">
      <alignment horizontal="right" vertical="center"/>
    </xf>
    <xf numFmtId="0" fontId="10" fillId="0" borderId="107" xfId="4" applyFont="1" applyBorder="1" applyAlignment="1">
      <alignment horizontal="center" vertical="center" shrinkToFit="1"/>
    </xf>
    <xf numFmtId="168" fontId="10" fillId="0" borderId="5" xfId="4" applyNumberFormat="1" applyFont="1" applyBorder="1" applyAlignment="1">
      <alignment vertical="center" wrapText="1"/>
    </xf>
    <xf numFmtId="0" fontId="14" fillId="0" borderId="107" xfId="4" applyFont="1" applyBorder="1" applyAlignment="1">
      <alignment horizontal="center" vertical="center" shrinkToFit="1"/>
    </xf>
    <xf numFmtId="168" fontId="10" fillId="0" borderId="108" xfId="4" applyNumberFormat="1" applyFont="1" applyBorder="1" applyAlignment="1">
      <alignment vertical="center" wrapText="1"/>
    </xf>
    <xf numFmtId="0" fontId="18" fillId="0" borderId="5" xfId="0" applyFont="1" applyBorder="1" applyAlignment="1">
      <alignment vertical="center" wrapText="1"/>
    </xf>
    <xf numFmtId="0" fontId="6" fillId="0" borderId="58" xfId="0" applyFont="1" applyBorder="1" applyAlignment="1">
      <alignment horizontal="center" vertical="center" wrapText="1"/>
    </xf>
    <xf numFmtId="0" fontId="6" fillId="0" borderId="0" xfId="0" applyFont="1" applyAlignment="1">
      <alignment horizontal="center" vertical="center"/>
    </xf>
    <xf numFmtId="0" fontId="137" fillId="0" borderId="58" xfId="15" applyFont="1" applyBorder="1" applyAlignment="1">
      <alignment horizontal="center" vertical="center" wrapText="1"/>
    </xf>
    <xf numFmtId="0" fontId="6" fillId="0" borderId="66" xfId="0" applyFont="1" applyBorder="1" applyAlignment="1">
      <alignment horizontal="center" vertical="center" wrapText="1"/>
    </xf>
    <xf numFmtId="0" fontId="6" fillId="0" borderId="67" xfId="0" applyFont="1" applyBorder="1" applyAlignment="1">
      <alignment horizontal="center" vertical="center" wrapText="1"/>
    </xf>
    <xf numFmtId="0" fontId="122" fillId="0" borderId="0" xfId="0" applyFont="1" applyAlignment="1">
      <alignment horizontal="center" vertical="center" wrapText="1"/>
    </xf>
    <xf numFmtId="0" fontId="125" fillId="0" borderId="0" xfId="0" applyFont="1" applyAlignment="1">
      <alignment horizontal="center" vertical="center" wrapText="1"/>
    </xf>
    <xf numFmtId="0" fontId="122" fillId="0" borderId="0" xfId="0" applyFont="1" applyAlignment="1">
      <alignment horizontal="left" vertical="center" wrapText="1"/>
    </xf>
    <xf numFmtId="0" fontId="122" fillId="0" borderId="0" xfId="0" applyFont="1" applyAlignment="1">
      <alignment horizontal="right" vertical="center" wrapText="1"/>
    </xf>
    <xf numFmtId="0" fontId="122" fillId="0" borderId="0" xfId="0" applyFont="1" applyAlignment="1">
      <alignment horizontal="center" vertical="center"/>
    </xf>
    <xf numFmtId="0" fontId="125" fillId="0" borderId="0" xfId="0" applyFont="1" applyAlignment="1">
      <alignment horizontal="center" vertical="center"/>
    </xf>
    <xf numFmtId="3" fontId="42" fillId="0" borderId="0" xfId="0" applyNumberFormat="1" applyFont="1" applyAlignment="1">
      <alignment horizontal="center" vertical="center" wrapText="1"/>
    </xf>
    <xf numFmtId="3" fontId="42" fillId="0" borderId="0" xfId="0" applyNumberFormat="1" applyFont="1" applyAlignment="1">
      <alignment horizontal="center"/>
    </xf>
    <xf numFmtId="3" fontId="42" fillId="0" borderId="0" xfId="0" applyNumberFormat="1" applyFont="1" applyAlignment="1">
      <alignment horizontal="center" shrinkToFit="1"/>
    </xf>
    <xf numFmtId="3" fontId="42" fillId="0" borderId="29" xfId="0" applyNumberFormat="1" applyFont="1" applyBorder="1" applyAlignment="1">
      <alignment horizontal="center"/>
    </xf>
    <xf numFmtId="3" fontId="137" fillId="0" borderId="10" xfId="15" applyNumberFormat="1" applyFont="1" applyBorder="1" applyAlignment="1">
      <alignment horizontal="center" vertical="center" wrapText="1"/>
    </xf>
    <xf numFmtId="0" fontId="137" fillId="0" borderId="11" xfId="15" applyFont="1" applyBorder="1" applyAlignment="1">
      <alignment horizontal="center" vertical="center" wrapText="1"/>
    </xf>
    <xf numFmtId="0" fontId="137" fillId="0" borderId="7" xfId="15" applyFont="1" applyBorder="1" applyAlignment="1">
      <alignment horizontal="center" vertical="center" wrapText="1"/>
    </xf>
    <xf numFmtId="3" fontId="42" fillId="0" borderId="10" xfId="0" applyNumberFormat="1" applyFont="1" applyBorder="1" applyAlignment="1">
      <alignment horizontal="center" vertical="center" wrapText="1"/>
    </xf>
    <xf numFmtId="0" fontId="1" fillId="0" borderId="11" xfId="0" applyFont="1" applyBorder="1" applyAlignment="1">
      <alignment horizontal="center" vertical="center" wrapText="1"/>
    </xf>
    <xf numFmtId="0" fontId="1" fillId="0" borderId="7" xfId="0" applyFont="1" applyBorder="1" applyAlignment="1">
      <alignment horizontal="center" vertical="center" wrapText="1"/>
    </xf>
    <xf numFmtId="3" fontId="42" fillId="0" borderId="34" xfId="0" applyNumberFormat="1" applyFont="1" applyBorder="1" applyAlignment="1">
      <alignment horizontal="center" vertical="center" wrapText="1"/>
    </xf>
    <xf numFmtId="3" fontId="42" fillId="0" borderId="12" xfId="0" applyNumberFormat="1" applyFont="1" applyBorder="1" applyAlignment="1">
      <alignment horizontal="center" vertical="center" wrapText="1"/>
    </xf>
    <xf numFmtId="3" fontId="42" fillId="0" borderId="13" xfId="0" applyNumberFormat="1" applyFont="1" applyBorder="1" applyAlignment="1">
      <alignment horizontal="center" vertical="center" wrapText="1"/>
    </xf>
    <xf numFmtId="3" fontId="42" fillId="0" borderId="1" xfId="0" applyNumberFormat="1" applyFont="1" applyBorder="1" applyAlignment="1">
      <alignment horizontal="center" vertical="center" wrapText="1"/>
    </xf>
    <xf numFmtId="3" fontId="42" fillId="0" borderId="2" xfId="0" applyNumberFormat="1" applyFont="1" applyBorder="1" applyAlignment="1">
      <alignment horizontal="center" vertical="center" wrapText="1"/>
    </xf>
    <xf numFmtId="3" fontId="42" fillId="0" borderId="3" xfId="0" applyNumberFormat="1" applyFont="1" applyBorder="1" applyAlignment="1">
      <alignment horizontal="center" vertical="center" wrapText="1"/>
    </xf>
    <xf numFmtId="3" fontId="56" fillId="0" borderId="1" xfId="0" applyNumberFormat="1" applyFont="1" applyBorder="1" applyAlignment="1">
      <alignment horizontal="center" vertical="center" wrapText="1"/>
    </xf>
    <xf numFmtId="3" fontId="56" fillId="0" borderId="2" xfId="0" applyNumberFormat="1" applyFont="1" applyBorder="1" applyAlignment="1">
      <alignment horizontal="center" vertical="center" wrapText="1"/>
    </xf>
    <xf numFmtId="3" fontId="56" fillId="0" borderId="3" xfId="0" applyNumberFormat="1" applyFont="1" applyBorder="1" applyAlignment="1">
      <alignment horizontal="center" vertical="center" wrapText="1"/>
    </xf>
    <xf numFmtId="3" fontId="42" fillId="0" borderId="7" xfId="0" applyNumberFormat="1" applyFont="1" applyBorder="1" applyAlignment="1">
      <alignment horizontal="center" vertical="center" wrapText="1"/>
    </xf>
    <xf numFmtId="3" fontId="56" fillId="0" borderId="10" xfId="0" applyNumberFormat="1" applyFont="1" applyBorder="1" applyAlignment="1">
      <alignment horizontal="center" vertical="center" wrapText="1"/>
    </xf>
    <xf numFmtId="0" fontId="35" fillId="0" borderId="7" xfId="0" applyFont="1" applyBorder="1" applyAlignment="1">
      <alignment horizontal="center" vertical="center" wrapText="1"/>
    </xf>
    <xf numFmtId="3" fontId="57" fillId="0" borderId="1" xfId="0" applyNumberFormat="1" applyFont="1" applyBorder="1" applyAlignment="1">
      <alignment horizontal="center" vertical="center" wrapText="1"/>
    </xf>
    <xf numFmtId="3" fontId="57" fillId="0" borderId="2" xfId="0" applyNumberFormat="1" applyFont="1" applyBorder="1" applyAlignment="1">
      <alignment horizontal="center" vertical="center" wrapText="1"/>
    </xf>
    <xf numFmtId="3" fontId="57" fillId="0" borderId="3" xfId="0" applyNumberFormat="1" applyFont="1" applyBorder="1" applyAlignment="1">
      <alignment horizontal="center" vertical="center" wrapText="1"/>
    </xf>
    <xf numFmtId="3" fontId="57" fillId="0" borderId="10" xfId="0" applyNumberFormat="1" applyFont="1" applyBorder="1" applyAlignment="1">
      <alignment horizontal="center" vertical="center" wrapText="1"/>
    </xf>
    <xf numFmtId="0" fontId="55" fillId="0" borderId="7" xfId="0" applyFont="1" applyBorder="1" applyAlignment="1">
      <alignment horizontal="center" vertical="center" wrapText="1"/>
    </xf>
    <xf numFmtId="3" fontId="58" fillId="0" borderId="0" xfId="0" applyNumberFormat="1" applyFont="1" applyAlignment="1">
      <alignment horizontal="center"/>
    </xf>
    <xf numFmtId="0" fontId="137" fillId="0" borderId="10" xfId="15" applyFont="1" applyBorder="1" applyAlignment="1">
      <alignment horizontal="center" vertical="center" wrapText="1"/>
    </xf>
    <xf numFmtId="0" fontId="42" fillId="0" borderId="7" xfId="0" applyFont="1" applyBorder="1" applyAlignment="1">
      <alignment horizontal="center" vertical="center" wrapText="1"/>
    </xf>
    <xf numFmtId="3" fontId="90" fillId="0" borderId="1" xfId="0" applyNumberFormat="1" applyFont="1" applyBorder="1" applyAlignment="1">
      <alignment horizontal="center" vertical="center" shrinkToFit="1"/>
    </xf>
    <xf numFmtId="3" fontId="90" fillId="0" borderId="2" xfId="0" applyNumberFormat="1" applyFont="1" applyBorder="1" applyAlignment="1">
      <alignment horizontal="center" vertical="center" shrinkToFit="1"/>
    </xf>
    <xf numFmtId="3" fontId="90" fillId="0" borderId="3" xfId="0" applyNumberFormat="1" applyFont="1" applyBorder="1" applyAlignment="1">
      <alignment horizontal="center" vertical="center" shrinkToFit="1"/>
    </xf>
    <xf numFmtId="3" fontId="127" fillId="0" borderId="1" xfId="0" applyNumberFormat="1" applyFont="1" applyBorder="1" applyAlignment="1">
      <alignment horizontal="center" vertical="center" wrapText="1"/>
    </xf>
    <xf numFmtId="3" fontId="127" fillId="0" borderId="2" xfId="0" applyNumberFormat="1" applyFont="1" applyBorder="1" applyAlignment="1">
      <alignment horizontal="center" vertical="center" wrapText="1"/>
    </xf>
    <xf numFmtId="3" fontId="127" fillId="0" borderId="3" xfId="0" applyNumberFormat="1" applyFont="1" applyBorder="1" applyAlignment="1">
      <alignment horizontal="center" vertical="center" wrapText="1"/>
    </xf>
    <xf numFmtId="3" fontId="90" fillId="0" borderId="1" xfId="0" applyNumberFormat="1" applyFont="1" applyBorder="1" applyAlignment="1">
      <alignment horizontal="center" vertical="center" wrapText="1"/>
    </xf>
    <xf numFmtId="3" fontId="90" fillId="0" borderId="2" xfId="0" applyNumberFormat="1" applyFont="1" applyBorder="1" applyAlignment="1">
      <alignment horizontal="center" vertical="center" wrapText="1"/>
    </xf>
    <xf numFmtId="3" fontId="90" fillId="0" borderId="3" xfId="0" applyNumberFormat="1" applyFont="1" applyBorder="1" applyAlignment="1">
      <alignment horizontal="center" vertical="center" wrapText="1"/>
    </xf>
    <xf numFmtId="3" fontId="57" fillId="0" borderId="24" xfId="0" applyNumberFormat="1" applyFont="1" applyBorder="1" applyAlignment="1">
      <alignment horizontal="center" vertical="center" wrapText="1"/>
    </xf>
    <xf numFmtId="3" fontId="57" fillId="0" borderId="4" xfId="0" applyNumberFormat="1" applyFont="1" applyBorder="1" applyAlignment="1">
      <alignment horizontal="center" vertical="center" wrapText="1"/>
    </xf>
    <xf numFmtId="3" fontId="57" fillId="0" borderId="25" xfId="0" applyNumberFormat="1" applyFont="1" applyBorder="1" applyAlignment="1">
      <alignment horizontal="center" vertical="center" wrapText="1"/>
    </xf>
    <xf numFmtId="3" fontId="57" fillId="0" borderId="19" xfId="0" applyNumberFormat="1" applyFont="1" applyBorder="1" applyAlignment="1">
      <alignment horizontal="center" vertical="center" wrapText="1"/>
    </xf>
    <xf numFmtId="3" fontId="61" fillId="0" borderId="24" xfId="0" applyNumberFormat="1" applyFont="1" applyBorder="1" applyAlignment="1">
      <alignment horizontal="center" vertical="center" wrapText="1"/>
    </xf>
    <xf numFmtId="3" fontId="61" fillId="0" borderId="4" xfId="0" applyNumberFormat="1" applyFont="1" applyBorder="1" applyAlignment="1">
      <alignment horizontal="center" vertical="center" wrapText="1"/>
    </xf>
    <xf numFmtId="3" fontId="57" fillId="0" borderId="44" xfId="0" applyNumberFormat="1" applyFont="1" applyBorder="1" applyAlignment="1">
      <alignment horizontal="center" vertical="center" wrapText="1"/>
    </xf>
    <xf numFmtId="3" fontId="57" fillId="0" borderId="11" xfId="0" applyNumberFormat="1" applyFont="1" applyBorder="1" applyAlignment="1">
      <alignment horizontal="center" vertical="center" wrapText="1"/>
    </xf>
    <xf numFmtId="3" fontId="57" fillId="0" borderId="7" xfId="0" applyNumberFormat="1" applyFont="1" applyBorder="1" applyAlignment="1">
      <alignment horizontal="center" vertical="center" wrapText="1"/>
    </xf>
    <xf numFmtId="3" fontId="61" fillId="0" borderId="45" xfId="0" applyNumberFormat="1" applyFont="1" applyBorder="1" applyAlignment="1">
      <alignment horizontal="center" vertical="center" wrapText="1"/>
    </xf>
    <xf numFmtId="3" fontId="61" fillId="0" borderId="46" xfId="0" applyNumberFormat="1" applyFont="1" applyBorder="1" applyAlignment="1">
      <alignment horizontal="center" vertical="center" wrapText="1"/>
    </xf>
    <xf numFmtId="3" fontId="61" fillId="0" borderId="13" xfId="0" applyNumberFormat="1" applyFont="1" applyBorder="1" applyAlignment="1">
      <alignment horizontal="center" vertical="center" wrapText="1"/>
    </xf>
    <xf numFmtId="3" fontId="61" fillId="0" borderId="15" xfId="0" applyNumberFormat="1" applyFont="1" applyBorder="1" applyAlignment="1">
      <alignment horizontal="center" vertical="center" wrapText="1"/>
    </xf>
    <xf numFmtId="3" fontId="42" fillId="0" borderId="24" xfId="0" applyNumberFormat="1" applyFont="1" applyBorder="1" applyAlignment="1">
      <alignment horizontal="center" vertical="center" wrapText="1"/>
    </xf>
    <xf numFmtId="3" fontId="42" fillId="0" borderId="4" xfId="0" applyNumberFormat="1" applyFont="1" applyBorder="1" applyAlignment="1">
      <alignment horizontal="center" vertical="center" wrapText="1"/>
    </xf>
    <xf numFmtId="3" fontId="56" fillId="0" borderId="24" xfId="0" applyNumberFormat="1" applyFont="1" applyBorder="1" applyAlignment="1">
      <alignment horizontal="center" vertical="center" wrapText="1"/>
    </xf>
    <xf numFmtId="3" fontId="56" fillId="0" borderId="4" xfId="0" applyNumberFormat="1" applyFont="1" applyBorder="1" applyAlignment="1">
      <alignment horizontal="center" vertical="center" wrapText="1"/>
    </xf>
    <xf numFmtId="3" fontId="56" fillId="0" borderId="44" xfId="0" applyNumberFormat="1" applyFont="1" applyBorder="1" applyAlignment="1">
      <alignment horizontal="center" vertical="center" wrapText="1"/>
    </xf>
    <xf numFmtId="3" fontId="56" fillId="0" borderId="11" xfId="0" applyNumberFormat="1" applyFont="1" applyBorder="1" applyAlignment="1">
      <alignment horizontal="center" vertical="center" wrapText="1"/>
    </xf>
    <xf numFmtId="3" fontId="56" fillId="0" borderId="7" xfId="0" applyNumberFormat="1" applyFont="1" applyBorder="1" applyAlignment="1">
      <alignment horizontal="center" vertical="center" wrapText="1"/>
    </xf>
    <xf numFmtId="3" fontId="137" fillId="0" borderId="23" xfId="15" applyNumberFormat="1" applyFont="1" applyBorder="1" applyAlignment="1">
      <alignment horizontal="center" vertical="center" wrapText="1"/>
    </xf>
    <xf numFmtId="0" fontId="137" fillId="0" borderId="22" xfId="15" applyFont="1" applyBorder="1" applyAlignment="1">
      <alignment horizontal="center" vertical="center" wrapText="1"/>
    </xf>
    <xf numFmtId="0" fontId="1" fillId="0" borderId="4" xfId="0" applyFont="1" applyBorder="1" applyAlignment="1">
      <alignment horizontal="center" vertical="center" wrapText="1"/>
    </xf>
    <xf numFmtId="3" fontId="42" fillId="0" borderId="44" xfId="0" applyNumberFormat="1" applyFont="1" applyBorder="1" applyAlignment="1">
      <alignment horizontal="center" vertical="center" wrapText="1"/>
    </xf>
    <xf numFmtId="3" fontId="42" fillId="0" borderId="11" xfId="0" applyNumberFormat="1" applyFont="1" applyBorder="1" applyAlignment="1">
      <alignment horizontal="center" vertical="center" wrapText="1"/>
    </xf>
    <xf numFmtId="3" fontId="42" fillId="0" borderId="45" xfId="0" applyNumberFormat="1" applyFont="1" applyBorder="1" applyAlignment="1">
      <alignment horizontal="center" vertical="center" wrapText="1"/>
    </xf>
    <xf numFmtId="3" fontId="42" fillId="0" borderId="46" xfId="0" applyNumberFormat="1" applyFont="1" applyBorder="1" applyAlignment="1">
      <alignment horizontal="center" vertical="center" wrapText="1"/>
    </xf>
    <xf numFmtId="3" fontId="56" fillId="0" borderId="45" xfId="0" applyNumberFormat="1" applyFont="1" applyBorder="1" applyAlignment="1">
      <alignment horizontal="center" vertical="center" wrapText="1"/>
    </xf>
    <xf numFmtId="3" fontId="56" fillId="0" borderId="46" xfId="0" applyNumberFormat="1" applyFont="1" applyBorder="1" applyAlignment="1">
      <alignment horizontal="center" vertical="center" wrapText="1"/>
    </xf>
    <xf numFmtId="0" fontId="137" fillId="0" borderId="52" xfId="15" applyFont="1" applyBorder="1" applyAlignment="1">
      <alignment horizontal="center" vertical="center" wrapText="1"/>
    </xf>
    <xf numFmtId="0" fontId="137" fillId="0" borderId="47" xfId="15" applyFont="1" applyBorder="1" applyAlignment="1">
      <alignment horizontal="center" vertical="center" wrapText="1"/>
    </xf>
    <xf numFmtId="0" fontId="137" fillId="0" borderId="54" xfId="15" applyFont="1" applyBorder="1" applyAlignment="1">
      <alignment horizontal="center" vertical="center" wrapText="1"/>
    </xf>
    <xf numFmtId="3" fontId="42" fillId="0" borderId="53" xfId="0" applyNumberFormat="1" applyFont="1" applyBorder="1" applyAlignment="1">
      <alignment horizontal="center" vertical="center" wrapText="1"/>
    </xf>
    <xf numFmtId="3" fontId="56" fillId="0" borderId="12" xfId="0" applyNumberFormat="1" applyFont="1" applyBorder="1" applyAlignment="1">
      <alignment horizontal="center" vertical="center" wrapText="1"/>
    </xf>
    <xf numFmtId="3" fontId="56" fillId="0" borderId="53" xfId="0" applyNumberFormat="1" applyFont="1" applyBorder="1" applyAlignment="1">
      <alignment horizontal="center" vertical="center" wrapText="1"/>
    </xf>
    <xf numFmtId="0" fontId="42" fillId="0" borderId="0" xfId="0" applyFont="1" applyAlignment="1">
      <alignment horizontal="center" vertical="center" wrapText="1"/>
    </xf>
    <xf numFmtId="0" fontId="1" fillId="0" borderId="0" xfId="0" applyFont="1" applyAlignment="1">
      <alignment horizontal="center"/>
    </xf>
    <xf numFmtId="0" fontId="137" fillId="0" borderId="4" xfId="15" applyFont="1" applyBorder="1" applyAlignment="1">
      <alignment horizontal="center" vertical="center" wrapText="1"/>
    </xf>
    <xf numFmtId="0" fontId="25" fillId="0" borderId="0" xfId="10" applyFont="1" applyAlignment="1">
      <alignment horizontal="right"/>
    </xf>
    <xf numFmtId="0" fontId="6" fillId="0" borderId="0" xfId="10" applyFont="1" applyAlignment="1">
      <alignment horizontal="center" vertical="center" wrapText="1"/>
    </xf>
    <xf numFmtId="0" fontId="137" fillId="6" borderId="4" xfId="15" applyFont="1" applyFill="1" applyBorder="1" applyAlignment="1">
      <alignment horizontal="center" vertical="center" wrapText="1"/>
    </xf>
    <xf numFmtId="0" fontId="6" fillId="6" borderId="4" xfId="0" applyFont="1" applyFill="1" applyBorder="1" applyAlignment="1">
      <alignment horizontal="center" vertical="center" wrapText="1"/>
    </xf>
    <xf numFmtId="0" fontId="6" fillId="6" borderId="4" xfId="0" applyFont="1" applyFill="1" applyBorder="1" applyAlignment="1">
      <alignment horizontal="center" vertical="center" wrapText="1" shrinkToFit="1"/>
    </xf>
    <xf numFmtId="0" fontId="6" fillId="6" borderId="1" xfId="0" applyFont="1" applyFill="1" applyBorder="1" applyAlignment="1">
      <alignment horizontal="center" vertical="center" wrapText="1" shrinkToFit="1"/>
    </xf>
    <xf numFmtId="0" fontId="6" fillId="6" borderId="3" xfId="0" applyFont="1" applyFill="1" applyBorder="1" applyAlignment="1">
      <alignment horizontal="center" vertical="center" wrapText="1" shrinkToFit="1"/>
    </xf>
    <xf numFmtId="0" fontId="137" fillId="0" borderId="53" xfId="15" applyFont="1" applyBorder="1" applyAlignment="1">
      <alignment horizontal="center" vertical="center"/>
    </xf>
    <xf numFmtId="0" fontId="13" fillId="0" borderId="0" xfId="3" applyFont="1" applyAlignment="1">
      <alignment horizontal="left" vertical="center" wrapText="1"/>
    </xf>
    <xf numFmtId="0" fontId="6" fillId="0" borderId="0" xfId="3" applyFont="1" applyAlignment="1">
      <alignment horizontal="center"/>
    </xf>
    <xf numFmtId="49" fontId="6" fillId="0" borderId="4" xfId="3" applyNumberFormat="1" applyFont="1" applyBorder="1" applyAlignment="1">
      <alignment horizontal="center" vertical="center"/>
    </xf>
    <xf numFmtId="168" fontId="6" fillId="0" borderId="4" xfId="3" applyNumberFormat="1" applyFont="1" applyBorder="1" applyAlignment="1">
      <alignment horizontal="center" vertical="center" wrapText="1"/>
    </xf>
    <xf numFmtId="0" fontId="6" fillId="0" borderId="4" xfId="3" applyFont="1" applyBorder="1" applyAlignment="1">
      <alignment horizontal="center" vertical="center" wrapText="1"/>
    </xf>
    <xf numFmtId="0" fontId="29" fillId="0" borderId="0" xfId="10" applyFont="1" applyAlignment="1">
      <alignment horizontal="right"/>
    </xf>
    <xf numFmtId="0" fontId="137" fillId="0" borderId="23" xfId="15" applyFont="1" applyBorder="1" applyAlignment="1">
      <alignment horizontal="center" vertical="center" wrapText="1"/>
    </xf>
    <xf numFmtId="0" fontId="6" fillId="0" borderId="24" xfId="10" applyFont="1" applyBorder="1" applyAlignment="1">
      <alignment horizontal="center" vertical="center" wrapText="1"/>
    </xf>
    <xf numFmtId="0" fontId="6" fillId="0" borderId="4" xfId="10" applyFont="1" applyBorder="1" applyAlignment="1">
      <alignment horizontal="center" vertical="center" wrapText="1"/>
    </xf>
    <xf numFmtId="0" fontId="6" fillId="0" borderId="25" xfId="10" applyFont="1" applyBorder="1" applyAlignment="1">
      <alignment horizontal="center" vertical="center" wrapText="1"/>
    </xf>
    <xf numFmtId="0" fontId="6" fillId="0" borderId="19" xfId="10" applyFont="1" applyBorder="1" applyAlignment="1">
      <alignment horizontal="center" vertical="center" wrapText="1"/>
    </xf>
    <xf numFmtId="0" fontId="18" fillId="0" borderId="37" xfId="10" applyFont="1" applyBorder="1" applyAlignment="1">
      <alignment horizontal="center" vertical="center" wrapText="1"/>
    </xf>
    <xf numFmtId="0" fontId="18" fillId="0" borderId="39" xfId="10" applyFont="1" applyBorder="1" applyAlignment="1">
      <alignment horizontal="center" vertical="center" wrapText="1"/>
    </xf>
    <xf numFmtId="0" fontId="6" fillId="0" borderId="0" xfId="0" applyFont="1" applyAlignment="1">
      <alignment horizontal="center"/>
    </xf>
    <xf numFmtId="0" fontId="13" fillId="0" borderId="0" xfId="0" applyFont="1" applyAlignment="1">
      <alignment horizontal="center"/>
    </xf>
    <xf numFmtId="43" fontId="6" fillId="5" borderId="4" xfId="11" applyFont="1" applyFill="1" applyBorder="1" applyAlignment="1">
      <alignment horizontal="center" vertical="center" wrapText="1"/>
    </xf>
    <xf numFmtId="0" fontId="12" fillId="0" borderId="0" xfId="0" applyFont="1" applyAlignment="1">
      <alignment horizontal="center" vertical="center" wrapText="1"/>
    </xf>
    <xf numFmtId="0" fontId="12" fillId="0" borderId="0" xfId="0" applyFont="1" applyAlignment="1">
      <alignment horizontal="center" vertical="center"/>
    </xf>
    <xf numFmtId="43" fontId="137" fillId="5" borderId="23" xfId="15" applyNumberFormat="1" applyFont="1" applyFill="1" applyBorder="1" applyAlignment="1">
      <alignment horizontal="center" vertical="center" wrapText="1"/>
    </xf>
    <xf numFmtId="43" fontId="137" fillId="5" borderId="22" xfId="15" applyNumberFormat="1" applyFont="1" applyFill="1" applyBorder="1" applyAlignment="1">
      <alignment horizontal="center" vertical="center" wrapText="1"/>
    </xf>
    <xf numFmtId="43" fontId="12" fillId="5" borderId="24" xfId="11" applyFont="1" applyFill="1" applyBorder="1" applyAlignment="1">
      <alignment horizontal="center" vertical="center" wrapText="1"/>
    </xf>
    <xf numFmtId="43" fontId="12" fillId="5" borderId="4" xfId="11" applyFont="1" applyFill="1" applyBorder="1" applyAlignment="1">
      <alignment horizontal="center" vertical="center" wrapText="1"/>
    </xf>
    <xf numFmtId="43" fontId="6" fillId="5" borderId="24" xfId="11" applyFont="1" applyFill="1" applyBorder="1" applyAlignment="1">
      <alignment horizontal="center" vertical="center" wrapText="1"/>
    </xf>
    <xf numFmtId="43" fontId="6" fillId="5" borderId="25" xfId="11" applyFont="1" applyFill="1" applyBorder="1" applyAlignment="1">
      <alignment horizontal="center" vertical="center" wrapText="1"/>
    </xf>
    <xf numFmtId="43" fontId="6" fillId="5" borderId="19" xfId="11" applyFont="1" applyFill="1" applyBorder="1" applyAlignment="1">
      <alignment horizontal="center" vertical="center" wrapText="1"/>
    </xf>
    <xf numFmtId="182" fontId="12" fillId="5" borderId="4" xfId="11" applyNumberFormat="1" applyFont="1" applyFill="1" applyBorder="1" applyAlignment="1">
      <alignment horizontal="center" vertical="center" wrapText="1"/>
    </xf>
    <xf numFmtId="0" fontId="7" fillId="0" borderId="20" xfId="0" applyFont="1" applyBorder="1" applyAlignment="1">
      <alignment horizontal="center" vertical="center" wrapText="1"/>
    </xf>
    <xf numFmtId="0" fontId="7" fillId="0" borderId="5" xfId="0" applyFont="1" applyBorder="1" applyAlignment="1">
      <alignment horizontal="left" vertical="center" wrapText="1"/>
    </xf>
    <xf numFmtId="0" fontId="6" fillId="0" borderId="25"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0" xfId="0" applyFont="1" applyAlignment="1">
      <alignment horizontal="center" wrapText="1"/>
    </xf>
    <xf numFmtId="0" fontId="6" fillId="0" borderId="24" xfId="0" applyFont="1" applyBorder="1" applyAlignment="1">
      <alignment horizontal="center" vertical="center" wrapText="1"/>
    </xf>
    <xf numFmtId="0" fontId="6" fillId="0" borderId="4" xfId="0" applyFont="1" applyBorder="1" applyAlignment="1">
      <alignment horizontal="center" vertical="center" wrapText="1"/>
    </xf>
    <xf numFmtId="0" fontId="137" fillId="0" borderId="23" xfId="15" applyFont="1" applyBorder="1" applyAlignment="1">
      <alignment horizontal="center" vertical="center"/>
    </xf>
    <xf numFmtId="0" fontId="137" fillId="0" borderId="22" xfId="15" applyFont="1" applyBorder="1" applyAlignment="1">
      <alignment horizontal="center" vertical="center"/>
    </xf>
    <xf numFmtId="0" fontId="12" fillId="0" borderId="25" xfId="0" applyFont="1" applyBorder="1" applyAlignment="1">
      <alignment horizontal="center" vertical="center" wrapText="1"/>
    </xf>
    <xf numFmtId="0" fontId="12" fillId="0" borderId="19" xfId="0" applyFont="1" applyBorder="1" applyAlignment="1">
      <alignment horizontal="center" vertical="center" wrapText="1"/>
    </xf>
    <xf numFmtId="0" fontId="11" fillId="0" borderId="0" xfId="0" applyFont="1" applyAlignment="1">
      <alignment horizontal="center"/>
    </xf>
    <xf numFmtId="0" fontId="21" fillId="0" borderId="70" xfId="0" applyFont="1" applyBorder="1" applyAlignment="1">
      <alignment horizontal="right"/>
    </xf>
    <xf numFmtId="0" fontId="12" fillId="0" borderId="0" xfId="0" applyFont="1" applyAlignment="1">
      <alignment horizontal="center"/>
    </xf>
    <xf numFmtId="0" fontId="12" fillId="0" borderId="0" xfId="0" applyFont="1" applyAlignment="1">
      <alignment horizontal="center" wrapText="1"/>
    </xf>
    <xf numFmtId="0" fontId="12" fillId="0" borderId="24" xfId="0" applyFont="1" applyBorder="1" applyAlignment="1">
      <alignment horizontal="center" vertical="center"/>
    </xf>
    <xf numFmtId="0" fontId="12" fillId="0" borderId="4" xfId="0" applyFont="1" applyBorder="1" applyAlignment="1">
      <alignment horizontal="center" vertical="center"/>
    </xf>
    <xf numFmtId="0" fontId="12" fillId="0" borderId="24" xfId="0" applyFont="1" applyBorder="1" applyAlignment="1">
      <alignment horizontal="center" vertical="center" wrapText="1"/>
    </xf>
    <xf numFmtId="0" fontId="12" fillId="0" borderId="4" xfId="0" applyFont="1" applyBorder="1" applyAlignment="1">
      <alignment horizontal="center" vertical="center" wrapText="1"/>
    </xf>
    <xf numFmtId="0" fontId="42" fillId="0" borderId="8" xfId="0" applyFont="1" applyBorder="1" applyAlignment="1">
      <alignment horizontal="center" vertical="center"/>
    </xf>
    <xf numFmtId="169" fontId="1" fillId="0" borderId="0" xfId="16" applyNumberFormat="1" applyFont="1" applyFill="1" applyBorder="1" applyAlignment="1">
      <alignment horizontal="left" vertical="center" wrapText="1"/>
    </xf>
    <xf numFmtId="0" fontId="42" fillId="0" borderId="0" xfId="0" applyFont="1" applyAlignment="1">
      <alignment horizontal="center"/>
    </xf>
    <xf numFmtId="0" fontId="42" fillId="0" borderId="4" xfId="0" applyFont="1" applyBorder="1" applyAlignment="1">
      <alignment horizontal="center" vertical="center" wrapText="1"/>
    </xf>
    <xf numFmtId="0" fontId="99" fillId="0" borderId="69" xfId="0" applyFont="1" applyBorder="1" applyAlignment="1">
      <alignment vertical="center" wrapText="1"/>
    </xf>
    <xf numFmtId="0" fontId="88" fillId="0" borderId="0" xfId="0" applyFont="1" applyAlignment="1">
      <alignment horizontal="center" vertical="center"/>
    </xf>
    <xf numFmtId="0" fontId="137" fillId="6" borderId="58" xfId="15" applyFont="1" applyFill="1" applyBorder="1" applyAlignment="1">
      <alignment horizontal="center" vertical="center" wrapText="1"/>
    </xf>
    <xf numFmtId="0" fontId="90" fillId="6" borderId="58" xfId="0" applyFont="1" applyFill="1" applyBorder="1" applyAlignment="1">
      <alignment horizontal="center" vertical="center" wrapText="1"/>
    </xf>
    <xf numFmtId="0" fontId="90" fillId="6" borderId="65" xfId="0" applyFont="1" applyFill="1" applyBorder="1" applyAlignment="1">
      <alignment horizontal="center" vertical="center" wrapText="1"/>
    </xf>
    <xf numFmtId="0" fontId="90" fillId="6" borderId="68" xfId="0" applyFont="1" applyFill="1" applyBorder="1" applyAlignment="1">
      <alignment horizontal="center" vertical="center" wrapText="1"/>
    </xf>
    <xf numFmtId="0" fontId="90" fillId="6" borderId="66" xfId="0" applyFont="1" applyFill="1" applyBorder="1" applyAlignment="1">
      <alignment horizontal="center" vertical="center" wrapText="1"/>
    </xf>
    <xf numFmtId="0" fontId="90" fillId="6" borderId="63" xfId="0" applyFont="1" applyFill="1" applyBorder="1" applyAlignment="1">
      <alignment horizontal="center" vertical="center" wrapText="1"/>
    </xf>
    <xf numFmtId="0" fontId="90" fillId="6" borderId="67" xfId="0" applyFont="1" applyFill="1" applyBorder="1" applyAlignment="1">
      <alignment horizontal="center" vertical="center" wrapText="1"/>
    </xf>
    <xf numFmtId="0" fontId="6" fillId="14" borderId="4" xfId="0" applyFont="1" applyFill="1" applyBorder="1" applyAlignment="1">
      <alignment horizontal="center" vertical="center" wrapText="1"/>
    </xf>
    <xf numFmtId="0" fontId="143" fillId="11" borderId="10" xfId="0" applyFont="1" applyFill="1" applyBorder="1" applyAlignment="1">
      <alignment horizontal="center" vertical="center" wrapText="1"/>
    </xf>
    <xf numFmtId="0" fontId="143" fillId="11" borderId="11" xfId="0" applyFont="1" applyFill="1" applyBorder="1" applyAlignment="1">
      <alignment horizontal="center" vertical="center" wrapText="1"/>
    </xf>
    <xf numFmtId="0" fontId="143" fillId="11" borderId="7" xfId="0" applyFont="1" applyFill="1" applyBorder="1" applyAlignment="1">
      <alignment horizontal="center" vertical="center" wrapText="1"/>
    </xf>
    <xf numFmtId="0" fontId="11" fillId="10" borderId="10" xfId="0" applyFont="1" applyFill="1" applyBorder="1" applyAlignment="1">
      <alignment horizontal="center"/>
    </xf>
    <xf numFmtId="0" fontId="11" fillId="10" borderId="11" xfId="0" applyFont="1" applyFill="1" applyBorder="1" applyAlignment="1">
      <alignment horizontal="center"/>
    </xf>
    <xf numFmtId="0" fontId="11" fillId="10" borderId="7" xfId="0" applyFont="1" applyFill="1" applyBorder="1" applyAlignment="1">
      <alignment horizontal="center"/>
    </xf>
    <xf numFmtId="0" fontId="7" fillId="12" borderId="10" xfId="0" applyFont="1" applyFill="1" applyBorder="1" applyAlignment="1">
      <alignment horizontal="center"/>
    </xf>
    <xf numFmtId="0" fontId="7" fillId="12" borderId="11" xfId="0" applyFont="1" applyFill="1" applyBorder="1" applyAlignment="1">
      <alignment horizontal="center"/>
    </xf>
    <xf numFmtId="0" fontId="7" fillId="12" borderId="7" xfId="0" applyFont="1" applyFill="1" applyBorder="1" applyAlignment="1">
      <alignment horizontal="center"/>
    </xf>
    <xf numFmtId="0" fontId="7" fillId="0" borderId="10" xfId="0" applyFont="1" applyBorder="1" applyAlignment="1">
      <alignment horizontal="center"/>
    </xf>
    <xf numFmtId="0" fontId="7" fillId="0" borderId="11" xfId="0" applyFont="1" applyBorder="1" applyAlignment="1">
      <alignment horizontal="center"/>
    </xf>
    <xf numFmtId="0" fontId="7" fillId="0" borderId="7" xfId="0" applyFont="1" applyBorder="1" applyAlignment="1">
      <alignment horizontal="center"/>
    </xf>
    <xf numFmtId="0" fontId="12" fillId="2" borderId="4" xfId="0" applyFont="1" applyFill="1" applyBorder="1" applyAlignment="1">
      <alignment horizontal="center" vertical="center" wrapText="1"/>
    </xf>
    <xf numFmtId="0" fontId="6" fillId="9" borderId="4" xfId="0" applyFont="1" applyFill="1" applyBorder="1" applyAlignment="1">
      <alignment horizontal="center" vertical="center" wrapText="1"/>
    </xf>
    <xf numFmtId="0" fontId="6" fillId="8" borderId="4" xfId="0" applyFont="1" applyFill="1" applyBorder="1" applyAlignment="1">
      <alignment horizontal="center" vertical="center" wrapText="1"/>
    </xf>
    <xf numFmtId="0" fontId="6" fillId="0" borderId="10" xfId="0" applyFont="1" applyBorder="1" applyAlignment="1">
      <alignment horizontal="center" vertical="center" wrapText="1"/>
    </xf>
    <xf numFmtId="0" fontId="6" fillId="0" borderId="7" xfId="0" applyFont="1" applyBorder="1" applyAlignment="1">
      <alignment horizontal="center" vertical="center" wrapText="1"/>
    </xf>
    <xf numFmtId="0" fontId="6" fillId="0" borderId="4" xfId="0" applyFont="1" applyBorder="1" applyAlignment="1">
      <alignment horizontal="center"/>
    </xf>
    <xf numFmtId="0" fontId="149" fillId="0" borderId="4" xfId="15" applyFont="1" applyBorder="1" applyAlignment="1">
      <alignment horizontal="center" vertical="center" wrapText="1"/>
    </xf>
    <xf numFmtId="168" fontId="6" fillId="0" borderId="10" xfId="3" applyNumberFormat="1" applyFont="1" applyBorder="1" applyAlignment="1">
      <alignment horizontal="center" vertical="center" wrapText="1"/>
    </xf>
    <xf numFmtId="168" fontId="6" fillId="0" borderId="7" xfId="3" applyNumberFormat="1" applyFont="1" applyBorder="1" applyAlignment="1">
      <alignment horizontal="center" vertical="center" wrapText="1"/>
    </xf>
    <xf numFmtId="2" fontId="1" fillId="0" borderId="0" xfId="14" applyNumberFormat="1" applyFont="1" applyAlignment="1">
      <alignment vertical="center" wrapText="1"/>
    </xf>
    <xf numFmtId="2" fontId="42" fillId="0" borderId="0" xfId="14" applyNumberFormat="1" applyFont="1" applyAlignment="1">
      <alignment horizontal="center" vertical="justify" wrapText="1"/>
    </xf>
    <xf numFmtId="2" fontId="1" fillId="0" borderId="0" xfId="14" applyNumberFormat="1" applyFont="1" applyAlignment="1">
      <alignment horizontal="left" vertical="center" wrapText="1"/>
    </xf>
    <xf numFmtId="2" fontId="1" fillId="0" borderId="0" xfId="14" quotePrefix="1" applyNumberFormat="1" applyFont="1" applyAlignment="1">
      <alignment vertical="center" wrapText="1"/>
    </xf>
    <xf numFmtId="2" fontId="42" fillId="0" borderId="0" xfId="14" applyNumberFormat="1" applyFont="1" applyAlignment="1">
      <alignment vertical="center" wrapText="1"/>
    </xf>
    <xf numFmtId="0" fontId="0" fillId="0" borderId="0" xfId="14" applyNumberFormat="1" applyFont="1" applyAlignment="1">
      <alignment vertical="justify" wrapText="1"/>
    </xf>
    <xf numFmtId="0" fontId="0" fillId="0" borderId="0" xfId="0" applyAlignment="1">
      <alignment vertical="justify" wrapText="1"/>
    </xf>
    <xf numFmtId="2" fontId="42" fillId="0" borderId="0" xfId="14" applyNumberFormat="1" applyFont="1" applyAlignment="1">
      <alignment horizontal="center" vertical="center" wrapText="1"/>
    </xf>
    <xf numFmtId="0" fontId="42" fillId="0" borderId="0" xfId="10" applyFont="1" applyAlignment="1">
      <alignment horizontal="center" wrapText="1"/>
    </xf>
    <xf numFmtId="3" fontId="1" fillId="0" borderId="9" xfId="10" applyNumberFormat="1" applyFont="1" applyBorder="1" applyAlignment="1">
      <alignment horizontal="left" vertical="top" wrapText="1"/>
    </xf>
    <xf numFmtId="3" fontId="1" fillId="0" borderId="11" xfId="10" applyNumberFormat="1" applyFont="1" applyBorder="1" applyAlignment="1">
      <alignment horizontal="left" vertical="top" wrapText="1"/>
    </xf>
    <xf numFmtId="3" fontId="1" fillId="0" borderId="30" xfId="10" applyNumberFormat="1" applyFont="1" applyBorder="1" applyAlignment="1">
      <alignment horizontal="left" vertical="top" wrapText="1"/>
    </xf>
    <xf numFmtId="0" fontId="42" fillId="0" borderId="1" xfId="10" applyFont="1" applyBorder="1" applyAlignment="1">
      <alignment horizontal="center" wrapText="1"/>
    </xf>
    <xf numFmtId="0" fontId="42" fillId="0" borderId="3" xfId="10" applyFont="1" applyBorder="1" applyAlignment="1">
      <alignment horizontal="center" wrapText="1"/>
    </xf>
    <xf numFmtId="3" fontId="1" fillId="0" borderId="5" xfId="10" applyNumberFormat="1" applyFont="1" applyBorder="1" applyAlignment="1">
      <alignment horizontal="left" vertical="top" wrapText="1"/>
    </xf>
    <xf numFmtId="0" fontId="1" fillId="2" borderId="69" xfId="10" applyFont="1" applyFill="1" applyBorder="1" applyAlignment="1">
      <alignment horizontal="left" vertical="center" wrapText="1"/>
    </xf>
    <xf numFmtId="178" fontId="1" fillId="0" borderId="74" xfId="5" applyNumberFormat="1" applyFont="1" applyBorder="1" applyAlignment="1">
      <alignment horizontal="left" vertical="center"/>
    </xf>
    <xf numFmtId="178" fontId="1" fillId="0" borderId="75" xfId="5" applyNumberFormat="1" applyFont="1" applyBorder="1" applyAlignment="1">
      <alignment horizontal="left" vertical="center"/>
    </xf>
    <xf numFmtId="178" fontId="1" fillId="0" borderId="16" xfId="5" applyNumberFormat="1" applyFont="1" applyBorder="1" applyAlignment="1">
      <alignment horizontal="left" vertical="center"/>
    </xf>
    <xf numFmtId="178" fontId="37" fillId="0" borderId="7" xfId="17" applyNumberFormat="1" applyFont="1" applyBorder="1" applyAlignment="1">
      <alignment horizontal="center" vertical="center" wrapText="1"/>
    </xf>
    <xf numFmtId="178" fontId="37" fillId="0" borderId="4" xfId="17" applyNumberFormat="1" applyFont="1" applyBorder="1" applyAlignment="1">
      <alignment horizontal="center" vertical="center" wrapText="1"/>
    </xf>
    <xf numFmtId="178" fontId="37" fillId="0" borderId="0" xfId="17" applyNumberFormat="1" applyFont="1" applyAlignment="1">
      <alignment horizontal="center" vertical="center" wrapText="1"/>
    </xf>
    <xf numFmtId="178" fontId="37" fillId="0" borderId="0" xfId="17" applyNumberFormat="1" applyFont="1" applyAlignment="1">
      <alignment horizontal="center" vertical="center"/>
    </xf>
    <xf numFmtId="178" fontId="37" fillId="0" borderId="0" xfId="17" applyNumberFormat="1" applyFont="1" applyAlignment="1">
      <alignment horizontal="center"/>
    </xf>
    <xf numFmtId="178" fontId="53" fillId="0" borderId="70" xfId="17" applyNumberFormat="1" applyFont="1" applyBorder="1" applyAlignment="1">
      <alignment horizontal="center"/>
    </xf>
    <xf numFmtId="178" fontId="37" fillId="0" borderId="24" xfId="17" applyNumberFormat="1" applyFont="1" applyBorder="1" applyAlignment="1">
      <alignment horizontal="center" vertical="center" wrapText="1"/>
    </xf>
    <xf numFmtId="178" fontId="37" fillId="0" borderId="72" xfId="17" applyNumberFormat="1" applyFont="1" applyBorder="1" applyAlignment="1">
      <alignment horizontal="center" vertical="center" wrapText="1"/>
    </xf>
    <xf numFmtId="178" fontId="37" fillId="0" borderId="25" xfId="17" applyNumberFormat="1" applyFont="1" applyBorder="1" applyAlignment="1">
      <alignment horizontal="center" vertical="center" wrapText="1"/>
    </xf>
    <xf numFmtId="178" fontId="37" fillId="0" borderId="19" xfId="17" applyNumberFormat="1" applyFont="1" applyBorder="1" applyAlignment="1">
      <alignment horizontal="center" vertical="center" wrapText="1"/>
    </xf>
    <xf numFmtId="3" fontId="6" fillId="0" borderId="0" xfId="0" applyNumberFormat="1" applyFont="1" applyAlignment="1">
      <alignment horizontal="center" vertical="center" wrapText="1"/>
    </xf>
    <xf numFmtId="3" fontId="6" fillId="0" borderId="0" xfId="0" applyNumberFormat="1" applyFont="1" applyAlignment="1">
      <alignment horizontal="right"/>
    </xf>
    <xf numFmtId="3" fontId="144" fillId="0" borderId="23" xfId="15" applyNumberFormat="1" applyFont="1" applyBorder="1" applyAlignment="1">
      <alignment horizontal="center" vertical="center" wrapText="1"/>
    </xf>
    <xf numFmtId="0" fontId="144" fillId="0" borderId="22" xfId="15" applyFont="1" applyBorder="1" applyAlignment="1">
      <alignment horizontal="center" vertical="center" wrapText="1"/>
    </xf>
    <xf numFmtId="3" fontId="6" fillId="0" borderId="24" xfId="0" applyNumberFormat="1" applyFont="1" applyBorder="1" applyAlignment="1">
      <alignment horizontal="center" vertical="center" wrapText="1"/>
    </xf>
    <xf numFmtId="0" fontId="7" fillId="0" borderId="4" xfId="0" applyFont="1" applyBorder="1" applyAlignment="1">
      <alignment horizontal="center" vertical="center" wrapText="1"/>
    </xf>
    <xf numFmtId="3" fontId="18" fillId="0" borderId="44" xfId="0" applyNumberFormat="1" applyFont="1" applyBorder="1" applyAlignment="1">
      <alignment horizontal="center" vertical="center" wrapText="1"/>
    </xf>
    <xf numFmtId="3" fontId="18" fillId="0" borderId="11" xfId="0" applyNumberFormat="1" applyFont="1" applyBorder="1" applyAlignment="1">
      <alignment horizontal="center" vertical="center" wrapText="1"/>
    </xf>
    <xf numFmtId="3" fontId="18" fillId="0" borderId="7" xfId="0" applyNumberFormat="1" applyFont="1" applyBorder="1" applyAlignment="1">
      <alignment horizontal="center" vertical="center" wrapText="1"/>
    </xf>
    <xf numFmtId="3" fontId="12" fillId="0" borderId="44" xfId="0" applyNumberFormat="1" applyFont="1" applyBorder="1" applyAlignment="1">
      <alignment horizontal="center" vertical="center" wrapText="1"/>
    </xf>
    <xf numFmtId="3" fontId="12" fillId="0" borderId="11" xfId="0" applyNumberFormat="1" applyFont="1" applyBorder="1" applyAlignment="1">
      <alignment horizontal="center" vertical="center" wrapText="1"/>
    </xf>
    <xf numFmtId="3" fontId="12" fillId="0" borderId="7" xfId="0" applyNumberFormat="1" applyFont="1" applyBorder="1" applyAlignment="1">
      <alignment horizontal="center" vertical="center" wrapText="1"/>
    </xf>
    <xf numFmtId="3" fontId="12" fillId="0" borderId="24" xfId="0" applyNumberFormat="1" applyFont="1" applyBorder="1" applyAlignment="1">
      <alignment horizontal="center" vertical="center" wrapText="1"/>
    </xf>
    <xf numFmtId="3" fontId="12" fillId="0" borderId="4" xfId="0" applyNumberFormat="1" applyFont="1" applyBorder="1" applyAlignment="1">
      <alignment horizontal="center" vertical="center" wrapText="1"/>
    </xf>
    <xf numFmtId="3" fontId="12" fillId="0" borderId="45" xfId="0" applyNumberFormat="1" applyFont="1" applyBorder="1" applyAlignment="1">
      <alignment horizontal="center" vertical="center" wrapText="1"/>
    </xf>
    <xf numFmtId="3" fontId="12" fillId="0" borderId="150" xfId="0" applyNumberFormat="1" applyFont="1" applyBorder="1" applyAlignment="1">
      <alignment horizontal="center" vertical="center" wrapText="1"/>
    </xf>
    <xf numFmtId="3" fontId="12" fillId="0" borderId="46" xfId="0" applyNumberFormat="1" applyFont="1" applyBorder="1" applyAlignment="1">
      <alignment horizontal="center" vertical="center" wrapText="1"/>
    </xf>
    <xf numFmtId="3" fontId="12" fillId="0" borderId="25" xfId="0" applyNumberFormat="1" applyFont="1" applyBorder="1" applyAlignment="1">
      <alignment horizontal="center" vertical="center" wrapText="1"/>
    </xf>
    <xf numFmtId="3" fontId="12" fillId="0" borderId="19" xfId="0" applyNumberFormat="1" applyFont="1" applyBorder="1" applyAlignment="1">
      <alignment horizontal="center" vertical="center" wrapText="1"/>
    </xf>
    <xf numFmtId="3" fontId="12" fillId="0" borderId="12" xfId="0" applyNumberFormat="1" applyFont="1" applyBorder="1" applyAlignment="1">
      <alignment horizontal="center" vertical="center" wrapText="1"/>
    </xf>
    <xf numFmtId="3" fontId="12" fillId="0" borderId="53" xfId="0" applyNumberFormat="1" applyFont="1" applyBorder="1" applyAlignment="1">
      <alignment horizontal="center" vertical="center" wrapText="1"/>
    </xf>
    <xf numFmtId="3" fontId="144" fillId="0" borderId="4" xfId="15" applyNumberFormat="1" applyFont="1" applyBorder="1" applyAlignment="1">
      <alignment horizontal="center" vertical="center" wrapText="1"/>
    </xf>
    <xf numFmtId="0" fontId="144" fillId="0" borderId="4" xfId="15" applyFont="1" applyBorder="1" applyAlignment="1">
      <alignment horizontal="center" vertical="center" wrapText="1"/>
    </xf>
    <xf numFmtId="3" fontId="6" fillId="0" borderId="4" xfId="0" applyNumberFormat="1" applyFont="1" applyBorder="1" applyAlignment="1">
      <alignment horizontal="center" vertical="center" wrapText="1"/>
    </xf>
    <xf numFmtId="3" fontId="18" fillId="0" borderId="4" xfId="0" applyNumberFormat="1" applyFont="1" applyBorder="1" applyAlignment="1">
      <alignment horizontal="center" vertical="center" wrapText="1"/>
    </xf>
    <xf numFmtId="3" fontId="11" fillId="0" borderId="0" xfId="0" applyNumberFormat="1" applyFont="1" applyAlignment="1">
      <alignment horizontal="center" vertical="center" wrapText="1"/>
    </xf>
    <xf numFmtId="3" fontId="6" fillId="0" borderId="29" xfId="0" applyNumberFormat="1" applyFont="1" applyBorder="1" applyAlignment="1">
      <alignment horizontal="right"/>
    </xf>
    <xf numFmtId="3" fontId="42" fillId="0" borderId="0" xfId="0" applyNumberFormat="1" applyFont="1" applyAlignment="1">
      <alignment vertical="center" wrapText="1"/>
    </xf>
    <xf numFmtId="0" fontId="42" fillId="0" borderId="10" xfId="0" applyFont="1" applyBorder="1" applyAlignment="1">
      <alignment horizontal="center" vertical="center" wrapText="1"/>
    </xf>
    <xf numFmtId="0" fontId="6" fillId="0" borderId="1" xfId="0" applyFont="1" applyBorder="1" applyAlignment="1">
      <alignment horizontal="center"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3" fontId="6" fillId="0" borderId="10" xfId="0" applyNumberFormat="1" applyFont="1" applyBorder="1" applyAlignment="1">
      <alignment horizontal="center" vertical="center" wrapText="1"/>
    </xf>
    <xf numFmtId="0" fontId="7" fillId="0" borderId="7" xfId="0" applyFont="1" applyBorder="1" applyAlignment="1">
      <alignment horizontal="center" vertical="center" wrapText="1"/>
    </xf>
    <xf numFmtId="3" fontId="6" fillId="0" borderId="1" xfId="0" applyNumberFormat="1" applyFont="1" applyBorder="1" applyAlignment="1">
      <alignment horizontal="center" vertical="center" wrapText="1"/>
    </xf>
    <xf numFmtId="3" fontId="6" fillId="0" borderId="2" xfId="0" applyNumberFormat="1" applyFont="1" applyBorder="1" applyAlignment="1">
      <alignment horizontal="center" vertical="center" wrapText="1"/>
    </xf>
    <xf numFmtId="3" fontId="6" fillId="0" borderId="3" xfId="0" applyNumberFormat="1" applyFont="1" applyBorder="1" applyAlignment="1">
      <alignment horizontal="center" vertical="center" wrapText="1"/>
    </xf>
    <xf numFmtId="3" fontId="6" fillId="0" borderId="29" xfId="0" applyNumberFormat="1" applyFont="1" applyBorder="1" applyAlignment="1">
      <alignment horizontal="center"/>
    </xf>
    <xf numFmtId="3" fontId="144" fillId="0" borderId="10" xfId="15" applyNumberFormat="1" applyFont="1" applyBorder="1" applyAlignment="1">
      <alignment horizontal="center" vertical="center" wrapText="1"/>
    </xf>
    <xf numFmtId="0" fontId="144" fillId="0" borderId="11" xfId="15" applyFont="1" applyBorder="1" applyAlignment="1">
      <alignment horizontal="center" vertical="center" wrapText="1"/>
    </xf>
    <xf numFmtId="0" fontId="144" fillId="0" borderId="7" xfId="15" applyFont="1" applyBorder="1" applyAlignment="1">
      <alignment horizontal="center" vertical="center" wrapText="1"/>
    </xf>
    <xf numFmtId="0" fontId="7" fillId="0" borderId="11" xfId="0" applyFont="1" applyBorder="1" applyAlignment="1">
      <alignment horizontal="center" vertical="center" wrapText="1"/>
    </xf>
    <xf numFmtId="3" fontId="6" fillId="0" borderId="34" xfId="0" applyNumberFormat="1" applyFont="1" applyBorder="1" applyAlignment="1">
      <alignment horizontal="center" vertical="center" wrapText="1"/>
    </xf>
    <xf numFmtId="3" fontId="6" fillId="0" borderId="12" xfId="0" applyNumberFormat="1" applyFont="1" applyBorder="1" applyAlignment="1">
      <alignment horizontal="center" vertical="center" wrapText="1"/>
    </xf>
    <xf numFmtId="3" fontId="6" fillId="0" borderId="13" xfId="0" applyNumberFormat="1" applyFont="1" applyBorder="1" applyAlignment="1">
      <alignment horizontal="center" vertical="center" wrapText="1"/>
    </xf>
    <xf numFmtId="3" fontId="6" fillId="0" borderId="7" xfId="0" applyNumberFormat="1" applyFont="1" applyBorder="1" applyAlignment="1">
      <alignment horizontal="center" vertical="center" wrapText="1"/>
    </xf>
    <xf numFmtId="3" fontId="13" fillId="0" borderId="0" xfId="0" applyNumberFormat="1" applyFont="1" applyAlignment="1">
      <alignment horizontal="center"/>
    </xf>
    <xf numFmtId="3" fontId="6" fillId="0" borderId="0" xfId="0" applyNumberFormat="1" applyFont="1" applyAlignment="1">
      <alignment horizontal="center"/>
    </xf>
    <xf numFmtId="0" fontId="144" fillId="0" borderId="52" xfId="15" applyFont="1" applyBorder="1" applyAlignment="1">
      <alignment horizontal="center" vertical="center" wrapText="1"/>
    </xf>
    <xf numFmtId="0" fontId="144" fillId="0" borderId="54" xfId="15" applyFont="1" applyBorder="1" applyAlignment="1">
      <alignment horizontal="center" vertical="center" wrapText="1"/>
    </xf>
    <xf numFmtId="3" fontId="6" fillId="0" borderId="44" xfId="0" applyNumberFormat="1" applyFont="1" applyBorder="1" applyAlignment="1">
      <alignment horizontal="center" vertical="center" wrapText="1"/>
    </xf>
    <xf numFmtId="3" fontId="6" fillId="0" borderId="37" xfId="0" applyNumberFormat="1" applyFont="1" applyBorder="1" applyAlignment="1">
      <alignment horizontal="center" vertical="center" wrapText="1"/>
    </xf>
    <xf numFmtId="3" fontId="6" fillId="0" borderId="38" xfId="0" applyNumberFormat="1" applyFont="1" applyBorder="1" applyAlignment="1">
      <alignment horizontal="center" vertical="center" wrapText="1"/>
    </xf>
    <xf numFmtId="3" fontId="6" fillId="0" borderId="39" xfId="0" applyNumberFormat="1" applyFont="1" applyBorder="1" applyAlignment="1">
      <alignment horizontal="center" vertical="center" wrapText="1"/>
    </xf>
    <xf numFmtId="3" fontId="6" fillId="0" borderId="37" xfId="0" applyNumberFormat="1" applyFont="1" applyBorder="1" applyAlignment="1">
      <alignment horizontal="center" vertical="center" shrinkToFit="1"/>
    </xf>
    <xf numFmtId="3" fontId="6" fillId="0" borderId="38" xfId="0" applyNumberFormat="1" applyFont="1" applyBorder="1" applyAlignment="1">
      <alignment horizontal="center" vertical="center" shrinkToFit="1"/>
    </xf>
    <xf numFmtId="3" fontId="6" fillId="0" borderId="39" xfId="0" applyNumberFormat="1" applyFont="1" applyBorder="1" applyAlignment="1">
      <alignment horizontal="center" vertical="center" shrinkToFit="1"/>
    </xf>
    <xf numFmtId="3" fontId="6" fillId="0" borderId="40" xfId="0" applyNumberFormat="1" applyFont="1" applyBorder="1" applyAlignment="1">
      <alignment horizontal="center" vertical="center" wrapText="1"/>
    </xf>
    <xf numFmtId="0" fontId="42" fillId="0" borderId="1" xfId="0" applyFont="1" applyBorder="1" applyAlignment="1">
      <alignment horizontal="center"/>
    </xf>
    <xf numFmtId="0" fontId="42" fillId="0" borderId="2" xfId="0" applyFont="1" applyBorder="1" applyAlignment="1">
      <alignment horizontal="center"/>
    </xf>
    <xf numFmtId="0" fontId="42" fillId="0" borderId="3" xfId="0" applyFont="1" applyBorder="1" applyAlignment="1">
      <alignment horizontal="center"/>
    </xf>
    <xf numFmtId="0" fontId="42" fillId="0" borderId="29" xfId="0" applyFont="1" applyBorder="1" applyAlignment="1">
      <alignment horizontal="right"/>
    </xf>
    <xf numFmtId="0" fontId="137" fillId="0" borderId="52" xfId="15" applyFont="1" applyBorder="1" applyAlignment="1">
      <alignment horizontal="center" vertical="center"/>
    </xf>
    <xf numFmtId="0" fontId="137" fillId="0" borderId="54" xfId="15" applyFont="1" applyBorder="1" applyAlignment="1">
      <alignment horizontal="center" vertical="center"/>
    </xf>
    <xf numFmtId="0" fontId="42" fillId="0" borderId="44" xfId="0" applyFont="1" applyBorder="1" applyAlignment="1">
      <alignment horizontal="center" vertical="center"/>
    </xf>
    <xf numFmtId="0" fontId="42" fillId="0" borderId="7" xfId="0" applyFont="1" applyBorder="1" applyAlignment="1">
      <alignment horizontal="center" vertical="center"/>
    </xf>
    <xf numFmtId="0" fontId="42" fillId="0" borderId="24" xfId="0" applyFont="1" applyBorder="1" applyAlignment="1">
      <alignment horizontal="center"/>
    </xf>
    <xf numFmtId="0" fontId="42" fillId="0" borderId="37" xfId="0" applyFont="1" applyBorder="1" applyAlignment="1">
      <alignment horizontal="center"/>
    </xf>
    <xf numFmtId="0" fontId="42" fillId="0" borderId="38" xfId="0" applyFont="1" applyBorder="1" applyAlignment="1">
      <alignment horizontal="center"/>
    </xf>
    <xf numFmtId="0" fontId="42" fillId="0" borderId="39" xfId="0" applyFont="1" applyBorder="1" applyAlignment="1">
      <alignment horizontal="center"/>
    </xf>
    <xf numFmtId="0" fontId="42" fillId="0" borderId="40" xfId="0" applyFont="1" applyBorder="1" applyAlignment="1">
      <alignment horizontal="center"/>
    </xf>
    <xf numFmtId="0" fontId="6" fillId="0" borderId="1" xfId="0" applyFont="1" applyBorder="1" applyAlignment="1">
      <alignment horizontal="center"/>
    </xf>
    <xf numFmtId="0" fontId="6" fillId="0" borderId="2" xfId="0" applyFont="1" applyBorder="1" applyAlignment="1">
      <alignment horizontal="center"/>
    </xf>
    <xf numFmtId="0" fontId="6" fillId="0" borderId="3" xfId="0" applyFont="1" applyBorder="1" applyAlignment="1">
      <alignment horizontal="center"/>
    </xf>
    <xf numFmtId="0" fontId="12" fillId="0" borderId="98" xfId="0" applyFont="1" applyBorder="1" applyAlignment="1">
      <alignment horizontal="center"/>
    </xf>
    <xf numFmtId="0" fontId="12" fillId="0" borderId="96" xfId="0" applyFont="1" applyBorder="1" applyAlignment="1">
      <alignment horizontal="center"/>
    </xf>
    <xf numFmtId="0" fontId="12" fillId="0" borderId="97" xfId="0" applyFont="1" applyBorder="1" applyAlignment="1">
      <alignment horizontal="center"/>
    </xf>
    <xf numFmtId="0" fontId="12" fillId="0" borderId="99" xfId="0" applyFont="1" applyBorder="1" applyAlignment="1">
      <alignment horizontal="center"/>
    </xf>
    <xf numFmtId="0" fontId="6" fillId="2" borderId="2" xfId="0" applyFont="1" applyFill="1" applyBorder="1" applyAlignment="1">
      <alignment horizontal="center"/>
    </xf>
    <xf numFmtId="0" fontId="6" fillId="2" borderId="3" xfId="0" applyFont="1" applyFill="1" applyBorder="1" applyAlignment="1">
      <alignment horizontal="center"/>
    </xf>
    <xf numFmtId="0" fontId="6" fillId="0" borderId="0" xfId="0" applyFont="1" applyAlignment="1">
      <alignment horizontal="center" vertical="center" wrapText="1"/>
    </xf>
    <xf numFmtId="0" fontId="12" fillId="0" borderId="0" xfId="0" applyFont="1" applyAlignment="1">
      <alignment horizontal="right"/>
    </xf>
    <xf numFmtId="0" fontId="137" fillId="0" borderId="116" xfId="15" applyFont="1" applyBorder="1" applyAlignment="1">
      <alignment horizontal="center" vertical="center"/>
    </xf>
    <xf numFmtId="0" fontId="137" fillId="0" borderId="117" xfId="15" applyFont="1" applyBorder="1" applyAlignment="1">
      <alignment horizontal="center" vertical="center"/>
    </xf>
    <xf numFmtId="0" fontId="6" fillId="0" borderId="115" xfId="0" applyFont="1" applyBorder="1" applyAlignment="1">
      <alignment horizontal="center" vertical="center"/>
    </xf>
    <xf numFmtId="0" fontId="6" fillId="0" borderId="4" xfId="0" applyFont="1" applyBorder="1" applyAlignment="1">
      <alignment horizontal="center" vertical="center"/>
    </xf>
    <xf numFmtId="0" fontId="12" fillId="0" borderId="115" xfId="0" applyFont="1" applyBorder="1" applyAlignment="1">
      <alignment horizontal="center"/>
    </xf>
    <xf numFmtId="0" fontId="47" fillId="0" borderId="29" xfId="0" applyFont="1" applyBorder="1" applyAlignment="1">
      <alignment horizontal="center"/>
    </xf>
    <xf numFmtId="9" fontId="2" fillId="0" borderId="118" xfId="0" applyNumberFormat="1" applyFont="1" applyBorder="1" applyAlignment="1">
      <alignment horizontal="center" vertical="center" wrapText="1"/>
    </xf>
    <xf numFmtId="9" fontId="2" fillId="0" borderId="119" xfId="0" applyNumberFormat="1" applyFont="1" applyBorder="1" applyAlignment="1">
      <alignment horizontal="center" vertical="center" wrapText="1"/>
    </xf>
    <xf numFmtId="9" fontId="2" fillId="0" borderId="17" xfId="0" applyNumberFormat="1" applyFont="1" applyBorder="1" applyAlignment="1">
      <alignment horizontal="center" vertical="center" wrapText="1"/>
    </xf>
    <xf numFmtId="9" fontId="2" fillId="0" borderId="12" xfId="0" applyNumberFormat="1" applyFont="1" applyBorder="1" applyAlignment="1">
      <alignment horizontal="center" vertical="center" wrapText="1"/>
    </xf>
    <xf numFmtId="9" fontId="2" fillId="0" borderId="0" xfId="0" applyNumberFormat="1" applyFont="1" applyAlignment="1">
      <alignment horizontal="center" vertical="center" wrapText="1"/>
    </xf>
    <xf numFmtId="9" fontId="2" fillId="0" borderId="53" xfId="0" applyNumberFormat="1" applyFont="1" applyBorder="1" applyAlignment="1">
      <alignment horizontal="center" vertical="center" wrapText="1"/>
    </xf>
    <xf numFmtId="9" fontId="2" fillId="0" borderId="120" xfId="0" applyNumberFormat="1" applyFont="1" applyBorder="1" applyAlignment="1">
      <alignment horizontal="center" vertical="center" wrapText="1"/>
    </xf>
    <xf numFmtId="9" fontId="2" fillId="0" borderId="121" xfId="0" applyNumberFormat="1" applyFont="1" applyBorder="1" applyAlignment="1">
      <alignment horizontal="center" vertical="center" wrapText="1"/>
    </xf>
    <xf numFmtId="9" fontId="2" fillId="0" borderId="32" xfId="0" applyNumberFormat="1" applyFont="1" applyBorder="1" applyAlignment="1">
      <alignment horizontal="center" vertical="center" wrapText="1"/>
    </xf>
    <xf numFmtId="9" fontId="139" fillId="0" borderId="5" xfId="0" applyNumberFormat="1" applyFont="1" applyBorder="1" applyAlignment="1">
      <alignment horizontal="center" vertical="center" wrapText="1"/>
    </xf>
    <xf numFmtId="0" fontId="139" fillId="0" borderId="5" xfId="0" applyFont="1" applyBorder="1" applyAlignment="1">
      <alignment horizontal="center" vertical="center" wrapText="1"/>
    </xf>
    <xf numFmtId="0" fontId="47" fillId="0" borderId="69" xfId="0" applyFont="1" applyBorder="1" applyAlignment="1">
      <alignment horizontal="center"/>
    </xf>
    <xf numFmtId="0" fontId="90" fillId="0" borderId="4" xfId="0" applyFont="1" applyBorder="1" applyAlignment="1">
      <alignment horizontal="center" vertical="center" wrapText="1"/>
    </xf>
    <xf numFmtId="0" fontId="42" fillId="0" borderId="4" xfId="0" applyFont="1" applyBorder="1" applyAlignment="1">
      <alignment horizontal="center"/>
    </xf>
    <xf numFmtId="0" fontId="139" fillId="0" borderId="0" xfId="0" applyFont="1" applyAlignment="1">
      <alignment vertical="center" wrapText="1"/>
    </xf>
    <xf numFmtId="3" fontId="1" fillId="0" borderId="0" xfId="0" applyNumberFormat="1" applyFont="1" applyAlignment="1">
      <alignment horizontal="center" wrapText="1"/>
    </xf>
    <xf numFmtId="0" fontId="1" fillId="0" borderId="0" xfId="0" applyFont="1" applyAlignment="1">
      <alignment horizontal="center" wrapText="1"/>
    </xf>
    <xf numFmtId="0" fontId="42" fillId="0" borderId="0" xfId="0" applyFont="1" applyAlignment="1">
      <alignment horizontal="center" wrapText="1"/>
    </xf>
    <xf numFmtId="0" fontId="47" fillId="0" borderId="0" xfId="0" applyFont="1" applyAlignment="1">
      <alignment horizontal="center"/>
    </xf>
    <xf numFmtId="0" fontId="42" fillId="0" borderId="1" xfId="0" applyFont="1" applyBorder="1" applyAlignment="1">
      <alignment horizontal="center" vertical="center"/>
    </xf>
    <xf numFmtId="0" fontId="42" fillId="0" borderId="2" xfId="0" applyFont="1" applyBorder="1" applyAlignment="1">
      <alignment horizontal="center" vertical="center"/>
    </xf>
    <xf numFmtId="0" fontId="42" fillId="0" borderId="3" xfId="0" applyFont="1" applyBorder="1" applyAlignment="1">
      <alignment horizontal="center" vertical="center"/>
    </xf>
    <xf numFmtId="0" fontId="42" fillId="0" borderId="66" xfId="7" applyFont="1" applyBorder="1" applyAlignment="1">
      <alignment horizontal="center" vertical="center" wrapText="1"/>
    </xf>
    <xf numFmtId="0" fontId="161" fillId="0" borderId="0" xfId="7" applyFont="1" applyAlignment="1">
      <alignment horizontal="center" vertical="top" wrapText="1"/>
    </xf>
    <xf numFmtId="0" fontId="6" fillId="0" borderId="0" xfId="7" applyFont="1" applyAlignment="1">
      <alignment horizontal="center" vertical="top" wrapText="1"/>
    </xf>
    <xf numFmtId="0" fontId="148" fillId="0" borderId="0" xfId="7" applyFont="1" applyAlignment="1">
      <alignment horizontal="center" vertical="center" wrapText="1"/>
    </xf>
    <xf numFmtId="0" fontId="156" fillId="0" borderId="0" xfId="7" applyFont="1" applyAlignment="1">
      <alignment horizontal="center" vertical="center" wrapText="1"/>
    </xf>
    <xf numFmtId="0" fontId="157" fillId="0" borderId="0" xfId="7" applyFont="1" applyAlignment="1">
      <alignment horizontal="right" vertical="top" wrapText="1"/>
    </xf>
    <xf numFmtId="0" fontId="1" fillId="0" borderId="0" xfId="7" applyFont="1"/>
    <xf numFmtId="3" fontId="42" fillId="0" borderId="66" xfId="7" applyNumberFormat="1" applyFont="1" applyBorder="1" applyAlignment="1">
      <alignment horizontal="center" vertical="center" wrapText="1"/>
    </xf>
    <xf numFmtId="0" fontId="42" fillId="0" borderId="58" xfId="7" applyFont="1" applyBorder="1" applyAlignment="1">
      <alignment horizontal="center" vertical="center" wrapText="1"/>
    </xf>
    <xf numFmtId="0" fontId="7" fillId="0" borderId="0" xfId="0" applyFont="1" applyAlignment="1">
      <alignment horizontal="center" vertical="center" wrapText="1"/>
    </xf>
    <xf numFmtId="3" fontId="7" fillId="0" borderId="0" xfId="0" applyNumberFormat="1" applyFont="1" applyAlignment="1">
      <alignment horizontal="center" vertical="center" wrapText="1"/>
    </xf>
    <xf numFmtId="0" fontId="6" fillId="0" borderId="140" xfId="0" applyFont="1" applyBorder="1" applyAlignment="1">
      <alignment horizontal="right"/>
    </xf>
    <xf numFmtId="0" fontId="6" fillId="0" borderId="116" xfId="15" applyFont="1" applyBorder="1" applyAlignment="1">
      <alignment horizontal="center" vertical="center" wrapText="1"/>
    </xf>
    <xf numFmtId="0" fontId="6" fillId="0" borderId="117" xfId="15" applyFont="1" applyBorder="1" applyAlignment="1">
      <alignment horizontal="center" vertical="center" wrapText="1"/>
    </xf>
    <xf numFmtId="0" fontId="6" fillId="0" borderId="115" xfId="0" applyFont="1" applyBorder="1" applyAlignment="1">
      <alignment horizontal="center" vertical="center" wrapText="1"/>
    </xf>
    <xf numFmtId="0" fontId="6" fillId="0" borderId="129" xfId="0" applyFont="1" applyBorder="1" applyAlignment="1">
      <alignment horizontal="center" vertical="center" wrapText="1"/>
    </xf>
    <xf numFmtId="0" fontId="6" fillId="0" borderId="13" xfId="0" applyFont="1" applyBorder="1" applyAlignment="1">
      <alignment horizontal="center" vertical="center"/>
    </xf>
    <xf numFmtId="0" fontId="6" fillId="0" borderId="15" xfId="0" applyFont="1" applyBorder="1" applyAlignment="1">
      <alignment horizontal="center" vertical="center"/>
    </xf>
    <xf numFmtId="3" fontId="7" fillId="0" borderId="0" xfId="0" applyNumberFormat="1" applyFont="1" applyAlignment="1">
      <alignment horizontal="center" wrapText="1"/>
    </xf>
    <xf numFmtId="0" fontId="13" fillId="0" borderId="0" xfId="0" applyFont="1" applyAlignment="1">
      <alignment horizontal="right"/>
    </xf>
    <xf numFmtId="0" fontId="12" fillId="0" borderId="103" xfId="0" applyFont="1" applyBorder="1" applyAlignment="1">
      <alignment horizontal="center" vertical="center" wrapText="1"/>
    </xf>
    <xf numFmtId="0" fontId="12" fillId="0" borderId="4" xfId="0" applyFont="1" applyBorder="1" applyAlignment="1">
      <alignment horizontal="center"/>
    </xf>
    <xf numFmtId="3" fontId="11" fillId="0" borderId="0" xfId="0" applyNumberFormat="1" applyFont="1" applyAlignment="1">
      <alignment horizontal="center" wrapText="1"/>
    </xf>
    <xf numFmtId="0" fontId="11" fillId="0" borderId="0" xfId="0" applyFont="1" applyAlignment="1">
      <alignment horizontal="center" wrapText="1"/>
    </xf>
    <xf numFmtId="0" fontId="12" fillId="0" borderId="140" xfId="0" applyFont="1" applyBorder="1" applyAlignment="1">
      <alignment horizontal="center"/>
    </xf>
    <xf numFmtId="0" fontId="12" fillId="0" borderId="116" xfId="15" applyFont="1" applyBorder="1" applyAlignment="1">
      <alignment horizontal="center" vertical="center" wrapText="1"/>
    </xf>
    <xf numFmtId="0" fontId="12" fillId="0" borderId="117" xfId="15" applyFont="1" applyBorder="1" applyAlignment="1">
      <alignment horizontal="center" vertical="center" wrapText="1"/>
    </xf>
    <xf numFmtId="0" fontId="12" fillId="0" borderId="115" xfId="0" applyFont="1" applyBorder="1" applyAlignment="1">
      <alignment horizontal="center" vertical="center" wrapText="1"/>
    </xf>
    <xf numFmtId="0" fontId="12" fillId="0" borderId="98" xfId="0" applyFont="1" applyBorder="1" applyAlignment="1">
      <alignment horizontal="center" vertical="center" wrapText="1"/>
    </xf>
    <xf numFmtId="0" fontId="12" fillId="0" borderId="96" xfId="0" applyFont="1" applyBorder="1" applyAlignment="1">
      <alignment horizontal="center" vertical="center" wrapText="1"/>
    </xf>
    <xf numFmtId="0" fontId="12" fillId="0" borderId="97" xfId="0" applyFont="1" applyBorder="1" applyAlignment="1">
      <alignment horizontal="center" vertical="center" wrapText="1"/>
    </xf>
    <xf numFmtId="0" fontId="12" fillId="0" borderId="129" xfId="0" applyFont="1" applyBorder="1" applyAlignment="1">
      <alignment horizontal="center"/>
    </xf>
    <xf numFmtId="0" fontId="12" fillId="0" borderId="10" xfId="0" applyFont="1" applyBorder="1" applyAlignment="1">
      <alignment horizontal="center" vertical="center" wrapText="1"/>
    </xf>
    <xf numFmtId="0" fontId="12" fillId="0" borderId="11" xfId="0" applyFont="1" applyBorder="1" applyAlignment="1">
      <alignment horizontal="center" vertical="center" wrapText="1"/>
    </xf>
    <xf numFmtId="0" fontId="12" fillId="0" borderId="7" xfId="0" applyFont="1" applyBorder="1" applyAlignment="1">
      <alignment horizontal="center" vertical="center" wrapText="1"/>
    </xf>
    <xf numFmtId="3" fontId="7" fillId="0" borderId="0" xfId="0" applyNumberFormat="1" applyFont="1" applyAlignment="1">
      <alignment horizontal="center"/>
    </xf>
    <xf numFmtId="0" fontId="6" fillId="0" borderId="0" xfId="0" applyFont="1" applyAlignment="1">
      <alignment horizontal="right"/>
    </xf>
    <xf numFmtId="0" fontId="144" fillId="0" borderId="93" xfId="15" applyFont="1" applyBorder="1" applyAlignment="1">
      <alignment vertical="center"/>
    </xf>
    <xf numFmtId="0" fontId="144" fillId="0" borderId="100" xfId="15" applyFont="1" applyBorder="1" applyAlignment="1">
      <alignment vertical="center"/>
    </xf>
    <xf numFmtId="0" fontId="144" fillId="0" borderId="102" xfId="15" applyFont="1" applyBorder="1" applyAlignment="1">
      <alignment vertical="center"/>
    </xf>
    <xf numFmtId="0" fontId="6" fillId="0" borderId="94"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98" xfId="0" applyFont="1" applyBorder="1" applyAlignment="1">
      <alignment horizontal="center"/>
    </xf>
    <xf numFmtId="0" fontId="6" fillId="0" borderId="96" xfId="0" applyFont="1" applyBorder="1" applyAlignment="1">
      <alignment horizontal="center"/>
    </xf>
    <xf numFmtId="0" fontId="6" fillId="0" borderId="99" xfId="0" applyFont="1" applyBorder="1" applyAlignment="1">
      <alignment horizontal="center"/>
    </xf>
    <xf numFmtId="0" fontId="6" fillId="0" borderId="143" xfId="0" applyFont="1" applyBorder="1" applyAlignment="1">
      <alignment horizontal="center" vertical="center" wrapText="1"/>
    </xf>
    <xf numFmtId="0" fontId="6" fillId="0" borderId="144" xfId="0" applyFont="1" applyBorder="1" applyAlignment="1">
      <alignment horizontal="center" vertical="center" wrapText="1"/>
    </xf>
    <xf numFmtId="0" fontId="6" fillId="0" borderId="145" xfId="0" applyFont="1" applyBorder="1" applyAlignment="1">
      <alignment horizontal="center" vertical="center" wrapText="1"/>
    </xf>
    <xf numFmtId="0" fontId="6" fillId="0" borderId="34" xfId="0" applyFont="1" applyBorder="1" applyAlignment="1">
      <alignment horizontal="center" vertical="center"/>
    </xf>
    <xf numFmtId="0" fontId="6" fillId="0" borderId="148" xfId="0" applyFont="1" applyBorder="1" applyAlignment="1">
      <alignment horizontal="center" vertical="center"/>
    </xf>
    <xf numFmtId="0" fontId="6" fillId="0" borderId="145" xfId="0" applyFont="1" applyBorder="1" applyAlignment="1">
      <alignment horizontal="center" vertical="center"/>
    </xf>
    <xf numFmtId="0" fontId="6" fillId="0" borderId="34" xfId="0" applyFont="1" applyBorder="1" applyAlignment="1">
      <alignment horizontal="center" vertical="center" wrapText="1"/>
    </xf>
    <xf numFmtId="0" fontId="6" fillId="0" borderId="69" xfId="0" applyFont="1" applyBorder="1" applyAlignment="1">
      <alignment horizontal="center" vertical="center" wrapText="1"/>
    </xf>
    <xf numFmtId="0" fontId="6" fillId="0" borderId="14" xfId="0" applyFont="1" applyBorder="1" applyAlignment="1">
      <alignment horizontal="center" vertical="center" wrapText="1"/>
    </xf>
    <xf numFmtId="0" fontId="42" fillId="0" borderId="66" xfId="0" applyFont="1" applyBorder="1" applyAlignment="1">
      <alignment horizontal="center" vertical="center" wrapText="1"/>
    </xf>
    <xf numFmtId="0" fontId="42" fillId="0" borderId="58" xfId="0" applyFont="1" applyBorder="1" applyAlignment="1">
      <alignment horizontal="center" vertical="center" wrapText="1"/>
    </xf>
    <xf numFmtId="0" fontId="42" fillId="0" borderId="0" xfId="0" applyFont="1" applyAlignment="1">
      <alignment horizontal="center" vertical="top" wrapText="1"/>
    </xf>
    <xf numFmtId="0" fontId="42" fillId="0" borderId="0" xfId="0" applyFont="1" applyAlignment="1">
      <alignment horizontal="right"/>
    </xf>
    <xf numFmtId="0" fontId="6" fillId="0" borderId="0" xfId="0" applyFont="1" applyAlignment="1">
      <alignment horizontal="center" vertical="top" wrapText="1"/>
    </xf>
    <xf numFmtId="0" fontId="0" fillId="0" borderId="0" xfId="0"/>
    <xf numFmtId="0" fontId="13" fillId="0" borderId="0" xfId="0" applyFont="1" applyAlignment="1">
      <alignment horizontal="center" vertical="top" wrapText="1"/>
    </xf>
    <xf numFmtId="0" fontId="47" fillId="0" borderId="0" xfId="0" applyFont="1" applyAlignment="1">
      <alignment horizontal="right" vertical="top" wrapText="1"/>
    </xf>
    <xf numFmtId="0" fontId="1" fillId="0" borderId="0" xfId="0" applyFont="1"/>
    <xf numFmtId="0" fontId="6" fillId="0" borderId="0" xfId="0" applyFont="1" applyAlignment="1">
      <alignment shrinkToFit="1"/>
    </xf>
    <xf numFmtId="0" fontId="144" fillId="0" borderId="4" xfId="15" applyFont="1" applyFill="1" applyBorder="1" applyAlignment="1">
      <alignment horizontal="center" vertical="center" wrapText="1"/>
    </xf>
    <xf numFmtId="0" fontId="144" fillId="0" borderId="4" xfId="15" applyFont="1" applyFill="1" applyBorder="1" applyAlignment="1">
      <alignment horizontal="center" vertical="center"/>
    </xf>
    <xf numFmtId="0" fontId="7" fillId="0" borderId="0" xfId="0" applyFont="1" applyAlignment="1">
      <alignment horizontal="center" wrapText="1"/>
    </xf>
    <xf numFmtId="3" fontId="42" fillId="0" borderId="0" xfId="21" applyNumberFormat="1" applyFont="1" applyAlignment="1">
      <alignment horizontal="center" vertical="center" wrapText="1"/>
    </xf>
    <xf numFmtId="3" fontId="1" fillId="0" borderId="0" xfId="21" applyNumberFormat="1" applyFont="1" applyAlignment="1">
      <alignment horizontal="center"/>
    </xf>
    <xf numFmtId="0" fontId="42" fillId="0" borderId="4" xfId="21" applyFont="1" applyBorder="1" applyAlignment="1">
      <alignment horizontal="center" vertical="center" wrapText="1"/>
    </xf>
    <xf numFmtId="3" fontId="42" fillId="0" borderId="4" xfId="21" applyNumberFormat="1" applyFont="1" applyBorder="1" applyAlignment="1">
      <alignment horizontal="center" vertical="center" wrapText="1"/>
    </xf>
    <xf numFmtId="3" fontId="21" fillId="0" borderId="96" xfId="0" applyNumberFormat="1" applyFont="1" applyBorder="1" applyAlignment="1">
      <alignment horizontal="center" vertical="center" wrapText="1"/>
    </xf>
    <xf numFmtId="3" fontId="21" fillId="0" borderId="99" xfId="0" applyNumberFormat="1" applyFont="1" applyBorder="1" applyAlignment="1">
      <alignment horizontal="center" vertical="center" wrapText="1"/>
    </xf>
    <xf numFmtId="3" fontId="12" fillId="0" borderId="14" xfId="0" applyNumberFormat="1" applyFont="1" applyBorder="1" applyAlignment="1">
      <alignment horizontal="center" vertical="center" wrapText="1"/>
    </xf>
    <xf numFmtId="0" fontId="11" fillId="0" borderId="15" xfId="0" applyFont="1" applyBorder="1" applyAlignment="1">
      <alignment horizontal="center" vertical="center" wrapText="1"/>
    </xf>
    <xf numFmtId="3" fontId="12" fillId="0" borderId="10" xfId="0" applyNumberFormat="1" applyFont="1" applyBorder="1" applyAlignment="1">
      <alignment horizontal="center" vertical="center" wrapText="1"/>
    </xf>
    <xf numFmtId="0" fontId="11" fillId="0" borderId="7" xfId="0" applyFont="1" applyBorder="1" applyAlignment="1">
      <alignment horizontal="center" vertical="center" wrapText="1"/>
    </xf>
    <xf numFmtId="3" fontId="12" fillId="0" borderId="1" xfId="0" applyNumberFormat="1" applyFont="1" applyBorder="1" applyAlignment="1">
      <alignment horizontal="center" wrapText="1"/>
    </xf>
    <xf numFmtId="3" fontId="12" fillId="0" borderId="2" xfId="0" applyNumberFormat="1" applyFont="1" applyBorder="1" applyAlignment="1">
      <alignment horizontal="center" wrapText="1"/>
    </xf>
    <xf numFmtId="3" fontId="12" fillId="0" borderId="101" xfId="0" applyNumberFormat="1" applyFont="1" applyBorder="1" applyAlignment="1">
      <alignment horizontal="center" wrapText="1"/>
    </xf>
    <xf numFmtId="3" fontId="21" fillId="0" borderId="97" xfId="0" applyNumberFormat="1" applyFont="1" applyBorder="1" applyAlignment="1">
      <alignment horizontal="center" vertical="center" wrapText="1"/>
    </xf>
    <xf numFmtId="3" fontId="12" fillId="0" borderId="3" xfId="0" applyNumberFormat="1" applyFont="1" applyBorder="1" applyAlignment="1">
      <alignment horizontal="center" wrapText="1"/>
    </xf>
    <xf numFmtId="3" fontId="18" fillId="0" borderId="10" xfId="0" applyNumberFormat="1" applyFont="1" applyBorder="1" applyAlignment="1">
      <alignment horizontal="center" vertical="center" wrapText="1"/>
    </xf>
    <xf numFmtId="0" fontId="17" fillId="0" borderId="7" xfId="0" applyFont="1" applyBorder="1" applyAlignment="1">
      <alignment horizontal="center" vertical="center" wrapText="1"/>
    </xf>
    <xf numFmtId="3" fontId="6" fillId="0" borderId="14" xfId="0" applyNumberFormat="1" applyFont="1" applyBorder="1" applyAlignment="1">
      <alignment horizontal="center" vertical="center" wrapText="1"/>
    </xf>
    <xf numFmtId="0" fontId="7" fillId="0" borderId="15" xfId="0" applyFont="1" applyBorder="1" applyAlignment="1">
      <alignment horizontal="center" vertical="center" wrapText="1"/>
    </xf>
    <xf numFmtId="3" fontId="20" fillId="0" borderId="98" xfId="0" applyNumberFormat="1" applyFont="1" applyBorder="1" applyAlignment="1">
      <alignment horizontal="center" vertical="center" shrinkToFit="1"/>
    </xf>
    <xf numFmtId="3" fontId="20" fillId="0" borderId="96" xfId="0" applyNumberFormat="1" applyFont="1" applyBorder="1" applyAlignment="1">
      <alignment horizontal="center" vertical="center" shrinkToFit="1"/>
    </xf>
    <xf numFmtId="3" fontId="20" fillId="0" borderId="97" xfId="0" applyNumberFormat="1" applyFont="1" applyBorder="1" applyAlignment="1">
      <alignment horizontal="center" vertical="center" shrinkToFit="1"/>
    </xf>
    <xf numFmtId="3" fontId="18" fillId="0" borderId="1" xfId="0" applyNumberFormat="1" applyFont="1" applyBorder="1" applyAlignment="1">
      <alignment horizontal="center" vertical="center" wrapText="1"/>
    </xf>
    <xf numFmtId="3" fontId="18" fillId="0" borderId="2" xfId="0" applyNumberFormat="1" applyFont="1" applyBorder="1" applyAlignment="1">
      <alignment horizontal="center" vertical="center" wrapText="1"/>
    </xf>
    <xf numFmtId="3" fontId="18" fillId="0" borderId="3" xfId="0" applyNumberFormat="1" applyFont="1" applyBorder="1" applyAlignment="1">
      <alignment horizontal="center" vertical="center" wrapText="1"/>
    </xf>
    <xf numFmtId="3" fontId="137" fillId="0" borderId="93" xfId="15" applyNumberFormat="1" applyFont="1" applyBorder="1" applyAlignment="1">
      <alignment horizontal="center" vertical="center" wrapText="1"/>
    </xf>
    <xf numFmtId="3" fontId="137" fillId="0" borderId="100" xfId="15" applyNumberFormat="1" applyFont="1" applyBorder="1" applyAlignment="1">
      <alignment horizontal="center" vertical="center" wrapText="1"/>
    </xf>
    <xf numFmtId="3" fontId="137" fillId="0" borderId="102" xfId="15" applyNumberFormat="1" applyFont="1" applyBorder="1" applyAlignment="1">
      <alignment horizontal="center" vertical="center" wrapText="1"/>
    </xf>
    <xf numFmtId="3" fontId="7" fillId="0" borderId="0" xfId="0" applyNumberFormat="1" applyFont="1" applyAlignment="1">
      <alignment horizontal="center" vertical="center" shrinkToFit="1"/>
    </xf>
    <xf numFmtId="3" fontId="20" fillId="0" borderId="98" xfId="0" applyNumberFormat="1" applyFont="1" applyBorder="1" applyAlignment="1">
      <alignment horizontal="center" vertical="center" wrapText="1"/>
    </xf>
    <xf numFmtId="3" fontId="20" fillId="0" borderId="96" xfId="0" applyNumberFormat="1" applyFont="1" applyBorder="1" applyAlignment="1">
      <alignment horizontal="center" vertical="center" wrapText="1"/>
    </xf>
    <xf numFmtId="3" fontId="20" fillId="0" borderId="97" xfId="0" applyNumberFormat="1" applyFont="1" applyBorder="1" applyAlignment="1">
      <alignment horizontal="center" vertical="center" wrapText="1"/>
    </xf>
    <xf numFmtId="3" fontId="10" fillId="0" borderId="96" xfId="0" applyNumberFormat="1" applyFont="1" applyBorder="1" applyAlignment="1">
      <alignment horizontal="center" vertical="center" wrapText="1"/>
    </xf>
    <xf numFmtId="3" fontId="10" fillId="0" borderId="97" xfId="0" applyNumberFormat="1" applyFont="1" applyBorder="1" applyAlignment="1">
      <alignment horizontal="center" vertical="center" wrapText="1"/>
    </xf>
    <xf numFmtId="3" fontId="6" fillId="0" borderId="94" xfId="0" applyNumberFormat="1" applyFont="1" applyBorder="1" applyAlignment="1">
      <alignment horizontal="center" vertical="center" wrapText="1"/>
    </xf>
    <xf numFmtId="3" fontId="6" fillId="0" borderId="11" xfId="0" applyNumberFormat="1" applyFont="1" applyBorder="1" applyAlignment="1">
      <alignment horizontal="center" vertical="center" wrapText="1"/>
    </xf>
    <xf numFmtId="3" fontId="6" fillId="0" borderId="95" xfId="0" applyNumberFormat="1" applyFont="1" applyBorder="1" applyAlignment="1">
      <alignment horizontal="center" vertical="center" wrapText="1"/>
    </xf>
    <xf numFmtId="3" fontId="8" fillId="0" borderId="0" xfId="0" applyNumberFormat="1" applyFont="1" applyAlignment="1">
      <alignment horizontal="center"/>
    </xf>
    <xf numFmtId="3" fontId="6" fillId="0" borderId="115" xfId="0" applyNumberFormat="1" applyFont="1" applyBorder="1" applyAlignment="1">
      <alignment horizontal="center" vertical="center" wrapText="1"/>
    </xf>
    <xf numFmtId="168" fontId="21" fillId="0" borderId="0" xfId="0" applyNumberFormat="1" applyFont="1" applyAlignment="1">
      <alignment horizontal="center" vertical="center" shrinkToFit="1"/>
    </xf>
    <xf numFmtId="3" fontId="10" fillId="0" borderId="0" xfId="0" applyNumberFormat="1" applyFont="1" applyAlignment="1">
      <alignment horizontal="right"/>
    </xf>
    <xf numFmtId="0" fontId="137" fillId="0" borderId="116" xfId="15" applyFont="1" applyFill="1" applyBorder="1" applyAlignment="1">
      <alignment horizontal="center" vertical="center" wrapText="1"/>
    </xf>
    <xf numFmtId="0" fontId="137" fillId="0" borderId="117" xfId="15" applyFont="1" applyFill="1" applyBorder="1" applyAlignment="1">
      <alignment horizontal="center" vertical="center" wrapText="1"/>
    </xf>
    <xf numFmtId="3" fontId="18" fillId="0" borderId="115" xfId="0" applyNumberFormat="1" applyFont="1" applyBorder="1" applyAlignment="1">
      <alignment horizontal="center" vertical="center" wrapText="1"/>
    </xf>
    <xf numFmtId="3" fontId="6" fillId="0" borderId="129" xfId="0" applyNumberFormat="1" applyFont="1" applyBorder="1" applyAlignment="1">
      <alignment horizontal="center" vertical="center" wrapText="1"/>
    </xf>
    <xf numFmtId="0" fontId="6" fillId="0" borderId="44" xfId="0" applyFont="1" applyBorder="1" applyAlignment="1">
      <alignment horizontal="center" vertical="center"/>
    </xf>
    <xf numFmtId="0" fontId="6" fillId="0" borderId="7" xfId="0" applyFont="1" applyBorder="1" applyAlignment="1">
      <alignment horizontal="center" vertical="center"/>
    </xf>
    <xf numFmtId="0" fontId="6" fillId="0" borderId="24" xfId="0" applyFont="1" applyBorder="1" applyAlignment="1">
      <alignment horizontal="center"/>
    </xf>
    <xf numFmtId="0" fontId="6" fillId="0" borderId="37" xfId="0" applyFont="1" applyBorder="1" applyAlignment="1">
      <alignment horizontal="center"/>
    </xf>
    <xf numFmtId="0" fontId="6" fillId="0" borderId="38" xfId="0" applyFont="1" applyBorder="1" applyAlignment="1">
      <alignment horizontal="center"/>
    </xf>
    <xf numFmtId="0" fontId="6" fillId="0" borderId="39" xfId="0" applyFont="1" applyBorder="1" applyAlignment="1">
      <alignment horizontal="center"/>
    </xf>
    <xf numFmtId="0" fontId="12" fillId="0" borderId="37" xfId="0" applyFont="1" applyBorder="1" applyAlignment="1">
      <alignment horizontal="center"/>
    </xf>
    <xf numFmtId="0" fontId="12" fillId="0" borderId="38" xfId="0" applyFont="1" applyBorder="1" applyAlignment="1">
      <alignment horizontal="center"/>
    </xf>
    <xf numFmtId="0" fontId="12" fillId="0" borderId="40" xfId="0" applyFont="1" applyBorder="1" applyAlignment="1">
      <alignment horizontal="center"/>
    </xf>
    <xf numFmtId="3" fontId="13" fillId="0" borderId="0" xfId="0" applyNumberFormat="1" applyFont="1" applyAlignment="1">
      <alignment horizontal="center" vertical="center" wrapText="1"/>
    </xf>
    <xf numFmtId="0" fontId="13" fillId="0" borderId="0" xfId="0" applyFont="1" applyAlignment="1">
      <alignment horizontal="center" vertical="center" wrapText="1"/>
    </xf>
    <xf numFmtId="0" fontId="6" fillId="0" borderId="24" xfId="0" applyFont="1" applyBorder="1" applyAlignment="1">
      <alignment horizontal="center" vertical="center"/>
    </xf>
    <xf numFmtId="0" fontId="12" fillId="0" borderId="24" xfId="0" applyFont="1" applyBorder="1" applyAlignment="1">
      <alignment horizontal="center"/>
    </xf>
    <xf numFmtId="0" fontId="6" fillId="0" borderId="0" xfId="0" applyFont="1" applyAlignment="1" applyProtection="1">
      <alignment horizontal="center" vertical="center" wrapText="1"/>
      <protection locked="0"/>
    </xf>
    <xf numFmtId="0" fontId="144" fillId="0" borderId="10" xfId="15" applyFont="1" applyFill="1" applyBorder="1" applyAlignment="1" applyProtection="1">
      <alignment horizontal="center" vertical="center" wrapText="1"/>
      <protection locked="0"/>
    </xf>
    <xf numFmtId="0" fontId="144" fillId="0" borderId="7" xfId="15" applyFont="1" applyFill="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0" borderId="7" xfId="0"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6" fillId="0" borderId="2" xfId="0" applyFont="1" applyBorder="1" applyAlignment="1" applyProtection="1">
      <alignment horizontal="center" vertical="center" wrapText="1"/>
      <protection locked="0"/>
    </xf>
    <xf numFmtId="0" fontId="6" fillId="0" borderId="3" xfId="0" applyFont="1" applyBorder="1" applyAlignment="1" applyProtection="1">
      <alignment horizontal="center" vertical="center" wrapText="1"/>
      <protection locked="0"/>
    </xf>
    <xf numFmtId="0" fontId="18" fillId="0" borderId="1" xfId="0" applyFont="1" applyBorder="1" applyAlignment="1" applyProtection="1">
      <alignment horizontal="center" vertical="center" wrapText="1"/>
      <protection locked="0"/>
    </xf>
    <xf numFmtId="0" fontId="18" fillId="0" borderId="2" xfId="0" applyFont="1" applyBorder="1" applyAlignment="1" applyProtection="1">
      <alignment horizontal="center" vertical="center" wrapText="1"/>
      <protection locked="0"/>
    </xf>
    <xf numFmtId="0" fontId="18" fillId="0" borderId="3" xfId="0" applyFont="1" applyBorder="1" applyAlignment="1" applyProtection="1">
      <alignment horizontal="center" vertical="center" wrapText="1"/>
      <protection locked="0"/>
    </xf>
    <xf numFmtId="0" fontId="10" fillId="0" borderId="140" xfId="0" applyFont="1" applyBorder="1" applyAlignment="1">
      <alignment horizontal="right"/>
    </xf>
    <xf numFmtId="0" fontId="6" fillId="0" borderId="10" xfId="0" applyFont="1" applyBorder="1" applyAlignment="1">
      <alignment horizontal="center" vertical="center" wrapText="1" shrinkToFit="1"/>
    </xf>
    <xf numFmtId="0" fontId="6" fillId="0" borderId="11" xfId="0" applyFont="1" applyBorder="1" applyAlignment="1">
      <alignment horizontal="center" vertical="center" wrapText="1" shrinkToFit="1"/>
    </xf>
    <xf numFmtId="0" fontId="6" fillId="0" borderId="7" xfId="0" applyFont="1" applyBorder="1" applyAlignment="1">
      <alignment horizontal="center" vertical="center" wrapText="1" shrinkToFit="1"/>
    </xf>
    <xf numFmtId="0" fontId="6" fillId="0" borderId="10" xfId="0" applyFont="1" applyBorder="1" applyAlignment="1">
      <alignment horizontal="center" wrapText="1"/>
    </xf>
    <xf numFmtId="0" fontId="6" fillId="0" borderId="11" xfId="0" applyFont="1" applyBorder="1" applyAlignment="1">
      <alignment horizontal="center" wrapText="1"/>
    </xf>
    <xf numFmtId="0" fontId="6" fillId="0" borderId="7" xfId="0" applyFont="1" applyBorder="1" applyAlignment="1">
      <alignment horizontal="center" wrapText="1"/>
    </xf>
    <xf numFmtId="0" fontId="144" fillId="0" borderId="116" xfId="15" applyFont="1" applyBorder="1" applyAlignment="1">
      <alignment vertical="center"/>
    </xf>
    <xf numFmtId="0" fontId="144" fillId="0" borderId="117" xfId="15" applyFont="1" applyBorder="1" applyAlignment="1">
      <alignment vertical="center"/>
    </xf>
    <xf numFmtId="0" fontId="6" fillId="0" borderId="115" xfId="0" applyFont="1" applyBorder="1" applyAlignment="1">
      <alignment horizontal="center"/>
    </xf>
    <xf numFmtId="0" fontId="6" fillId="0" borderId="129" xfId="0" applyFont="1" applyBorder="1" applyAlignment="1">
      <alignment horizontal="center"/>
    </xf>
    <xf numFmtId="0" fontId="6" fillId="0" borderId="103" xfId="0" applyFont="1" applyBorder="1" applyAlignment="1">
      <alignment horizontal="center" vertical="center"/>
    </xf>
    <xf numFmtId="3" fontId="6" fillId="0" borderId="4" xfId="0" applyNumberFormat="1" applyFont="1" applyBorder="1" applyAlignment="1">
      <alignment horizontal="center" vertical="center" wrapText="1" shrinkToFit="1"/>
    </xf>
    <xf numFmtId="3" fontId="144" fillId="0" borderId="4" xfId="15" applyNumberFormat="1" applyFont="1" applyBorder="1" applyAlignment="1">
      <alignment horizontal="center" vertical="center" shrinkToFit="1"/>
    </xf>
    <xf numFmtId="3" fontId="6" fillId="0" borderId="4" xfId="0" applyNumberFormat="1" applyFont="1" applyBorder="1" applyAlignment="1">
      <alignment horizontal="center" vertical="center" shrinkToFit="1"/>
    </xf>
    <xf numFmtId="0" fontId="6" fillId="3" borderId="126" xfId="0" applyFont="1" applyFill="1" applyBorder="1" applyAlignment="1">
      <alignment horizontal="center" vertical="center"/>
    </xf>
    <xf numFmtId="0" fontId="6" fillId="3" borderId="51" xfId="0" applyFont="1" applyFill="1" applyBorder="1" applyAlignment="1">
      <alignment horizontal="center" vertical="center"/>
    </xf>
    <xf numFmtId="0" fontId="6" fillId="0" borderId="23" xfId="15" applyFont="1" applyBorder="1" applyAlignment="1">
      <alignment horizontal="center" vertical="center" wrapText="1"/>
    </xf>
    <xf numFmtId="0" fontId="6" fillId="0" borderId="22" xfId="15" applyFont="1" applyBorder="1" applyAlignment="1">
      <alignment horizontal="center" vertical="center" wrapText="1"/>
    </xf>
    <xf numFmtId="0" fontId="6" fillId="0" borderId="37" xfId="0" applyFont="1" applyBorder="1" applyAlignment="1">
      <alignment horizontal="center" vertical="center" wrapText="1"/>
    </xf>
    <xf numFmtId="0" fontId="6" fillId="0" borderId="38" xfId="0" applyFont="1" applyBorder="1" applyAlignment="1">
      <alignment horizontal="center" vertical="center" wrapText="1"/>
    </xf>
    <xf numFmtId="0" fontId="6" fillId="0" borderId="39" xfId="0" applyFont="1" applyBorder="1" applyAlignment="1">
      <alignment horizontal="center" vertical="center" wrapText="1"/>
    </xf>
    <xf numFmtId="0" fontId="6" fillId="0" borderId="4" xfId="15" applyFont="1" applyBorder="1" applyAlignment="1">
      <alignment horizontal="center" vertical="center" wrapText="1"/>
    </xf>
    <xf numFmtId="49" fontId="6" fillId="0" borderId="4" xfId="0" applyNumberFormat="1" applyFont="1" applyBorder="1" applyAlignment="1">
      <alignment horizontal="center" vertical="center" wrapText="1"/>
    </xf>
    <xf numFmtId="49" fontId="6" fillId="0" borderId="4" xfId="0" applyNumberFormat="1" applyFont="1" applyBorder="1" applyAlignment="1">
      <alignment horizontal="center" vertical="center"/>
    </xf>
    <xf numFmtId="0" fontId="18" fillId="0" borderId="4" xfId="0" applyFont="1" applyBorder="1" applyAlignment="1">
      <alignment horizontal="center" vertical="center" wrapText="1"/>
    </xf>
    <xf numFmtId="0" fontId="18" fillId="0" borderId="4" xfId="0" applyFont="1" applyBorder="1" applyAlignment="1">
      <alignment horizontal="center" vertical="center"/>
    </xf>
    <xf numFmtId="0" fontId="6" fillId="0" borderId="4" xfId="0" applyFont="1" applyBorder="1" applyAlignment="1">
      <alignment horizontal="center" vertical="center" shrinkToFit="1"/>
    </xf>
    <xf numFmtId="0" fontId="18" fillId="0" borderId="4" xfId="0" applyFont="1" applyBorder="1" applyAlignment="1">
      <alignment horizontal="center" vertical="center" shrinkToFit="1"/>
    </xf>
    <xf numFmtId="0" fontId="6" fillId="2" borderId="4" xfId="0" applyFont="1" applyFill="1" applyBorder="1" applyAlignment="1">
      <alignment horizontal="center" vertical="center"/>
    </xf>
    <xf numFmtId="0" fontId="12" fillId="0" borderId="4" xfId="0" applyFont="1" applyBorder="1" applyAlignment="1">
      <alignment horizontal="center" vertical="center" shrinkToFit="1"/>
    </xf>
    <xf numFmtId="0" fontId="29" fillId="0" borderId="0" xfId="3" applyFont="1" applyAlignment="1">
      <alignment horizontal="center"/>
    </xf>
    <xf numFmtId="168" fontId="6" fillId="0" borderId="0" xfId="3" applyNumberFormat="1" applyFont="1" applyAlignment="1">
      <alignment horizontal="center"/>
    </xf>
    <xf numFmtId="168" fontId="6" fillId="0" borderId="56" xfId="3" applyNumberFormat="1" applyFont="1" applyBorder="1" applyAlignment="1">
      <alignment horizontal="center" vertical="center" wrapText="1"/>
    </xf>
    <xf numFmtId="168" fontId="6" fillId="0" borderId="124" xfId="3" applyNumberFormat="1" applyFont="1" applyBorder="1" applyAlignment="1">
      <alignment horizontal="center" vertical="center" wrapText="1"/>
    </xf>
    <xf numFmtId="0" fontId="6" fillId="0" borderId="125" xfId="3" applyFont="1" applyBorder="1" applyAlignment="1">
      <alignment horizontal="center" vertical="center"/>
    </xf>
    <xf numFmtId="0" fontId="6" fillId="0" borderId="2" xfId="3" applyFont="1" applyBorder="1" applyAlignment="1">
      <alignment horizontal="center" vertical="center"/>
    </xf>
    <xf numFmtId="0" fontId="6" fillId="0" borderId="3" xfId="3" applyFont="1" applyBorder="1" applyAlignment="1">
      <alignment horizontal="center" vertical="center"/>
    </xf>
    <xf numFmtId="0" fontId="6" fillId="0" borderId="1" xfId="3" applyFont="1" applyBorder="1" applyAlignment="1">
      <alignment horizontal="center" vertical="center"/>
    </xf>
    <xf numFmtId="168" fontId="6" fillId="0" borderId="123" xfId="3" applyNumberFormat="1" applyFont="1" applyBorder="1" applyAlignment="1">
      <alignment horizontal="center" vertical="center"/>
    </xf>
    <xf numFmtId="168" fontId="6" fillId="0" borderId="38" xfId="3" applyNumberFormat="1" applyFont="1" applyBorder="1" applyAlignment="1">
      <alignment horizontal="center" vertical="center"/>
    </xf>
    <xf numFmtId="168" fontId="6" fillId="0" borderId="40" xfId="3" applyNumberFormat="1" applyFont="1" applyBorder="1" applyAlignment="1">
      <alignment horizontal="center" vertical="center"/>
    </xf>
    <xf numFmtId="168" fontId="6" fillId="2" borderId="123" xfId="3" applyNumberFormat="1" applyFont="1" applyFill="1" applyBorder="1" applyAlignment="1">
      <alignment horizontal="center" vertical="center"/>
    </xf>
    <xf numFmtId="168" fontId="6" fillId="2" borderId="38" xfId="3" applyNumberFormat="1" applyFont="1" applyFill="1" applyBorder="1" applyAlignment="1">
      <alignment horizontal="center" vertical="center"/>
    </xf>
    <xf numFmtId="168" fontId="6" fillId="2" borderId="40" xfId="3" applyNumberFormat="1" applyFont="1" applyFill="1" applyBorder="1" applyAlignment="1">
      <alignment horizontal="center" vertical="center"/>
    </xf>
    <xf numFmtId="0" fontId="144" fillId="0" borderId="23" xfId="15" applyNumberFormat="1" applyFont="1" applyFill="1" applyBorder="1" applyAlignment="1">
      <alignment horizontal="center" vertical="center"/>
    </xf>
    <xf numFmtId="0" fontId="144" fillId="0" borderId="22" xfId="15" applyNumberFormat="1" applyFont="1" applyFill="1" applyBorder="1" applyAlignment="1">
      <alignment horizontal="center" vertical="center"/>
    </xf>
    <xf numFmtId="0" fontId="6" fillId="0" borderId="24" xfId="3" applyFont="1" applyBorder="1" applyAlignment="1">
      <alignment horizontal="center" vertical="center"/>
    </xf>
    <xf numFmtId="0" fontId="6" fillId="0" borderId="4" xfId="3" applyFont="1" applyBorder="1" applyAlignment="1">
      <alignment horizontal="center" vertical="center"/>
    </xf>
    <xf numFmtId="168" fontId="6" fillId="0" borderId="37" xfId="3" applyNumberFormat="1" applyFont="1" applyBorder="1" applyAlignment="1">
      <alignment horizontal="center" vertical="center"/>
    </xf>
    <xf numFmtId="168" fontId="18" fillId="0" borderId="123" xfId="3" applyNumberFormat="1" applyFont="1" applyBorder="1" applyAlignment="1">
      <alignment horizontal="center" vertical="center"/>
    </xf>
    <xf numFmtId="168" fontId="18" fillId="0" borderId="38" xfId="3" applyNumberFormat="1" applyFont="1" applyBorder="1" applyAlignment="1">
      <alignment horizontal="center" vertical="center"/>
    </xf>
    <xf numFmtId="168" fontId="18" fillId="0" borderId="40" xfId="3" applyNumberFormat="1" applyFont="1" applyBorder="1" applyAlignment="1">
      <alignment horizontal="center" vertical="center"/>
    </xf>
    <xf numFmtId="0" fontId="42" fillId="0" borderId="34" xfId="0" applyFont="1" applyBorder="1" applyAlignment="1">
      <alignment horizontal="center" vertical="center" wrapText="1"/>
    </xf>
    <xf numFmtId="0" fontId="42" fillId="0" borderId="14" xfId="0" applyFont="1" applyBorder="1" applyAlignment="1">
      <alignment horizontal="center" vertical="center" wrapText="1"/>
    </xf>
    <xf numFmtId="0" fontId="42" fillId="0" borderId="4" xfId="0" applyFont="1" applyBorder="1" applyAlignment="1">
      <alignment horizontal="center" vertical="center"/>
    </xf>
    <xf numFmtId="0" fontId="37" fillId="0" borderId="0" xfId="0" applyFont="1" applyAlignment="1">
      <alignment horizontal="center"/>
    </xf>
    <xf numFmtId="0" fontId="42" fillId="0" borderId="11" xfId="0" applyFont="1" applyBorder="1" applyAlignment="1">
      <alignment horizontal="center" vertical="center" wrapText="1"/>
    </xf>
    <xf numFmtId="0" fontId="42" fillId="0" borderId="12" xfId="19" applyFont="1" applyBorder="1" applyAlignment="1">
      <alignment horizontal="center"/>
    </xf>
    <xf numFmtId="0" fontId="42" fillId="0" borderId="0" xfId="19" applyFont="1" applyAlignment="1">
      <alignment horizontal="center" vertical="center"/>
    </xf>
    <xf numFmtId="0" fontId="42" fillId="0" borderId="0" xfId="19" applyFont="1" applyAlignment="1">
      <alignment horizontal="center"/>
    </xf>
    <xf numFmtId="0" fontId="42" fillId="0" borderId="4" xfId="19" applyFont="1" applyBorder="1" applyAlignment="1">
      <alignment horizontal="center" vertical="center" wrapText="1"/>
    </xf>
    <xf numFmtId="0" fontId="42" fillId="0" borderId="0" xfId="19" applyFont="1" applyAlignment="1">
      <alignment horizontal="center" vertical="center" wrapText="1"/>
    </xf>
    <xf numFmtId="0" fontId="1" fillId="0" borderId="0" xfId="0" applyFont="1" applyAlignment="1">
      <alignment horizontal="center" vertical="center" wrapText="1"/>
    </xf>
    <xf numFmtId="0" fontId="87" fillId="0" borderId="10" xfId="15" applyBorder="1" applyAlignment="1">
      <alignment horizontal="center" vertical="center" wrapText="1"/>
    </xf>
    <xf numFmtId="0" fontId="87" fillId="0" borderId="7" xfId="15" applyBorder="1" applyAlignment="1">
      <alignment horizontal="center" vertical="center" wrapText="1"/>
    </xf>
    <xf numFmtId="0" fontId="42" fillId="2" borderId="4" xfId="19" applyFont="1" applyFill="1" applyBorder="1" applyAlignment="1">
      <alignment horizontal="center" vertical="center" wrapText="1"/>
    </xf>
    <xf numFmtId="0" fontId="6" fillId="0" borderId="123" xfId="0" applyFont="1" applyBorder="1" applyAlignment="1">
      <alignment horizontal="center" vertical="center" wrapText="1" shrinkToFit="1"/>
    </xf>
    <xf numFmtId="0" fontId="6" fillId="0" borderId="38" xfId="0" applyFont="1" applyBorder="1" applyAlignment="1">
      <alignment horizontal="center" vertical="center" wrapText="1" shrinkToFit="1"/>
    </xf>
    <xf numFmtId="0" fontId="6" fillId="0" borderId="40" xfId="0" applyFont="1" applyBorder="1" applyAlignment="1">
      <alignment horizontal="center" vertical="center" wrapText="1" shrinkToFit="1"/>
    </xf>
    <xf numFmtId="0" fontId="6" fillId="0" borderId="22" xfId="0" applyFont="1" applyBorder="1" applyAlignment="1">
      <alignment horizontal="center" vertical="center" wrapText="1" shrinkToFit="1"/>
    </xf>
    <xf numFmtId="0" fontId="6" fillId="0" borderId="4" xfId="0" applyFont="1" applyBorder="1" applyAlignment="1">
      <alignment horizontal="center" vertical="center" wrapText="1" shrinkToFit="1"/>
    </xf>
    <xf numFmtId="0" fontId="6" fillId="0" borderId="1" xfId="0" applyFont="1" applyBorder="1" applyAlignment="1">
      <alignment horizontal="center" vertical="center" wrapText="1" shrinkToFit="1"/>
    </xf>
    <xf numFmtId="0" fontId="6" fillId="0" borderId="2" xfId="0" applyFont="1" applyBorder="1" applyAlignment="1">
      <alignment horizontal="center" vertical="center" wrapText="1" shrinkToFit="1"/>
    </xf>
    <xf numFmtId="0" fontId="6" fillId="0" borderId="122" xfId="0" applyFont="1" applyBorder="1" applyAlignment="1">
      <alignment horizontal="center" vertical="center" wrapText="1" shrinkToFit="1"/>
    </xf>
    <xf numFmtId="0" fontId="6" fillId="0" borderId="37" xfId="0" applyFont="1" applyBorder="1" applyAlignment="1">
      <alignment horizontal="center" vertical="center" wrapText="1" shrinkToFit="1"/>
    </xf>
    <xf numFmtId="0" fontId="6" fillId="0" borderId="0" xfId="0" applyFont="1" applyAlignment="1">
      <alignment horizontal="right" vertical="center"/>
    </xf>
    <xf numFmtId="0" fontId="13" fillId="0" borderId="0" xfId="0" applyFont="1" applyAlignment="1">
      <alignment horizontal="center" vertical="center"/>
    </xf>
    <xf numFmtId="0" fontId="6" fillId="0" borderId="70" xfId="0" applyFont="1" applyBorder="1" applyAlignment="1">
      <alignment horizontal="center" vertical="center"/>
    </xf>
    <xf numFmtId="0" fontId="7" fillId="0" borderId="0" xfId="0" applyFont="1" applyAlignment="1">
      <alignment horizontal="center" vertical="center"/>
    </xf>
    <xf numFmtId="0" fontId="17" fillId="0" borderId="0" xfId="0" applyFont="1" applyAlignment="1">
      <alignment horizontal="left" vertical="center" wrapText="1"/>
    </xf>
    <xf numFmtId="0" fontId="149" fillId="0" borderId="23" xfId="15" applyFont="1" applyBorder="1" applyAlignment="1">
      <alignment horizontal="center" vertical="center" wrapText="1" shrinkToFit="1"/>
    </xf>
    <xf numFmtId="0" fontId="149" fillId="0" borderId="22" xfId="15" applyFont="1" applyBorder="1" applyAlignment="1">
      <alignment horizontal="center" vertical="center" wrapText="1" shrinkToFit="1"/>
    </xf>
    <xf numFmtId="0" fontId="6" fillId="0" borderId="24" xfId="0" applyFont="1" applyBorder="1" applyAlignment="1">
      <alignment horizontal="center" vertical="center" wrapText="1" shrinkToFit="1"/>
    </xf>
    <xf numFmtId="3" fontId="6" fillId="0" borderId="115" xfId="0" applyNumberFormat="1" applyFont="1" applyBorder="1" applyAlignment="1">
      <alignment horizontal="center" vertical="center" shrinkToFit="1"/>
    </xf>
    <xf numFmtId="3" fontId="6" fillId="0" borderId="129" xfId="0" applyNumberFormat="1" applyFont="1" applyBorder="1" applyAlignment="1">
      <alignment horizontal="center" vertical="center" shrinkToFit="1"/>
    </xf>
    <xf numFmtId="0" fontId="7" fillId="0" borderId="0" xfId="0" applyFont="1" applyAlignment="1">
      <alignment horizontal="center"/>
    </xf>
    <xf numFmtId="3" fontId="12" fillId="0" borderId="149" xfId="0" applyNumberFormat="1" applyFont="1" applyBorder="1" applyAlignment="1">
      <alignment horizontal="left" vertical="center" shrinkToFit="1"/>
    </xf>
    <xf numFmtId="0" fontId="12" fillId="0" borderId="140" xfId="0" applyFont="1" applyBorder="1" applyAlignment="1">
      <alignment horizontal="right"/>
    </xf>
    <xf numFmtId="0" fontId="6" fillId="0" borderId="0" xfId="0" applyFont="1" applyAlignment="1">
      <alignment horizontal="center" shrinkToFit="1"/>
    </xf>
    <xf numFmtId="0" fontId="144" fillId="0" borderId="116" xfId="15" applyFont="1" applyBorder="1" applyAlignment="1">
      <alignment horizontal="center" vertical="center" wrapText="1"/>
    </xf>
    <xf numFmtId="0" fontId="144" fillId="0" borderId="117" xfId="15" applyFont="1" applyBorder="1" applyAlignment="1">
      <alignment horizontal="center" vertical="center" wrapText="1"/>
    </xf>
    <xf numFmtId="0" fontId="6" fillId="0" borderId="115" xfId="21" applyFont="1" applyBorder="1" applyAlignment="1">
      <alignment horizontal="center" vertical="center" wrapText="1"/>
    </xf>
    <xf numFmtId="0" fontId="6" fillId="0" borderId="4" xfId="21" applyFont="1" applyBorder="1" applyAlignment="1">
      <alignment horizontal="center" vertical="center" wrapText="1"/>
    </xf>
    <xf numFmtId="3" fontId="6" fillId="0" borderId="129" xfId="21" applyNumberFormat="1" applyFont="1" applyBorder="1" applyAlignment="1">
      <alignment horizontal="center" vertical="center" wrapText="1"/>
    </xf>
    <xf numFmtId="0" fontId="7" fillId="0" borderId="103" xfId="21" applyFont="1" applyBorder="1" applyAlignment="1">
      <alignment horizontal="center" vertical="center" wrapText="1"/>
    </xf>
    <xf numFmtId="3" fontId="7" fillId="0" borderId="0" xfId="21" applyNumberFormat="1" applyFont="1" applyAlignment="1">
      <alignment horizontal="center"/>
    </xf>
    <xf numFmtId="3" fontId="6" fillId="0" borderId="0" xfId="21" applyNumberFormat="1" applyFont="1" applyAlignment="1">
      <alignment horizontal="center" wrapText="1"/>
    </xf>
    <xf numFmtId="3" fontId="6" fillId="0" borderId="140" xfId="21" applyNumberFormat="1" applyFont="1" applyBorder="1" applyAlignment="1">
      <alignment horizontal="right"/>
    </xf>
    <xf numFmtId="0" fontId="144" fillId="0" borderId="117" xfId="15" applyFont="1" applyBorder="1" applyAlignment="1">
      <alignment horizontal="center" vertical="center"/>
    </xf>
    <xf numFmtId="0" fontId="6" fillId="0" borderId="103" xfId="0" applyFont="1" applyBorder="1" applyAlignment="1">
      <alignment horizontal="center"/>
    </xf>
    <xf numFmtId="3" fontId="12" fillId="0" borderId="115" xfId="0" applyNumberFormat="1" applyFont="1" applyBorder="1" applyAlignment="1">
      <alignment horizontal="center" vertical="center" wrapText="1" shrinkToFit="1"/>
    </xf>
    <xf numFmtId="3" fontId="12" fillId="0" borderId="133" xfId="0" applyNumberFormat="1" applyFont="1" applyBorder="1" applyAlignment="1">
      <alignment horizontal="center" vertical="center" wrapText="1" shrinkToFit="1"/>
    </xf>
    <xf numFmtId="3" fontId="12" fillId="0" borderId="97" xfId="0" applyNumberFormat="1" applyFont="1" applyBorder="1" applyAlignment="1">
      <alignment horizontal="center" vertical="center" wrapText="1" shrinkToFit="1"/>
    </xf>
    <xf numFmtId="3" fontId="12" fillId="0" borderId="0" xfId="0" applyNumberFormat="1" applyFont="1" applyAlignment="1">
      <alignment horizontal="right"/>
    </xf>
    <xf numFmtId="3" fontId="12" fillId="0" borderId="0" xfId="0" applyNumberFormat="1" applyFont="1" applyAlignment="1">
      <alignment horizontal="center" vertical="center" wrapText="1"/>
    </xf>
    <xf numFmtId="3" fontId="12" fillId="0" borderId="116" xfId="15" applyNumberFormat="1" applyFont="1" applyBorder="1" applyAlignment="1">
      <alignment horizontal="center" vertical="center" shrinkToFit="1"/>
    </xf>
    <xf numFmtId="3" fontId="12" fillId="0" borderId="117" xfId="15" applyNumberFormat="1" applyFont="1" applyBorder="1" applyAlignment="1">
      <alignment horizontal="center" vertical="center" shrinkToFit="1"/>
    </xf>
    <xf numFmtId="3" fontId="12" fillId="0" borderId="115" xfId="0" applyNumberFormat="1" applyFont="1" applyBorder="1" applyAlignment="1">
      <alignment horizontal="center" vertical="center" shrinkToFit="1"/>
    </xf>
    <xf numFmtId="3" fontId="12" fillId="0" borderId="4" xfId="0" applyNumberFormat="1" applyFont="1" applyBorder="1" applyAlignment="1">
      <alignment horizontal="center" vertical="center" shrinkToFit="1"/>
    </xf>
    <xf numFmtId="3" fontId="12" fillId="0" borderId="129" xfId="0" applyNumberFormat="1" applyFont="1" applyBorder="1" applyAlignment="1">
      <alignment horizontal="center" vertical="center" wrapText="1" shrinkToFit="1"/>
    </xf>
    <xf numFmtId="3" fontId="6" fillId="0" borderId="0" xfId="0" applyNumberFormat="1" applyFont="1" applyAlignment="1">
      <alignment horizontal="center" wrapText="1"/>
    </xf>
    <xf numFmtId="0" fontId="42" fillId="0" borderId="69" xfId="0" applyFont="1" applyBorder="1" applyAlignment="1">
      <alignment horizontal="center" vertical="center" wrapText="1"/>
    </xf>
    <xf numFmtId="0" fontId="12" fillId="0" borderId="0" xfId="0" applyFont="1" applyAlignment="1">
      <alignment horizontal="left" vertical="justify" wrapText="1" shrinkToFit="1"/>
    </xf>
    <xf numFmtId="0" fontId="23" fillId="0" borderId="0" xfId="0" quotePrefix="1" applyFont="1" applyAlignment="1">
      <alignment horizontal="justify" vertical="justify" wrapText="1"/>
    </xf>
    <xf numFmtId="0" fontId="23" fillId="0" borderId="0" xfId="0" applyFont="1" applyAlignment="1">
      <alignment horizontal="justify" vertical="justify" wrapText="1"/>
    </xf>
    <xf numFmtId="0" fontId="7" fillId="0" borderId="0" xfId="0" applyFont="1" applyAlignment="1">
      <alignment horizontal="left" vertical="top" wrapText="1"/>
    </xf>
    <xf numFmtId="0" fontId="6" fillId="0" borderId="0" xfId="0" applyFont="1" applyAlignment="1">
      <alignment horizontal="left" vertical="top" wrapText="1"/>
    </xf>
    <xf numFmtId="0" fontId="18" fillId="0" borderId="0" xfId="0" applyFont="1" applyAlignment="1">
      <alignment horizontal="left" vertical="justify" wrapText="1"/>
    </xf>
    <xf numFmtId="0" fontId="23" fillId="0" borderId="0" xfId="0" quotePrefix="1" applyFont="1" applyAlignment="1">
      <alignment horizontal="center" vertical="top" shrinkToFit="1"/>
    </xf>
    <xf numFmtId="0" fontId="22" fillId="0" borderId="0" xfId="0" applyFont="1" applyAlignment="1">
      <alignment horizontal="left" vertical="center" wrapText="1"/>
    </xf>
    <xf numFmtId="0" fontId="23" fillId="0" borderId="0" xfId="0" quotePrefix="1" applyFont="1" applyAlignment="1">
      <alignment horizontal="justify" vertical="center" wrapText="1"/>
    </xf>
    <xf numFmtId="0" fontId="23" fillId="0" borderId="0" xfId="0" applyFont="1" applyAlignment="1">
      <alignment horizontal="justify" vertical="center" wrapText="1"/>
    </xf>
    <xf numFmtId="0" fontId="30" fillId="0" borderId="0" xfId="0" applyFont="1" applyAlignment="1">
      <alignment horizontal="center" vertical="center" wrapText="1"/>
    </xf>
    <xf numFmtId="0" fontId="17" fillId="0" borderId="0" xfId="0" quotePrefix="1" applyFont="1" applyAlignment="1">
      <alignment horizontal="left"/>
    </xf>
    <xf numFmtId="0" fontId="17" fillId="0" borderId="0" xfId="0" applyFont="1" applyAlignment="1">
      <alignment horizontal="left"/>
    </xf>
    <xf numFmtId="0" fontId="17" fillId="0" borderId="0" xfId="0" applyFont="1" applyAlignment="1">
      <alignment horizontal="justify" vertical="justify" wrapText="1"/>
    </xf>
    <xf numFmtId="0" fontId="12" fillId="0" borderId="0" xfId="0" applyFont="1" applyAlignment="1">
      <alignment horizontal="justify" vertical="justify" wrapText="1" shrinkToFit="1"/>
    </xf>
    <xf numFmtId="0" fontId="10" fillId="0" borderId="0" xfId="0" applyFont="1" applyAlignment="1">
      <alignment horizontal="left" shrinkToFit="1"/>
    </xf>
    <xf numFmtId="0" fontId="22" fillId="0" borderId="0" xfId="0" applyFont="1" applyAlignment="1">
      <alignment horizontal="left" wrapText="1"/>
    </xf>
    <xf numFmtId="0" fontId="23" fillId="0" borderId="0" xfId="0" applyFont="1" applyAlignment="1">
      <alignment horizontal="justify" vertical="center"/>
    </xf>
    <xf numFmtId="0" fontId="6" fillId="0" borderId="0" xfId="0" applyFont="1" applyAlignment="1">
      <alignment horizontal="left" vertical="justify" wrapText="1"/>
    </xf>
    <xf numFmtId="0" fontId="17" fillId="0" borderId="0" xfId="0" applyFont="1" applyAlignment="1">
      <alignment horizontal="justify" vertical="center"/>
    </xf>
    <xf numFmtId="0" fontId="7" fillId="0" borderId="0" xfId="0" applyFont="1" applyAlignment="1">
      <alignment horizontal="left"/>
    </xf>
    <xf numFmtId="0" fontId="7" fillId="0" borderId="0" xfId="0" applyFont="1" applyAlignment="1">
      <alignment horizontal="justify" vertical="justify" wrapText="1" shrinkToFit="1"/>
    </xf>
    <xf numFmtId="0" fontId="7" fillId="0" borderId="0" xfId="0" applyFont="1" applyAlignment="1">
      <alignment horizontal="left" vertical="justify" wrapText="1" shrinkToFit="1"/>
    </xf>
    <xf numFmtId="0" fontId="23" fillId="0" borderId="0" xfId="0" applyFont="1" applyAlignment="1">
      <alignment horizontal="left" vertical="top" wrapText="1"/>
    </xf>
    <xf numFmtId="0" fontId="22" fillId="0" borderId="0" xfId="0" applyFont="1" applyAlignment="1">
      <alignment horizontal="left" vertical="top" wrapText="1"/>
    </xf>
    <xf numFmtId="0" fontId="22" fillId="0" borderId="0" xfId="0" applyFont="1" applyAlignment="1">
      <alignment horizontal="justify" vertical="justify" wrapText="1"/>
    </xf>
    <xf numFmtId="0" fontId="7" fillId="0" borderId="0" xfId="0" applyFont="1" applyAlignment="1">
      <alignment horizontal="left" vertical="justify"/>
    </xf>
    <xf numFmtId="0" fontId="17" fillId="0" borderId="0" xfId="0" applyFont="1" applyAlignment="1">
      <alignment horizontal="justify" vertical="center" wrapText="1"/>
    </xf>
    <xf numFmtId="0" fontId="22" fillId="0" borderId="0" xfId="0" applyFont="1" applyAlignment="1">
      <alignment horizontal="left"/>
    </xf>
    <xf numFmtId="0" fontId="17" fillId="0" borderId="0" xfId="0" quotePrefix="1" applyFont="1" applyAlignment="1">
      <alignment horizontal="justify" vertical="center" wrapText="1"/>
    </xf>
    <xf numFmtId="0" fontId="23" fillId="0" borderId="0" xfId="0" quotePrefix="1" applyFont="1" applyAlignment="1">
      <alignment horizontal="left" vertical="top" wrapText="1"/>
    </xf>
    <xf numFmtId="3" fontId="6" fillId="0" borderId="0" xfId="0" applyNumberFormat="1" applyFont="1" applyAlignment="1">
      <alignment horizontal="left" vertical="center" shrinkToFit="1"/>
    </xf>
    <xf numFmtId="0" fontId="6" fillId="0" borderId="103" xfId="0" applyFont="1" applyBorder="1" applyAlignment="1">
      <alignment horizontal="center" vertical="center" wrapText="1"/>
    </xf>
    <xf numFmtId="3" fontId="7" fillId="0" borderId="0" xfId="0" applyNumberFormat="1" applyFont="1" applyAlignment="1">
      <alignment horizontal="left" vertical="center"/>
    </xf>
    <xf numFmtId="3" fontId="7" fillId="0" borderId="0" xfId="0" applyNumberFormat="1" applyFont="1" applyAlignment="1">
      <alignment horizontal="left" vertical="center" wrapText="1" shrinkToFit="1"/>
    </xf>
    <xf numFmtId="0" fontId="11" fillId="0" borderId="0" xfId="0" applyFont="1" applyAlignment="1">
      <alignment horizontal="center" shrinkToFit="1"/>
    </xf>
    <xf numFmtId="3" fontId="12" fillId="0" borderId="0" xfId="0" applyNumberFormat="1" applyFont="1" applyAlignment="1">
      <alignment horizontal="left" vertical="center" shrinkToFit="1"/>
    </xf>
    <xf numFmtId="3" fontId="6" fillId="0" borderId="0" xfId="21" applyNumberFormat="1" applyFont="1" applyAlignment="1">
      <alignment horizontal="right"/>
    </xf>
    <xf numFmtId="0" fontId="138" fillId="0" borderId="4" xfId="0" applyFont="1" applyBorder="1" applyAlignment="1">
      <alignment horizontal="center" vertical="center" wrapText="1"/>
    </xf>
    <xf numFmtId="0" fontId="42" fillId="0" borderId="29" xfId="0" applyFont="1" applyBorder="1" applyAlignment="1">
      <alignment horizontal="center"/>
    </xf>
    <xf numFmtId="9" fontId="1" fillId="3" borderId="118" xfId="0" applyNumberFormat="1" applyFont="1" applyFill="1" applyBorder="1" applyAlignment="1">
      <alignment horizontal="center" vertical="center" wrapText="1"/>
    </xf>
    <xf numFmtId="9" fontId="1" fillId="3" borderId="119" xfId="0" applyNumberFormat="1" applyFont="1" applyFill="1" applyBorder="1" applyAlignment="1">
      <alignment horizontal="center" vertical="center" wrapText="1"/>
    </xf>
    <xf numFmtId="9" fontId="1" fillId="3" borderId="17" xfId="0" applyNumberFormat="1" applyFont="1" applyFill="1" applyBorder="1" applyAlignment="1">
      <alignment horizontal="center" vertical="center" wrapText="1"/>
    </xf>
    <xf numFmtId="9" fontId="1" fillId="3" borderId="12" xfId="0" applyNumberFormat="1" applyFont="1" applyFill="1" applyBorder="1" applyAlignment="1">
      <alignment horizontal="center" vertical="center" wrapText="1"/>
    </xf>
    <xf numFmtId="9" fontId="1" fillId="3" borderId="0" xfId="0" applyNumberFormat="1" applyFont="1" applyFill="1" applyAlignment="1">
      <alignment horizontal="center" vertical="center" wrapText="1"/>
    </xf>
    <xf numFmtId="9" fontId="1" fillId="3" borderId="53" xfId="0" applyNumberFormat="1" applyFont="1" applyFill="1" applyBorder="1" applyAlignment="1">
      <alignment horizontal="center" vertical="center" wrapText="1"/>
    </xf>
    <xf numFmtId="9" fontId="1" fillId="3" borderId="120" xfId="0" applyNumberFormat="1" applyFont="1" applyFill="1" applyBorder="1" applyAlignment="1">
      <alignment horizontal="center" vertical="center" wrapText="1"/>
    </xf>
    <xf numFmtId="9" fontId="1" fillId="3" borderId="121" xfId="0" applyNumberFormat="1" applyFont="1" applyFill="1" applyBorder="1" applyAlignment="1">
      <alignment horizontal="center" vertical="center" wrapText="1"/>
    </xf>
    <xf numFmtId="9" fontId="1" fillId="3" borderId="32" xfId="0" applyNumberFormat="1" applyFont="1" applyFill="1" applyBorder="1" applyAlignment="1">
      <alignment horizontal="center" vertical="center" wrapText="1"/>
    </xf>
    <xf numFmtId="9" fontId="1" fillId="3" borderId="5" xfId="0" applyNumberFormat="1" applyFont="1" applyFill="1" applyBorder="1" applyAlignment="1">
      <alignment horizontal="center" vertical="center" wrapText="1"/>
    </xf>
    <xf numFmtId="0" fontId="1" fillId="3" borderId="5" xfId="0" applyFont="1" applyFill="1" applyBorder="1" applyAlignment="1">
      <alignment horizontal="center" vertical="center" wrapText="1"/>
    </xf>
  </cellXfs>
  <cellStyles count="44">
    <cellStyle name="Comma" xfId="1" builtinId="3"/>
    <cellStyle name="Comma [0]" xfId="6" builtinId="6"/>
    <cellStyle name="Comma 10 10 2" xfId="40"/>
    <cellStyle name="Comma 10 2 2" xfId="24"/>
    <cellStyle name="Comma 2" xfId="8"/>
    <cellStyle name="Comma 2 3" xfId="23"/>
    <cellStyle name="Comma 2 7" xfId="26"/>
    <cellStyle name="Comma 3" xfId="16"/>
    <cellStyle name="Comma 3 2" xfId="14"/>
    <cellStyle name="Comma 5 4" xfId="38"/>
    <cellStyle name="Comma 6" xfId="12"/>
    <cellStyle name="Comma 7" xfId="11"/>
    <cellStyle name="Comma 8" xfId="9"/>
    <cellStyle name="Comma_KH Trung han 2016-2020" xfId="35"/>
    <cellStyle name="Hyperlink" xfId="15" builtinId="8"/>
    <cellStyle name="Normal" xfId="0" builtinId="0"/>
    <cellStyle name="Normal 10 2 5" xfId="31"/>
    <cellStyle name="Normal 13 2" xfId="43"/>
    <cellStyle name="Normal 19" xfId="37"/>
    <cellStyle name="Normal 2" xfId="7"/>
    <cellStyle name="Normal 2 3 2 2 3" xfId="28"/>
    <cellStyle name="Normal 2 6" xfId="22"/>
    <cellStyle name="Normal 3 4" xfId="27"/>
    <cellStyle name="Normal 4" xfId="39"/>
    <cellStyle name="Normal 5" xfId="13"/>
    <cellStyle name="Normal 5 2 7" xfId="36"/>
    <cellStyle name="Normal 6" xfId="32"/>
    <cellStyle name="Normal 74" xfId="30"/>
    <cellStyle name="Normal 76" xfId="33"/>
    <cellStyle name="Normal 79" xfId="29"/>
    <cellStyle name="Normal 80" xfId="41"/>
    <cellStyle name="Normal 81" xfId="42"/>
    <cellStyle name="Normal 82" xfId="34"/>
    <cellStyle name="Normal_050723 Bieu mau che do chinh sach moi BSMT (tinh Yen Bai)" xfId="10"/>
    <cellStyle name="Normal_060331 Bieu tinh chi thuong xuyen NSDP 2007 theo DM bc TTg" xfId="17"/>
    <cellStyle name="Normal_060720 du toan chi NSDP vong I-2007 (DTHAP)" xfId="18"/>
    <cellStyle name="Normal_Bieu mau (CV )" xfId="25"/>
    <cellStyle name="Normal_Bieu so 2(DPsua)" xfId="19"/>
    <cellStyle name="Normal_Bieu so 2(DPsua) 2 2" xfId="20"/>
    <cellStyle name="Normal_DU TOAN  NSNN" xfId="21"/>
    <cellStyle name="Normal_DU TOAN NGAN SACH DIA PHUONG" xfId="4"/>
    <cellStyle name="Normal_In brief" xfId="3"/>
    <cellStyle name="Normal_Sheet1" xfId="5"/>
    <cellStyle name="Percent" xfId="2" builtinId="5"/>
  </cellStyles>
  <dxfs count="9">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66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4.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externalLink" Target="externalLinks/externalLink25.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externalLink" Target="externalLinks/externalLink15.xml"/><Relationship Id="rId149" Type="http://schemas.openxmlformats.org/officeDocument/2006/relationships/sharedStrings" Target="sharedStrings.xml"/><Relationship Id="rId5" Type="http://schemas.openxmlformats.org/officeDocument/2006/relationships/worksheet" Target="worksheets/sheet5.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externalLink" Target="externalLinks/externalLink5.xml"/><Relationship Id="rId134" Type="http://schemas.openxmlformats.org/officeDocument/2006/relationships/externalLink" Target="externalLinks/externalLink21.xml"/><Relationship Id="rId139" Type="http://schemas.openxmlformats.org/officeDocument/2006/relationships/externalLink" Target="externalLinks/externalLink26.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calcChain" Target="calcChain.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externalLink" Target="externalLinks/externalLink11.xml"/><Relationship Id="rId129" Type="http://schemas.openxmlformats.org/officeDocument/2006/relationships/externalLink" Target="externalLinks/externalLink16.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externalLink" Target="externalLinks/externalLink27.xml"/><Relationship Id="rId145" Type="http://schemas.openxmlformats.org/officeDocument/2006/relationships/externalLink" Target="externalLinks/externalLink32.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1.xml"/><Relationship Id="rId119" Type="http://schemas.openxmlformats.org/officeDocument/2006/relationships/externalLink" Target="externalLinks/externalLink6.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externalLink" Target="externalLinks/externalLink17.xml"/><Relationship Id="rId135" Type="http://schemas.openxmlformats.org/officeDocument/2006/relationships/externalLink" Target="externalLinks/externalLink2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externalLink" Target="externalLinks/externalLink7.xml"/><Relationship Id="rId125" Type="http://schemas.openxmlformats.org/officeDocument/2006/relationships/externalLink" Target="externalLinks/externalLink12.xml"/><Relationship Id="rId141" Type="http://schemas.openxmlformats.org/officeDocument/2006/relationships/externalLink" Target="externalLinks/externalLink28.xml"/><Relationship Id="rId146" Type="http://schemas.openxmlformats.org/officeDocument/2006/relationships/externalLink" Target="externalLinks/externalLink33.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externalLink" Target="externalLinks/externalLink2.xml"/><Relationship Id="rId131" Type="http://schemas.openxmlformats.org/officeDocument/2006/relationships/externalLink" Target="externalLinks/externalLink18.xml"/><Relationship Id="rId136" Type="http://schemas.openxmlformats.org/officeDocument/2006/relationships/externalLink" Target="externalLinks/externalLink23.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externalLink" Target="externalLinks/externalLink13.xml"/><Relationship Id="rId147"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externalLink" Target="externalLinks/externalLink8.xml"/><Relationship Id="rId142" Type="http://schemas.openxmlformats.org/officeDocument/2006/relationships/externalLink" Target="externalLinks/externalLink29.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3.xml"/><Relationship Id="rId137" Type="http://schemas.openxmlformats.org/officeDocument/2006/relationships/externalLink" Target="externalLinks/externalLink24.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externalLink" Target="externalLinks/externalLink19.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externalLink" Target="externalLinks/externalLink14.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externalLink" Target="externalLinks/externalLink9.xml"/><Relationship Id="rId143" Type="http://schemas.openxmlformats.org/officeDocument/2006/relationships/externalLink" Target="externalLinks/externalLink30.xml"/><Relationship Id="rId148"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externalLink" Target="externalLinks/externalLink20.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externalLink" Target="externalLinks/externalLink10.xml"/><Relationship Id="rId144" Type="http://schemas.openxmlformats.org/officeDocument/2006/relationships/externalLink" Target="externalLinks/externalLink31.xml"/><Relationship Id="rId90" Type="http://schemas.openxmlformats.org/officeDocument/2006/relationships/worksheet" Target="worksheets/sheet90.xml"/></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184</xdr:row>
      <xdr:rowOff>0</xdr:rowOff>
    </xdr:from>
    <xdr:to>
      <xdr:col>6</xdr:col>
      <xdr:colOff>66675</xdr:colOff>
      <xdr:row>184</xdr:row>
      <xdr:rowOff>171450</xdr:rowOff>
    </xdr:to>
    <xdr:sp macro="" textlink="">
      <xdr:nvSpPr>
        <xdr:cNvPr id="2" name="Text Box 1">
          <a:extLst>
            <a:ext uri="{FF2B5EF4-FFF2-40B4-BE49-F238E27FC236}">
              <a16:creationId xmlns:a16="http://schemas.microsoft.com/office/drawing/2014/main" id="{46BFB4CB-461A-4435-B1D9-444695978BC6}"/>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 name="Text Box 1">
          <a:extLst>
            <a:ext uri="{FF2B5EF4-FFF2-40B4-BE49-F238E27FC236}">
              <a16:creationId xmlns:a16="http://schemas.microsoft.com/office/drawing/2014/main" id="{6BBDC8A9-40EA-4B7D-9A3A-B873A2C6EF4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 name="Text Box 3">
          <a:extLst>
            <a:ext uri="{FF2B5EF4-FFF2-40B4-BE49-F238E27FC236}">
              <a16:creationId xmlns:a16="http://schemas.microsoft.com/office/drawing/2014/main" id="{9E011DEA-EE49-45D1-B3B4-ED5AFAFD5C4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 name="Text Box 1">
          <a:extLst>
            <a:ext uri="{FF2B5EF4-FFF2-40B4-BE49-F238E27FC236}">
              <a16:creationId xmlns:a16="http://schemas.microsoft.com/office/drawing/2014/main" id="{A5D6CCF0-EC6E-4211-8360-62A4C28A89C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 name="Text Box 3">
          <a:extLst>
            <a:ext uri="{FF2B5EF4-FFF2-40B4-BE49-F238E27FC236}">
              <a16:creationId xmlns:a16="http://schemas.microsoft.com/office/drawing/2014/main" id="{B0CB818A-3BAE-4C15-B73B-0EBB00A2C11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 name="Text Box 1">
          <a:extLst>
            <a:ext uri="{FF2B5EF4-FFF2-40B4-BE49-F238E27FC236}">
              <a16:creationId xmlns:a16="http://schemas.microsoft.com/office/drawing/2014/main" id="{F917000B-FA07-4A19-A18A-B5E48108A47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 name="Text Box 1">
          <a:extLst>
            <a:ext uri="{FF2B5EF4-FFF2-40B4-BE49-F238E27FC236}">
              <a16:creationId xmlns:a16="http://schemas.microsoft.com/office/drawing/2014/main" id="{BA98A6EA-91FB-4DC7-98DD-675EB4FFC3D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 name="Text Box 3">
          <a:extLst>
            <a:ext uri="{FF2B5EF4-FFF2-40B4-BE49-F238E27FC236}">
              <a16:creationId xmlns:a16="http://schemas.microsoft.com/office/drawing/2014/main" id="{598FB10A-33D8-4BEA-9538-0BB28B1EBEB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0" name="Text Box 1">
          <a:extLst>
            <a:ext uri="{FF2B5EF4-FFF2-40B4-BE49-F238E27FC236}">
              <a16:creationId xmlns:a16="http://schemas.microsoft.com/office/drawing/2014/main" id="{E6712B41-41A9-4B75-8E46-97AD02E9465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1" name="Text Box 3">
          <a:extLst>
            <a:ext uri="{FF2B5EF4-FFF2-40B4-BE49-F238E27FC236}">
              <a16:creationId xmlns:a16="http://schemas.microsoft.com/office/drawing/2014/main" id="{F82E784A-8C0A-47CE-98D6-BF92AC2508D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2" name="Text Box 1">
          <a:extLst>
            <a:ext uri="{FF2B5EF4-FFF2-40B4-BE49-F238E27FC236}">
              <a16:creationId xmlns:a16="http://schemas.microsoft.com/office/drawing/2014/main" id="{E69D21A4-D172-47FA-9E6B-812DAC9336C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3" name="Text Box 1">
          <a:extLst>
            <a:ext uri="{FF2B5EF4-FFF2-40B4-BE49-F238E27FC236}">
              <a16:creationId xmlns:a16="http://schemas.microsoft.com/office/drawing/2014/main" id="{D5BA664C-7A63-45E2-859B-81FC335CBEC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4" name="Text Box 3">
          <a:extLst>
            <a:ext uri="{FF2B5EF4-FFF2-40B4-BE49-F238E27FC236}">
              <a16:creationId xmlns:a16="http://schemas.microsoft.com/office/drawing/2014/main" id="{651563FF-0F99-4CDD-9462-4DCAC5C59BD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5" name="Text Box 1">
          <a:extLst>
            <a:ext uri="{FF2B5EF4-FFF2-40B4-BE49-F238E27FC236}">
              <a16:creationId xmlns:a16="http://schemas.microsoft.com/office/drawing/2014/main" id="{00707DA6-15FD-411A-9701-90C1A2B03C6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6" name="Text Box 3">
          <a:extLst>
            <a:ext uri="{FF2B5EF4-FFF2-40B4-BE49-F238E27FC236}">
              <a16:creationId xmlns:a16="http://schemas.microsoft.com/office/drawing/2014/main" id="{31F5B064-48E7-4680-BBA6-75495A9E6EC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7" name="Text Box 1">
          <a:extLst>
            <a:ext uri="{FF2B5EF4-FFF2-40B4-BE49-F238E27FC236}">
              <a16:creationId xmlns:a16="http://schemas.microsoft.com/office/drawing/2014/main" id="{E0FB47D8-7226-4502-BE54-34A3095B275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8" name="Text Box 1">
          <a:extLst>
            <a:ext uri="{FF2B5EF4-FFF2-40B4-BE49-F238E27FC236}">
              <a16:creationId xmlns:a16="http://schemas.microsoft.com/office/drawing/2014/main" id="{202E0B22-1F92-4362-9539-FCDE8368293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9" name="Text Box 3">
          <a:extLst>
            <a:ext uri="{FF2B5EF4-FFF2-40B4-BE49-F238E27FC236}">
              <a16:creationId xmlns:a16="http://schemas.microsoft.com/office/drawing/2014/main" id="{AD88959B-D22D-4C1D-9EDD-046AB17581D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0" name="Text Box 1">
          <a:extLst>
            <a:ext uri="{FF2B5EF4-FFF2-40B4-BE49-F238E27FC236}">
              <a16:creationId xmlns:a16="http://schemas.microsoft.com/office/drawing/2014/main" id="{BB5860FE-46BF-4B3E-BCFF-227DC094B82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1" name="Text Box 3">
          <a:extLst>
            <a:ext uri="{FF2B5EF4-FFF2-40B4-BE49-F238E27FC236}">
              <a16:creationId xmlns:a16="http://schemas.microsoft.com/office/drawing/2014/main" id="{BE63DB8A-B2F9-4D2E-AF4D-5AFC1D578DC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2" name="Text Box 1">
          <a:extLst>
            <a:ext uri="{FF2B5EF4-FFF2-40B4-BE49-F238E27FC236}">
              <a16:creationId xmlns:a16="http://schemas.microsoft.com/office/drawing/2014/main" id="{BB6E41AC-5BCF-41EB-92A0-147EA04363B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3" name="Text Box 1">
          <a:extLst>
            <a:ext uri="{FF2B5EF4-FFF2-40B4-BE49-F238E27FC236}">
              <a16:creationId xmlns:a16="http://schemas.microsoft.com/office/drawing/2014/main" id="{EC1A9282-D0F3-4E4E-92EE-0CB3AD1EA1A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4" name="Text Box 3">
          <a:extLst>
            <a:ext uri="{FF2B5EF4-FFF2-40B4-BE49-F238E27FC236}">
              <a16:creationId xmlns:a16="http://schemas.microsoft.com/office/drawing/2014/main" id="{A7BBC516-8DA6-4D0D-A1DF-82A020C8876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5" name="Text Box 1">
          <a:extLst>
            <a:ext uri="{FF2B5EF4-FFF2-40B4-BE49-F238E27FC236}">
              <a16:creationId xmlns:a16="http://schemas.microsoft.com/office/drawing/2014/main" id="{D37943CC-EA66-4DE0-9F9B-32892069F98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6" name="Text Box 3">
          <a:extLst>
            <a:ext uri="{FF2B5EF4-FFF2-40B4-BE49-F238E27FC236}">
              <a16:creationId xmlns:a16="http://schemas.microsoft.com/office/drawing/2014/main" id="{CF998E84-F2E6-4C6F-8BF6-29C91FEF289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7" name="Text Box 1">
          <a:extLst>
            <a:ext uri="{FF2B5EF4-FFF2-40B4-BE49-F238E27FC236}">
              <a16:creationId xmlns:a16="http://schemas.microsoft.com/office/drawing/2014/main" id="{C6EC3C95-E3CA-4F4B-8ED1-8D7F1FFF026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8" name="Text Box 1">
          <a:extLst>
            <a:ext uri="{FF2B5EF4-FFF2-40B4-BE49-F238E27FC236}">
              <a16:creationId xmlns:a16="http://schemas.microsoft.com/office/drawing/2014/main" id="{3D27807D-F1CE-4369-A7D5-11F6999CE83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9" name="Text Box 3">
          <a:extLst>
            <a:ext uri="{FF2B5EF4-FFF2-40B4-BE49-F238E27FC236}">
              <a16:creationId xmlns:a16="http://schemas.microsoft.com/office/drawing/2014/main" id="{EB1F4FB2-B16C-4909-AD32-44736A52729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0" name="Text Box 1">
          <a:extLst>
            <a:ext uri="{FF2B5EF4-FFF2-40B4-BE49-F238E27FC236}">
              <a16:creationId xmlns:a16="http://schemas.microsoft.com/office/drawing/2014/main" id="{374C631E-CAAC-4058-9B3E-B2620CF74F3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1" name="Text Box 3">
          <a:extLst>
            <a:ext uri="{FF2B5EF4-FFF2-40B4-BE49-F238E27FC236}">
              <a16:creationId xmlns:a16="http://schemas.microsoft.com/office/drawing/2014/main" id="{C4BB27A1-A5D8-4E56-9670-42275F86801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2" name="Text Box 1">
          <a:extLst>
            <a:ext uri="{FF2B5EF4-FFF2-40B4-BE49-F238E27FC236}">
              <a16:creationId xmlns:a16="http://schemas.microsoft.com/office/drawing/2014/main" id="{1370E76E-DF42-48A0-95B7-FE686BDE1D9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3" name="Text Box 1">
          <a:extLst>
            <a:ext uri="{FF2B5EF4-FFF2-40B4-BE49-F238E27FC236}">
              <a16:creationId xmlns:a16="http://schemas.microsoft.com/office/drawing/2014/main" id="{C7042327-19BF-4428-99B3-364DCBF8B6D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4" name="Text Box 3">
          <a:extLst>
            <a:ext uri="{FF2B5EF4-FFF2-40B4-BE49-F238E27FC236}">
              <a16:creationId xmlns:a16="http://schemas.microsoft.com/office/drawing/2014/main" id="{5C67981C-0F63-4AD3-B835-DEB94557C57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5" name="Text Box 1">
          <a:extLst>
            <a:ext uri="{FF2B5EF4-FFF2-40B4-BE49-F238E27FC236}">
              <a16:creationId xmlns:a16="http://schemas.microsoft.com/office/drawing/2014/main" id="{ED3E483A-0CBF-4F96-B34E-A5D48D17365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6" name="Text Box 3">
          <a:extLst>
            <a:ext uri="{FF2B5EF4-FFF2-40B4-BE49-F238E27FC236}">
              <a16:creationId xmlns:a16="http://schemas.microsoft.com/office/drawing/2014/main" id="{80EBF4E7-8321-4CD8-8082-A2724F0C982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7" name="Text Box 1">
          <a:extLst>
            <a:ext uri="{FF2B5EF4-FFF2-40B4-BE49-F238E27FC236}">
              <a16:creationId xmlns:a16="http://schemas.microsoft.com/office/drawing/2014/main" id="{576842F6-5913-49A2-92FB-FA875A9F8EC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8" name="Text Box 1">
          <a:extLst>
            <a:ext uri="{FF2B5EF4-FFF2-40B4-BE49-F238E27FC236}">
              <a16:creationId xmlns:a16="http://schemas.microsoft.com/office/drawing/2014/main" id="{BF5CDF82-0EB1-416C-8D0E-A9835936A14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9" name="Text Box 3">
          <a:extLst>
            <a:ext uri="{FF2B5EF4-FFF2-40B4-BE49-F238E27FC236}">
              <a16:creationId xmlns:a16="http://schemas.microsoft.com/office/drawing/2014/main" id="{EA812354-6E7B-436F-AF21-F277BED704C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0" name="Text Box 1">
          <a:extLst>
            <a:ext uri="{FF2B5EF4-FFF2-40B4-BE49-F238E27FC236}">
              <a16:creationId xmlns:a16="http://schemas.microsoft.com/office/drawing/2014/main" id="{10F38019-6BC5-4B65-9F5D-A9A90F1C782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1" name="Text Box 3">
          <a:extLst>
            <a:ext uri="{FF2B5EF4-FFF2-40B4-BE49-F238E27FC236}">
              <a16:creationId xmlns:a16="http://schemas.microsoft.com/office/drawing/2014/main" id="{7DEF9657-743B-4BDD-B1DE-38CD7826D31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2" name="Text Box 1">
          <a:extLst>
            <a:ext uri="{FF2B5EF4-FFF2-40B4-BE49-F238E27FC236}">
              <a16:creationId xmlns:a16="http://schemas.microsoft.com/office/drawing/2014/main" id="{9688DDB2-6C45-4E20-9EC5-F30AAA0EA5F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3" name="Text Box 1">
          <a:extLst>
            <a:ext uri="{FF2B5EF4-FFF2-40B4-BE49-F238E27FC236}">
              <a16:creationId xmlns:a16="http://schemas.microsoft.com/office/drawing/2014/main" id="{A015A714-9753-4055-A8D9-5AED92D2816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4" name="Text Box 3">
          <a:extLst>
            <a:ext uri="{FF2B5EF4-FFF2-40B4-BE49-F238E27FC236}">
              <a16:creationId xmlns:a16="http://schemas.microsoft.com/office/drawing/2014/main" id="{1BE9B01F-794A-4E23-A7F7-1AFE5A73C3E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5" name="Text Box 1">
          <a:extLst>
            <a:ext uri="{FF2B5EF4-FFF2-40B4-BE49-F238E27FC236}">
              <a16:creationId xmlns:a16="http://schemas.microsoft.com/office/drawing/2014/main" id="{05573FEC-345F-4D68-90D0-DB866E0ACB5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6" name="Text Box 3">
          <a:extLst>
            <a:ext uri="{FF2B5EF4-FFF2-40B4-BE49-F238E27FC236}">
              <a16:creationId xmlns:a16="http://schemas.microsoft.com/office/drawing/2014/main" id="{2A9E11BA-FA3F-4CAC-9422-C81CC9A4F03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7" name="Text Box 1">
          <a:extLst>
            <a:ext uri="{FF2B5EF4-FFF2-40B4-BE49-F238E27FC236}">
              <a16:creationId xmlns:a16="http://schemas.microsoft.com/office/drawing/2014/main" id="{02F88559-2136-4835-8138-A7BA09D1160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8" name="Text Box 1">
          <a:extLst>
            <a:ext uri="{FF2B5EF4-FFF2-40B4-BE49-F238E27FC236}">
              <a16:creationId xmlns:a16="http://schemas.microsoft.com/office/drawing/2014/main" id="{FFC5BFDB-CB4B-4A8D-854C-CD0244C2F91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9" name="Text Box 3">
          <a:extLst>
            <a:ext uri="{FF2B5EF4-FFF2-40B4-BE49-F238E27FC236}">
              <a16:creationId xmlns:a16="http://schemas.microsoft.com/office/drawing/2014/main" id="{7B807454-713B-4343-974D-B7A573F4D38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0" name="Text Box 1">
          <a:extLst>
            <a:ext uri="{FF2B5EF4-FFF2-40B4-BE49-F238E27FC236}">
              <a16:creationId xmlns:a16="http://schemas.microsoft.com/office/drawing/2014/main" id="{6CFAEE3A-7A51-48D9-95A8-AAE62B91981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1" name="Text Box 3">
          <a:extLst>
            <a:ext uri="{FF2B5EF4-FFF2-40B4-BE49-F238E27FC236}">
              <a16:creationId xmlns:a16="http://schemas.microsoft.com/office/drawing/2014/main" id="{68D8B682-E83C-4087-B000-18D6DFBD479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2" name="Text Box 1">
          <a:extLst>
            <a:ext uri="{FF2B5EF4-FFF2-40B4-BE49-F238E27FC236}">
              <a16:creationId xmlns:a16="http://schemas.microsoft.com/office/drawing/2014/main" id="{052F9672-5A1A-4B3D-ADDB-27CE227D40B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3" name="Text Box 1">
          <a:extLst>
            <a:ext uri="{FF2B5EF4-FFF2-40B4-BE49-F238E27FC236}">
              <a16:creationId xmlns:a16="http://schemas.microsoft.com/office/drawing/2014/main" id="{546165D5-B78F-43CF-B5B5-AE553143B1D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4" name="Text Box 3">
          <a:extLst>
            <a:ext uri="{FF2B5EF4-FFF2-40B4-BE49-F238E27FC236}">
              <a16:creationId xmlns:a16="http://schemas.microsoft.com/office/drawing/2014/main" id="{61EDE6E7-BB0D-4785-8A82-D221012AB27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5" name="Text Box 1">
          <a:extLst>
            <a:ext uri="{FF2B5EF4-FFF2-40B4-BE49-F238E27FC236}">
              <a16:creationId xmlns:a16="http://schemas.microsoft.com/office/drawing/2014/main" id="{38EAEE73-85C5-462B-A756-053F8E2B459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6" name="Text Box 3">
          <a:extLst>
            <a:ext uri="{FF2B5EF4-FFF2-40B4-BE49-F238E27FC236}">
              <a16:creationId xmlns:a16="http://schemas.microsoft.com/office/drawing/2014/main" id="{AE75CB8E-D906-4958-9B16-F0844CD0FCF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7" name="Text Box 1">
          <a:extLst>
            <a:ext uri="{FF2B5EF4-FFF2-40B4-BE49-F238E27FC236}">
              <a16:creationId xmlns:a16="http://schemas.microsoft.com/office/drawing/2014/main" id="{6C8603DE-C405-4813-8D9F-1E71DBB36BB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8" name="Text Box 1">
          <a:extLst>
            <a:ext uri="{FF2B5EF4-FFF2-40B4-BE49-F238E27FC236}">
              <a16:creationId xmlns:a16="http://schemas.microsoft.com/office/drawing/2014/main" id="{848E8DC6-CD61-44D5-A1C7-6DEC598561D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9" name="Text Box 3">
          <a:extLst>
            <a:ext uri="{FF2B5EF4-FFF2-40B4-BE49-F238E27FC236}">
              <a16:creationId xmlns:a16="http://schemas.microsoft.com/office/drawing/2014/main" id="{AC8B817F-0015-40BB-975F-71BB9B7412A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0" name="Text Box 1">
          <a:extLst>
            <a:ext uri="{FF2B5EF4-FFF2-40B4-BE49-F238E27FC236}">
              <a16:creationId xmlns:a16="http://schemas.microsoft.com/office/drawing/2014/main" id="{21565B6A-59AD-4D3D-B924-890ECA06FE7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1" name="Text Box 3">
          <a:extLst>
            <a:ext uri="{FF2B5EF4-FFF2-40B4-BE49-F238E27FC236}">
              <a16:creationId xmlns:a16="http://schemas.microsoft.com/office/drawing/2014/main" id="{485DDAAB-AF8D-44C9-961D-1AB7B4E0994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2" name="Text Box 1">
          <a:extLst>
            <a:ext uri="{FF2B5EF4-FFF2-40B4-BE49-F238E27FC236}">
              <a16:creationId xmlns:a16="http://schemas.microsoft.com/office/drawing/2014/main" id="{91C0829B-5C9E-421E-B939-6E9B111156F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3" name="Text Box 1">
          <a:extLst>
            <a:ext uri="{FF2B5EF4-FFF2-40B4-BE49-F238E27FC236}">
              <a16:creationId xmlns:a16="http://schemas.microsoft.com/office/drawing/2014/main" id="{B3AA8D00-21B4-4287-99A5-3C9639ECE24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4" name="Text Box 3">
          <a:extLst>
            <a:ext uri="{FF2B5EF4-FFF2-40B4-BE49-F238E27FC236}">
              <a16:creationId xmlns:a16="http://schemas.microsoft.com/office/drawing/2014/main" id="{32404287-B645-4875-AD7F-B6CFE5F1E77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5" name="Text Box 1">
          <a:extLst>
            <a:ext uri="{FF2B5EF4-FFF2-40B4-BE49-F238E27FC236}">
              <a16:creationId xmlns:a16="http://schemas.microsoft.com/office/drawing/2014/main" id="{545AE916-D3C8-4417-B95C-ADA9D47066F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6" name="Text Box 3">
          <a:extLst>
            <a:ext uri="{FF2B5EF4-FFF2-40B4-BE49-F238E27FC236}">
              <a16:creationId xmlns:a16="http://schemas.microsoft.com/office/drawing/2014/main" id="{EB3C8589-2D50-43EF-AE5F-EAB9E6CE689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7" name="Text Box 1">
          <a:extLst>
            <a:ext uri="{FF2B5EF4-FFF2-40B4-BE49-F238E27FC236}">
              <a16:creationId xmlns:a16="http://schemas.microsoft.com/office/drawing/2014/main" id="{77D74D8F-68C6-4692-A1D8-8F54C516530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8" name="Text Box 1">
          <a:extLst>
            <a:ext uri="{FF2B5EF4-FFF2-40B4-BE49-F238E27FC236}">
              <a16:creationId xmlns:a16="http://schemas.microsoft.com/office/drawing/2014/main" id="{8AB2588B-4736-4C9E-A555-BFE7BACF90B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9" name="Text Box 3">
          <a:extLst>
            <a:ext uri="{FF2B5EF4-FFF2-40B4-BE49-F238E27FC236}">
              <a16:creationId xmlns:a16="http://schemas.microsoft.com/office/drawing/2014/main" id="{3D586E90-28D2-4910-8682-6E3E9956306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0" name="Text Box 1">
          <a:extLst>
            <a:ext uri="{FF2B5EF4-FFF2-40B4-BE49-F238E27FC236}">
              <a16:creationId xmlns:a16="http://schemas.microsoft.com/office/drawing/2014/main" id="{6CDBA5A8-08B0-4982-BEBA-EA8CA4DCAB2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1" name="Text Box 3">
          <a:extLst>
            <a:ext uri="{FF2B5EF4-FFF2-40B4-BE49-F238E27FC236}">
              <a16:creationId xmlns:a16="http://schemas.microsoft.com/office/drawing/2014/main" id="{E0C28C1F-7216-400E-80E7-5A1937F46E7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2" name="Text Box 1">
          <a:extLst>
            <a:ext uri="{FF2B5EF4-FFF2-40B4-BE49-F238E27FC236}">
              <a16:creationId xmlns:a16="http://schemas.microsoft.com/office/drawing/2014/main" id="{46AC0494-3F60-4B55-B746-48942C9BAE5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3" name="Text Box 1">
          <a:extLst>
            <a:ext uri="{FF2B5EF4-FFF2-40B4-BE49-F238E27FC236}">
              <a16:creationId xmlns:a16="http://schemas.microsoft.com/office/drawing/2014/main" id="{6F9E7A9B-FB2C-4F3F-9F28-8C3A5AC2760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4" name="Text Box 3">
          <a:extLst>
            <a:ext uri="{FF2B5EF4-FFF2-40B4-BE49-F238E27FC236}">
              <a16:creationId xmlns:a16="http://schemas.microsoft.com/office/drawing/2014/main" id="{66D03ABE-63C6-4D6A-A4F2-1BCDB78B6B4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5" name="Text Box 1">
          <a:extLst>
            <a:ext uri="{FF2B5EF4-FFF2-40B4-BE49-F238E27FC236}">
              <a16:creationId xmlns:a16="http://schemas.microsoft.com/office/drawing/2014/main" id="{87A4B916-F0D6-40C2-8B28-D0289F3E0BD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6" name="Text Box 3">
          <a:extLst>
            <a:ext uri="{FF2B5EF4-FFF2-40B4-BE49-F238E27FC236}">
              <a16:creationId xmlns:a16="http://schemas.microsoft.com/office/drawing/2014/main" id="{3EFB3829-584E-4E80-A615-6DE3A07A459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7" name="Text Box 1">
          <a:extLst>
            <a:ext uri="{FF2B5EF4-FFF2-40B4-BE49-F238E27FC236}">
              <a16:creationId xmlns:a16="http://schemas.microsoft.com/office/drawing/2014/main" id="{2F3F1E80-6D50-4657-A9A3-8A92038CE6F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8" name="Text Box 1">
          <a:extLst>
            <a:ext uri="{FF2B5EF4-FFF2-40B4-BE49-F238E27FC236}">
              <a16:creationId xmlns:a16="http://schemas.microsoft.com/office/drawing/2014/main" id="{43E4BFA9-7BBE-446D-A052-B2A7642872D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9" name="Text Box 3">
          <a:extLst>
            <a:ext uri="{FF2B5EF4-FFF2-40B4-BE49-F238E27FC236}">
              <a16:creationId xmlns:a16="http://schemas.microsoft.com/office/drawing/2014/main" id="{93765078-772C-48BF-BF66-D4FF5C4213D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0" name="Text Box 1">
          <a:extLst>
            <a:ext uri="{FF2B5EF4-FFF2-40B4-BE49-F238E27FC236}">
              <a16:creationId xmlns:a16="http://schemas.microsoft.com/office/drawing/2014/main" id="{FEEB36B9-818E-4FC5-95C3-80155EF49B5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1" name="Text Box 3">
          <a:extLst>
            <a:ext uri="{FF2B5EF4-FFF2-40B4-BE49-F238E27FC236}">
              <a16:creationId xmlns:a16="http://schemas.microsoft.com/office/drawing/2014/main" id="{3ACC7BA0-9853-4C6F-A398-4F4EEBDB4F1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2" name="Text Box 1">
          <a:extLst>
            <a:ext uri="{FF2B5EF4-FFF2-40B4-BE49-F238E27FC236}">
              <a16:creationId xmlns:a16="http://schemas.microsoft.com/office/drawing/2014/main" id="{23950106-22DC-47AC-A6F2-8B639A210FC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3" name="Text Box 1">
          <a:extLst>
            <a:ext uri="{FF2B5EF4-FFF2-40B4-BE49-F238E27FC236}">
              <a16:creationId xmlns:a16="http://schemas.microsoft.com/office/drawing/2014/main" id="{9C76361F-C4A8-4EF4-A240-735F152577A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4" name="Text Box 3">
          <a:extLst>
            <a:ext uri="{FF2B5EF4-FFF2-40B4-BE49-F238E27FC236}">
              <a16:creationId xmlns:a16="http://schemas.microsoft.com/office/drawing/2014/main" id="{3BD7B921-924F-4AA1-8D8A-382FDD50E70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5" name="Text Box 1">
          <a:extLst>
            <a:ext uri="{FF2B5EF4-FFF2-40B4-BE49-F238E27FC236}">
              <a16:creationId xmlns:a16="http://schemas.microsoft.com/office/drawing/2014/main" id="{3A8CD324-D637-494E-A74D-55FB7EBD8E4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6" name="Text Box 3">
          <a:extLst>
            <a:ext uri="{FF2B5EF4-FFF2-40B4-BE49-F238E27FC236}">
              <a16:creationId xmlns:a16="http://schemas.microsoft.com/office/drawing/2014/main" id="{140AFAA3-0173-4917-98F0-884A4796070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7" name="Text Box 1">
          <a:extLst>
            <a:ext uri="{FF2B5EF4-FFF2-40B4-BE49-F238E27FC236}">
              <a16:creationId xmlns:a16="http://schemas.microsoft.com/office/drawing/2014/main" id="{B2209AFA-5EED-4AC7-A3D9-F84BF113464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8" name="Text Box 1">
          <a:extLst>
            <a:ext uri="{FF2B5EF4-FFF2-40B4-BE49-F238E27FC236}">
              <a16:creationId xmlns:a16="http://schemas.microsoft.com/office/drawing/2014/main" id="{2CFD295A-E0F9-4191-B259-616885D482B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9" name="Text Box 3">
          <a:extLst>
            <a:ext uri="{FF2B5EF4-FFF2-40B4-BE49-F238E27FC236}">
              <a16:creationId xmlns:a16="http://schemas.microsoft.com/office/drawing/2014/main" id="{2F625E3A-6A31-421F-9FAD-22BE8470CE4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0" name="Text Box 1">
          <a:extLst>
            <a:ext uri="{FF2B5EF4-FFF2-40B4-BE49-F238E27FC236}">
              <a16:creationId xmlns:a16="http://schemas.microsoft.com/office/drawing/2014/main" id="{8B62227D-B544-4673-937D-038A1758C08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1" name="Text Box 3">
          <a:extLst>
            <a:ext uri="{FF2B5EF4-FFF2-40B4-BE49-F238E27FC236}">
              <a16:creationId xmlns:a16="http://schemas.microsoft.com/office/drawing/2014/main" id="{6B090C34-2240-4456-913D-4F45561DD9E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2" name="Text Box 1">
          <a:extLst>
            <a:ext uri="{FF2B5EF4-FFF2-40B4-BE49-F238E27FC236}">
              <a16:creationId xmlns:a16="http://schemas.microsoft.com/office/drawing/2014/main" id="{5EA73D5D-2BF0-48CA-93AC-2382C59E4AC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3" name="Text Box 1">
          <a:extLst>
            <a:ext uri="{FF2B5EF4-FFF2-40B4-BE49-F238E27FC236}">
              <a16:creationId xmlns:a16="http://schemas.microsoft.com/office/drawing/2014/main" id="{A22F466C-2605-4F20-87C8-4888B073DA0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4" name="Text Box 3">
          <a:extLst>
            <a:ext uri="{FF2B5EF4-FFF2-40B4-BE49-F238E27FC236}">
              <a16:creationId xmlns:a16="http://schemas.microsoft.com/office/drawing/2014/main" id="{536C5289-2BEA-407A-B6AB-1EE5312A1C0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5" name="Text Box 1">
          <a:extLst>
            <a:ext uri="{FF2B5EF4-FFF2-40B4-BE49-F238E27FC236}">
              <a16:creationId xmlns:a16="http://schemas.microsoft.com/office/drawing/2014/main" id="{E017E549-CEC4-4C3A-8414-241FCD7CA4A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6" name="Text Box 3">
          <a:extLst>
            <a:ext uri="{FF2B5EF4-FFF2-40B4-BE49-F238E27FC236}">
              <a16:creationId xmlns:a16="http://schemas.microsoft.com/office/drawing/2014/main" id="{29F6833C-6B20-4B1C-9804-9998CDE7B8E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7" name="Text Box 1">
          <a:extLst>
            <a:ext uri="{FF2B5EF4-FFF2-40B4-BE49-F238E27FC236}">
              <a16:creationId xmlns:a16="http://schemas.microsoft.com/office/drawing/2014/main" id="{18E2EE05-45CC-4AAD-A6CD-9BC2DBD86B8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8" name="Text Box 1">
          <a:extLst>
            <a:ext uri="{FF2B5EF4-FFF2-40B4-BE49-F238E27FC236}">
              <a16:creationId xmlns:a16="http://schemas.microsoft.com/office/drawing/2014/main" id="{6440347D-4693-4BF6-8167-A906AF9D0C6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9" name="Text Box 3">
          <a:extLst>
            <a:ext uri="{FF2B5EF4-FFF2-40B4-BE49-F238E27FC236}">
              <a16:creationId xmlns:a16="http://schemas.microsoft.com/office/drawing/2014/main" id="{544293FE-AFA2-4AC5-B59A-63F7601AD52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00" name="Text Box 1">
          <a:extLst>
            <a:ext uri="{FF2B5EF4-FFF2-40B4-BE49-F238E27FC236}">
              <a16:creationId xmlns:a16="http://schemas.microsoft.com/office/drawing/2014/main" id="{C634CA2C-8446-4962-8FF3-2D33C23F57B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01" name="Text Box 3">
          <a:extLst>
            <a:ext uri="{FF2B5EF4-FFF2-40B4-BE49-F238E27FC236}">
              <a16:creationId xmlns:a16="http://schemas.microsoft.com/office/drawing/2014/main" id="{3A5089C2-3F8E-4473-9B11-B76D17FB807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02" name="Text Box 1">
          <a:extLst>
            <a:ext uri="{FF2B5EF4-FFF2-40B4-BE49-F238E27FC236}">
              <a16:creationId xmlns:a16="http://schemas.microsoft.com/office/drawing/2014/main" id="{F9E02865-7B99-4C2C-96C6-B019AD2202D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03" name="Text Box 1">
          <a:extLst>
            <a:ext uri="{FF2B5EF4-FFF2-40B4-BE49-F238E27FC236}">
              <a16:creationId xmlns:a16="http://schemas.microsoft.com/office/drawing/2014/main" id="{337E74F5-1F3C-4D11-942E-49F74D1E3A3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04" name="Text Box 3">
          <a:extLst>
            <a:ext uri="{FF2B5EF4-FFF2-40B4-BE49-F238E27FC236}">
              <a16:creationId xmlns:a16="http://schemas.microsoft.com/office/drawing/2014/main" id="{EB2BC296-7104-492E-ABD9-C44F5EEFF0C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05" name="Text Box 1">
          <a:extLst>
            <a:ext uri="{FF2B5EF4-FFF2-40B4-BE49-F238E27FC236}">
              <a16:creationId xmlns:a16="http://schemas.microsoft.com/office/drawing/2014/main" id="{BCDF2CA4-F7EB-4441-A5DE-F11803206D5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06" name="Text Box 3">
          <a:extLst>
            <a:ext uri="{FF2B5EF4-FFF2-40B4-BE49-F238E27FC236}">
              <a16:creationId xmlns:a16="http://schemas.microsoft.com/office/drawing/2014/main" id="{EF80B1FB-49FC-4A0D-BC9E-95582B9D6A7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07" name="Text Box 1">
          <a:extLst>
            <a:ext uri="{FF2B5EF4-FFF2-40B4-BE49-F238E27FC236}">
              <a16:creationId xmlns:a16="http://schemas.microsoft.com/office/drawing/2014/main" id="{C65AB2CD-A898-4F8F-8664-6DE03DAAEB9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08" name="Text Box 1">
          <a:extLst>
            <a:ext uri="{FF2B5EF4-FFF2-40B4-BE49-F238E27FC236}">
              <a16:creationId xmlns:a16="http://schemas.microsoft.com/office/drawing/2014/main" id="{BE9A3764-97D3-4908-9A5C-AF8B455F5CE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09" name="Text Box 3">
          <a:extLst>
            <a:ext uri="{FF2B5EF4-FFF2-40B4-BE49-F238E27FC236}">
              <a16:creationId xmlns:a16="http://schemas.microsoft.com/office/drawing/2014/main" id="{2FBB0DA4-BAD2-459E-B502-31D31CC1AA4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10" name="Text Box 1">
          <a:extLst>
            <a:ext uri="{FF2B5EF4-FFF2-40B4-BE49-F238E27FC236}">
              <a16:creationId xmlns:a16="http://schemas.microsoft.com/office/drawing/2014/main" id="{6F6EF7B3-7FA3-4CC5-B058-A7225B6B9CC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11" name="Text Box 3">
          <a:extLst>
            <a:ext uri="{FF2B5EF4-FFF2-40B4-BE49-F238E27FC236}">
              <a16:creationId xmlns:a16="http://schemas.microsoft.com/office/drawing/2014/main" id="{22931F39-217A-47E2-89A7-37B28FCCC00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12" name="Text Box 1">
          <a:extLst>
            <a:ext uri="{FF2B5EF4-FFF2-40B4-BE49-F238E27FC236}">
              <a16:creationId xmlns:a16="http://schemas.microsoft.com/office/drawing/2014/main" id="{EEF16619-A8D4-4C4F-8758-45C508968CA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13" name="Text Box 1">
          <a:extLst>
            <a:ext uri="{FF2B5EF4-FFF2-40B4-BE49-F238E27FC236}">
              <a16:creationId xmlns:a16="http://schemas.microsoft.com/office/drawing/2014/main" id="{F917E9CF-91FB-442F-B205-FC274FE5642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14" name="Text Box 3">
          <a:extLst>
            <a:ext uri="{FF2B5EF4-FFF2-40B4-BE49-F238E27FC236}">
              <a16:creationId xmlns:a16="http://schemas.microsoft.com/office/drawing/2014/main" id="{563083D7-9EAB-43EE-96EC-2E9AFE87799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15" name="Text Box 1">
          <a:extLst>
            <a:ext uri="{FF2B5EF4-FFF2-40B4-BE49-F238E27FC236}">
              <a16:creationId xmlns:a16="http://schemas.microsoft.com/office/drawing/2014/main" id="{E4587915-EC0A-4CB1-978D-44EEF13BA86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16" name="Text Box 3">
          <a:extLst>
            <a:ext uri="{FF2B5EF4-FFF2-40B4-BE49-F238E27FC236}">
              <a16:creationId xmlns:a16="http://schemas.microsoft.com/office/drawing/2014/main" id="{6EC4B7EB-3E25-40D6-834F-41784BEDB8C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17" name="Text Box 1">
          <a:extLst>
            <a:ext uri="{FF2B5EF4-FFF2-40B4-BE49-F238E27FC236}">
              <a16:creationId xmlns:a16="http://schemas.microsoft.com/office/drawing/2014/main" id="{966DB8D4-9A91-4FF8-AE71-CE9975E50D2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18" name="Text Box 1">
          <a:extLst>
            <a:ext uri="{FF2B5EF4-FFF2-40B4-BE49-F238E27FC236}">
              <a16:creationId xmlns:a16="http://schemas.microsoft.com/office/drawing/2014/main" id="{76DCEF23-2577-4277-ADBC-ACA0EC4C5BB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19" name="Text Box 3">
          <a:extLst>
            <a:ext uri="{FF2B5EF4-FFF2-40B4-BE49-F238E27FC236}">
              <a16:creationId xmlns:a16="http://schemas.microsoft.com/office/drawing/2014/main" id="{F6626CA0-0A35-48C1-8E30-A3637FE860C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20" name="Text Box 1">
          <a:extLst>
            <a:ext uri="{FF2B5EF4-FFF2-40B4-BE49-F238E27FC236}">
              <a16:creationId xmlns:a16="http://schemas.microsoft.com/office/drawing/2014/main" id="{071C5867-DD59-43DF-9251-B5E698AABB3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21" name="Text Box 3">
          <a:extLst>
            <a:ext uri="{FF2B5EF4-FFF2-40B4-BE49-F238E27FC236}">
              <a16:creationId xmlns:a16="http://schemas.microsoft.com/office/drawing/2014/main" id="{43B4742F-AB62-4FB7-944C-BE3AE1FA881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22" name="Text Box 1">
          <a:extLst>
            <a:ext uri="{FF2B5EF4-FFF2-40B4-BE49-F238E27FC236}">
              <a16:creationId xmlns:a16="http://schemas.microsoft.com/office/drawing/2014/main" id="{E58C51CD-88E0-4D95-BE74-2109AF56093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23" name="Text Box 1">
          <a:extLst>
            <a:ext uri="{FF2B5EF4-FFF2-40B4-BE49-F238E27FC236}">
              <a16:creationId xmlns:a16="http://schemas.microsoft.com/office/drawing/2014/main" id="{9A6EB38A-1454-4388-ACFA-CC18685DCFF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24" name="Text Box 3">
          <a:extLst>
            <a:ext uri="{FF2B5EF4-FFF2-40B4-BE49-F238E27FC236}">
              <a16:creationId xmlns:a16="http://schemas.microsoft.com/office/drawing/2014/main" id="{951A7AA6-FA3E-409C-8708-E82F3DC52E3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25" name="Text Box 1">
          <a:extLst>
            <a:ext uri="{FF2B5EF4-FFF2-40B4-BE49-F238E27FC236}">
              <a16:creationId xmlns:a16="http://schemas.microsoft.com/office/drawing/2014/main" id="{F7F07394-4244-4000-A048-EC23262EFDE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26" name="Text Box 3">
          <a:extLst>
            <a:ext uri="{FF2B5EF4-FFF2-40B4-BE49-F238E27FC236}">
              <a16:creationId xmlns:a16="http://schemas.microsoft.com/office/drawing/2014/main" id="{97AF8921-9E4D-48F8-A4F9-B571F0F8865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27" name="Text Box 1">
          <a:extLst>
            <a:ext uri="{FF2B5EF4-FFF2-40B4-BE49-F238E27FC236}">
              <a16:creationId xmlns:a16="http://schemas.microsoft.com/office/drawing/2014/main" id="{B5B60984-CD0B-43E9-A9FA-9BBD42CC8BB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28" name="Text Box 1">
          <a:extLst>
            <a:ext uri="{FF2B5EF4-FFF2-40B4-BE49-F238E27FC236}">
              <a16:creationId xmlns:a16="http://schemas.microsoft.com/office/drawing/2014/main" id="{5035CFAF-665B-4380-A45D-6500F37AD6F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29" name="Text Box 3">
          <a:extLst>
            <a:ext uri="{FF2B5EF4-FFF2-40B4-BE49-F238E27FC236}">
              <a16:creationId xmlns:a16="http://schemas.microsoft.com/office/drawing/2014/main" id="{D6ABE2DA-0FE1-4C16-98DC-59826886166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30" name="Text Box 1">
          <a:extLst>
            <a:ext uri="{FF2B5EF4-FFF2-40B4-BE49-F238E27FC236}">
              <a16:creationId xmlns:a16="http://schemas.microsoft.com/office/drawing/2014/main" id="{BCCD1A26-20EC-4371-92E9-AEA609548A6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31" name="Text Box 3">
          <a:extLst>
            <a:ext uri="{FF2B5EF4-FFF2-40B4-BE49-F238E27FC236}">
              <a16:creationId xmlns:a16="http://schemas.microsoft.com/office/drawing/2014/main" id="{0F12545C-927F-4CC6-8872-B885B2BC307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32" name="Text Box 1">
          <a:extLst>
            <a:ext uri="{FF2B5EF4-FFF2-40B4-BE49-F238E27FC236}">
              <a16:creationId xmlns:a16="http://schemas.microsoft.com/office/drawing/2014/main" id="{17381B0D-EDAD-4BFB-B6CE-3C6521161F5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33" name="Text Box 1">
          <a:extLst>
            <a:ext uri="{FF2B5EF4-FFF2-40B4-BE49-F238E27FC236}">
              <a16:creationId xmlns:a16="http://schemas.microsoft.com/office/drawing/2014/main" id="{70122E18-D8E7-4417-97D2-C1D4D8F8DB3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34" name="Text Box 3">
          <a:extLst>
            <a:ext uri="{FF2B5EF4-FFF2-40B4-BE49-F238E27FC236}">
              <a16:creationId xmlns:a16="http://schemas.microsoft.com/office/drawing/2014/main" id="{8D53F4EC-2555-448E-B29D-E040BE95ABC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35" name="Text Box 1">
          <a:extLst>
            <a:ext uri="{FF2B5EF4-FFF2-40B4-BE49-F238E27FC236}">
              <a16:creationId xmlns:a16="http://schemas.microsoft.com/office/drawing/2014/main" id="{A3C94098-9E44-4216-8FFF-1F22C60177E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36" name="Text Box 3">
          <a:extLst>
            <a:ext uri="{FF2B5EF4-FFF2-40B4-BE49-F238E27FC236}">
              <a16:creationId xmlns:a16="http://schemas.microsoft.com/office/drawing/2014/main" id="{4680C25C-A0F5-49CE-AD62-B68FDB9D73F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37" name="Text Box 1">
          <a:extLst>
            <a:ext uri="{FF2B5EF4-FFF2-40B4-BE49-F238E27FC236}">
              <a16:creationId xmlns:a16="http://schemas.microsoft.com/office/drawing/2014/main" id="{E904B770-8921-4A38-9619-1B60F86E4D5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38" name="Text Box 1">
          <a:extLst>
            <a:ext uri="{FF2B5EF4-FFF2-40B4-BE49-F238E27FC236}">
              <a16:creationId xmlns:a16="http://schemas.microsoft.com/office/drawing/2014/main" id="{13CBD236-D8C5-4EEB-A6B0-3D117D73D64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39" name="Text Box 3">
          <a:extLst>
            <a:ext uri="{FF2B5EF4-FFF2-40B4-BE49-F238E27FC236}">
              <a16:creationId xmlns:a16="http://schemas.microsoft.com/office/drawing/2014/main" id="{BB77A25F-D8F5-4721-B597-E55FFCA06ED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40" name="Text Box 1">
          <a:extLst>
            <a:ext uri="{FF2B5EF4-FFF2-40B4-BE49-F238E27FC236}">
              <a16:creationId xmlns:a16="http://schemas.microsoft.com/office/drawing/2014/main" id="{55BF58E9-528F-4132-B787-5489B3DFEB0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41" name="Text Box 3">
          <a:extLst>
            <a:ext uri="{FF2B5EF4-FFF2-40B4-BE49-F238E27FC236}">
              <a16:creationId xmlns:a16="http://schemas.microsoft.com/office/drawing/2014/main" id="{6B1770D5-8F2B-4F99-9FEB-98A1B096250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42" name="Text Box 1">
          <a:extLst>
            <a:ext uri="{FF2B5EF4-FFF2-40B4-BE49-F238E27FC236}">
              <a16:creationId xmlns:a16="http://schemas.microsoft.com/office/drawing/2014/main" id="{4A927F75-A9B6-4402-94E9-0174529002C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43" name="Text Box 1">
          <a:extLst>
            <a:ext uri="{FF2B5EF4-FFF2-40B4-BE49-F238E27FC236}">
              <a16:creationId xmlns:a16="http://schemas.microsoft.com/office/drawing/2014/main" id="{2E99B84D-92DB-4BD7-BC0A-0786464D99B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44" name="Text Box 3">
          <a:extLst>
            <a:ext uri="{FF2B5EF4-FFF2-40B4-BE49-F238E27FC236}">
              <a16:creationId xmlns:a16="http://schemas.microsoft.com/office/drawing/2014/main" id="{FFD653AB-7BFC-40A8-9A5C-60D7E8E9276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45" name="Text Box 1">
          <a:extLst>
            <a:ext uri="{FF2B5EF4-FFF2-40B4-BE49-F238E27FC236}">
              <a16:creationId xmlns:a16="http://schemas.microsoft.com/office/drawing/2014/main" id="{90565A1D-011D-4D6D-9D04-C9CC76E6EB7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46" name="Text Box 3">
          <a:extLst>
            <a:ext uri="{FF2B5EF4-FFF2-40B4-BE49-F238E27FC236}">
              <a16:creationId xmlns:a16="http://schemas.microsoft.com/office/drawing/2014/main" id="{AB31207C-0984-4002-BA22-3769D7CC79E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47" name="Text Box 1">
          <a:extLst>
            <a:ext uri="{FF2B5EF4-FFF2-40B4-BE49-F238E27FC236}">
              <a16:creationId xmlns:a16="http://schemas.microsoft.com/office/drawing/2014/main" id="{C7F7AE89-9E51-4C92-AAF9-F486018DC89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48" name="Text Box 1">
          <a:extLst>
            <a:ext uri="{FF2B5EF4-FFF2-40B4-BE49-F238E27FC236}">
              <a16:creationId xmlns:a16="http://schemas.microsoft.com/office/drawing/2014/main" id="{AD9EE0EA-C0B1-4F3F-804F-9F1A8573310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49" name="Text Box 3">
          <a:extLst>
            <a:ext uri="{FF2B5EF4-FFF2-40B4-BE49-F238E27FC236}">
              <a16:creationId xmlns:a16="http://schemas.microsoft.com/office/drawing/2014/main" id="{7AA7C022-BD88-4C95-855F-93FBCED4AE6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50" name="Text Box 1">
          <a:extLst>
            <a:ext uri="{FF2B5EF4-FFF2-40B4-BE49-F238E27FC236}">
              <a16:creationId xmlns:a16="http://schemas.microsoft.com/office/drawing/2014/main" id="{4761D139-3C1E-47CA-8CBA-7278938D7E1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51" name="Text Box 3">
          <a:extLst>
            <a:ext uri="{FF2B5EF4-FFF2-40B4-BE49-F238E27FC236}">
              <a16:creationId xmlns:a16="http://schemas.microsoft.com/office/drawing/2014/main" id="{B66AE06E-79E3-48A6-8CF7-A105EBA2A75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52" name="Text Box 1">
          <a:extLst>
            <a:ext uri="{FF2B5EF4-FFF2-40B4-BE49-F238E27FC236}">
              <a16:creationId xmlns:a16="http://schemas.microsoft.com/office/drawing/2014/main" id="{3639AAEC-1E23-4BFA-A33A-A4F9C0682B2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53" name="Text Box 1">
          <a:extLst>
            <a:ext uri="{FF2B5EF4-FFF2-40B4-BE49-F238E27FC236}">
              <a16:creationId xmlns:a16="http://schemas.microsoft.com/office/drawing/2014/main" id="{015BD057-F58F-4BB7-999B-7F874C5D6C6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54" name="Text Box 3">
          <a:extLst>
            <a:ext uri="{FF2B5EF4-FFF2-40B4-BE49-F238E27FC236}">
              <a16:creationId xmlns:a16="http://schemas.microsoft.com/office/drawing/2014/main" id="{E2B90BD4-4F93-463F-8A29-F1C4FEE2C33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55" name="Text Box 1">
          <a:extLst>
            <a:ext uri="{FF2B5EF4-FFF2-40B4-BE49-F238E27FC236}">
              <a16:creationId xmlns:a16="http://schemas.microsoft.com/office/drawing/2014/main" id="{109773B8-1C8A-4819-8FAB-A0992C17447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56" name="Text Box 3">
          <a:extLst>
            <a:ext uri="{FF2B5EF4-FFF2-40B4-BE49-F238E27FC236}">
              <a16:creationId xmlns:a16="http://schemas.microsoft.com/office/drawing/2014/main" id="{93555B85-7978-46E8-9D07-138A374A228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57" name="Text Box 1">
          <a:extLst>
            <a:ext uri="{FF2B5EF4-FFF2-40B4-BE49-F238E27FC236}">
              <a16:creationId xmlns:a16="http://schemas.microsoft.com/office/drawing/2014/main" id="{34D3B6F4-3708-4F81-BA32-3C83E3F2A71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58" name="Text Box 1">
          <a:extLst>
            <a:ext uri="{FF2B5EF4-FFF2-40B4-BE49-F238E27FC236}">
              <a16:creationId xmlns:a16="http://schemas.microsoft.com/office/drawing/2014/main" id="{C8ACB030-9149-4327-9C22-F07E3B03208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59" name="Text Box 3">
          <a:extLst>
            <a:ext uri="{FF2B5EF4-FFF2-40B4-BE49-F238E27FC236}">
              <a16:creationId xmlns:a16="http://schemas.microsoft.com/office/drawing/2014/main" id="{24203921-CE60-43AC-939F-6C4259E9A36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60" name="Text Box 1">
          <a:extLst>
            <a:ext uri="{FF2B5EF4-FFF2-40B4-BE49-F238E27FC236}">
              <a16:creationId xmlns:a16="http://schemas.microsoft.com/office/drawing/2014/main" id="{F812F69E-2651-4CDD-8919-4C92F63AC04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61" name="Text Box 3">
          <a:extLst>
            <a:ext uri="{FF2B5EF4-FFF2-40B4-BE49-F238E27FC236}">
              <a16:creationId xmlns:a16="http://schemas.microsoft.com/office/drawing/2014/main" id="{A3DAF03F-4DA3-4B60-86CB-BE02797C2EA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62" name="Text Box 1">
          <a:extLst>
            <a:ext uri="{FF2B5EF4-FFF2-40B4-BE49-F238E27FC236}">
              <a16:creationId xmlns:a16="http://schemas.microsoft.com/office/drawing/2014/main" id="{84EB2F82-B8F6-4254-9750-4C0E42B8DB2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63" name="Text Box 1">
          <a:extLst>
            <a:ext uri="{FF2B5EF4-FFF2-40B4-BE49-F238E27FC236}">
              <a16:creationId xmlns:a16="http://schemas.microsoft.com/office/drawing/2014/main" id="{78082CBE-C546-4089-9A37-B3BD0A81649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64" name="Text Box 3">
          <a:extLst>
            <a:ext uri="{FF2B5EF4-FFF2-40B4-BE49-F238E27FC236}">
              <a16:creationId xmlns:a16="http://schemas.microsoft.com/office/drawing/2014/main" id="{84450006-1D59-45FE-9781-C82476321F2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65" name="Text Box 1">
          <a:extLst>
            <a:ext uri="{FF2B5EF4-FFF2-40B4-BE49-F238E27FC236}">
              <a16:creationId xmlns:a16="http://schemas.microsoft.com/office/drawing/2014/main" id="{12F267AE-1EE6-417F-A8FA-681B1A8C751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66" name="Text Box 3">
          <a:extLst>
            <a:ext uri="{FF2B5EF4-FFF2-40B4-BE49-F238E27FC236}">
              <a16:creationId xmlns:a16="http://schemas.microsoft.com/office/drawing/2014/main" id="{57044685-1896-44F6-A61E-F3E9CC261DF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67" name="Text Box 1">
          <a:extLst>
            <a:ext uri="{FF2B5EF4-FFF2-40B4-BE49-F238E27FC236}">
              <a16:creationId xmlns:a16="http://schemas.microsoft.com/office/drawing/2014/main" id="{7D8277CF-4228-4866-B986-4455F72C6CB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68" name="Text Box 1">
          <a:extLst>
            <a:ext uri="{FF2B5EF4-FFF2-40B4-BE49-F238E27FC236}">
              <a16:creationId xmlns:a16="http://schemas.microsoft.com/office/drawing/2014/main" id="{7CA68BF0-D306-4C33-A595-91F036A9328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69" name="Text Box 3">
          <a:extLst>
            <a:ext uri="{FF2B5EF4-FFF2-40B4-BE49-F238E27FC236}">
              <a16:creationId xmlns:a16="http://schemas.microsoft.com/office/drawing/2014/main" id="{50EDC372-EA62-4F55-9C33-95E9D3D2A14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70" name="Text Box 1">
          <a:extLst>
            <a:ext uri="{FF2B5EF4-FFF2-40B4-BE49-F238E27FC236}">
              <a16:creationId xmlns:a16="http://schemas.microsoft.com/office/drawing/2014/main" id="{0358553C-AF54-460F-BCD7-E975C518723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71" name="Text Box 3">
          <a:extLst>
            <a:ext uri="{FF2B5EF4-FFF2-40B4-BE49-F238E27FC236}">
              <a16:creationId xmlns:a16="http://schemas.microsoft.com/office/drawing/2014/main" id="{272A3A76-A561-495B-85EF-7699FA1D780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72" name="Text Box 1">
          <a:extLst>
            <a:ext uri="{FF2B5EF4-FFF2-40B4-BE49-F238E27FC236}">
              <a16:creationId xmlns:a16="http://schemas.microsoft.com/office/drawing/2014/main" id="{CAB5A6EC-33C8-4F30-A726-7629189AEC4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73" name="Text Box 1">
          <a:extLst>
            <a:ext uri="{FF2B5EF4-FFF2-40B4-BE49-F238E27FC236}">
              <a16:creationId xmlns:a16="http://schemas.microsoft.com/office/drawing/2014/main" id="{4D756B50-617E-4A4D-AC77-C34FC2D7AF7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74" name="Text Box 3">
          <a:extLst>
            <a:ext uri="{FF2B5EF4-FFF2-40B4-BE49-F238E27FC236}">
              <a16:creationId xmlns:a16="http://schemas.microsoft.com/office/drawing/2014/main" id="{0DDAF4DF-3B0A-4AE4-9209-5F5C18F8AC6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75" name="Text Box 1">
          <a:extLst>
            <a:ext uri="{FF2B5EF4-FFF2-40B4-BE49-F238E27FC236}">
              <a16:creationId xmlns:a16="http://schemas.microsoft.com/office/drawing/2014/main" id="{88A13837-A4A1-4003-B807-14CBD8976BC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76" name="Text Box 3">
          <a:extLst>
            <a:ext uri="{FF2B5EF4-FFF2-40B4-BE49-F238E27FC236}">
              <a16:creationId xmlns:a16="http://schemas.microsoft.com/office/drawing/2014/main" id="{88D42745-5E3D-4433-B0B3-E63546F218D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77" name="Text Box 1">
          <a:extLst>
            <a:ext uri="{FF2B5EF4-FFF2-40B4-BE49-F238E27FC236}">
              <a16:creationId xmlns:a16="http://schemas.microsoft.com/office/drawing/2014/main" id="{A202B2D0-5BB6-4866-A05F-F9301DF671B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78" name="Text Box 1">
          <a:extLst>
            <a:ext uri="{FF2B5EF4-FFF2-40B4-BE49-F238E27FC236}">
              <a16:creationId xmlns:a16="http://schemas.microsoft.com/office/drawing/2014/main" id="{DD9104B7-5A2C-49EE-A51E-553B4228152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79" name="Text Box 3">
          <a:extLst>
            <a:ext uri="{FF2B5EF4-FFF2-40B4-BE49-F238E27FC236}">
              <a16:creationId xmlns:a16="http://schemas.microsoft.com/office/drawing/2014/main" id="{20637FB9-82B2-4AC5-9CC6-17BD678B885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80" name="Text Box 1">
          <a:extLst>
            <a:ext uri="{FF2B5EF4-FFF2-40B4-BE49-F238E27FC236}">
              <a16:creationId xmlns:a16="http://schemas.microsoft.com/office/drawing/2014/main" id="{1DD7964E-EB5D-40D7-996D-66C23AB9ECD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81" name="Text Box 3">
          <a:extLst>
            <a:ext uri="{FF2B5EF4-FFF2-40B4-BE49-F238E27FC236}">
              <a16:creationId xmlns:a16="http://schemas.microsoft.com/office/drawing/2014/main" id="{343F4460-86EB-4465-8238-65ED56E98F5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82" name="Text Box 1">
          <a:extLst>
            <a:ext uri="{FF2B5EF4-FFF2-40B4-BE49-F238E27FC236}">
              <a16:creationId xmlns:a16="http://schemas.microsoft.com/office/drawing/2014/main" id="{9D13474A-8F53-4FAA-A0EC-C0A546167F9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83" name="Text Box 1">
          <a:extLst>
            <a:ext uri="{FF2B5EF4-FFF2-40B4-BE49-F238E27FC236}">
              <a16:creationId xmlns:a16="http://schemas.microsoft.com/office/drawing/2014/main" id="{C67462D3-84BC-40A5-BCC5-93266D1230A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84" name="Text Box 3">
          <a:extLst>
            <a:ext uri="{FF2B5EF4-FFF2-40B4-BE49-F238E27FC236}">
              <a16:creationId xmlns:a16="http://schemas.microsoft.com/office/drawing/2014/main" id="{4DB82108-DA26-4E36-AB14-BEC7C3E0EE7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85" name="Text Box 1">
          <a:extLst>
            <a:ext uri="{FF2B5EF4-FFF2-40B4-BE49-F238E27FC236}">
              <a16:creationId xmlns:a16="http://schemas.microsoft.com/office/drawing/2014/main" id="{0309BA1E-071E-41E0-A36F-7CA708F87C2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86" name="Text Box 3">
          <a:extLst>
            <a:ext uri="{FF2B5EF4-FFF2-40B4-BE49-F238E27FC236}">
              <a16:creationId xmlns:a16="http://schemas.microsoft.com/office/drawing/2014/main" id="{157F88DF-A03E-4C04-9A52-343A5B4831A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87" name="Text Box 1">
          <a:extLst>
            <a:ext uri="{FF2B5EF4-FFF2-40B4-BE49-F238E27FC236}">
              <a16:creationId xmlns:a16="http://schemas.microsoft.com/office/drawing/2014/main" id="{D165D700-AA22-433A-BA67-C27579CB930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88" name="Text Box 1">
          <a:extLst>
            <a:ext uri="{FF2B5EF4-FFF2-40B4-BE49-F238E27FC236}">
              <a16:creationId xmlns:a16="http://schemas.microsoft.com/office/drawing/2014/main" id="{5E41170F-5B2A-4527-AA92-79B18A5C1B1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89" name="Text Box 3">
          <a:extLst>
            <a:ext uri="{FF2B5EF4-FFF2-40B4-BE49-F238E27FC236}">
              <a16:creationId xmlns:a16="http://schemas.microsoft.com/office/drawing/2014/main" id="{9E23FCFB-C410-4003-BE9A-16482DC2E4A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90" name="Text Box 1">
          <a:extLst>
            <a:ext uri="{FF2B5EF4-FFF2-40B4-BE49-F238E27FC236}">
              <a16:creationId xmlns:a16="http://schemas.microsoft.com/office/drawing/2014/main" id="{BBD191EB-68FD-47F8-82A9-14DB0A48DD3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91" name="Text Box 3">
          <a:extLst>
            <a:ext uri="{FF2B5EF4-FFF2-40B4-BE49-F238E27FC236}">
              <a16:creationId xmlns:a16="http://schemas.microsoft.com/office/drawing/2014/main" id="{D026B3FB-CADE-48FC-8273-FB70EA5F1C6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92" name="Text Box 1">
          <a:extLst>
            <a:ext uri="{FF2B5EF4-FFF2-40B4-BE49-F238E27FC236}">
              <a16:creationId xmlns:a16="http://schemas.microsoft.com/office/drawing/2014/main" id="{433C2A7A-62E9-4707-A12D-A23FF4B0D36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93" name="Text Box 1">
          <a:extLst>
            <a:ext uri="{FF2B5EF4-FFF2-40B4-BE49-F238E27FC236}">
              <a16:creationId xmlns:a16="http://schemas.microsoft.com/office/drawing/2014/main" id="{01118726-FA7B-4394-BE60-47615CF0337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94" name="Text Box 3">
          <a:extLst>
            <a:ext uri="{FF2B5EF4-FFF2-40B4-BE49-F238E27FC236}">
              <a16:creationId xmlns:a16="http://schemas.microsoft.com/office/drawing/2014/main" id="{BA328ECD-A266-4FAB-A61D-8A19CB630AF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95" name="Text Box 1">
          <a:extLst>
            <a:ext uri="{FF2B5EF4-FFF2-40B4-BE49-F238E27FC236}">
              <a16:creationId xmlns:a16="http://schemas.microsoft.com/office/drawing/2014/main" id="{1B3F1847-E1F3-40B5-BA6B-C53632874E7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96" name="Text Box 3">
          <a:extLst>
            <a:ext uri="{FF2B5EF4-FFF2-40B4-BE49-F238E27FC236}">
              <a16:creationId xmlns:a16="http://schemas.microsoft.com/office/drawing/2014/main" id="{B7C0DC6D-0D92-4645-BF07-722E99D8044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97" name="Text Box 1">
          <a:extLst>
            <a:ext uri="{FF2B5EF4-FFF2-40B4-BE49-F238E27FC236}">
              <a16:creationId xmlns:a16="http://schemas.microsoft.com/office/drawing/2014/main" id="{AEB33D83-7A6B-49CE-8A7E-BD9CF206888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98" name="Text Box 1">
          <a:extLst>
            <a:ext uri="{FF2B5EF4-FFF2-40B4-BE49-F238E27FC236}">
              <a16:creationId xmlns:a16="http://schemas.microsoft.com/office/drawing/2014/main" id="{9017E615-B44E-499C-B026-8C17A3CE3F6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99" name="Text Box 3">
          <a:extLst>
            <a:ext uri="{FF2B5EF4-FFF2-40B4-BE49-F238E27FC236}">
              <a16:creationId xmlns:a16="http://schemas.microsoft.com/office/drawing/2014/main" id="{ED20C146-BA89-496B-B5FD-92F1F1E445C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00" name="Text Box 1">
          <a:extLst>
            <a:ext uri="{FF2B5EF4-FFF2-40B4-BE49-F238E27FC236}">
              <a16:creationId xmlns:a16="http://schemas.microsoft.com/office/drawing/2014/main" id="{0C548129-953E-45DD-9B61-8A4A9E95263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01" name="Text Box 3">
          <a:extLst>
            <a:ext uri="{FF2B5EF4-FFF2-40B4-BE49-F238E27FC236}">
              <a16:creationId xmlns:a16="http://schemas.microsoft.com/office/drawing/2014/main" id="{40A6560E-F218-4F83-BD61-740CBC8C211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02" name="Text Box 1">
          <a:extLst>
            <a:ext uri="{FF2B5EF4-FFF2-40B4-BE49-F238E27FC236}">
              <a16:creationId xmlns:a16="http://schemas.microsoft.com/office/drawing/2014/main" id="{D7C16F8F-CF07-42ED-94B4-495CFF070B9E}"/>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03" name="Text Box 3">
          <a:extLst>
            <a:ext uri="{FF2B5EF4-FFF2-40B4-BE49-F238E27FC236}">
              <a16:creationId xmlns:a16="http://schemas.microsoft.com/office/drawing/2014/main" id="{573EC8EB-A2A2-4726-AFA6-B2560AC38D73}"/>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04" name="Text Box 1">
          <a:extLst>
            <a:ext uri="{FF2B5EF4-FFF2-40B4-BE49-F238E27FC236}">
              <a16:creationId xmlns:a16="http://schemas.microsoft.com/office/drawing/2014/main" id="{D6B8DB0F-1BD8-4981-9497-87456C046210}"/>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05" name="Text Box 3">
          <a:extLst>
            <a:ext uri="{FF2B5EF4-FFF2-40B4-BE49-F238E27FC236}">
              <a16:creationId xmlns:a16="http://schemas.microsoft.com/office/drawing/2014/main" id="{9F9B2DED-9B56-48DB-A7B9-E19634AB7BF6}"/>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06" name="Text Box 1">
          <a:extLst>
            <a:ext uri="{FF2B5EF4-FFF2-40B4-BE49-F238E27FC236}">
              <a16:creationId xmlns:a16="http://schemas.microsoft.com/office/drawing/2014/main" id="{615A3574-C3FE-44B4-BF76-54D5154C9C22}"/>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07" name="Text Box 1">
          <a:extLst>
            <a:ext uri="{FF2B5EF4-FFF2-40B4-BE49-F238E27FC236}">
              <a16:creationId xmlns:a16="http://schemas.microsoft.com/office/drawing/2014/main" id="{D126964A-DB6B-4B26-A5ED-C8D8E4A9F8CC}"/>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08" name="Text Box 3">
          <a:extLst>
            <a:ext uri="{FF2B5EF4-FFF2-40B4-BE49-F238E27FC236}">
              <a16:creationId xmlns:a16="http://schemas.microsoft.com/office/drawing/2014/main" id="{C764E33D-F0CD-4C00-B323-B38C0D4C4346}"/>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09" name="Text Box 1">
          <a:extLst>
            <a:ext uri="{FF2B5EF4-FFF2-40B4-BE49-F238E27FC236}">
              <a16:creationId xmlns:a16="http://schemas.microsoft.com/office/drawing/2014/main" id="{C0CC6A71-DF51-4D50-985A-9E938650F266}"/>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10" name="Text Box 3">
          <a:extLst>
            <a:ext uri="{FF2B5EF4-FFF2-40B4-BE49-F238E27FC236}">
              <a16:creationId xmlns:a16="http://schemas.microsoft.com/office/drawing/2014/main" id="{18C4845E-C105-4DE8-BE1D-B248881B9C51}"/>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11" name="Text Box 1">
          <a:extLst>
            <a:ext uri="{FF2B5EF4-FFF2-40B4-BE49-F238E27FC236}">
              <a16:creationId xmlns:a16="http://schemas.microsoft.com/office/drawing/2014/main" id="{7CA6D96F-E86D-43EA-ADF2-5B02FDB3516B}"/>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12" name="Text Box 1">
          <a:extLst>
            <a:ext uri="{FF2B5EF4-FFF2-40B4-BE49-F238E27FC236}">
              <a16:creationId xmlns:a16="http://schemas.microsoft.com/office/drawing/2014/main" id="{959AFAB0-0F89-456A-A43E-A534E428C557}"/>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13" name="Text Box 3">
          <a:extLst>
            <a:ext uri="{FF2B5EF4-FFF2-40B4-BE49-F238E27FC236}">
              <a16:creationId xmlns:a16="http://schemas.microsoft.com/office/drawing/2014/main" id="{BC99F598-436C-44DB-9666-305A03FFB2B2}"/>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14" name="Text Box 1">
          <a:extLst>
            <a:ext uri="{FF2B5EF4-FFF2-40B4-BE49-F238E27FC236}">
              <a16:creationId xmlns:a16="http://schemas.microsoft.com/office/drawing/2014/main" id="{8F2D449A-0F2B-4FD6-B281-CCA8814D6BB1}"/>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15" name="Text Box 1">
          <a:extLst>
            <a:ext uri="{FF2B5EF4-FFF2-40B4-BE49-F238E27FC236}">
              <a16:creationId xmlns:a16="http://schemas.microsoft.com/office/drawing/2014/main" id="{94F6391A-7193-458C-9C93-BF1F4FF6FCE9}"/>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16" name="Text Box 3">
          <a:extLst>
            <a:ext uri="{FF2B5EF4-FFF2-40B4-BE49-F238E27FC236}">
              <a16:creationId xmlns:a16="http://schemas.microsoft.com/office/drawing/2014/main" id="{FF29031F-F79D-4EFE-B6F0-C516EC43B0CF}"/>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17" name="Text Box 1">
          <a:extLst>
            <a:ext uri="{FF2B5EF4-FFF2-40B4-BE49-F238E27FC236}">
              <a16:creationId xmlns:a16="http://schemas.microsoft.com/office/drawing/2014/main" id="{8E6F003B-4660-43ED-AD42-1913114A795B}"/>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18" name="Text Box 3">
          <a:extLst>
            <a:ext uri="{FF2B5EF4-FFF2-40B4-BE49-F238E27FC236}">
              <a16:creationId xmlns:a16="http://schemas.microsoft.com/office/drawing/2014/main" id="{487497DD-E06F-4501-AF02-3D6D82FC648D}"/>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19" name="Text Box 1">
          <a:extLst>
            <a:ext uri="{FF2B5EF4-FFF2-40B4-BE49-F238E27FC236}">
              <a16:creationId xmlns:a16="http://schemas.microsoft.com/office/drawing/2014/main" id="{4052838A-EC3F-4088-8BB4-9100F958B2EB}"/>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20" name="Text Box 1">
          <a:extLst>
            <a:ext uri="{FF2B5EF4-FFF2-40B4-BE49-F238E27FC236}">
              <a16:creationId xmlns:a16="http://schemas.microsoft.com/office/drawing/2014/main" id="{53D14398-EE3D-4D25-B1E6-BA887FE5D4C8}"/>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21" name="Text Box 3">
          <a:extLst>
            <a:ext uri="{FF2B5EF4-FFF2-40B4-BE49-F238E27FC236}">
              <a16:creationId xmlns:a16="http://schemas.microsoft.com/office/drawing/2014/main" id="{D41C874D-ECA7-4A9C-8281-841EC33FEC30}"/>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22" name="Text Box 1">
          <a:extLst>
            <a:ext uri="{FF2B5EF4-FFF2-40B4-BE49-F238E27FC236}">
              <a16:creationId xmlns:a16="http://schemas.microsoft.com/office/drawing/2014/main" id="{CC9FAEBA-1BBD-4B93-B6E5-81E1EB4B5D90}"/>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23" name="Text Box 3">
          <a:extLst>
            <a:ext uri="{FF2B5EF4-FFF2-40B4-BE49-F238E27FC236}">
              <a16:creationId xmlns:a16="http://schemas.microsoft.com/office/drawing/2014/main" id="{782A4CFD-AF8A-4ED4-B2B7-0B079D9FC6A9}"/>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24" name="Text Box 1">
          <a:extLst>
            <a:ext uri="{FF2B5EF4-FFF2-40B4-BE49-F238E27FC236}">
              <a16:creationId xmlns:a16="http://schemas.microsoft.com/office/drawing/2014/main" id="{A73D7BCF-AB3A-4FFD-9A5F-C6763EC6159E}"/>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25" name="Text Box 1">
          <a:extLst>
            <a:ext uri="{FF2B5EF4-FFF2-40B4-BE49-F238E27FC236}">
              <a16:creationId xmlns:a16="http://schemas.microsoft.com/office/drawing/2014/main" id="{F6A0DC9B-29F6-4889-BC0C-37743408031A}"/>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26" name="Text Box 3">
          <a:extLst>
            <a:ext uri="{FF2B5EF4-FFF2-40B4-BE49-F238E27FC236}">
              <a16:creationId xmlns:a16="http://schemas.microsoft.com/office/drawing/2014/main" id="{A92260D2-1571-4504-BD05-6EC8ED690298}"/>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27" name="Text Box 3">
          <a:extLst>
            <a:ext uri="{FF2B5EF4-FFF2-40B4-BE49-F238E27FC236}">
              <a16:creationId xmlns:a16="http://schemas.microsoft.com/office/drawing/2014/main" id="{8EE2557B-F47A-4E75-A3F9-F4DAAA5C54E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28" name="Text Box 1">
          <a:extLst>
            <a:ext uri="{FF2B5EF4-FFF2-40B4-BE49-F238E27FC236}">
              <a16:creationId xmlns:a16="http://schemas.microsoft.com/office/drawing/2014/main" id="{EE52D358-0EA2-4C90-8554-662067AA0D5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29" name="Text Box 3">
          <a:extLst>
            <a:ext uri="{FF2B5EF4-FFF2-40B4-BE49-F238E27FC236}">
              <a16:creationId xmlns:a16="http://schemas.microsoft.com/office/drawing/2014/main" id="{A3419689-AC4D-4A0B-89EC-7EC7C2827D6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30" name="Text Box 1">
          <a:extLst>
            <a:ext uri="{FF2B5EF4-FFF2-40B4-BE49-F238E27FC236}">
              <a16:creationId xmlns:a16="http://schemas.microsoft.com/office/drawing/2014/main" id="{C7B7014E-1B85-447A-BADA-A477D5FAE98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31" name="Text Box 1">
          <a:extLst>
            <a:ext uri="{FF2B5EF4-FFF2-40B4-BE49-F238E27FC236}">
              <a16:creationId xmlns:a16="http://schemas.microsoft.com/office/drawing/2014/main" id="{5468E6EE-E4CC-4C6B-A3DA-637CD5EA79F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32" name="Text Box 3">
          <a:extLst>
            <a:ext uri="{FF2B5EF4-FFF2-40B4-BE49-F238E27FC236}">
              <a16:creationId xmlns:a16="http://schemas.microsoft.com/office/drawing/2014/main" id="{B1810012-2B2B-44B8-B383-8170F8AA856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33" name="Text Box 1">
          <a:extLst>
            <a:ext uri="{FF2B5EF4-FFF2-40B4-BE49-F238E27FC236}">
              <a16:creationId xmlns:a16="http://schemas.microsoft.com/office/drawing/2014/main" id="{73E4754C-5464-43CD-862B-75932A31627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34" name="Text Box 3">
          <a:extLst>
            <a:ext uri="{FF2B5EF4-FFF2-40B4-BE49-F238E27FC236}">
              <a16:creationId xmlns:a16="http://schemas.microsoft.com/office/drawing/2014/main" id="{6CAC0599-878F-47FA-9CE9-C85F842B3D2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35" name="Text Box 1">
          <a:extLst>
            <a:ext uri="{FF2B5EF4-FFF2-40B4-BE49-F238E27FC236}">
              <a16:creationId xmlns:a16="http://schemas.microsoft.com/office/drawing/2014/main" id="{F26D3A3F-E945-4FDB-8341-AC63A3F6516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36" name="Text Box 1">
          <a:extLst>
            <a:ext uri="{FF2B5EF4-FFF2-40B4-BE49-F238E27FC236}">
              <a16:creationId xmlns:a16="http://schemas.microsoft.com/office/drawing/2014/main" id="{AB228408-9A7A-48C9-9FAA-8277D16A2B0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37" name="Text Box 3">
          <a:extLst>
            <a:ext uri="{FF2B5EF4-FFF2-40B4-BE49-F238E27FC236}">
              <a16:creationId xmlns:a16="http://schemas.microsoft.com/office/drawing/2014/main" id="{C9DF3A2E-68EB-4BC3-8FDD-6666302B782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38" name="Text Box 1">
          <a:extLst>
            <a:ext uri="{FF2B5EF4-FFF2-40B4-BE49-F238E27FC236}">
              <a16:creationId xmlns:a16="http://schemas.microsoft.com/office/drawing/2014/main" id="{65E7F00E-9802-40A6-8648-ED5029B4262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39" name="Text Box 1">
          <a:extLst>
            <a:ext uri="{FF2B5EF4-FFF2-40B4-BE49-F238E27FC236}">
              <a16:creationId xmlns:a16="http://schemas.microsoft.com/office/drawing/2014/main" id="{18A20225-70D2-4647-B8B5-D6E8EEB6118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40" name="Text Box 3">
          <a:extLst>
            <a:ext uri="{FF2B5EF4-FFF2-40B4-BE49-F238E27FC236}">
              <a16:creationId xmlns:a16="http://schemas.microsoft.com/office/drawing/2014/main" id="{AEBDBF24-5E85-444C-9D3B-5F8752A8640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41" name="Text Box 1">
          <a:extLst>
            <a:ext uri="{FF2B5EF4-FFF2-40B4-BE49-F238E27FC236}">
              <a16:creationId xmlns:a16="http://schemas.microsoft.com/office/drawing/2014/main" id="{E7BEB93B-E467-46CD-B170-5FC0A5E2318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42" name="Text Box 3">
          <a:extLst>
            <a:ext uri="{FF2B5EF4-FFF2-40B4-BE49-F238E27FC236}">
              <a16:creationId xmlns:a16="http://schemas.microsoft.com/office/drawing/2014/main" id="{4F70C1DE-59C5-4EA6-A33A-497BE62695F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43" name="Text Box 1">
          <a:extLst>
            <a:ext uri="{FF2B5EF4-FFF2-40B4-BE49-F238E27FC236}">
              <a16:creationId xmlns:a16="http://schemas.microsoft.com/office/drawing/2014/main" id="{3D55F8D2-ECB9-4385-AB4F-C754B19B834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44" name="Text Box 3">
          <a:extLst>
            <a:ext uri="{FF2B5EF4-FFF2-40B4-BE49-F238E27FC236}">
              <a16:creationId xmlns:a16="http://schemas.microsoft.com/office/drawing/2014/main" id="{65A25DA3-32C4-452B-9A32-F7CB17336CA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45" name="Text Box 1">
          <a:extLst>
            <a:ext uri="{FF2B5EF4-FFF2-40B4-BE49-F238E27FC236}">
              <a16:creationId xmlns:a16="http://schemas.microsoft.com/office/drawing/2014/main" id="{FE0A432A-B4B7-460A-945C-0DAEDBA6DCD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46" name="Text Box 3">
          <a:extLst>
            <a:ext uri="{FF2B5EF4-FFF2-40B4-BE49-F238E27FC236}">
              <a16:creationId xmlns:a16="http://schemas.microsoft.com/office/drawing/2014/main" id="{A2F546AE-1538-402E-8084-40F7CB282DB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47" name="Text Box 1">
          <a:extLst>
            <a:ext uri="{FF2B5EF4-FFF2-40B4-BE49-F238E27FC236}">
              <a16:creationId xmlns:a16="http://schemas.microsoft.com/office/drawing/2014/main" id="{8BE9FC55-34EA-4DA0-9D2B-34F96339C41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48" name="Text Box 1">
          <a:extLst>
            <a:ext uri="{FF2B5EF4-FFF2-40B4-BE49-F238E27FC236}">
              <a16:creationId xmlns:a16="http://schemas.microsoft.com/office/drawing/2014/main" id="{AC7335ED-1BAB-4488-8C7E-57481244A07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49" name="Text Box 3">
          <a:extLst>
            <a:ext uri="{FF2B5EF4-FFF2-40B4-BE49-F238E27FC236}">
              <a16:creationId xmlns:a16="http://schemas.microsoft.com/office/drawing/2014/main" id="{9CA3A807-200C-4CA8-9340-882D77DDFD8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50" name="Text Box 1">
          <a:extLst>
            <a:ext uri="{FF2B5EF4-FFF2-40B4-BE49-F238E27FC236}">
              <a16:creationId xmlns:a16="http://schemas.microsoft.com/office/drawing/2014/main" id="{0B9A53B1-2A07-4D4D-BE70-2EE846FB408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51" name="Text Box 1">
          <a:extLst>
            <a:ext uri="{FF2B5EF4-FFF2-40B4-BE49-F238E27FC236}">
              <a16:creationId xmlns:a16="http://schemas.microsoft.com/office/drawing/2014/main" id="{05A55221-A67E-44B5-8226-A90FF806DB6F}"/>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52" name="Text Box 1">
          <a:extLst>
            <a:ext uri="{FF2B5EF4-FFF2-40B4-BE49-F238E27FC236}">
              <a16:creationId xmlns:a16="http://schemas.microsoft.com/office/drawing/2014/main" id="{49C1F483-6538-4232-9612-EB8D16D1FF8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53" name="Text Box 3">
          <a:extLst>
            <a:ext uri="{FF2B5EF4-FFF2-40B4-BE49-F238E27FC236}">
              <a16:creationId xmlns:a16="http://schemas.microsoft.com/office/drawing/2014/main" id="{385F1D8A-00DF-4E3B-BD68-D2D158906B7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54" name="Text Box 1">
          <a:extLst>
            <a:ext uri="{FF2B5EF4-FFF2-40B4-BE49-F238E27FC236}">
              <a16:creationId xmlns:a16="http://schemas.microsoft.com/office/drawing/2014/main" id="{DCA498D9-FC91-47C3-A0A1-E801DF1C683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55" name="Text Box 3">
          <a:extLst>
            <a:ext uri="{FF2B5EF4-FFF2-40B4-BE49-F238E27FC236}">
              <a16:creationId xmlns:a16="http://schemas.microsoft.com/office/drawing/2014/main" id="{8F903FEF-D766-49CB-8BF4-5D5B82C9486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56" name="Text Box 1">
          <a:extLst>
            <a:ext uri="{FF2B5EF4-FFF2-40B4-BE49-F238E27FC236}">
              <a16:creationId xmlns:a16="http://schemas.microsoft.com/office/drawing/2014/main" id="{215F4A3A-BFD5-45BE-BD02-E264D017722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57" name="Text Box 1">
          <a:extLst>
            <a:ext uri="{FF2B5EF4-FFF2-40B4-BE49-F238E27FC236}">
              <a16:creationId xmlns:a16="http://schemas.microsoft.com/office/drawing/2014/main" id="{9D7F1455-4536-4CFB-A507-2E9349DC6B2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58" name="Text Box 3">
          <a:extLst>
            <a:ext uri="{FF2B5EF4-FFF2-40B4-BE49-F238E27FC236}">
              <a16:creationId xmlns:a16="http://schemas.microsoft.com/office/drawing/2014/main" id="{05B22D67-728A-4E70-A896-21E1D24D787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59" name="Text Box 1">
          <a:extLst>
            <a:ext uri="{FF2B5EF4-FFF2-40B4-BE49-F238E27FC236}">
              <a16:creationId xmlns:a16="http://schemas.microsoft.com/office/drawing/2014/main" id="{E17057BF-40D0-47A2-BF90-87B4797EA0C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60" name="Text Box 3">
          <a:extLst>
            <a:ext uri="{FF2B5EF4-FFF2-40B4-BE49-F238E27FC236}">
              <a16:creationId xmlns:a16="http://schemas.microsoft.com/office/drawing/2014/main" id="{0361B42C-2316-4865-9B16-6691B519859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61" name="Text Box 1">
          <a:extLst>
            <a:ext uri="{FF2B5EF4-FFF2-40B4-BE49-F238E27FC236}">
              <a16:creationId xmlns:a16="http://schemas.microsoft.com/office/drawing/2014/main" id="{AD28C3F7-E971-4FF3-8DC5-53BEB27F2F4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62" name="Text Box 1">
          <a:extLst>
            <a:ext uri="{FF2B5EF4-FFF2-40B4-BE49-F238E27FC236}">
              <a16:creationId xmlns:a16="http://schemas.microsoft.com/office/drawing/2014/main" id="{7E70770D-9856-4DBC-80F1-9FC2B2E90BC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63" name="Text Box 3">
          <a:extLst>
            <a:ext uri="{FF2B5EF4-FFF2-40B4-BE49-F238E27FC236}">
              <a16:creationId xmlns:a16="http://schemas.microsoft.com/office/drawing/2014/main" id="{80C6E207-906B-44EE-8178-5BAAE4C1687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64" name="Text Box 1">
          <a:extLst>
            <a:ext uri="{FF2B5EF4-FFF2-40B4-BE49-F238E27FC236}">
              <a16:creationId xmlns:a16="http://schemas.microsoft.com/office/drawing/2014/main" id="{95CBF9A6-2EE8-4172-9B5D-F8F6CB88587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65" name="Text Box 3">
          <a:extLst>
            <a:ext uri="{FF2B5EF4-FFF2-40B4-BE49-F238E27FC236}">
              <a16:creationId xmlns:a16="http://schemas.microsoft.com/office/drawing/2014/main" id="{E943E69F-15A5-4CAB-843F-86DE06634CC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66" name="Text Box 1">
          <a:extLst>
            <a:ext uri="{FF2B5EF4-FFF2-40B4-BE49-F238E27FC236}">
              <a16:creationId xmlns:a16="http://schemas.microsoft.com/office/drawing/2014/main" id="{358E975C-0D37-46D4-B3A4-ED3A29F061F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67" name="Text Box 1">
          <a:extLst>
            <a:ext uri="{FF2B5EF4-FFF2-40B4-BE49-F238E27FC236}">
              <a16:creationId xmlns:a16="http://schemas.microsoft.com/office/drawing/2014/main" id="{E2FA5B1D-9202-433D-A6FC-F5618ACCC91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68" name="Text Box 3">
          <a:extLst>
            <a:ext uri="{FF2B5EF4-FFF2-40B4-BE49-F238E27FC236}">
              <a16:creationId xmlns:a16="http://schemas.microsoft.com/office/drawing/2014/main" id="{3131B091-8CD6-4CC9-8671-90CBA9EE7AA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69" name="Text Box 1">
          <a:extLst>
            <a:ext uri="{FF2B5EF4-FFF2-40B4-BE49-F238E27FC236}">
              <a16:creationId xmlns:a16="http://schemas.microsoft.com/office/drawing/2014/main" id="{80703CC0-1573-46B3-9A12-33467501392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70" name="Text Box 3">
          <a:extLst>
            <a:ext uri="{FF2B5EF4-FFF2-40B4-BE49-F238E27FC236}">
              <a16:creationId xmlns:a16="http://schemas.microsoft.com/office/drawing/2014/main" id="{0860B171-CC29-4CE0-BC83-C9393BB9D4D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71" name="Text Box 1">
          <a:extLst>
            <a:ext uri="{FF2B5EF4-FFF2-40B4-BE49-F238E27FC236}">
              <a16:creationId xmlns:a16="http://schemas.microsoft.com/office/drawing/2014/main" id="{15063038-9634-40EC-B055-E14A7A815B4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72" name="Text Box 1">
          <a:extLst>
            <a:ext uri="{FF2B5EF4-FFF2-40B4-BE49-F238E27FC236}">
              <a16:creationId xmlns:a16="http://schemas.microsoft.com/office/drawing/2014/main" id="{1BA07DD7-C4E9-4CED-919A-C631F02BF4C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73" name="Text Box 3">
          <a:extLst>
            <a:ext uri="{FF2B5EF4-FFF2-40B4-BE49-F238E27FC236}">
              <a16:creationId xmlns:a16="http://schemas.microsoft.com/office/drawing/2014/main" id="{EC7A3406-ED13-453B-AE43-8605FCCEC66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74" name="Text Box 1">
          <a:extLst>
            <a:ext uri="{FF2B5EF4-FFF2-40B4-BE49-F238E27FC236}">
              <a16:creationId xmlns:a16="http://schemas.microsoft.com/office/drawing/2014/main" id="{A4644A5C-9387-4E61-85B7-9896109E67E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75" name="Text Box 3">
          <a:extLst>
            <a:ext uri="{FF2B5EF4-FFF2-40B4-BE49-F238E27FC236}">
              <a16:creationId xmlns:a16="http://schemas.microsoft.com/office/drawing/2014/main" id="{13E50AA0-92B5-4611-B81A-672FF811ACE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76" name="Text Box 1">
          <a:extLst>
            <a:ext uri="{FF2B5EF4-FFF2-40B4-BE49-F238E27FC236}">
              <a16:creationId xmlns:a16="http://schemas.microsoft.com/office/drawing/2014/main" id="{36504C08-1639-4E1A-8D93-F2FB397B837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77" name="Text Box 1">
          <a:extLst>
            <a:ext uri="{FF2B5EF4-FFF2-40B4-BE49-F238E27FC236}">
              <a16:creationId xmlns:a16="http://schemas.microsoft.com/office/drawing/2014/main" id="{DE4C4F7A-62FB-4DC7-A196-431693009E2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78" name="Text Box 3">
          <a:extLst>
            <a:ext uri="{FF2B5EF4-FFF2-40B4-BE49-F238E27FC236}">
              <a16:creationId xmlns:a16="http://schemas.microsoft.com/office/drawing/2014/main" id="{F92058F7-9D4E-4FEB-8604-9F1500AB1A2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79" name="Text Box 1">
          <a:extLst>
            <a:ext uri="{FF2B5EF4-FFF2-40B4-BE49-F238E27FC236}">
              <a16:creationId xmlns:a16="http://schemas.microsoft.com/office/drawing/2014/main" id="{5CC1698C-543B-49DA-BEEB-1E0196B0692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80" name="Text Box 3">
          <a:extLst>
            <a:ext uri="{FF2B5EF4-FFF2-40B4-BE49-F238E27FC236}">
              <a16:creationId xmlns:a16="http://schemas.microsoft.com/office/drawing/2014/main" id="{C61CE1CD-97F4-46D8-B770-D65B0CBED15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81" name="Text Box 1">
          <a:extLst>
            <a:ext uri="{FF2B5EF4-FFF2-40B4-BE49-F238E27FC236}">
              <a16:creationId xmlns:a16="http://schemas.microsoft.com/office/drawing/2014/main" id="{18C0855A-52D7-4A44-8DD3-BA3CBC643A1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82" name="Text Box 1">
          <a:extLst>
            <a:ext uri="{FF2B5EF4-FFF2-40B4-BE49-F238E27FC236}">
              <a16:creationId xmlns:a16="http://schemas.microsoft.com/office/drawing/2014/main" id="{AA3DFEBD-900D-4160-81ED-12C2242A0B0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83" name="Text Box 3">
          <a:extLst>
            <a:ext uri="{FF2B5EF4-FFF2-40B4-BE49-F238E27FC236}">
              <a16:creationId xmlns:a16="http://schemas.microsoft.com/office/drawing/2014/main" id="{C320EF23-470D-4A54-86D7-A9000011937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84" name="Text Box 1">
          <a:extLst>
            <a:ext uri="{FF2B5EF4-FFF2-40B4-BE49-F238E27FC236}">
              <a16:creationId xmlns:a16="http://schemas.microsoft.com/office/drawing/2014/main" id="{11F30DB8-6035-4610-B497-A7EC298DB56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85" name="Text Box 3">
          <a:extLst>
            <a:ext uri="{FF2B5EF4-FFF2-40B4-BE49-F238E27FC236}">
              <a16:creationId xmlns:a16="http://schemas.microsoft.com/office/drawing/2014/main" id="{93BA6DFB-F77B-4F6D-8F87-FBF65F2A456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86" name="Text Box 1">
          <a:extLst>
            <a:ext uri="{FF2B5EF4-FFF2-40B4-BE49-F238E27FC236}">
              <a16:creationId xmlns:a16="http://schemas.microsoft.com/office/drawing/2014/main" id="{01580FF3-604A-40EE-B101-B8E5FF84866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87" name="Text Box 1">
          <a:extLst>
            <a:ext uri="{FF2B5EF4-FFF2-40B4-BE49-F238E27FC236}">
              <a16:creationId xmlns:a16="http://schemas.microsoft.com/office/drawing/2014/main" id="{B1C9860A-F35D-4F48-9E52-6E7417F13ED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88" name="Text Box 3">
          <a:extLst>
            <a:ext uri="{FF2B5EF4-FFF2-40B4-BE49-F238E27FC236}">
              <a16:creationId xmlns:a16="http://schemas.microsoft.com/office/drawing/2014/main" id="{524FFF1A-CC78-4A1D-86C2-8DB4FE08C30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89" name="Text Box 1">
          <a:extLst>
            <a:ext uri="{FF2B5EF4-FFF2-40B4-BE49-F238E27FC236}">
              <a16:creationId xmlns:a16="http://schemas.microsoft.com/office/drawing/2014/main" id="{9B772214-ABDE-416D-83B4-3960EA9770B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90" name="Text Box 3">
          <a:extLst>
            <a:ext uri="{FF2B5EF4-FFF2-40B4-BE49-F238E27FC236}">
              <a16:creationId xmlns:a16="http://schemas.microsoft.com/office/drawing/2014/main" id="{95CDAB79-5DD3-43FB-8E34-08161030173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91" name="Text Box 1">
          <a:extLst>
            <a:ext uri="{FF2B5EF4-FFF2-40B4-BE49-F238E27FC236}">
              <a16:creationId xmlns:a16="http://schemas.microsoft.com/office/drawing/2014/main" id="{690BDED8-D178-4A13-9862-9FE3C8B6B3E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92" name="Text Box 1">
          <a:extLst>
            <a:ext uri="{FF2B5EF4-FFF2-40B4-BE49-F238E27FC236}">
              <a16:creationId xmlns:a16="http://schemas.microsoft.com/office/drawing/2014/main" id="{4B87DD60-B02D-41C5-A7D8-28F4F373D69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93" name="Text Box 3">
          <a:extLst>
            <a:ext uri="{FF2B5EF4-FFF2-40B4-BE49-F238E27FC236}">
              <a16:creationId xmlns:a16="http://schemas.microsoft.com/office/drawing/2014/main" id="{CBA577BC-0528-424E-9C06-0F65F905DF6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94" name="Text Box 1">
          <a:extLst>
            <a:ext uri="{FF2B5EF4-FFF2-40B4-BE49-F238E27FC236}">
              <a16:creationId xmlns:a16="http://schemas.microsoft.com/office/drawing/2014/main" id="{7FF3C2E9-AB19-4B5B-A3C0-A804BDC4E92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95" name="Text Box 3">
          <a:extLst>
            <a:ext uri="{FF2B5EF4-FFF2-40B4-BE49-F238E27FC236}">
              <a16:creationId xmlns:a16="http://schemas.microsoft.com/office/drawing/2014/main" id="{E5547EED-19B5-4512-BAB7-27DEF7230CB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96" name="Text Box 1">
          <a:extLst>
            <a:ext uri="{FF2B5EF4-FFF2-40B4-BE49-F238E27FC236}">
              <a16:creationId xmlns:a16="http://schemas.microsoft.com/office/drawing/2014/main" id="{B1B2E53D-B94F-4429-80FB-D93050C9AC3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97" name="Text Box 1">
          <a:extLst>
            <a:ext uri="{FF2B5EF4-FFF2-40B4-BE49-F238E27FC236}">
              <a16:creationId xmlns:a16="http://schemas.microsoft.com/office/drawing/2014/main" id="{1B59DBA2-C31F-4A46-A968-48F2B895FEC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98" name="Text Box 3">
          <a:extLst>
            <a:ext uri="{FF2B5EF4-FFF2-40B4-BE49-F238E27FC236}">
              <a16:creationId xmlns:a16="http://schemas.microsoft.com/office/drawing/2014/main" id="{0BFD0DE2-7B26-465D-AA1C-3093ED29F4D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99" name="Text Box 1">
          <a:extLst>
            <a:ext uri="{FF2B5EF4-FFF2-40B4-BE49-F238E27FC236}">
              <a16:creationId xmlns:a16="http://schemas.microsoft.com/office/drawing/2014/main" id="{910223A3-58A3-473E-93E5-FC6B7E4CA07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00" name="Text Box 3">
          <a:extLst>
            <a:ext uri="{FF2B5EF4-FFF2-40B4-BE49-F238E27FC236}">
              <a16:creationId xmlns:a16="http://schemas.microsoft.com/office/drawing/2014/main" id="{84C828C8-13E5-4767-B69C-11CB4BD76B3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01" name="Text Box 1">
          <a:extLst>
            <a:ext uri="{FF2B5EF4-FFF2-40B4-BE49-F238E27FC236}">
              <a16:creationId xmlns:a16="http://schemas.microsoft.com/office/drawing/2014/main" id="{B0DE1774-015A-49EB-8A61-1FF23D76058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02" name="Text Box 1">
          <a:extLst>
            <a:ext uri="{FF2B5EF4-FFF2-40B4-BE49-F238E27FC236}">
              <a16:creationId xmlns:a16="http://schemas.microsoft.com/office/drawing/2014/main" id="{DBD18B9D-3BF4-4A82-BC91-0648B202CDA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03" name="Text Box 3">
          <a:extLst>
            <a:ext uri="{FF2B5EF4-FFF2-40B4-BE49-F238E27FC236}">
              <a16:creationId xmlns:a16="http://schemas.microsoft.com/office/drawing/2014/main" id="{06B599B1-A254-4582-8941-8A939681FF4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04" name="Text Box 1">
          <a:extLst>
            <a:ext uri="{FF2B5EF4-FFF2-40B4-BE49-F238E27FC236}">
              <a16:creationId xmlns:a16="http://schemas.microsoft.com/office/drawing/2014/main" id="{B7417D8F-3B23-41D3-84FE-2CB88814BB9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05" name="Text Box 3">
          <a:extLst>
            <a:ext uri="{FF2B5EF4-FFF2-40B4-BE49-F238E27FC236}">
              <a16:creationId xmlns:a16="http://schemas.microsoft.com/office/drawing/2014/main" id="{5C25B075-053D-4295-92F4-EFD8A907B60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06" name="Text Box 1">
          <a:extLst>
            <a:ext uri="{FF2B5EF4-FFF2-40B4-BE49-F238E27FC236}">
              <a16:creationId xmlns:a16="http://schemas.microsoft.com/office/drawing/2014/main" id="{F743EA42-7D75-45CB-B8CB-32605199253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07" name="Text Box 1">
          <a:extLst>
            <a:ext uri="{FF2B5EF4-FFF2-40B4-BE49-F238E27FC236}">
              <a16:creationId xmlns:a16="http://schemas.microsoft.com/office/drawing/2014/main" id="{742BA7A4-C406-4E80-A7B4-8C4199A367A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08" name="Text Box 3">
          <a:extLst>
            <a:ext uri="{FF2B5EF4-FFF2-40B4-BE49-F238E27FC236}">
              <a16:creationId xmlns:a16="http://schemas.microsoft.com/office/drawing/2014/main" id="{5F658186-EE87-41AE-B29C-FD80EE77A7A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09" name="Text Box 1">
          <a:extLst>
            <a:ext uri="{FF2B5EF4-FFF2-40B4-BE49-F238E27FC236}">
              <a16:creationId xmlns:a16="http://schemas.microsoft.com/office/drawing/2014/main" id="{1AA5B0A4-D912-482A-9AE9-90EDBDCFDA3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10" name="Text Box 3">
          <a:extLst>
            <a:ext uri="{FF2B5EF4-FFF2-40B4-BE49-F238E27FC236}">
              <a16:creationId xmlns:a16="http://schemas.microsoft.com/office/drawing/2014/main" id="{C3329F98-8466-4768-94AD-332649B74AF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11" name="Text Box 1">
          <a:extLst>
            <a:ext uri="{FF2B5EF4-FFF2-40B4-BE49-F238E27FC236}">
              <a16:creationId xmlns:a16="http://schemas.microsoft.com/office/drawing/2014/main" id="{253C6847-CB99-42EF-950D-D764E53BDC7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12" name="Text Box 1">
          <a:extLst>
            <a:ext uri="{FF2B5EF4-FFF2-40B4-BE49-F238E27FC236}">
              <a16:creationId xmlns:a16="http://schemas.microsoft.com/office/drawing/2014/main" id="{47D23DA3-DD99-446E-88FC-CDDCEBEA8FD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13" name="Text Box 3">
          <a:extLst>
            <a:ext uri="{FF2B5EF4-FFF2-40B4-BE49-F238E27FC236}">
              <a16:creationId xmlns:a16="http://schemas.microsoft.com/office/drawing/2014/main" id="{1445C923-1696-49C7-83A2-1013B823428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14" name="Text Box 1">
          <a:extLst>
            <a:ext uri="{FF2B5EF4-FFF2-40B4-BE49-F238E27FC236}">
              <a16:creationId xmlns:a16="http://schemas.microsoft.com/office/drawing/2014/main" id="{BECC2F81-5358-4F99-ABCD-75F29783A2D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15" name="Text Box 3">
          <a:extLst>
            <a:ext uri="{FF2B5EF4-FFF2-40B4-BE49-F238E27FC236}">
              <a16:creationId xmlns:a16="http://schemas.microsoft.com/office/drawing/2014/main" id="{D46A7ED9-1DF5-49FC-8E5E-B9414F6B66C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16" name="Text Box 1">
          <a:extLst>
            <a:ext uri="{FF2B5EF4-FFF2-40B4-BE49-F238E27FC236}">
              <a16:creationId xmlns:a16="http://schemas.microsoft.com/office/drawing/2014/main" id="{FD5B1921-0169-45FB-B0F5-B1EF7C7EB1D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17" name="Text Box 1">
          <a:extLst>
            <a:ext uri="{FF2B5EF4-FFF2-40B4-BE49-F238E27FC236}">
              <a16:creationId xmlns:a16="http://schemas.microsoft.com/office/drawing/2014/main" id="{CFEE606B-A80C-42A2-9C6D-345980A5025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18" name="Text Box 3">
          <a:extLst>
            <a:ext uri="{FF2B5EF4-FFF2-40B4-BE49-F238E27FC236}">
              <a16:creationId xmlns:a16="http://schemas.microsoft.com/office/drawing/2014/main" id="{693CEDD7-44CB-4275-AC18-95B7C3668AA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19" name="Text Box 1">
          <a:extLst>
            <a:ext uri="{FF2B5EF4-FFF2-40B4-BE49-F238E27FC236}">
              <a16:creationId xmlns:a16="http://schemas.microsoft.com/office/drawing/2014/main" id="{9A0472A9-8E52-4084-8A74-CAD8596E3F0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20" name="Text Box 3">
          <a:extLst>
            <a:ext uri="{FF2B5EF4-FFF2-40B4-BE49-F238E27FC236}">
              <a16:creationId xmlns:a16="http://schemas.microsoft.com/office/drawing/2014/main" id="{58FAB4DD-A91E-4B31-BD10-65CDEE53BA5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21" name="Text Box 1">
          <a:extLst>
            <a:ext uri="{FF2B5EF4-FFF2-40B4-BE49-F238E27FC236}">
              <a16:creationId xmlns:a16="http://schemas.microsoft.com/office/drawing/2014/main" id="{3BAD93A6-1E0A-4CB6-B3EC-74E1AB9BB9C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22" name="Text Box 1">
          <a:extLst>
            <a:ext uri="{FF2B5EF4-FFF2-40B4-BE49-F238E27FC236}">
              <a16:creationId xmlns:a16="http://schemas.microsoft.com/office/drawing/2014/main" id="{8F169EA1-FB85-4FDB-8F17-84AC237ED30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23" name="Text Box 3">
          <a:extLst>
            <a:ext uri="{FF2B5EF4-FFF2-40B4-BE49-F238E27FC236}">
              <a16:creationId xmlns:a16="http://schemas.microsoft.com/office/drawing/2014/main" id="{9A2AE082-571A-4B1D-B323-6C9FA4AD2B8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24" name="Text Box 1">
          <a:extLst>
            <a:ext uri="{FF2B5EF4-FFF2-40B4-BE49-F238E27FC236}">
              <a16:creationId xmlns:a16="http://schemas.microsoft.com/office/drawing/2014/main" id="{9F4C6D29-C1DC-406F-9DC7-763FE6162FF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25" name="Text Box 3">
          <a:extLst>
            <a:ext uri="{FF2B5EF4-FFF2-40B4-BE49-F238E27FC236}">
              <a16:creationId xmlns:a16="http://schemas.microsoft.com/office/drawing/2014/main" id="{55D758B0-3DE8-44DE-8D3A-491095F147E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26" name="Text Box 1">
          <a:extLst>
            <a:ext uri="{FF2B5EF4-FFF2-40B4-BE49-F238E27FC236}">
              <a16:creationId xmlns:a16="http://schemas.microsoft.com/office/drawing/2014/main" id="{2B200AEC-C2A1-46EA-97EA-7C59DFB86A0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27" name="Text Box 1">
          <a:extLst>
            <a:ext uri="{FF2B5EF4-FFF2-40B4-BE49-F238E27FC236}">
              <a16:creationId xmlns:a16="http://schemas.microsoft.com/office/drawing/2014/main" id="{BE299F48-54AC-4EC1-B49A-125B08ADC01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28" name="Text Box 3">
          <a:extLst>
            <a:ext uri="{FF2B5EF4-FFF2-40B4-BE49-F238E27FC236}">
              <a16:creationId xmlns:a16="http://schemas.microsoft.com/office/drawing/2014/main" id="{0C53B88D-9D09-47B2-9482-2576C133FA5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29" name="Text Box 1">
          <a:extLst>
            <a:ext uri="{FF2B5EF4-FFF2-40B4-BE49-F238E27FC236}">
              <a16:creationId xmlns:a16="http://schemas.microsoft.com/office/drawing/2014/main" id="{BE187BC2-F8EF-487A-B420-8505CF35CF2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30" name="Text Box 3">
          <a:extLst>
            <a:ext uri="{FF2B5EF4-FFF2-40B4-BE49-F238E27FC236}">
              <a16:creationId xmlns:a16="http://schemas.microsoft.com/office/drawing/2014/main" id="{22855394-E6A2-406F-B777-614D2C2D75B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31" name="Text Box 1">
          <a:extLst>
            <a:ext uri="{FF2B5EF4-FFF2-40B4-BE49-F238E27FC236}">
              <a16:creationId xmlns:a16="http://schemas.microsoft.com/office/drawing/2014/main" id="{8F2A02F2-590E-4B1A-9346-A102DC9265D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32" name="Text Box 1">
          <a:extLst>
            <a:ext uri="{FF2B5EF4-FFF2-40B4-BE49-F238E27FC236}">
              <a16:creationId xmlns:a16="http://schemas.microsoft.com/office/drawing/2014/main" id="{34EE1148-8676-4215-B54E-23DF009796C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33" name="Text Box 3">
          <a:extLst>
            <a:ext uri="{FF2B5EF4-FFF2-40B4-BE49-F238E27FC236}">
              <a16:creationId xmlns:a16="http://schemas.microsoft.com/office/drawing/2014/main" id="{9DD4E6FE-728B-47CB-8E58-F32F6E52BAF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34" name="Text Box 1">
          <a:extLst>
            <a:ext uri="{FF2B5EF4-FFF2-40B4-BE49-F238E27FC236}">
              <a16:creationId xmlns:a16="http://schemas.microsoft.com/office/drawing/2014/main" id="{FABEB107-C1BE-47B3-9657-F9D954C0B02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35" name="Text Box 3">
          <a:extLst>
            <a:ext uri="{FF2B5EF4-FFF2-40B4-BE49-F238E27FC236}">
              <a16:creationId xmlns:a16="http://schemas.microsoft.com/office/drawing/2014/main" id="{44194DFB-895F-411E-B655-A0F20D281B4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36" name="Text Box 1">
          <a:extLst>
            <a:ext uri="{FF2B5EF4-FFF2-40B4-BE49-F238E27FC236}">
              <a16:creationId xmlns:a16="http://schemas.microsoft.com/office/drawing/2014/main" id="{6AE4578B-E530-410D-A506-D93BEBA608A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37" name="Text Box 1">
          <a:extLst>
            <a:ext uri="{FF2B5EF4-FFF2-40B4-BE49-F238E27FC236}">
              <a16:creationId xmlns:a16="http://schemas.microsoft.com/office/drawing/2014/main" id="{DFE8F41F-261B-4CC3-B44F-DBA44F7998D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38" name="Text Box 3">
          <a:extLst>
            <a:ext uri="{FF2B5EF4-FFF2-40B4-BE49-F238E27FC236}">
              <a16:creationId xmlns:a16="http://schemas.microsoft.com/office/drawing/2014/main" id="{7052B53D-FD78-4683-B96E-1061C24FD8A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39" name="Text Box 1">
          <a:extLst>
            <a:ext uri="{FF2B5EF4-FFF2-40B4-BE49-F238E27FC236}">
              <a16:creationId xmlns:a16="http://schemas.microsoft.com/office/drawing/2014/main" id="{4977BD71-A80B-4738-8679-5805144208D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40" name="Text Box 3">
          <a:extLst>
            <a:ext uri="{FF2B5EF4-FFF2-40B4-BE49-F238E27FC236}">
              <a16:creationId xmlns:a16="http://schemas.microsoft.com/office/drawing/2014/main" id="{5A63D8A4-C3BC-4283-A015-12E64F4E297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41" name="Text Box 1">
          <a:extLst>
            <a:ext uri="{FF2B5EF4-FFF2-40B4-BE49-F238E27FC236}">
              <a16:creationId xmlns:a16="http://schemas.microsoft.com/office/drawing/2014/main" id="{EF759227-CEDE-494B-A68A-D747E52D339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42" name="Text Box 1">
          <a:extLst>
            <a:ext uri="{FF2B5EF4-FFF2-40B4-BE49-F238E27FC236}">
              <a16:creationId xmlns:a16="http://schemas.microsoft.com/office/drawing/2014/main" id="{97654751-4150-4837-A9C0-566A7AC17D5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43" name="Text Box 3">
          <a:extLst>
            <a:ext uri="{FF2B5EF4-FFF2-40B4-BE49-F238E27FC236}">
              <a16:creationId xmlns:a16="http://schemas.microsoft.com/office/drawing/2014/main" id="{4F2B4493-4669-45BE-9ED5-D9071F4E345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44" name="Text Box 1">
          <a:extLst>
            <a:ext uri="{FF2B5EF4-FFF2-40B4-BE49-F238E27FC236}">
              <a16:creationId xmlns:a16="http://schemas.microsoft.com/office/drawing/2014/main" id="{13950EE4-D374-4D87-BA4D-6095C1424A3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45" name="Text Box 3">
          <a:extLst>
            <a:ext uri="{FF2B5EF4-FFF2-40B4-BE49-F238E27FC236}">
              <a16:creationId xmlns:a16="http://schemas.microsoft.com/office/drawing/2014/main" id="{75601A27-6929-4B13-9CBE-38B2B26C2D7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46" name="Text Box 1">
          <a:extLst>
            <a:ext uri="{FF2B5EF4-FFF2-40B4-BE49-F238E27FC236}">
              <a16:creationId xmlns:a16="http://schemas.microsoft.com/office/drawing/2014/main" id="{B6F9AF08-D5DD-4B81-8FC2-8277F6BBD39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47" name="Text Box 1">
          <a:extLst>
            <a:ext uri="{FF2B5EF4-FFF2-40B4-BE49-F238E27FC236}">
              <a16:creationId xmlns:a16="http://schemas.microsoft.com/office/drawing/2014/main" id="{F2E3A095-6CDE-4F1B-83A3-CEA70DEE335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48" name="Text Box 3">
          <a:extLst>
            <a:ext uri="{FF2B5EF4-FFF2-40B4-BE49-F238E27FC236}">
              <a16:creationId xmlns:a16="http://schemas.microsoft.com/office/drawing/2014/main" id="{F401D64E-03A9-452E-86C6-EC0FE9F19B6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49" name="Text Box 1">
          <a:extLst>
            <a:ext uri="{FF2B5EF4-FFF2-40B4-BE49-F238E27FC236}">
              <a16:creationId xmlns:a16="http://schemas.microsoft.com/office/drawing/2014/main" id="{A5C415D4-798C-4218-9086-0326E8E38F4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50" name="Text Box 3">
          <a:extLst>
            <a:ext uri="{FF2B5EF4-FFF2-40B4-BE49-F238E27FC236}">
              <a16:creationId xmlns:a16="http://schemas.microsoft.com/office/drawing/2014/main" id="{5BA8D234-C6E6-4FDC-A6F3-89F6DCBEA68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51" name="Text Box 1">
          <a:extLst>
            <a:ext uri="{FF2B5EF4-FFF2-40B4-BE49-F238E27FC236}">
              <a16:creationId xmlns:a16="http://schemas.microsoft.com/office/drawing/2014/main" id="{76112418-2EC8-49DE-ADFB-AEEBB6D939C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52" name="Text Box 1">
          <a:extLst>
            <a:ext uri="{FF2B5EF4-FFF2-40B4-BE49-F238E27FC236}">
              <a16:creationId xmlns:a16="http://schemas.microsoft.com/office/drawing/2014/main" id="{590A1C14-E064-41EC-89A5-0B82A6473E1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53" name="Text Box 3">
          <a:extLst>
            <a:ext uri="{FF2B5EF4-FFF2-40B4-BE49-F238E27FC236}">
              <a16:creationId xmlns:a16="http://schemas.microsoft.com/office/drawing/2014/main" id="{E2DBAA09-750D-460B-ABB5-42E5D6280EC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54" name="Text Box 1">
          <a:extLst>
            <a:ext uri="{FF2B5EF4-FFF2-40B4-BE49-F238E27FC236}">
              <a16:creationId xmlns:a16="http://schemas.microsoft.com/office/drawing/2014/main" id="{5094D1A7-3715-43DD-9DA3-98AA42BFE7A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55" name="Text Box 3">
          <a:extLst>
            <a:ext uri="{FF2B5EF4-FFF2-40B4-BE49-F238E27FC236}">
              <a16:creationId xmlns:a16="http://schemas.microsoft.com/office/drawing/2014/main" id="{87D4E83B-6B89-4CF6-8BBD-A8460D6D37B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56" name="Text Box 1">
          <a:extLst>
            <a:ext uri="{FF2B5EF4-FFF2-40B4-BE49-F238E27FC236}">
              <a16:creationId xmlns:a16="http://schemas.microsoft.com/office/drawing/2014/main" id="{51CE1C3E-3261-4AE9-B9EB-A110A0960B4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57" name="Text Box 1">
          <a:extLst>
            <a:ext uri="{FF2B5EF4-FFF2-40B4-BE49-F238E27FC236}">
              <a16:creationId xmlns:a16="http://schemas.microsoft.com/office/drawing/2014/main" id="{25748FA4-7ED5-4C84-B9FD-63766F98502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58" name="Text Box 3">
          <a:extLst>
            <a:ext uri="{FF2B5EF4-FFF2-40B4-BE49-F238E27FC236}">
              <a16:creationId xmlns:a16="http://schemas.microsoft.com/office/drawing/2014/main" id="{B43EFD88-4581-4F84-8EB5-2897146076F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59" name="Text Box 1">
          <a:extLst>
            <a:ext uri="{FF2B5EF4-FFF2-40B4-BE49-F238E27FC236}">
              <a16:creationId xmlns:a16="http://schemas.microsoft.com/office/drawing/2014/main" id="{5E70E5D8-0627-4341-921C-F75A077F4E0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60" name="Text Box 3">
          <a:extLst>
            <a:ext uri="{FF2B5EF4-FFF2-40B4-BE49-F238E27FC236}">
              <a16:creationId xmlns:a16="http://schemas.microsoft.com/office/drawing/2014/main" id="{DD78DD3F-6A49-4143-B73F-1890ED6043C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61" name="Text Box 1">
          <a:extLst>
            <a:ext uri="{FF2B5EF4-FFF2-40B4-BE49-F238E27FC236}">
              <a16:creationId xmlns:a16="http://schemas.microsoft.com/office/drawing/2014/main" id="{3180B7E8-6A49-4998-BE27-96175A372E6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62" name="Text Box 1">
          <a:extLst>
            <a:ext uri="{FF2B5EF4-FFF2-40B4-BE49-F238E27FC236}">
              <a16:creationId xmlns:a16="http://schemas.microsoft.com/office/drawing/2014/main" id="{31596038-C58C-4F15-99EA-61B036639CA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63" name="Text Box 3">
          <a:extLst>
            <a:ext uri="{FF2B5EF4-FFF2-40B4-BE49-F238E27FC236}">
              <a16:creationId xmlns:a16="http://schemas.microsoft.com/office/drawing/2014/main" id="{1F222946-2C94-40AC-AF29-C0F1FA8243C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64" name="Text Box 1">
          <a:extLst>
            <a:ext uri="{FF2B5EF4-FFF2-40B4-BE49-F238E27FC236}">
              <a16:creationId xmlns:a16="http://schemas.microsoft.com/office/drawing/2014/main" id="{731745B8-C578-444F-AC78-0B762D718A6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65" name="Text Box 3">
          <a:extLst>
            <a:ext uri="{FF2B5EF4-FFF2-40B4-BE49-F238E27FC236}">
              <a16:creationId xmlns:a16="http://schemas.microsoft.com/office/drawing/2014/main" id="{1AC3B209-1AF0-4FB6-A4EA-FF60BD9D629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66" name="Text Box 1">
          <a:extLst>
            <a:ext uri="{FF2B5EF4-FFF2-40B4-BE49-F238E27FC236}">
              <a16:creationId xmlns:a16="http://schemas.microsoft.com/office/drawing/2014/main" id="{AFFC2029-9EB0-41F8-82FB-66B2B028A5B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67" name="Text Box 1">
          <a:extLst>
            <a:ext uri="{FF2B5EF4-FFF2-40B4-BE49-F238E27FC236}">
              <a16:creationId xmlns:a16="http://schemas.microsoft.com/office/drawing/2014/main" id="{D847175A-4A8A-452C-B9BD-4CD2D49AD1D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68" name="Text Box 3">
          <a:extLst>
            <a:ext uri="{FF2B5EF4-FFF2-40B4-BE49-F238E27FC236}">
              <a16:creationId xmlns:a16="http://schemas.microsoft.com/office/drawing/2014/main" id="{46D4A5A0-3EAC-415C-B7E8-749A90AAB18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69" name="Text Box 1">
          <a:extLst>
            <a:ext uri="{FF2B5EF4-FFF2-40B4-BE49-F238E27FC236}">
              <a16:creationId xmlns:a16="http://schemas.microsoft.com/office/drawing/2014/main" id="{28C05D0E-C8F6-4E00-ABAE-87F426DB0FA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70" name="Text Box 3">
          <a:extLst>
            <a:ext uri="{FF2B5EF4-FFF2-40B4-BE49-F238E27FC236}">
              <a16:creationId xmlns:a16="http://schemas.microsoft.com/office/drawing/2014/main" id="{437041FD-365F-4FD3-BFAA-C805C8A1247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71" name="Text Box 1">
          <a:extLst>
            <a:ext uri="{FF2B5EF4-FFF2-40B4-BE49-F238E27FC236}">
              <a16:creationId xmlns:a16="http://schemas.microsoft.com/office/drawing/2014/main" id="{1ACE5867-1249-4348-A1F7-C94839ACA6D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72" name="Text Box 1">
          <a:extLst>
            <a:ext uri="{FF2B5EF4-FFF2-40B4-BE49-F238E27FC236}">
              <a16:creationId xmlns:a16="http://schemas.microsoft.com/office/drawing/2014/main" id="{5FF92B8A-6034-4C40-908D-EB63C9963E5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73" name="Text Box 3">
          <a:extLst>
            <a:ext uri="{FF2B5EF4-FFF2-40B4-BE49-F238E27FC236}">
              <a16:creationId xmlns:a16="http://schemas.microsoft.com/office/drawing/2014/main" id="{ACFF6028-54AF-4292-8DB9-AE28D34D4A1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74" name="Text Box 1">
          <a:extLst>
            <a:ext uri="{FF2B5EF4-FFF2-40B4-BE49-F238E27FC236}">
              <a16:creationId xmlns:a16="http://schemas.microsoft.com/office/drawing/2014/main" id="{0E5EE699-5A1E-440E-9EB2-B384226BB54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75" name="Text Box 3">
          <a:extLst>
            <a:ext uri="{FF2B5EF4-FFF2-40B4-BE49-F238E27FC236}">
              <a16:creationId xmlns:a16="http://schemas.microsoft.com/office/drawing/2014/main" id="{D714CBF4-D763-4014-B1C7-D7633D963B5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76" name="Text Box 1">
          <a:extLst>
            <a:ext uri="{FF2B5EF4-FFF2-40B4-BE49-F238E27FC236}">
              <a16:creationId xmlns:a16="http://schemas.microsoft.com/office/drawing/2014/main" id="{48DC4C7F-E6F6-4C32-9B5D-B16CA3FB27B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77" name="Text Box 1">
          <a:extLst>
            <a:ext uri="{FF2B5EF4-FFF2-40B4-BE49-F238E27FC236}">
              <a16:creationId xmlns:a16="http://schemas.microsoft.com/office/drawing/2014/main" id="{33FBA2E1-F0D5-465C-B849-3B16B443C08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78" name="Text Box 3">
          <a:extLst>
            <a:ext uri="{FF2B5EF4-FFF2-40B4-BE49-F238E27FC236}">
              <a16:creationId xmlns:a16="http://schemas.microsoft.com/office/drawing/2014/main" id="{C8B46E00-AAC5-4E6F-8129-2B564AEB33A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79" name="Text Box 1">
          <a:extLst>
            <a:ext uri="{FF2B5EF4-FFF2-40B4-BE49-F238E27FC236}">
              <a16:creationId xmlns:a16="http://schemas.microsoft.com/office/drawing/2014/main" id="{1D0E5CED-F5A8-42A1-B3C9-05B54468901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80" name="Text Box 3">
          <a:extLst>
            <a:ext uri="{FF2B5EF4-FFF2-40B4-BE49-F238E27FC236}">
              <a16:creationId xmlns:a16="http://schemas.microsoft.com/office/drawing/2014/main" id="{163B8F27-103E-4EEC-A483-4EECF218870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81" name="Text Box 1">
          <a:extLst>
            <a:ext uri="{FF2B5EF4-FFF2-40B4-BE49-F238E27FC236}">
              <a16:creationId xmlns:a16="http://schemas.microsoft.com/office/drawing/2014/main" id="{8A1B9AB1-4EE9-4853-8C37-E79A8227AED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82" name="Text Box 1">
          <a:extLst>
            <a:ext uri="{FF2B5EF4-FFF2-40B4-BE49-F238E27FC236}">
              <a16:creationId xmlns:a16="http://schemas.microsoft.com/office/drawing/2014/main" id="{427CEF04-1001-42BC-9CBA-2EB5674ED03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83" name="Text Box 3">
          <a:extLst>
            <a:ext uri="{FF2B5EF4-FFF2-40B4-BE49-F238E27FC236}">
              <a16:creationId xmlns:a16="http://schemas.microsoft.com/office/drawing/2014/main" id="{46880E7A-ECC5-48D9-8DA7-AE0ADAD5899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84" name="Text Box 1">
          <a:extLst>
            <a:ext uri="{FF2B5EF4-FFF2-40B4-BE49-F238E27FC236}">
              <a16:creationId xmlns:a16="http://schemas.microsoft.com/office/drawing/2014/main" id="{D7894B52-FC88-43DA-9AAD-91DC3F5EEF1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85" name="Text Box 3">
          <a:extLst>
            <a:ext uri="{FF2B5EF4-FFF2-40B4-BE49-F238E27FC236}">
              <a16:creationId xmlns:a16="http://schemas.microsoft.com/office/drawing/2014/main" id="{D3BA5993-C552-4106-8FEA-3CC09FCB661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86" name="Text Box 1">
          <a:extLst>
            <a:ext uri="{FF2B5EF4-FFF2-40B4-BE49-F238E27FC236}">
              <a16:creationId xmlns:a16="http://schemas.microsoft.com/office/drawing/2014/main" id="{E1805AD6-063D-4686-BB04-3F35AB56A3A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87" name="Text Box 1">
          <a:extLst>
            <a:ext uri="{FF2B5EF4-FFF2-40B4-BE49-F238E27FC236}">
              <a16:creationId xmlns:a16="http://schemas.microsoft.com/office/drawing/2014/main" id="{89D90E4A-43A6-4DC6-90C9-F6366A1A561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88" name="Text Box 3">
          <a:extLst>
            <a:ext uri="{FF2B5EF4-FFF2-40B4-BE49-F238E27FC236}">
              <a16:creationId xmlns:a16="http://schemas.microsoft.com/office/drawing/2014/main" id="{9455EBBA-2759-4087-8FBD-A1FA498DD8B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89" name="Text Box 1">
          <a:extLst>
            <a:ext uri="{FF2B5EF4-FFF2-40B4-BE49-F238E27FC236}">
              <a16:creationId xmlns:a16="http://schemas.microsoft.com/office/drawing/2014/main" id="{8DC5BABA-704F-44A7-86DE-8F2F4C87C63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90" name="Text Box 3">
          <a:extLst>
            <a:ext uri="{FF2B5EF4-FFF2-40B4-BE49-F238E27FC236}">
              <a16:creationId xmlns:a16="http://schemas.microsoft.com/office/drawing/2014/main" id="{2FF4CF53-BC07-41C1-8631-025B40D606E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91" name="Text Box 1">
          <a:extLst>
            <a:ext uri="{FF2B5EF4-FFF2-40B4-BE49-F238E27FC236}">
              <a16:creationId xmlns:a16="http://schemas.microsoft.com/office/drawing/2014/main" id="{D760AEDB-472A-4720-95F4-218FD946889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92" name="Text Box 1">
          <a:extLst>
            <a:ext uri="{FF2B5EF4-FFF2-40B4-BE49-F238E27FC236}">
              <a16:creationId xmlns:a16="http://schemas.microsoft.com/office/drawing/2014/main" id="{884FEBD3-D542-48A7-9229-D2DD6DA2B33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93" name="Text Box 3">
          <a:extLst>
            <a:ext uri="{FF2B5EF4-FFF2-40B4-BE49-F238E27FC236}">
              <a16:creationId xmlns:a16="http://schemas.microsoft.com/office/drawing/2014/main" id="{7ADAD7A5-8E66-451F-848A-46CC3CD09D5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94" name="Text Box 1">
          <a:extLst>
            <a:ext uri="{FF2B5EF4-FFF2-40B4-BE49-F238E27FC236}">
              <a16:creationId xmlns:a16="http://schemas.microsoft.com/office/drawing/2014/main" id="{CD978729-06C4-4154-AF9A-B437E60B28F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95" name="Text Box 3">
          <a:extLst>
            <a:ext uri="{FF2B5EF4-FFF2-40B4-BE49-F238E27FC236}">
              <a16:creationId xmlns:a16="http://schemas.microsoft.com/office/drawing/2014/main" id="{01CFFEBD-2A35-49B4-BC3C-50E08F3CD23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96" name="Text Box 1">
          <a:extLst>
            <a:ext uri="{FF2B5EF4-FFF2-40B4-BE49-F238E27FC236}">
              <a16:creationId xmlns:a16="http://schemas.microsoft.com/office/drawing/2014/main" id="{1B471A76-0BE0-465D-A44A-D0F57E57A0E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97" name="Text Box 1">
          <a:extLst>
            <a:ext uri="{FF2B5EF4-FFF2-40B4-BE49-F238E27FC236}">
              <a16:creationId xmlns:a16="http://schemas.microsoft.com/office/drawing/2014/main" id="{4772259F-E870-422C-B2D0-3DB06F9F7BA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98" name="Text Box 3">
          <a:extLst>
            <a:ext uri="{FF2B5EF4-FFF2-40B4-BE49-F238E27FC236}">
              <a16:creationId xmlns:a16="http://schemas.microsoft.com/office/drawing/2014/main" id="{9C465F2E-324A-4491-9810-7FEC1415C9A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99" name="Text Box 1">
          <a:extLst>
            <a:ext uri="{FF2B5EF4-FFF2-40B4-BE49-F238E27FC236}">
              <a16:creationId xmlns:a16="http://schemas.microsoft.com/office/drawing/2014/main" id="{F3841160-F586-4C63-B4F6-BE0E89E0C75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00" name="Text Box 3">
          <a:extLst>
            <a:ext uri="{FF2B5EF4-FFF2-40B4-BE49-F238E27FC236}">
              <a16:creationId xmlns:a16="http://schemas.microsoft.com/office/drawing/2014/main" id="{5C54F193-349F-4E90-86BF-8A40FAC5BCF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01" name="Text Box 1">
          <a:extLst>
            <a:ext uri="{FF2B5EF4-FFF2-40B4-BE49-F238E27FC236}">
              <a16:creationId xmlns:a16="http://schemas.microsoft.com/office/drawing/2014/main" id="{81D1761D-8B4F-42EA-A8F1-40683372CB5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02" name="Text Box 1">
          <a:extLst>
            <a:ext uri="{FF2B5EF4-FFF2-40B4-BE49-F238E27FC236}">
              <a16:creationId xmlns:a16="http://schemas.microsoft.com/office/drawing/2014/main" id="{5A12E84A-A7A9-4E79-A1A6-6E1958C278C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03" name="Text Box 3">
          <a:extLst>
            <a:ext uri="{FF2B5EF4-FFF2-40B4-BE49-F238E27FC236}">
              <a16:creationId xmlns:a16="http://schemas.microsoft.com/office/drawing/2014/main" id="{81C36326-D77C-4C4E-A8F4-F84833E2923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04" name="Text Box 1">
          <a:extLst>
            <a:ext uri="{FF2B5EF4-FFF2-40B4-BE49-F238E27FC236}">
              <a16:creationId xmlns:a16="http://schemas.microsoft.com/office/drawing/2014/main" id="{F92208A7-03D3-48CE-9D9A-CB5019577AE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05" name="Text Box 3">
          <a:extLst>
            <a:ext uri="{FF2B5EF4-FFF2-40B4-BE49-F238E27FC236}">
              <a16:creationId xmlns:a16="http://schemas.microsoft.com/office/drawing/2014/main" id="{475E7965-93E1-4F8D-BEF9-C2971350EAC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06" name="Text Box 1">
          <a:extLst>
            <a:ext uri="{FF2B5EF4-FFF2-40B4-BE49-F238E27FC236}">
              <a16:creationId xmlns:a16="http://schemas.microsoft.com/office/drawing/2014/main" id="{91495972-49D4-4A5E-8D34-EF24FF9B276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07" name="Text Box 1">
          <a:extLst>
            <a:ext uri="{FF2B5EF4-FFF2-40B4-BE49-F238E27FC236}">
              <a16:creationId xmlns:a16="http://schemas.microsoft.com/office/drawing/2014/main" id="{F3ED115E-ACBB-446A-99CF-10A00CDAA10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08" name="Text Box 3">
          <a:extLst>
            <a:ext uri="{FF2B5EF4-FFF2-40B4-BE49-F238E27FC236}">
              <a16:creationId xmlns:a16="http://schemas.microsoft.com/office/drawing/2014/main" id="{AE704B59-5499-430A-BD64-4828100FF37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09" name="Text Box 1">
          <a:extLst>
            <a:ext uri="{FF2B5EF4-FFF2-40B4-BE49-F238E27FC236}">
              <a16:creationId xmlns:a16="http://schemas.microsoft.com/office/drawing/2014/main" id="{923E987A-EE5F-4D40-AA73-C6D00AE6E41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10" name="Text Box 3">
          <a:extLst>
            <a:ext uri="{FF2B5EF4-FFF2-40B4-BE49-F238E27FC236}">
              <a16:creationId xmlns:a16="http://schemas.microsoft.com/office/drawing/2014/main" id="{030627BF-8BDE-438D-9602-61ADE0A06D2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11" name="Text Box 1">
          <a:extLst>
            <a:ext uri="{FF2B5EF4-FFF2-40B4-BE49-F238E27FC236}">
              <a16:creationId xmlns:a16="http://schemas.microsoft.com/office/drawing/2014/main" id="{4DFA17BB-9265-4061-9B86-251507BDBF5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12" name="Text Box 1">
          <a:extLst>
            <a:ext uri="{FF2B5EF4-FFF2-40B4-BE49-F238E27FC236}">
              <a16:creationId xmlns:a16="http://schemas.microsoft.com/office/drawing/2014/main" id="{FA8406DF-B85C-4A6B-86D5-8BA9928E950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13" name="Text Box 3">
          <a:extLst>
            <a:ext uri="{FF2B5EF4-FFF2-40B4-BE49-F238E27FC236}">
              <a16:creationId xmlns:a16="http://schemas.microsoft.com/office/drawing/2014/main" id="{4690F4D3-F8A8-4EC7-8D26-0BF383CE228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14" name="Text Box 1">
          <a:extLst>
            <a:ext uri="{FF2B5EF4-FFF2-40B4-BE49-F238E27FC236}">
              <a16:creationId xmlns:a16="http://schemas.microsoft.com/office/drawing/2014/main" id="{0735F518-F865-4735-BD27-881D8CCE342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15" name="Text Box 3">
          <a:extLst>
            <a:ext uri="{FF2B5EF4-FFF2-40B4-BE49-F238E27FC236}">
              <a16:creationId xmlns:a16="http://schemas.microsoft.com/office/drawing/2014/main" id="{726A10B1-3358-4DFD-B589-0B967A1D7EE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16" name="Text Box 1">
          <a:extLst>
            <a:ext uri="{FF2B5EF4-FFF2-40B4-BE49-F238E27FC236}">
              <a16:creationId xmlns:a16="http://schemas.microsoft.com/office/drawing/2014/main" id="{3D94E516-8E6F-4365-974D-850FC5A74C8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17" name="Text Box 1">
          <a:extLst>
            <a:ext uri="{FF2B5EF4-FFF2-40B4-BE49-F238E27FC236}">
              <a16:creationId xmlns:a16="http://schemas.microsoft.com/office/drawing/2014/main" id="{CD3A1325-B871-47ED-9B89-CF77A7DCF6F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18" name="Text Box 3">
          <a:extLst>
            <a:ext uri="{FF2B5EF4-FFF2-40B4-BE49-F238E27FC236}">
              <a16:creationId xmlns:a16="http://schemas.microsoft.com/office/drawing/2014/main" id="{CA27FA9C-4783-4924-A6BF-0C10F21CB29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19" name="Text Box 1">
          <a:extLst>
            <a:ext uri="{FF2B5EF4-FFF2-40B4-BE49-F238E27FC236}">
              <a16:creationId xmlns:a16="http://schemas.microsoft.com/office/drawing/2014/main" id="{E37F62AA-064E-4657-81D5-D1FC05EB8CE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20" name="Text Box 3">
          <a:extLst>
            <a:ext uri="{FF2B5EF4-FFF2-40B4-BE49-F238E27FC236}">
              <a16:creationId xmlns:a16="http://schemas.microsoft.com/office/drawing/2014/main" id="{CCE8A1EE-6127-4B23-B92C-CB0CD8D9CEE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21" name="Text Box 1">
          <a:extLst>
            <a:ext uri="{FF2B5EF4-FFF2-40B4-BE49-F238E27FC236}">
              <a16:creationId xmlns:a16="http://schemas.microsoft.com/office/drawing/2014/main" id="{E184F7A2-3E67-4FAA-93F4-371F9FBEF2D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22" name="Text Box 1">
          <a:extLst>
            <a:ext uri="{FF2B5EF4-FFF2-40B4-BE49-F238E27FC236}">
              <a16:creationId xmlns:a16="http://schemas.microsoft.com/office/drawing/2014/main" id="{DAF53948-7493-4A26-857B-6FFAA4D113A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23" name="Text Box 3">
          <a:extLst>
            <a:ext uri="{FF2B5EF4-FFF2-40B4-BE49-F238E27FC236}">
              <a16:creationId xmlns:a16="http://schemas.microsoft.com/office/drawing/2014/main" id="{827FD167-B7E0-46D1-B442-0AE95F12A73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24" name="Text Box 1">
          <a:extLst>
            <a:ext uri="{FF2B5EF4-FFF2-40B4-BE49-F238E27FC236}">
              <a16:creationId xmlns:a16="http://schemas.microsoft.com/office/drawing/2014/main" id="{01538CA1-C452-46B6-B109-6EA256C781F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25" name="Text Box 3">
          <a:extLst>
            <a:ext uri="{FF2B5EF4-FFF2-40B4-BE49-F238E27FC236}">
              <a16:creationId xmlns:a16="http://schemas.microsoft.com/office/drawing/2014/main" id="{BE52F5B3-155C-42FF-935C-5C7AE0DC24A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26" name="Text Box 1">
          <a:extLst>
            <a:ext uri="{FF2B5EF4-FFF2-40B4-BE49-F238E27FC236}">
              <a16:creationId xmlns:a16="http://schemas.microsoft.com/office/drawing/2014/main" id="{59C2B15D-2A42-44BA-BD0F-4246BBC2B06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27" name="Text Box 1">
          <a:extLst>
            <a:ext uri="{FF2B5EF4-FFF2-40B4-BE49-F238E27FC236}">
              <a16:creationId xmlns:a16="http://schemas.microsoft.com/office/drawing/2014/main" id="{E91CC315-8EB7-4FD0-8D5F-0CA7862C46D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28" name="Text Box 3">
          <a:extLst>
            <a:ext uri="{FF2B5EF4-FFF2-40B4-BE49-F238E27FC236}">
              <a16:creationId xmlns:a16="http://schemas.microsoft.com/office/drawing/2014/main" id="{82DD0C12-A019-440E-9033-A9588E4B0E7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29" name="Text Box 1">
          <a:extLst>
            <a:ext uri="{FF2B5EF4-FFF2-40B4-BE49-F238E27FC236}">
              <a16:creationId xmlns:a16="http://schemas.microsoft.com/office/drawing/2014/main" id="{A066754C-5D17-44E2-9088-5F2E81AF873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30" name="Text Box 3">
          <a:extLst>
            <a:ext uri="{FF2B5EF4-FFF2-40B4-BE49-F238E27FC236}">
              <a16:creationId xmlns:a16="http://schemas.microsoft.com/office/drawing/2014/main" id="{564FA1D5-042D-4A8E-9E16-4514136FE12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31" name="Text Box 1">
          <a:extLst>
            <a:ext uri="{FF2B5EF4-FFF2-40B4-BE49-F238E27FC236}">
              <a16:creationId xmlns:a16="http://schemas.microsoft.com/office/drawing/2014/main" id="{EB46D851-A7AA-47D3-8248-D0C3E4FF8A2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32" name="Text Box 1">
          <a:extLst>
            <a:ext uri="{FF2B5EF4-FFF2-40B4-BE49-F238E27FC236}">
              <a16:creationId xmlns:a16="http://schemas.microsoft.com/office/drawing/2014/main" id="{72871CF2-48BA-4349-9C23-8BC1081426E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33" name="Text Box 3">
          <a:extLst>
            <a:ext uri="{FF2B5EF4-FFF2-40B4-BE49-F238E27FC236}">
              <a16:creationId xmlns:a16="http://schemas.microsoft.com/office/drawing/2014/main" id="{C6495F48-2C39-42BC-8691-25BD6655A93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34" name="Text Box 1">
          <a:extLst>
            <a:ext uri="{FF2B5EF4-FFF2-40B4-BE49-F238E27FC236}">
              <a16:creationId xmlns:a16="http://schemas.microsoft.com/office/drawing/2014/main" id="{6A03B197-284E-40A1-A0A7-7E4117BB3CE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35" name="Text Box 3">
          <a:extLst>
            <a:ext uri="{FF2B5EF4-FFF2-40B4-BE49-F238E27FC236}">
              <a16:creationId xmlns:a16="http://schemas.microsoft.com/office/drawing/2014/main" id="{43A55C85-026B-4365-AD2E-FA01670DE8D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36" name="Text Box 1">
          <a:extLst>
            <a:ext uri="{FF2B5EF4-FFF2-40B4-BE49-F238E27FC236}">
              <a16:creationId xmlns:a16="http://schemas.microsoft.com/office/drawing/2014/main" id="{63BE41FB-C27C-4535-B539-26908826A0F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37" name="Text Box 1">
          <a:extLst>
            <a:ext uri="{FF2B5EF4-FFF2-40B4-BE49-F238E27FC236}">
              <a16:creationId xmlns:a16="http://schemas.microsoft.com/office/drawing/2014/main" id="{9BA94D18-2F44-4878-9503-22E638FD751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38" name="Text Box 3">
          <a:extLst>
            <a:ext uri="{FF2B5EF4-FFF2-40B4-BE49-F238E27FC236}">
              <a16:creationId xmlns:a16="http://schemas.microsoft.com/office/drawing/2014/main" id="{B9721228-1195-43E9-A5C4-5772A3DD417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39" name="Text Box 1">
          <a:extLst>
            <a:ext uri="{FF2B5EF4-FFF2-40B4-BE49-F238E27FC236}">
              <a16:creationId xmlns:a16="http://schemas.microsoft.com/office/drawing/2014/main" id="{160EEE19-966B-4D65-8DFC-48AA180F7ED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40" name="Text Box 3">
          <a:extLst>
            <a:ext uri="{FF2B5EF4-FFF2-40B4-BE49-F238E27FC236}">
              <a16:creationId xmlns:a16="http://schemas.microsoft.com/office/drawing/2014/main" id="{EB08C7C2-200C-49B6-B35A-2736E90BDEA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41" name="Text Box 1">
          <a:extLst>
            <a:ext uri="{FF2B5EF4-FFF2-40B4-BE49-F238E27FC236}">
              <a16:creationId xmlns:a16="http://schemas.microsoft.com/office/drawing/2014/main" id="{48B0B3AE-9BBC-472F-A372-D184F368EC5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42" name="Text Box 1">
          <a:extLst>
            <a:ext uri="{FF2B5EF4-FFF2-40B4-BE49-F238E27FC236}">
              <a16:creationId xmlns:a16="http://schemas.microsoft.com/office/drawing/2014/main" id="{DBD86174-BCA0-4F74-9160-85B9A827B62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43" name="Text Box 3">
          <a:extLst>
            <a:ext uri="{FF2B5EF4-FFF2-40B4-BE49-F238E27FC236}">
              <a16:creationId xmlns:a16="http://schemas.microsoft.com/office/drawing/2014/main" id="{A24DC7CF-47EB-428B-B002-DD62BEEDABB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44" name="Text Box 1">
          <a:extLst>
            <a:ext uri="{FF2B5EF4-FFF2-40B4-BE49-F238E27FC236}">
              <a16:creationId xmlns:a16="http://schemas.microsoft.com/office/drawing/2014/main" id="{FD3C55A5-A6B5-4451-A2BC-1EA1CE236C7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45" name="Text Box 3">
          <a:extLst>
            <a:ext uri="{FF2B5EF4-FFF2-40B4-BE49-F238E27FC236}">
              <a16:creationId xmlns:a16="http://schemas.microsoft.com/office/drawing/2014/main" id="{FA99E7BD-E1CA-48BE-A389-C46AC06A8D7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46" name="Text Box 1">
          <a:extLst>
            <a:ext uri="{FF2B5EF4-FFF2-40B4-BE49-F238E27FC236}">
              <a16:creationId xmlns:a16="http://schemas.microsoft.com/office/drawing/2014/main" id="{9B28952F-79A6-4B9F-854A-A78C0312B38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47" name="Text Box 1">
          <a:extLst>
            <a:ext uri="{FF2B5EF4-FFF2-40B4-BE49-F238E27FC236}">
              <a16:creationId xmlns:a16="http://schemas.microsoft.com/office/drawing/2014/main" id="{1D51CAE0-7584-4D13-808B-72B1D053468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48" name="Text Box 3">
          <a:extLst>
            <a:ext uri="{FF2B5EF4-FFF2-40B4-BE49-F238E27FC236}">
              <a16:creationId xmlns:a16="http://schemas.microsoft.com/office/drawing/2014/main" id="{13638482-9938-4FA1-806B-E10EA428687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49" name="Text Box 1">
          <a:extLst>
            <a:ext uri="{FF2B5EF4-FFF2-40B4-BE49-F238E27FC236}">
              <a16:creationId xmlns:a16="http://schemas.microsoft.com/office/drawing/2014/main" id="{DB23A4C8-B694-4B17-AC0B-378B4FC10AA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50" name="Text Box 3">
          <a:extLst>
            <a:ext uri="{FF2B5EF4-FFF2-40B4-BE49-F238E27FC236}">
              <a16:creationId xmlns:a16="http://schemas.microsoft.com/office/drawing/2014/main" id="{625F36E3-C3BB-4793-83F3-4C34F782D74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51" name="Text Box 1">
          <a:extLst>
            <a:ext uri="{FF2B5EF4-FFF2-40B4-BE49-F238E27FC236}">
              <a16:creationId xmlns:a16="http://schemas.microsoft.com/office/drawing/2014/main" id="{79BBA3A6-D6B6-4CA2-9F28-338300797FBC}"/>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52" name="Text Box 3">
          <a:extLst>
            <a:ext uri="{FF2B5EF4-FFF2-40B4-BE49-F238E27FC236}">
              <a16:creationId xmlns:a16="http://schemas.microsoft.com/office/drawing/2014/main" id="{50E065CC-95D0-4C86-860B-4400E76709E3}"/>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53" name="Text Box 1">
          <a:extLst>
            <a:ext uri="{FF2B5EF4-FFF2-40B4-BE49-F238E27FC236}">
              <a16:creationId xmlns:a16="http://schemas.microsoft.com/office/drawing/2014/main" id="{30241546-6166-4DD1-90B0-CC52284022BB}"/>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54" name="Text Box 3">
          <a:extLst>
            <a:ext uri="{FF2B5EF4-FFF2-40B4-BE49-F238E27FC236}">
              <a16:creationId xmlns:a16="http://schemas.microsoft.com/office/drawing/2014/main" id="{1DA3CB7E-899D-4673-B4A0-335B3F34A3E8}"/>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55" name="Text Box 1">
          <a:extLst>
            <a:ext uri="{FF2B5EF4-FFF2-40B4-BE49-F238E27FC236}">
              <a16:creationId xmlns:a16="http://schemas.microsoft.com/office/drawing/2014/main" id="{AFCB19C8-575F-4599-A572-ECA156997034}"/>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56" name="Text Box 1">
          <a:extLst>
            <a:ext uri="{FF2B5EF4-FFF2-40B4-BE49-F238E27FC236}">
              <a16:creationId xmlns:a16="http://schemas.microsoft.com/office/drawing/2014/main" id="{D45DBAFB-F487-469D-B131-600238AF186A}"/>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57" name="Text Box 3">
          <a:extLst>
            <a:ext uri="{FF2B5EF4-FFF2-40B4-BE49-F238E27FC236}">
              <a16:creationId xmlns:a16="http://schemas.microsoft.com/office/drawing/2014/main" id="{ECBC3886-F824-4D6A-86A5-A95F39D9DD9E}"/>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58" name="Text Box 1">
          <a:extLst>
            <a:ext uri="{FF2B5EF4-FFF2-40B4-BE49-F238E27FC236}">
              <a16:creationId xmlns:a16="http://schemas.microsoft.com/office/drawing/2014/main" id="{257F83A7-D863-42CD-A438-CA0F62BF13FF}"/>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59" name="Text Box 3">
          <a:extLst>
            <a:ext uri="{FF2B5EF4-FFF2-40B4-BE49-F238E27FC236}">
              <a16:creationId xmlns:a16="http://schemas.microsoft.com/office/drawing/2014/main" id="{34DBF465-B5BA-4444-8597-5218F0DAF4FC}"/>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60" name="Text Box 1">
          <a:extLst>
            <a:ext uri="{FF2B5EF4-FFF2-40B4-BE49-F238E27FC236}">
              <a16:creationId xmlns:a16="http://schemas.microsoft.com/office/drawing/2014/main" id="{168C20EA-3B25-4D19-9455-BC658FB3BD56}"/>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61" name="Text Box 1">
          <a:extLst>
            <a:ext uri="{FF2B5EF4-FFF2-40B4-BE49-F238E27FC236}">
              <a16:creationId xmlns:a16="http://schemas.microsoft.com/office/drawing/2014/main" id="{7C2EB7C2-715F-478A-A272-95AA8DF566E2}"/>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62" name="Text Box 3">
          <a:extLst>
            <a:ext uri="{FF2B5EF4-FFF2-40B4-BE49-F238E27FC236}">
              <a16:creationId xmlns:a16="http://schemas.microsoft.com/office/drawing/2014/main" id="{B9F1DB6E-402A-4F71-B157-C758D62E3AAD}"/>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63" name="Text Box 1">
          <a:extLst>
            <a:ext uri="{FF2B5EF4-FFF2-40B4-BE49-F238E27FC236}">
              <a16:creationId xmlns:a16="http://schemas.microsoft.com/office/drawing/2014/main" id="{04818329-3F79-4F9C-ACBA-E27F6DD9F160}"/>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64" name="Text Box 1">
          <a:extLst>
            <a:ext uri="{FF2B5EF4-FFF2-40B4-BE49-F238E27FC236}">
              <a16:creationId xmlns:a16="http://schemas.microsoft.com/office/drawing/2014/main" id="{161AD288-E4F5-40F1-B1A7-5B5F4CC2309A}"/>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65" name="Text Box 3">
          <a:extLst>
            <a:ext uri="{FF2B5EF4-FFF2-40B4-BE49-F238E27FC236}">
              <a16:creationId xmlns:a16="http://schemas.microsoft.com/office/drawing/2014/main" id="{EFA2833F-4CD5-46B1-8FA0-3B20C3778E07}"/>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66" name="Text Box 1">
          <a:extLst>
            <a:ext uri="{FF2B5EF4-FFF2-40B4-BE49-F238E27FC236}">
              <a16:creationId xmlns:a16="http://schemas.microsoft.com/office/drawing/2014/main" id="{E6EB4444-B9CB-4815-8BCE-89B0BDAD219F}"/>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67" name="Text Box 3">
          <a:extLst>
            <a:ext uri="{FF2B5EF4-FFF2-40B4-BE49-F238E27FC236}">
              <a16:creationId xmlns:a16="http://schemas.microsoft.com/office/drawing/2014/main" id="{E03FE7AF-9B97-4B58-A128-C28136CF8450}"/>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68" name="Text Box 1">
          <a:extLst>
            <a:ext uri="{FF2B5EF4-FFF2-40B4-BE49-F238E27FC236}">
              <a16:creationId xmlns:a16="http://schemas.microsoft.com/office/drawing/2014/main" id="{A62970A7-1D56-41C0-860D-9AA551FCE41B}"/>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69" name="Text Box 1">
          <a:extLst>
            <a:ext uri="{FF2B5EF4-FFF2-40B4-BE49-F238E27FC236}">
              <a16:creationId xmlns:a16="http://schemas.microsoft.com/office/drawing/2014/main" id="{85F3C514-C402-4DEF-A841-BA066856309B}"/>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70" name="Text Box 3">
          <a:extLst>
            <a:ext uri="{FF2B5EF4-FFF2-40B4-BE49-F238E27FC236}">
              <a16:creationId xmlns:a16="http://schemas.microsoft.com/office/drawing/2014/main" id="{A5CEF074-6E91-4D2E-A2DF-3330684B2D25}"/>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71" name="Text Box 1">
          <a:extLst>
            <a:ext uri="{FF2B5EF4-FFF2-40B4-BE49-F238E27FC236}">
              <a16:creationId xmlns:a16="http://schemas.microsoft.com/office/drawing/2014/main" id="{60A1C7E3-5B4F-4005-A909-CAE6293F1AA3}"/>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72" name="Text Box 3">
          <a:extLst>
            <a:ext uri="{FF2B5EF4-FFF2-40B4-BE49-F238E27FC236}">
              <a16:creationId xmlns:a16="http://schemas.microsoft.com/office/drawing/2014/main" id="{DB6DFF4D-B4AF-4596-81A7-2B13916D1DA0}"/>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73" name="Text Box 1">
          <a:extLst>
            <a:ext uri="{FF2B5EF4-FFF2-40B4-BE49-F238E27FC236}">
              <a16:creationId xmlns:a16="http://schemas.microsoft.com/office/drawing/2014/main" id="{7D80B533-3252-491C-9DE9-1B15B02584A8}"/>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74" name="Text Box 1">
          <a:extLst>
            <a:ext uri="{FF2B5EF4-FFF2-40B4-BE49-F238E27FC236}">
              <a16:creationId xmlns:a16="http://schemas.microsoft.com/office/drawing/2014/main" id="{9C7B6C2D-F1F4-4E3F-8CD3-C08051AB5342}"/>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75" name="Text Box 3">
          <a:extLst>
            <a:ext uri="{FF2B5EF4-FFF2-40B4-BE49-F238E27FC236}">
              <a16:creationId xmlns:a16="http://schemas.microsoft.com/office/drawing/2014/main" id="{495DA9E4-6F58-4620-B23B-82082F3E4F1E}"/>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76" name="Text Box 3">
          <a:extLst>
            <a:ext uri="{FF2B5EF4-FFF2-40B4-BE49-F238E27FC236}">
              <a16:creationId xmlns:a16="http://schemas.microsoft.com/office/drawing/2014/main" id="{AEF02355-5BFB-4BC8-96AE-F383806FFF4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77" name="Text Box 1">
          <a:extLst>
            <a:ext uri="{FF2B5EF4-FFF2-40B4-BE49-F238E27FC236}">
              <a16:creationId xmlns:a16="http://schemas.microsoft.com/office/drawing/2014/main" id="{C9DB35CD-EB66-49DF-8E2A-AB0AE2DFEB5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78" name="Text Box 3">
          <a:extLst>
            <a:ext uri="{FF2B5EF4-FFF2-40B4-BE49-F238E27FC236}">
              <a16:creationId xmlns:a16="http://schemas.microsoft.com/office/drawing/2014/main" id="{C5883FDD-3E51-4F78-BAF3-7FFC28D9408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79" name="Text Box 1">
          <a:extLst>
            <a:ext uri="{FF2B5EF4-FFF2-40B4-BE49-F238E27FC236}">
              <a16:creationId xmlns:a16="http://schemas.microsoft.com/office/drawing/2014/main" id="{4AD2D285-79BD-4BCC-9321-E8D682EF9B6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80" name="Text Box 1">
          <a:extLst>
            <a:ext uri="{FF2B5EF4-FFF2-40B4-BE49-F238E27FC236}">
              <a16:creationId xmlns:a16="http://schemas.microsoft.com/office/drawing/2014/main" id="{C4342049-A5D7-42F9-9169-06811AB259E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81" name="Text Box 3">
          <a:extLst>
            <a:ext uri="{FF2B5EF4-FFF2-40B4-BE49-F238E27FC236}">
              <a16:creationId xmlns:a16="http://schemas.microsoft.com/office/drawing/2014/main" id="{25CD35E6-AC5B-4C4B-873E-8A6CAD15BDF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82" name="Text Box 1">
          <a:extLst>
            <a:ext uri="{FF2B5EF4-FFF2-40B4-BE49-F238E27FC236}">
              <a16:creationId xmlns:a16="http://schemas.microsoft.com/office/drawing/2014/main" id="{59D46E8B-9138-444D-B29E-4E437530708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83" name="Text Box 3">
          <a:extLst>
            <a:ext uri="{FF2B5EF4-FFF2-40B4-BE49-F238E27FC236}">
              <a16:creationId xmlns:a16="http://schemas.microsoft.com/office/drawing/2014/main" id="{4084E870-339D-4B14-B9CF-0408502DACE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84" name="Text Box 1">
          <a:extLst>
            <a:ext uri="{FF2B5EF4-FFF2-40B4-BE49-F238E27FC236}">
              <a16:creationId xmlns:a16="http://schemas.microsoft.com/office/drawing/2014/main" id="{3A7DD697-CB55-4B1A-B6FA-E95A52614C3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85" name="Text Box 1">
          <a:extLst>
            <a:ext uri="{FF2B5EF4-FFF2-40B4-BE49-F238E27FC236}">
              <a16:creationId xmlns:a16="http://schemas.microsoft.com/office/drawing/2014/main" id="{1C6EB571-F477-4F4E-9D6A-FB3C897D592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86" name="Text Box 3">
          <a:extLst>
            <a:ext uri="{FF2B5EF4-FFF2-40B4-BE49-F238E27FC236}">
              <a16:creationId xmlns:a16="http://schemas.microsoft.com/office/drawing/2014/main" id="{FD258498-EDED-474E-9705-CDC1D897881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87" name="Text Box 1">
          <a:extLst>
            <a:ext uri="{FF2B5EF4-FFF2-40B4-BE49-F238E27FC236}">
              <a16:creationId xmlns:a16="http://schemas.microsoft.com/office/drawing/2014/main" id="{7AC420AF-7821-4E48-AEDE-DEE2EF3EA38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88" name="Text Box 1">
          <a:extLst>
            <a:ext uri="{FF2B5EF4-FFF2-40B4-BE49-F238E27FC236}">
              <a16:creationId xmlns:a16="http://schemas.microsoft.com/office/drawing/2014/main" id="{6E8BB76F-E74E-4896-A2A0-84CD253886D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89" name="Text Box 3">
          <a:extLst>
            <a:ext uri="{FF2B5EF4-FFF2-40B4-BE49-F238E27FC236}">
              <a16:creationId xmlns:a16="http://schemas.microsoft.com/office/drawing/2014/main" id="{2FB25D00-3829-4704-9469-1478EFD1136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90" name="Text Box 1">
          <a:extLst>
            <a:ext uri="{FF2B5EF4-FFF2-40B4-BE49-F238E27FC236}">
              <a16:creationId xmlns:a16="http://schemas.microsoft.com/office/drawing/2014/main" id="{DBB53869-6812-4EFC-A129-C01D242CD2E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91" name="Text Box 3">
          <a:extLst>
            <a:ext uri="{FF2B5EF4-FFF2-40B4-BE49-F238E27FC236}">
              <a16:creationId xmlns:a16="http://schemas.microsoft.com/office/drawing/2014/main" id="{B23F7252-04F3-4CB8-B1DB-55B4BABB1EC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92" name="Text Box 1">
          <a:extLst>
            <a:ext uri="{FF2B5EF4-FFF2-40B4-BE49-F238E27FC236}">
              <a16:creationId xmlns:a16="http://schemas.microsoft.com/office/drawing/2014/main" id="{184AD84E-1492-4E97-95BE-12E24472F02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93" name="Text Box 3">
          <a:extLst>
            <a:ext uri="{FF2B5EF4-FFF2-40B4-BE49-F238E27FC236}">
              <a16:creationId xmlns:a16="http://schemas.microsoft.com/office/drawing/2014/main" id="{06018648-FD8B-418E-AFC2-3AA591657D4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94" name="Text Box 1">
          <a:extLst>
            <a:ext uri="{FF2B5EF4-FFF2-40B4-BE49-F238E27FC236}">
              <a16:creationId xmlns:a16="http://schemas.microsoft.com/office/drawing/2014/main" id="{DF9FCFE5-9C95-42F1-A53B-DA79280D8EF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95" name="Text Box 3">
          <a:extLst>
            <a:ext uri="{FF2B5EF4-FFF2-40B4-BE49-F238E27FC236}">
              <a16:creationId xmlns:a16="http://schemas.microsoft.com/office/drawing/2014/main" id="{5997E70C-C131-409C-B9E5-5C651CAF196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96" name="Text Box 1">
          <a:extLst>
            <a:ext uri="{FF2B5EF4-FFF2-40B4-BE49-F238E27FC236}">
              <a16:creationId xmlns:a16="http://schemas.microsoft.com/office/drawing/2014/main" id="{95A01E93-BAB3-4982-BB34-D7841428F1E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97" name="Text Box 1">
          <a:extLst>
            <a:ext uri="{FF2B5EF4-FFF2-40B4-BE49-F238E27FC236}">
              <a16:creationId xmlns:a16="http://schemas.microsoft.com/office/drawing/2014/main" id="{0B569F33-E07B-4BF3-B31A-F292A6C659A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98" name="Text Box 3">
          <a:extLst>
            <a:ext uri="{FF2B5EF4-FFF2-40B4-BE49-F238E27FC236}">
              <a16:creationId xmlns:a16="http://schemas.microsoft.com/office/drawing/2014/main" id="{91C4A74A-5F40-443D-A31A-EB9A61FB0EF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99" name="Text Box 1">
          <a:extLst>
            <a:ext uri="{FF2B5EF4-FFF2-40B4-BE49-F238E27FC236}">
              <a16:creationId xmlns:a16="http://schemas.microsoft.com/office/drawing/2014/main" id="{B4C28E47-2568-4F26-BC08-7D357B34CBB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500" name="Text Box 1">
          <a:extLst>
            <a:ext uri="{FF2B5EF4-FFF2-40B4-BE49-F238E27FC236}">
              <a16:creationId xmlns:a16="http://schemas.microsoft.com/office/drawing/2014/main" id="{5CE3AE7F-CADA-41B2-A605-30AA4355DAE5}"/>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01" name="Text Box 1">
          <a:extLst>
            <a:ext uri="{FF2B5EF4-FFF2-40B4-BE49-F238E27FC236}">
              <a16:creationId xmlns:a16="http://schemas.microsoft.com/office/drawing/2014/main" id="{F5FE1448-57A2-41A3-91DA-8DB1A97577A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02" name="Text Box 3">
          <a:extLst>
            <a:ext uri="{FF2B5EF4-FFF2-40B4-BE49-F238E27FC236}">
              <a16:creationId xmlns:a16="http://schemas.microsoft.com/office/drawing/2014/main" id="{1ADDB6C4-604D-4F18-B9F6-4B6DB7F54A2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03" name="Text Box 1">
          <a:extLst>
            <a:ext uri="{FF2B5EF4-FFF2-40B4-BE49-F238E27FC236}">
              <a16:creationId xmlns:a16="http://schemas.microsoft.com/office/drawing/2014/main" id="{930153BA-7691-48FC-A753-BB3ABEE86AC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04" name="Text Box 3">
          <a:extLst>
            <a:ext uri="{FF2B5EF4-FFF2-40B4-BE49-F238E27FC236}">
              <a16:creationId xmlns:a16="http://schemas.microsoft.com/office/drawing/2014/main" id="{704A11AB-4E64-4260-993E-0C0FAD5F338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05" name="Text Box 1">
          <a:extLst>
            <a:ext uri="{FF2B5EF4-FFF2-40B4-BE49-F238E27FC236}">
              <a16:creationId xmlns:a16="http://schemas.microsoft.com/office/drawing/2014/main" id="{1228B967-B138-4162-8093-472BCAD8293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06" name="Text Box 1">
          <a:extLst>
            <a:ext uri="{FF2B5EF4-FFF2-40B4-BE49-F238E27FC236}">
              <a16:creationId xmlns:a16="http://schemas.microsoft.com/office/drawing/2014/main" id="{9197FD7E-4DF1-48ED-BB22-8554B5F3F52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07" name="Text Box 3">
          <a:extLst>
            <a:ext uri="{FF2B5EF4-FFF2-40B4-BE49-F238E27FC236}">
              <a16:creationId xmlns:a16="http://schemas.microsoft.com/office/drawing/2014/main" id="{520C3D7E-E262-41D1-9526-56FE694ED7E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08" name="Text Box 1">
          <a:extLst>
            <a:ext uri="{FF2B5EF4-FFF2-40B4-BE49-F238E27FC236}">
              <a16:creationId xmlns:a16="http://schemas.microsoft.com/office/drawing/2014/main" id="{004AF2A6-BE49-44EC-A0F0-77A24D197F7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09" name="Text Box 3">
          <a:extLst>
            <a:ext uri="{FF2B5EF4-FFF2-40B4-BE49-F238E27FC236}">
              <a16:creationId xmlns:a16="http://schemas.microsoft.com/office/drawing/2014/main" id="{3DCC4962-C837-4BFD-B990-6AC8918E06D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10" name="Text Box 1">
          <a:extLst>
            <a:ext uri="{FF2B5EF4-FFF2-40B4-BE49-F238E27FC236}">
              <a16:creationId xmlns:a16="http://schemas.microsoft.com/office/drawing/2014/main" id="{97A5239E-80ED-4B40-BF9C-52242FFAB6F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11" name="Text Box 1">
          <a:extLst>
            <a:ext uri="{FF2B5EF4-FFF2-40B4-BE49-F238E27FC236}">
              <a16:creationId xmlns:a16="http://schemas.microsoft.com/office/drawing/2014/main" id="{BDACBDA7-709C-4F3C-AE0F-F078FEB3E4C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12" name="Text Box 3">
          <a:extLst>
            <a:ext uri="{FF2B5EF4-FFF2-40B4-BE49-F238E27FC236}">
              <a16:creationId xmlns:a16="http://schemas.microsoft.com/office/drawing/2014/main" id="{7F2FCD23-09BF-4514-BC56-2C88AC8E63B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13" name="Text Box 1">
          <a:extLst>
            <a:ext uri="{FF2B5EF4-FFF2-40B4-BE49-F238E27FC236}">
              <a16:creationId xmlns:a16="http://schemas.microsoft.com/office/drawing/2014/main" id="{917556D9-BBBD-4911-B200-593CC9F87A4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14" name="Text Box 3">
          <a:extLst>
            <a:ext uri="{FF2B5EF4-FFF2-40B4-BE49-F238E27FC236}">
              <a16:creationId xmlns:a16="http://schemas.microsoft.com/office/drawing/2014/main" id="{A80F2B41-2E98-4426-9D9E-472A7073837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15" name="Text Box 1">
          <a:extLst>
            <a:ext uri="{FF2B5EF4-FFF2-40B4-BE49-F238E27FC236}">
              <a16:creationId xmlns:a16="http://schemas.microsoft.com/office/drawing/2014/main" id="{E909F9B4-A3B4-4AB5-870E-9462D23664E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16" name="Text Box 1">
          <a:extLst>
            <a:ext uri="{FF2B5EF4-FFF2-40B4-BE49-F238E27FC236}">
              <a16:creationId xmlns:a16="http://schemas.microsoft.com/office/drawing/2014/main" id="{76F73F0B-9469-4040-A753-907E8E7B81A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17" name="Text Box 3">
          <a:extLst>
            <a:ext uri="{FF2B5EF4-FFF2-40B4-BE49-F238E27FC236}">
              <a16:creationId xmlns:a16="http://schemas.microsoft.com/office/drawing/2014/main" id="{AB38EB24-6224-437F-BEFC-BC138BBF086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18" name="Text Box 1">
          <a:extLst>
            <a:ext uri="{FF2B5EF4-FFF2-40B4-BE49-F238E27FC236}">
              <a16:creationId xmlns:a16="http://schemas.microsoft.com/office/drawing/2014/main" id="{A90D8EF5-D09E-4103-A0F5-6BCAB397147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19" name="Text Box 3">
          <a:extLst>
            <a:ext uri="{FF2B5EF4-FFF2-40B4-BE49-F238E27FC236}">
              <a16:creationId xmlns:a16="http://schemas.microsoft.com/office/drawing/2014/main" id="{B5684F98-06CD-4948-B053-6E3F6900055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20" name="Text Box 1">
          <a:extLst>
            <a:ext uri="{FF2B5EF4-FFF2-40B4-BE49-F238E27FC236}">
              <a16:creationId xmlns:a16="http://schemas.microsoft.com/office/drawing/2014/main" id="{BE60E410-9C84-4C02-A055-D57001DAC2E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21" name="Text Box 1">
          <a:extLst>
            <a:ext uri="{FF2B5EF4-FFF2-40B4-BE49-F238E27FC236}">
              <a16:creationId xmlns:a16="http://schemas.microsoft.com/office/drawing/2014/main" id="{4ECE51CD-7B49-48AB-B8D7-C60645C6EFE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22" name="Text Box 3">
          <a:extLst>
            <a:ext uri="{FF2B5EF4-FFF2-40B4-BE49-F238E27FC236}">
              <a16:creationId xmlns:a16="http://schemas.microsoft.com/office/drawing/2014/main" id="{ADDF121B-A5DE-4268-9611-69FEE592F9E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23" name="Text Box 1">
          <a:extLst>
            <a:ext uri="{FF2B5EF4-FFF2-40B4-BE49-F238E27FC236}">
              <a16:creationId xmlns:a16="http://schemas.microsoft.com/office/drawing/2014/main" id="{1990BE1E-9609-4BC7-8B06-695277825C2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24" name="Text Box 3">
          <a:extLst>
            <a:ext uri="{FF2B5EF4-FFF2-40B4-BE49-F238E27FC236}">
              <a16:creationId xmlns:a16="http://schemas.microsoft.com/office/drawing/2014/main" id="{20136130-AAE2-481B-8FA1-D146865D035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25" name="Text Box 1">
          <a:extLst>
            <a:ext uri="{FF2B5EF4-FFF2-40B4-BE49-F238E27FC236}">
              <a16:creationId xmlns:a16="http://schemas.microsoft.com/office/drawing/2014/main" id="{37237055-042D-41B9-A147-4E5F58B5CBA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26" name="Text Box 1">
          <a:extLst>
            <a:ext uri="{FF2B5EF4-FFF2-40B4-BE49-F238E27FC236}">
              <a16:creationId xmlns:a16="http://schemas.microsoft.com/office/drawing/2014/main" id="{C20E5742-FCD3-446D-9DCC-8DAE8A05472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27" name="Text Box 3">
          <a:extLst>
            <a:ext uri="{FF2B5EF4-FFF2-40B4-BE49-F238E27FC236}">
              <a16:creationId xmlns:a16="http://schemas.microsoft.com/office/drawing/2014/main" id="{57A249CB-46CD-4B99-BE90-A673C9ABD65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28" name="Text Box 1">
          <a:extLst>
            <a:ext uri="{FF2B5EF4-FFF2-40B4-BE49-F238E27FC236}">
              <a16:creationId xmlns:a16="http://schemas.microsoft.com/office/drawing/2014/main" id="{C17D0F9D-3966-408F-B59B-91C47B4CA5F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29" name="Text Box 3">
          <a:extLst>
            <a:ext uri="{FF2B5EF4-FFF2-40B4-BE49-F238E27FC236}">
              <a16:creationId xmlns:a16="http://schemas.microsoft.com/office/drawing/2014/main" id="{3D3F4049-C4E2-4427-A935-9C4A3A5D914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30" name="Text Box 1">
          <a:extLst>
            <a:ext uri="{FF2B5EF4-FFF2-40B4-BE49-F238E27FC236}">
              <a16:creationId xmlns:a16="http://schemas.microsoft.com/office/drawing/2014/main" id="{80D96ABD-F2C0-4785-9392-07D058CB022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31" name="Text Box 1">
          <a:extLst>
            <a:ext uri="{FF2B5EF4-FFF2-40B4-BE49-F238E27FC236}">
              <a16:creationId xmlns:a16="http://schemas.microsoft.com/office/drawing/2014/main" id="{20BE19E2-9D80-48CF-BFEB-1CD62A3FBDA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32" name="Text Box 3">
          <a:extLst>
            <a:ext uri="{FF2B5EF4-FFF2-40B4-BE49-F238E27FC236}">
              <a16:creationId xmlns:a16="http://schemas.microsoft.com/office/drawing/2014/main" id="{165FE781-21CC-4702-B24E-CE34E6D73EF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33" name="Text Box 1">
          <a:extLst>
            <a:ext uri="{FF2B5EF4-FFF2-40B4-BE49-F238E27FC236}">
              <a16:creationId xmlns:a16="http://schemas.microsoft.com/office/drawing/2014/main" id="{F3B1D642-88D0-4411-9F89-73B17AAC073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34" name="Text Box 3">
          <a:extLst>
            <a:ext uri="{FF2B5EF4-FFF2-40B4-BE49-F238E27FC236}">
              <a16:creationId xmlns:a16="http://schemas.microsoft.com/office/drawing/2014/main" id="{7792EA20-22C7-48D0-9284-9E571E49340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35" name="Text Box 1">
          <a:extLst>
            <a:ext uri="{FF2B5EF4-FFF2-40B4-BE49-F238E27FC236}">
              <a16:creationId xmlns:a16="http://schemas.microsoft.com/office/drawing/2014/main" id="{77B88CF9-BE56-470D-856F-6C72DDF69D6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36" name="Text Box 1">
          <a:extLst>
            <a:ext uri="{FF2B5EF4-FFF2-40B4-BE49-F238E27FC236}">
              <a16:creationId xmlns:a16="http://schemas.microsoft.com/office/drawing/2014/main" id="{08FE6A96-BFDA-46DB-954C-1F05B355A0A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37" name="Text Box 3">
          <a:extLst>
            <a:ext uri="{FF2B5EF4-FFF2-40B4-BE49-F238E27FC236}">
              <a16:creationId xmlns:a16="http://schemas.microsoft.com/office/drawing/2014/main" id="{B2164196-BFCF-41D3-960A-C853274174F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38" name="Text Box 1">
          <a:extLst>
            <a:ext uri="{FF2B5EF4-FFF2-40B4-BE49-F238E27FC236}">
              <a16:creationId xmlns:a16="http://schemas.microsoft.com/office/drawing/2014/main" id="{BD75F83B-0D30-4FF2-90EA-D5D86126325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39" name="Text Box 3">
          <a:extLst>
            <a:ext uri="{FF2B5EF4-FFF2-40B4-BE49-F238E27FC236}">
              <a16:creationId xmlns:a16="http://schemas.microsoft.com/office/drawing/2014/main" id="{ECF618A3-79DC-402B-9425-5069CDB78F9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40" name="Text Box 1">
          <a:extLst>
            <a:ext uri="{FF2B5EF4-FFF2-40B4-BE49-F238E27FC236}">
              <a16:creationId xmlns:a16="http://schemas.microsoft.com/office/drawing/2014/main" id="{C980EDD9-FF2D-483E-91B4-24C96A913A7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41" name="Text Box 1">
          <a:extLst>
            <a:ext uri="{FF2B5EF4-FFF2-40B4-BE49-F238E27FC236}">
              <a16:creationId xmlns:a16="http://schemas.microsoft.com/office/drawing/2014/main" id="{205C8C4D-CC37-4AB1-8FAE-BEE50220F10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42" name="Text Box 3">
          <a:extLst>
            <a:ext uri="{FF2B5EF4-FFF2-40B4-BE49-F238E27FC236}">
              <a16:creationId xmlns:a16="http://schemas.microsoft.com/office/drawing/2014/main" id="{1305FB17-CF20-49D5-AA1B-838A624257D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43" name="Text Box 1">
          <a:extLst>
            <a:ext uri="{FF2B5EF4-FFF2-40B4-BE49-F238E27FC236}">
              <a16:creationId xmlns:a16="http://schemas.microsoft.com/office/drawing/2014/main" id="{AB131ED4-EFB2-4CE8-BEAA-21BB4B6B11A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44" name="Text Box 3">
          <a:extLst>
            <a:ext uri="{FF2B5EF4-FFF2-40B4-BE49-F238E27FC236}">
              <a16:creationId xmlns:a16="http://schemas.microsoft.com/office/drawing/2014/main" id="{0530C9BF-0142-4E76-853E-669F50EB3B6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45" name="Text Box 1">
          <a:extLst>
            <a:ext uri="{FF2B5EF4-FFF2-40B4-BE49-F238E27FC236}">
              <a16:creationId xmlns:a16="http://schemas.microsoft.com/office/drawing/2014/main" id="{5FA8D9FA-4A28-4FFB-8B2D-92225C3C550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46" name="Text Box 1">
          <a:extLst>
            <a:ext uri="{FF2B5EF4-FFF2-40B4-BE49-F238E27FC236}">
              <a16:creationId xmlns:a16="http://schemas.microsoft.com/office/drawing/2014/main" id="{BABF7D60-1537-4689-9B7D-73EE9855795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47" name="Text Box 3">
          <a:extLst>
            <a:ext uri="{FF2B5EF4-FFF2-40B4-BE49-F238E27FC236}">
              <a16:creationId xmlns:a16="http://schemas.microsoft.com/office/drawing/2014/main" id="{BBE5DFB7-3564-490C-93F8-30E2C7AC16D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48" name="Text Box 1">
          <a:extLst>
            <a:ext uri="{FF2B5EF4-FFF2-40B4-BE49-F238E27FC236}">
              <a16:creationId xmlns:a16="http://schemas.microsoft.com/office/drawing/2014/main" id="{1A468C18-E6EB-4C20-BA80-26272837A94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49" name="Text Box 3">
          <a:extLst>
            <a:ext uri="{FF2B5EF4-FFF2-40B4-BE49-F238E27FC236}">
              <a16:creationId xmlns:a16="http://schemas.microsoft.com/office/drawing/2014/main" id="{C98D9300-6912-45A9-B9D7-FAE7D15951D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50" name="Text Box 1">
          <a:extLst>
            <a:ext uri="{FF2B5EF4-FFF2-40B4-BE49-F238E27FC236}">
              <a16:creationId xmlns:a16="http://schemas.microsoft.com/office/drawing/2014/main" id="{B4839000-B713-4BBD-908B-3781E1FBF58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51" name="Text Box 1">
          <a:extLst>
            <a:ext uri="{FF2B5EF4-FFF2-40B4-BE49-F238E27FC236}">
              <a16:creationId xmlns:a16="http://schemas.microsoft.com/office/drawing/2014/main" id="{078A46DB-1225-4112-9D4E-1017E0F8AF0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52" name="Text Box 3">
          <a:extLst>
            <a:ext uri="{FF2B5EF4-FFF2-40B4-BE49-F238E27FC236}">
              <a16:creationId xmlns:a16="http://schemas.microsoft.com/office/drawing/2014/main" id="{5190A7DD-BCE8-472F-AE9F-86F47F7D5AC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53" name="Text Box 1">
          <a:extLst>
            <a:ext uri="{FF2B5EF4-FFF2-40B4-BE49-F238E27FC236}">
              <a16:creationId xmlns:a16="http://schemas.microsoft.com/office/drawing/2014/main" id="{B3747577-BD51-4A1C-BEEB-581F769AFB9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54" name="Text Box 3">
          <a:extLst>
            <a:ext uri="{FF2B5EF4-FFF2-40B4-BE49-F238E27FC236}">
              <a16:creationId xmlns:a16="http://schemas.microsoft.com/office/drawing/2014/main" id="{17E1B5F0-173B-473C-A847-F69ACD6A595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55" name="Text Box 1">
          <a:extLst>
            <a:ext uri="{FF2B5EF4-FFF2-40B4-BE49-F238E27FC236}">
              <a16:creationId xmlns:a16="http://schemas.microsoft.com/office/drawing/2014/main" id="{9E496A38-7756-4255-8799-A9FC4056D8C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56" name="Text Box 1">
          <a:extLst>
            <a:ext uri="{FF2B5EF4-FFF2-40B4-BE49-F238E27FC236}">
              <a16:creationId xmlns:a16="http://schemas.microsoft.com/office/drawing/2014/main" id="{76C04DB3-5E6C-41AC-ABE4-77E159208DD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57" name="Text Box 3">
          <a:extLst>
            <a:ext uri="{FF2B5EF4-FFF2-40B4-BE49-F238E27FC236}">
              <a16:creationId xmlns:a16="http://schemas.microsoft.com/office/drawing/2014/main" id="{FDD3A58E-0016-493E-9C39-4FBC1D87DEA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58" name="Text Box 1">
          <a:extLst>
            <a:ext uri="{FF2B5EF4-FFF2-40B4-BE49-F238E27FC236}">
              <a16:creationId xmlns:a16="http://schemas.microsoft.com/office/drawing/2014/main" id="{6A460578-3695-4BA5-86D8-BC761F0B4F8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59" name="Text Box 3">
          <a:extLst>
            <a:ext uri="{FF2B5EF4-FFF2-40B4-BE49-F238E27FC236}">
              <a16:creationId xmlns:a16="http://schemas.microsoft.com/office/drawing/2014/main" id="{902E0691-F2A3-4464-ABF2-3C24AD0DBEB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60" name="Text Box 1">
          <a:extLst>
            <a:ext uri="{FF2B5EF4-FFF2-40B4-BE49-F238E27FC236}">
              <a16:creationId xmlns:a16="http://schemas.microsoft.com/office/drawing/2014/main" id="{59B9550D-273C-4E92-886D-39B9267AC72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61" name="Text Box 1">
          <a:extLst>
            <a:ext uri="{FF2B5EF4-FFF2-40B4-BE49-F238E27FC236}">
              <a16:creationId xmlns:a16="http://schemas.microsoft.com/office/drawing/2014/main" id="{01992912-817B-40D1-B191-20EDF662819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62" name="Text Box 3">
          <a:extLst>
            <a:ext uri="{FF2B5EF4-FFF2-40B4-BE49-F238E27FC236}">
              <a16:creationId xmlns:a16="http://schemas.microsoft.com/office/drawing/2014/main" id="{84D20C4C-FC71-4B09-A888-6CBFF80F41B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63" name="Text Box 1">
          <a:extLst>
            <a:ext uri="{FF2B5EF4-FFF2-40B4-BE49-F238E27FC236}">
              <a16:creationId xmlns:a16="http://schemas.microsoft.com/office/drawing/2014/main" id="{840F04F7-D26A-42DC-83A5-BFF12BB9A88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64" name="Text Box 3">
          <a:extLst>
            <a:ext uri="{FF2B5EF4-FFF2-40B4-BE49-F238E27FC236}">
              <a16:creationId xmlns:a16="http://schemas.microsoft.com/office/drawing/2014/main" id="{44F97603-914E-47F3-B6ED-5492042F330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65" name="Text Box 1">
          <a:extLst>
            <a:ext uri="{FF2B5EF4-FFF2-40B4-BE49-F238E27FC236}">
              <a16:creationId xmlns:a16="http://schemas.microsoft.com/office/drawing/2014/main" id="{2855BFA8-4653-4AAC-9F1D-24798006E20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66" name="Text Box 1">
          <a:extLst>
            <a:ext uri="{FF2B5EF4-FFF2-40B4-BE49-F238E27FC236}">
              <a16:creationId xmlns:a16="http://schemas.microsoft.com/office/drawing/2014/main" id="{6A64E3F7-8D6E-448E-8E54-2EB7EA12724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67" name="Text Box 3">
          <a:extLst>
            <a:ext uri="{FF2B5EF4-FFF2-40B4-BE49-F238E27FC236}">
              <a16:creationId xmlns:a16="http://schemas.microsoft.com/office/drawing/2014/main" id="{DFEA977B-3F27-4153-818F-85CA82160FC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68" name="Text Box 1">
          <a:extLst>
            <a:ext uri="{FF2B5EF4-FFF2-40B4-BE49-F238E27FC236}">
              <a16:creationId xmlns:a16="http://schemas.microsoft.com/office/drawing/2014/main" id="{5639AC48-2FDA-4B59-83E3-0A98753E639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69" name="Text Box 3">
          <a:extLst>
            <a:ext uri="{FF2B5EF4-FFF2-40B4-BE49-F238E27FC236}">
              <a16:creationId xmlns:a16="http://schemas.microsoft.com/office/drawing/2014/main" id="{1990D78A-53A8-448C-B46B-EC1BFE4CE20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70" name="Text Box 1">
          <a:extLst>
            <a:ext uri="{FF2B5EF4-FFF2-40B4-BE49-F238E27FC236}">
              <a16:creationId xmlns:a16="http://schemas.microsoft.com/office/drawing/2014/main" id="{4446FEF4-C235-4AE9-B9DC-1DD2A19546A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71" name="Text Box 1">
          <a:extLst>
            <a:ext uri="{FF2B5EF4-FFF2-40B4-BE49-F238E27FC236}">
              <a16:creationId xmlns:a16="http://schemas.microsoft.com/office/drawing/2014/main" id="{0501DBD4-9EED-4628-8229-25AECE9DF93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72" name="Text Box 3">
          <a:extLst>
            <a:ext uri="{FF2B5EF4-FFF2-40B4-BE49-F238E27FC236}">
              <a16:creationId xmlns:a16="http://schemas.microsoft.com/office/drawing/2014/main" id="{8C44E03C-CD78-4C85-A1B5-DE73E98925B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73" name="Text Box 1">
          <a:extLst>
            <a:ext uri="{FF2B5EF4-FFF2-40B4-BE49-F238E27FC236}">
              <a16:creationId xmlns:a16="http://schemas.microsoft.com/office/drawing/2014/main" id="{D6E1688B-86E6-4714-A2D6-8B6C96FAE48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74" name="Text Box 3">
          <a:extLst>
            <a:ext uri="{FF2B5EF4-FFF2-40B4-BE49-F238E27FC236}">
              <a16:creationId xmlns:a16="http://schemas.microsoft.com/office/drawing/2014/main" id="{0C31C9B0-20EF-40FC-A3F8-69F26CF072A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75" name="Text Box 1">
          <a:extLst>
            <a:ext uri="{FF2B5EF4-FFF2-40B4-BE49-F238E27FC236}">
              <a16:creationId xmlns:a16="http://schemas.microsoft.com/office/drawing/2014/main" id="{97EAFD24-C13F-459F-B88B-3409E418678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76" name="Text Box 1">
          <a:extLst>
            <a:ext uri="{FF2B5EF4-FFF2-40B4-BE49-F238E27FC236}">
              <a16:creationId xmlns:a16="http://schemas.microsoft.com/office/drawing/2014/main" id="{DA7FF7EF-4F07-40F5-9C44-84890D27702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77" name="Text Box 3">
          <a:extLst>
            <a:ext uri="{FF2B5EF4-FFF2-40B4-BE49-F238E27FC236}">
              <a16:creationId xmlns:a16="http://schemas.microsoft.com/office/drawing/2014/main" id="{9C7E4E5D-A50D-49E5-B9B1-3F038F8E4B2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78" name="Text Box 1">
          <a:extLst>
            <a:ext uri="{FF2B5EF4-FFF2-40B4-BE49-F238E27FC236}">
              <a16:creationId xmlns:a16="http://schemas.microsoft.com/office/drawing/2014/main" id="{AACE9543-BE2A-4F42-AF08-FC7715560AD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79" name="Text Box 3">
          <a:extLst>
            <a:ext uri="{FF2B5EF4-FFF2-40B4-BE49-F238E27FC236}">
              <a16:creationId xmlns:a16="http://schemas.microsoft.com/office/drawing/2014/main" id="{C4E86F83-B3A0-4805-ABF3-4D144908A75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80" name="Text Box 1">
          <a:extLst>
            <a:ext uri="{FF2B5EF4-FFF2-40B4-BE49-F238E27FC236}">
              <a16:creationId xmlns:a16="http://schemas.microsoft.com/office/drawing/2014/main" id="{B70C575F-7B24-4E3B-9E1E-319B7A55479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81" name="Text Box 1">
          <a:extLst>
            <a:ext uri="{FF2B5EF4-FFF2-40B4-BE49-F238E27FC236}">
              <a16:creationId xmlns:a16="http://schemas.microsoft.com/office/drawing/2014/main" id="{0F9ABEC9-4320-4BF3-B162-BD767BBF76B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82" name="Text Box 3">
          <a:extLst>
            <a:ext uri="{FF2B5EF4-FFF2-40B4-BE49-F238E27FC236}">
              <a16:creationId xmlns:a16="http://schemas.microsoft.com/office/drawing/2014/main" id="{194EE839-B4F0-401A-9F35-4A5E15C2356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83" name="Text Box 1">
          <a:extLst>
            <a:ext uri="{FF2B5EF4-FFF2-40B4-BE49-F238E27FC236}">
              <a16:creationId xmlns:a16="http://schemas.microsoft.com/office/drawing/2014/main" id="{DAD22CCD-4EAC-4FC0-B1B1-B6C5F31FD37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84" name="Text Box 3">
          <a:extLst>
            <a:ext uri="{FF2B5EF4-FFF2-40B4-BE49-F238E27FC236}">
              <a16:creationId xmlns:a16="http://schemas.microsoft.com/office/drawing/2014/main" id="{6FF1610F-2C5C-47C9-9F99-E692743889C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85" name="Text Box 1">
          <a:extLst>
            <a:ext uri="{FF2B5EF4-FFF2-40B4-BE49-F238E27FC236}">
              <a16:creationId xmlns:a16="http://schemas.microsoft.com/office/drawing/2014/main" id="{0E9FDA8D-F921-4D81-BA7B-DFF408F6914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86" name="Text Box 1">
          <a:extLst>
            <a:ext uri="{FF2B5EF4-FFF2-40B4-BE49-F238E27FC236}">
              <a16:creationId xmlns:a16="http://schemas.microsoft.com/office/drawing/2014/main" id="{EB9DD625-04F5-4576-8895-EC859AC7660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87" name="Text Box 3">
          <a:extLst>
            <a:ext uri="{FF2B5EF4-FFF2-40B4-BE49-F238E27FC236}">
              <a16:creationId xmlns:a16="http://schemas.microsoft.com/office/drawing/2014/main" id="{CADE880E-1A06-409E-B111-9163E3D41CE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88" name="Text Box 1">
          <a:extLst>
            <a:ext uri="{FF2B5EF4-FFF2-40B4-BE49-F238E27FC236}">
              <a16:creationId xmlns:a16="http://schemas.microsoft.com/office/drawing/2014/main" id="{61460A27-84D8-4E8A-9CB4-23FEB2A6468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89" name="Text Box 3">
          <a:extLst>
            <a:ext uri="{FF2B5EF4-FFF2-40B4-BE49-F238E27FC236}">
              <a16:creationId xmlns:a16="http://schemas.microsoft.com/office/drawing/2014/main" id="{981E8C3A-10DE-46E3-929D-1C17A66D761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90" name="Text Box 1">
          <a:extLst>
            <a:ext uri="{FF2B5EF4-FFF2-40B4-BE49-F238E27FC236}">
              <a16:creationId xmlns:a16="http://schemas.microsoft.com/office/drawing/2014/main" id="{97DD8611-74A5-4C18-A461-54769A2B3F6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91" name="Text Box 1">
          <a:extLst>
            <a:ext uri="{FF2B5EF4-FFF2-40B4-BE49-F238E27FC236}">
              <a16:creationId xmlns:a16="http://schemas.microsoft.com/office/drawing/2014/main" id="{7A0739EA-0E36-4711-A1CB-BAD65C226FB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92" name="Text Box 3">
          <a:extLst>
            <a:ext uri="{FF2B5EF4-FFF2-40B4-BE49-F238E27FC236}">
              <a16:creationId xmlns:a16="http://schemas.microsoft.com/office/drawing/2014/main" id="{35862A6A-9D34-4EDB-B558-E70AB96C8E7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93" name="Text Box 1">
          <a:extLst>
            <a:ext uri="{FF2B5EF4-FFF2-40B4-BE49-F238E27FC236}">
              <a16:creationId xmlns:a16="http://schemas.microsoft.com/office/drawing/2014/main" id="{1BDAA30A-70FB-40E5-9823-2801F1453F9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94" name="Text Box 3">
          <a:extLst>
            <a:ext uri="{FF2B5EF4-FFF2-40B4-BE49-F238E27FC236}">
              <a16:creationId xmlns:a16="http://schemas.microsoft.com/office/drawing/2014/main" id="{E65979B9-062D-4166-83A7-9F262B8C5D8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95" name="Text Box 1">
          <a:extLst>
            <a:ext uri="{FF2B5EF4-FFF2-40B4-BE49-F238E27FC236}">
              <a16:creationId xmlns:a16="http://schemas.microsoft.com/office/drawing/2014/main" id="{B76CA389-83E5-42F2-A32E-98298785AEA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96" name="Text Box 1">
          <a:extLst>
            <a:ext uri="{FF2B5EF4-FFF2-40B4-BE49-F238E27FC236}">
              <a16:creationId xmlns:a16="http://schemas.microsoft.com/office/drawing/2014/main" id="{F9B48BCA-676B-42B5-AD84-F1F585B7F20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97" name="Text Box 3">
          <a:extLst>
            <a:ext uri="{FF2B5EF4-FFF2-40B4-BE49-F238E27FC236}">
              <a16:creationId xmlns:a16="http://schemas.microsoft.com/office/drawing/2014/main" id="{C4CF3400-1AFF-472E-9674-31971C5BD15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98" name="Text Box 1">
          <a:extLst>
            <a:ext uri="{FF2B5EF4-FFF2-40B4-BE49-F238E27FC236}">
              <a16:creationId xmlns:a16="http://schemas.microsoft.com/office/drawing/2014/main" id="{15D32CA2-3571-43ED-B8D3-E288CB841F8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99" name="Text Box 3">
          <a:extLst>
            <a:ext uri="{FF2B5EF4-FFF2-40B4-BE49-F238E27FC236}">
              <a16:creationId xmlns:a16="http://schemas.microsoft.com/office/drawing/2014/main" id="{1F6AB277-29FB-4E27-A2D8-3B018930E6E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00" name="Text Box 1">
          <a:extLst>
            <a:ext uri="{FF2B5EF4-FFF2-40B4-BE49-F238E27FC236}">
              <a16:creationId xmlns:a16="http://schemas.microsoft.com/office/drawing/2014/main" id="{DAE1F3CF-46F0-4A90-84F7-A1BA2D3268C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01" name="Text Box 1">
          <a:extLst>
            <a:ext uri="{FF2B5EF4-FFF2-40B4-BE49-F238E27FC236}">
              <a16:creationId xmlns:a16="http://schemas.microsoft.com/office/drawing/2014/main" id="{3A44D7F8-163E-47B3-8BF1-CE26F3DAF4B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02" name="Text Box 3">
          <a:extLst>
            <a:ext uri="{FF2B5EF4-FFF2-40B4-BE49-F238E27FC236}">
              <a16:creationId xmlns:a16="http://schemas.microsoft.com/office/drawing/2014/main" id="{0EAA50AE-D802-4FAB-BEE0-CB5066B4E8B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03" name="Text Box 1">
          <a:extLst>
            <a:ext uri="{FF2B5EF4-FFF2-40B4-BE49-F238E27FC236}">
              <a16:creationId xmlns:a16="http://schemas.microsoft.com/office/drawing/2014/main" id="{55565191-5A0E-49AC-AA25-E87D5479178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04" name="Text Box 3">
          <a:extLst>
            <a:ext uri="{FF2B5EF4-FFF2-40B4-BE49-F238E27FC236}">
              <a16:creationId xmlns:a16="http://schemas.microsoft.com/office/drawing/2014/main" id="{CEEDB7E6-AB13-4C64-BD7E-E7B1730807E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05" name="Text Box 1">
          <a:extLst>
            <a:ext uri="{FF2B5EF4-FFF2-40B4-BE49-F238E27FC236}">
              <a16:creationId xmlns:a16="http://schemas.microsoft.com/office/drawing/2014/main" id="{75A8662E-201E-4470-822D-88940DA59D9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06" name="Text Box 1">
          <a:extLst>
            <a:ext uri="{FF2B5EF4-FFF2-40B4-BE49-F238E27FC236}">
              <a16:creationId xmlns:a16="http://schemas.microsoft.com/office/drawing/2014/main" id="{BE3A6F70-327D-4404-AC4A-BE95EEA9C0B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07" name="Text Box 3">
          <a:extLst>
            <a:ext uri="{FF2B5EF4-FFF2-40B4-BE49-F238E27FC236}">
              <a16:creationId xmlns:a16="http://schemas.microsoft.com/office/drawing/2014/main" id="{D55C9636-E4FA-409C-A01F-FAC2701FACA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08" name="Text Box 1">
          <a:extLst>
            <a:ext uri="{FF2B5EF4-FFF2-40B4-BE49-F238E27FC236}">
              <a16:creationId xmlns:a16="http://schemas.microsoft.com/office/drawing/2014/main" id="{CF1C633B-E876-4B39-8BF1-3E9322D2633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09" name="Text Box 3">
          <a:extLst>
            <a:ext uri="{FF2B5EF4-FFF2-40B4-BE49-F238E27FC236}">
              <a16:creationId xmlns:a16="http://schemas.microsoft.com/office/drawing/2014/main" id="{9FF4A47D-A394-4388-B836-88A738D8055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10" name="Text Box 1">
          <a:extLst>
            <a:ext uri="{FF2B5EF4-FFF2-40B4-BE49-F238E27FC236}">
              <a16:creationId xmlns:a16="http://schemas.microsoft.com/office/drawing/2014/main" id="{F38CE42D-130D-413C-BE46-B21C7AD80BD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11" name="Text Box 1">
          <a:extLst>
            <a:ext uri="{FF2B5EF4-FFF2-40B4-BE49-F238E27FC236}">
              <a16:creationId xmlns:a16="http://schemas.microsoft.com/office/drawing/2014/main" id="{B39A6913-AB0C-4BF4-8628-71C5AC1300C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12" name="Text Box 3">
          <a:extLst>
            <a:ext uri="{FF2B5EF4-FFF2-40B4-BE49-F238E27FC236}">
              <a16:creationId xmlns:a16="http://schemas.microsoft.com/office/drawing/2014/main" id="{6561E48E-1B64-474D-8877-17C11129438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13" name="Text Box 1">
          <a:extLst>
            <a:ext uri="{FF2B5EF4-FFF2-40B4-BE49-F238E27FC236}">
              <a16:creationId xmlns:a16="http://schemas.microsoft.com/office/drawing/2014/main" id="{4472DA4B-771D-40A5-B385-E6D9D1FECC9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14" name="Text Box 3">
          <a:extLst>
            <a:ext uri="{FF2B5EF4-FFF2-40B4-BE49-F238E27FC236}">
              <a16:creationId xmlns:a16="http://schemas.microsoft.com/office/drawing/2014/main" id="{8B766096-3D9E-4D9D-9D7B-09CA8FF5571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15" name="Text Box 1">
          <a:extLst>
            <a:ext uri="{FF2B5EF4-FFF2-40B4-BE49-F238E27FC236}">
              <a16:creationId xmlns:a16="http://schemas.microsoft.com/office/drawing/2014/main" id="{8C04D543-CB5F-42B8-8569-DB2BBC7E0BD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16" name="Text Box 1">
          <a:extLst>
            <a:ext uri="{FF2B5EF4-FFF2-40B4-BE49-F238E27FC236}">
              <a16:creationId xmlns:a16="http://schemas.microsoft.com/office/drawing/2014/main" id="{0B02242D-2A17-47DA-8229-3C2D20B04F0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17" name="Text Box 3">
          <a:extLst>
            <a:ext uri="{FF2B5EF4-FFF2-40B4-BE49-F238E27FC236}">
              <a16:creationId xmlns:a16="http://schemas.microsoft.com/office/drawing/2014/main" id="{450D2980-C58B-4488-A487-6F5DE5B890B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18" name="Text Box 1">
          <a:extLst>
            <a:ext uri="{FF2B5EF4-FFF2-40B4-BE49-F238E27FC236}">
              <a16:creationId xmlns:a16="http://schemas.microsoft.com/office/drawing/2014/main" id="{65C3DC5F-7A7D-4075-AB28-1A3B5955CB0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19" name="Text Box 3">
          <a:extLst>
            <a:ext uri="{FF2B5EF4-FFF2-40B4-BE49-F238E27FC236}">
              <a16:creationId xmlns:a16="http://schemas.microsoft.com/office/drawing/2014/main" id="{DA0744E0-69BC-4C1C-BF68-7FC60DFB1C4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20" name="Text Box 1">
          <a:extLst>
            <a:ext uri="{FF2B5EF4-FFF2-40B4-BE49-F238E27FC236}">
              <a16:creationId xmlns:a16="http://schemas.microsoft.com/office/drawing/2014/main" id="{4030F769-5360-4211-A6CC-E02D39F7A19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21" name="Text Box 1">
          <a:extLst>
            <a:ext uri="{FF2B5EF4-FFF2-40B4-BE49-F238E27FC236}">
              <a16:creationId xmlns:a16="http://schemas.microsoft.com/office/drawing/2014/main" id="{416AEAD9-34E1-4AC3-8454-4E2D74ECF57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22" name="Text Box 3">
          <a:extLst>
            <a:ext uri="{FF2B5EF4-FFF2-40B4-BE49-F238E27FC236}">
              <a16:creationId xmlns:a16="http://schemas.microsoft.com/office/drawing/2014/main" id="{F045AA87-29F5-41DE-8E10-A725F6183B7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23" name="Text Box 1">
          <a:extLst>
            <a:ext uri="{FF2B5EF4-FFF2-40B4-BE49-F238E27FC236}">
              <a16:creationId xmlns:a16="http://schemas.microsoft.com/office/drawing/2014/main" id="{DC5BA65C-E8B1-4EB6-9351-64D65FBA69B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24" name="Text Box 3">
          <a:extLst>
            <a:ext uri="{FF2B5EF4-FFF2-40B4-BE49-F238E27FC236}">
              <a16:creationId xmlns:a16="http://schemas.microsoft.com/office/drawing/2014/main" id="{0FEFC09D-D755-47D3-BF67-0456E0BD5DB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25" name="Text Box 1">
          <a:extLst>
            <a:ext uri="{FF2B5EF4-FFF2-40B4-BE49-F238E27FC236}">
              <a16:creationId xmlns:a16="http://schemas.microsoft.com/office/drawing/2014/main" id="{26250F33-38AA-47E0-AD28-B537583E29F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26" name="Text Box 1">
          <a:extLst>
            <a:ext uri="{FF2B5EF4-FFF2-40B4-BE49-F238E27FC236}">
              <a16:creationId xmlns:a16="http://schemas.microsoft.com/office/drawing/2014/main" id="{5A2772E2-B4CD-4380-A51E-215E7CEE0A9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27" name="Text Box 3">
          <a:extLst>
            <a:ext uri="{FF2B5EF4-FFF2-40B4-BE49-F238E27FC236}">
              <a16:creationId xmlns:a16="http://schemas.microsoft.com/office/drawing/2014/main" id="{46F93060-E417-4F72-8601-0A515188E84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28" name="Text Box 1">
          <a:extLst>
            <a:ext uri="{FF2B5EF4-FFF2-40B4-BE49-F238E27FC236}">
              <a16:creationId xmlns:a16="http://schemas.microsoft.com/office/drawing/2014/main" id="{B9C5B9BE-FAF5-4AA3-9969-20613CB2252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29" name="Text Box 3">
          <a:extLst>
            <a:ext uri="{FF2B5EF4-FFF2-40B4-BE49-F238E27FC236}">
              <a16:creationId xmlns:a16="http://schemas.microsoft.com/office/drawing/2014/main" id="{FFD5CEAD-B0B4-455A-8F6C-1D0C33AE259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30" name="Text Box 1">
          <a:extLst>
            <a:ext uri="{FF2B5EF4-FFF2-40B4-BE49-F238E27FC236}">
              <a16:creationId xmlns:a16="http://schemas.microsoft.com/office/drawing/2014/main" id="{956C0B10-5ECE-4052-B074-59716C0DA20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31" name="Text Box 1">
          <a:extLst>
            <a:ext uri="{FF2B5EF4-FFF2-40B4-BE49-F238E27FC236}">
              <a16:creationId xmlns:a16="http://schemas.microsoft.com/office/drawing/2014/main" id="{733A0F1B-9232-4B5C-A043-897B710C7B6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32" name="Text Box 3">
          <a:extLst>
            <a:ext uri="{FF2B5EF4-FFF2-40B4-BE49-F238E27FC236}">
              <a16:creationId xmlns:a16="http://schemas.microsoft.com/office/drawing/2014/main" id="{FAE5208A-B1E7-4270-BAD2-0440AD04BA1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33" name="Text Box 1">
          <a:extLst>
            <a:ext uri="{FF2B5EF4-FFF2-40B4-BE49-F238E27FC236}">
              <a16:creationId xmlns:a16="http://schemas.microsoft.com/office/drawing/2014/main" id="{EB4FBAF2-582D-4075-BC1D-9A79BAAC795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34" name="Text Box 3">
          <a:extLst>
            <a:ext uri="{FF2B5EF4-FFF2-40B4-BE49-F238E27FC236}">
              <a16:creationId xmlns:a16="http://schemas.microsoft.com/office/drawing/2014/main" id="{AA9E63F4-C76F-4861-A636-6B51661DB25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35" name="Text Box 1">
          <a:extLst>
            <a:ext uri="{FF2B5EF4-FFF2-40B4-BE49-F238E27FC236}">
              <a16:creationId xmlns:a16="http://schemas.microsoft.com/office/drawing/2014/main" id="{A4996F8D-C814-4C35-9336-70608F320B0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36" name="Text Box 1">
          <a:extLst>
            <a:ext uri="{FF2B5EF4-FFF2-40B4-BE49-F238E27FC236}">
              <a16:creationId xmlns:a16="http://schemas.microsoft.com/office/drawing/2014/main" id="{91D91C0C-EA68-498D-9628-79969ABE6FD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37" name="Text Box 3">
          <a:extLst>
            <a:ext uri="{FF2B5EF4-FFF2-40B4-BE49-F238E27FC236}">
              <a16:creationId xmlns:a16="http://schemas.microsoft.com/office/drawing/2014/main" id="{2D6DD86C-69F8-49E0-8FC9-6D304C37E95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38" name="Text Box 1">
          <a:extLst>
            <a:ext uri="{FF2B5EF4-FFF2-40B4-BE49-F238E27FC236}">
              <a16:creationId xmlns:a16="http://schemas.microsoft.com/office/drawing/2014/main" id="{10B2D3AD-5B22-4CAF-9101-40D873D5C4D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39" name="Text Box 3">
          <a:extLst>
            <a:ext uri="{FF2B5EF4-FFF2-40B4-BE49-F238E27FC236}">
              <a16:creationId xmlns:a16="http://schemas.microsoft.com/office/drawing/2014/main" id="{A0FD77EF-E488-415E-89A7-68616C2B0DD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40" name="Text Box 1">
          <a:extLst>
            <a:ext uri="{FF2B5EF4-FFF2-40B4-BE49-F238E27FC236}">
              <a16:creationId xmlns:a16="http://schemas.microsoft.com/office/drawing/2014/main" id="{9DE73C68-BC49-4F77-ABDB-3C440C1AC9F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41" name="Text Box 1">
          <a:extLst>
            <a:ext uri="{FF2B5EF4-FFF2-40B4-BE49-F238E27FC236}">
              <a16:creationId xmlns:a16="http://schemas.microsoft.com/office/drawing/2014/main" id="{65E35ADB-589B-42A2-A9DE-8178ACDB096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42" name="Text Box 3">
          <a:extLst>
            <a:ext uri="{FF2B5EF4-FFF2-40B4-BE49-F238E27FC236}">
              <a16:creationId xmlns:a16="http://schemas.microsoft.com/office/drawing/2014/main" id="{FC872356-8D38-4A0D-97C0-55138246C3B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43" name="Text Box 1">
          <a:extLst>
            <a:ext uri="{FF2B5EF4-FFF2-40B4-BE49-F238E27FC236}">
              <a16:creationId xmlns:a16="http://schemas.microsoft.com/office/drawing/2014/main" id="{E6D78450-97DA-4735-A2B6-1440CD71E8A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44" name="Text Box 3">
          <a:extLst>
            <a:ext uri="{FF2B5EF4-FFF2-40B4-BE49-F238E27FC236}">
              <a16:creationId xmlns:a16="http://schemas.microsoft.com/office/drawing/2014/main" id="{8B618CF9-5E9C-4C65-9048-A84299A84ED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45" name="Text Box 1">
          <a:extLst>
            <a:ext uri="{FF2B5EF4-FFF2-40B4-BE49-F238E27FC236}">
              <a16:creationId xmlns:a16="http://schemas.microsoft.com/office/drawing/2014/main" id="{59F67F1E-0579-407D-9C9A-8D3DFC59409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46" name="Text Box 1">
          <a:extLst>
            <a:ext uri="{FF2B5EF4-FFF2-40B4-BE49-F238E27FC236}">
              <a16:creationId xmlns:a16="http://schemas.microsoft.com/office/drawing/2014/main" id="{92230A7A-C5BF-41C5-8977-94C44D7131E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47" name="Text Box 3">
          <a:extLst>
            <a:ext uri="{FF2B5EF4-FFF2-40B4-BE49-F238E27FC236}">
              <a16:creationId xmlns:a16="http://schemas.microsoft.com/office/drawing/2014/main" id="{526006E9-D47F-4D7A-A9CE-657B079E464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48" name="Text Box 1">
          <a:extLst>
            <a:ext uri="{FF2B5EF4-FFF2-40B4-BE49-F238E27FC236}">
              <a16:creationId xmlns:a16="http://schemas.microsoft.com/office/drawing/2014/main" id="{36909E7C-42CA-4724-80D7-1AACA9E409C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49" name="Text Box 3">
          <a:extLst>
            <a:ext uri="{FF2B5EF4-FFF2-40B4-BE49-F238E27FC236}">
              <a16:creationId xmlns:a16="http://schemas.microsoft.com/office/drawing/2014/main" id="{51B9F1AE-55F1-4BDE-A616-120F729416F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50" name="Text Box 1">
          <a:extLst>
            <a:ext uri="{FF2B5EF4-FFF2-40B4-BE49-F238E27FC236}">
              <a16:creationId xmlns:a16="http://schemas.microsoft.com/office/drawing/2014/main" id="{96EE6312-0174-4D88-9505-5AEF1F33718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51" name="Text Box 1">
          <a:extLst>
            <a:ext uri="{FF2B5EF4-FFF2-40B4-BE49-F238E27FC236}">
              <a16:creationId xmlns:a16="http://schemas.microsoft.com/office/drawing/2014/main" id="{2E747469-E271-41A1-B1CD-447BB063B23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52" name="Text Box 3">
          <a:extLst>
            <a:ext uri="{FF2B5EF4-FFF2-40B4-BE49-F238E27FC236}">
              <a16:creationId xmlns:a16="http://schemas.microsoft.com/office/drawing/2014/main" id="{6409D8CE-F500-4141-B85B-92C28135E6C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53" name="Text Box 1">
          <a:extLst>
            <a:ext uri="{FF2B5EF4-FFF2-40B4-BE49-F238E27FC236}">
              <a16:creationId xmlns:a16="http://schemas.microsoft.com/office/drawing/2014/main" id="{33D12D22-74E4-468C-A214-4BC656B6C7E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54" name="Text Box 3">
          <a:extLst>
            <a:ext uri="{FF2B5EF4-FFF2-40B4-BE49-F238E27FC236}">
              <a16:creationId xmlns:a16="http://schemas.microsoft.com/office/drawing/2014/main" id="{E3780235-5863-4B45-817C-2BB7868E52D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55" name="Text Box 1">
          <a:extLst>
            <a:ext uri="{FF2B5EF4-FFF2-40B4-BE49-F238E27FC236}">
              <a16:creationId xmlns:a16="http://schemas.microsoft.com/office/drawing/2014/main" id="{C7AFA003-EF88-4FAD-95B5-5B5EA8D3CAF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56" name="Text Box 1">
          <a:extLst>
            <a:ext uri="{FF2B5EF4-FFF2-40B4-BE49-F238E27FC236}">
              <a16:creationId xmlns:a16="http://schemas.microsoft.com/office/drawing/2014/main" id="{64F895CC-03F1-43E7-83F9-CBDAE3AC2E7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57" name="Text Box 3">
          <a:extLst>
            <a:ext uri="{FF2B5EF4-FFF2-40B4-BE49-F238E27FC236}">
              <a16:creationId xmlns:a16="http://schemas.microsoft.com/office/drawing/2014/main" id="{C8642584-3692-45C8-95EF-FD4AC5AC94E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58" name="Text Box 1">
          <a:extLst>
            <a:ext uri="{FF2B5EF4-FFF2-40B4-BE49-F238E27FC236}">
              <a16:creationId xmlns:a16="http://schemas.microsoft.com/office/drawing/2014/main" id="{FE96E76C-F626-4FB3-9AA1-795C3BCB9B0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59" name="Text Box 3">
          <a:extLst>
            <a:ext uri="{FF2B5EF4-FFF2-40B4-BE49-F238E27FC236}">
              <a16:creationId xmlns:a16="http://schemas.microsoft.com/office/drawing/2014/main" id="{39CE35E2-4CD6-4ECA-99A6-11D33B71263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60" name="Text Box 1">
          <a:extLst>
            <a:ext uri="{FF2B5EF4-FFF2-40B4-BE49-F238E27FC236}">
              <a16:creationId xmlns:a16="http://schemas.microsoft.com/office/drawing/2014/main" id="{B75336E9-CE86-4E62-953F-3BB75CB9BF2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61" name="Text Box 1">
          <a:extLst>
            <a:ext uri="{FF2B5EF4-FFF2-40B4-BE49-F238E27FC236}">
              <a16:creationId xmlns:a16="http://schemas.microsoft.com/office/drawing/2014/main" id="{A26D23AC-4F5C-4D42-A8D5-9AC95FEDB0E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62" name="Text Box 3">
          <a:extLst>
            <a:ext uri="{FF2B5EF4-FFF2-40B4-BE49-F238E27FC236}">
              <a16:creationId xmlns:a16="http://schemas.microsoft.com/office/drawing/2014/main" id="{155F13F2-0AE6-48EC-BEF1-AB636ED1447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63" name="Text Box 1">
          <a:extLst>
            <a:ext uri="{FF2B5EF4-FFF2-40B4-BE49-F238E27FC236}">
              <a16:creationId xmlns:a16="http://schemas.microsoft.com/office/drawing/2014/main" id="{559BE564-5B31-4725-A020-6CD29DCB9DF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64" name="Text Box 3">
          <a:extLst>
            <a:ext uri="{FF2B5EF4-FFF2-40B4-BE49-F238E27FC236}">
              <a16:creationId xmlns:a16="http://schemas.microsoft.com/office/drawing/2014/main" id="{DDECCB0E-5CE5-42D5-B048-59F2B4D47BA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65" name="Text Box 1">
          <a:extLst>
            <a:ext uri="{FF2B5EF4-FFF2-40B4-BE49-F238E27FC236}">
              <a16:creationId xmlns:a16="http://schemas.microsoft.com/office/drawing/2014/main" id="{E0F0B725-13E2-42F2-A86E-E08D8070CC5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66" name="Text Box 1">
          <a:extLst>
            <a:ext uri="{FF2B5EF4-FFF2-40B4-BE49-F238E27FC236}">
              <a16:creationId xmlns:a16="http://schemas.microsoft.com/office/drawing/2014/main" id="{D47E8F3F-0D18-4101-82D8-759979AA2E3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67" name="Text Box 3">
          <a:extLst>
            <a:ext uri="{FF2B5EF4-FFF2-40B4-BE49-F238E27FC236}">
              <a16:creationId xmlns:a16="http://schemas.microsoft.com/office/drawing/2014/main" id="{67486953-8E07-4A64-8FA3-36E81FC7E5C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68" name="Text Box 1">
          <a:extLst>
            <a:ext uri="{FF2B5EF4-FFF2-40B4-BE49-F238E27FC236}">
              <a16:creationId xmlns:a16="http://schemas.microsoft.com/office/drawing/2014/main" id="{EA66155C-6D34-4CF8-85A6-AF2FDB7D5C2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69" name="Text Box 3">
          <a:extLst>
            <a:ext uri="{FF2B5EF4-FFF2-40B4-BE49-F238E27FC236}">
              <a16:creationId xmlns:a16="http://schemas.microsoft.com/office/drawing/2014/main" id="{3BF6C76B-6124-4C6A-8BE2-33125262F76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70" name="Text Box 1">
          <a:extLst>
            <a:ext uri="{FF2B5EF4-FFF2-40B4-BE49-F238E27FC236}">
              <a16:creationId xmlns:a16="http://schemas.microsoft.com/office/drawing/2014/main" id="{F917D5CC-EDB1-4E2B-B741-177167C9CA3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71" name="Text Box 1">
          <a:extLst>
            <a:ext uri="{FF2B5EF4-FFF2-40B4-BE49-F238E27FC236}">
              <a16:creationId xmlns:a16="http://schemas.microsoft.com/office/drawing/2014/main" id="{C795C336-9CAD-4A8A-880E-4EA23247468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72" name="Text Box 3">
          <a:extLst>
            <a:ext uri="{FF2B5EF4-FFF2-40B4-BE49-F238E27FC236}">
              <a16:creationId xmlns:a16="http://schemas.microsoft.com/office/drawing/2014/main" id="{5C708FF9-B94B-4105-A674-44CF36F1E4F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73" name="Text Box 1">
          <a:extLst>
            <a:ext uri="{FF2B5EF4-FFF2-40B4-BE49-F238E27FC236}">
              <a16:creationId xmlns:a16="http://schemas.microsoft.com/office/drawing/2014/main" id="{79AFCFA6-D14C-40AA-9BDD-83EF1108A4A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74" name="Text Box 3">
          <a:extLst>
            <a:ext uri="{FF2B5EF4-FFF2-40B4-BE49-F238E27FC236}">
              <a16:creationId xmlns:a16="http://schemas.microsoft.com/office/drawing/2014/main" id="{234897B3-7EFE-40D0-B4E4-1F9671B3222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75" name="Text Box 1">
          <a:extLst>
            <a:ext uri="{FF2B5EF4-FFF2-40B4-BE49-F238E27FC236}">
              <a16:creationId xmlns:a16="http://schemas.microsoft.com/office/drawing/2014/main" id="{A3D09E03-3740-42D5-8F5D-E367FDF07EB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76" name="Text Box 1">
          <a:extLst>
            <a:ext uri="{FF2B5EF4-FFF2-40B4-BE49-F238E27FC236}">
              <a16:creationId xmlns:a16="http://schemas.microsoft.com/office/drawing/2014/main" id="{904DEF8D-BBD4-4516-B6F1-E740E46355E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77" name="Text Box 3">
          <a:extLst>
            <a:ext uri="{FF2B5EF4-FFF2-40B4-BE49-F238E27FC236}">
              <a16:creationId xmlns:a16="http://schemas.microsoft.com/office/drawing/2014/main" id="{46031FD3-518E-4198-A4D5-757A07CDFB9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78" name="Text Box 1">
          <a:extLst>
            <a:ext uri="{FF2B5EF4-FFF2-40B4-BE49-F238E27FC236}">
              <a16:creationId xmlns:a16="http://schemas.microsoft.com/office/drawing/2014/main" id="{96F83C51-767E-4485-8470-C5A82D89A0E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79" name="Text Box 3">
          <a:extLst>
            <a:ext uri="{FF2B5EF4-FFF2-40B4-BE49-F238E27FC236}">
              <a16:creationId xmlns:a16="http://schemas.microsoft.com/office/drawing/2014/main" id="{B5A94BDF-3213-47E2-A943-C8695715FE7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80" name="Text Box 1">
          <a:extLst>
            <a:ext uri="{FF2B5EF4-FFF2-40B4-BE49-F238E27FC236}">
              <a16:creationId xmlns:a16="http://schemas.microsoft.com/office/drawing/2014/main" id="{9AC248F6-5545-4A02-9D9D-53783F2AA7E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81" name="Text Box 1">
          <a:extLst>
            <a:ext uri="{FF2B5EF4-FFF2-40B4-BE49-F238E27FC236}">
              <a16:creationId xmlns:a16="http://schemas.microsoft.com/office/drawing/2014/main" id="{AA887B59-15F4-4E89-B4B6-6A3B7C261F8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82" name="Text Box 3">
          <a:extLst>
            <a:ext uri="{FF2B5EF4-FFF2-40B4-BE49-F238E27FC236}">
              <a16:creationId xmlns:a16="http://schemas.microsoft.com/office/drawing/2014/main" id="{D40FAD01-DF9E-4BB0-8809-990DC4047CE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83" name="Text Box 1">
          <a:extLst>
            <a:ext uri="{FF2B5EF4-FFF2-40B4-BE49-F238E27FC236}">
              <a16:creationId xmlns:a16="http://schemas.microsoft.com/office/drawing/2014/main" id="{B19AD86D-49BB-4B89-A7A1-E133A0BAC11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84" name="Text Box 3">
          <a:extLst>
            <a:ext uri="{FF2B5EF4-FFF2-40B4-BE49-F238E27FC236}">
              <a16:creationId xmlns:a16="http://schemas.microsoft.com/office/drawing/2014/main" id="{F9F1BC2D-563D-4F06-B6B6-B88A90EE574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85" name="Text Box 1">
          <a:extLst>
            <a:ext uri="{FF2B5EF4-FFF2-40B4-BE49-F238E27FC236}">
              <a16:creationId xmlns:a16="http://schemas.microsoft.com/office/drawing/2014/main" id="{2A2FBF91-84A9-4B78-A01A-BD108D15A1D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86" name="Text Box 1">
          <a:extLst>
            <a:ext uri="{FF2B5EF4-FFF2-40B4-BE49-F238E27FC236}">
              <a16:creationId xmlns:a16="http://schemas.microsoft.com/office/drawing/2014/main" id="{1F34ED55-3AC8-4470-B21B-CC454D5E5A5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87" name="Text Box 3">
          <a:extLst>
            <a:ext uri="{FF2B5EF4-FFF2-40B4-BE49-F238E27FC236}">
              <a16:creationId xmlns:a16="http://schemas.microsoft.com/office/drawing/2014/main" id="{FE7B5290-C125-4F46-80ED-AB9A56DD4CF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88" name="Text Box 1">
          <a:extLst>
            <a:ext uri="{FF2B5EF4-FFF2-40B4-BE49-F238E27FC236}">
              <a16:creationId xmlns:a16="http://schemas.microsoft.com/office/drawing/2014/main" id="{4AE31F9C-DBD2-4656-8D0C-1340D73F232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89" name="Text Box 3">
          <a:extLst>
            <a:ext uri="{FF2B5EF4-FFF2-40B4-BE49-F238E27FC236}">
              <a16:creationId xmlns:a16="http://schemas.microsoft.com/office/drawing/2014/main" id="{105C29A8-D9AA-4AA7-A017-EE1805F0100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90" name="Text Box 1">
          <a:extLst>
            <a:ext uri="{FF2B5EF4-FFF2-40B4-BE49-F238E27FC236}">
              <a16:creationId xmlns:a16="http://schemas.microsoft.com/office/drawing/2014/main" id="{9E4801C1-1E03-4722-BF18-5A3582C3F39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91" name="Text Box 1">
          <a:extLst>
            <a:ext uri="{FF2B5EF4-FFF2-40B4-BE49-F238E27FC236}">
              <a16:creationId xmlns:a16="http://schemas.microsoft.com/office/drawing/2014/main" id="{BF01412B-7817-47A4-A8FA-DA45FA6F283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92" name="Text Box 3">
          <a:extLst>
            <a:ext uri="{FF2B5EF4-FFF2-40B4-BE49-F238E27FC236}">
              <a16:creationId xmlns:a16="http://schemas.microsoft.com/office/drawing/2014/main" id="{499EEB43-6B3E-47B4-A4C9-A8AEDC37C4C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93" name="Text Box 1">
          <a:extLst>
            <a:ext uri="{FF2B5EF4-FFF2-40B4-BE49-F238E27FC236}">
              <a16:creationId xmlns:a16="http://schemas.microsoft.com/office/drawing/2014/main" id="{8071A5F7-000E-4EDF-ABF4-4A25E86E112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94" name="Text Box 3">
          <a:extLst>
            <a:ext uri="{FF2B5EF4-FFF2-40B4-BE49-F238E27FC236}">
              <a16:creationId xmlns:a16="http://schemas.microsoft.com/office/drawing/2014/main" id="{35845975-EE94-42BB-B5F2-8143F0D8B8B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95" name="Text Box 1">
          <a:extLst>
            <a:ext uri="{FF2B5EF4-FFF2-40B4-BE49-F238E27FC236}">
              <a16:creationId xmlns:a16="http://schemas.microsoft.com/office/drawing/2014/main" id="{8E2E10BB-D35B-40B9-9328-DBB1C2C9EC9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96" name="Text Box 1">
          <a:extLst>
            <a:ext uri="{FF2B5EF4-FFF2-40B4-BE49-F238E27FC236}">
              <a16:creationId xmlns:a16="http://schemas.microsoft.com/office/drawing/2014/main" id="{06BCF787-6D58-492D-9C05-362DB3DE85B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97" name="Text Box 3">
          <a:extLst>
            <a:ext uri="{FF2B5EF4-FFF2-40B4-BE49-F238E27FC236}">
              <a16:creationId xmlns:a16="http://schemas.microsoft.com/office/drawing/2014/main" id="{EFEF71CB-04A2-44F4-B794-9D84795E661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98" name="Text Box 1">
          <a:extLst>
            <a:ext uri="{FF2B5EF4-FFF2-40B4-BE49-F238E27FC236}">
              <a16:creationId xmlns:a16="http://schemas.microsoft.com/office/drawing/2014/main" id="{E519EE92-A5F7-4364-B186-A4837ECE1B8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99" name="Text Box 3">
          <a:extLst>
            <a:ext uri="{FF2B5EF4-FFF2-40B4-BE49-F238E27FC236}">
              <a16:creationId xmlns:a16="http://schemas.microsoft.com/office/drawing/2014/main" id="{112F11BC-F08F-4E6F-9673-6AE360BFE4E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00" name="Text Box 1">
          <a:extLst>
            <a:ext uri="{FF2B5EF4-FFF2-40B4-BE49-F238E27FC236}">
              <a16:creationId xmlns:a16="http://schemas.microsoft.com/office/drawing/2014/main" id="{2257B5E1-43F9-4BC3-B63F-F1F9F38A2E21}"/>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01" name="Text Box 3">
          <a:extLst>
            <a:ext uri="{FF2B5EF4-FFF2-40B4-BE49-F238E27FC236}">
              <a16:creationId xmlns:a16="http://schemas.microsoft.com/office/drawing/2014/main" id="{044E5D0D-7CED-48D4-8AD0-C88F4B0DD77E}"/>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02" name="Text Box 1">
          <a:extLst>
            <a:ext uri="{FF2B5EF4-FFF2-40B4-BE49-F238E27FC236}">
              <a16:creationId xmlns:a16="http://schemas.microsoft.com/office/drawing/2014/main" id="{026AA6ED-C832-4E3E-AC3C-390CDB68E71A}"/>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03" name="Text Box 3">
          <a:extLst>
            <a:ext uri="{FF2B5EF4-FFF2-40B4-BE49-F238E27FC236}">
              <a16:creationId xmlns:a16="http://schemas.microsoft.com/office/drawing/2014/main" id="{671D96C8-FD34-4567-9ABD-DF1850515CF5}"/>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04" name="Text Box 1">
          <a:extLst>
            <a:ext uri="{FF2B5EF4-FFF2-40B4-BE49-F238E27FC236}">
              <a16:creationId xmlns:a16="http://schemas.microsoft.com/office/drawing/2014/main" id="{BF0E0881-9BD6-44E4-BE45-C47D9929AB38}"/>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05" name="Text Box 1">
          <a:extLst>
            <a:ext uri="{FF2B5EF4-FFF2-40B4-BE49-F238E27FC236}">
              <a16:creationId xmlns:a16="http://schemas.microsoft.com/office/drawing/2014/main" id="{A4CE6615-81AF-4E34-B682-023BE16C4B30}"/>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06" name="Text Box 3">
          <a:extLst>
            <a:ext uri="{FF2B5EF4-FFF2-40B4-BE49-F238E27FC236}">
              <a16:creationId xmlns:a16="http://schemas.microsoft.com/office/drawing/2014/main" id="{F7D0498A-CD97-443E-B60D-DB758029C285}"/>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07" name="Text Box 1">
          <a:extLst>
            <a:ext uri="{FF2B5EF4-FFF2-40B4-BE49-F238E27FC236}">
              <a16:creationId xmlns:a16="http://schemas.microsoft.com/office/drawing/2014/main" id="{A3ED8DA4-5BAF-4FB7-89EE-154811D21732}"/>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08" name="Text Box 3">
          <a:extLst>
            <a:ext uri="{FF2B5EF4-FFF2-40B4-BE49-F238E27FC236}">
              <a16:creationId xmlns:a16="http://schemas.microsoft.com/office/drawing/2014/main" id="{AB248A07-C503-49DC-ABC3-CC8762D80130}"/>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09" name="Text Box 1">
          <a:extLst>
            <a:ext uri="{FF2B5EF4-FFF2-40B4-BE49-F238E27FC236}">
              <a16:creationId xmlns:a16="http://schemas.microsoft.com/office/drawing/2014/main" id="{94EB1B27-9E2B-4B18-9B75-242AD48C148D}"/>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10" name="Text Box 1">
          <a:extLst>
            <a:ext uri="{FF2B5EF4-FFF2-40B4-BE49-F238E27FC236}">
              <a16:creationId xmlns:a16="http://schemas.microsoft.com/office/drawing/2014/main" id="{ECEF24B3-B03E-4BB9-91BE-ECCAE45FF3E1}"/>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11" name="Text Box 3">
          <a:extLst>
            <a:ext uri="{FF2B5EF4-FFF2-40B4-BE49-F238E27FC236}">
              <a16:creationId xmlns:a16="http://schemas.microsoft.com/office/drawing/2014/main" id="{5EFB4502-1708-408A-A128-7C67AE6A7627}"/>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12" name="Text Box 1">
          <a:extLst>
            <a:ext uri="{FF2B5EF4-FFF2-40B4-BE49-F238E27FC236}">
              <a16:creationId xmlns:a16="http://schemas.microsoft.com/office/drawing/2014/main" id="{5DE82CE0-14BF-4221-90E3-DEEF2CD12B36}"/>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13" name="Text Box 1">
          <a:extLst>
            <a:ext uri="{FF2B5EF4-FFF2-40B4-BE49-F238E27FC236}">
              <a16:creationId xmlns:a16="http://schemas.microsoft.com/office/drawing/2014/main" id="{B37A77C0-0251-4966-8E6A-ED8FA5D11036}"/>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14" name="Text Box 3">
          <a:extLst>
            <a:ext uri="{FF2B5EF4-FFF2-40B4-BE49-F238E27FC236}">
              <a16:creationId xmlns:a16="http://schemas.microsoft.com/office/drawing/2014/main" id="{C4FDB593-2108-47C1-A455-85A139635134}"/>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15" name="Text Box 1">
          <a:extLst>
            <a:ext uri="{FF2B5EF4-FFF2-40B4-BE49-F238E27FC236}">
              <a16:creationId xmlns:a16="http://schemas.microsoft.com/office/drawing/2014/main" id="{668528FA-A76F-49DC-BDB7-F5DDE5821144}"/>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16" name="Text Box 3">
          <a:extLst>
            <a:ext uri="{FF2B5EF4-FFF2-40B4-BE49-F238E27FC236}">
              <a16:creationId xmlns:a16="http://schemas.microsoft.com/office/drawing/2014/main" id="{84EE5614-03EA-42A4-92F0-F05CDE16E99E}"/>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17" name="Text Box 1">
          <a:extLst>
            <a:ext uri="{FF2B5EF4-FFF2-40B4-BE49-F238E27FC236}">
              <a16:creationId xmlns:a16="http://schemas.microsoft.com/office/drawing/2014/main" id="{3F4BA124-1646-416F-AF5E-7329C4BA8DFF}"/>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18" name="Text Box 1">
          <a:extLst>
            <a:ext uri="{FF2B5EF4-FFF2-40B4-BE49-F238E27FC236}">
              <a16:creationId xmlns:a16="http://schemas.microsoft.com/office/drawing/2014/main" id="{81349CD7-94F6-4A7A-AD37-FDC0DCBD41C3}"/>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19" name="Text Box 3">
          <a:extLst>
            <a:ext uri="{FF2B5EF4-FFF2-40B4-BE49-F238E27FC236}">
              <a16:creationId xmlns:a16="http://schemas.microsoft.com/office/drawing/2014/main" id="{7BF3E9AC-A658-41FE-A94F-FACA54064F33}"/>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20" name="Text Box 1">
          <a:extLst>
            <a:ext uri="{FF2B5EF4-FFF2-40B4-BE49-F238E27FC236}">
              <a16:creationId xmlns:a16="http://schemas.microsoft.com/office/drawing/2014/main" id="{33EFFCDB-8F24-43DE-AAFF-947260C42BD7}"/>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21" name="Text Box 3">
          <a:extLst>
            <a:ext uri="{FF2B5EF4-FFF2-40B4-BE49-F238E27FC236}">
              <a16:creationId xmlns:a16="http://schemas.microsoft.com/office/drawing/2014/main" id="{258FC2C3-0DE4-439F-886B-01CA99F82BA7}"/>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22" name="Text Box 1">
          <a:extLst>
            <a:ext uri="{FF2B5EF4-FFF2-40B4-BE49-F238E27FC236}">
              <a16:creationId xmlns:a16="http://schemas.microsoft.com/office/drawing/2014/main" id="{BFD5412E-4DF0-4937-A394-D268C204985A}"/>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23" name="Text Box 1">
          <a:extLst>
            <a:ext uri="{FF2B5EF4-FFF2-40B4-BE49-F238E27FC236}">
              <a16:creationId xmlns:a16="http://schemas.microsoft.com/office/drawing/2014/main" id="{56216679-B409-4A60-BDF9-8569F7A60832}"/>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24" name="Text Box 3">
          <a:extLst>
            <a:ext uri="{FF2B5EF4-FFF2-40B4-BE49-F238E27FC236}">
              <a16:creationId xmlns:a16="http://schemas.microsoft.com/office/drawing/2014/main" id="{D1671CDD-121F-4C47-AE56-30DC6F33805C}"/>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25" name="Text Box 3">
          <a:extLst>
            <a:ext uri="{FF2B5EF4-FFF2-40B4-BE49-F238E27FC236}">
              <a16:creationId xmlns:a16="http://schemas.microsoft.com/office/drawing/2014/main" id="{491B8811-3C6B-42D0-B56E-C4002D485F6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26" name="Text Box 1">
          <a:extLst>
            <a:ext uri="{FF2B5EF4-FFF2-40B4-BE49-F238E27FC236}">
              <a16:creationId xmlns:a16="http://schemas.microsoft.com/office/drawing/2014/main" id="{B1DB1A51-E7C0-4244-AB23-EA74662E5FE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27" name="Text Box 3">
          <a:extLst>
            <a:ext uri="{FF2B5EF4-FFF2-40B4-BE49-F238E27FC236}">
              <a16:creationId xmlns:a16="http://schemas.microsoft.com/office/drawing/2014/main" id="{660662EC-20AB-44B8-ACD9-6CD5A9B7CFC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28" name="Text Box 1">
          <a:extLst>
            <a:ext uri="{FF2B5EF4-FFF2-40B4-BE49-F238E27FC236}">
              <a16:creationId xmlns:a16="http://schemas.microsoft.com/office/drawing/2014/main" id="{18893A8C-CFCB-49C6-A4E1-11E401D21AB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29" name="Text Box 1">
          <a:extLst>
            <a:ext uri="{FF2B5EF4-FFF2-40B4-BE49-F238E27FC236}">
              <a16:creationId xmlns:a16="http://schemas.microsoft.com/office/drawing/2014/main" id="{251D4ED3-77E8-4DB5-978F-20E9BA98358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30" name="Text Box 3">
          <a:extLst>
            <a:ext uri="{FF2B5EF4-FFF2-40B4-BE49-F238E27FC236}">
              <a16:creationId xmlns:a16="http://schemas.microsoft.com/office/drawing/2014/main" id="{9A3D0F45-C1F2-46DB-A29E-57A66DD9DFB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31" name="Text Box 1">
          <a:extLst>
            <a:ext uri="{FF2B5EF4-FFF2-40B4-BE49-F238E27FC236}">
              <a16:creationId xmlns:a16="http://schemas.microsoft.com/office/drawing/2014/main" id="{886C9507-A73C-4B04-B12C-B930230B357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32" name="Text Box 3">
          <a:extLst>
            <a:ext uri="{FF2B5EF4-FFF2-40B4-BE49-F238E27FC236}">
              <a16:creationId xmlns:a16="http://schemas.microsoft.com/office/drawing/2014/main" id="{EE31E2CD-64EC-46B0-872D-C5F2E6607D8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33" name="Text Box 1">
          <a:extLst>
            <a:ext uri="{FF2B5EF4-FFF2-40B4-BE49-F238E27FC236}">
              <a16:creationId xmlns:a16="http://schemas.microsoft.com/office/drawing/2014/main" id="{688AE754-21D9-4B5D-AA4F-029AF1233CA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34" name="Text Box 1">
          <a:extLst>
            <a:ext uri="{FF2B5EF4-FFF2-40B4-BE49-F238E27FC236}">
              <a16:creationId xmlns:a16="http://schemas.microsoft.com/office/drawing/2014/main" id="{B93D4EAD-08C2-42FA-A704-2C21BCDB258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35" name="Text Box 3">
          <a:extLst>
            <a:ext uri="{FF2B5EF4-FFF2-40B4-BE49-F238E27FC236}">
              <a16:creationId xmlns:a16="http://schemas.microsoft.com/office/drawing/2014/main" id="{CAA499B2-B2C3-4EA3-BF1F-2BEBCB8ED7B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36" name="Text Box 1">
          <a:extLst>
            <a:ext uri="{FF2B5EF4-FFF2-40B4-BE49-F238E27FC236}">
              <a16:creationId xmlns:a16="http://schemas.microsoft.com/office/drawing/2014/main" id="{9AF7E7FF-A399-4125-8353-C565879AB2D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37" name="Text Box 1">
          <a:extLst>
            <a:ext uri="{FF2B5EF4-FFF2-40B4-BE49-F238E27FC236}">
              <a16:creationId xmlns:a16="http://schemas.microsoft.com/office/drawing/2014/main" id="{620BB4BB-7D81-4463-BDAF-D4B1BEFCA73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38" name="Text Box 3">
          <a:extLst>
            <a:ext uri="{FF2B5EF4-FFF2-40B4-BE49-F238E27FC236}">
              <a16:creationId xmlns:a16="http://schemas.microsoft.com/office/drawing/2014/main" id="{E1514B0F-9E1C-4459-92E1-C49949A9539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39" name="Text Box 1">
          <a:extLst>
            <a:ext uri="{FF2B5EF4-FFF2-40B4-BE49-F238E27FC236}">
              <a16:creationId xmlns:a16="http://schemas.microsoft.com/office/drawing/2014/main" id="{951D359D-641D-42E0-89E5-03D2DC4ED33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40" name="Text Box 3">
          <a:extLst>
            <a:ext uri="{FF2B5EF4-FFF2-40B4-BE49-F238E27FC236}">
              <a16:creationId xmlns:a16="http://schemas.microsoft.com/office/drawing/2014/main" id="{F76A5983-CB92-4118-8607-2CE2E118B39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41" name="Text Box 1">
          <a:extLst>
            <a:ext uri="{FF2B5EF4-FFF2-40B4-BE49-F238E27FC236}">
              <a16:creationId xmlns:a16="http://schemas.microsoft.com/office/drawing/2014/main" id="{C5E5717A-72CB-4500-998A-4F5F19945D6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42" name="Text Box 3">
          <a:extLst>
            <a:ext uri="{FF2B5EF4-FFF2-40B4-BE49-F238E27FC236}">
              <a16:creationId xmlns:a16="http://schemas.microsoft.com/office/drawing/2014/main" id="{A249AA8B-409C-4575-A353-217D613E34D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43" name="Text Box 1">
          <a:extLst>
            <a:ext uri="{FF2B5EF4-FFF2-40B4-BE49-F238E27FC236}">
              <a16:creationId xmlns:a16="http://schemas.microsoft.com/office/drawing/2014/main" id="{61CD64FB-F9E8-4948-92FB-013C7D27C89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44" name="Text Box 3">
          <a:extLst>
            <a:ext uri="{FF2B5EF4-FFF2-40B4-BE49-F238E27FC236}">
              <a16:creationId xmlns:a16="http://schemas.microsoft.com/office/drawing/2014/main" id="{A28E3236-F4FF-4E97-914B-B3D202C2526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45" name="Text Box 1">
          <a:extLst>
            <a:ext uri="{FF2B5EF4-FFF2-40B4-BE49-F238E27FC236}">
              <a16:creationId xmlns:a16="http://schemas.microsoft.com/office/drawing/2014/main" id="{F40B2108-0F16-4EA4-9D0D-17A785E4870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46" name="Text Box 1">
          <a:extLst>
            <a:ext uri="{FF2B5EF4-FFF2-40B4-BE49-F238E27FC236}">
              <a16:creationId xmlns:a16="http://schemas.microsoft.com/office/drawing/2014/main" id="{6528E8B5-8BAC-4ADC-9A1E-94B24536A6B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47" name="Text Box 3">
          <a:extLst>
            <a:ext uri="{FF2B5EF4-FFF2-40B4-BE49-F238E27FC236}">
              <a16:creationId xmlns:a16="http://schemas.microsoft.com/office/drawing/2014/main" id="{B971B231-3888-45B0-B50A-B058442CEB7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48" name="Text Box 1">
          <a:extLst>
            <a:ext uri="{FF2B5EF4-FFF2-40B4-BE49-F238E27FC236}">
              <a16:creationId xmlns:a16="http://schemas.microsoft.com/office/drawing/2014/main" id="{4F8A68C4-47A3-4A0A-A08D-DBEB022AB52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49" name="Text Box 1">
          <a:extLst>
            <a:ext uri="{FF2B5EF4-FFF2-40B4-BE49-F238E27FC236}">
              <a16:creationId xmlns:a16="http://schemas.microsoft.com/office/drawing/2014/main" id="{DC637FEB-240B-4EF9-8C0B-AEC42DCDDDC0}"/>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50" name="Text Box 1">
          <a:extLst>
            <a:ext uri="{FF2B5EF4-FFF2-40B4-BE49-F238E27FC236}">
              <a16:creationId xmlns:a16="http://schemas.microsoft.com/office/drawing/2014/main" id="{BFAFA86C-DCDA-4F95-9CDA-AB4DE5511CE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51" name="Text Box 3">
          <a:extLst>
            <a:ext uri="{FF2B5EF4-FFF2-40B4-BE49-F238E27FC236}">
              <a16:creationId xmlns:a16="http://schemas.microsoft.com/office/drawing/2014/main" id="{6A512BCB-CAD6-4B69-8DCD-D7215C782DA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52" name="Text Box 1">
          <a:extLst>
            <a:ext uri="{FF2B5EF4-FFF2-40B4-BE49-F238E27FC236}">
              <a16:creationId xmlns:a16="http://schemas.microsoft.com/office/drawing/2014/main" id="{5542A2A8-1389-40C8-8B9E-011689E340B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53" name="Text Box 3">
          <a:extLst>
            <a:ext uri="{FF2B5EF4-FFF2-40B4-BE49-F238E27FC236}">
              <a16:creationId xmlns:a16="http://schemas.microsoft.com/office/drawing/2014/main" id="{43A8EAB5-DF79-43DA-94D7-C6834574E10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54" name="Text Box 1">
          <a:extLst>
            <a:ext uri="{FF2B5EF4-FFF2-40B4-BE49-F238E27FC236}">
              <a16:creationId xmlns:a16="http://schemas.microsoft.com/office/drawing/2014/main" id="{AC1A0346-5AD1-4FC8-99D1-90726EE3EA6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55" name="Text Box 1">
          <a:extLst>
            <a:ext uri="{FF2B5EF4-FFF2-40B4-BE49-F238E27FC236}">
              <a16:creationId xmlns:a16="http://schemas.microsoft.com/office/drawing/2014/main" id="{BCAE5D8C-7C97-4A2E-B79F-63F75CEE4B6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56" name="Text Box 3">
          <a:extLst>
            <a:ext uri="{FF2B5EF4-FFF2-40B4-BE49-F238E27FC236}">
              <a16:creationId xmlns:a16="http://schemas.microsoft.com/office/drawing/2014/main" id="{1F7B446E-A8BF-45E3-B305-73AC29F587F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57" name="Text Box 1">
          <a:extLst>
            <a:ext uri="{FF2B5EF4-FFF2-40B4-BE49-F238E27FC236}">
              <a16:creationId xmlns:a16="http://schemas.microsoft.com/office/drawing/2014/main" id="{AC58BE7D-8C88-4F44-9E0D-3839991924D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58" name="Text Box 3">
          <a:extLst>
            <a:ext uri="{FF2B5EF4-FFF2-40B4-BE49-F238E27FC236}">
              <a16:creationId xmlns:a16="http://schemas.microsoft.com/office/drawing/2014/main" id="{BAB8701D-E6A5-43E8-9D8E-748D31A60F8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59" name="Text Box 1">
          <a:extLst>
            <a:ext uri="{FF2B5EF4-FFF2-40B4-BE49-F238E27FC236}">
              <a16:creationId xmlns:a16="http://schemas.microsoft.com/office/drawing/2014/main" id="{B461788D-9316-4C9C-8C6E-AF43127F8EC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60" name="Text Box 1">
          <a:extLst>
            <a:ext uri="{FF2B5EF4-FFF2-40B4-BE49-F238E27FC236}">
              <a16:creationId xmlns:a16="http://schemas.microsoft.com/office/drawing/2014/main" id="{34ACEBD8-02DA-46D0-A376-2E051AF8D0A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61" name="Text Box 3">
          <a:extLst>
            <a:ext uri="{FF2B5EF4-FFF2-40B4-BE49-F238E27FC236}">
              <a16:creationId xmlns:a16="http://schemas.microsoft.com/office/drawing/2014/main" id="{D41BFC48-1D57-405A-BE5D-A87567FA719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62" name="Text Box 1">
          <a:extLst>
            <a:ext uri="{FF2B5EF4-FFF2-40B4-BE49-F238E27FC236}">
              <a16:creationId xmlns:a16="http://schemas.microsoft.com/office/drawing/2014/main" id="{74074628-62B9-40D8-B0E4-ECB331B7313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63" name="Text Box 3">
          <a:extLst>
            <a:ext uri="{FF2B5EF4-FFF2-40B4-BE49-F238E27FC236}">
              <a16:creationId xmlns:a16="http://schemas.microsoft.com/office/drawing/2014/main" id="{925E2E0F-91AE-46B4-9630-3F763D48685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64" name="Text Box 1">
          <a:extLst>
            <a:ext uri="{FF2B5EF4-FFF2-40B4-BE49-F238E27FC236}">
              <a16:creationId xmlns:a16="http://schemas.microsoft.com/office/drawing/2014/main" id="{D754913D-A537-4356-9FD2-5DCE186E292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65" name="Text Box 1">
          <a:extLst>
            <a:ext uri="{FF2B5EF4-FFF2-40B4-BE49-F238E27FC236}">
              <a16:creationId xmlns:a16="http://schemas.microsoft.com/office/drawing/2014/main" id="{57EEC179-8A6C-4E6F-A151-889EFAA79F6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66" name="Text Box 3">
          <a:extLst>
            <a:ext uri="{FF2B5EF4-FFF2-40B4-BE49-F238E27FC236}">
              <a16:creationId xmlns:a16="http://schemas.microsoft.com/office/drawing/2014/main" id="{E1E4EE5C-84C2-4ACC-9264-C1C119B079D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67" name="Text Box 1">
          <a:extLst>
            <a:ext uri="{FF2B5EF4-FFF2-40B4-BE49-F238E27FC236}">
              <a16:creationId xmlns:a16="http://schemas.microsoft.com/office/drawing/2014/main" id="{56611805-39B0-4A1E-BF01-9F577CDAADB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68" name="Text Box 3">
          <a:extLst>
            <a:ext uri="{FF2B5EF4-FFF2-40B4-BE49-F238E27FC236}">
              <a16:creationId xmlns:a16="http://schemas.microsoft.com/office/drawing/2014/main" id="{12AF151E-85BF-4854-B382-4118F045DA3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69" name="Text Box 1">
          <a:extLst>
            <a:ext uri="{FF2B5EF4-FFF2-40B4-BE49-F238E27FC236}">
              <a16:creationId xmlns:a16="http://schemas.microsoft.com/office/drawing/2014/main" id="{7F347DCB-584D-42B4-B7B4-601046B5736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70" name="Text Box 1">
          <a:extLst>
            <a:ext uri="{FF2B5EF4-FFF2-40B4-BE49-F238E27FC236}">
              <a16:creationId xmlns:a16="http://schemas.microsoft.com/office/drawing/2014/main" id="{61257FD6-2BA6-48A4-B4DA-BD0A1B51FD7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71" name="Text Box 3">
          <a:extLst>
            <a:ext uri="{FF2B5EF4-FFF2-40B4-BE49-F238E27FC236}">
              <a16:creationId xmlns:a16="http://schemas.microsoft.com/office/drawing/2014/main" id="{083DE110-F583-4120-BC19-8619AA088D4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72" name="Text Box 1">
          <a:extLst>
            <a:ext uri="{FF2B5EF4-FFF2-40B4-BE49-F238E27FC236}">
              <a16:creationId xmlns:a16="http://schemas.microsoft.com/office/drawing/2014/main" id="{837F2D0B-7532-4613-ABA9-A83693D4AA9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73" name="Text Box 3">
          <a:extLst>
            <a:ext uri="{FF2B5EF4-FFF2-40B4-BE49-F238E27FC236}">
              <a16:creationId xmlns:a16="http://schemas.microsoft.com/office/drawing/2014/main" id="{B48ED22E-9334-4EA0-805A-1DEF821A582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74" name="Text Box 1">
          <a:extLst>
            <a:ext uri="{FF2B5EF4-FFF2-40B4-BE49-F238E27FC236}">
              <a16:creationId xmlns:a16="http://schemas.microsoft.com/office/drawing/2014/main" id="{44BF699F-920F-4987-9EC9-5BA276F71F5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75" name="Text Box 1">
          <a:extLst>
            <a:ext uri="{FF2B5EF4-FFF2-40B4-BE49-F238E27FC236}">
              <a16:creationId xmlns:a16="http://schemas.microsoft.com/office/drawing/2014/main" id="{F0AAC870-FC63-4019-9236-33C49DCEA6A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76" name="Text Box 3">
          <a:extLst>
            <a:ext uri="{FF2B5EF4-FFF2-40B4-BE49-F238E27FC236}">
              <a16:creationId xmlns:a16="http://schemas.microsoft.com/office/drawing/2014/main" id="{6BB620B3-0B9F-44EA-A494-DA39E27B89D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77" name="Text Box 1">
          <a:extLst>
            <a:ext uri="{FF2B5EF4-FFF2-40B4-BE49-F238E27FC236}">
              <a16:creationId xmlns:a16="http://schemas.microsoft.com/office/drawing/2014/main" id="{3E899373-09BC-4AEF-A95B-C2DB95EB42A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78" name="Text Box 3">
          <a:extLst>
            <a:ext uri="{FF2B5EF4-FFF2-40B4-BE49-F238E27FC236}">
              <a16:creationId xmlns:a16="http://schemas.microsoft.com/office/drawing/2014/main" id="{32ACD439-9EA0-486E-ACFE-6A123402CDE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79" name="Text Box 1">
          <a:extLst>
            <a:ext uri="{FF2B5EF4-FFF2-40B4-BE49-F238E27FC236}">
              <a16:creationId xmlns:a16="http://schemas.microsoft.com/office/drawing/2014/main" id="{2B156ABC-4E10-4308-87E0-13E8804070B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80" name="Text Box 1">
          <a:extLst>
            <a:ext uri="{FF2B5EF4-FFF2-40B4-BE49-F238E27FC236}">
              <a16:creationId xmlns:a16="http://schemas.microsoft.com/office/drawing/2014/main" id="{F0F5C4B5-0ADC-49E5-ABA3-307CB05019E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81" name="Text Box 3">
          <a:extLst>
            <a:ext uri="{FF2B5EF4-FFF2-40B4-BE49-F238E27FC236}">
              <a16:creationId xmlns:a16="http://schemas.microsoft.com/office/drawing/2014/main" id="{C79D6BB9-FA7F-4730-AB11-BE533EE73E9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82" name="Text Box 1">
          <a:extLst>
            <a:ext uri="{FF2B5EF4-FFF2-40B4-BE49-F238E27FC236}">
              <a16:creationId xmlns:a16="http://schemas.microsoft.com/office/drawing/2014/main" id="{9A792AA9-324E-421A-8C35-231E90B697D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83" name="Text Box 3">
          <a:extLst>
            <a:ext uri="{FF2B5EF4-FFF2-40B4-BE49-F238E27FC236}">
              <a16:creationId xmlns:a16="http://schemas.microsoft.com/office/drawing/2014/main" id="{EDA453DE-39E0-4D7C-A34B-7915247211C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84" name="Text Box 1">
          <a:extLst>
            <a:ext uri="{FF2B5EF4-FFF2-40B4-BE49-F238E27FC236}">
              <a16:creationId xmlns:a16="http://schemas.microsoft.com/office/drawing/2014/main" id="{9751E903-0160-4D5B-B9E4-2FEBE977194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85" name="Text Box 1">
          <a:extLst>
            <a:ext uri="{FF2B5EF4-FFF2-40B4-BE49-F238E27FC236}">
              <a16:creationId xmlns:a16="http://schemas.microsoft.com/office/drawing/2014/main" id="{CD1EEA04-6DB2-4CB3-BD33-3138729A695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86" name="Text Box 3">
          <a:extLst>
            <a:ext uri="{FF2B5EF4-FFF2-40B4-BE49-F238E27FC236}">
              <a16:creationId xmlns:a16="http://schemas.microsoft.com/office/drawing/2014/main" id="{2728D163-4BF9-4BD0-A28F-E63A2303E28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87" name="Text Box 1">
          <a:extLst>
            <a:ext uri="{FF2B5EF4-FFF2-40B4-BE49-F238E27FC236}">
              <a16:creationId xmlns:a16="http://schemas.microsoft.com/office/drawing/2014/main" id="{29834621-BB9E-4F8A-9B78-29A194B21DB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88" name="Text Box 3">
          <a:extLst>
            <a:ext uri="{FF2B5EF4-FFF2-40B4-BE49-F238E27FC236}">
              <a16:creationId xmlns:a16="http://schemas.microsoft.com/office/drawing/2014/main" id="{604D1667-D29C-4347-9080-25EF281C8F8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89" name="Text Box 1">
          <a:extLst>
            <a:ext uri="{FF2B5EF4-FFF2-40B4-BE49-F238E27FC236}">
              <a16:creationId xmlns:a16="http://schemas.microsoft.com/office/drawing/2014/main" id="{F535BCA8-0D97-42F6-84B8-8BCB106CE84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90" name="Text Box 1">
          <a:extLst>
            <a:ext uri="{FF2B5EF4-FFF2-40B4-BE49-F238E27FC236}">
              <a16:creationId xmlns:a16="http://schemas.microsoft.com/office/drawing/2014/main" id="{2E1CA7DD-66CA-4D4B-9588-100D36826AC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91" name="Text Box 3">
          <a:extLst>
            <a:ext uri="{FF2B5EF4-FFF2-40B4-BE49-F238E27FC236}">
              <a16:creationId xmlns:a16="http://schemas.microsoft.com/office/drawing/2014/main" id="{DF224685-051A-4457-AB92-799A167E352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92" name="Text Box 1">
          <a:extLst>
            <a:ext uri="{FF2B5EF4-FFF2-40B4-BE49-F238E27FC236}">
              <a16:creationId xmlns:a16="http://schemas.microsoft.com/office/drawing/2014/main" id="{55B6A49A-C35E-45CE-9CCD-01624D249E5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93" name="Text Box 3">
          <a:extLst>
            <a:ext uri="{FF2B5EF4-FFF2-40B4-BE49-F238E27FC236}">
              <a16:creationId xmlns:a16="http://schemas.microsoft.com/office/drawing/2014/main" id="{BD405F95-5D04-4C39-BAD8-E1B40E014AE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94" name="Text Box 1">
          <a:extLst>
            <a:ext uri="{FF2B5EF4-FFF2-40B4-BE49-F238E27FC236}">
              <a16:creationId xmlns:a16="http://schemas.microsoft.com/office/drawing/2014/main" id="{76EDCFE2-24FD-4E29-8B2A-3FB6382415B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95" name="Text Box 1">
          <a:extLst>
            <a:ext uri="{FF2B5EF4-FFF2-40B4-BE49-F238E27FC236}">
              <a16:creationId xmlns:a16="http://schemas.microsoft.com/office/drawing/2014/main" id="{4D4C7CBF-C32E-44AE-851D-6CB877972CC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96" name="Text Box 3">
          <a:extLst>
            <a:ext uri="{FF2B5EF4-FFF2-40B4-BE49-F238E27FC236}">
              <a16:creationId xmlns:a16="http://schemas.microsoft.com/office/drawing/2014/main" id="{8C5662C2-E5DD-4F43-8F9D-8484E0B86CA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97" name="Text Box 1">
          <a:extLst>
            <a:ext uri="{FF2B5EF4-FFF2-40B4-BE49-F238E27FC236}">
              <a16:creationId xmlns:a16="http://schemas.microsoft.com/office/drawing/2014/main" id="{80381049-F1C5-4F4E-9DED-7FC95753341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98" name="Text Box 3">
          <a:extLst>
            <a:ext uri="{FF2B5EF4-FFF2-40B4-BE49-F238E27FC236}">
              <a16:creationId xmlns:a16="http://schemas.microsoft.com/office/drawing/2014/main" id="{B528538A-5208-4249-B716-21084042B5B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99" name="Text Box 1">
          <a:extLst>
            <a:ext uri="{FF2B5EF4-FFF2-40B4-BE49-F238E27FC236}">
              <a16:creationId xmlns:a16="http://schemas.microsoft.com/office/drawing/2014/main" id="{D1376710-E010-48C6-8F42-B992D73DF32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00" name="Text Box 1">
          <a:extLst>
            <a:ext uri="{FF2B5EF4-FFF2-40B4-BE49-F238E27FC236}">
              <a16:creationId xmlns:a16="http://schemas.microsoft.com/office/drawing/2014/main" id="{4C605CAA-6665-4CC2-A7D6-34425EB4F33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01" name="Text Box 3">
          <a:extLst>
            <a:ext uri="{FF2B5EF4-FFF2-40B4-BE49-F238E27FC236}">
              <a16:creationId xmlns:a16="http://schemas.microsoft.com/office/drawing/2014/main" id="{53C112A3-E3F4-44A4-B442-476491AEF4C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02" name="Text Box 1">
          <a:extLst>
            <a:ext uri="{FF2B5EF4-FFF2-40B4-BE49-F238E27FC236}">
              <a16:creationId xmlns:a16="http://schemas.microsoft.com/office/drawing/2014/main" id="{2635E538-7223-4761-A2CC-AC58CEA62AE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03" name="Text Box 3">
          <a:extLst>
            <a:ext uri="{FF2B5EF4-FFF2-40B4-BE49-F238E27FC236}">
              <a16:creationId xmlns:a16="http://schemas.microsoft.com/office/drawing/2014/main" id="{9F35C230-7EDE-4114-9AB8-34372106B6E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04" name="Text Box 1">
          <a:extLst>
            <a:ext uri="{FF2B5EF4-FFF2-40B4-BE49-F238E27FC236}">
              <a16:creationId xmlns:a16="http://schemas.microsoft.com/office/drawing/2014/main" id="{3BEB9932-E4A5-4AD5-9C96-4F9DEE16ECA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05" name="Text Box 1">
          <a:extLst>
            <a:ext uri="{FF2B5EF4-FFF2-40B4-BE49-F238E27FC236}">
              <a16:creationId xmlns:a16="http://schemas.microsoft.com/office/drawing/2014/main" id="{2BB65D0C-10E4-4168-9774-B8D5C02416B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06" name="Text Box 3">
          <a:extLst>
            <a:ext uri="{FF2B5EF4-FFF2-40B4-BE49-F238E27FC236}">
              <a16:creationId xmlns:a16="http://schemas.microsoft.com/office/drawing/2014/main" id="{540C4328-F98D-4ECF-957C-A77FB688FB9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07" name="Text Box 1">
          <a:extLst>
            <a:ext uri="{FF2B5EF4-FFF2-40B4-BE49-F238E27FC236}">
              <a16:creationId xmlns:a16="http://schemas.microsoft.com/office/drawing/2014/main" id="{8E85881D-80DA-45EA-8DC1-589FA81CCB7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08" name="Text Box 3">
          <a:extLst>
            <a:ext uri="{FF2B5EF4-FFF2-40B4-BE49-F238E27FC236}">
              <a16:creationId xmlns:a16="http://schemas.microsoft.com/office/drawing/2014/main" id="{34DCD043-7CB6-45A7-AC0C-75A4ED252DE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09" name="Text Box 1">
          <a:extLst>
            <a:ext uri="{FF2B5EF4-FFF2-40B4-BE49-F238E27FC236}">
              <a16:creationId xmlns:a16="http://schemas.microsoft.com/office/drawing/2014/main" id="{6C464050-E295-4EA7-B390-4989A5BBACE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10" name="Text Box 1">
          <a:extLst>
            <a:ext uri="{FF2B5EF4-FFF2-40B4-BE49-F238E27FC236}">
              <a16:creationId xmlns:a16="http://schemas.microsoft.com/office/drawing/2014/main" id="{25BA27C1-9894-4F0E-A539-B845ED455CC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11" name="Text Box 3">
          <a:extLst>
            <a:ext uri="{FF2B5EF4-FFF2-40B4-BE49-F238E27FC236}">
              <a16:creationId xmlns:a16="http://schemas.microsoft.com/office/drawing/2014/main" id="{6707E494-F35D-46CE-894D-34D991850CA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12" name="Text Box 1">
          <a:extLst>
            <a:ext uri="{FF2B5EF4-FFF2-40B4-BE49-F238E27FC236}">
              <a16:creationId xmlns:a16="http://schemas.microsoft.com/office/drawing/2014/main" id="{728BCC5D-D440-4E6E-A1C4-9CFE8D84049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13" name="Text Box 3">
          <a:extLst>
            <a:ext uri="{FF2B5EF4-FFF2-40B4-BE49-F238E27FC236}">
              <a16:creationId xmlns:a16="http://schemas.microsoft.com/office/drawing/2014/main" id="{32C52868-8E2A-44A1-9BFA-DE81C417117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14" name="Text Box 1">
          <a:extLst>
            <a:ext uri="{FF2B5EF4-FFF2-40B4-BE49-F238E27FC236}">
              <a16:creationId xmlns:a16="http://schemas.microsoft.com/office/drawing/2014/main" id="{B1F6A5DA-AE0D-4698-8F8E-7693890C97A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15" name="Text Box 1">
          <a:extLst>
            <a:ext uri="{FF2B5EF4-FFF2-40B4-BE49-F238E27FC236}">
              <a16:creationId xmlns:a16="http://schemas.microsoft.com/office/drawing/2014/main" id="{125FBF2B-612F-44A7-959A-AEC2C1D7BB2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16" name="Text Box 3">
          <a:extLst>
            <a:ext uri="{FF2B5EF4-FFF2-40B4-BE49-F238E27FC236}">
              <a16:creationId xmlns:a16="http://schemas.microsoft.com/office/drawing/2014/main" id="{0CFFB759-EA7B-4862-9F92-48FBFDEE624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17" name="Text Box 1">
          <a:extLst>
            <a:ext uri="{FF2B5EF4-FFF2-40B4-BE49-F238E27FC236}">
              <a16:creationId xmlns:a16="http://schemas.microsoft.com/office/drawing/2014/main" id="{3C4D3C5F-A77C-49FE-8981-0FC32E74565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18" name="Text Box 3">
          <a:extLst>
            <a:ext uri="{FF2B5EF4-FFF2-40B4-BE49-F238E27FC236}">
              <a16:creationId xmlns:a16="http://schemas.microsoft.com/office/drawing/2014/main" id="{868F28B0-178F-450B-BE31-63D3DFAB1C1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19" name="Text Box 1">
          <a:extLst>
            <a:ext uri="{FF2B5EF4-FFF2-40B4-BE49-F238E27FC236}">
              <a16:creationId xmlns:a16="http://schemas.microsoft.com/office/drawing/2014/main" id="{1211230F-C3AC-4E3D-964B-6089E240B81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20" name="Text Box 1">
          <a:extLst>
            <a:ext uri="{FF2B5EF4-FFF2-40B4-BE49-F238E27FC236}">
              <a16:creationId xmlns:a16="http://schemas.microsoft.com/office/drawing/2014/main" id="{F45C0EEE-E9DA-4E76-9D6D-BC29C39F94E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21" name="Text Box 3">
          <a:extLst>
            <a:ext uri="{FF2B5EF4-FFF2-40B4-BE49-F238E27FC236}">
              <a16:creationId xmlns:a16="http://schemas.microsoft.com/office/drawing/2014/main" id="{386308FB-2638-4263-B4B7-EC92049710E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22" name="Text Box 1">
          <a:extLst>
            <a:ext uri="{FF2B5EF4-FFF2-40B4-BE49-F238E27FC236}">
              <a16:creationId xmlns:a16="http://schemas.microsoft.com/office/drawing/2014/main" id="{B3151E3B-6121-4FCE-879E-D502A5E8E46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23" name="Text Box 3">
          <a:extLst>
            <a:ext uri="{FF2B5EF4-FFF2-40B4-BE49-F238E27FC236}">
              <a16:creationId xmlns:a16="http://schemas.microsoft.com/office/drawing/2014/main" id="{59B20046-7F84-4AEA-93CB-7E8AEFB099B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24" name="Text Box 1">
          <a:extLst>
            <a:ext uri="{FF2B5EF4-FFF2-40B4-BE49-F238E27FC236}">
              <a16:creationId xmlns:a16="http://schemas.microsoft.com/office/drawing/2014/main" id="{F6082FFB-A8FD-41A2-ABDE-E3F234F9455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25" name="Text Box 1">
          <a:extLst>
            <a:ext uri="{FF2B5EF4-FFF2-40B4-BE49-F238E27FC236}">
              <a16:creationId xmlns:a16="http://schemas.microsoft.com/office/drawing/2014/main" id="{069270F2-2651-446B-A50A-50CDB010F6D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26" name="Text Box 3">
          <a:extLst>
            <a:ext uri="{FF2B5EF4-FFF2-40B4-BE49-F238E27FC236}">
              <a16:creationId xmlns:a16="http://schemas.microsoft.com/office/drawing/2014/main" id="{25BCCD23-094A-45C0-A04E-7CFAEBF8A52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27" name="Text Box 1">
          <a:extLst>
            <a:ext uri="{FF2B5EF4-FFF2-40B4-BE49-F238E27FC236}">
              <a16:creationId xmlns:a16="http://schemas.microsoft.com/office/drawing/2014/main" id="{9AB6574B-4146-461D-983A-76E85805C53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28" name="Text Box 3">
          <a:extLst>
            <a:ext uri="{FF2B5EF4-FFF2-40B4-BE49-F238E27FC236}">
              <a16:creationId xmlns:a16="http://schemas.microsoft.com/office/drawing/2014/main" id="{0DB3C2F7-1472-455A-BFB2-8D19A36A85F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29" name="Text Box 1">
          <a:extLst>
            <a:ext uri="{FF2B5EF4-FFF2-40B4-BE49-F238E27FC236}">
              <a16:creationId xmlns:a16="http://schemas.microsoft.com/office/drawing/2014/main" id="{B79FEBEC-B935-47BB-A426-991DBC6F533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30" name="Text Box 1">
          <a:extLst>
            <a:ext uri="{FF2B5EF4-FFF2-40B4-BE49-F238E27FC236}">
              <a16:creationId xmlns:a16="http://schemas.microsoft.com/office/drawing/2014/main" id="{C9CBD358-595D-4EE1-AB21-71689F1138D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31" name="Text Box 3">
          <a:extLst>
            <a:ext uri="{FF2B5EF4-FFF2-40B4-BE49-F238E27FC236}">
              <a16:creationId xmlns:a16="http://schemas.microsoft.com/office/drawing/2014/main" id="{83CCD51F-A889-47E8-BBFC-8553EE964DD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32" name="Text Box 1">
          <a:extLst>
            <a:ext uri="{FF2B5EF4-FFF2-40B4-BE49-F238E27FC236}">
              <a16:creationId xmlns:a16="http://schemas.microsoft.com/office/drawing/2014/main" id="{953F15BC-CED5-41C6-822B-2A2A8B0A88E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33" name="Text Box 3">
          <a:extLst>
            <a:ext uri="{FF2B5EF4-FFF2-40B4-BE49-F238E27FC236}">
              <a16:creationId xmlns:a16="http://schemas.microsoft.com/office/drawing/2014/main" id="{68AB9E90-D7A3-48EB-A76B-FD6FF4FC382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34" name="Text Box 1">
          <a:extLst>
            <a:ext uri="{FF2B5EF4-FFF2-40B4-BE49-F238E27FC236}">
              <a16:creationId xmlns:a16="http://schemas.microsoft.com/office/drawing/2014/main" id="{36449246-647E-4B20-B3E4-151A717825A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35" name="Text Box 1">
          <a:extLst>
            <a:ext uri="{FF2B5EF4-FFF2-40B4-BE49-F238E27FC236}">
              <a16:creationId xmlns:a16="http://schemas.microsoft.com/office/drawing/2014/main" id="{89C89F05-353D-4A47-B4F0-F0DB744DB8D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36" name="Text Box 3">
          <a:extLst>
            <a:ext uri="{FF2B5EF4-FFF2-40B4-BE49-F238E27FC236}">
              <a16:creationId xmlns:a16="http://schemas.microsoft.com/office/drawing/2014/main" id="{C2EDCBEE-DC0C-4B17-AE85-131524EF3D9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37" name="Text Box 1">
          <a:extLst>
            <a:ext uri="{FF2B5EF4-FFF2-40B4-BE49-F238E27FC236}">
              <a16:creationId xmlns:a16="http://schemas.microsoft.com/office/drawing/2014/main" id="{272E34CA-18BB-4B80-8667-3389A5A8176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38" name="Text Box 3">
          <a:extLst>
            <a:ext uri="{FF2B5EF4-FFF2-40B4-BE49-F238E27FC236}">
              <a16:creationId xmlns:a16="http://schemas.microsoft.com/office/drawing/2014/main" id="{6F7059DD-023B-4EF7-8401-0DD6D77D263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39" name="Text Box 1">
          <a:extLst>
            <a:ext uri="{FF2B5EF4-FFF2-40B4-BE49-F238E27FC236}">
              <a16:creationId xmlns:a16="http://schemas.microsoft.com/office/drawing/2014/main" id="{533AC7F1-905F-4CB2-BA76-B643C71FA6B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40" name="Text Box 1">
          <a:extLst>
            <a:ext uri="{FF2B5EF4-FFF2-40B4-BE49-F238E27FC236}">
              <a16:creationId xmlns:a16="http://schemas.microsoft.com/office/drawing/2014/main" id="{58AEBADD-740E-468F-8D2E-48CACD6A8B3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41" name="Text Box 3">
          <a:extLst>
            <a:ext uri="{FF2B5EF4-FFF2-40B4-BE49-F238E27FC236}">
              <a16:creationId xmlns:a16="http://schemas.microsoft.com/office/drawing/2014/main" id="{5CAD2C26-B501-44ED-BFFF-366B918BB12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42" name="Text Box 1">
          <a:extLst>
            <a:ext uri="{FF2B5EF4-FFF2-40B4-BE49-F238E27FC236}">
              <a16:creationId xmlns:a16="http://schemas.microsoft.com/office/drawing/2014/main" id="{0A6F7F75-0BB4-46D6-AEE3-E2B61261E3C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43" name="Text Box 3">
          <a:extLst>
            <a:ext uri="{FF2B5EF4-FFF2-40B4-BE49-F238E27FC236}">
              <a16:creationId xmlns:a16="http://schemas.microsoft.com/office/drawing/2014/main" id="{E6B0EC1E-B811-46E8-9408-4107624AFC2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44" name="Text Box 1">
          <a:extLst>
            <a:ext uri="{FF2B5EF4-FFF2-40B4-BE49-F238E27FC236}">
              <a16:creationId xmlns:a16="http://schemas.microsoft.com/office/drawing/2014/main" id="{EE9BB661-EAD1-44C5-8F26-64E77A6EA21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45" name="Text Box 1">
          <a:extLst>
            <a:ext uri="{FF2B5EF4-FFF2-40B4-BE49-F238E27FC236}">
              <a16:creationId xmlns:a16="http://schemas.microsoft.com/office/drawing/2014/main" id="{7E72180F-E9FB-4FC5-B415-C02F3247488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46" name="Text Box 3">
          <a:extLst>
            <a:ext uri="{FF2B5EF4-FFF2-40B4-BE49-F238E27FC236}">
              <a16:creationId xmlns:a16="http://schemas.microsoft.com/office/drawing/2014/main" id="{7BD63C1D-E180-4B57-BB18-35A1F2EE9A3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47" name="Text Box 1">
          <a:extLst>
            <a:ext uri="{FF2B5EF4-FFF2-40B4-BE49-F238E27FC236}">
              <a16:creationId xmlns:a16="http://schemas.microsoft.com/office/drawing/2014/main" id="{89611E15-1ED1-4DB1-B8EF-A77E599D31F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48" name="Text Box 3">
          <a:extLst>
            <a:ext uri="{FF2B5EF4-FFF2-40B4-BE49-F238E27FC236}">
              <a16:creationId xmlns:a16="http://schemas.microsoft.com/office/drawing/2014/main" id="{F9A5959F-2314-4044-9A46-7F245852646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49" name="Text Box 1">
          <a:extLst>
            <a:ext uri="{FF2B5EF4-FFF2-40B4-BE49-F238E27FC236}">
              <a16:creationId xmlns:a16="http://schemas.microsoft.com/office/drawing/2014/main" id="{5FC50499-0897-4D29-978D-E45B7578FA8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50" name="Text Box 1">
          <a:extLst>
            <a:ext uri="{FF2B5EF4-FFF2-40B4-BE49-F238E27FC236}">
              <a16:creationId xmlns:a16="http://schemas.microsoft.com/office/drawing/2014/main" id="{E863E20E-70FA-4FFB-9339-704C1C61DB5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51" name="Text Box 3">
          <a:extLst>
            <a:ext uri="{FF2B5EF4-FFF2-40B4-BE49-F238E27FC236}">
              <a16:creationId xmlns:a16="http://schemas.microsoft.com/office/drawing/2014/main" id="{60C6C5E8-2BC4-42C8-9E38-61D5C3981C5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52" name="Text Box 1">
          <a:extLst>
            <a:ext uri="{FF2B5EF4-FFF2-40B4-BE49-F238E27FC236}">
              <a16:creationId xmlns:a16="http://schemas.microsoft.com/office/drawing/2014/main" id="{2357687B-6B2B-4C07-99EC-669878E0887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53" name="Text Box 3">
          <a:extLst>
            <a:ext uri="{FF2B5EF4-FFF2-40B4-BE49-F238E27FC236}">
              <a16:creationId xmlns:a16="http://schemas.microsoft.com/office/drawing/2014/main" id="{F46CF99F-C584-45F4-B4A1-45D2F973567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54" name="Text Box 1">
          <a:extLst>
            <a:ext uri="{FF2B5EF4-FFF2-40B4-BE49-F238E27FC236}">
              <a16:creationId xmlns:a16="http://schemas.microsoft.com/office/drawing/2014/main" id="{8BE6F7C8-AD71-4014-BFFF-C3D8F553D5F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55" name="Text Box 1">
          <a:extLst>
            <a:ext uri="{FF2B5EF4-FFF2-40B4-BE49-F238E27FC236}">
              <a16:creationId xmlns:a16="http://schemas.microsoft.com/office/drawing/2014/main" id="{415DBCA7-BFE0-4B32-B85F-CFEA51213A0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56" name="Text Box 3">
          <a:extLst>
            <a:ext uri="{FF2B5EF4-FFF2-40B4-BE49-F238E27FC236}">
              <a16:creationId xmlns:a16="http://schemas.microsoft.com/office/drawing/2014/main" id="{EA0F97F3-5ACD-4D69-BE9D-37F3C36E728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57" name="Text Box 1">
          <a:extLst>
            <a:ext uri="{FF2B5EF4-FFF2-40B4-BE49-F238E27FC236}">
              <a16:creationId xmlns:a16="http://schemas.microsoft.com/office/drawing/2014/main" id="{96D4CAD6-1496-4601-9F7C-188E8EA420E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58" name="Text Box 3">
          <a:extLst>
            <a:ext uri="{FF2B5EF4-FFF2-40B4-BE49-F238E27FC236}">
              <a16:creationId xmlns:a16="http://schemas.microsoft.com/office/drawing/2014/main" id="{A7915B7D-B457-4F32-8456-00D146890A2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59" name="Text Box 1">
          <a:extLst>
            <a:ext uri="{FF2B5EF4-FFF2-40B4-BE49-F238E27FC236}">
              <a16:creationId xmlns:a16="http://schemas.microsoft.com/office/drawing/2014/main" id="{293E58DD-ED25-445A-AD08-629EC4C07B1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60" name="Text Box 1">
          <a:extLst>
            <a:ext uri="{FF2B5EF4-FFF2-40B4-BE49-F238E27FC236}">
              <a16:creationId xmlns:a16="http://schemas.microsoft.com/office/drawing/2014/main" id="{7BEA3396-7922-4685-9D49-48FF5E16A8E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61" name="Text Box 3">
          <a:extLst>
            <a:ext uri="{FF2B5EF4-FFF2-40B4-BE49-F238E27FC236}">
              <a16:creationId xmlns:a16="http://schemas.microsoft.com/office/drawing/2014/main" id="{67E5F456-9A7A-45A3-AAF0-A101F858074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62" name="Text Box 1">
          <a:extLst>
            <a:ext uri="{FF2B5EF4-FFF2-40B4-BE49-F238E27FC236}">
              <a16:creationId xmlns:a16="http://schemas.microsoft.com/office/drawing/2014/main" id="{CCCA7699-56D3-4B07-99B9-B99C5F68CB9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63" name="Text Box 3">
          <a:extLst>
            <a:ext uri="{FF2B5EF4-FFF2-40B4-BE49-F238E27FC236}">
              <a16:creationId xmlns:a16="http://schemas.microsoft.com/office/drawing/2014/main" id="{E13FC8AD-BE54-4EE2-B90F-303A52E397C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64" name="Text Box 1">
          <a:extLst>
            <a:ext uri="{FF2B5EF4-FFF2-40B4-BE49-F238E27FC236}">
              <a16:creationId xmlns:a16="http://schemas.microsoft.com/office/drawing/2014/main" id="{C55FEAF3-8AC8-49DB-9C9A-4EE855E2475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65" name="Text Box 1">
          <a:extLst>
            <a:ext uri="{FF2B5EF4-FFF2-40B4-BE49-F238E27FC236}">
              <a16:creationId xmlns:a16="http://schemas.microsoft.com/office/drawing/2014/main" id="{CDEC3719-CF77-4731-9B78-DD20EFC1E77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66" name="Text Box 3">
          <a:extLst>
            <a:ext uri="{FF2B5EF4-FFF2-40B4-BE49-F238E27FC236}">
              <a16:creationId xmlns:a16="http://schemas.microsoft.com/office/drawing/2014/main" id="{2E2BB917-9005-4457-8EDD-293C74EFB1D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67" name="Text Box 1">
          <a:extLst>
            <a:ext uri="{FF2B5EF4-FFF2-40B4-BE49-F238E27FC236}">
              <a16:creationId xmlns:a16="http://schemas.microsoft.com/office/drawing/2014/main" id="{0DA6C3FA-EFC5-496E-B19E-A79277944A3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68" name="Text Box 3">
          <a:extLst>
            <a:ext uri="{FF2B5EF4-FFF2-40B4-BE49-F238E27FC236}">
              <a16:creationId xmlns:a16="http://schemas.microsoft.com/office/drawing/2014/main" id="{CD42AD21-2F29-4B65-85F4-DBE4DEA6DF2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69" name="Text Box 1">
          <a:extLst>
            <a:ext uri="{FF2B5EF4-FFF2-40B4-BE49-F238E27FC236}">
              <a16:creationId xmlns:a16="http://schemas.microsoft.com/office/drawing/2014/main" id="{2833E00B-81C5-4D07-8E8E-38017F926CE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70" name="Text Box 1">
          <a:extLst>
            <a:ext uri="{FF2B5EF4-FFF2-40B4-BE49-F238E27FC236}">
              <a16:creationId xmlns:a16="http://schemas.microsoft.com/office/drawing/2014/main" id="{F87BEFE2-B60A-486C-9974-DD19157D9E6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71" name="Text Box 3">
          <a:extLst>
            <a:ext uri="{FF2B5EF4-FFF2-40B4-BE49-F238E27FC236}">
              <a16:creationId xmlns:a16="http://schemas.microsoft.com/office/drawing/2014/main" id="{9BC7ECF3-E6E8-44FC-B543-46C777AD6AB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72" name="Text Box 1">
          <a:extLst>
            <a:ext uri="{FF2B5EF4-FFF2-40B4-BE49-F238E27FC236}">
              <a16:creationId xmlns:a16="http://schemas.microsoft.com/office/drawing/2014/main" id="{CD344D5E-CAA0-4A1D-A822-D638F8B754F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73" name="Text Box 3">
          <a:extLst>
            <a:ext uri="{FF2B5EF4-FFF2-40B4-BE49-F238E27FC236}">
              <a16:creationId xmlns:a16="http://schemas.microsoft.com/office/drawing/2014/main" id="{D6CA3D5F-E687-47E0-9F85-C80DC26530D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74" name="Text Box 1">
          <a:extLst>
            <a:ext uri="{FF2B5EF4-FFF2-40B4-BE49-F238E27FC236}">
              <a16:creationId xmlns:a16="http://schemas.microsoft.com/office/drawing/2014/main" id="{11E861FE-5B60-4C36-A7A6-152521FCDA1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75" name="Text Box 1">
          <a:extLst>
            <a:ext uri="{FF2B5EF4-FFF2-40B4-BE49-F238E27FC236}">
              <a16:creationId xmlns:a16="http://schemas.microsoft.com/office/drawing/2014/main" id="{91875002-643D-4BC5-9BEC-94693FAC5CF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76" name="Text Box 3">
          <a:extLst>
            <a:ext uri="{FF2B5EF4-FFF2-40B4-BE49-F238E27FC236}">
              <a16:creationId xmlns:a16="http://schemas.microsoft.com/office/drawing/2014/main" id="{93F6AFF5-DDB7-4CDF-B0DB-E072DDB9085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77" name="Text Box 1">
          <a:extLst>
            <a:ext uri="{FF2B5EF4-FFF2-40B4-BE49-F238E27FC236}">
              <a16:creationId xmlns:a16="http://schemas.microsoft.com/office/drawing/2014/main" id="{356ABDCB-4E9B-4DAB-B4C4-F937623418C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78" name="Text Box 3">
          <a:extLst>
            <a:ext uri="{FF2B5EF4-FFF2-40B4-BE49-F238E27FC236}">
              <a16:creationId xmlns:a16="http://schemas.microsoft.com/office/drawing/2014/main" id="{BDAA3B6A-C763-48FB-A6FA-50EA336188F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79" name="Text Box 1">
          <a:extLst>
            <a:ext uri="{FF2B5EF4-FFF2-40B4-BE49-F238E27FC236}">
              <a16:creationId xmlns:a16="http://schemas.microsoft.com/office/drawing/2014/main" id="{F1493F35-D7E6-42CE-B6A7-DA45E8E0019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80" name="Text Box 1">
          <a:extLst>
            <a:ext uri="{FF2B5EF4-FFF2-40B4-BE49-F238E27FC236}">
              <a16:creationId xmlns:a16="http://schemas.microsoft.com/office/drawing/2014/main" id="{C7325008-ABA7-4594-BC67-C1A724C978C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81" name="Text Box 3">
          <a:extLst>
            <a:ext uri="{FF2B5EF4-FFF2-40B4-BE49-F238E27FC236}">
              <a16:creationId xmlns:a16="http://schemas.microsoft.com/office/drawing/2014/main" id="{FBF7F43F-B493-42ED-9EE5-B83710ECF3C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82" name="Text Box 1">
          <a:extLst>
            <a:ext uri="{FF2B5EF4-FFF2-40B4-BE49-F238E27FC236}">
              <a16:creationId xmlns:a16="http://schemas.microsoft.com/office/drawing/2014/main" id="{5C1E298A-C7D9-421D-AC1A-B7C1BA57E51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83" name="Text Box 3">
          <a:extLst>
            <a:ext uri="{FF2B5EF4-FFF2-40B4-BE49-F238E27FC236}">
              <a16:creationId xmlns:a16="http://schemas.microsoft.com/office/drawing/2014/main" id="{BB12E8A0-59C3-4FA3-9060-654AE191CAF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84" name="Text Box 1">
          <a:extLst>
            <a:ext uri="{FF2B5EF4-FFF2-40B4-BE49-F238E27FC236}">
              <a16:creationId xmlns:a16="http://schemas.microsoft.com/office/drawing/2014/main" id="{F569A1DF-22DA-4D82-8851-B57ABD9B56A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85" name="Text Box 1">
          <a:extLst>
            <a:ext uri="{FF2B5EF4-FFF2-40B4-BE49-F238E27FC236}">
              <a16:creationId xmlns:a16="http://schemas.microsoft.com/office/drawing/2014/main" id="{DD9AF612-472B-4360-BBB3-91EAB51F661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86" name="Text Box 3">
          <a:extLst>
            <a:ext uri="{FF2B5EF4-FFF2-40B4-BE49-F238E27FC236}">
              <a16:creationId xmlns:a16="http://schemas.microsoft.com/office/drawing/2014/main" id="{E3F29700-3C79-4995-8812-3B9D5063D08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87" name="Text Box 1">
          <a:extLst>
            <a:ext uri="{FF2B5EF4-FFF2-40B4-BE49-F238E27FC236}">
              <a16:creationId xmlns:a16="http://schemas.microsoft.com/office/drawing/2014/main" id="{58E6D4EB-1FDE-4AEA-A05F-AE0E04E40A9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88" name="Text Box 3">
          <a:extLst>
            <a:ext uri="{FF2B5EF4-FFF2-40B4-BE49-F238E27FC236}">
              <a16:creationId xmlns:a16="http://schemas.microsoft.com/office/drawing/2014/main" id="{8DB77AF3-0BB2-4407-B500-EA83D2749A9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89" name="Text Box 1">
          <a:extLst>
            <a:ext uri="{FF2B5EF4-FFF2-40B4-BE49-F238E27FC236}">
              <a16:creationId xmlns:a16="http://schemas.microsoft.com/office/drawing/2014/main" id="{5E9128A4-8FC4-4724-A9A0-6039F6D7F67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90" name="Text Box 1">
          <a:extLst>
            <a:ext uri="{FF2B5EF4-FFF2-40B4-BE49-F238E27FC236}">
              <a16:creationId xmlns:a16="http://schemas.microsoft.com/office/drawing/2014/main" id="{48FFBD51-E94E-4772-8575-6078DA487BE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91" name="Text Box 3">
          <a:extLst>
            <a:ext uri="{FF2B5EF4-FFF2-40B4-BE49-F238E27FC236}">
              <a16:creationId xmlns:a16="http://schemas.microsoft.com/office/drawing/2014/main" id="{FBDD3DC8-8773-4DC8-A7B2-C28D5F683B5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92" name="Text Box 1">
          <a:extLst>
            <a:ext uri="{FF2B5EF4-FFF2-40B4-BE49-F238E27FC236}">
              <a16:creationId xmlns:a16="http://schemas.microsoft.com/office/drawing/2014/main" id="{6037CC87-1F6B-494D-B125-43C9F7B2D5F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93" name="Text Box 3">
          <a:extLst>
            <a:ext uri="{FF2B5EF4-FFF2-40B4-BE49-F238E27FC236}">
              <a16:creationId xmlns:a16="http://schemas.microsoft.com/office/drawing/2014/main" id="{14642D55-1783-498F-8EFE-BAA27C3769C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94" name="Text Box 1">
          <a:extLst>
            <a:ext uri="{FF2B5EF4-FFF2-40B4-BE49-F238E27FC236}">
              <a16:creationId xmlns:a16="http://schemas.microsoft.com/office/drawing/2014/main" id="{51653D05-AD95-464F-BE9A-FC97A4B017B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95" name="Text Box 1">
          <a:extLst>
            <a:ext uri="{FF2B5EF4-FFF2-40B4-BE49-F238E27FC236}">
              <a16:creationId xmlns:a16="http://schemas.microsoft.com/office/drawing/2014/main" id="{CB5AA24C-6728-44E8-8AB9-FAD5F0B6EB4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96" name="Text Box 3">
          <a:extLst>
            <a:ext uri="{FF2B5EF4-FFF2-40B4-BE49-F238E27FC236}">
              <a16:creationId xmlns:a16="http://schemas.microsoft.com/office/drawing/2014/main" id="{9F8066B1-3D95-459F-9A74-D21BCC226C0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97" name="Text Box 1">
          <a:extLst>
            <a:ext uri="{FF2B5EF4-FFF2-40B4-BE49-F238E27FC236}">
              <a16:creationId xmlns:a16="http://schemas.microsoft.com/office/drawing/2014/main" id="{8B2564E0-FB36-483C-8CB3-FCF91EE20AD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98" name="Text Box 3">
          <a:extLst>
            <a:ext uri="{FF2B5EF4-FFF2-40B4-BE49-F238E27FC236}">
              <a16:creationId xmlns:a16="http://schemas.microsoft.com/office/drawing/2014/main" id="{65FE2D2A-0871-4E6A-A889-0D41BF598AF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99" name="Text Box 1">
          <a:extLst>
            <a:ext uri="{FF2B5EF4-FFF2-40B4-BE49-F238E27FC236}">
              <a16:creationId xmlns:a16="http://schemas.microsoft.com/office/drawing/2014/main" id="{72D029B3-0336-4E31-B23D-3BFCEEBE9D1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00" name="Text Box 1">
          <a:extLst>
            <a:ext uri="{FF2B5EF4-FFF2-40B4-BE49-F238E27FC236}">
              <a16:creationId xmlns:a16="http://schemas.microsoft.com/office/drawing/2014/main" id="{8A43D4E1-FBFB-4472-B7FA-DC27BFB95F6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01" name="Text Box 3">
          <a:extLst>
            <a:ext uri="{FF2B5EF4-FFF2-40B4-BE49-F238E27FC236}">
              <a16:creationId xmlns:a16="http://schemas.microsoft.com/office/drawing/2014/main" id="{8A72E170-10D1-4B3B-90D1-B41D0632130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02" name="Text Box 1">
          <a:extLst>
            <a:ext uri="{FF2B5EF4-FFF2-40B4-BE49-F238E27FC236}">
              <a16:creationId xmlns:a16="http://schemas.microsoft.com/office/drawing/2014/main" id="{5C450C8B-AF69-4EDA-8FE4-E558AED854C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03" name="Text Box 3">
          <a:extLst>
            <a:ext uri="{FF2B5EF4-FFF2-40B4-BE49-F238E27FC236}">
              <a16:creationId xmlns:a16="http://schemas.microsoft.com/office/drawing/2014/main" id="{E3CCF61C-5E48-4650-A5CB-B9F9319E7DA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04" name="Text Box 1">
          <a:extLst>
            <a:ext uri="{FF2B5EF4-FFF2-40B4-BE49-F238E27FC236}">
              <a16:creationId xmlns:a16="http://schemas.microsoft.com/office/drawing/2014/main" id="{E039C4FB-92DC-4576-B058-BF216836D0F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05" name="Text Box 1">
          <a:extLst>
            <a:ext uri="{FF2B5EF4-FFF2-40B4-BE49-F238E27FC236}">
              <a16:creationId xmlns:a16="http://schemas.microsoft.com/office/drawing/2014/main" id="{5E13050A-03FA-4A33-B81A-A3DF51E794D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06" name="Text Box 3">
          <a:extLst>
            <a:ext uri="{FF2B5EF4-FFF2-40B4-BE49-F238E27FC236}">
              <a16:creationId xmlns:a16="http://schemas.microsoft.com/office/drawing/2014/main" id="{026C6499-37A3-40BA-9D02-0C500250F30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07" name="Text Box 1">
          <a:extLst>
            <a:ext uri="{FF2B5EF4-FFF2-40B4-BE49-F238E27FC236}">
              <a16:creationId xmlns:a16="http://schemas.microsoft.com/office/drawing/2014/main" id="{B953CE8A-AE79-4A6D-9CB9-E0D5FD522BB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08" name="Text Box 3">
          <a:extLst>
            <a:ext uri="{FF2B5EF4-FFF2-40B4-BE49-F238E27FC236}">
              <a16:creationId xmlns:a16="http://schemas.microsoft.com/office/drawing/2014/main" id="{A92206F5-9C69-400A-8E5C-B943D0A0853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09" name="Text Box 1">
          <a:extLst>
            <a:ext uri="{FF2B5EF4-FFF2-40B4-BE49-F238E27FC236}">
              <a16:creationId xmlns:a16="http://schemas.microsoft.com/office/drawing/2014/main" id="{79EEB11D-E22D-42CE-B6B9-05A3E9C93F7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10" name="Text Box 1">
          <a:extLst>
            <a:ext uri="{FF2B5EF4-FFF2-40B4-BE49-F238E27FC236}">
              <a16:creationId xmlns:a16="http://schemas.microsoft.com/office/drawing/2014/main" id="{0D9D9E9F-A51F-4FB9-8A49-7898CE14B09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11" name="Text Box 3">
          <a:extLst>
            <a:ext uri="{FF2B5EF4-FFF2-40B4-BE49-F238E27FC236}">
              <a16:creationId xmlns:a16="http://schemas.microsoft.com/office/drawing/2014/main" id="{51144804-3B87-48B4-9D7F-13A073B348D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12" name="Text Box 1">
          <a:extLst>
            <a:ext uri="{FF2B5EF4-FFF2-40B4-BE49-F238E27FC236}">
              <a16:creationId xmlns:a16="http://schemas.microsoft.com/office/drawing/2014/main" id="{CB56C550-52B1-46E3-92C0-361EECB7F8D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13" name="Text Box 3">
          <a:extLst>
            <a:ext uri="{FF2B5EF4-FFF2-40B4-BE49-F238E27FC236}">
              <a16:creationId xmlns:a16="http://schemas.microsoft.com/office/drawing/2014/main" id="{940701D9-5595-4F11-9F49-64E8843242E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14" name="Text Box 1">
          <a:extLst>
            <a:ext uri="{FF2B5EF4-FFF2-40B4-BE49-F238E27FC236}">
              <a16:creationId xmlns:a16="http://schemas.microsoft.com/office/drawing/2014/main" id="{54545293-0C4C-4C27-890B-74AD9DDBF57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15" name="Text Box 1">
          <a:extLst>
            <a:ext uri="{FF2B5EF4-FFF2-40B4-BE49-F238E27FC236}">
              <a16:creationId xmlns:a16="http://schemas.microsoft.com/office/drawing/2014/main" id="{1319972E-B02A-4D96-8F8B-DDDD68DC0A5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16" name="Text Box 3">
          <a:extLst>
            <a:ext uri="{FF2B5EF4-FFF2-40B4-BE49-F238E27FC236}">
              <a16:creationId xmlns:a16="http://schemas.microsoft.com/office/drawing/2014/main" id="{4AB3D76D-2BF5-4617-8787-A71BF795DA1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17" name="Text Box 1">
          <a:extLst>
            <a:ext uri="{FF2B5EF4-FFF2-40B4-BE49-F238E27FC236}">
              <a16:creationId xmlns:a16="http://schemas.microsoft.com/office/drawing/2014/main" id="{A0322A6D-A485-48FE-A24B-58880F996E3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18" name="Text Box 3">
          <a:extLst>
            <a:ext uri="{FF2B5EF4-FFF2-40B4-BE49-F238E27FC236}">
              <a16:creationId xmlns:a16="http://schemas.microsoft.com/office/drawing/2014/main" id="{92D847B1-3580-4760-AD8F-09B03CDFD2C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19" name="Text Box 1">
          <a:extLst>
            <a:ext uri="{FF2B5EF4-FFF2-40B4-BE49-F238E27FC236}">
              <a16:creationId xmlns:a16="http://schemas.microsoft.com/office/drawing/2014/main" id="{F197744B-7074-4D50-881E-F37D5738A61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20" name="Text Box 1">
          <a:extLst>
            <a:ext uri="{FF2B5EF4-FFF2-40B4-BE49-F238E27FC236}">
              <a16:creationId xmlns:a16="http://schemas.microsoft.com/office/drawing/2014/main" id="{A188104C-E0F3-45EF-BD6F-C8544A032AE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21" name="Text Box 3">
          <a:extLst>
            <a:ext uri="{FF2B5EF4-FFF2-40B4-BE49-F238E27FC236}">
              <a16:creationId xmlns:a16="http://schemas.microsoft.com/office/drawing/2014/main" id="{A4CEE517-B86B-4372-8CB1-4D3ABB11769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22" name="Text Box 1">
          <a:extLst>
            <a:ext uri="{FF2B5EF4-FFF2-40B4-BE49-F238E27FC236}">
              <a16:creationId xmlns:a16="http://schemas.microsoft.com/office/drawing/2014/main" id="{6E218857-9880-4616-9445-E8C37D3FA62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23" name="Text Box 3">
          <a:extLst>
            <a:ext uri="{FF2B5EF4-FFF2-40B4-BE49-F238E27FC236}">
              <a16:creationId xmlns:a16="http://schemas.microsoft.com/office/drawing/2014/main" id="{DCFBADC1-F548-44B9-B011-1B9582DECF6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24" name="Text Box 1">
          <a:extLst>
            <a:ext uri="{FF2B5EF4-FFF2-40B4-BE49-F238E27FC236}">
              <a16:creationId xmlns:a16="http://schemas.microsoft.com/office/drawing/2014/main" id="{3C8DF071-27DB-4062-9168-34B26918022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25" name="Text Box 1">
          <a:extLst>
            <a:ext uri="{FF2B5EF4-FFF2-40B4-BE49-F238E27FC236}">
              <a16:creationId xmlns:a16="http://schemas.microsoft.com/office/drawing/2014/main" id="{C00ADB2D-FC37-4083-BEDF-102C10DC3F3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26" name="Text Box 3">
          <a:extLst>
            <a:ext uri="{FF2B5EF4-FFF2-40B4-BE49-F238E27FC236}">
              <a16:creationId xmlns:a16="http://schemas.microsoft.com/office/drawing/2014/main" id="{89B3C874-01BF-443F-95AF-E2D128E9E6E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27" name="Text Box 1">
          <a:extLst>
            <a:ext uri="{FF2B5EF4-FFF2-40B4-BE49-F238E27FC236}">
              <a16:creationId xmlns:a16="http://schemas.microsoft.com/office/drawing/2014/main" id="{1E91AB98-36B1-458D-B2A3-6A84D797959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28" name="Text Box 3">
          <a:extLst>
            <a:ext uri="{FF2B5EF4-FFF2-40B4-BE49-F238E27FC236}">
              <a16:creationId xmlns:a16="http://schemas.microsoft.com/office/drawing/2014/main" id="{684D0F58-9D6A-4518-91AC-04A749CE7E7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29" name="Text Box 1">
          <a:extLst>
            <a:ext uri="{FF2B5EF4-FFF2-40B4-BE49-F238E27FC236}">
              <a16:creationId xmlns:a16="http://schemas.microsoft.com/office/drawing/2014/main" id="{F780E3C1-1EFC-44A4-903D-923338B706C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30" name="Text Box 1">
          <a:extLst>
            <a:ext uri="{FF2B5EF4-FFF2-40B4-BE49-F238E27FC236}">
              <a16:creationId xmlns:a16="http://schemas.microsoft.com/office/drawing/2014/main" id="{1E9DAE07-0104-4E8A-9B02-FB9F8513FB8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31" name="Text Box 3">
          <a:extLst>
            <a:ext uri="{FF2B5EF4-FFF2-40B4-BE49-F238E27FC236}">
              <a16:creationId xmlns:a16="http://schemas.microsoft.com/office/drawing/2014/main" id="{65456BAE-4686-40BB-9E9E-03145803E0D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32" name="Text Box 1">
          <a:extLst>
            <a:ext uri="{FF2B5EF4-FFF2-40B4-BE49-F238E27FC236}">
              <a16:creationId xmlns:a16="http://schemas.microsoft.com/office/drawing/2014/main" id="{AA3EEB5D-1844-4413-A0C0-03FFC6B2197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33" name="Text Box 3">
          <a:extLst>
            <a:ext uri="{FF2B5EF4-FFF2-40B4-BE49-F238E27FC236}">
              <a16:creationId xmlns:a16="http://schemas.microsoft.com/office/drawing/2014/main" id="{9CD94DAC-1DB2-44B0-B1ED-05799BC7684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34" name="Text Box 1">
          <a:extLst>
            <a:ext uri="{FF2B5EF4-FFF2-40B4-BE49-F238E27FC236}">
              <a16:creationId xmlns:a16="http://schemas.microsoft.com/office/drawing/2014/main" id="{403DCEA6-AEC5-430B-A3D9-3B27B19B2E9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35" name="Text Box 1">
          <a:extLst>
            <a:ext uri="{FF2B5EF4-FFF2-40B4-BE49-F238E27FC236}">
              <a16:creationId xmlns:a16="http://schemas.microsoft.com/office/drawing/2014/main" id="{C8F35621-A1D2-437A-BBE3-84649B0E585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36" name="Text Box 3">
          <a:extLst>
            <a:ext uri="{FF2B5EF4-FFF2-40B4-BE49-F238E27FC236}">
              <a16:creationId xmlns:a16="http://schemas.microsoft.com/office/drawing/2014/main" id="{3E59F63C-3A04-4B4B-96F1-89E3A594DAB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37" name="Text Box 1">
          <a:extLst>
            <a:ext uri="{FF2B5EF4-FFF2-40B4-BE49-F238E27FC236}">
              <a16:creationId xmlns:a16="http://schemas.microsoft.com/office/drawing/2014/main" id="{C23B2C7C-76F3-487B-A4C7-117326422CF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38" name="Text Box 3">
          <a:extLst>
            <a:ext uri="{FF2B5EF4-FFF2-40B4-BE49-F238E27FC236}">
              <a16:creationId xmlns:a16="http://schemas.microsoft.com/office/drawing/2014/main" id="{E23D5487-8B1D-4597-910D-A076D3AAC24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39" name="Text Box 1">
          <a:extLst>
            <a:ext uri="{FF2B5EF4-FFF2-40B4-BE49-F238E27FC236}">
              <a16:creationId xmlns:a16="http://schemas.microsoft.com/office/drawing/2014/main" id="{CBA0A76E-9FE3-491E-865F-3177FFFFB55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40" name="Text Box 1">
          <a:extLst>
            <a:ext uri="{FF2B5EF4-FFF2-40B4-BE49-F238E27FC236}">
              <a16:creationId xmlns:a16="http://schemas.microsoft.com/office/drawing/2014/main" id="{BB41B0B5-239F-4001-84E2-DBE750C6AF6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41" name="Text Box 3">
          <a:extLst>
            <a:ext uri="{FF2B5EF4-FFF2-40B4-BE49-F238E27FC236}">
              <a16:creationId xmlns:a16="http://schemas.microsoft.com/office/drawing/2014/main" id="{02C58ED2-9CDE-4F23-B667-A3046A78ED4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42" name="Text Box 1">
          <a:extLst>
            <a:ext uri="{FF2B5EF4-FFF2-40B4-BE49-F238E27FC236}">
              <a16:creationId xmlns:a16="http://schemas.microsoft.com/office/drawing/2014/main" id="{D4056C5F-0CE5-4415-AD0C-D5EC571E3D7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43" name="Text Box 3">
          <a:extLst>
            <a:ext uri="{FF2B5EF4-FFF2-40B4-BE49-F238E27FC236}">
              <a16:creationId xmlns:a16="http://schemas.microsoft.com/office/drawing/2014/main" id="{527BA9B2-BEC4-4227-86F5-9DDDE9C57AF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44" name="Text Box 1">
          <a:extLst>
            <a:ext uri="{FF2B5EF4-FFF2-40B4-BE49-F238E27FC236}">
              <a16:creationId xmlns:a16="http://schemas.microsoft.com/office/drawing/2014/main" id="{A0712F34-F974-41C1-B82E-D53B2AB67C3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45" name="Text Box 1">
          <a:extLst>
            <a:ext uri="{FF2B5EF4-FFF2-40B4-BE49-F238E27FC236}">
              <a16:creationId xmlns:a16="http://schemas.microsoft.com/office/drawing/2014/main" id="{65DB487F-D363-4E01-8D17-9E1AFB12672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46" name="Text Box 3">
          <a:extLst>
            <a:ext uri="{FF2B5EF4-FFF2-40B4-BE49-F238E27FC236}">
              <a16:creationId xmlns:a16="http://schemas.microsoft.com/office/drawing/2014/main" id="{ECA52C80-F216-489A-AA7F-340953E5A7D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47" name="Text Box 1">
          <a:extLst>
            <a:ext uri="{FF2B5EF4-FFF2-40B4-BE49-F238E27FC236}">
              <a16:creationId xmlns:a16="http://schemas.microsoft.com/office/drawing/2014/main" id="{8F6FCD42-D504-4091-B0B7-4F3796B17FF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48" name="Text Box 3">
          <a:extLst>
            <a:ext uri="{FF2B5EF4-FFF2-40B4-BE49-F238E27FC236}">
              <a16:creationId xmlns:a16="http://schemas.microsoft.com/office/drawing/2014/main" id="{24404D48-A8ED-4041-8BF8-1E2A98A5F2B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49" name="Text Box 1">
          <a:extLst>
            <a:ext uri="{FF2B5EF4-FFF2-40B4-BE49-F238E27FC236}">
              <a16:creationId xmlns:a16="http://schemas.microsoft.com/office/drawing/2014/main" id="{20665526-0902-47CB-A62A-AC54211725B5}"/>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50" name="Text Box 3">
          <a:extLst>
            <a:ext uri="{FF2B5EF4-FFF2-40B4-BE49-F238E27FC236}">
              <a16:creationId xmlns:a16="http://schemas.microsoft.com/office/drawing/2014/main" id="{3399B393-458A-43E8-820F-3289741801C2}"/>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51" name="Text Box 1">
          <a:extLst>
            <a:ext uri="{FF2B5EF4-FFF2-40B4-BE49-F238E27FC236}">
              <a16:creationId xmlns:a16="http://schemas.microsoft.com/office/drawing/2014/main" id="{43B8D077-4864-4C6A-BBDD-0D24D4ACA285}"/>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52" name="Text Box 3">
          <a:extLst>
            <a:ext uri="{FF2B5EF4-FFF2-40B4-BE49-F238E27FC236}">
              <a16:creationId xmlns:a16="http://schemas.microsoft.com/office/drawing/2014/main" id="{0A029F11-73A2-4A29-86E5-A20B7245CCE7}"/>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53" name="Text Box 1">
          <a:extLst>
            <a:ext uri="{FF2B5EF4-FFF2-40B4-BE49-F238E27FC236}">
              <a16:creationId xmlns:a16="http://schemas.microsoft.com/office/drawing/2014/main" id="{EC65BBFC-624D-4ABB-9CDD-D96C318607E6}"/>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54" name="Text Box 1">
          <a:extLst>
            <a:ext uri="{FF2B5EF4-FFF2-40B4-BE49-F238E27FC236}">
              <a16:creationId xmlns:a16="http://schemas.microsoft.com/office/drawing/2014/main" id="{A1D14210-DE03-4922-A47E-8AB1D069CB2A}"/>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55" name="Text Box 3">
          <a:extLst>
            <a:ext uri="{FF2B5EF4-FFF2-40B4-BE49-F238E27FC236}">
              <a16:creationId xmlns:a16="http://schemas.microsoft.com/office/drawing/2014/main" id="{4D42B223-5E0C-495D-BB48-C0735F0DF994}"/>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56" name="Text Box 1">
          <a:extLst>
            <a:ext uri="{FF2B5EF4-FFF2-40B4-BE49-F238E27FC236}">
              <a16:creationId xmlns:a16="http://schemas.microsoft.com/office/drawing/2014/main" id="{E7030B8D-9DF7-4B3C-9202-3B20627FE0E7}"/>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57" name="Text Box 3">
          <a:extLst>
            <a:ext uri="{FF2B5EF4-FFF2-40B4-BE49-F238E27FC236}">
              <a16:creationId xmlns:a16="http://schemas.microsoft.com/office/drawing/2014/main" id="{451483C7-7B75-48D4-B523-F16A7FE3C88F}"/>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58" name="Text Box 1">
          <a:extLst>
            <a:ext uri="{FF2B5EF4-FFF2-40B4-BE49-F238E27FC236}">
              <a16:creationId xmlns:a16="http://schemas.microsoft.com/office/drawing/2014/main" id="{3C1B7A47-D2C0-423E-AE25-F7ECAEE3179B}"/>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59" name="Text Box 1">
          <a:extLst>
            <a:ext uri="{FF2B5EF4-FFF2-40B4-BE49-F238E27FC236}">
              <a16:creationId xmlns:a16="http://schemas.microsoft.com/office/drawing/2014/main" id="{FDA71DE8-FFAA-48F5-B212-8A83D7C7E756}"/>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60" name="Text Box 3">
          <a:extLst>
            <a:ext uri="{FF2B5EF4-FFF2-40B4-BE49-F238E27FC236}">
              <a16:creationId xmlns:a16="http://schemas.microsoft.com/office/drawing/2014/main" id="{627EB25A-704F-4CFC-B9E8-C58EFD20539F}"/>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61" name="Text Box 1">
          <a:extLst>
            <a:ext uri="{FF2B5EF4-FFF2-40B4-BE49-F238E27FC236}">
              <a16:creationId xmlns:a16="http://schemas.microsoft.com/office/drawing/2014/main" id="{F7596338-462A-49E6-8EA1-6B083061DFFE}"/>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62" name="Text Box 1">
          <a:extLst>
            <a:ext uri="{FF2B5EF4-FFF2-40B4-BE49-F238E27FC236}">
              <a16:creationId xmlns:a16="http://schemas.microsoft.com/office/drawing/2014/main" id="{174FF748-6B47-4ED3-8020-84F18BB13ACB}"/>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63" name="Text Box 3">
          <a:extLst>
            <a:ext uri="{FF2B5EF4-FFF2-40B4-BE49-F238E27FC236}">
              <a16:creationId xmlns:a16="http://schemas.microsoft.com/office/drawing/2014/main" id="{7A96127D-CE1C-480D-802A-B1044765B14F}"/>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64" name="Text Box 1">
          <a:extLst>
            <a:ext uri="{FF2B5EF4-FFF2-40B4-BE49-F238E27FC236}">
              <a16:creationId xmlns:a16="http://schemas.microsoft.com/office/drawing/2014/main" id="{ACDC929E-9660-4C32-9C84-00AD75420A27}"/>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65" name="Text Box 3">
          <a:extLst>
            <a:ext uri="{FF2B5EF4-FFF2-40B4-BE49-F238E27FC236}">
              <a16:creationId xmlns:a16="http://schemas.microsoft.com/office/drawing/2014/main" id="{8F5835D0-7CBF-47F0-803A-D8646EAF4587}"/>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66" name="Text Box 1">
          <a:extLst>
            <a:ext uri="{FF2B5EF4-FFF2-40B4-BE49-F238E27FC236}">
              <a16:creationId xmlns:a16="http://schemas.microsoft.com/office/drawing/2014/main" id="{7BED43E7-BA5B-4362-A62B-EBFAF8186182}"/>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67" name="Text Box 1">
          <a:extLst>
            <a:ext uri="{FF2B5EF4-FFF2-40B4-BE49-F238E27FC236}">
              <a16:creationId xmlns:a16="http://schemas.microsoft.com/office/drawing/2014/main" id="{5A277C7F-6B9F-447E-B54F-4866E5A7A2D5}"/>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68" name="Text Box 3">
          <a:extLst>
            <a:ext uri="{FF2B5EF4-FFF2-40B4-BE49-F238E27FC236}">
              <a16:creationId xmlns:a16="http://schemas.microsoft.com/office/drawing/2014/main" id="{326C6C29-5886-41F7-A254-B4AEB14B7428}"/>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69" name="Text Box 1">
          <a:extLst>
            <a:ext uri="{FF2B5EF4-FFF2-40B4-BE49-F238E27FC236}">
              <a16:creationId xmlns:a16="http://schemas.microsoft.com/office/drawing/2014/main" id="{9847490F-266E-4FB1-BE88-9C44D013EB11}"/>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70" name="Text Box 3">
          <a:extLst>
            <a:ext uri="{FF2B5EF4-FFF2-40B4-BE49-F238E27FC236}">
              <a16:creationId xmlns:a16="http://schemas.microsoft.com/office/drawing/2014/main" id="{BDB0A4FB-212A-4068-AC5D-6D38C34099D4}"/>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71" name="Text Box 1">
          <a:extLst>
            <a:ext uri="{FF2B5EF4-FFF2-40B4-BE49-F238E27FC236}">
              <a16:creationId xmlns:a16="http://schemas.microsoft.com/office/drawing/2014/main" id="{765FE91D-CDD2-4188-BD5C-C58F37D11F14}"/>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72" name="Text Box 1">
          <a:extLst>
            <a:ext uri="{FF2B5EF4-FFF2-40B4-BE49-F238E27FC236}">
              <a16:creationId xmlns:a16="http://schemas.microsoft.com/office/drawing/2014/main" id="{B182CF31-B0C9-4A29-98E1-0D4AC3DECFF6}"/>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73" name="Text Box 3">
          <a:extLst>
            <a:ext uri="{FF2B5EF4-FFF2-40B4-BE49-F238E27FC236}">
              <a16:creationId xmlns:a16="http://schemas.microsoft.com/office/drawing/2014/main" id="{173C9691-CFFB-4724-A5FE-DE30D7208949}"/>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74" name="Text Box 3">
          <a:extLst>
            <a:ext uri="{FF2B5EF4-FFF2-40B4-BE49-F238E27FC236}">
              <a16:creationId xmlns:a16="http://schemas.microsoft.com/office/drawing/2014/main" id="{827B4E88-D29D-4E36-8CC1-F8617B0B5FE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75" name="Text Box 1">
          <a:extLst>
            <a:ext uri="{FF2B5EF4-FFF2-40B4-BE49-F238E27FC236}">
              <a16:creationId xmlns:a16="http://schemas.microsoft.com/office/drawing/2014/main" id="{AD5ADA65-DBB9-4A6A-93D3-98F7D5CEDFA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76" name="Text Box 3">
          <a:extLst>
            <a:ext uri="{FF2B5EF4-FFF2-40B4-BE49-F238E27FC236}">
              <a16:creationId xmlns:a16="http://schemas.microsoft.com/office/drawing/2014/main" id="{11F8041C-1F9A-4980-833D-C87D0C8F3BC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77" name="Text Box 1">
          <a:extLst>
            <a:ext uri="{FF2B5EF4-FFF2-40B4-BE49-F238E27FC236}">
              <a16:creationId xmlns:a16="http://schemas.microsoft.com/office/drawing/2014/main" id="{367DC1BD-0CBC-4F97-9C81-065A4C25DD8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78" name="Text Box 1">
          <a:extLst>
            <a:ext uri="{FF2B5EF4-FFF2-40B4-BE49-F238E27FC236}">
              <a16:creationId xmlns:a16="http://schemas.microsoft.com/office/drawing/2014/main" id="{9C2507C9-0667-4D10-ADBA-E8811EAD294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79" name="Text Box 3">
          <a:extLst>
            <a:ext uri="{FF2B5EF4-FFF2-40B4-BE49-F238E27FC236}">
              <a16:creationId xmlns:a16="http://schemas.microsoft.com/office/drawing/2014/main" id="{500F244C-2FDF-446D-9CB4-0019B9D2DF2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80" name="Text Box 1">
          <a:extLst>
            <a:ext uri="{FF2B5EF4-FFF2-40B4-BE49-F238E27FC236}">
              <a16:creationId xmlns:a16="http://schemas.microsoft.com/office/drawing/2014/main" id="{09D9017B-05D2-4011-8300-5B4B9B085F2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81" name="Text Box 3">
          <a:extLst>
            <a:ext uri="{FF2B5EF4-FFF2-40B4-BE49-F238E27FC236}">
              <a16:creationId xmlns:a16="http://schemas.microsoft.com/office/drawing/2014/main" id="{D6D13857-FA9E-47F4-AE41-B800214D577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82" name="Text Box 1">
          <a:extLst>
            <a:ext uri="{FF2B5EF4-FFF2-40B4-BE49-F238E27FC236}">
              <a16:creationId xmlns:a16="http://schemas.microsoft.com/office/drawing/2014/main" id="{5438F91D-56B6-4C28-8F0D-5DF667E2E7D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83" name="Text Box 1">
          <a:extLst>
            <a:ext uri="{FF2B5EF4-FFF2-40B4-BE49-F238E27FC236}">
              <a16:creationId xmlns:a16="http://schemas.microsoft.com/office/drawing/2014/main" id="{B89036CA-70C9-4E51-8CF9-F84DAA2F66A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84" name="Text Box 3">
          <a:extLst>
            <a:ext uri="{FF2B5EF4-FFF2-40B4-BE49-F238E27FC236}">
              <a16:creationId xmlns:a16="http://schemas.microsoft.com/office/drawing/2014/main" id="{B2019F80-02D9-419A-9F37-71843AA1B37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85" name="Text Box 1">
          <a:extLst>
            <a:ext uri="{FF2B5EF4-FFF2-40B4-BE49-F238E27FC236}">
              <a16:creationId xmlns:a16="http://schemas.microsoft.com/office/drawing/2014/main" id="{A63648EA-21AB-416C-A3D1-6FBA005782E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86" name="Text Box 1">
          <a:extLst>
            <a:ext uri="{FF2B5EF4-FFF2-40B4-BE49-F238E27FC236}">
              <a16:creationId xmlns:a16="http://schemas.microsoft.com/office/drawing/2014/main" id="{416B3F7A-74D7-46B2-B205-84B9A4BFA21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87" name="Text Box 3">
          <a:extLst>
            <a:ext uri="{FF2B5EF4-FFF2-40B4-BE49-F238E27FC236}">
              <a16:creationId xmlns:a16="http://schemas.microsoft.com/office/drawing/2014/main" id="{997D432C-B7C7-43DE-9725-2601EC55B9B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88" name="Text Box 1">
          <a:extLst>
            <a:ext uri="{FF2B5EF4-FFF2-40B4-BE49-F238E27FC236}">
              <a16:creationId xmlns:a16="http://schemas.microsoft.com/office/drawing/2014/main" id="{826EA3DC-1312-4A4F-A56B-E8940ABEC33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89" name="Text Box 3">
          <a:extLst>
            <a:ext uri="{FF2B5EF4-FFF2-40B4-BE49-F238E27FC236}">
              <a16:creationId xmlns:a16="http://schemas.microsoft.com/office/drawing/2014/main" id="{C626E6D1-80A1-42F1-BE78-6A500F9BA6C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90" name="Text Box 1">
          <a:extLst>
            <a:ext uri="{FF2B5EF4-FFF2-40B4-BE49-F238E27FC236}">
              <a16:creationId xmlns:a16="http://schemas.microsoft.com/office/drawing/2014/main" id="{F52C0F92-AC4B-4F52-996A-411182F9FB8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91" name="Text Box 3">
          <a:extLst>
            <a:ext uri="{FF2B5EF4-FFF2-40B4-BE49-F238E27FC236}">
              <a16:creationId xmlns:a16="http://schemas.microsoft.com/office/drawing/2014/main" id="{06C12DC5-D284-4073-862C-1617A1A36A3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92" name="Text Box 1">
          <a:extLst>
            <a:ext uri="{FF2B5EF4-FFF2-40B4-BE49-F238E27FC236}">
              <a16:creationId xmlns:a16="http://schemas.microsoft.com/office/drawing/2014/main" id="{1275E530-199F-4246-B2C9-29DFEF0BE93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93" name="Text Box 3">
          <a:extLst>
            <a:ext uri="{FF2B5EF4-FFF2-40B4-BE49-F238E27FC236}">
              <a16:creationId xmlns:a16="http://schemas.microsoft.com/office/drawing/2014/main" id="{66DD654A-7F77-4570-9394-E1F8E225767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94" name="Text Box 1">
          <a:extLst>
            <a:ext uri="{FF2B5EF4-FFF2-40B4-BE49-F238E27FC236}">
              <a16:creationId xmlns:a16="http://schemas.microsoft.com/office/drawing/2014/main" id="{B5D4EAE1-D5EF-4E92-A540-6CF9008772C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95" name="Text Box 1">
          <a:extLst>
            <a:ext uri="{FF2B5EF4-FFF2-40B4-BE49-F238E27FC236}">
              <a16:creationId xmlns:a16="http://schemas.microsoft.com/office/drawing/2014/main" id="{E12A9D73-E1B0-4FE2-AF54-7D13BE39289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996" name="Text Box 1">
          <a:extLst>
            <a:ext uri="{FF2B5EF4-FFF2-40B4-BE49-F238E27FC236}">
              <a16:creationId xmlns:a16="http://schemas.microsoft.com/office/drawing/2014/main" id="{5C9B8971-9B66-41F7-A7CD-9A465437881E}"/>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997" name="Text Box 1">
          <a:extLst>
            <a:ext uri="{FF2B5EF4-FFF2-40B4-BE49-F238E27FC236}">
              <a16:creationId xmlns:a16="http://schemas.microsoft.com/office/drawing/2014/main" id="{6A34B454-7D30-4581-B0E3-617454680BD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998" name="Text Box 3">
          <a:extLst>
            <a:ext uri="{FF2B5EF4-FFF2-40B4-BE49-F238E27FC236}">
              <a16:creationId xmlns:a16="http://schemas.microsoft.com/office/drawing/2014/main" id="{2B320E82-5556-4189-966E-D210A9226DF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999" name="Text Box 1">
          <a:extLst>
            <a:ext uri="{FF2B5EF4-FFF2-40B4-BE49-F238E27FC236}">
              <a16:creationId xmlns:a16="http://schemas.microsoft.com/office/drawing/2014/main" id="{BD10C290-DA87-498C-BAE1-3F22C04DB4F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00" name="Text Box 3">
          <a:extLst>
            <a:ext uri="{FF2B5EF4-FFF2-40B4-BE49-F238E27FC236}">
              <a16:creationId xmlns:a16="http://schemas.microsoft.com/office/drawing/2014/main" id="{4E4A69CA-FD45-4AA9-9DB2-E65C26844BF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01" name="Text Box 1">
          <a:extLst>
            <a:ext uri="{FF2B5EF4-FFF2-40B4-BE49-F238E27FC236}">
              <a16:creationId xmlns:a16="http://schemas.microsoft.com/office/drawing/2014/main" id="{31DBD2FB-F710-49D6-A49A-CAF7BB2689E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02" name="Text Box 1">
          <a:extLst>
            <a:ext uri="{FF2B5EF4-FFF2-40B4-BE49-F238E27FC236}">
              <a16:creationId xmlns:a16="http://schemas.microsoft.com/office/drawing/2014/main" id="{8C156D15-BF18-40C1-A568-B35A17F39ED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03" name="Text Box 3">
          <a:extLst>
            <a:ext uri="{FF2B5EF4-FFF2-40B4-BE49-F238E27FC236}">
              <a16:creationId xmlns:a16="http://schemas.microsoft.com/office/drawing/2014/main" id="{397E7227-C323-43F4-82E3-FF391417D36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04" name="Text Box 1">
          <a:extLst>
            <a:ext uri="{FF2B5EF4-FFF2-40B4-BE49-F238E27FC236}">
              <a16:creationId xmlns:a16="http://schemas.microsoft.com/office/drawing/2014/main" id="{BD2F0B06-84CD-47EE-836F-08A07492970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05" name="Text Box 3">
          <a:extLst>
            <a:ext uri="{FF2B5EF4-FFF2-40B4-BE49-F238E27FC236}">
              <a16:creationId xmlns:a16="http://schemas.microsoft.com/office/drawing/2014/main" id="{DDFC79B5-5416-4BF1-B984-A1F9CF5B163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06" name="Text Box 1">
          <a:extLst>
            <a:ext uri="{FF2B5EF4-FFF2-40B4-BE49-F238E27FC236}">
              <a16:creationId xmlns:a16="http://schemas.microsoft.com/office/drawing/2014/main" id="{11128758-6C8D-474F-8754-FA4BBC3589D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07" name="Text Box 1">
          <a:extLst>
            <a:ext uri="{FF2B5EF4-FFF2-40B4-BE49-F238E27FC236}">
              <a16:creationId xmlns:a16="http://schemas.microsoft.com/office/drawing/2014/main" id="{259B0583-29C5-4B74-A8BE-8FC446D11EF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08" name="Text Box 3">
          <a:extLst>
            <a:ext uri="{FF2B5EF4-FFF2-40B4-BE49-F238E27FC236}">
              <a16:creationId xmlns:a16="http://schemas.microsoft.com/office/drawing/2014/main" id="{2E8D5069-C178-4F40-8A98-EAA900EE1C8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09" name="Text Box 1">
          <a:extLst>
            <a:ext uri="{FF2B5EF4-FFF2-40B4-BE49-F238E27FC236}">
              <a16:creationId xmlns:a16="http://schemas.microsoft.com/office/drawing/2014/main" id="{2A8EE9AF-23EC-4083-A5E2-3C5E74EC6CA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10" name="Text Box 3">
          <a:extLst>
            <a:ext uri="{FF2B5EF4-FFF2-40B4-BE49-F238E27FC236}">
              <a16:creationId xmlns:a16="http://schemas.microsoft.com/office/drawing/2014/main" id="{71AB6B5B-7EDB-4496-8AC2-FF2D304CF76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11" name="Text Box 1">
          <a:extLst>
            <a:ext uri="{FF2B5EF4-FFF2-40B4-BE49-F238E27FC236}">
              <a16:creationId xmlns:a16="http://schemas.microsoft.com/office/drawing/2014/main" id="{1F6E1EDD-8107-461D-BBCB-81D79B35DC6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12" name="Text Box 1">
          <a:extLst>
            <a:ext uri="{FF2B5EF4-FFF2-40B4-BE49-F238E27FC236}">
              <a16:creationId xmlns:a16="http://schemas.microsoft.com/office/drawing/2014/main" id="{24FEBBE3-F6B0-4306-9F88-F8D0E75C62B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13" name="Text Box 3">
          <a:extLst>
            <a:ext uri="{FF2B5EF4-FFF2-40B4-BE49-F238E27FC236}">
              <a16:creationId xmlns:a16="http://schemas.microsoft.com/office/drawing/2014/main" id="{29B1D103-539C-4F1E-B880-7D9B60F4A27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14" name="Text Box 1">
          <a:extLst>
            <a:ext uri="{FF2B5EF4-FFF2-40B4-BE49-F238E27FC236}">
              <a16:creationId xmlns:a16="http://schemas.microsoft.com/office/drawing/2014/main" id="{0C6A1FF6-D56F-4AE9-AFB7-A340F309AA8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15" name="Text Box 3">
          <a:extLst>
            <a:ext uri="{FF2B5EF4-FFF2-40B4-BE49-F238E27FC236}">
              <a16:creationId xmlns:a16="http://schemas.microsoft.com/office/drawing/2014/main" id="{295F7305-35B5-4CC6-92D6-5EC554E472F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16" name="Text Box 1">
          <a:extLst>
            <a:ext uri="{FF2B5EF4-FFF2-40B4-BE49-F238E27FC236}">
              <a16:creationId xmlns:a16="http://schemas.microsoft.com/office/drawing/2014/main" id="{F0531D09-4853-4FBF-96FD-43261CB07C3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17" name="Text Box 1">
          <a:extLst>
            <a:ext uri="{FF2B5EF4-FFF2-40B4-BE49-F238E27FC236}">
              <a16:creationId xmlns:a16="http://schemas.microsoft.com/office/drawing/2014/main" id="{4473AC70-232A-4E7D-B117-B0CCCBF8BA8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18" name="Text Box 3">
          <a:extLst>
            <a:ext uri="{FF2B5EF4-FFF2-40B4-BE49-F238E27FC236}">
              <a16:creationId xmlns:a16="http://schemas.microsoft.com/office/drawing/2014/main" id="{2135E2CA-751F-4254-ACEC-ADA09CD11DB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19" name="Text Box 1">
          <a:extLst>
            <a:ext uri="{FF2B5EF4-FFF2-40B4-BE49-F238E27FC236}">
              <a16:creationId xmlns:a16="http://schemas.microsoft.com/office/drawing/2014/main" id="{8A20CC0C-26F4-47E2-8BA7-9A929607857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20" name="Text Box 3">
          <a:extLst>
            <a:ext uri="{FF2B5EF4-FFF2-40B4-BE49-F238E27FC236}">
              <a16:creationId xmlns:a16="http://schemas.microsoft.com/office/drawing/2014/main" id="{2CC16496-220B-4567-B6D0-8CBE8945DF3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21" name="Text Box 1">
          <a:extLst>
            <a:ext uri="{FF2B5EF4-FFF2-40B4-BE49-F238E27FC236}">
              <a16:creationId xmlns:a16="http://schemas.microsoft.com/office/drawing/2014/main" id="{B853D86B-8DB3-4326-B908-57098C5C76F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22" name="Text Box 1">
          <a:extLst>
            <a:ext uri="{FF2B5EF4-FFF2-40B4-BE49-F238E27FC236}">
              <a16:creationId xmlns:a16="http://schemas.microsoft.com/office/drawing/2014/main" id="{1E10C21D-87E9-46E3-88E6-1E03B870531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23" name="Text Box 3">
          <a:extLst>
            <a:ext uri="{FF2B5EF4-FFF2-40B4-BE49-F238E27FC236}">
              <a16:creationId xmlns:a16="http://schemas.microsoft.com/office/drawing/2014/main" id="{362CE6D7-FAC2-4B6B-80D0-0BAECD4C728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24" name="Text Box 1">
          <a:extLst>
            <a:ext uri="{FF2B5EF4-FFF2-40B4-BE49-F238E27FC236}">
              <a16:creationId xmlns:a16="http://schemas.microsoft.com/office/drawing/2014/main" id="{E9C27D8A-E77D-403F-AE47-E5E347DA597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25" name="Text Box 3">
          <a:extLst>
            <a:ext uri="{FF2B5EF4-FFF2-40B4-BE49-F238E27FC236}">
              <a16:creationId xmlns:a16="http://schemas.microsoft.com/office/drawing/2014/main" id="{3D0129C4-959F-4C81-B190-E5A3174BAE9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26" name="Text Box 1">
          <a:extLst>
            <a:ext uri="{FF2B5EF4-FFF2-40B4-BE49-F238E27FC236}">
              <a16:creationId xmlns:a16="http://schemas.microsoft.com/office/drawing/2014/main" id="{794DF5BD-BC0F-43B4-876E-2E4B95C4BE2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27" name="Text Box 1">
          <a:extLst>
            <a:ext uri="{FF2B5EF4-FFF2-40B4-BE49-F238E27FC236}">
              <a16:creationId xmlns:a16="http://schemas.microsoft.com/office/drawing/2014/main" id="{0E31C56C-86D6-4F42-98DF-31B2E7CCAAA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28" name="Text Box 3">
          <a:extLst>
            <a:ext uri="{FF2B5EF4-FFF2-40B4-BE49-F238E27FC236}">
              <a16:creationId xmlns:a16="http://schemas.microsoft.com/office/drawing/2014/main" id="{91963530-9059-4F74-8823-0CED02D49EB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29" name="Text Box 1">
          <a:extLst>
            <a:ext uri="{FF2B5EF4-FFF2-40B4-BE49-F238E27FC236}">
              <a16:creationId xmlns:a16="http://schemas.microsoft.com/office/drawing/2014/main" id="{35C31F75-A396-4484-9D7A-D880758DDAE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30" name="Text Box 3">
          <a:extLst>
            <a:ext uri="{FF2B5EF4-FFF2-40B4-BE49-F238E27FC236}">
              <a16:creationId xmlns:a16="http://schemas.microsoft.com/office/drawing/2014/main" id="{2EF00379-378B-43DB-840A-F8AA0C67E69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31" name="Text Box 1">
          <a:extLst>
            <a:ext uri="{FF2B5EF4-FFF2-40B4-BE49-F238E27FC236}">
              <a16:creationId xmlns:a16="http://schemas.microsoft.com/office/drawing/2014/main" id="{B8F1A067-D754-4366-8BD6-327F4F1E804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32" name="Text Box 1">
          <a:extLst>
            <a:ext uri="{FF2B5EF4-FFF2-40B4-BE49-F238E27FC236}">
              <a16:creationId xmlns:a16="http://schemas.microsoft.com/office/drawing/2014/main" id="{EC5BEDBE-41A3-4C3B-9F25-E0D27AD79E0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33" name="Text Box 3">
          <a:extLst>
            <a:ext uri="{FF2B5EF4-FFF2-40B4-BE49-F238E27FC236}">
              <a16:creationId xmlns:a16="http://schemas.microsoft.com/office/drawing/2014/main" id="{0BA5E01B-1FD0-4DA8-A194-18EA4B10D1A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34" name="Text Box 1">
          <a:extLst>
            <a:ext uri="{FF2B5EF4-FFF2-40B4-BE49-F238E27FC236}">
              <a16:creationId xmlns:a16="http://schemas.microsoft.com/office/drawing/2014/main" id="{36AC1404-03BB-44F0-9C83-DFB3F355E44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35" name="Text Box 3">
          <a:extLst>
            <a:ext uri="{FF2B5EF4-FFF2-40B4-BE49-F238E27FC236}">
              <a16:creationId xmlns:a16="http://schemas.microsoft.com/office/drawing/2014/main" id="{1DA40BA2-2D9A-4507-BA08-7B5A671D562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36" name="Text Box 1">
          <a:extLst>
            <a:ext uri="{FF2B5EF4-FFF2-40B4-BE49-F238E27FC236}">
              <a16:creationId xmlns:a16="http://schemas.microsoft.com/office/drawing/2014/main" id="{0373E009-3ED8-4122-A85E-D1A37070F71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37" name="Text Box 1">
          <a:extLst>
            <a:ext uri="{FF2B5EF4-FFF2-40B4-BE49-F238E27FC236}">
              <a16:creationId xmlns:a16="http://schemas.microsoft.com/office/drawing/2014/main" id="{AE6B15AD-6BFB-48CE-B8A4-9B1D63C22D4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38" name="Text Box 3">
          <a:extLst>
            <a:ext uri="{FF2B5EF4-FFF2-40B4-BE49-F238E27FC236}">
              <a16:creationId xmlns:a16="http://schemas.microsoft.com/office/drawing/2014/main" id="{EA0BAD26-549C-4E44-AF71-E2034827216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39" name="Text Box 1">
          <a:extLst>
            <a:ext uri="{FF2B5EF4-FFF2-40B4-BE49-F238E27FC236}">
              <a16:creationId xmlns:a16="http://schemas.microsoft.com/office/drawing/2014/main" id="{69E45089-EE1E-48E0-95B2-878089FE105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40" name="Text Box 3">
          <a:extLst>
            <a:ext uri="{FF2B5EF4-FFF2-40B4-BE49-F238E27FC236}">
              <a16:creationId xmlns:a16="http://schemas.microsoft.com/office/drawing/2014/main" id="{6A56B186-8C0B-430D-A8ED-FE099C4FAF5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41" name="Text Box 1">
          <a:extLst>
            <a:ext uri="{FF2B5EF4-FFF2-40B4-BE49-F238E27FC236}">
              <a16:creationId xmlns:a16="http://schemas.microsoft.com/office/drawing/2014/main" id="{D3A3BA93-A0BF-4C81-9633-5B99F37E65F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42" name="Text Box 1">
          <a:extLst>
            <a:ext uri="{FF2B5EF4-FFF2-40B4-BE49-F238E27FC236}">
              <a16:creationId xmlns:a16="http://schemas.microsoft.com/office/drawing/2014/main" id="{A3653D55-6175-41CD-A3EB-6A5AB7BB90B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43" name="Text Box 3">
          <a:extLst>
            <a:ext uri="{FF2B5EF4-FFF2-40B4-BE49-F238E27FC236}">
              <a16:creationId xmlns:a16="http://schemas.microsoft.com/office/drawing/2014/main" id="{14129D58-BFB6-4652-8695-8159961F9DC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44" name="Text Box 1">
          <a:extLst>
            <a:ext uri="{FF2B5EF4-FFF2-40B4-BE49-F238E27FC236}">
              <a16:creationId xmlns:a16="http://schemas.microsoft.com/office/drawing/2014/main" id="{5DA60714-FB7A-46FF-9E4B-994471D6A13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45" name="Text Box 3">
          <a:extLst>
            <a:ext uri="{FF2B5EF4-FFF2-40B4-BE49-F238E27FC236}">
              <a16:creationId xmlns:a16="http://schemas.microsoft.com/office/drawing/2014/main" id="{C2978208-82E8-43F2-810B-C145B08B003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46" name="Text Box 1">
          <a:extLst>
            <a:ext uri="{FF2B5EF4-FFF2-40B4-BE49-F238E27FC236}">
              <a16:creationId xmlns:a16="http://schemas.microsoft.com/office/drawing/2014/main" id="{CD65A445-3797-4123-9C40-4AEFC1226E0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47" name="Text Box 1">
          <a:extLst>
            <a:ext uri="{FF2B5EF4-FFF2-40B4-BE49-F238E27FC236}">
              <a16:creationId xmlns:a16="http://schemas.microsoft.com/office/drawing/2014/main" id="{4E28F2C4-1970-42BB-82F5-EE6DDAB0D2E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48" name="Text Box 3">
          <a:extLst>
            <a:ext uri="{FF2B5EF4-FFF2-40B4-BE49-F238E27FC236}">
              <a16:creationId xmlns:a16="http://schemas.microsoft.com/office/drawing/2014/main" id="{E4ACADC1-E366-4199-A554-40A11431091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49" name="Text Box 1">
          <a:extLst>
            <a:ext uri="{FF2B5EF4-FFF2-40B4-BE49-F238E27FC236}">
              <a16:creationId xmlns:a16="http://schemas.microsoft.com/office/drawing/2014/main" id="{575A4D79-E5CD-4CCC-A8C1-9575E696D79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50" name="Text Box 3">
          <a:extLst>
            <a:ext uri="{FF2B5EF4-FFF2-40B4-BE49-F238E27FC236}">
              <a16:creationId xmlns:a16="http://schemas.microsoft.com/office/drawing/2014/main" id="{82530CDF-2D5C-44E2-83B5-5BCF5687FC5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51" name="Text Box 1">
          <a:extLst>
            <a:ext uri="{FF2B5EF4-FFF2-40B4-BE49-F238E27FC236}">
              <a16:creationId xmlns:a16="http://schemas.microsoft.com/office/drawing/2014/main" id="{86D8FA97-8C23-4257-95F1-0F98D6414BC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52" name="Text Box 1">
          <a:extLst>
            <a:ext uri="{FF2B5EF4-FFF2-40B4-BE49-F238E27FC236}">
              <a16:creationId xmlns:a16="http://schemas.microsoft.com/office/drawing/2014/main" id="{C0074A86-FAC7-4E29-B156-93BDEDD7EA3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53" name="Text Box 3">
          <a:extLst>
            <a:ext uri="{FF2B5EF4-FFF2-40B4-BE49-F238E27FC236}">
              <a16:creationId xmlns:a16="http://schemas.microsoft.com/office/drawing/2014/main" id="{4D2EEF6B-17EA-49AC-BD18-8ECCFCD4195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54" name="Text Box 1">
          <a:extLst>
            <a:ext uri="{FF2B5EF4-FFF2-40B4-BE49-F238E27FC236}">
              <a16:creationId xmlns:a16="http://schemas.microsoft.com/office/drawing/2014/main" id="{CD1C8040-68AF-47B3-A79D-107C4D4B913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55" name="Text Box 3">
          <a:extLst>
            <a:ext uri="{FF2B5EF4-FFF2-40B4-BE49-F238E27FC236}">
              <a16:creationId xmlns:a16="http://schemas.microsoft.com/office/drawing/2014/main" id="{1802D16A-517C-4C70-9B55-13E76030597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56" name="Text Box 1">
          <a:extLst>
            <a:ext uri="{FF2B5EF4-FFF2-40B4-BE49-F238E27FC236}">
              <a16:creationId xmlns:a16="http://schemas.microsoft.com/office/drawing/2014/main" id="{F0B57826-9C13-4EF0-98F5-5A4DA416A47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57" name="Text Box 1">
          <a:extLst>
            <a:ext uri="{FF2B5EF4-FFF2-40B4-BE49-F238E27FC236}">
              <a16:creationId xmlns:a16="http://schemas.microsoft.com/office/drawing/2014/main" id="{CECE8E93-9B0E-43F3-ADAD-3E635A9C74E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58" name="Text Box 3">
          <a:extLst>
            <a:ext uri="{FF2B5EF4-FFF2-40B4-BE49-F238E27FC236}">
              <a16:creationId xmlns:a16="http://schemas.microsoft.com/office/drawing/2014/main" id="{C2A4788D-2EBB-4E14-BC74-F5799B46EEA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59" name="Text Box 1">
          <a:extLst>
            <a:ext uri="{FF2B5EF4-FFF2-40B4-BE49-F238E27FC236}">
              <a16:creationId xmlns:a16="http://schemas.microsoft.com/office/drawing/2014/main" id="{CC6407CD-B827-4DCE-8D37-03C5FBFB72E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60" name="Text Box 3">
          <a:extLst>
            <a:ext uri="{FF2B5EF4-FFF2-40B4-BE49-F238E27FC236}">
              <a16:creationId xmlns:a16="http://schemas.microsoft.com/office/drawing/2014/main" id="{E5141ADD-6F61-416D-83AA-D10877F7C48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61" name="Text Box 1">
          <a:extLst>
            <a:ext uri="{FF2B5EF4-FFF2-40B4-BE49-F238E27FC236}">
              <a16:creationId xmlns:a16="http://schemas.microsoft.com/office/drawing/2014/main" id="{FF2A56F7-EEF4-40B9-8A76-2778559290E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62" name="Text Box 1">
          <a:extLst>
            <a:ext uri="{FF2B5EF4-FFF2-40B4-BE49-F238E27FC236}">
              <a16:creationId xmlns:a16="http://schemas.microsoft.com/office/drawing/2014/main" id="{031A5CC8-5A59-4D50-9ED4-41F5BD5578F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63" name="Text Box 3">
          <a:extLst>
            <a:ext uri="{FF2B5EF4-FFF2-40B4-BE49-F238E27FC236}">
              <a16:creationId xmlns:a16="http://schemas.microsoft.com/office/drawing/2014/main" id="{619214C1-8696-4D8F-8B71-C95501B41ED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64" name="Text Box 1">
          <a:extLst>
            <a:ext uri="{FF2B5EF4-FFF2-40B4-BE49-F238E27FC236}">
              <a16:creationId xmlns:a16="http://schemas.microsoft.com/office/drawing/2014/main" id="{B014D3F6-6AC9-4C79-9D57-2F78414A53D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65" name="Text Box 3">
          <a:extLst>
            <a:ext uri="{FF2B5EF4-FFF2-40B4-BE49-F238E27FC236}">
              <a16:creationId xmlns:a16="http://schemas.microsoft.com/office/drawing/2014/main" id="{6300C0A8-0866-4F51-AF98-8E0958CF8EF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66" name="Text Box 1">
          <a:extLst>
            <a:ext uri="{FF2B5EF4-FFF2-40B4-BE49-F238E27FC236}">
              <a16:creationId xmlns:a16="http://schemas.microsoft.com/office/drawing/2014/main" id="{7788D48D-E18C-4231-8D1D-4020A639B8F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67" name="Text Box 1">
          <a:extLst>
            <a:ext uri="{FF2B5EF4-FFF2-40B4-BE49-F238E27FC236}">
              <a16:creationId xmlns:a16="http://schemas.microsoft.com/office/drawing/2014/main" id="{5C38DD39-0D36-407A-9B2D-5782865773D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68" name="Text Box 3">
          <a:extLst>
            <a:ext uri="{FF2B5EF4-FFF2-40B4-BE49-F238E27FC236}">
              <a16:creationId xmlns:a16="http://schemas.microsoft.com/office/drawing/2014/main" id="{40ACC591-9F5D-4E71-BF24-BBBE1E6B774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69" name="Text Box 1">
          <a:extLst>
            <a:ext uri="{FF2B5EF4-FFF2-40B4-BE49-F238E27FC236}">
              <a16:creationId xmlns:a16="http://schemas.microsoft.com/office/drawing/2014/main" id="{014FEB5F-B75C-460F-AC67-6A3FF14633A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70" name="Text Box 3">
          <a:extLst>
            <a:ext uri="{FF2B5EF4-FFF2-40B4-BE49-F238E27FC236}">
              <a16:creationId xmlns:a16="http://schemas.microsoft.com/office/drawing/2014/main" id="{F7396938-4972-4156-8C66-DF3E416CFA0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71" name="Text Box 1">
          <a:extLst>
            <a:ext uri="{FF2B5EF4-FFF2-40B4-BE49-F238E27FC236}">
              <a16:creationId xmlns:a16="http://schemas.microsoft.com/office/drawing/2014/main" id="{F7190DAC-8BCE-418C-BE3E-7F2CCB474DD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72" name="Text Box 1">
          <a:extLst>
            <a:ext uri="{FF2B5EF4-FFF2-40B4-BE49-F238E27FC236}">
              <a16:creationId xmlns:a16="http://schemas.microsoft.com/office/drawing/2014/main" id="{88643307-6418-4643-92C2-8A416BEA00A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73" name="Text Box 3">
          <a:extLst>
            <a:ext uri="{FF2B5EF4-FFF2-40B4-BE49-F238E27FC236}">
              <a16:creationId xmlns:a16="http://schemas.microsoft.com/office/drawing/2014/main" id="{551E4C1D-23EA-4A9C-8792-2177D8208D0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74" name="Text Box 1">
          <a:extLst>
            <a:ext uri="{FF2B5EF4-FFF2-40B4-BE49-F238E27FC236}">
              <a16:creationId xmlns:a16="http://schemas.microsoft.com/office/drawing/2014/main" id="{DB689CEF-9774-4408-BD13-69E976DDE27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75" name="Text Box 3">
          <a:extLst>
            <a:ext uri="{FF2B5EF4-FFF2-40B4-BE49-F238E27FC236}">
              <a16:creationId xmlns:a16="http://schemas.microsoft.com/office/drawing/2014/main" id="{4D8C1493-96DB-4734-8E7D-12DE4434E5F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76" name="Text Box 1">
          <a:extLst>
            <a:ext uri="{FF2B5EF4-FFF2-40B4-BE49-F238E27FC236}">
              <a16:creationId xmlns:a16="http://schemas.microsoft.com/office/drawing/2014/main" id="{B7FDDA6D-D93F-440B-9611-AFCE0F07AC1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77" name="Text Box 1">
          <a:extLst>
            <a:ext uri="{FF2B5EF4-FFF2-40B4-BE49-F238E27FC236}">
              <a16:creationId xmlns:a16="http://schemas.microsoft.com/office/drawing/2014/main" id="{373D8DE5-90BE-4665-B54D-47C19F66257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78" name="Text Box 3">
          <a:extLst>
            <a:ext uri="{FF2B5EF4-FFF2-40B4-BE49-F238E27FC236}">
              <a16:creationId xmlns:a16="http://schemas.microsoft.com/office/drawing/2014/main" id="{D08449B0-64B2-4B34-8DCC-270903B85D5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79" name="Text Box 1">
          <a:extLst>
            <a:ext uri="{FF2B5EF4-FFF2-40B4-BE49-F238E27FC236}">
              <a16:creationId xmlns:a16="http://schemas.microsoft.com/office/drawing/2014/main" id="{DF768489-BF73-4F34-9C81-8E162F0427F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80" name="Text Box 3">
          <a:extLst>
            <a:ext uri="{FF2B5EF4-FFF2-40B4-BE49-F238E27FC236}">
              <a16:creationId xmlns:a16="http://schemas.microsoft.com/office/drawing/2014/main" id="{5ACD87C3-5B36-4284-8E67-C7F5DAC67F9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81" name="Text Box 1">
          <a:extLst>
            <a:ext uri="{FF2B5EF4-FFF2-40B4-BE49-F238E27FC236}">
              <a16:creationId xmlns:a16="http://schemas.microsoft.com/office/drawing/2014/main" id="{A01C9959-716E-46A9-8595-2B6E3569FCA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82" name="Text Box 1">
          <a:extLst>
            <a:ext uri="{FF2B5EF4-FFF2-40B4-BE49-F238E27FC236}">
              <a16:creationId xmlns:a16="http://schemas.microsoft.com/office/drawing/2014/main" id="{068537C8-5540-494E-A97C-FE794616A97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83" name="Text Box 3">
          <a:extLst>
            <a:ext uri="{FF2B5EF4-FFF2-40B4-BE49-F238E27FC236}">
              <a16:creationId xmlns:a16="http://schemas.microsoft.com/office/drawing/2014/main" id="{6D201485-CE25-450C-9E8F-2C4F3AD6E1A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84" name="Text Box 1">
          <a:extLst>
            <a:ext uri="{FF2B5EF4-FFF2-40B4-BE49-F238E27FC236}">
              <a16:creationId xmlns:a16="http://schemas.microsoft.com/office/drawing/2014/main" id="{5E08485E-A90F-4F55-B1A7-E7DBE94DD50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85" name="Text Box 3">
          <a:extLst>
            <a:ext uri="{FF2B5EF4-FFF2-40B4-BE49-F238E27FC236}">
              <a16:creationId xmlns:a16="http://schemas.microsoft.com/office/drawing/2014/main" id="{417736BF-0554-4390-9196-C3FE9821AE3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86" name="Text Box 1">
          <a:extLst>
            <a:ext uri="{FF2B5EF4-FFF2-40B4-BE49-F238E27FC236}">
              <a16:creationId xmlns:a16="http://schemas.microsoft.com/office/drawing/2014/main" id="{8ED38630-416A-4D3B-A47D-2C9BA518540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87" name="Text Box 1">
          <a:extLst>
            <a:ext uri="{FF2B5EF4-FFF2-40B4-BE49-F238E27FC236}">
              <a16:creationId xmlns:a16="http://schemas.microsoft.com/office/drawing/2014/main" id="{72146D1C-9C80-437D-8F34-5359581ED30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88" name="Text Box 3">
          <a:extLst>
            <a:ext uri="{FF2B5EF4-FFF2-40B4-BE49-F238E27FC236}">
              <a16:creationId xmlns:a16="http://schemas.microsoft.com/office/drawing/2014/main" id="{BA5E501F-4FF2-4D5E-B833-3C47B27557B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89" name="Text Box 1">
          <a:extLst>
            <a:ext uri="{FF2B5EF4-FFF2-40B4-BE49-F238E27FC236}">
              <a16:creationId xmlns:a16="http://schemas.microsoft.com/office/drawing/2014/main" id="{6080CA83-2D19-4AE8-9699-1F82E3CCE8E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90" name="Text Box 3">
          <a:extLst>
            <a:ext uri="{FF2B5EF4-FFF2-40B4-BE49-F238E27FC236}">
              <a16:creationId xmlns:a16="http://schemas.microsoft.com/office/drawing/2014/main" id="{164937F6-FC0E-493C-AEFE-C10E476AC7D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91" name="Text Box 1">
          <a:extLst>
            <a:ext uri="{FF2B5EF4-FFF2-40B4-BE49-F238E27FC236}">
              <a16:creationId xmlns:a16="http://schemas.microsoft.com/office/drawing/2014/main" id="{BF61EC0E-E22E-42AD-9B48-4B0EF6E16A0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92" name="Text Box 1">
          <a:extLst>
            <a:ext uri="{FF2B5EF4-FFF2-40B4-BE49-F238E27FC236}">
              <a16:creationId xmlns:a16="http://schemas.microsoft.com/office/drawing/2014/main" id="{A8C7712B-EEA4-4719-9BFE-1AD1E7D70EE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93" name="Text Box 3">
          <a:extLst>
            <a:ext uri="{FF2B5EF4-FFF2-40B4-BE49-F238E27FC236}">
              <a16:creationId xmlns:a16="http://schemas.microsoft.com/office/drawing/2014/main" id="{1740FF25-0AFD-46DA-9EE5-8DEA8862095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94" name="Text Box 1">
          <a:extLst>
            <a:ext uri="{FF2B5EF4-FFF2-40B4-BE49-F238E27FC236}">
              <a16:creationId xmlns:a16="http://schemas.microsoft.com/office/drawing/2014/main" id="{357F2BC2-AFEF-4CD6-9EDA-BBBD3EA7665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95" name="Text Box 3">
          <a:extLst>
            <a:ext uri="{FF2B5EF4-FFF2-40B4-BE49-F238E27FC236}">
              <a16:creationId xmlns:a16="http://schemas.microsoft.com/office/drawing/2014/main" id="{977A57BA-B5EA-488C-9193-5B70FFB92BE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96" name="Text Box 1">
          <a:extLst>
            <a:ext uri="{FF2B5EF4-FFF2-40B4-BE49-F238E27FC236}">
              <a16:creationId xmlns:a16="http://schemas.microsoft.com/office/drawing/2014/main" id="{89EEBDCF-E1AD-4B35-B150-1CEB4AAB814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97" name="Text Box 1">
          <a:extLst>
            <a:ext uri="{FF2B5EF4-FFF2-40B4-BE49-F238E27FC236}">
              <a16:creationId xmlns:a16="http://schemas.microsoft.com/office/drawing/2014/main" id="{ADA166DC-10F6-4BF5-B0BC-E22B7424258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98" name="Text Box 3">
          <a:extLst>
            <a:ext uri="{FF2B5EF4-FFF2-40B4-BE49-F238E27FC236}">
              <a16:creationId xmlns:a16="http://schemas.microsoft.com/office/drawing/2014/main" id="{6ABE0440-420B-4276-9BC7-2037D7E0666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99" name="Text Box 1">
          <a:extLst>
            <a:ext uri="{FF2B5EF4-FFF2-40B4-BE49-F238E27FC236}">
              <a16:creationId xmlns:a16="http://schemas.microsoft.com/office/drawing/2014/main" id="{DF767A72-6B14-467F-98CE-DBDD116E550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00" name="Text Box 3">
          <a:extLst>
            <a:ext uri="{FF2B5EF4-FFF2-40B4-BE49-F238E27FC236}">
              <a16:creationId xmlns:a16="http://schemas.microsoft.com/office/drawing/2014/main" id="{464DEAD4-ADB6-40C5-A66F-634ADFC424C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01" name="Text Box 1">
          <a:extLst>
            <a:ext uri="{FF2B5EF4-FFF2-40B4-BE49-F238E27FC236}">
              <a16:creationId xmlns:a16="http://schemas.microsoft.com/office/drawing/2014/main" id="{6FCE7EFD-D80D-44AD-8338-205FF988508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02" name="Text Box 1">
          <a:extLst>
            <a:ext uri="{FF2B5EF4-FFF2-40B4-BE49-F238E27FC236}">
              <a16:creationId xmlns:a16="http://schemas.microsoft.com/office/drawing/2014/main" id="{7F42294D-2443-425D-A414-099CB193FCB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03" name="Text Box 3">
          <a:extLst>
            <a:ext uri="{FF2B5EF4-FFF2-40B4-BE49-F238E27FC236}">
              <a16:creationId xmlns:a16="http://schemas.microsoft.com/office/drawing/2014/main" id="{950C11A6-D5FB-4C91-B4D2-2C29D2356AA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04" name="Text Box 1">
          <a:extLst>
            <a:ext uri="{FF2B5EF4-FFF2-40B4-BE49-F238E27FC236}">
              <a16:creationId xmlns:a16="http://schemas.microsoft.com/office/drawing/2014/main" id="{5D4F5F1F-526C-457E-886E-7F192BEAA9D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05" name="Text Box 3">
          <a:extLst>
            <a:ext uri="{FF2B5EF4-FFF2-40B4-BE49-F238E27FC236}">
              <a16:creationId xmlns:a16="http://schemas.microsoft.com/office/drawing/2014/main" id="{6D168038-FF3F-499B-B115-640BAFF0443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06" name="Text Box 1">
          <a:extLst>
            <a:ext uri="{FF2B5EF4-FFF2-40B4-BE49-F238E27FC236}">
              <a16:creationId xmlns:a16="http://schemas.microsoft.com/office/drawing/2014/main" id="{07ACBF21-24B7-41C2-9BD3-6C96B58F48C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07" name="Text Box 1">
          <a:extLst>
            <a:ext uri="{FF2B5EF4-FFF2-40B4-BE49-F238E27FC236}">
              <a16:creationId xmlns:a16="http://schemas.microsoft.com/office/drawing/2014/main" id="{1D63ACD1-1269-4262-BAEA-799D9AE6168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08" name="Text Box 3">
          <a:extLst>
            <a:ext uri="{FF2B5EF4-FFF2-40B4-BE49-F238E27FC236}">
              <a16:creationId xmlns:a16="http://schemas.microsoft.com/office/drawing/2014/main" id="{65915E80-0ACB-4A3F-A60B-914E675A681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09" name="Text Box 1">
          <a:extLst>
            <a:ext uri="{FF2B5EF4-FFF2-40B4-BE49-F238E27FC236}">
              <a16:creationId xmlns:a16="http://schemas.microsoft.com/office/drawing/2014/main" id="{DCA4F6ED-FFB0-46CD-B3EE-C0BC1F9112F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10" name="Text Box 3">
          <a:extLst>
            <a:ext uri="{FF2B5EF4-FFF2-40B4-BE49-F238E27FC236}">
              <a16:creationId xmlns:a16="http://schemas.microsoft.com/office/drawing/2014/main" id="{E65A0B99-5BDB-4F58-9E01-432E948E4E0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11" name="Text Box 1">
          <a:extLst>
            <a:ext uri="{FF2B5EF4-FFF2-40B4-BE49-F238E27FC236}">
              <a16:creationId xmlns:a16="http://schemas.microsoft.com/office/drawing/2014/main" id="{8305C4EA-C21D-48EE-B7BC-3D4F6A2440E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12" name="Text Box 1">
          <a:extLst>
            <a:ext uri="{FF2B5EF4-FFF2-40B4-BE49-F238E27FC236}">
              <a16:creationId xmlns:a16="http://schemas.microsoft.com/office/drawing/2014/main" id="{E43F249A-622C-4D7F-9AAD-B77377FBBFF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13" name="Text Box 3">
          <a:extLst>
            <a:ext uri="{FF2B5EF4-FFF2-40B4-BE49-F238E27FC236}">
              <a16:creationId xmlns:a16="http://schemas.microsoft.com/office/drawing/2014/main" id="{15527706-EA0B-4660-8D0E-74EC48EFD81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14" name="Text Box 1">
          <a:extLst>
            <a:ext uri="{FF2B5EF4-FFF2-40B4-BE49-F238E27FC236}">
              <a16:creationId xmlns:a16="http://schemas.microsoft.com/office/drawing/2014/main" id="{67B9C891-99B5-4F20-94FD-0FF418D8B35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15" name="Text Box 3">
          <a:extLst>
            <a:ext uri="{FF2B5EF4-FFF2-40B4-BE49-F238E27FC236}">
              <a16:creationId xmlns:a16="http://schemas.microsoft.com/office/drawing/2014/main" id="{30583272-86F1-4CD5-9471-6238C23D70B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16" name="Text Box 1">
          <a:extLst>
            <a:ext uri="{FF2B5EF4-FFF2-40B4-BE49-F238E27FC236}">
              <a16:creationId xmlns:a16="http://schemas.microsoft.com/office/drawing/2014/main" id="{015172D6-690F-40CB-91B2-0FDC6F0AB16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17" name="Text Box 1">
          <a:extLst>
            <a:ext uri="{FF2B5EF4-FFF2-40B4-BE49-F238E27FC236}">
              <a16:creationId xmlns:a16="http://schemas.microsoft.com/office/drawing/2014/main" id="{094986BE-3B09-4921-98F0-3565D0AC644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18" name="Text Box 3">
          <a:extLst>
            <a:ext uri="{FF2B5EF4-FFF2-40B4-BE49-F238E27FC236}">
              <a16:creationId xmlns:a16="http://schemas.microsoft.com/office/drawing/2014/main" id="{EB203B28-8240-4E3D-80A1-653100BB529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19" name="Text Box 1">
          <a:extLst>
            <a:ext uri="{FF2B5EF4-FFF2-40B4-BE49-F238E27FC236}">
              <a16:creationId xmlns:a16="http://schemas.microsoft.com/office/drawing/2014/main" id="{2F9E42C7-34F9-4BC2-B886-18AE3971A31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20" name="Text Box 3">
          <a:extLst>
            <a:ext uri="{FF2B5EF4-FFF2-40B4-BE49-F238E27FC236}">
              <a16:creationId xmlns:a16="http://schemas.microsoft.com/office/drawing/2014/main" id="{D30C7EF8-88BD-423A-981F-EBF23EBA508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21" name="Text Box 1">
          <a:extLst>
            <a:ext uri="{FF2B5EF4-FFF2-40B4-BE49-F238E27FC236}">
              <a16:creationId xmlns:a16="http://schemas.microsoft.com/office/drawing/2014/main" id="{FC72EB51-C7B0-456D-B3F7-AAE45CE6C2C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22" name="Text Box 1">
          <a:extLst>
            <a:ext uri="{FF2B5EF4-FFF2-40B4-BE49-F238E27FC236}">
              <a16:creationId xmlns:a16="http://schemas.microsoft.com/office/drawing/2014/main" id="{C4727149-2117-4050-A831-D33F6D43DE3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23" name="Text Box 3">
          <a:extLst>
            <a:ext uri="{FF2B5EF4-FFF2-40B4-BE49-F238E27FC236}">
              <a16:creationId xmlns:a16="http://schemas.microsoft.com/office/drawing/2014/main" id="{FCEC7F55-3B17-41EF-855D-D426827180A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24" name="Text Box 1">
          <a:extLst>
            <a:ext uri="{FF2B5EF4-FFF2-40B4-BE49-F238E27FC236}">
              <a16:creationId xmlns:a16="http://schemas.microsoft.com/office/drawing/2014/main" id="{9A318B72-FE2B-4053-B22D-8D64CAC044E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25" name="Text Box 3">
          <a:extLst>
            <a:ext uri="{FF2B5EF4-FFF2-40B4-BE49-F238E27FC236}">
              <a16:creationId xmlns:a16="http://schemas.microsoft.com/office/drawing/2014/main" id="{9FDF6720-55D9-4CE4-9255-623ED36B600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26" name="Text Box 1">
          <a:extLst>
            <a:ext uri="{FF2B5EF4-FFF2-40B4-BE49-F238E27FC236}">
              <a16:creationId xmlns:a16="http://schemas.microsoft.com/office/drawing/2014/main" id="{CC0AF35B-855A-4A15-9C79-D5AE3998B48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27" name="Text Box 1">
          <a:extLst>
            <a:ext uri="{FF2B5EF4-FFF2-40B4-BE49-F238E27FC236}">
              <a16:creationId xmlns:a16="http://schemas.microsoft.com/office/drawing/2014/main" id="{DBAE8C09-2623-422D-9648-F7DA11C01BD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28" name="Text Box 3">
          <a:extLst>
            <a:ext uri="{FF2B5EF4-FFF2-40B4-BE49-F238E27FC236}">
              <a16:creationId xmlns:a16="http://schemas.microsoft.com/office/drawing/2014/main" id="{2C34C1FB-37AA-4EDA-9220-C99ED967D75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29" name="Text Box 1">
          <a:extLst>
            <a:ext uri="{FF2B5EF4-FFF2-40B4-BE49-F238E27FC236}">
              <a16:creationId xmlns:a16="http://schemas.microsoft.com/office/drawing/2014/main" id="{4A7D1FB5-F7B3-49D1-81E6-2328B0ACFDB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30" name="Text Box 3">
          <a:extLst>
            <a:ext uri="{FF2B5EF4-FFF2-40B4-BE49-F238E27FC236}">
              <a16:creationId xmlns:a16="http://schemas.microsoft.com/office/drawing/2014/main" id="{3CEA28B0-4173-461C-9FDB-F7CB92C233B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31" name="Text Box 1">
          <a:extLst>
            <a:ext uri="{FF2B5EF4-FFF2-40B4-BE49-F238E27FC236}">
              <a16:creationId xmlns:a16="http://schemas.microsoft.com/office/drawing/2014/main" id="{21D302B3-B9AF-43EE-A144-02BC0CB21A9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32" name="Text Box 1">
          <a:extLst>
            <a:ext uri="{FF2B5EF4-FFF2-40B4-BE49-F238E27FC236}">
              <a16:creationId xmlns:a16="http://schemas.microsoft.com/office/drawing/2014/main" id="{AE4CD2A9-17D5-4249-B878-48787ECC4A8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33" name="Text Box 3">
          <a:extLst>
            <a:ext uri="{FF2B5EF4-FFF2-40B4-BE49-F238E27FC236}">
              <a16:creationId xmlns:a16="http://schemas.microsoft.com/office/drawing/2014/main" id="{808F493C-5749-4B6D-B302-9DB711AE095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34" name="Text Box 1">
          <a:extLst>
            <a:ext uri="{FF2B5EF4-FFF2-40B4-BE49-F238E27FC236}">
              <a16:creationId xmlns:a16="http://schemas.microsoft.com/office/drawing/2014/main" id="{AD26D7F7-4F8E-4A42-922E-155A4CF88FA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35" name="Text Box 3">
          <a:extLst>
            <a:ext uri="{FF2B5EF4-FFF2-40B4-BE49-F238E27FC236}">
              <a16:creationId xmlns:a16="http://schemas.microsoft.com/office/drawing/2014/main" id="{EBF95A66-54D6-46E0-A798-F321BD68B1E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36" name="Text Box 1">
          <a:extLst>
            <a:ext uri="{FF2B5EF4-FFF2-40B4-BE49-F238E27FC236}">
              <a16:creationId xmlns:a16="http://schemas.microsoft.com/office/drawing/2014/main" id="{8F6172F9-167F-4797-A56C-72A38513B4D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37" name="Text Box 1">
          <a:extLst>
            <a:ext uri="{FF2B5EF4-FFF2-40B4-BE49-F238E27FC236}">
              <a16:creationId xmlns:a16="http://schemas.microsoft.com/office/drawing/2014/main" id="{9C3EA235-728F-4D17-BCCA-50652613B89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38" name="Text Box 3">
          <a:extLst>
            <a:ext uri="{FF2B5EF4-FFF2-40B4-BE49-F238E27FC236}">
              <a16:creationId xmlns:a16="http://schemas.microsoft.com/office/drawing/2014/main" id="{055EA87D-AFD4-462D-9A1F-C2EEC62C3D7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39" name="Text Box 1">
          <a:extLst>
            <a:ext uri="{FF2B5EF4-FFF2-40B4-BE49-F238E27FC236}">
              <a16:creationId xmlns:a16="http://schemas.microsoft.com/office/drawing/2014/main" id="{C5E80635-38A6-41E2-A9F7-96607B11C54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40" name="Text Box 3">
          <a:extLst>
            <a:ext uri="{FF2B5EF4-FFF2-40B4-BE49-F238E27FC236}">
              <a16:creationId xmlns:a16="http://schemas.microsoft.com/office/drawing/2014/main" id="{B6E001D8-E3EE-49E8-A9DF-F946E03649D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41" name="Text Box 1">
          <a:extLst>
            <a:ext uri="{FF2B5EF4-FFF2-40B4-BE49-F238E27FC236}">
              <a16:creationId xmlns:a16="http://schemas.microsoft.com/office/drawing/2014/main" id="{DF3E9818-EED5-4E1A-B39C-6A61506ED79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42" name="Text Box 1">
          <a:extLst>
            <a:ext uri="{FF2B5EF4-FFF2-40B4-BE49-F238E27FC236}">
              <a16:creationId xmlns:a16="http://schemas.microsoft.com/office/drawing/2014/main" id="{B81298BC-FDC6-46F5-80B2-F66180FB1FD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43" name="Text Box 3">
          <a:extLst>
            <a:ext uri="{FF2B5EF4-FFF2-40B4-BE49-F238E27FC236}">
              <a16:creationId xmlns:a16="http://schemas.microsoft.com/office/drawing/2014/main" id="{0CB119B3-0D7D-446F-A738-F106ED0CEBD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44" name="Text Box 1">
          <a:extLst>
            <a:ext uri="{FF2B5EF4-FFF2-40B4-BE49-F238E27FC236}">
              <a16:creationId xmlns:a16="http://schemas.microsoft.com/office/drawing/2014/main" id="{E05DC24A-A342-4921-BBD3-B05D5A4F926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45" name="Text Box 3">
          <a:extLst>
            <a:ext uri="{FF2B5EF4-FFF2-40B4-BE49-F238E27FC236}">
              <a16:creationId xmlns:a16="http://schemas.microsoft.com/office/drawing/2014/main" id="{24B143E0-0016-4F8D-9077-33A226FF88C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46" name="Text Box 1">
          <a:extLst>
            <a:ext uri="{FF2B5EF4-FFF2-40B4-BE49-F238E27FC236}">
              <a16:creationId xmlns:a16="http://schemas.microsoft.com/office/drawing/2014/main" id="{A47D1E34-5077-4382-A5F6-76BF64C05EF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47" name="Text Box 1">
          <a:extLst>
            <a:ext uri="{FF2B5EF4-FFF2-40B4-BE49-F238E27FC236}">
              <a16:creationId xmlns:a16="http://schemas.microsoft.com/office/drawing/2014/main" id="{FA2B3172-CB2D-43CD-A2EA-DB0E061C80F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48" name="Text Box 3">
          <a:extLst>
            <a:ext uri="{FF2B5EF4-FFF2-40B4-BE49-F238E27FC236}">
              <a16:creationId xmlns:a16="http://schemas.microsoft.com/office/drawing/2014/main" id="{B3D10313-D4A6-41F1-912C-DA4EC9586CD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49" name="Text Box 1">
          <a:extLst>
            <a:ext uri="{FF2B5EF4-FFF2-40B4-BE49-F238E27FC236}">
              <a16:creationId xmlns:a16="http://schemas.microsoft.com/office/drawing/2014/main" id="{5806EC77-E1F7-41A5-9C50-CDED7B79C45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50" name="Text Box 3">
          <a:extLst>
            <a:ext uri="{FF2B5EF4-FFF2-40B4-BE49-F238E27FC236}">
              <a16:creationId xmlns:a16="http://schemas.microsoft.com/office/drawing/2014/main" id="{BC7DF918-E0FB-4AD1-BFFE-6314A565AEB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51" name="Text Box 1">
          <a:extLst>
            <a:ext uri="{FF2B5EF4-FFF2-40B4-BE49-F238E27FC236}">
              <a16:creationId xmlns:a16="http://schemas.microsoft.com/office/drawing/2014/main" id="{F67CC873-FB3D-4D6D-B66D-106D96E9948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52" name="Text Box 1">
          <a:extLst>
            <a:ext uri="{FF2B5EF4-FFF2-40B4-BE49-F238E27FC236}">
              <a16:creationId xmlns:a16="http://schemas.microsoft.com/office/drawing/2014/main" id="{65A740A7-0F50-4756-988C-09A71F0C2DE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53" name="Text Box 3">
          <a:extLst>
            <a:ext uri="{FF2B5EF4-FFF2-40B4-BE49-F238E27FC236}">
              <a16:creationId xmlns:a16="http://schemas.microsoft.com/office/drawing/2014/main" id="{7AB8180A-4C7B-4577-ACB5-35CF4793001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54" name="Text Box 1">
          <a:extLst>
            <a:ext uri="{FF2B5EF4-FFF2-40B4-BE49-F238E27FC236}">
              <a16:creationId xmlns:a16="http://schemas.microsoft.com/office/drawing/2014/main" id="{31EE166C-625D-4804-8588-36D36ECB692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55" name="Text Box 3">
          <a:extLst>
            <a:ext uri="{FF2B5EF4-FFF2-40B4-BE49-F238E27FC236}">
              <a16:creationId xmlns:a16="http://schemas.microsoft.com/office/drawing/2014/main" id="{987F25B6-914B-41A2-9306-16E54EE8399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56" name="Text Box 1">
          <a:extLst>
            <a:ext uri="{FF2B5EF4-FFF2-40B4-BE49-F238E27FC236}">
              <a16:creationId xmlns:a16="http://schemas.microsoft.com/office/drawing/2014/main" id="{50D9BD79-1939-4B25-A2C1-BD1C09ADE70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57" name="Text Box 1">
          <a:extLst>
            <a:ext uri="{FF2B5EF4-FFF2-40B4-BE49-F238E27FC236}">
              <a16:creationId xmlns:a16="http://schemas.microsoft.com/office/drawing/2014/main" id="{9082CCE0-D6C9-43F6-BBDA-A6F0F2DCABE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58" name="Text Box 3">
          <a:extLst>
            <a:ext uri="{FF2B5EF4-FFF2-40B4-BE49-F238E27FC236}">
              <a16:creationId xmlns:a16="http://schemas.microsoft.com/office/drawing/2014/main" id="{0095DEB0-8BAA-481A-8B38-7ED8145D361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59" name="Text Box 1">
          <a:extLst>
            <a:ext uri="{FF2B5EF4-FFF2-40B4-BE49-F238E27FC236}">
              <a16:creationId xmlns:a16="http://schemas.microsoft.com/office/drawing/2014/main" id="{1BAAF9E2-D337-470C-88EC-327537AC042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60" name="Text Box 3">
          <a:extLst>
            <a:ext uri="{FF2B5EF4-FFF2-40B4-BE49-F238E27FC236}">
              <a16:creationId xmlns:a16="http://schemas.microsoft.com/office/drawing/2014/main" id="{D1D32437-BDA9-4734-A988-5644EA0C696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61" name="Text Box 1">
          <a:extLst>
            <a:ext uri="{FF2B5EF4-FFF2-40B4-BE49-F238E27FC236}">
              <a16:creationId xmlns:a16="http://schemas.microsoft.com/office/drawing/2014/main" id="{C44F60F7-8D43-455B-9AF6-07AFF486A46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62" name="Text Box 1">
          <a:extLst>
            <a:ext uri="{FF2B5EF4-FFF2-40B4-BE49-F238E27FC236}">
              <a16:creationId xmlns:a16="http://schemas.microsoft.com/office/drawing/2014/main" id="{C889D0BB-CCC1-4232-8C8A-AFF3DB8199D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63" name="Text Box 3">
          <a:extLst>
            <a:ext uri="{FF2B5EF4-FFF2-40B4-BE49-F238E27FC236}">
              <a16:creationId xmlns:a16="http://schemas.microsoft.com/office/drawing/2014/main" id="{6693130A-5436-4833-B1FE-138B7D6F938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64" name="Text Box 1">
          <a:extLst>
            <a:ext uri="{FF2B5EF4-FFF2-40B4-BE49-F238E27FC236}">
              <a16:creationId xmlns:a16="http://schemas.microsoft.com/office/drawing/2014/main" id="{4BD0D61E-FF12-420D-BB60-4554A507AB3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65" name="Text Box 3">
          <a:extLst>
            <a:ext uri="{FF2B5EF4-FFF2-40B4-BE49-F238E27FC236}">
              <a16:creationId xmlns:a16="http://schemas.microsoft.com/office/drawing/2014/main" id="{DBAC90AD-FE7F-4EB5-BDA4-95A56BF2F0D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66" name="Text Box 1">
          <a:extLst>
            <a:ext uri="{FF2B5EF4-FFF2-40B4-BE49-F238E27FC236}">
              <a16:creationId xmlns:a16="http://schemas.microsoft.com/office/drawing/2014/main" id="{6E2D9F0C-FC08-4851-91BD-F24A36C3C40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67" name="Text Box 1">
          <a:extLst>
            <a:ext uri="{FF2B5EF4-FFF2-40B4-BE49-F238E27FC236}">
              <a16:creationId xmlns:a16="http://schemas.microsoft.com/office/drawing/2014/main" id="{D8E62798-243A-4E84-9B0B-F2FC2494C4C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68" name="Text Box 3">
          <a:extLst>
            <a:ext uri="{FF2B5EF4-FFF2-40B4-BE49-F238E27FC236}">
              <a16:creationId xmlns:a16="http://schemas.microsoft.com/office/drawing/2014/main" id="{FA8A784D-C38F-4A5A-89A2-60B1EC6BF38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69" name="Text Box 1">
          <a:extLst>
            <a:ext uri="{FF2B5EF4-FFF2-40B4-BE49-F238E27FC236}">
              <a16:creationId xmlns:a16="http://schemas.microsoft.com/office/drawing/2014/main" id="{23FB5BDF-9C10-44F4-9113-BC4171F42C6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70" name="Text Box 3">
          <a:extLst>
            <a:ext uri="{FF2B5EF4-FFF2-40B4-BE49-F238E27FC236}">
              <a16:creationId xmlns:a16="http://schemas.microsoft.com/office/drawing/2014/main" id="{F048E99A-3E5A-40ED-9DB2-D46C36A2562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71" name="Text Box 1">
          <a:extLst>
            <a:ext uri="{FF2B5EF4-FFF2-40B4-BE49-F238E27FC236}">
              <a16:creationId xmlns:a16="http://schemas.microsoft.com/office/drawing/2014/main" id="{0933F9B0-F141-4E4E-9EFE-7CD93C77449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72" name="Text Box 1">
          <a:extLst>
            <a:ext uri="{FF2B5EF4-FFF2-40B4-BE49-F238E27FC236}">
              <a16:creationId xmlns:a16="http://schemas.microsoft.com/office/drawing/2014/main" id="{18B62636-6A44-49F2-A999-889D971B3B6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73" name="Text Box 3">
          <a:extLst>
            <a:ext uri="{FF2B5EF4-FFF2-40B4-BE49-F238E27FC236}">
              <a16:creationId xmlns:a16="http://schemas.microsoft.com/office/drawing/2014/main" id="{8D7B2791-A6EB-4525-BC85-ED0EA8F123C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74" name="Text Box 1">
          <a:extLst>
            <a:ext uri="{FF2B5EF4-FFF2-40B4-BE49-F238E27FC236}">
              <a16:creationId xmlns:a16="http://schemas.microsoft.com/office/drawing/2014/main" id="{E2BC8E70-8A7B-407A-84CD-75B1EC14CB8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75" name="Text Box 3">
          <a:extLst>
            <a:ext uri="{FF2B5EF4-FFF2-40B4-BE49-F238E27FC236}">
              <a16:creationId xmlns:a16="http://schemas.microsoft.com/office/drawing/2014/main" id="{D40B7C36-028C-443C-A96C-9E52CB7B0C4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76" name="Text Box 1">
          <a:extLst>
            <a:ext uri="{FF2B5EF4-FFF2-40B4-BE49-F238E27FC236}">
              <a16:creationId xmlns:a16="http://schemas.microsoft.com/office/drawing/2014/main" id="{65B659EF-FEF6-422F-8E4F-1125E4ABB43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77" name="Text Box 1">
          <a:extLst>
            <a:ext uri="{FF2B5EF4-FFF2-40B4-BE49-F238E27FC236}">
              <a16:creationId xmlns:a16="http://schemas.microsoft.com/office/drawing/2014/main" id="{0C6B4D17-337F-4CA4-956B-7A09BA673DF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78" name="Text Box 3">
          <a:extLst>
            <a:ext uri="{FF2B5EF4-FFF2-40B4-BE49-F238E27FC236}">
              <a16:creationId xmlns:a16="http://schemas.microsoft.com/office/drawing/2014/main" id="{6231CEF2-4949-46D7-8BA2-993963B7A23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79" name="Text Box 1">
          <a:extLst>
            <a:ext uri="{FF2B5EF4-FFF2-40B4-BE49-F238E27FC236}">
              <a16:creationId xmlns:a16="http://schemas.microsoft.com/office/drawing/2014/main" id="{562C5C9F-EDA2-4375-87C0-F1BE873EB95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80" name="Text Box 3">
          <a:extLst>
            <a:ext uri="{FF2B5EF4-FFF2-40B4-BE49-F238E27FC236}">
              <a16:creationId xmlns:a16="http://schemas.microsoft.com/office/drawing/2014/main" id="{945D1705-B9F0-4759-8F56-3BF5F3A5269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81" name="Text Box 1">
          <a:extLst>
            <a:ext uri="{FF2B5EF4-FFF2-40B4-BE49-F238E27FC236}">
              <a16:creationId xmlns:a16="http://schemas.microsoft.com/office/drawing/2014/main" id="{BBDE829A-998F-4DA4-B826-06C59656D0B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82" name="Text Box 1">
          <a:extLst>
            <a:ext uri="{FF2B5EF4-FFF2-40B4-BE49-F238E27FC236}">
              <a16:creationId xmlns:a16="http://schemas.microsoft.com/office/drawing/2014/main" id="{DF7C5F96-A469-4A5E-ACAD-6AA374CEFDA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83" name="Text Box 3">
          <a:extLst>
            <a:ext uri="{FF2B5EF4-FFF2-40B4-BE49-F238E27FC236}">
              <a16:creationId xmlns:a16="http://schemas.microsoft.com/office/drawing/2014/main" id="{0843554D-0719-4BD1-A375-EEA1EDF6CDC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84" name="Text Box 1">
          <a:extLst>
            <a:ext uri="{FF2B5EF4-FFF2-40B4-BE49-F238E27FC236}">
              <a16:creationId xmlns:a16="http://schemas.microsoft.com/office/drawing/2014/main" id="{B1B05FAC-6B2F-425F-A448-72C822B6387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85" name="Text Box 3">
          <a:extLst>
            <a:ext uri="{FF2B5EF4-FFF2-40B4-BE49-F238E27FC236}">
              <a16:creationId xmlns:a16="http://schemas.microsoft.com/office/drawing/2014/main" id="{240CD2D3-068B-41D2-8A1D-82B7F68522C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86" name="Text Box 1">
          <a:extLst>
            <a:ext uri="{FF2B5EF4-FFF2-40B4-BE49-F238E27FC236}">
              <a16:creationId xmlns:a16="http://schemas.microsoft.com/office/drawing/2014/main" id="{F0FEF0C7-F81A-4952-80FA-8B0CE3C553B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87" name="Text Box 1">
          <a:extLst>
            <a:ext uri="{FF2B5EF4-FFF2-40B4-BE49-F238E27FC236}">
              <a16:creationId xmlns:a16="http://schemas.microsoft.com/office/drawing/2014/main" id="{BBCD3BA3-82F0-4B80-8F7D-6FC3FE09D80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88" name="Text Box 3">
          <a:extLst>
            <a:ext uri="{FF2B5EF4-FFF2-40B4-BE49-F238E27FC236}">
              <a16:creationId xmlns:a16="http://schemas.microsoft.com/office/drawing/2014/main" id="{55FEF71A-9018-4292-B355-7D09138F57F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89" name="Text Box 1">
          <a:extLst>
            <a:ext uri="{FF2B5EF4-FFF2-40B4-BE49-F238E27FC236}">
              <a16:creationId xmlns:a16="http://schemas.microsoft.com/office/drawing/2014/main" id="{86568D4B-6414-4355-BE7A-A3A2B14CB5E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90" name="Text Box 3">
          <a:extLst>
            <a:ext uri="{FF2B5EF4-FFF2-40B4-BE49-F238E27FC236}">
              <a16:creationId xmlns:a16="http://schemas.microsoft.com/office/drawing/2014/main" id="{63295D9C-91E0-4930-90AA-33A1E0E07BE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91" name="Text Box 1">
          <a:extLst>
            <a:ext uri="{FF2B5EF4-FFF2-40B4-BE49-F238E27FC236}">
              <a16:creationId xmlns:a16="http://schemas.microsoft.com/office/drawing/2014/main" id="{8E3FCBAA-9061-441B-B460-092F9EAAEF3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92" name="Text Box 1">
          <a:extLst>
            <a:ext uri="{FF2B5EF4-FFF2-40B4-BE49-F238E27FC236}">
              <a16:creationId xmlns:a16="http://schemas.microsoft.com/office/drawing/2014/main" id="{3E9E54D3-0D50-442A-9FAE-A8BF80EAD05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93" name="Text Box 3">
          <a:extLst>
            <a:ext uri="{FF2B5EF4-FFF2-40B4-BE49-F238E27FC236}">
              <a16:creationId xmlns:a16="http://schemas.microsoft.com/office/drawing/2014/main" id="{8A3C0E69-B892-4D82-9551-3976408003B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94" name="Text Box 1">
          <a:extLst>
            <a:ext uri="{FF2B5EF4-FFF2-40B4-BE49-F238E27FC236}">
              <a16:creationId xmlns:a16="http://schemas.microsoft.com/office/drawing/2014/main" id="{D35DAF82-1357-422F-979C-4803DE907CC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95" name="Text Box 3">
          <a:extLst>
            <a:ext uri="{FF2B5EF4-FFF2-40B4-BE49-F238E27FC236}">
              <a16:creationId xmlns:a16="http://schemas.microsoft.com/office/drawing/2014/main" id="{EDB388CA-C218-4EB0-B966-2BBBB76768A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196" name="Text Box 1">
          <a:extLst>
            <a:ext uri="{FF2B5EF4-FFF2-40B4-BE49-F238E27FC236}">
              <a16:creationId xmlns:a16="http://schemas.microsoft.com/office/drawing/2014/main" id="{3F83F4F2-4711-463C-B717-9C7E198DE074}"/>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197" name="Text Box 3">
          <a:extLst>
            <a:ext uri="{FF2B5EF4-FFF2-40B4-BE49-F238E27FC236}">
              <a16:creationId xmlns:a16="http://schemas.microsoft.com/office/drawing/2014/main" id="{94A6E72C-F41D-444D-8EDE-FD71655D414A}"/>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198" name="Text Box 1">
          <a:extLst>
            <a:ext uri="{FF2B5EF4-FFF2-40B4-BE49-F238E27FC236}">
              <a16:creationId xmlns:a16="http://schemas.microsoft.com/office/drawing/2014/main" id="{9A0C3033-506D-4095-8716-ED977F319368}"/>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199" name="Text Box 3">
          <a:extLst>
            <a:ext uri="{FF2B5EF4-FFF2-40B4-BE49-F238E27FC236}">
              <a16:creationId xmlns:a16="http://schemas.microsoft.com/office/drawing/2014/main" id="{91AC5388-F7FC-4250-8CB4-F146954F7BCD}"/>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00" name="Text Box 1">
          <a:extLst>
            <a:ext uri="{FF2B5EF4-FFF2-40B4-BE49-F238E27FC236}">
              <a16:creationId xmlns:a16="http://schemas.microsoft.com/office/drawing/2014/main" id="{0C7AB5BA-0721-4103-BB9A-9C08EFA4AEA4}"/>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01" name="Text Box 1">
          <a:extLst>
            <a:ext uri="{FF2B5EF4-FFF2-40B4-BE49-F238E27FC236}">
              <a16:creationId xmlns:a16="http://schemas.microsoft.com/office/drawing/2014/main" id="{5E20D130-858F-4CD1-9479-1C039CF0F449}"/>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02" name="Text Box 3">
          <a:extLst>
            <a:ext uri="{FF2B5EF4-FFF2-40B4-BE49-F238E27FC236}">
              <a16:creationId xmlns:a16="http://schemas.microsoft.com/office/drawing/2014/main" id="{57D30DBD-95FE-4C4A-86F6-D133B96C7C1B}"/>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03" name="Text Box 1">
          <a:extLst>
            <a:ext uri="{FF2B5EF4-FFF2-40B4-BE49-F238E27FC236}">
              <a16:creationId xmlns:a16="http://schemas.microsoft.com/office/drawing/2014/main" id="{F3A740E8-A9E4-4A91-89E2-2DE016AAB47C}"/>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04" name="Text Box 3">
          <a:extLst>
            <a:ext uri="{FF2B5EF4-FFF2-40B4-BE49-F238E27FC236}">
              <a16:creationId xmlns:a16="http://schemas.microsoft.com/office/drawing/2014/main" id="{A3C9FE62-FE2F-4724-85B3-E778D43FB24B}"/>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05" name="Text Box 1">
          <a:extLst>
            <a:ext uri="{FF2B5EF4-FFF2-40B4-BE49-F238E27FC236}">
              <a16:creationId xmlns:a16="http://schemas.microsoft.com/office/drawing/2014/main" id="{18F50994-0561-4952-8D57-E8C98D2C50BA}"/>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06" name="Text Box 1">
          <a:extLst>
            <a:ext uri="{FF2B5EF4-FFF2-40B4-BE49-F238E27FC236}">
              <a16:creationId xmlns:a16="http://schemas.microsoft.com/office/drawing/2014/main" id="{2D8A8398-9196-448B-AF3D-80B5A7988AD1}"/>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07" name="Text Box 3">
          <a:extLst>
            <a:ext uri="{FF2B5EF4-FFF2-40B4-BE49-F238E27FC236}">
              <a16:creationId xmlns:a16="http://schemas.microsoft.com/office/drawing/2014/main" id="{A422FE7D-4AE5-4D63-820B-883E6387EF98}"/>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08" name="Text Box 1">
          <a:extLst>
            <a:ext uri="{FF2B5EF4-FFF2-40B4-BE49-F238E27FC236}">
              <a16:creationId xmlns:a16="http://schemas.microsoft.com/office/drawing/2014/main" id="{5F3D0B06-2C06-473F-B6CC-7426BFC33A6A}"/>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09" name="Text Box 1">
          <a:extLst>
            <a:ext uri="{FF2B5EF4-FFF2-40B4-BE49-F238E27FC236}">
              <a16:creationId xmlns:a16="http://schemas.microsoft.com/office/drawing/2014/main" id="{ABCEF7D6-461B-468D-86C5-413537F29977}"/>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10" name="Text Box 3">
          <a:extLst>
            <a:ext uri="{FF2B5EF4-FFF2-40B4-BE49-F238E27FC236}">
              <a16:creationId xmlns:a16="http://schemas.microsoft.com/office/drawing/2014/main" id="{D7FC588E-7F7E-48A1-87AB-3279AB5585A4}"/>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11" name="Text Box 1">
          <a:extLst>
            <a:ext uri="{FF2B5EF4-FFF2-40B4-BE49-F238E27FC236}">
              <a16:creationId xmlns:a16="http://schemas.microsoft.com/office/drawing/2014/main" id="{D7F53D00-416B-4B48-97C0-A323D0216C53}"/>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12" name="Text Box 3">
          <a:extLst>
            <a:ext uri="{FF2B5EF4-FFF2-40B4-BE49-F238E27FC236}">
              <a16:creationId xmlns:a16="http://schemas.microsoft.com/office/drawing/2014/main" id="{3E975CD4-57EB-4083-BB1D-0D85676A4641}"/>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13" name="Text Box 1">
          <a:extLst>
            <a:ext uri="{FF2B5EF4-FFF2-40B4-BE49-F238E27FC236}">
              <a16:creationId xmlns:a16="http://schemas.microsoft.com/office/drawing/2014/main" id="{0DEF6792-47D9-4CE6-93CA-CE295E1B4EEB}"/>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14" name="Text Box 1">
          <a:extLst>
            <a:ext uri="{FF2B5EF4-FFF2-40B4-BE49-F238E27FC236}">
              <a16:creationId xmlns:a16="http://schemas.microsoft.com/office/drawing/2014/main" id="{7482F9CA-3569-4A86-95D3-BC71C7EAE760}"/>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15" name="Text Box 3">
          <a:extLst>
            <a:ext uri="{FF2B5EF4-FFF2-40B4-BE49-F238E27FC236}">
              <a16:creationId xmlns:a16="http://schemas.microsoft.com/office/drawing/2014/main" id="{17E50D91-9D81-4F55-9767-79D38EE38AF7}"/>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16" name="Text Box 1">
          <a:extLst>
            <a:ext uri="{FF2B5EF4-FFF2-40B4-BE49-F238E27FC236}">
              <a16:creationId xmlns:a16="http://schemas.microsoft.com/office/drawing/2014/main" id="{546DADFA-4475-4409-8002-273DB0F058BD}"/>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17" name="Text Box 3">
          <a:extLst>
            <a:ext uri="{FF2B5EF4-FFF2-40B4-BE49-F238E27FC236}">
              <a16:creationId xmlns:a16="http://schemas.microsoft.com/office/drawing/2014/main" id="{1F8915E9-8DE9-4CD6-AB09-8283A727D31B}"/>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18" name="Text Box 1">
          <a:extLst>
            <a:ext uri="{FF2B5EF4-FFF2-40B4-BE49-F238E27FC236}">
              <a16:creationId xmlns:a16="http://schemas.microsoft.com/office/drawing/2014/main" id="{303F55F7-238D-470C-B529-6218F719DE34}"/>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19" name="Text Box 1">
          <a:extLst>
            <a:ext uri="{FF2B5EF4-FFF2-40B4-BE49-F238E27FC236}">
              <a16:creationId xmlns:a16="http://schemas.microsoft.com/office/drawing/2014/main" id="{1FA04D09-E4A8-4D2E-ACB5-D28757DDBC40}"/>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20" name="Text Box 3">
          <a:extLst>
            <a:ext uri="{FF2B5EF4-FFF2-40B4-BE49-F238E27FC236}">
              <a16:creationId xmlns:a16="http://schemas.microsoft.com/office/drawing/2014/main" id="{779A74EB-E529-4B48-9CBB-EE3D21ED1BAA}"/>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21" name="Text Box 3">
          <a:extLst>
            <a:ext uri="{FF2B5EF4-FFF2-40B4-BE49-F238E27FC236}">
              <a16:creationId xmlns:a16="http://schemas.microsoft.com/office/drawing/2014/main" id="{D9C9EBCE-70FA-4230-BF5D-AA6F4AEFD35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22" name="Text Box 1">
          <a:extLst>
            <a:ext uri="{FF2B5EF4-FFF2-40B4-BE49-F238E27FC236}">
              <a16:creationId xmlns:a16="http://schemas.microsoft.com/office/drawing/2014/main" id="{2D049BDC-ADDB-4E34-BEA1-B8F1C77644E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23" name="Text Box 3">
          <a:extLst>
            <a:ext uri="{FF2B5EF4-FFF2-40B4-BE49-F238E27FC236}">
              <a16:creationId xmlns:a16="http://schemas.microsoft.com/office/drawing/2014/main" id="{D15997B3-9670-4B78-A0BC-31FDD73074A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24" name="Text Box 1">
          <a:extLst>
            <a:ext uri="{FF2B5EF4-FFF2-40B4-BE49-F238E27FC236}">
              <a16:creationId xmlns:a16="http://schemas.microsoft.com/office/drawing/2014/main" id="{5D7245FC-C4FD-4F27-AA47-5EA17505CE9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25" name="Text Box 1">
          <a:extLst>
            <a:ext uri="{FF2B5EF4-FFF2-40B4-BE49-F238E27FC236}">
              <a16:creationId xmlns:a16="http://schemas.microsoft.com/office/drawing/2014/main" id="{36B60F93-12A5-4FE3-B957-1116355D7FD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26" name="Text Box 3">
          <a:extLst>
            <a:ext uri="{FF2B5EF4-FFF2-40B4-BE49-F238E27FC236}">
              <a16:creationId xmlns:a16="http://schemas.microsoft.com/office/drawing/2014/main" id="{99ED8AFD-A81B-45BF-B45D-2C562F78882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27" name="Text Box 1">
          <a:extLst>
            <a:ext uri="{FF2B5EF4-FFF2-40B4-BE49-F238E27FC236}">
              <a16:creationId xmlns:a16="http://schemas.microsoft.com/office/drawing/2014/main" id="{0AC625C8-A116-4450-9244-4CAC650A1F9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28" name="Text Box 3">
          <a:extLst>
            <a:ext uri="{FF2B5EF4-FFF2-40B4-BE49-F238E27FC236}">
              <a16:creationId xmlns:a16="http://schemas.microsoft.com/office/drawing/2014/main" id="{E85139B0-4664-4E6A-9743-6D7EEEDE2F4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29" name="Text Box 1">
          <a:extLst>
            <a:ext uri="{FF2B5EF4-FFF2-40B4-BE49-F238E27FC236}">
              <a16:creationId xmlns:a16="http://schemas.microsoft.com/office/drawing/2014/main" id="{7E1401EC-75BC-4D96-8D2D-A8DC580F566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30" name="Text Box 1">
          <a:extLst>
            <a:ext uri="{FF2B5EF4-FFF2-40B4-BE49-F238E27FC236}">
              <a16:creationId xmlns:a16="http://schemas.microsoft.com/office/drawing/2014/main" id="{59A95536-A735-4A6E-9B07-9339B866745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31" name="Text Box 3">
          <a:extLst>
            <a:ext uri="{FF2B5EF4-FFF2-40B4-BE49-F238E27FC236}">
              <a16:creationId xmlns:a16="http://schemas.microsoft.com/office/drawing/2014/main" id="{B94EBEDD-5560-4170-A6CD-52A68B50FE8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32" name="Text Box 1">
          <a:extLst>
            <a:ext uri="{FF2B5EF4-FFF2-40B4-BE49-F238E27FC236}">
              <a16:creationId xmlns:a16="http://schemas.microsoft.com/office/drawing/2014/main" id="{34E551C3-3E7A-4527-AC7B-DA939D48B83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33" name="Text Box 1">
          <a:extLst>
            <a:ext uri="{FF2B5EF4-FFF2-40B4-BE49-F238E27FC236}">
              <a16:creationId xmlns:a16="http://schemas.microsoft.com/office/drawing/2014/main" id="{99CA01D0-8C35-4283-91D4-033FCC64CAE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34" name="Text Box 3">
          <a:extLst>
            <a:ext uri="{FF2B5EF4-FFF2-40B4-BE49-F238E27FC236}">
              <a16:creationId xmlns:a16="http://schemas.microsoft.com/office/drawing/2014/main" id="{CD251B35-6BFB-4E32-839D-4C484C16D9E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35" name="Text Box 1">
          <a:extLst>
            <a:ext uri="{FF2B5EF4-FFF2-40B4-BE49-F238E27FC236}">
              <a16:creationId xmlns:a16="http://schemas.microsoft.com/office/drawing/2014/main" id="{99B0D9A8-9EAB-482A-B397-027E06825B8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36" name="Text Box 3">
          <a:extLst>
            <a:ext uri="{FF2B5EF4-FFF2-40B4-BE49-F238E27FC236}">
              <a16:creationId xmlns:a16="http://schemas.microsoft.com/office/drawing/2014/main" id="{5FA502E1-0B8F-4BEC-A537-A1FF6BD4366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37" name="Text Box 1">
          <a:extLst>
            <a:ext uri="{FF2B5EF4-FFF2-40B4-BE49-F238E27FC236}">
              <a16:creationId xmlns:a16="http://schemas.microsoft.com/office/drawing/2014/main" id="{9AF6DE0F-C774-485E-B056-B29D9EDAEAD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38" name="Text Box 3">
          <a:extLst>
            <a:ext uri="{FF2B5EF4-FFF2-40B4-BE49-F238E27FC236}">
              <a16:creationId xmlns:a16="http://schemas.microsoft.com/office/drawing/2014/main" id="{30CC66E2-E864-4F38-A3E2-BC344C434DE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39" name="Text Box 1">
          <a:extLst>
            <a:ext uri="{FF2B5EF4-FFF2-40B4-BE49-F238E27FC236}">
              <a16:creationId xmlns:a16="http://schemas.microsoft.com/office/drawing/2014/main" id="{928B9EDD-70B0-408B-9143-CECB203EC4E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40" name="Text Box 3">
          <a:extLst>
            <a:ext uri="{FF2B5EF4-FFF2-40B4-BE49-F238E27FC236}">
              <a16:creationId xmlns:a16="http://schemas.microsoft.com/office/drawing/2014/main" id="{6888C1D0-0DD9-430C-9E97-E48C1B01305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41" name="Text Box 1">
          <a:extLst>
            <a:ext uri="{FF2B5EF4-FFF2-40B4-BE49-F238E27FC236}">
              <a16:creationId xmlns:a16="http://schemas.microsoft.com/office/drawing/2014/main" id="{E249DD22-EF78-4867-B576-32C2B7DD8ED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42" name="Text Box 1">
          <a:extLst>
            <a:ext uri="{FF2B5EF4-FFF2-40B4-BE49-F238E27FC236}">
              <a16:creationId xmlns:a16="http://schemas.microsoft.com/office/drawing/2014/main" id="{E650D247-8D5D-484A-B8D7-8818F1BB17A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43" name="Text Box 3">
          <a:extLst>
            <a:ext uri="{FF2B5EF4-FFF2-40B4-BE49-F238E27FC236}">
              <a16:creationId xmlns:a16="http://schemas.microsoft.com/office/drawing/2014/main" id="{C45F6D30-3B4A-4CCF-8118-FA5BA90D51B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44" name="Text Box 1">
          <a:extLst>
            <a:ext uri="{FF2B5EF4-FFF2-40B4-BE49-F238E27FC236}">
              <a16:creationId xmlns:a16="http://schemas.microsoft.com/office/drawing/2014/main" id="{4E40FC87-1229-49D2-BAB1-263E5095C25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45" name="Text Box 1">
          <a:extLst>
            <a:ext uri="{FF2B5EF4-FFF2-40B4-BE49-F238E27FC236}">
              <a16:creationId xmlns:a16="http://schemas.microsoft.com/office/drawing/2014/main" id="{BE0A5261-748F-4067-AA7E-C8B04B540B8E}"/>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46" name="Text Box 1">
          <a:extLst>
            <a:ext uri="{FF2B5EF4-FFF2-40B4-BE49-F238E27FC236}">
              <a16:creationId xmlns:a16="http://schemas.microsoft.com/office/drawing/2014/main" id="{53236913-ACC1-4724-A2B6-5D327E7BB6F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47" name="Text Box 3">
          <a:extLst>
            <a:ext uri="{FF2B5EF4-FFF2-40B4-BE49-F238E27FC236}">
              <a16:creationId xmlns:a16="http://schemas.microsoft.com/office/drawing/2014/main" id="{97FC4752-CFEF-4BB9-B748-17905C4CD3D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48" name="Text Box 1">
          <a:extLst>
            <a:ext uri="{FF2B5EF4-FFF2-40B4-BE49-F238E27FC236}">
              <a16:creationId xmlns:a16="http://schemas.microsoft.com/office/drawing/2014/main" id="{4AE19DE9-1316-479C-8072-1B772BB058F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49" name="Text Box 3">
          <a:extLst>
            <a:ext uri="{FF2B5EF4-FFF2-40B4-BE49-F238E27FC236}">
              <a16:creationId xmlns:a16="http://schemas.microsoft.com/office/drawing/2014/main" id="{BC850BD9-EE6E-41C2-BCD5-6FED55A099D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50" name="Text Box 1">
          <a:extLst>
            <a:ext uri="{FF2B5EF4-FFF2-40B4-BE49-F238E27FC236}">
              <a16:creationId xmlns:a16="http://schemas.microsoft.com/office/drawing/2014/main" id="{61BD2F7C-2D6F-4DCE-B3EA-70C94D26493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51" name="Text Box 1">
          <a:extLst>
            <a:ext uri="{FF2B5EF4-FFF2-40B4-BE49-F238E27FC236}">
              <a16:creationId xmlns:a16="http://schemas.microsoft.com/office/drawing/2014/main" id="{C6C6FCE1-B68A-40A4-B679-57FAECF7347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52" name="Text Box 3">
          <a:extLst>
            <a:ext uri="{FF2B5EF4-FFF2-40B4-BE49-F238E27FC236}">
              <a16:creationId xmlns:a16="http://schemas.microsoft.com/office/drawing/2014/main" id="{8AEADF4D-DA95-47C1-9A81-5F3DB3BCF13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53" name="Text Box 1">
          <a:extLst>
            <a:ext uri="{FF2B5EF4-FFF2-40B4-BE49-F238E27FC236}">
              <a16:creationId xmlns:a16="http://schemas.microsoft.com/office/drawing/2014/main" id="{8912FA82-1CBD-4BC7-A181-FE6ED4B9584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54" name="Text Box 3">
          <a:extLst>
            <a:ext uri="{FF2B5EF4-FFF2-40B4-BE49-F238E27FC236}">
              <a16:creationId xmlns:a16="http://schemas.microsoft.com/office/drawing/2014/main" id="{E0002734-21A8-4B35-B5DA-161C34CC0FC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55" name="Text Box 1">
          <a:extLst>
            <a:ext uri="{FF2B5EF4-FFF2-40B4-BE49-F238E27FC236}">
              <a16:creationId xmlns:a16="http://schemas.microsoft.com/office/drawing/2014/main" id="{6FBE55DC-9B28-4698-9261-6F43D62C122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56" name="Text Box 1">
          <a:extLst>
            <a:ext uri="{FF2B5EF4-FFF2-40B4-BE49-F238E27FC236}">
              <a16:creationId xmlns:a16="http://schemas.microsoft.com/office/drawing/2014/main" id="{836CB57A-7782-4860-AA40-65BD5EADEB8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57" name="Text Box 3">
          <a:extLst>
            <a:ext uri="{FF2B5EF4-FFF2-40B4-BE49-F238E27FC236}">
              <a16:creationId xmlns:a16="http://schemas.microsoft.com/office/drawing/2014/main" id="{715045ED-C77D-4742-A8B3-65D20DC00A1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58" name="Text Box 1">
          <a:extLst>
            <a:ext uri="{FF2B5EF4-FFF2-40B4-BE49-F238E27FC236}">
              <a16:creationId xmlns:a16="http://schemas.microsoft.com/office/drawing/2014/main" id="{D7F4DEDA-ACF1-4D07-B15D-4C8FFDA7251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59" name="Text Box 3">
          <a:extLst>
            <a:ext uri="{FF2B5EF4-FFF2-40B4-BE49-F238E27FC236}">
              <a16:creationId xmlns:a16="http://schemas.microsoft.com/office/drawing/2014/main" id="{C2EBA7EB-E031-4AA5-8161-937C7746EF1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60" name="Text Box 1">
          <a:extLst>
            <a:ext uri="{FF2B5EF4-FFF2-40B4-BE49-F238E27FC236}">
              <a16:creationId xmlns:a16="http://schemas.microsoft.com/office/drawing/2014/main" id="{57258009-1A2A-4C20-95CB-7FE80F7780C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61" name="Text Box 1">
          <a:extLst>
            <a:ext uri="{FF2B5EF4-FFF2-40B4-BE49-F238E27FC236}">
              <a16:creationId xmlns:a16="http://schemas.microsoft.com/office/drawing/2014/main" id="{B739075B-1055-4269-9F9C-38EDB12641C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62" name="Text Box 3">
          <a:extLst>
            <a:ext uri="{FF2B5EF4-FFF2-40B4-BE49-F238E27FC236}">
              <a16:creationId xmlns:a16="http://schemas.microsoft.com/office/drawing/2014/main" id="{91F972E1-8330-40DB-A3DC-02923813899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63" name="Text Box 1">
          <a:extLst>
            <a:ext uri="{FF2B5EF4-FFF2-40B4-BE49-F238E27FC236}">
              <a16:creationId xmlns:a16="http://schemas.microsoft.com/office/drawing/2014/main" id="{D650A50A-AB59-4015-8FDE-DE772C15F47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64" name="Text Box 3">
          <a:extLst>
            <a:ext uri="{FF2B5EF4-FFF2-40B4-BE49-F238E27FC236}">
              <a16:creationId xmlns:a16="http://schemas.microsoft.com/office/drawing/2014/main" id="{C02898C8-ACF4-4575-8BB8-5B416CDE33F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65" name="Text Box 1">
          <a:extLst>
            <a:ext uri="{FF2B5EF4-FFF2-40B4-BE49-F238E27FC236}">
              <a16:creationId xmlns:a16="http://schemas.microsoft.com/office/drawing/2014/main" id="{8D9145CD-ADDA-414B-962C-CCF6A16F1E4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66" name="Text Box 1">
          <a:extLst>
            <a:ext uri="{FF2B5EF4-FFF2-40B4-BE49-F238E27FC236}">
              <a16:creationId xmlns:a16="http://schemas.microsoft.com/office/drawing/2014/main" id="{D1B39979-B726-4908-AC52-B1E9CB8D433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67" name="Text Box 3">
          <a:extLst>
            <a:ext uri="{FF2B5EF4-FFF2-40B4-BE49-F238E27FC236}">
              <a16:creationId xmlns:a16="http://schemas.microsoft.com/office/drawing/2014/main" id="{B1061B21-4F48-4B94-A54B-6EE387E208E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68" name="Text Box 1">
          <a:extLst>
            <a:ext uri="{FF2B5EF4-FFF2-40B4-BE49-F238E27FC236}">
              <a16:creationId xmlns:a16="http://schemas.microsoft.com/office/drawing/2014/main" id="{A4CC2FC7-1D8F-47C8-B8D9-BCFC25F407D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69" name="Text Box 3">
          <a:extLst>
            <a:ext uri="{FF2B5EF4-FFF2-40B4-BE49-F238E27FC236}">
              <a16:creationId xmlns:a16="http://schemas.microsoft.com/office/drawing/2014/main" id="{865D76C3-CBDE-4CD9-9EDA-5EE2D2C90D7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70" name="Text Box 1">
          <a:extLst>
            <a:ext uri="{FF2B5EF4-FFF2-40B4-BE49-F238E27FC236}">
              <a16:creationId xmlns:a16="http://schemas.microsoft.com/office/drawing/2014/main" id="{ADF099AD-4C5D-4311-AB15-609106929FB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71" name="Text Box 1">
          <a:extLst>
            <a:ext uri="{FF2B5EF4-FFF2-40B4-BE49-F238E27FC236}">
              <a16:creationId xmlns:a16="http://schemas.microsoft.com/office/drawing/2014/main" id="{D42CE486-6D14-435C-903E-A92B646D8AD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72" name="Text Box 3">
          <a:extLst>
            <a:ext uri="{FF2B5EF4-FFF2-40B4-BE49-F238E27FC236}">
              <a16:creationId xmlns:a16="http://schemas.microsoft.com/office/drawing/2014/main" id="{47092340-69BC-423B-B367-F0337E29C54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73" name="Text Box 1">
          <a:extLst>
            <a:ext uri="{FF2B5EF4-FFF2-40B4-BE49-F238E27FC236}">
              <a16:creationId xmlns:a16="http://schemas.microsoft.com/office/drawing/2014/main" id="{D545FF17-BDF3-49C0-9456-382D33F057D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74" name="Text Box 3">
          <a:extLst>
            <a:ext uri="{FF2B5EF4-FFF2-40B4-BE49-F238E27FC236}">
              <a16:creationId xmlns:a16="http://schemas.microsoft.com/office/drawing/2014/main" id="{12976DD0-D925-4014-8ACE-486496E6BBD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75" name="Text Box 1">
          <a:extLst>
            <a:ext uri="{FF2B5EF4-FFF2-40B4-BE49-F238E27FC236}">
              <a16:creationId xmlns:a16="http://schemas.microsoft.com/office/drawing/2014/main" id="{265FD531-FDE3-4A8C-BFF1-15808F357C1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76" name="Text Box 1">
          <a:extLst>
            <a:ext uri="{FF2B5EF4-FFF2-40B4-BE49-F238E27FC236}">
              <a16:creationId xmlns:a16="http://schemas.microsoft.com/office/drawing/2014/main" id="{7703476E-EDED-436B-9FBF-0950A512D39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77" name="Text Box 3">
          <a:extLst>
            <a:ext uri="{FF2B5EF4-FFF2-40B4-BE49-F238E27FC236}">
              <a16:creationId xmlns:a16="http://schemas.microsoft.com/office/drawing/2014/main" id="{DF88F906-75BA-40A7-88D8-C013FCA356F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78" name="Text Box 1">
          <a:extLst>
            <a:ext uri="{FF2B5EF4-FFF2-40B4-BE49-F238E27FC236}">
              <a16:creationId xmlns:a16="http://schemas.microsoft.com/office/drawing/2014/main" id="{395AA9F2-53ED-478F-AA50-928FA1E3AF6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79" name="Text Box 3">
          <a:extLst>
            <a:ext uri="{FF2B5EF4-FFF2-40B4-BE49-F238E27FC236}">
              <a16:creationId xmlns:a16="http://schemas.microsoft.com/office/drawing/2014/main" id="{5FB2BADD-EDF6-4D18-B72F-6FBBDF8646D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80" name="Text Box 1">
          <a:extLst>
            <a:ext uri="{FF2B5EF4-FFF2-40B4-BE49-F238E27FC236}">
              <a16:creationId xmlns:a16="http://schemas.microsoft.com/office/drawing/2014/main" id="{822247A3-64F9-4EA0-99A7-43778A30B5E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81" name="Text Box 1">
          <a:extLst>
            <a:ext uri="{FF2B5EF4-FFF2-40B4-BE49-F238E27FC236}">
              <a16:creationId xmlns:a16="http://schemas.microsoft.com/office/drawing/2014/main" id="{8A59EF20-864D-417D-BA72-DBC7D14AAC0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82" name="Text Box 3">
          <a:extLst>
            <a:ext uri="{FF2B5EF4-FFF2-40B4-BE49-F238E27FC236}">
              <a16:creationId xmlns:a16="http://schemas.microsoft.com/office/drawing/2014/main" id="{9D9E7FB3-84E2-4C2B-9AFE-D69A8BC76B7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83" name="Text Box 1">
          <a:extLst>
            <a:ext uri="{FF2B5EF4-FFF2-40B4-BE49-F238E27FC236}">
              <a16:creationId xmlns:a16="http://schemas.microsoft.com/office/drawing/2014/main" id="{AB2AD9EB-8593-49BF-A710-996AB358916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84" name="Text Box 3">
          <a:extLst>
            <a:ext uri="{FF2B5EF4-FFF2-40B4-BE49-F238E27FC236}">
              <a16:creationId xmlns:a16="http://schemas.microsoft.com/office/drawing/2014/main" id="{73ADE996-984A-425B-A909-7E72287C122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85" name="Text Box 1">
          <a:extLst>
            <a:ext uri="{FF2B5EF4-FFF2-40B4-BE49-F238E27FC236}">
              <a16:creationId xmlns:a16="http://schemas.microsoft.com/office/drawing/2014/main" id="{47A8BC10-D1AD-488E-91F9-10CC31528D9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86" name="Text Box 1">
          <a:extLst>
            <a:ext uri="{FF2B5EF4-FFF2-40B4-BE49-F238E27FC236}">
              <a16:creationId xmlns:a16="http://schemas.microsoft.com/office/drawing/2014/main" id="{C77CCD3A-CE3D-46DE-AF05-65CE8AF1C4D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87" name="Text Box 3">
          <a:extLst>
            <a:ext uri="{FF2B5EF4-FFF2-40B4-BE49-F238E27FC236}">
              <a16:creationId xmlns:a16="http://schemas.microsoft.com/office/drawing/2014/main" id="{1C6A37D7-97A3-421A-A87C-C121F961906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88" name="Text Box 1">
          <a:extLst>
            <a:ext uri="{FF2B5EF4-FFF2-40B4-BE49-F238E27FC236}">
              <a16:creationId xmlns:a16="http://schemas.microsoft.com/office/drawing/2014/main" id="{0ABA8759-18FB-41C2-84BD-98469F4FA74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89" name="Text Box 3">
          <a:extLst>
            <a:ext uri="{FF2B5EF4-FFF2-40B4-BE49-F238E27FC236}">
              <a16:creationId xmlns:a16="http://schemas.microsoft.com/office/drawing/2014/main" id="{189A7F42-9E71-4622-8FBF-15483B248F2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90" name="Text Box 1">
          <a:extLst>
            <a:ext uri="{FF2B5EF4-FFF2-40B4-BE49-F238E27FC236}">
              <a16:creationId xmlns:a16="http://schemas.microsoft.com/office/drawing/2014/main" id="{43197591-91C5-4161-96FB-F29A411B827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91" name="Text Box 1">
          <a:extLst>
            <a:ext uri="{FF2B5EF4-FFF2-40B4-BE49-F238E27FC236}">
              <a16:creationId xmlns:a16="http://schemas.microsoft.com/office/drawing/2014/main" id="{59AF0A32-F3B0-47DF-9BBA-DE6394666F5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92" name="Text Box 3">
          <a:extLst>
            <a:ext uri="{FF2B5EF4-FFF2-40B4-BE49-F238E27FC236}">
              <a16:creationId xmlns:a16="http://schemas.microsoft.com/office/drawing/2014/main" id="{03D40CD2-3BFA-4256-9758-8FA9912E9DD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93" name="Text Box 1">
          <a:extLst>
            <a:ext uri="{FF2B5EF4-FFF2-40B4-BE49-F238E27FC236}">
              <a16:creationId xmlns:a16="http://schemas.microsoft.com/office/drawing/2014/main" id="{79FECE94-D6F4-495A-820F-C57DF0E81F0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94" name="Text Box 3">
          <a:extLst>
            <a:ext uri="{FF2B5EF4-FFF2-40B4-BE49-F238E27FC236}">
              <a16:creationId xmlns:a16="http://schemas.microsoft.com/office/drawing/2014/main" id="{95304B76-40CD-4129-97F0-B63A2648A9A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95" name="Text Box 1">
          <a:extLst>
            <a:ext uri="{FF2B5EF4-FFF2-40B4-BE49-F238E27FC236}">
              <a16:creationId xmlns:a16="http://schemas.microsoft.com/office/drawing/2014/main" id="{F232E6E7-DE56-4932-8DEB-233F2FD1F7A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96" name="Text Box 1">
          <a:extLst>
            <a:ext uri="{FF2B5EF4-FFF2-40B4-BE49-F238E27FC236}">
              <a16:creationId xmlns:a16="http://schemas.microsoft.com/office/drawing/2014/main" id="{3B225A07-A898-4CAB-ADE1-75076E139F1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97" name="Text Box 3">
          <a:extLst>
            <a:ext uri="{FF2B5EF4-FFF2-40B4-BE49-F238E27FC236}">
              <a16:creationId xmlns:a16="http://schemas.microsoft.com/office/drawing/2014/main" id="{AD087DA7-ADBA-40E2-A5B6-3CD725619CD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98" name="Text Box 1">
          <a:extLst>
            <a:ext uri="{FF2B5EF4-FFF2-40B4-BE49-F238E27FC236}">
              <a16:creationId xmlns:a16="http://schemas.microsoft.com/office/drawing/2014/main" id="{6A3CA34A-B043-43AF-8715-EEC40F692C5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99" name="Text Box 3">
          <a:extLst>
            <a:ext uri="{FF2B5EF4-FFF2-40B4-BE49-F238E27FC236}">
              <a16:creationId xmlns:a16="http://schemas.microsoft.com/office/drawing/2014/main" id="{A72B3C18-5FE6-40C6-8586-7A262272752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00" name="Text Box 1">
          <a:extLst>
            <a:ext uri="{FF2B5EF4-FFF2-40B4-BE49-F238E27FC236}">
              <a16:creationId xmlns:a16="http://schemas.microsoft.com/office/drawing/2014/main" id="{1E2D2803-4FB5-4E32-A0F7-1DF359E4BF7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01" name="Text Box 1">
          <a:extLst>
            <a:ext uri="{FF2B5EF4-FFF2-40B4-BE49-F238E27FC236}">
              <a16:creationId xmlns:a16="http://schemas.microsoft.com/office/drawing/2014/main" id="{E7D5AEAF-D971-4404-9EBE-DD8036BABEA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02" name="Text Box 3">
          <a:extLst>
            <a:ext uri="{FF2B5EF4-FFF2-40B4-BE49-F238E27FC236}">
              <a16:creationId xmlns:a16="http://schemas.microsoft.com/office/drawing/2014/main" id="{8FF1E74D-F750-4B8F-A9FA-E4F05CD6F94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03" name="Text Box 1">
          <a:extLst>
            <a:ext uri="{FF2B5EF4-FFF2-40B4-BE49-F238E27FC236}">
              <a16:creationId xmlns:a16="http://schemas.microsoft.com/office/drawing/2014/main" id="{B22D1308-8EF3-4321-9F9A-8D474FE0CB2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04" name="Text Box 3">
          <a:extLst>
            <a:ext uri="{FF2B5EF4-FFF2-40B4-BE49-F238E27FC236}">
              <a16:creationId xmlns:a16="http://schemas.microsoft.com/office/drawing/2014/main" id="{60D6E425-FB56-497C-8395-3B3DAAF56D3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05" name="Text Box 1">
          <a:extLst>
            <a:ext uri="{FF2B5EF4-FFF2-40B4-BE49-F238E27FC236}">
              <a16:creationId xmlns:a16="http://schemas.microsoft.com/office/drawing/2014/main" id="{D311BFE7-3C7A-4788-98A1-3897BCD3F39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06" name="Text Box 1">
          <a:extLst>
            <a:ext uri="{FF2B5EF4-FFF2-40B4-BE49-F238E27FC236}">
              <a16:creationId xmlns:a16="http://schemas.microsoft.com/office/drawing/2014/main" id="{9379BEEB-8D87-4638-A332-F4DD81B59E7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07" name="Text Box 3">
          <a:extLst>
            <a:ext uri="{FF2B5EF4-FFF2-40B4-BE49-F238E27FC236}">
              <a16:creationId xmlns:a16="http://schemas.microsoft.com/office/drawing/2014/main" id="{92D58B40-D85B-417E-B0EA-2E84D6781E4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08" name="Text Box 1">
          <a:extLst>
            <a:ext uri="{FF2B5EF4-FFF2-40B4-BE49-F238E27FC236}">
              <a16:creationId xmlns:a16="http://schemas.microsoft.com/office/drawing/2014/main" id="{1906A365-B692-4C5C-835B-7056329B0D7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09" name="Text Box 3">
          <a:extLst>
            <a:ext uri="{FF2B5EF4-FFF2-40B4-BE49-F238E27FC236}">
              <a16:creationId xmlns:a16="http://schemas.microsoft.com/office/drawing/2014/main" id="{4C0E665F-959E-4481-8149-672F86DBB0D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10" name="Text Box 1">
          <a:extLst>
            <a:ext uri="{FF2B5EF4-FFF2-40B4-BE49-F238E27FC236}">
              <a16:creationId xmlns:a16="http://schemas.microsoft.com/office/drawing/2014/main" id="{CD80D593-CCB7-4DB7-992A-AD4BDFD871C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11" name="Text Box 1">
          <a:extLst>
            <a:ext uri="{FF2B5EF4-FFF2-40B4-BE49-F238E27FC236}">
              <a16:creationId xmlns:a16="http://schemas.microsoft.com/office/drawing/2014/main" id="{9A24B424-B62B-4FE9-89D5-0D996816261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12" name="Text Box 3">
          <a:extLst>
            <a:ext uri="{FF2B5EF4-FFF2-40B4-BE49-F238E27FC236}">
              <a16:creationId xmlns:a16="http://schemas.microsoft.com/office/drawing/2014/main" id="{10F15953-F289-4C2F-B610-74C375B3C36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13" name="Text Box 1">
          <a:extLst>
            <a:ext uri="{FF2B5EF4-FFF2-40B4-BE49-F238E27FC236}">
              <a16:creationId xmlns:a16="http://schemas.microsoft.com/office/drawing/2014/main" id="{8D29B585-2DE6-4798-B25D-545AD9068A0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14" name="Text Box 3">
          <a:extLst>
            <a:ext uri="{FF2B5EF4-FFF2-40B4-BE49-F238E27FC236}">
              <a16:creationId xmlns:a16="http://schemas.microsoft.com/office/drawing/2014/main" id="{292CD42C-FC72-42C6-9457-84E6DFBAFD8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15" name="Text Box 1">
          <a:extLst>
            <a:ext uri="{FF2B5EF4-FFF2-40B4-BE49-F238E27FC236}">
              <a16:creationId xmlns:a16="http://schemas.microsoft.com/office/drawing/2014/main" id="{44BB2CC4-EC2A-4C1E-9B43-7086A9C7963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16" name="Text Box 1">
          <a:extLst>
            <a:ext uri="{FF2B5EF4-FFF2-40B4-BE49-F238E27FC236}">
              <a16:creationId xmlns:a16="http://schemas.microsoft.com/office/drawing/2014/main" id="{7040BA8C-9328-44B2-A90E-F5348B60F03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17" name="Text Box 3">
          <a:extLst>
            <a:ext uri="{FF2B5EF4-FFF2-40B4-BE49-F238E27FC236}">
              <a16:creationId xmlns:a16="http://schemas.microsoft.com/office/drawing/2014/main" id="{CF10B07D-3DAA-4277-99F9-6EBE76205A2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18" name="Text Box 1">
          <a:extLst>
            <a:ext uri="{FF2B5EF4-FFF2-40B4-BE49-F238E27FC236}">
              <a16:creationId xmlns:a16="http://schemas.microsoft.com/office/drawing/2014/main" id="{5DD9F76C-09F5-4D0A-A319-1651EEC4320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19" name="Text Box 3">
          <a:extLst>
            <a:ext uri="{FF2B5EF4-FFF2-40B4-BE49-F238E27FC236}">
              <a16:creationId xmlns:a16="http://schemas.microsoft.com/office/drawing/2014/main" id="{BBE6E9C6-B014-4C41-AF75-04A1A827C55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20" name="Text Box 1">
          <a:extLst>
            <a:ext uri="{FF2B5EF4-FFF2-40B4-BE49-F238E27FC236}">
              <a16:creationId xmlns:a16="http://schemas.microsoft.com/office/drawing/2014/main" id="{B7B9064A-492C-4CA4-BC5B-328EDA3C89C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21" name="Text Box 1">
          <a:extLst>
            <a:ext uri="{FF2B5EF4-FFF2-40B4-BE49-F238E27FC236}">
              <a16:creationId xmlns:a16="http://schemas.microsoft.com/office/drawing/2014/main" id="{FB0CD95A-8D83-4BB5-99F8-652C4BA4DBE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22" name="Text Box 3">
          <a:extLst>
            <a:ext uri="{FF2B5EF4-FFF2-40B4-BE49-F238E27FC236}">
              <a16:creationId xmlns:a16="http://schemas.microsoft.com/office/drawing/2014/main" id="{C1D8086F-B33B-4B49-B030-D604A9725BA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23" name="Text Box 1">
          <a:extLst>
            <a:ext uri="{FF2B5EF4-FFF2-40B4-BE49-F238E27FC236}">
              <a16:creationId xmlns:a16="http://schemas.microsoft.com/office/drawing/2014/main" id="{61502413-6F1C-435C-B13D-29E3C197CD5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24" name="Text Box 3">
          <a:extLst>
            <a:ext uri="{FF2B5EF4-FFF2-40B4-BE49-F238E27FC236}">
              <a16:creationId xmlns:a16="http://schemas.microsoft.com/office/drawing/2014/main" id="{B3DE86D1-E7E6-4130-B02B-E6C50FBA6BC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25" name="Text Box 1">
          <a:extLst>
            <a:ext uri="{FF2B5EF4-FFF2-40B4-BE49-F238E27FC236}">
              <a16:creationId xmlns:a16="http://schemas.microsoft.com/office/drawing/2014/main" id="{6E0115CA-9EF7-44A2-8256-D4B3D95786A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26" name="Text Box 1">
          <a:extLst>
            <a:ext uri="{FF2B5EF4-FFF2-40B4-BE49-F238E27FC236}">
              <a16:creationId xmlns:a16="http://schemas.microsoft.com/office/drawing/2014/main" id="{8B97C5FF-57C0-4F38-968D-7ECA7A2BAE4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27" name="Text Box 3">
          <a:extLst>
            <a:ext uri="{FF2B5EF4-FFF2-40B4-BE49-F238E27FC236}">
              <a16:creationId xmlns:a16="http://schemas.microsoft.com/office/drawing/2014/main" id="{C948DED2-65FC-40FC-B5F2-3A7D94593CC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28" name="Text Box 1">
          <a:extLst>
            <a:ext uri="{FF2B5EF4-FFF2-40B4-BE49-F238E27FC236}">
              <a16:creationId xmlns:a16="http://schemas.microsoft.com/office/drawing/2014/main" id="{35D0162A-AC71-4070-84EA-CDD4226E894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29" name="Text Box 3">
          <a:extLst>
            <a:ext uri="{FF2B5EF4-FFF2-40B4-BE49-F238E27FC236}">
              <a16:creationId xmlns:a16="http://schemas.microsoft.com/office/drawing/2014/main" id="{E4E5738F-F801-459A-820E-7FEDC99C711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30" name="Text Box 1">
          <a:extLst>
            <a:ext uri="{FF2B5EF4-FFF2-40B4-BE49-F238E27FC236}">
              <a16:creationId xmlns:a16="http://schemas.microsoft.com/office/drawing/2014/main" id="{157DD69E-F94B-4CEA-A147-7576A43CC3C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31" name="Text Box 1">
          <a:extLst>
            <a:ext uri="{FF2B5EF4-FFF2-40B4-BE49-F238E27FC236}">
              <a16:creationId xmlns:a16="http://schemas.microsoft.com/office/drawing/2014/main" id="{C558B0C9-F070-4B20-9AAD-204BA5E0A8F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32" name="Text Box 3">
          <a:extLst>
            <a:ext uri="{FF2B5EF4-FFF2-40B4-BE49-F238E27FC236}">
              <a16:creationId xmlns:a16="http://schemas.microsoft.com/office/drawing/2014/main" id="{34A87CD9-15E2-40B0-A5A7-4D33B50E75A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33" name="Text Box 1">
          <a:extLst>
            <a:ext uri="{FF2B5EF4-FFF2-40B4-BE49-F238E27FC236}">
              <a16:creationId xmlns:a16="http://schemas.microsoft.com/office/drawing/2014/main" id="{0C08C291-C856-446C-9B66-74F3456BED3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34" name="Text Box 3">
          <a:extLst>
            <a:ext uri="{FF2B5EF4-FFF2-40B4-BE49-F238E27FC236}">
              <a16:creationId xmlns:a16="http://schemas.microsoft.com/office/drawing/2014/main" id="{665F78D9-3D02-4221-BA0E-E1B044117F2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35" name="Text Box 1">
          <a:extLst>
            <a:ext uri="{FF2B5EF4-FFF2-40B4-BE49-F238E27FC236}">
              <a16:creationId xmlns:a16="http://schemas.microsoft.com/office/drawing/2014/main" id="{07B2B0DF-B791-453F-9CF0-6B987A53FC1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36" name="Text Box 1">
          <a:extLst>
            <a:ext uri="{FF2B5EF4-FFF2-40B4-BE49-F238E27FC236}">
              <a16:creationId xmlns:a16="http://schemas.microsoft.com/office/drawing/2014/main" id="{C5418468-22EC-4E59-BDA5-F40665541ED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37" name="Text Box 3">
          <a:extLst>
            <a:ext uri="{FF2B5EF4-FFF2-40B4-BE49-F238E27FC236}">
              <a16:creationId xmlns:a16="http://schemas.microsoft.com/office/drawing/2014/main" id="{B3A591CB-E581-4055-8D6B-385D3DBB421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38" name="Text Box 1">
          <a:extLst>
            <a:ext uri="{FF2B5EF4-FFF2-40B4-BE49-F238E27FC236}">
              <a16:creationId xmlns:a16="http://schemas.microsoft.com/office/drawing/2014/main" id="{50C00835-5ED9-4ECA-954F-546BF31EFEF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39" name="Text Box 3">
          <a:extLst>
            <a:ext uri="{FF2B5EF4-FFF2-40B4-BE49-F238E27FC236}">
              <a16:creationId xmlns:a16="http://schemas.microsoft.com/office/drawing/2014/main" id="{77789739-D04C-423B-9A55-35C790BCBFE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40" name="Text Box 1">
          <a:extLst>
            <a:ext uri="{FF2B5EF4-FFF2-40B4-BE49-F238E27FC236}">
              <a16:creationId xmlns:a16="http://schemas.microsoft.com/office/drawing/2014/main" id="{0C3DB8A7-4585-4B75-919B-A0F6C0E856A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41" name="Text Box 1">
          <a:extLst>
            <a:ext uri="{FF2B5EF4-FFF2-40B4-BE49-F238E27FC236}">
              <a16:creationId xmlns:a16="http://schemas.microsoft.com/office/drawing/2014/main" id="{77F87699-4AE2-41CF-AC14-C3D329C4062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42" name="Text Box 3">
          <a:extLst>
            <a:ext uri="{FF2B5EF4-FFF2-40B4-BE49-F238E27FC236}">
              <a16:creationId xmlns:a16="http://schemas.microsoft.com/office/drawing/2014/main" id="{98C29D2D-B3A2-4277-A73D-2ABE2AF4C2C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43" name="Text Box 1">
          <a:extLst>
            <a:ext uri="{FF2B5EF4-FFF2-40B4-BE49-F238E27FC236}">
              <a16:creationId xmlns:a16="http://schemas.microsoft.com/office/drawing/2014/main" id="{31C6676F-16AB-4E05-8268-5D66861FAF6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44" name="Text Box 3">
          <a:extLst>
            <a:ext uri="{FF2B5EF4-FFF2-40B4-BE49-F238E27FC236}">
              <a16:creationId xmlns:a16="http://schemas.microsoft.com/office/drawing/2014/main" id="{596FD03F-8CDE-4490-9A49-893AE1127FE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45" name="Text Box 1">
          <a:extLst>
            <a:ext uri="{FF2B5EF4-FFF2-40B4-BE49-F238E27FC236}">
              <a16:creationId xmlns:a16="http://schemas.microsoft.com/office/drawing/2014/main" id="{688181E8-DFF2-4540-9788-A266E23FD05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46" name="Text Box 1">
          <a:extLst>
            <a:ext uri="{FF2B5EF4-FFF2-40B4-BE49-F238E27FC236}">
              <a16:creationId xmlns:a16="http://schemas.microsoft.com/office/drawing/2014/main" id="{59F94982-5FCA-466F-A23F-2A2747F2577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47" name="Text Box 3">
          <a:extLst>
            <a:ext uri="{FF2B5EF4-FFF2-40B4-BE49-F238E27FC236}">
              <a16:creationId xmlns:a16="http://schemas.microsoft.com/office/drawing/2014/main" id="{2953F0C6-EF9F-483B-A96B-6814AF4700D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48" name="Text Box 1">
          <a:extLst>
            <a:ext uri="{FF2B5EF4-FFF2-40B4-BE49-F238E27FC236}">
              <a16:creationId xmlns:a16="http://schemas.microsoft.com/office/drawing/2014/main" id="{872527E5-7BF2-4CAF-91D1-B114EF73E1B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49" name="Text Box 3">
          <a:extLst>
            <a:ext uri="{FF2B5EF4-FFF2-40B4-BE49-F238E27FC236}">
              <a16:creationId xmlns:a16="http://schemas.microsoft.com/office/drawing/2014/main" id="{44A6DE96-66A2-4676-830D-228C1EEFEBD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50" name="Text Box 1">
          <a:extLst>
            <a:ext uri="{FF2B5EF4-FFF2-40B4-BE49-F238E27FC236}">
              <a16:creationId xmlns:a16="http://schemas.microsoft.com/office/drawing/2014/main" id="{5393F87E-BDA0-4671-80F1-8E15CDECA6F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51" name="Text Box 1">
          <a:extLst>
            <a:ext uri="{FF2B5EF4-FFF2-40B4-BE49-F238E27FC236}">
              <a16:creationId xmlns:a16="http://schemas.microsoft.com/office/drawing/2014/main" id="{AD7824C9-D163-4B2C-B025-B393BD5A051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52" name="Text Box 3">
          <a:extLst>
            <a:ext uri="{FF2B5EF4-FFF2-40B4-BE49-F238E27FC236}">
              <a16:creationId xmlns:a16="http://schemas.microsoft.com/office/drawing/2014/main" id="{26D1ED29-5557-4B75-A44C-E4FDA5F511F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53" name="Text Box 1">
          <a:extLst>
            <a:ext uri="{FF2B5EF4-FFF2-40B4-BE49-F238E27FC236}">
              <a16:creationId xmlns:a16="http://schemas.microsoft.com/office/drawing/2014/main" id="{8A6B5915-FCDB-469A-B44A-3CCC2546D0E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54" name="Text Box 3">
          <a:extLst>
            <a:ext uri="{FF2B5EF4-FFF2-40B4-BE49-F238E27FC236}">
              <a16:creationId xmlns:a16="http://schemas.microsoft.com/office/drawing/2014/main" id="{61D718EC-592F-4E85-A97F-2508DC7937B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55" name="Text Box 1">
          <a:extLst>
            <a:ext uri="{FF2B5EF4-FFF2-40B4-BE49-F238E27FC236}">
              <a16:creationId xmlns:a16="http://schemas.microsoft.com/office/drawing/2014/main" id="{466C935C-5C93-4D07-BE14-F001F1C2582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56" name="Text Box 1">
          <a:extLst>
            <a:ext uri="{FF2B5EF4-FFF2-40B4-BE49-F238E27FC236}">
              <a16:creationId xmlns:a16="http://schemas.microsoft.com/office/drawing/2014/main" id="{88BAF5F3-BC57-41BC-BE9D-CD57EF2F365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57" name="Text Box 3">
          <a:extLst>
            <a:ext uri="{FF2B5EF4-FFF2-40B4-BE49-F238E27FC236}">
              <a16:creationId xmlns:a16="http://schemas.microsoft.com/office/drawing/2014/main" id="{15E4753A-8DB1-4FCF-B5B7-6D5FD6424EC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58" name="Text Box 1">
          <a:extLst>
            <a:ext uri="{FF2B5EF4-FFF2-40B4-BE49-F238E27FC236}">
              <a16:creationId xmlns:a16="http://schemas.microsoft.com/office/drawing/2014/main" id="{0383E79D-7A9C-4A09-B22C-0D65AC2EE52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59" name="Text Box 3">
          <a:extLst>
            <a:ext uri="{FF2B5EF4-FFF2-40B4-BE49-F238E27FC236}">
              <a16:creationId xmlns:a16="http://schemas.microsoft.com/office/drawing/2014/main" id="{8F14D674-E189-4EF6-AAD0-3B903826457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60" name="Text Box 1">
          <a:extLst>
            <a:ext uri="{FF2B5EF4-FFF2-40B4-BE49-F238E27FC236}">
              <a16:creationId xmlns:a16="http://schemas.microsoft.com/office/drawing/2014/main" id="{D0075045-EF42-452C-B472-FEE09D5A57B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61" name="Text Box 1">
          <a:extLst>
            <a:ext uri="{FF2B5EF4-FFF2-40B4-BE49-F238E27FC236}">
              <a16:creationId xmlns:a16="http://schemas.microsoft.com/office/drawing/2014/main" id="{2776BF6F-4640-4A7A-B8B8-30305349BD2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62" name="Text Box 3">
          <a:extLst>
            <a:ext uri="{FF2B5EF4-FFF2-40B4-BE49-F238E27FC236}">
              <a16:creationId xmlns:a16="http://schemas.microsoft.com/office/drawing/2014/main" id="{7A67F651-A6CC-408B-8B69-7E71D1888D3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63" name="Text Box 1">
          <a:extLst>
            <a:ext uri="{FF2B5EF4-FFF2-40B4-BE49-F238E27FC236}">
              <a16:creationId xmlns:a16="http://schemas.microsoft.com/office/drawing/2014/main" id="{D1046F09-7820-4FA3-A9E9-175AFBB2CBA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64" name="Text Box 3">
          <a:extLst>
            <a:ext uri="{FF2B5EF4-FFF2-40B4-BE49-F238E27FC236}">
              <a16:creationId xmlns:a16="http://schemas.microsoft.com/office/drawing/2014/main" id="{ED9F216E-B767-427D-82C2-0BC75713345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65" name="Text Box 1">
          <a:extLst>
            <a:ext uri="{FF2B5EF4-FFF2-40B4-BE49-F238E27FC236}">
              <a16:creationId xmlns:a16="http://schemas.microsoft.com/office/drawing/2014/main" id="{4B474ED1-9E5C-4629-A33D-7EAB5E2221F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66" name="Text Box 1">
          <a:extLst>
            <a:ext uri="{FF2B5EF4-FFF2-40B4-BE49-F238E27FC236}">
              <a16:creationId xmlns:a16="http://schemas.microsoft.com/office/drawing/2014/main" id="{A376DA6C-911A-41A0-89E5-FDA3357191B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67" name="Text Box 3">
          <a:extLst>
            <a:ext uri="{FF2B5EF4-FFF2-40B4-BE49-F238E27FC236}">
              <a16:creationId xmlns:a16="http://schemas.microsoft.com/office/drawing/2014/main" id="{A243DAA1-F9CF-4021-AFF1-E92DAC9DEF9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68" name="Text Box 1">
          <a:extLst>
            <a:ext uri="{FF2B5EF4-FFF2-40B4-BE49-F238E27FC236}">
              <a16:creationId xmlns:a16="http://schemas.microsoft.com/office/drawing/2014/main" id="{CC7A7EB4-4D25-48B7-8577-698D66D6073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69" name="Text Box 3">
          <a:extLst>
            <a:ext uri="{FF2B5EF4-FFF2-40B4-BE49-F238E27FC236}">
              <a16:creationId xmlns:a16="http://schemas.microsoft.com/office/drawing/2014/main" id="{CE7EE35A-BE5E-42A5-BC79-1EE04241094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70" name="Text Box 1">
          <a:extLst>
            <a:ext uri="{FF2B5EF4-FFF2-40B4-BE49-F238E27FC236}">
              <a16:creationId xmlns:a16="http://schemas.microsoft.com/office/drawing/2014/main" id="{9A5CE609-4C48-4851-851F-61FC4F63B62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71" name="Text Box 1">
          <a:extLst>
            <a:ext uri="{FF2B5EF4-FFF2-40B4-BE49-F238E27FC236}">
              <a16:creationId xmlns:a16="http://schemas.microsoft.com/office/drawing/2014/main" id="{3F93E698-8858-41DF-B664-0B560A56B5E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72" name="Text Box 3">
          <a:extLst>
            <a:ext uri="{FF2B5EF4-FFF2-40B4-BE49-F238E27FC236}">
              <a16:creationId xmlns:a16="http://schemas.microsoft.com/office/drawing/2014/main" id="{7A3F8DF2-696D-43C3-B819-832C25FEB3D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73" name="Text Box 1">
          <a:extLst>
            <a:ext uri="{FF2B5EF4-FFF2-40B4-BE49-F238E27FC236}">
              <a16:creationId xmlns:a16="http://schemas.microsoft.com/office/drawing/2014/main" id="{527BE326-EFAD-428C-A1D9-27D2E8AED74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74" name="Text Box 3">
          <a:extLst>
            <a:ext uri="{FF2B5EF4-FFF2-40B4-BE49-F238E27FC236}">
              <a16:creationId xmlns:a16="http://schemas.microsoft.com/office/drawing/2014/main" id="{FCC17F99-4E08-4F22-BAFB-364F14C6A02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75" name="Text Box 1">
          <a:extLst>
            <a:ext uri="{FF2B5EF4-FFF2-40B4-BE49-F238E27FC236}">
              <a16:creationId xmlns:a16="http://schemas.microsoft.com/office/drawing/2014/main" id="{8ED62BF1-E21E-4276-875C-13BF66F05AD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76" name="Text Box 1">
          <a:extLst>
            <a:ext uri="{FF2B5EF4-FFF2-40B4-BE49-F238E27FC236}">
              <a16:creationId xmlns:a16="http://schemas.microsoft.com/office/drawing/2014/main" id="{78F754C0-3B9F-41D7-B10D-248569C00FD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77" name="Text Box 3">
          <a:extLst>
            <a:ext uri="{FF2B5EF4-FFF2-40B4-BE49-F238E27FC236}">
              <a16:creationId xmlns:a16="http://schemas.microsoft.com/office/drawing/2014/main" id="{BAB8A766-0165-4A71-B5BB-CB8BE784293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78" name="Text Box 1">
          <a:extLst>
            <a:ext uri="{FF2B5EF4-FFF2-40B4-BE49-F238E27FC236}">
              <a16:creationId xmlns:a16="http://schemas.microsoft.com/office/drawing/2014/main" id="{A57B7592-913F-4D88-96AD-431171DCF47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79" name="Text Box 3">
          <a:extLst>
            <a:ext uri="{FF2B5EF4-FFF2-40B4-BE49-F238E27FC236}">
              <a16:creationId xmlns:a16="http://schemas.microsoft.com/office/drawing/2014/main" id="{205F492F-6617-4B14-AC90-C5180910A2B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80" name="Text Box 1">
          <a:extLst>
            <a:ext uri="{FF2B5EF4-FFF2-40B4-BE49-F238E27FC236}">
              <a16:creationId xmlns:a16="http://schemas.microsoft.com/office/drawing/2014/main" id="{2CEC156A-728A-4EFF-BDE2-8DAA09DC7BA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81" name="Text Box 1">
          <a:extLst>
            <a:ext uri="{FF2B5EF4-FFF2-40B4-BE49-F238E27FC236}">
              <a16:creationId xmlns:a16="http://schemas.microsoft.com/office/drawing/2014/main" id="{F71DE9B9-C8F8-4D59-8E06-FE2BCEB0980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82" name="Text Box 3">
          <a:extLst>
            <a:ext uri="{FF2B5EF4-FFF2-40B4-BE49-F238E27FC236}">
              <a16:creationId xmlns:a16="http://schemas.microsoft.com/office/drawing/2014/main" id="{4AED1D2D-4F66-434F-8713-C6259715750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83" name="Text Box 1">
          <a:extLst>
            <a:ext uri="{FF2B5EF4-FFF2-40B4-BE49-F238E27FC236}">
              <a16:creationId xmlns:a16="http://schemas.microsoft.com/office/drawing/2014/main" id="{905887E4-6AA7-486A-A5E5-2E399EFC488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84" name="Text Box 3">
          <a:extLst>
            <a:ext uri="{FF2B5EF4-FFF2-40B4-BE49-F238E27FC236}">
              <a16:creationId xmlns:a16="http://schemas.microsoft.com/office/drawing/2014/main" id="{E106D589-264D-4AF7-98FB-F10486C32BF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85" name="Text Box 1">
          <a:extLst>
            <a:ext uri="{FF2B5EF4-FFF2-40B4-BE49-F238E27FC236}">
              <a16:creationId xmlns:a16="http://schemas.microsoft.com/office/drawing/2014/main" id="{CEBA3731-B570-4672-8361-18784880CE1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86" name="Text Box 1">
          <a:extLst>
            <a:ext uri="{FF2B5EF4-FFF2-40B4-BE49-F238E27FC236}">
              <a16:creationId xmlns:a16="http://schemas.microsoft.com/office/drawing/2014/main" id="{C174E79D-AB5C-4E04-A0A6-E5644244C0F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87" name="Text Box 3">
          <a:extLst>
            <a:ext uri="{FF2B5EF4-FFF2-40B4-BE49-F238E27FC236}">
              <a16:creationId xmlns:a16="http://schemas.microsoft.com/office/drawing/2014/main" id="{DD58A751-C22A-4FB9-9409-64CF081E541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88" name="Text Box 1">
          <a:extLst>
            <a:ext uri="{FF2B5EF4-FFF2-40B4-BE49-F238E27FC236}">
              <a16:creationId xmlns:a16="http://schemas.microsoft.com/office/drawing/2014/main" id="{C47243C0-8843-432E-8955-8BFB48F5F95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89" name="Text Box 3">
          <a:extLst>
            <a:ext uri="{FF2B5EF4-FFF2-40B4-BE49-F238E27FC236}">
              <a16:creationId xmlns:a16="http://schemas.microsoft.com/office/drawing/2014/main" id="{15141680-3EBA-4494-9548-57FC611066E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90" name="Text Box 1">
          <a:extLst>
            <a:ext uri="{FF2B5EF4-FFF2-40B4-BE49-F238E27FC236}">
              <a16:creationId xmlns:a16="http://schemas.microsoft.com/office/drawing/2014/main" id="{AC21B7FC-13C8-4F1A-981D-DFD37AB7CFF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91" name="Text Box 1">
          <a:extLst>
            <a:ext uri="{FF2B5EF4-FFF2-40B4-BE49-F238E27FC236}">
              <a16:creationId xmlns:a16="http://schemas.microsoft.com/office/drawing/2014/main" id="{5D6AA042-745A-4964-9042-E30841003F0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92" name="Text Box 3">
          <a:extLst>
            <a:ext uri="{FF2B5EF4-FFF2-40B4-BE49-F238E27FC236}">
              <a16:creationId xmlns:a16="http://schemas.microsoft.com/office/drawing/2014/main" id="{E33F1769-D503-4D08-B818-2508BBB321C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93" name="Text Box 1">
          <a:extLst>
            <a:ext uri="{FF2B5EF4-FFF2-40B4-BE49-F238E27FC236}">
              <a16:creationId xmlns:a16="http://schemas.microsoft.com/office/drawing/2014/main" id="{B7BCB8D4-0566-4092-ABA2-11A6BF3CB7B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94" name="Text Box 3">
          <a:extLst>
            <a:ext uri="{FF2B5EF4-FFF2-40B4-BE49-F238E27FC236}">
              <a16:creationId xmlns:a16="http://schemas.microsoft.com/office/drawing/2014/main" id="{C5748A5F-86AE-412E-8E90-61CDAE94C01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95" name="Text Box 1">
          <a:extLst>
            <a:ext uri="{FF2B5EF4-FFF2-40B4-BE49-F238E27FC236}">
              <a16:creationId xmlns:a16="http://schemas.microsoft.com/office/drawing/2014/main" id="{A34CCABE-000F-48BA-8E74-3691F69A1CF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96" name="Text Box 1">
          <a:extLst>
            <a:ext uri="{FF2B5EF4-FFF2-40B4-BE49-F238E27FC236}">
              <a16:creationId xmlns:a16="http://schemas.microsoft.com/office/drawing/2014/main" id="{FD72659C-533C-443A-8E91-33D4DC6FC0D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97" name="Text Box 3">
          <a:extLst>
            <a:ext uri="{FF2B5EF4-FFF2-40B4-BE49-F238E27FC236}">
              <a16:creationId xmlns:a16="http://schemas.microsoft.com/office/drawing/2014/main" id="{AE2E0873-D1F9-40F1-961C-9FF6B0B9220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98" name="Text Box 1">
          <a:extLst>
            <a:ext uri="{FF2B5EF4-FFF2-40B4-BE49-F238E27FC236}">
              <a16:creationId xmlns:a16="http://schemas.microsoft.com/office/drawing/2014/main" id="{E44F3DEC-1DAF-400B-9307-56381FC3335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99" name="Text Box 3">
          <a:extLst>
            <a:ext uri="{FF2B5EF4-FFF2-40B4-BE49-F238E27FC236}">
              <a16:creationId xmlns:a16="http://schemas.microsoft.com/office/drawing/2014/main" id="{9DDA7480-D271-4FDC-BD5B-4CC4E5F7045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00" name="Text Box 1">
          <a:extLst>
            <a:ext uri="{FF2B5EF4-FFF2-40B4-BE49-F238E27FC236}">
              <a16:creationId xmlns:a16="http://schemas.microsoft.com/office/drawing/2014/main" id="{AC93DD8D-ECEC-469D-99CF-C22BF7DF3D0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01" name="Text Box 1">
          <a:extLst>
            <a:ext uri="{FF2B5EF4-FFF2-40B4-BE49-F238E27FC236}">
              <a16:creationId xmlns:a16="http://schemas.microsoft.com/office/drawing/2014/main" id="{BBC89CC7-8104-442B-B41C-AB43F4C2969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02" name="Text Box 3">
          <a:extLst>
            <a:ext uri="{FF2B5EF4-FFF2-40B4-BE49-F238E27FC236}">
              <a16:creationId xmlns:a16="http://schemas.microsoft.com/office/drawing/2014/main" id="{D9596D7F-AA06-4000-B371-5617F9EB5DC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03" name="Text Box 1">
          <a:extLst>
            <a:ext uri="{FF2B5EF4-FFF2-40B4-BE49-F238E27FC236}">
              <a16:creationId xmlns:a16="http://schemas.microsoft.com/office/drawing/2014/main" id="{6F070AA0-F320-4A74-8DCA-9F380362C18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04" name="Text Box 3">
          <a:extLst>
            <a:ext uri="{FF2B5EF4-FFF2-40B4-BE49-F238E27FC236}">
              <a16:creationId xmlns:a16="http://schemas.microsoft.com/office/drawing/2014/main" id="{0F81E554-392A-4BF4-B6AC-CFD1A62E8D9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05" name="Text Box 1">
          <a:extLst>
            <a:ext uri="{FF2B5EF4-FFF2-40B4-BE49-F238E27FC236}">
              <a16:creationId xmlns:a16="http://schemas.microsoft.com/office/drawing/2014/main" id="{B98CF6B2-A753-440F-96A5-E5AA024FA06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06" name="Text Box 1">
          <a:extLst>
            <a:ext uri="{FF2B5EF4-FFF2-40B4-BE49-F238E27FC236}">
              <a16:creationId xmlns:a16="http://schemas.microsoft.com/office/drawing/2014/main" id="{131288D8-652B-408C-858C-8DB4FF17251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07" name="Text Box 3">
          <a:extLst>
            <a:ext uri="{FF2B5EF4-FFF2-40B4-BE49-F238E27FC236}">
              <a16:creationId xmlns:a16="http://schemas.microsoft.com/office/drawing/2014/main" id="{A21CDFA0-44B6-49B5-8F5C-C27933EA552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08" name="Text Box 1">
          <a:extLst>
            <a:ext uri="{FF2B5EF4-FFF2-40B4-BE49-F238E27FC236}">
              <a16:creationId xmlns:a16="http://schemas.microsoft.com/office/drawing/2014/main" id="{14ABADD3-8B96-4612-85F8-462D72CE316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09" name="Text Box 3">
          <a:extLst>
            <a:ext uri="{FF2B5EF4-FFF2-40B4-BE49-F238E27FC236}">
              <a16:creationId xmlns:a16="http://schemas.microsoft.com/office/drawing/2014/main" id="{77B2ECBB-CE9D-4A99-819F-341B0AC76DB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10" name="Text Box 1">
          <a:extLst>
            <a:ext uri="{FF2B5EF4-FFF2-40B4-BE49-F238E27FC236}">
              <a16:creationId xmlns:a16="http://schemas.microsoft.com/office/drawing/2014/main" id="{9DAA0D38-E5DC-455E-AE7A-7F8BC97E009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11" name="Text Box 1">
          <a:extLst>
            <a:ext uri="{FF2B5EF4-FFF2-40B4-BE49-F238E27FC236}">
              <a16:creationId xmlns:a16="http://schemas.microsoft.com/office/drawing/2014/main" id="{EDDFEAE7-579C-4970-A6FA-9C77695AC87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12" name="Text Box 3">
          <a:extLst>
            <a:ext uri="{FF2B5EF4-FFF2-40B4-BE49-F238E27FC236}">
              <a16:creationId xmlns:a16="http://schemas.microsoft.com/office/drawing/2014/main" id="{ED6BEFF3-1C39-4FBF-AF6B-2A391828B49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13" name="Text Box 1">
          <a:extLst>
            <a:ext uri="{FF2B5EF4-FFF2-40B4-BE49-F238E27FC236}">
              <a16:creationId xmlns:a16="http://schemas.microsoft.com/office/drawing/2014/main" id="{A618B4AD-C7E5-47AF-BFCD-BC8C03BF79B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14" name="Text Box 3">
          <a:extLst>
            <a:ext uri="{FF2B5EF4-FFF2-40B4-BE49-F238E27FC236}">
              <a16:creationId xmlns:a16="http://schemas.microsoft.com/office/drawing/2014/main" id="{48576DFE-F309-4B95-8E51-0BCB948B3EB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15" name="Text Box 1">
          <a:extLst>
            <a:ext uri="{FF2B5EF4-FFF2-40B4-BE49-F238E27FC236}">
              <a16:creationId xmlns:a16="http://schemas.microsoft.com/office/drawing/2014/main" id="{8B6E423B-132C-42EA-8F25-13560CDD29B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16" name="Text Box 1">
          <a:extLst>
            <a:ext uri="{FF2B5EF4-FFF2-40B4-BE49-F238E27FC236}">
              <a16:creationId xmlns:a16="http://schemas.microsoft.com/office/drawing/2014/main" id="{63B9A53D-6B4C-49BC-BB9F-97FD6D3081C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17" name="Text Box 3">
          <a:extLst>
            <a:ext uri="{FF2B5EF4-FFF2-40B4-BE49-F238E27FC236}">
              <a16:creationId xmlns:a16="http://schemas.microsoft.com/office/drawing/2014/main" id="{3D8C012F-1A07-48F5-B8F7-ADF657A568C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18" name="Text Box 1">
          <a:extLst>
            <a:ext uri="{FF2B5EF4-FFF2-40B4-BE49-F238E27FC236}">
              <a16:creationId xmlns:a16="http://schemas.microsoft.com/office/drawing/2014/main" id="{D61966A6-0845-4AEF-B83F-B21351F7C0A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19" name="Text Box 3">
          <a:extLst>
            <a:ext uri="{FF2B5EF4-FFF2-40B4-BE49-F238E27FC236}">
              <a16:creationId xmlns:a16="http://schemas.microsoft.com/office/drawing/2014/main" id="{00CF9D1D-73BE-421D-A36D-28A305A3901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20" name="Text Box 1">
          <a:extLst>
            <a:ext uri="{FF2B5EF4-FFF2-40B4-BE49-F238E27FC236}">
              <a16:creationId xmlns:a16="http://schemas.microsoft.com/office/drawing/2014/main" id="{444EAC9E-81BC-4774-89D1-69F15FC5DAB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21" name="Text Box 1">
          <a:extLst>
            <a:ext uri="{FF2B5EF4-FFF2-40B4-BE49-F238E27FC236}">
              <a16:creationId xmlns:a16="http://schemas.microsoft.com/office/drawing/2014/main" id="{76AAAE37-3E43-4587-8EE2-7CA0BFB2FE2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22" name="Text Box 3">
          <a:extLst>
            <a:ext uri="{FF2B5EF4-FFF2-40B4-BE49-F238E27FC236}">
              <a16:creationId xmlns:a16="http://schemas.microsoft.com/office/drawing/2014/main" id="{2EA228EB-43D4-4D0D-8CCA-088071DE05B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23" name="Text Box 1">
          <a:extLst>
            <a:ext uri="{FF2B5EF4-FFF2-40B4-BE49-F238E27FC236}">
              <a16:creationId xmlns:a16="http://schemas.microsoft.com/office/drawing/2014/main" id="{0D8C20A9-145D-48CA-8DD5-7F81EB837EC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24" name="Text Box 3">
          <a:extLst>
            <a:ext uri="{FF2B5EF4-FFF2-40B4-BE49-F238E27FC236}">
              <a16:creationId xmlns:a16="http://schemas.microsoft.com/office/drawing/2014/main" id="{5881ED6D-1054-4177-B9E7-FB251F9F9AD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25" name="Text Box 1">
          <a:extLst>
            <a:ext uri="{FF2B5EF4-FFF2-40B4-BE49-F238E27FC236}">
              <a16:creationId xmlns:a16="http://schemas.microsoft.com/office/drawing/2014/main" id="{FABF8436-F51D-4646-9441-341C2664A1B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26" name="Text Box 1">
          <a:extLst>
            <a:ext uri="{FF2B5EF4-FFF2-40B4-BE49-F238E27FC236}">
              <a16:creationId xmlns:a16="http://schemas.microsoft.com/office/drawing/2014/main" id="{9B2A3A02-1C96-4D38-9D2C-DA64939F7E1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27" name="Text Box 3">
          <a:extLst>
            <a:ext uri="{FF2B5EF4-FFF2-40B4-BE49-F238E27FC236}">
              <a16:creationId xmlns:a16="http://schemas.microsoft.com/office/drawing/2014/main" id="{C223DD84-395E-4701-BD1E-BAEE65964D6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28" name="Text Box 1">
          <a:extLst>
            <a:ext uri="{FF2B5EF4-FFF2-40B4-BE49-F238E27FC236}">
              <a16:creationId xmlns:a16="http://schemas.microsoft.com/office/drawing/2014/main" id="{86B3AC4D-724B-4180-97B2-7C4A909A23F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29" name="Text Box 3">
          <a:extLst>
            <a:ext uri="{FF2B5EF4-FFF2-40B4-BE49-F238E27FC236}">
              <a16:creationId xmlns:a16="http://schemas.microsoft.com/office/drawing/2014/main" id="{C7120000-BBF1-44DF-8F06-163618E39B3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30" name="Text Box 1">
          <a:extLst>
            <a:ext uri="{FF2B5EF4-FFF2-40B4-BE49-F238E27FC236}">
              <a16:creationId xmlns:a16="http://schemas.microsoft.com/office/drawing/2014/main" id="{F8F70111-6DF0-4557-A5E4-B69357AF7FB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31" name="Text Box 1">
          <a:extLst>
            <a:ext uri="{FF2B5EF4-FFF2-40B4-BE49-F238E27FC236}">
              <a16:creationId xmlns:a16="http://schemas.microsoft.com/office/drawing/2014/main" id="{C339F06E-245F-4502-A937-988A9887C3A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32" name="Text Box 3">
          <a:extLst>
            <a:ext uri="{FF2B5EF4-FFF2-40B4-BE49-F238E27FC236}">
              <a16:creationId xmlns:a16="http://schemas.microsoft.com/office/drawing/2014/main" id="{E2A6A596-9EAF-4268-A451-F73F10D29C5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33" name="Text Box 1">
          <a:extLst>
            <a:ext uri="{FF2B5EF4-FFF2-40B4-BE49-F238E27FC236}">
              <a16:creationId xmlns:a16="http://schemas.microsoft.com/office/drawing/2014/main" id="{B9B22660-BCC6-4FD5-AE4D-EB0F162F103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34" name="Text Box 3">
          <a:extLst>
            <a:ext uri="{FF2B5EF4-FFF2-40B4-BE49-F238E27FC236}">
              <a16:creationId xmlns:a16="http://schemas.microsoft.com/office/drawing/2014/main" id="{A221DC34-7117-4995-90CB-74494479738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35" name="Text Box 1">
          <a:extLst>
            <a:ext uri="{FF2B5EF4-FFF2-40B4-BE49-F238E27FC236}">
              <a16:creationId xmlns:a16="http://schemas.microsoft.com/office/drawing/2014/main" id="{90F965BA-79DF-436B-A168-1BD83E462B7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36" name="Text Box 1">
          <a:extLst>
            <a:ext uri="{FF2B5EF4-FFF2-40B4-BE49-F238E27FC236}">
              <a16:creationId xmlns:a16="http://schemas.microsoft.com/office/drawing/2014/main" id="{D7E5886F-1677-483A-A250-9B665F6223E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37" name="Text Box 3">
          <a:extLst>
            <a:ext uri="{FF2B5EF4-FFF2-40B4-BE49-F238E27FC236}">
              <a16:creationId xmlns:a16="http://schemas.microsoft.com/office/drawing/2014/main" id="{0424AB79-41CB-468D-9EF4-392353EEEF3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38" name="Text Box 1">
          <a:extLst>
            <a:ext uri="{FF2B5EF4-FFF2-40B4-BE49-F238E27FC236}">
              <a16:creationId xmlns:a16="http://schemas.microsoft.com/office/drawing/2014/main" id="{867EA526-0893-4094-9C24-7AAE1F79AC8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39" name="Text Box 3">
          <a:extLst>
            <a:ext uri="{FF2B5EF4-FFF2-40B4-BE49-F238E27FC236}">
              <a16:creationId xmlns:a16="http://schemas.microsoft.com/office/drawing/2014/main" id="{3E1C9B7C-42C5-4980-B9A9-D678D2C1E72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40" name="Text Box 1">
          <a:extLst>
            <a:ext uri="{FF2B5EF4-FFF2-40B4-BE49-F238E27FC236}">
              <a16:creationId xmlns:a16="http://schemas.microsoft.com/office/drawing/2014/main" id="{45FD74BA-A8A0-4A79-B028-14D991DD8B1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41" name="Text Box 1">
          <a:extLst>
            <a:ext uri="{FF2B5EF4-FFF2-40B4-BE49-F238E27FC236}">
              <a16:creationId xmlns:a16="http://schemas.microsoft.com/office/drawing/2014/main" id="{027CD03C-C45C-45FF-BC63-E76FEA61631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42" name="Text Box 3">
          <a:extLst>
            <a:ext uri="{FF2B5EF4-FFF2-40B4-BE49-F238E27FC236}">
              <a16:creationId xmlns:a16="http://schemas.microsoft.com/office/drawing/2014/main" id="{8D4DBB3B-5F81-4D42-854E-B790402F1FB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43" name="Text Box 1">
          <a:extLst>
            <a:ext uri="{FF2B5EF4-FFF2-40B4-BE49-F238E27FC236}">
              <a16:creationId xmlns:a16="http://schemas.microsoft.com/office/drawing/2014/main" id="{99D73E60-844C-4CE3-9EAB-B93D4CDF23B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44" name="Text Box 3">
          <a:extLst>
            <a:ext uri="{FF2B5EF4-FFF2-40B4-BE49-F238E27FC236}">
              <a16:creationId xmlns:a16="http://schemas.microsoft.com/office/drawing/2014/main" id="{D01AC0D9-98E3-4ECE-BEE8-60C5533D092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45" name="Text Box 1">
          <a:extLst>
            <a:ext uri="{FF2B5EF4-FFF2-40B4-BE49-F238E27FC236}">
              <a16:creationId xmlns:a16="http://schemas.microsoft.com/office/drawing/2014/main" id="{4CD1E756-95CB-4ED3-9AF3-7CEC64258369}"/>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46" name="Text Box 3">
          <a:extLst>
            <a:ext uri="{FF2B5EF4-FFF2-40B4-BE49-F238E27FC236}">
              <a16:creationId xmlns:a16="http://schemas.microsoft.com/office/drawing/2014/main" id="{FE2EFDF5-F635-45BD-94F0-7AE3BD0D368A}"/>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47" name="Text Box 1">
          <a:extLst>
            <a:ext uri="{FF2B5EF4-FFF2-40B4-BE49-F238E27FC236}">
              <a16:creationId xmlns:a16="http://schemas.microsoft.com/office/drawing/2014/main" id="{FB2F7E94-0EAB-4A24-BC46-A4D228E8CAA4}"/>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48" name="Text Box 3">
          <a:extLst>
            <a:ext uri="{FF2B5EF4-FFF2-40B4-BE49-F238E27FC236}">
              <a16:creationId xmlns:a16="http://schemas.microsoft.com/office/drawing/2014/main" id="{EBB870C7-B8BA-495A-A23D-F996F87F4091}"/>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49" name="Text Box 1">
          <a:extLst>
            <a:ext uri="{FF2B5EF4-FFF2-40B4-BE49-F238E27FC236}">
              <a16:creationId xmlns:a16="http://schemas.microsoft.com/office/drawing/2014/main" id="{17688D32-8DB7-439B-BABD-A7388AFCDECB}"/>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50" name="Text Box 1">
          <a:extLst>
            <a:ext uri="{FF2B5EF4-FFF2-40B4-BE49-F238E27FC236}">
              <a16:creationId xmlns:a16="http://schemas.microsoft.com/office/drawing/2014/main" id="{0120150D-73E5-4C96-A0DD-8B793C025B54}"/>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51" name="Text Box 3">
          <a:extLst>
            <a:ext uri="{FF2B5EF4-FFF2-40B4-BE49-F238E27FC236}">
              <a16:creationId xmlns:a16="http://schemas.microsoft.com/office/drawing/2014/main" id="{511ABAD5-539D-430A-B7AA-2164FA2C0713}"/>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52" name="Text Box 1">
          <a:extLst>
            <a:ext uri="{FF2B5EF4-FFF2-40B4-BE49-F238E27FC236}">
              <a16:creationId xmlns:a16="http://schemas.microsoft.com/office/drawing/2014/main" id="{3B38FE02-6757-44F8-8D9B-6E2AB835DE91}"/>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53" name="Text Box 3">
          <a:extLst>
            <a:ext uri="{FF2B5EF4-FFF2-40B4-BE49-F238E27FC236}">
              <a16:creationId xmlns:a16="http://schemas.microsoft.com/office/drawing/2014/main" id="{67002157-89D5-4AF7-9490-0DEEB9F99EB5}"/>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54" name="Text Box 1">
          <a:extLst>
            <a:ext uri="{FF2B5EF4-FFF2-40B4-BE49-F238E27FC236}">
              <a16:creationId xmlns:a16="http://schemas.microsoft.com/office/drawing/2014/main" id="{A5A1683D-7CCD-4ABD-B549-A5A28D78964D}"/>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55" name="Text Box 1">
          <a:extLst>
            <a:ext uri="{FF2B5EF4-FFF2-40B4-BE49-F238E27FC236}">
              <a16:creationId xmlns:a16="http://schemas.microsoft.com/office/drawing/2014/main" id="{57AB7D13-93FA-4A7B-B9F4-3913F517CC1D}"/>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56" name="Text Box 3">
          <a:extLst>
            <a:ext uri="{FF2B5EF4-FFF2-40B4-BE49-F238E27FC236}">
              <a16:creationId xmlns:a16="http://schemas.microsoft.com/office/drawing/2014/main" id="{F264C9D6-6B3C-4C37-8B82-FF4F4BD7F078}"/>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57" name="Text Box 1">
          <a:extLst>
            <a:ext uri="{FF2B5EF4-FFF2-40B4-BE49-F238E27FC236}">
              <a16:creationId xmlns:a16="http://schemas.microsoft.com/office/drawing/2014/main" id="{ECDF81D6-7134-49B7-854B-95B9806C2EE3}"/>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58" name="Text Box 1">
          <a:extLst>
            <a:ext uri="{FF2B5EF4-FFF2-40B4-BE49-F238E27FC236}">
              <a16:creationId xmlns:a16="http://schemas.microsoft.com/office/drawing/2014/main" id="{0B46489E-88CE-473F-A01D-2D4F82474D86}"/>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59" name="Text Box 3">
          <a:extLst>
            <a:ext uri="{FF2B5EF4-FFF2-40B4-BE49-F238E27FC236}">
              <a16:creationId xmlns:a16="http://schemas.microsoft.com/office/drawing/2014/main" id="{64F76609-3238-4F50-90EB-EAFD4C3CCAF4}"/>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60" name="Text Box 1">
          <a:extLst>
            <a:ext uri="{FF2B5EF4-FFF2-40B4-BE49-F238E27FC236}">
              <a16:creationId xmlns:a16="http://schemas.microsoft.com/office/drawing/2014/main" id="{622DA65F-1F76-42C2-AD05-827847B09B38}"/>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61" name="Text Box 3">
          <a:extLst>
            <a:ext uri="{FF2B5EF4-FFF2-40B4-BE49-F238E27FC236}">
              <a16:creationId xmlns:a16="http://schemas.microsoft.com/office/drawing/2014/main" id="{DCD454C9-03A0-4D2B-AFA8-DE06AEB07B65}"/>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62" name="Text Box 1">
          <a:extLst>
            <a:ext uri="{FF2B5EF4-FFF2-40B4-BE49-F238E27FC236}">
              <a16:creationId xmlns:a16="http://schemas.microsoft.com/office/drawing/2014/main" id="{717365DC-6CEA-41D5-8AA2-6BD3DE2E3ADC}"/>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63" name="Text Box 1">
          <a:extLst>
            <a:ext uri="{FF2B5EF4-FFF2-40B4-BE49-F238E27FC236}">
              <a16:creationId xmlns:a16="http://schemas.microsoft.com/office/drawing/2014/main" id="{A5B9510E-B0A2-403C-9635-5E897EB59650}"/>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64" name="Text Box 3">
          <a:extLst>
            <a:ext uri="{FF2B5EF4-FFF2-40B4-BE49-F238E27FC236}">
              <a16:creationId xmlns:a16="http://schemas.microsoft.com/office/drawing/2014/main" id="{A5A11503-D78E-408C-A3C8-984ECDD077E3}"/>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65" name="Text Box 1">
          <a:extLst>
            <a:ext uri="{FF2B5EF4-FFF2-40B4-BE49-F238E27FC236}">
              <a16:creationId xmlns:a16="http://schemas.microsoft.com/office/drawing/2014/main" id="{90A8172A-C57D-42B5-A053-33E89D974282}"/>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66" name="Text Box 3">
          <a:extLst>
            <a:ext uri="{FF2B5EF4-FFF2-40B4-BE49-F238E27FC236}">
              <a16:creationId xmlns:a16="http://schemas.microsoft.com/office/drawing/2014/main" id="{7D7E6167-583C-4A59-BE18-17B09ACD0801}"/>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67" name="Text Box 1">
          <a:extLst>
            <a:ext uri="{FF2B5EF4-FFF2-40B4-BE49-F238E27FC236}">
              <a16:creationId xmlns:a16="http://schemas.microsoft.com/office/drawing/2014/main" id="{DFD8E610-A2C3-40BA-9D03-F366B37F19EF}"/>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68" name="Text Box 1">
          <a:extLst>
            <a:ext uri="{FF2B5EF4-FFF2-40B4-BE49-F238E27FC236}">
              <a16:creationId xmlns:a16="http://schemas.microsoft.com/office/drawing/2014/main" id="{34B5297B-AB67-4C25-A0A3-41A96299DAC8}"/>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69" name="Text Box 3">
          <a:extLst>
            <a:ext uri="{FF2B5EF4-FFF2-40B4-BE49-F238E27FC236}">
              <a16:creationId xmlns:a16="http://schemas.microsoft.com/office/drawing/2014/main" id="{920C7DEC-8CA8-4E1D-A7EF-897BC2EFBE1A}"/>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70" name="Text Box 3">
          <a:extLst>
            <a:ext uri="{FF2B5EF4-FFF2-40B4-BE49-F238E27FC236}">
              <a16:creationId xmlns:a16="http://schemas.microsoft.com/office/drawing/2014/main" id="{52671BD4-1372-44F1-A232-0A53A96DFE7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71" name="Text Box 1">
          <a:extLst>
            <a:ext uri="{FF2B5EF4-FFF2-40B4-BE49-F238E27FC236}">
              <a16:creationId xmlns:a16="http://schemas.microsoft.com/office/drawing/2014/main" id="{B59DE8CC-E96B-4BDA-84F8-05C9C6F0B09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72" name="Text Box 3">
          <a:extLst>
            <a:ext uri="{FF2B5EF4-FFF2-40B4-BE49-F238E27FC236}">
              <a16:creationId xmlns:a16="http://schemas.microsoft.com/office/drawing/2014/main" id="{709CAF74-7B22-4163-A1DE-859C143B6FD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73" name="Text Box 1">
          <a:extLst>
            <a:ext uri="{FF2B5EF4-FFF2-40B4-BE49-F238E27FC236}">
              <a16:creationId xmlns:a16="http://schemas.microsoft.com/office/drawing/2014/main" id="{18ED29D3-4EDC-44A1-AB1B-0CFCFF232CA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74" name="Text Box 1">
          <a:extLst>
            <a:ext uri="{FF2B5EF4-FFF2-40B4-BE49-F238E27FC236}">
              <a16:creationId xmlns:a16="http://schemas.microsoft.com/office/drawing/2014/main" id="{A98C197B-0BE2-4226-B98D-133F140DBB8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75" name="Text Box 3">
          <a:extLst>
            <a:ext uri="{FF2B5EF4-FFF2-40B4-BE49-F238E27FC236}">
              <a16:creationId xmlns:a16="http://schemas.microsoft.com/office/drawing/2014/main" id="{A0401E7D-CF9A-4ADD-B7EA-0B4B2C0134E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76" name="Text Box 1">
          <a:extLst>
            <a:ext uri="{FF2B5EF4-FFF2-40B4-BE49-F238E27FC236}">
              <a16:creationId xmlns:a16="http://schemas.microsoft.com/office/drawing/2014/main" id="{F9DBFB15-40FA-43F5-AE79-81B192E3D24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77" name="Text Box 3">
          <a:extLst>
            <a:ext uri="{FF2B5EF4-FFF2-40B4-BE49-F238E27FC236}">
              <a16:creationId xmlns:a16="http://schemas.microsoft.com/office/drawing/2014/main" id="{1229AC83-E912-49A7-A55F-18ADC821B21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78" name="Text Box 1">
          <a:extLst>
            <a:ext uri="{FF2B5EF4-FFF2-40B4-BE49-F238E27FC236}">
              <a16:creationId xmlns:a16="http://schemas.microsoft.com/office/drawing/2014/main" id="{D4DFE562-8198-42F6-83CE-9228234E18F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79" name="Text Box 1">
          <a:extLst>
            <a:ext uri="{FF2B5EF4-FFF2-40B4-BE49-F238E27FC236}">
              <a16:creationId xmlns:a16="http://schemas.microsoft.com/office/drawing/2014/main" id="{394DA4A5-8E25-4F02-9653-F07E2214629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80" name="Text Box 3">
          <a:extLst>
            <a:ext uri="{FF2B5EF4-FFF2-40B4-BE49-F238E27FC236}">
              <a16:creationId xmlns:a16="http://schemas.microsoft.com/office/drawing/2014/main" id="{0DC9023A-87B2-4CD6-ABF9-A34D55F7E05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81" name="Text Box 1">
          <a:extLst>
            <a:ext uri="{FF2B5EF4-FFF2-40B4-BE49-F238E27FC236}">
              <a16:creationId xmlns:a16="http://schemas.microsoft.com/office/drawing/2014/main" id="{1437BA10-EAF2-4CD1-B188-63C57E277DF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82" name="Text Box 1">
          <a:extLst>
            <a:ext uri="{FF2B5EF4-FFF2-40B4-BE49-F238E27FC236}">
              <a16:creationId xmlns:a16="http://schemas.microsoft.com/office/drawing/2014/main" id="{2F3F586B-A3D9-4CEF-B1A0-50CCDF6C38B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83" name="Text Box 3">
          <a:extLst>
            <a:ext uri="{FF2B5EF4-FFF2-40B4-BE49-F238E27FC236}">
              <a16:creationId xmlns:a16="http://schemas.microsoft.com/office/drawing/2014/main" id="{4EA11609-DC11-44EC-9BB2-DD40739F9CE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84" name="Text Box 1">
          <a:extLst>
            <a:ext uri="{FF2B5EF4-FFF2-40B4-BE49-F238E27FC236}">
              <a16:creationId xmlns:a16="http://schemas.microsoft.com/office/drawing/2014/main" id="{FC639021-66DF-4DEF-A75B-986AEE3C80F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85" name="Text Box 3">
          <a:extLst>
            <a:ext uri="{FF2B5EF4-FFF2-40B4-BE49-F238E27FC236}">
              <a16:creationId xmlns:a16="http://schemas.microsoft.com/office/drawing/2014/main" id="{5E953742-9CEB-4785-B1FD-4F76DA69317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86" name="Text Box 1">
          <a:extLst>
            <a:ext uri="{FF2B5EF4-FFF2-40B4-BE49-F238E27FC236}">
              <a16:creationId xmlns:a16="http://schemas.microsoft.com/office/drawing/2014/main" id="{E8E7F101-D9A3-4E69-9F1C-62CB93D872B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87" name="Text Box 3">
          <a:extLst>
            <a:ext uri="{FF2B5EF4-FFF2-40B4-BE49-F238E27FC236}">
              <a16:creationId xmlns:a16="http://schemas.microsoft.com/office/drawing/2014/main" id="{7AC03134-0B90-4B1A-8A96-F537FCF0F71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88" name="Text Box 1">
          <a:extLst>
            <a:ext uri="{FF2B5EF4-FFF2-40B4-BE49-F238E27FC236}">
              <a16:creationId xmlns:a16="http://schemas.microsoft.com/office/drawing/2014/main" id="{FCC0602C-0318-4453-B52D-DFD69756A61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89" name="Text Box 3">
          <a:extLst>
            <a:ext uri="{FF2B5EF4-FFF2-40B4-BE49-F238E27FC236}">
              <a16:creationId xmlns:a16="http://schemas.microsoft.com/office/drawing/2014/main" id="{F78CBDB6-5638-4508-AF14-225FE35C81A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90" name="Text Box 1">
          <a:extLst>
            <a:ext uri="{FF2B5EF4-FFF2-40B4-BE49-F238E27FC236}">
              <a16:creationId xmlns:a16="http://schemas.microsoft.com/office/drawing/2014/main" id="{DDD677BC-086A-4A35-88A5-07CA6C905A7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91" name="Text Box 1">
          <a:extLst>
            <a:ext uri="{FF2B5EF4-FFF2-40B4-BE49-F238E27FC236}">
              <a16:creationId xmlns:a16="http://schemas.microsoft.com/office/drawing/2014/main" id="{0A120B47-CF22-4C66-86F3-50D2434FA76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92" name="Text Box 3">
          <a:extLst>
            <a:ext uri="{FF2B5EF4-FFF2-40B4-BE49-F238E27FC236}">
              <a16:creationId xmlns:a16="http://schemas.microsoft.com/office/drawing/2014/main" id="{495BD370-C1E5-47EC-A423-BECF959E61D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93" name="Text Box 1">
          <a:extLst>
            <a:ext uri="{FF2B5EF4-FFF2-40B4-BE49-F238E27FC236}">
              <a16:creationId xmlns:a16="http://schemas.microsoft.com/office/drawing/2014/main" id="{7620FEB0-C02E-44FE-9713-D338413E221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94" name="Text Box 1">
          <a:extLst>
            <a:ext uri="{FF2B5EF4-FFF2-40B4-BE49-F238E27FC236}">
              <a16:creationId xmlns:a16="http://schemas.microsoft.com/office/drawing/2014/main" id="{CE043EB7-8C01-4380-B24D-0B461CBB452D}"/>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95" name="Text Box 1">
          <a:extLst>
            <a:ext uri="{FF2B5EF4-FFF2-40B4-BE49-F238E27FC236}">
              <a16:creationId xmlns:a16="http://schemas.microsoft.com/office/drawing/2014/main" id="{7CB0AE68-98B7-407D-A2AF-CA2CA899351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96" name="Text Box 3">
          <a:extLst>
            <a:ext uri="{FF2B5EF4-FFF2-40B4-BE49-F238E27FC236}">
              <a16:creationId xmlns:a16="http://schemas.microsoft.com/office/drawing/2014/main" id="{FD2FE6DC-E4C5-490E-8F2E-E5B5902BB96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97" name="Text Box 1">
          <a:extLst>
            <a:ext uri="{FF2B5EF4-FFF2-40B4-BE49-F238E27FC236}">
              <a16:creationId xmlns:a16="http://schemas.microsoft.com/office/drawing/2014/main" id="{F8997016-FCDA-47C0-B6D2-C6AE71DFFDB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98" name="Text Box 3">
          <a:extLst>
            <a:ext uri="{FF2B5EF4-FFF2-40B4-BE49-F238E27FC236}">
              <a16:creationId xmlns:a16="http://schemas.microsoft.com/office/drawing/2014/main" id="{9D9788F7-36CC-4557-A915-CC341225047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99" name="Text Box 1">
          <a:extLst>
            <a:ext uri="{FF2B5EF4-FFF2-40B4-BE49-F238E27FC236}">
              <a16:creationId xmlns:a16="http://schemas.microsoft.com/office/drawing/2014/main" id="{F4BC4FB0-DA01-4B9E-B004-7694F436AAD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00" name="Text Box 1">
          <a:extLst>
            <a:ext uri="{FF2B5EF4-FFF2-40B4-BE49-F238E27FC236}">
              <a16:creationId xmlns:a16="http://schemas.microsoft.com/office/drawing/2014/main" id="{F9BF1B5C-2BBB-4646-80E7-D19B5D77258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01" name="Text Box 3">
          <a:extLst>
            <a:ext uri="{FF2B5EF4-FFF2-40B4-BE49-F238E27FC236}">
              <a16:creationId xmlns:a16="http://schemas.microsoft.com/office/drawing/2014/main" id="{FD05DEEC-5C72-4525-A448-54D4B46FFE0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02" name="Text Box 1">
          <a:extLst>
            <a:ext uri="{FF2B5EF4-FFF2-40B4-BE49-F238E27FC236}">
              <a16:creationId xmlns:a16="http://schemas.microsoft.com/office/drawing/2014/main" id="{8EB7CAEE-6359-48DE-939C-86BA2CFFDB2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03" name="Text Box 3">
          <a:extLst>
            <a:ext uri="{FF2B5EF4-FFF2-40B4-BE49-F238E27FC236}">
              <a16:creationId xmlns:a16="http://schemas.microsoft.com/office/drawing/2014/main" id="{219B9E0B-5D4B-4217-8F81-3DF5C3D36C1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04" name="Text Box 1">
          <a:extLst>
            <a:ext uri="{FF2B5EF4-FFF2-40B4-BE49-F238E27FC236}">
              <a16:creationId xmlns:a16="http://schemas.microsoft.com/office/drawing/2014/main" id="{206FB620-1E52-420F-A675-34A9A80A51B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05" name="Text Box 1">
          <a:extLst>
            <a:ext uri="{FF2B5EF4-FFF2-40B4-BE49-F238E27FC236}">
              <a16:creationId xmlns:a16="http://schemas.microsoft.com/office/drawing/2014/main" id="{3893CA42-C9B4-4BBE-A53C-09E30C2F53E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06" name="Text Box 3">
          <a:extLst>
            <a:ext uri="{FF2B5EF4-FFF2-40B4-BE49-F238E27FC236}">
              <a16:creationId xmlns:a16="http://schemas.microsoft.com/office/drawing/2014/main" id="{1B5FEFFA-1DC9-420F-86BB-33D1B8293B6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07" name="Text Box 1">
          <a:extLst>
            <a:ext uri="{FF2B5EF4-FFF2-40B4-BE49-F238E27FC236}">
              <a16:creationId xmlns:a16="http://schemas.microsoft.com/office/drawing/2014/main" id="{3F6BF585-728C-4E13-B7BB-9C81A25422F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08" name="Text Box 3">
          <a:extLst>
            <a:ext uri="{FF2B5EF4-FFF2-40B4-BE49-F238E27FC236}">
              <a16:creationId xmlns:a16="http://schemas.microsoft.com/office/drawing/2014/main" id="{71BC81A6-7024-49FC-9886-24F7245FDE5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09" name="Text Box 1">
          <a:extLst>
            <a:ext uri="{FF2B5EF4-FFF2-40B4-BE49-F238E27FC236}">
              <a16:creationId xmlns:a16="http://schemas.microsoft.com/office/drawing/2014/main" id="{D791794F-31F7-4237-B5CB-03509A00ADF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10" name="Text Box 1">
          <a:extLst>
            <a:ext uri="{FF2B5EF4-FFF2-40B4-BE49-F238E27FC236}">
              <a16:creationId xmlns:a16="http://schemas.microsoft.com/office/drawing/2014/main" id="{3ED83F81-A74B-4EDF-9008-3FB3A96E827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11" name="Text Box 3">
          <a:extLst>
            <a:ext uri="{FF2B5EF4-FFF2-40B4-BE49-F238E27FC236}">
              <a16:creationId xmlns:a16="http://schemas.microsoft.com/office/drawing/2014/main" id="{469BA184-B706-442E-A0F2-4A478E9AE87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12" name="Text Box 1">
          <a:extLst>
            <a:ext uri="{FF2B5EF4-FFF2-40B4-BE49-F238E27FC236}">
              <a16:creationId xmlns:a16="http://schemas.microsoft.com/office/drawing/2014/main" id="{38D6D85E-78A2-4BEF-B5E2-27D1185FAB7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13" name="Text Box 3">
          <a:extLst>
            <a:ext uri="{FF2B5EF4-FFF2-40B4-BE49-F238E27FC236}">
              <a16:creationId xmlns:a16="http://schemas.microsoft.com/office/drawing/2014/main" id="{47A0D693-CC34-433E-A420-EAC632FB62D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14" name="Text Box 1">
          <a:extLst>
            <a:ext uri="{FF2B5EF4-FFF2-40B4-BE49-F238E27FC236}">
              <a16:creationId xmlns:a16="http://schemas.microsoft.com/office/drawing/2014/main" id="{B6E0A695-706A-433F-A181-D6FFCD889C0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15" name="Text Box 1">
          <a:extLst>
            <a:ext uri="{FF2B5EF4-FFF2-40B4-BE49-F238E27FC236}">
              <a16:creationId xmlns:a16="http://schemas.microsoft.com/office/drawing/2014/main" id="{B6963A39-0B6E-4D4E-9618-7518D1FD90A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16" name="Text Box 3">
          <a:extLst>
            <a:ext uri="{FF2B5EF4-FFF2-40B4-BE49-F238E27FC236}">
              <a16:creationId xmlns:a16="http://schemas.microsoft.com/office/drawing/2014/main" id="{9DD87A16-2AB2-47ED-B5CF-34B0E3F75D0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17" name="Text Box 1">
          <a:extLst>
            <a:ext uri="{FF2B5EF4-FFF2-40B4-BE49-F238E27FC236}">
              <a16:creationId xmlns:a16="http://schemas.microsoft.com/office/drawing/2014/main" id="{50133AC9-B6A0-43DE-A55C-B2FDE08DB8A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18" name="Text Box 3">
          <a:extLst>
            <a:ext uri="{FF2B5EF4-FFF2-40B4-BE49-F238E27FC236}">
              <a16:creationId xmlns:a16="http://schemas.microsoft.com/office/drawing/2014/main" id="{3E66D9CD-7F74-4F77-BEB3-BEC0C90B74B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19" name="Text Box 1">
          <a:extLst>
            <a:ext uri="{FF2B5EF4-FFF2-40B4-BE49-F238E27FC236}">
              <a16:creationId xmlns:a16="http://schemas.microsoft.com/office/drawing/2014/main" id="{91AF1633-73FE-4B70-8454-B1094578252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20" name="Text Box 1">
          <a:extLst>
            <a:ext uri="{FF2B5EF4-FFF2-40B4-BE49-F238E27FC236}">
              <a16:creationId xmlns:a16="http://schemas.microsoft.com/office/drawing/2014/main" id="{5F6B7BA1-AA55-499C-B17B-C291AC823CE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21" name="Text Box 3">
          <a:extLst>
            <a:ext uri="{FF2B5EF4-FFF2-40B4-BE49-F238E27FC236}">
              <a16:creationId xmlns:a16="http://schemas.microsoft.com/office/drawing/2014/main" id="{31666589-269F-4567-AFDB-7E742FE2996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22" name="Text Box 1">
          <a:extLst>
            <a:ext uri="{FF2B5EF4-FFF2-40B4-BE49-F238E27FC236}">
              <a16:creationId xmlns:a16="http://schemas.microsoft.com/office/drawing/2014/main" id="{A56F685B-D234-4FF2-83D8-0C392E2CF0C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23" name="Text Box 3">
          <a:extLst>
            <a:ext uri="{FF2B5EF4-FFF2-40B4-BE49-F238E27FC236}">
              <a16:creationId xmlns:a16="http://schemas.microsoft.com/office/drawing/2014/main" id="{478355FD-9316-4B90-A324-88FCF34E51A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24" name="Text Box 1">
          <a:extLst>
            <a:ext uri="{FF2B5EF4-FFF2-40B4-BE49-F238E27FC236}">
              <a16:creationId xmlns:a16="http://schemas.microsoft.com/office/drawing/2014/main" id="{489AD431-2411-4029-A5BC-4C4212C5EAF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25" name="Text Box 1">
          <a:extLst>
            <a:ext uri="{FF2B5EF4-FFF2-40B4-BE49-F238E27FC236}">
              <a16:creationId xmlns:a16="http://schemas.microsoft.com/office/drawing/2014/main" id="{3927FA36-01BA-4B22-A42C-77779FFAA47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26" name="Text Box 3">
          <a:extLst>
            <a:ext uri="{FF2B5EF4-FFF2-40B4-BE49-F238E27FC236}">
              <a16:creationId xmlns:a16="http://schemas.microsoft.com/office/drawing/2014/main" id="{F8AFAA06-56FD-4EA2-8266-813AE9FBBE5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27" name="Text Box 1">
          <a:extLst>
            <a:ext uri="{FF2B5EF4-FFF2-40B4-BE49-F238E27FC236}">
              <a16:creationId xmlns:a16="http://schemas.microsoft.com/office/drawing/2014/main" id="{CBA0BB11-2B36-4720-A4EE-9CE9B683EEA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28" name="Text Box 3">
          <a:extLst>
            <a:ext uri="{FF2B5EF4-FFF2-40B4-BE49-F238E27FC236}">
              <a16:creationId xmlns:a16="http://schemas.microsoft.com/office/drawing/2014/main" id="{00F7E589-1E8C-451A-9031-082115072A0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29" name="Text Box 1">
          <a:extLst>
            <a:ext uri="{FF2B5EF4-FFF2-40B4-BE49-F238E27FC236}">
              <a16:creationId xmlns:a16="http://schemas.microsoft.com/office/drawing/2014/main" id="{286B419F-FA06-48F0-8BC6-5A0A3960B27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30" name="Text Box 1">
          <a:extLst>
            <a:ext uri="{FF2B5EF4-FFF2-40B4-BE49-F238E27FC236}">
              <a16:creationId xmlns:a16="http://schemas.microsoft.com/office/drawing/2014/main" id="{B4D6EAE9-0249-4426-A2D1-05D3750F74A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31" name="Text Box 3">
          <a:extLst>
            <a:ext uri="{FF2B5EF4-FFF2-40B4-BE49-F238E27FC236}">
              <a16:creationId xmlns:a16="http://schemas.microsoft.com/office/drawing/2014/main" id="{E4AD738E-1F88-417F-88F6-331E9525C0D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32" name="Text Box 1">
          <a:extLst>
            <a:ext uri="{FF2B5EF4-FFF2-40B4-BE49-F238E27FC236}">
              <a16:creationId xmlns:a16="http://schemas.microsoft.com/office/drawing/2014/main" id="{11B7EF5C-3AEF-4B04-A4A7-F8FB2AAC69F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33" name="Text Box 3">
          <a:extLst>
            <a:ext uri="{FF2B5EF4-FFF2-40B4-BE49-F238E27FC236}">
              <a16:creationId xmlns:a16="http://schemas.microsoft.com/office/drawing/2014/main" id="{6BC997D9-76F2-4549-9E06-4C9A47E8CEC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34" name="Text Box 1">
          <a:extLst>
            <a:ext uri="{FF2B5EF4-FFF2-40B4-BE49-F238E27FC236}">
              <a16:creationId xmlns:a16="http://schemas.microsoft.com/office/drawing/2014/main" id="{8E1A3BFE-B50D-4BF9-8C61-C3B473E11C1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35" name="Text Box 1">
          <a:extLst>
            <a:ext uri="{FF2B5EF4-FFF2-40B4-BE49-F238E27FC236}">
              <a16:creationId xmlns:a16="http://schemas.microsoft.com/office/drawing/2014/main" id="{4CFAA425-9FBE-4BE8-848B-8D64295254F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36" name="Text Box 3">
          <a:extLst>
            <a:ext uri="{FF2B5EF4-FFF2-40B4-BE49-F238E27FC236}">
              <a16:creationId xmlns:a16="http://schemas.microsoft.com/office/drawing/2014/main" id="{118302F0-F381-4AE3-9EC2-476C6137F62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37" name="Text Box 1">
          <a:extLst>
            <a:ext uri="{FF2B5EF4-FFF2-40B4-BE49-F238E27FC236}">
              <a16:creationId xmlns:a16="http://schemas.microsoft.com/office/drawing/2014/main" id="{46D1A3DD-A642-45F0-97A2-860CE9FB6C0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38" name="Text Box 3">
          <a:extLst>
            <a:ext uri="{FF2B5EF4-FFF2-40B4-BE49-F238E27FC236}">
              <a16:creationId xmlns:a16="http://schemas.microsoft.com/office/drawing/2014/main" id="{F6E0C0FE-5CC0-4C24-9F93-61B83172A7A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39" name="Text Box 1">
          <a:extLst>
            <a:ext uri="{FF2B5EF4-FFF2-40B4-BE49-F238E27FC236}">
              <a16:creationId xmlns:a16="http://schemas.microsoft.com/office/drawing/2014/main" id="{99791404-9548-4E1D-B7A3-A8F23C50EB1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40" name="Text Box 1">
          <a:extLst>
            <a:ext uri="{FF2B5EF4-FFF2-40B4-BE49-F238E27FC236}">
              <a16:creationId xmlns:a16="http://schemas.microsoft.com/office/drawing/2014/main" id="{30275CA7-51B7-4AA7-ADEB-99938ED51E6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41" name="Text Box 3">
          <a:extLst>
            <a:ext uri="{FF2B5EF4-FFF2-40B4-BE49-F238E27FC236}">
              <a16:creationId xmlns:a16="http://schemas.microsoft.com/office/drawing/2014/main" id="{0AF6BD2A-6845-4D43-8931-8076BED7220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42" name="Text Box 1">
          <a:extLst>
            <a:ext uri="{FF2B5EF4-FFF2-40B4-BE49-F238E27FC236}">
              <a16:creationId xmlns:a16="http://schemas.microsoft.com/office/drawing/2014/main" id="{434EF0EB-19B2-47F3-A4A4-1A41F6AC934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43" name="Text Box 3">
          <a:extLst>
            <a:ext uri="{FF2B5EF4-FFF2-40B4-BE49-F238E27FC236}">
              <a16:creationId xmlns:a16="http://schemas.microsoft.com/office/drawing/2014/main" id="{97E5FB76-78E8-4027-89E5-A21EF92FC25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44" name="Text Box 1">
          <a:extLst>
            <a:ext uri="{FF2B5EF4-FFF2-40B4-BE49-F238E27FC236}">
              <a16:creationId xmlns:a16="http://schemas.microsoft.com/office/drawing/2014/main" id="{DD6526E2-AB19-49B3-AC06-A400F59C01B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45" name="Text Box 1">
          <a:extLst>
            <a:ext uri="{FF2B5EF4-FFF2-40B4-BE49-F238E27FC236}">
              <a16:creationId xmlns:a16="http://schemas.microsoft.com/office/drawing/2014/main" id="{2CC32A8D-D703-4F4A-8590-0B352DF0DE7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46" name="Text Box 3">
          <a:extLst>
            <a:ext uri="{FF2B5EF4-FFF2-40B4-BE49-F238E27FC236}">
              <a16:creationId xmlns:a16="http://schemas.microsoft.com/office/drawing/2014/main" id="{A8E9E9CC-A1F8-4E92-8F41-87A29F4C0CB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47" name="Text Box 1">
          <a:extLst>
            <a:ext uri="{FF2B5EF4-FFF2-40B4-BE49-F238E27FC236}">
              <a16:creationId xmlns:a16="http://schemas.microsoft.com/office/drawing/2014/main" id="{677B987C-B2CD-49D9-B8DF-ABD9A0088CD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48" name="Text Box 3">
          <a:extLst>
            <a:ext uri="{FF2B5EF4-FFF2-40B4-BE49-F238E27FC236}">
              <a16:creationId xmlns:a16="http://schemas.microsoft.com/office/drawing/2014/main" id="{8E3CDDE9-E759-4023-B5FB-22FB4A90588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49" name="Text Box 1">
          <a:extLst>
            <a:ext uri="{FF2B5EF4-FFF2-40B4-BE49-F238E27FC236}">
              <a16:creationId xmlns:a16="http://schemas.microsoft.com/office/drawing/2014/main" id="{55E45612-DB02-4DBD-BC0F-02D1EAC2849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50" name="Text Box 1">
          <a:extLst>
            <a:ext uri="{FF2B5EF4-FFF2-40B4-BE49-F238E27FC236}">
              <a16:creationId xmlns:a16="http://schemas.microsoft.com/office/drawing/2014/main" id="{05296CFA-1B26-4574-BF21-B6A0DFFC531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51" name="Text Box 3">
          <a:extLst>
            <a:ext uri="{FF2B5EF4-FFF2-40B4-BE49-F238E27FC236}">
              <a16:creationId xmlns:a16="http://schemas.microsoft.com/office/drawing/2014/main" id="{16E29CB9-5EC9-4A8B-A016-BB214D9DBBE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52" name="Text Box 1">
          <a:extLst>
            <a:ext uri="{FF2B5EF4-FFF2-40B4-BE49-F238E27FC236}">
              <a16:creationId xmlns:a16="http://schemas.microsoft.com/office/drawing/2014/main" id="{5BED0C9F-B3F9-42F3-AD40-8FF65021439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53" name="Text Box 3">
          <a:extLst>
            <a:ext uri="{FF2B5EF4-FFF2-40B4-BE49-F238E27FC236}">
              <a16:creationId xmlns:a16="http://schemas.microsoft.com/office/drawing/2014/main" id="{AFE12FC2-F2F0-43C9-831C-5EAE38D850E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54" name="Text Box 1">
          <a:extLst>
            <a:ext uri="{FF2B5EF4-FFF2-40B4-BE49-F238E27FC236}">
              <a16:creationId xmlns:a16="http://schemas.microsoft.com/office/drawing/2014/main" id="{909590F8-C44E-4F75-926A-9F9C92892DC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55" name="Text Box 1">
          <a:extLst>
            <a:ext uri="{FF2B5EF4-FFF2-40B4-BE49-F238E27FC236}">
              <a16:creationId xmlns:a16="http://schemas.microsoft.com/office/drawing/2014/main" id="{3A308224-9125-4B4C-AD6E-E0A16261C42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56" name="Text Box 3">
          <a:extLst>
            <a:ext uri="{FF2B5EF4-FFF2-40B4-BE49-F238E27FC236}">
              <a16:creationId xmlns:a16="http://schemas.microsoft.com/office/drawing/2014/main" id="{751D1534-9CC4-4929-922A-40AE4D7751E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57" name="Text Box 1">
          <a:extLst>
            <a:ext uri="{FF2B5EF4-FFF2-40B4-BE49-F238E27FC236}">
              <a16:creationId xmlns:a16="http://schemas.microsoft.com/office/drawing/2014/main" id="{1075CCDF-D8AD-4724-B395-E95CAC42BB8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58" name="Text Box 3">
          <a:extLst>
            <a:ext uri="{FF2B5EF4-FFF2-40B4-BE49-F238E27FC236}">
              <a16:creationId xmlns:a16="http://schemas.microsoft.com/office/drawing/2014/main" id="{36A75BF5-CDBD-4F3A-8696-94DD85154A2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59" name="Text Box 1">
          <a:extLst>
            <a:ext uri="{FF2B5EF4-FFF2-40B4-BE49-F238E27FC236}">
              <a16:creationId xmlns:a16="http://schemas.microsoft.com/office/drawing/2014/main" id="{18D9CF8E-7F8F-4C75-851D-177658CBB1F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60" name="Text Box 1">
          <a:extLst>
            <a:ext uri="{FF2B5EF4-FFF2-40B4-BE49-F238E27FC236}">
              <a16:creationId xmlns:a16="http://schemas.microsoft.com/office/drawing/2014/main" id="{46ED59D8-4675-44D7-A3D6-AA22B26F94F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61" name="Text Box 3">
          <a:extLst>
            <a:ext uri="{FF2B5EF4-FFF2-40B4-BE49-F238E27FC236}">
              <a16:creationId xmlns:a16="http://schemas.microsoft.com/office/drawing/2014/main" id="{5D6228EF-4405-4176-9BEB-133F08EE4C5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62" name="Text Box 1">
          <a:extLst>
            <a:ext uri="{FF2B5EF4-FFF2-40B4-BE49-F238E27FC236}">
              <a16:creationId xmlns:a16="http://schemas.microsoft.com/office/drawing/2014/main" id="{E52FE5E7-D560-415E-98EB-EB6BAE03C12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63" name="Text Box 3">
          <a:extLst>
            <a:ext uri="{FF2B5EF4-FFF2-40B4-BE49-F238E27FC236}">
              <a16:creationId xmlns:a16="http://schemas.microsoft.com/office/drawing/2014/main" id="{8D2594DD-9DE0-47E0-817F-2BB87317E03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64" name="Text Box 1">
          <a:extLst>
            <a:ext uri="{FF2B5EF4-FFF2-40B4-BE49-F238E27FC236}">
              <a16:creationId xmlns:a16="http://schemas.microsoft.com/office/drawing/2014/main" id="{27DBF825-5362-4CAD-938D-826160C6374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65" name="Text Box 1">
          <a:extLst>
            <a:ext uri="{FF2B5EF4-FFF2-40B4-BE49-F238E27FC236}">
              <a16:creationId xmlns:a16="http://schemas.microsoft.com/office/drawing/2014/main" id="{D7C3CFE2-6512-4FD8-8932-235D567A1DA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66" name="Text Box 3">
          <a:extLst>
            <a:ext uri="{FF2B5EF4-FFF2-40B4-BE49-F238E27FC236}">
              <a16:creationId xmlns:a16="http://schemas.microsoft.com/office/drawing/2014/main" id="{E5A76588-6AF5-4B72-96CF-47394013430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67" name="Text Box 1">
          <a:extLst>
            <a:ext uri="{FF2B5EF4-FFF2-40B4-BE49-F238E27FC236}">
              <a16:creationId xmlns:a16="http://schemas.microsoft.com/office/drawing/2014/main" id="{5A24187E-9713-4753-A379-B9F606AD813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68" name="Text Box 3">
          <a:extLst>
            <a:ext uri="{FF2B5EF4-FFF2-40B4-BE49-F238E27FC236}">
              <a16:creationId xmlns:a16="http://schemas.microsoft.com/office/drawing/2014/main" id="{D3201C05-3B93-4E6F-9746-3BA72DC7224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69" name="Text Box 1">
          <a:extLst>
            <a:ext uri="{FF2B5EF4-FFF2-40B4-BE49-F238E27FC236}">
              <a16:creationId xmlns:a16="http://schemas.microsoft.com/office/drawing/2014/main" id="{FA2CA90B-4161-40C1-84EC-90408895CA0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70" name="Text Box 1">
          <a:extLst>
            <a:ext uri="{FF2B5EF4-FFF2-40B4-BE49-F238E27FC236}">
              <a16:creationId xmlns:a16="http://schemas.microsoft.com/office/drawing/2014/main" id="{F8C9F916-0D42-4C46-9756-FAAFB003DCD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71" name="Text Box 3">
          <a:extLst>
            <a:ext uri="{FF2B5EF4-FFF2-40B4-BE49-F238E27FC236}">
              <a16:creationId xmlns:a16="http://schemas.microsoft.com/office/drawing/2014/main" id="{68E3A0F5-9078-4161-B43A-2FDCF33D1B4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72" name="Text Box 1">
          <a:extLst>
            <a:ext uri="{FF2B5EF4-FFF2-40B4-BE49-F238E27FC236}">
              <a16:creationId xmlns:a16="http://schemas.microsoft.com/office/drawing/2014/main" id="{66A11CB9-CE68-4BD2-8A00-E88AFCD461F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73" name="Text Box 3">
          <a:extLst>
            <a:ext uri="{FF2B5EF4-FFF2-40B4-BE49-F238E27FC236}">
              <a16:creationId xmlns:a16="http://schemas.microsoft.com/office/drawing/2014/main" id="{106B221C-1691-42CD-82CA-EED1E81EF2C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74" name="Text Box 1">
          <a:extLst>
            <a:ext uri="{FF2B5EF4-FFF2-40B4-BE49-F238E27FC236}">
              <a16:creationId xmlns:a16="http://schemas.microsoft.com/office/drawing/2014/main" id="{663BCFC3-9306-4FCE-8A14-65A2F872E92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75" name="Text Box 1">
          <a:extLst>
            <a:ext uri="{FF2B5EF4-FFF2-40B4-BE49-F238E27FC236}">
              <a16:creationId xmlns:a16="http://schemas.microsoft.com/office/drawing/2014/main" id="{FAD6A155-0839-42D3-9F8F-EC1E2DA3A06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76" name="Text Box 3">
          <a:extLst>
            <a:ext uri="{FF2B5EF4-FFF2-40B4-BE49-F238E27FC236}">
              <a16:creationId xmlns:a16="http://schemas.microsoft.com/office/drawing/2014/main" id="{22F77A76-0A5D-4ED8-B54F-5EE07BD3597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77" name="Text Box 1">
          <a:extLst>
            <a:ext uri="{FF2B5EF4-FFF2-40B4-BE49-F238E27FC236}">
              <a16:creationId xmlns:a16="http://schemas.microsoft.com/office/drawing/2014/main" id="{53BCA7DE-CE49-43C3-B812-521B2BB44E5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78" name="Text Box 3">
          <a:extLst>
            <a:ext uri="{FF2B5EF4-FFF2-40B4-BE49-F238E27FC236}">
              <a16:creationId xmlns:a16="http://schemas.microsoft.com/office/drawing/2014/main" id="{4DDC34F3-2363-4ABD-A63B-BC31C67BA10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79" name="Text Box 1">
          <a:extLst>
            <a:ext uri="{FF2B5EF4-FFF2-40B4-BE49-F238E27FC236}">
              <a16:creationId xmlns:a16="http://schemas.microsoft.com/office/drawing/2014/main" id="{D3E4D8A6-EA30-4494-A3DA-51F6260C366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80" name="Text Box 1">
          <a:extLst>
            <a:ext uri="{FF2B5EF4-FFF2-40B4-BE49-F238E27FC236}">
              <a16:creationId xmlns:a16="http://schemas.microsoft.com/office/drawing/2014/main" id="{AD819EDC-E9B2-4557-BCD5-F187CE7D985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81" name="Text Box 3">
          <a:extLst>
            <a:ext uri="{FF2B5EF4-FFF2-40B4-BE49-F238E27FC236}">
              <a16:creationId xmlns:a16="http://schemas.microsoft.com/office/drawing/2014/main" id="{E467E2A3-0664-42A9-AD88-917AFDB05B8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82" name="Text Box 1">
          <a:extLst>
            <a:ext uri="{FF2B5EF4-FFF2-40B4-BE49-F238E27FC236}">
              <a16:creationId xmlns:a16="http://schemas.microsoft.com/office/drawing/2014/main" id="{7D5B5CFE-3B75-41C1-81B4-198E335A5E2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83" name="Text Box 3">
          <a:extLst>
            <a:ext uri="{FF2B5EF4-FFF2-40B4-BE49-F238E27FC236}">
              <a16:creationId xmlns:a16="http://schemas.microsoft.com/office/drawing/2014/main" id="{47216165-28AE-4489-A025-503ECC42478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84" name="Text Box 1">
          <a:extLst>
            <a:ext uri="{FF2B5EF4-FFF2-40B4-BE49-F238E27FC236}">
              <a16:creationId xmlns:a16="http://schemas.microsoft.com/office/drawing/2014/main" id="{AE4799CA-2EFD-4E23-82DF-54FF6F93A22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85" name="Text Box 1">
          <a:extLst>
            <a:ext uri="{FF2B5EF4-FFF2-40B4-BE49-F238E27FC236}">
              <a16:creationId xmlns:a16="http://schemas.microsoft.com/office/drawing/2014/main" id="{6CDEDB2A-C6EE-4ECC-85C4-6C2770E67A7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86" name="Text Box 3">
          <a:extLst>
            <a:ext uri="{FF2B5EF4-FFF2-40B4-BE49-F238E27FC236}">
              <a16:creationId xmlns:a16="http://schemas.microsoft.com/office/drawing/2014/main" id="{0EE27BAE-CC37-4178-B7A2-C73ACE5D157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87" name="Text Box 1">
          <a:extLst>
            <a:ext uri="{FF2B5EF4-FFF2-40B4-BE49-F238E27FC236}">
              <a16:creationId xmlns:a16="http://schemas.microsoft.com/office/drawing/2014/main" id="{6269C9A1-F42A-470A-BFE3-EAFF1915EBE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88" name="Text Box 3">
          <a:extLst>
            <a:ext uri="{FF2B5EF4-FFF2-40B4-BE49-F238E27FC236}">
              <a16:creationId xmlns:a16="http://schemas.microsoft.com/office/drawing/2014/main" id="{F92FBBF9-7897-4B2C-B824-9E104A1D7C7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89" name="Text Box 1">
          <a:extLst>
            <a:ext uri="{FF2B5EF4-FFF2-40B4-BE49-F238E27FC236}">
              <a16:creationId xmlns:a16="http://schemas.microsoft.com/office/drawing/2014/main" id="{768B8E63-315A-4025-B28C-619BF28F014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90" name="Text Box 1">
          <a:extLst>
            <a:ext uri="{FF2B5EF4-FFF2-40B4-BE49-F238E27FC236}">
              <a16:creationId xmlns:a16="http://schemas.microsoft.com/office/drawing/2014/main" id="{B683FFCB-8F5A-44F4-955D-AB779DF7007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91" name="Text Box 3">
          <a:extLst>
            <a:ext uri="{FF2B5EF4-FFF2-40B4-BE49-F238E27FC236}">
              <a16:creationId xmlns:a16="http://schemas.microsoft.com/office/drawing/2014/main" id="{D53C346F-BFE7-49EC-A91B-EA9A4397319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92" name="Text Box 1">
          <a:extLst>
            <a:ext uri="{FF2B5EF4-FFF2-40B4-BE49-F238E27FC236}">
              <a16:creationId xmlns:a16="http://schemas.microsoft.com/office/drawing/2014/main" id="{6AFA06D7-AAF3-4E9F-9923-D59A1E21865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93" name="Text Box 3">
          <a:extLst>
            <a:ext uri="{FF2B5EF4-FFF2-40B4-BE49-F238E27FC236}">
              <a16:creationId xmlns:a16="http://schemas.microsoft.com/office/drawing/2014/main" id="{63A55265-E9CF-4CAB-BE5D-7DB42FA424B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94" name="Text Box 1">
          <a:extLst>
            <a:ext uri="{FF2B5EF4-FFF2-40B4-BE49-F238E27FC236}">
              <a16:creationId xmlns:a16="http://schemas.microsoft.com/office/drawing/2014/main" id="{5F164053-B6B8-44EE-B787-D9119E1659B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95" name="Text Box 1">
          <a:extLst>
            <a:ext uri="{FF2B5EF4-FFF2-40B4-BE49-F238E27FC236}">
              <a16:creationId xmlns:a16="http://schemas.microsoft.com/office/drawing/2014/main" id="{8657F284-A682-47E4-8FCB-96B0D76F99F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96" name="Text Box 3">
          <a:extLst>
            <a:ext uri="{FF2B5EF4-FFF2-40B4-BE49-F238E27FC236}">
              <a16:creationId xmlns:a16="http://schemas.microsoft.com/office/drawing/2014/main" id="{B1EBF54D-EB2A-4E2C-AC50-1558035D9F7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97" name="Text Box 1">
          <a:extLst>
            <a:ext uri="{FF2B5EF4-FFF2-40B4-BE49-F238E27FC236}">
              <a16:creationId xmlns:a16="http://schemas.microsoft.com/office/drawing/2014/main" id="{6BD7C235-378B-41D1-8A50-51FDB40637D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98" name="Text Box 3">
          <a:extLst>
            <a:ext uri="{FF2B5EF4-FFF2-40B4-BE49-F238E27FC236}">
              <a16:creationId xmlns:a16="http://schemas.microsoft.com/office/drawing/2014/main" id="{F3A240B9-35B1-4730-A70F-E0F6634404E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99" name="Text Box 1">
          <a:extLst>
            <a:ext uri="{FF2B5EF4-FFF2-40B4-BE49-F238E27FC236}">
              <a16:creationId xmlns:a16="http://schemas.microsoft.com/office/drawing/2014/main" id="{855D136B-0925-4003-A909-5FCEC68256A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00" name="Text Box 1">
          <a:extLst>
            <a:ext uri="{FF2B5EF4-FFF2-40B4-BE49-F238E27FC236}">
              <a16:creationId xmlns:a16="http://schemas.microsoft.com/office/drawing/2014/main" id="{C962A283-A707-4EE0-9858-FEDC84C9699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01" name="Text Box 3">
          <a:extLst>
            <a:ext uri="{FF2B5EF4-FFF2-40B4-BE49-F238E27FC236}">
              <a16:creationId xmlns:a16="http://schemas.microsoft.com/office/drawing/2014/main" id="{D5932378-8336-47F7-94B1-AEA1D1A0CDC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02" name="Text Box 1">
          <a:extLst>
            <a:ext uri="{FF2B5EF4-FFF2-40B4-BE49-F238E27FC236}">
              <a16:creationId xmlns:a16="http://schemas.microsoft.com/office/drawing/2014/main" id="{0C6E0380-4E9D-4E35-A24B-97E6BF4D3A3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03" name="Text Box 3">
          <a:extLst>
            <a:ext uri="{FF2B5EF4-FFF2-40B4-BE49-F238E27FC236}">
              <a16:creationId xmlns:a16="http://schemas.microsoft.com/office/drawing/2014/main" id="{1413665B-5C03-4CAF-9ABA-0BC9EA6AD0F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04" name="Text Box 1">
          <a:extLst>
            <a:ext uri="{FF2B5EF4-FFF2-40B4-BE49-F238E27FC236}">
              <a16:creationId xmlns:a16="http://schemas.microsoft.com/office/drawing/2014/main" id="{A9157D85-4A5D-40CC-BA7F-259C2E42AED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05" name="Text Box 1">
          <a:extLst>
            <a:ext uri="{FF2B5EF4-FFF2-40B4-BE49-F238E27FC236}">
              <a16:creationId xmlns:a16="http://schemas.microsoft.com/office/drawing/2014/main" id="{70951C21-9271-4EAC-9970-06D5FC2F183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06" name="Text Box 3">
          <a:extLst>
            <a:ext uri="{FF2B5EF4-FFF2-40B4-BE49-F238E27FC236}">
              <a16:creationId xmlns:a16="http://schemas.microsoft.com/office/drawing/2014/main" id="{326B0A14-7161-488D-A0D5-0114B92E9E3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07" name="Text Box 1">
          <a:extLst>
            <a:ext uri="{FF2B5EF4-FFF2-40B4-BE49-F238E27FC236}">
              <a16:creationId xmlns:a16="http://schemas.microsoft.com/office/drawing/2014/main" id="{7D7FDB8D-E66D-4159-B84D-F1C0E169C0D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08" name="Text Box 3">
          <a:extLst>
            <a:ext uri="{FF2B5EF4-FFF2-40B4-BE49-F238E27FC236}">
              <a16:creationId xmlns:a16="http://schemas.microsoft.com/office/drawing/2014/main" id="{191D9050-E282-43AF-9C3B-46D1DE49FEF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09" name="Text Box 1">
          <a:extLst>
            <a:ext uri="{FF2B5EF4-FFF2-40B4-BE49-F238E27FC236}">
              <a16:creationId xmlns:a16="http://schemas.microsoft.com/office/drawing/2014/main" id="{C3FBF25E-16CA-4BF7-B33C-BFC7F231D57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10" name="Text Box 1">
          <a:extLst>
            <a:ext uri="{FF2B5EF4-FFF2-40B4-BE49-F238E27FC236}">
              <a16:creationId xmlns:a16="http://schemas.microsoft.com/office/drawing/2014/main" id="{13E8477A-905A-4EC6-9C03-3F555EACBEA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11" name="Text Box 3">
          <a:extLst>
            <a:ext uri="{FF2B5EF4-FFF2-40B4-BE49-F238E27FC236}">
              <a16:creationId xmlns:a16="http://schemas.microsoft.com/office/drawing/2014/main" id="{1B24A967-3099-4119-B17E-09724F4CA4F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12" name="Text Box 1">
          <a:extLst>
            <a:ext uri="{FF2B5EF4-FFF2-40B4-BE49-F238E27FC236}">
              <a16:creationId xmlns:a16="http://schemas.microsoft.com/office/drawing/2014/main" id="{FFBEFEE7-75C6-4A37-9794-8A8B5CF578C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13" name="Text Box 3">
          <a:extLst>
            <a:ext uri="{FF2B5EF4-FFF2-40B4-BE49-F238E27FC236}">
              <a16:creationId xmlns:a16="http://schemas.microsoft.com/office/drawing/2014/main" id="{44F94404-4879-49A6-BDDD-040619DCFEB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14" name="Text Box 1">
          <a:extLst>
            <a:ext uri="{FF2B5EF4-FFF2-40B4-BE49-F238E27FC236}">
              <a16:creationId xmlns:a16="http://schemas.microsoft.com/office/drawing/2014/main" id="{FAB127D0-E108-4EB0-A4E7-B7D32EA1558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15" name="Text Box 1">
          <a:extLst>
            <a:ext uri="{FF2B5EF4-FFF2-40B4-BE49-F238E27FC236}">
              <a16:creationId xmlns:a16="http://schemas.microsoft.com/office/drawing/2014/main" id="{89B13F78-B04F-41CF-8C07-768155B7372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16" name="Text Box 3">
          <a:extLst>
            <a:ext uri="{FF2B5EF4-FFF2-40B4-BE49-F238E27FC236}">
              <a16:creationId xmlns:a16="http://schemas.microsoft.com/office/drawing/2014/main" id="{B48233DC-F912-4AFF-864D-C95D2D58582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17" name="Text Box 1">
          <a:extLst>
            <a:ext uri="{FF2B5EF4-FFF2-40B4-BE49-F238E27FC236}">
              <a16:creationId xmlns:a16="http://schemas.microsoft.com/office/drawing/2014/main" id="{7660FD27-F76F-4440-A20E-B703FB6EFAE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18" name="Text Box 3">
          <a:extLst>
            <a:ext uri="{FF2B5EF4-FFF2-40B4-BE49-F238E27FC236}">
              <a16:creationId xmlns:a16="http://schemas.microsoft.com/office/drawing/2014/main" id="{0AC380D6-8874-4572-8ED8-87D69564BA6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19" name="Text Box 1">
          <a:extLst>
            <a:ext uri="{FF2B5EF4-FFF2-40B4-BE49-F238E27FC236}">
              <a16:creationId xmlns:a16="http://schemas.microsoft.com/office/drawing/2014/main" id="{E11F2A7F-9D81-4524-96B2-566FE85DC5A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20" name="Text Box 1">
          <a:extLst>
            <a:ext uri="{FF2B5EF4-FFF2-40B4-BE49-F238E27FC236}">
              <a16:creationId xmlns:a16="http://schemas.microsoft.com/office/drawing/2014/main" id="{BCE1715A-33C5-4D4E-B6BC-FC7DEFC44C9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21" name="Text Box 3">
          <a:extLst>
            <a:ext uri="{FF2B5EF4-FFF2-40B4-BE49-F238E27FC236}">
              <a16:creationId xmlns:a16="http://schemas.microsoft.com/office/drawing/2014/main" id="{E86799AA-2EEF-4B3F-A132-18A008630A8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22" name="Text Box 1">
          <a:extLst>
            <a:ext uri="{FF2B5EF4-FFF2-40B4-BE49-F238E27FC236}">
              <a16:creationId xmlns:a16="http://schemas.microsoft.com/office/drawing/2014/main" id="{E0B3BB5E-989C-47CF-A85C-9E3A52A0A0C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23" name="Text Box 3">
          <a:extLst>
            <a:ext uri="{FF2B5EF4-FFF2-40B4-BE49-F238E27FC236}">
              <a16:creationId xmlns:a16="http://schemas.microsoft.com/office/drawing/2014/main" id="{6A36A0F4-6374-4E0B-874D-CC50B5B656A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24" name="Text Box 1">
          <a:extLst>
            <a:ext uri="{FF2B5EF4-FFF2-40B4-BE49-F238E27FC236}">
              <a16:creationId xmlns:a16="http://schemas.microsoft.com/office/drawing/2014/main" id="{130671F7-D510-4E03-8B69-93BA7070D03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25" name="Text Box 1">
          <a:extLst>
            <a:ext uri="{FF2B5EF4-FFF2-40B4-BE49-F238E27FC236}">
              <a16:creationId xmlns:a16="http://schemas.microsoft.com/office/drawing/2014/main" id="{217ECAB0-0A2A-4A04-8726-511747E0B0E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26" name="Text Box 3">
          <a:extLst>
            <a:ext uri="{FF2B5EF4-FFF2-40B4-BE49-F238E27FC236}">
              <a16:creationId xmlns:a16="http://schemas.microsoft.com/office/drawing/2014/main" id="{1C7765DD-50DA-40D5-8BD5-94092EB1D91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27" name="Text Box 1">
          <a:extLst>
            <a:ext uri="{FF2B5EF4-FFF2-40B4-BE49-F238E27FC236}">
              <a16:creationId xmlns:a16="http://schemas.microsoft.com/office/drawing/2014/main" id="{CD8EE147-493F-4A16-BF9A-71E102C3C85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28" name="Text Box 3">
          <a:extLst>
            <a:ext uri="{FF2B5EF4-FFF2-40B4-BE49-F238E27FC236}">
              <a16:creationId xmlns:a16="http://schemas.microsoft.com/office/drawing/2014/main" id="{27C94B62-493D-4582-A846-CD0183913D0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29" name="Text Box 1">
          <a:extLst>
            <a:ext uri="{FF2B5EF4-FFF2-40B4-BE49-F238E27FC236}">
              <a16:creationId xmlns:a16="http://schemas.microsoft.com/office/drawing/2014/main" id="{6F6830CF-4ADB-41BB-82B7-B889A917724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30" name="Text Box 1">
          <a:extLst>
            <a:ext uri="{FF2B5EF4-FFF2-40B4-BE49-F238E27FC236}">
              <a16:creationId xmlns:a16="http://schemas.microsoft.com/office/drawing/2014/main" id="{7AAA75B9-18CD-493D-A995-8DEEC32C6FB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31" name="Text Box 3">
          <a:extLst>
            <a:ext uri="{FF2B5EF4-FFF2-40B4-BE49-F238E27FC236}">
              <a16:creationId xmlns:a16="http://schemas.microsoft.com/office/drawing/2014/main" id="{F5529747-7CAA-4B8F-A84D-4DE7BBC4B0A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32" name="Text Box 1">
          <a:extLst>
            <a:ext uri="{FF2B5EF4-FFF2-40B4-BE49-F238E27FC236}">
              <a16:creationId xmlns:a16="http://schemas.microsoft.com/office/drawing/2014/main" id="{5A0A7FC9-D836-4EFF-A963-B0257B1953E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33" name="Text Box 3">
          <a:extLst>
            <a:ext uri="{FF2B5EF4-FFF2-40B4-BE49-F238E27FC236}">
              <a16:creationId xmlns:a16="http://schemas.microsoft.com/office/drawing/2014/main" id="{98D24A24-70B9-4F86-A5F3-E9BC1B688D4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34" name="Text Box 1">
          <a:extLst>
            <a:ext uri="{FF2B5EF4-FFF2-40B4-BE49-F238E27FC236}">
              <a16:creationId xmlns:a16="http://schemas.microsoft.com/office/drawing/2014/main" id="{DF84B120-8124-4419-83D8-B44AB19CB4C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35" name="Text Box 1">
          <a:extLst>
            <a:ext uri="{FF2B5EF4-FFF2-40B4-BE49-F238E27FC236}">
              <a16:creationId xmlns:a16="http://schemas.microsoft.com/office/drawing/2014/main" id="{8818CB8E-61E1-458C-900B-8A1F67BF379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36" name="Text Box 3">
          <a:extLst>
            <a:ext uri="{FF2B5EF4-FFF2-40B4-BE49-F238E27FC236}">
              <a16:creationId xmlns:a16="http://schemas.microsoft.com/office/drawing/2014/main" id="{FF89CB81-CD2A-4123-9977-D6A53720013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37" name="Text Box 1">
          <a:extLst>
            <a:ext uri="{FF2B5EF4-FFF2-40B4-BE49-F238E27FC236}">
              <a16:creationId xmlns:a16="http://schemas.microsoft.com/office/drawing/2014/main" id="{0F2A3C2E-4F46-499D-ABC3-FF940CE080A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38" name="Text Box 3">
          <a:extLst>
            <a:ext uri="{FF2B5EF4-FFF2-40B4-BE49-F238E27FC236}">
              <a16:creationId xmlns:a16="http://schemas.microsoft.com/office/drawing/2014/main" id="{AA335BEA-CC03-41B6-A025-80F2352E759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39" name="Text Box 1">
          <a:extLst>
            <a:ext uri="{FF2B5EF4-FFF2-40B4-BE49-F238E27FC236}">
              <a16:creationId xmlns:a16="http://schemas.microsoft.com/office/drawing/2014/main" id="{67DD4BC3-7FF9-4F89-93CA-7F515C66454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40" name="Text Box 1">
          <a:extLst>
            <a:ext uri="{FF2B5EF4-FFF2-40B4-BE49-F238E27FC236}">
              <a16:creationId xmlns:a16="http://schemas.microsoft.com/office/drawing/2014/main" id="{5F01ADC9-698E-4C7D-ADE4-9563D039F02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41" name="Text Box 3">
          <a:extLst>
            <a:ext uri="{FF2B5EF4-FFF2-40B4-BE49-F238E27FC236}">
              <a16:creationId xmlns:a16="http://schemas.microsoft.com/office/drawing/2014/main" id="{88DBC881-3661-4B2E-9BA0-ED12A61ECA9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42" name="Text Box 1">
          <a:extLst>
            <a:ext uri="{FF2B5EF4-FFF2-40B4-BE49-F238E27FC236}">
              <a16:creationId xmlns:a16="http://schemas.microsoft.com/office/drawing/2014/main" id="{E15FE182-504D-4E7A-BDB0-ABA18605176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43" name="Text Box 3">
          <a:extLst>
            <a:ext uri="{FF2B5EF4-FFF2-40B4-BE49-F238E27FC236}">
              <a16:creationId xmlns:a16="http://schemas.microsoft.com/office/drawing/2014/main" id="{2F00D871-7B8E-4B02-83B4-B03B49D2CB6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44" name="Text Box 1">
          <a:extLst>
            <a:ext uri="{FF2B5EF4-FFF2-40B4-BE49-F238E27FC236}">
              <a16:creationId xmlns:a16="http://schemas.microsoft.com/office/drawing/2014/main" id="{65F1852D-AFC4-4054-93FD-AE85BDF5F41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45" name="Text Box 1">
          <a:extLst>
            <a:ext uri="{FF2B5EF4-FFF2-40B4-BE49-F238E27FC236}">
              <a16:creationId xmlns:a16="http://schemas.microsoft.com/office/drawing/2014/main" id="{40EDF66F-1772-424B-9D2B-596474277DE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46" name="Text Box 3">
          <a:extLst>
            <a:ext uri="{FF2B5EF4-FFF2-40B4-BE49-F238E27FC236}">
              <a16:creationId xmlns:a16="http://schemas.microsoft.com/office/drawing/2014/main" id="{CFDF3AF7-D508-4D7B-8EF8-6999C165AEA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47" name="Text Box 1">
          <a:extLst>
            <a:ext uri="{FF2B5EF4-FFF2-40B4-BE49-F238E27FC236}">
              <a16:creationId xmlns:a16="http://schemas.microsoft.com/office/drawing/2014/main" id="{40DF8661-1C8F-4E9C-9442-7BCCCEBED3D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48" name="Text Box 3">
          <a:extLst>
            <a:ext uri="{FF2B5EF4-FFF2-40B4-BE49-F238E27FC236}">
              <a16:creationId xmlns:a16="http://schemas.microsoft.com/office/drawing/2014/main" id="{CE4A43E6-EE94-4D40-9796-9C159CE19C3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49" name="Text Box 1">
          <a:extLst>
            <a:ext uri="{FF2B5EF4-FFF2-40B4-BE49-F238E27FC236}">
              <a16:creationId xmlns:a16="http://schemas.microsoft.com/office/drawing/2014/main" id="{F8A5F20A-DD8E-441C-979B-8A7201454F5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50" name="Text Box 1">
          <a:extLst>
            <a:ext uri="{FF2B5EF4-FFF2-40B4-BE49-F238E27FC236}">
              <a16:creationId xmlns:a16="http://schemas.microsoft.com/office/drawing/2014/main" id="{0CE37F22-4E04-4006-8C59-AAC1C904908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51" name="Text Box 3">
          <a:extLst>
            <a:ext uri="{FF2B5EF4-FFF2-40B4-BE49-F238E27FC236}">
              <a16:creationId xmlns:a16="http://schemas.microsoft.com/office/drawing/2014/main" id="{CBEE7DA0-1221-4A83-9693-2F800DA354A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52" name="Text Box 1">
          <a:extLst>
            <a:ext uri="{FF2B5EF4-FFF2-40B4-BE49-F238E27FC236}">
              <a16:creationId xmlns:a16="http://schemas.microsoft.com/office/drawing/2014/main" id="{6AD35374-844A-4CE0-90FD-8D24606B164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53" name="Text Box 3">
          <a:extLst>
            <a:ext uri="{FF2B5EF4-FFF2-40B4-BE49-F238E27FC236}">
              <a16:creationId xmlns:a16="http://schemas.microsoft.com/office/drawing/2014/main" id="{62BF9FDF-3B87-4B94-AD04-43A1603CAD1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54" name="Text Box 1">
          <a:extLst>
            <a:ext uri="{FF2B5EF4-FFF2-40B4-BE49-F238E27FC236}">
              <a16:creationId xmlns:a16="http://schemas.microsoft.com/office/drawing/2014/main" id="{54C1F85D-5E5C-4B85-AEFA-664E36196CE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55" name="Text Box 1">
          <a:extLst>
            <a:ext uri="{FF2B5EF4-FFF2-40B4-BE49-F238E27FC236}">
              <a16:creationId xmlns:a16="http://schemas.microsoft.com/office/drawing/2014/main" id="{4694F08B-0461-4DA1-8AFB-F8FD4331362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56" name="Text Box 3">
          <a:extLst>
            <a:ext uri="{FF2B5EF4-FFF2-40B4-BE49-F238E27FC236}">
              <a16:creationId xmlns:a16="http://schemas.microsoft.com/office/drawing/2014/main" id="{CD804A70-6EA6-4087-9B09-CF1247AFB27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57" name="Text Box 1">
          <a:extLst>
            <a:ext uri="{FF2B5EF4-FFF2-40B4-BE49-F238E27FC236}">
              <a16:creationId xmlns:a16="http://schemas.microsoft.com/office/drawing/2014/main" id="{7EF885B4-4FCA-4ADB-B86D-CF8BEC8098D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58" name="Text Box 3">
          <a:extLst>
            <a:ext uri="{FF2B5EF4-FFF2-40B4-BE49-F238E27FC236}">
              <a16:creationId xmlns:a16="http://schemas.microsoft.com/office/drawing/2014/main" id="{C4EE2AE0-2128-4119-8B66-35333FF8F6F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59" name="Text Box 1">
          <a:extLst>
            <a:ext uri="{FF2B5EF4-FFF2-40B4-BE49-F238E27FC236}">
              <a16:creationId xmlns:a16="http://schemas.microsoft.com/office/drawing/2014/main" id="{159B5491-E506-41F6-9A31-75078383E92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60" name="Text Box 1">
          <a:extLst>
            <a:ext uri="{FF2B5EF4-FFF2-40B4-BE49-F238E27FC236}">
              <a16:creationId xmlns:a16="http://schemas.microsoft.com/office/drawing/2014/main" id="{1C7D2FA3-B999-4581-8B00-602EB3F5990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61" name="Text Box 3">
          <a:extLst>
            <a:ext uri="{FF2B5EF4-FFF2-40B4-BE49-F238E27FC236}">
              <a16:creationId xmlns:a16="http://schemas.microsoft.com/office/drawing/2014/main" id="{3A6C4E9B-59A8-4627-8D58-5C3FF0AB1EF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62" name="Text Box 1">
          <a:extLst>
            <a:ext uri="{FF2B5EF4-FFF2-40B4-BE49-F238E27FC236}">
              <a16:creationId xmlns:a16="http://schemas.microsoft.com/office/drawing/2014/main" id="{41BBED63-F5E9-4419-A384-9366C5DBF59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63" name="Text Box 3">
          <a:extLst>
            <a:ext uri="{FF2B5EF4-FFF2-40B4-BE49-F238E27FC236}">
              <a16:creationId xmlns:a16="http://schemas.microsoft.com/office/drawing/2014/main" id="{FE9748E7-4ABF-4401-8813-914EA4C2845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64" name="Text Box 1">
          <a:extLst>
            <a:ext uri="{FF2B5EF4-FFF2-40B4-BE49-F238E27FC236}">
              <a16:creationId xmlns:a16="http://schemas.microsoft.com/office/drawing/2014/main" id="{B031C992-CCAA-466B-90A2-646FE938E73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65" name="Text Box 1">
          <a:extLst>
            <a:ext uri="{FF2B5EF4-FFF2-40B4-BE49-F238E27FC236}">
              <a16:creationId xmlns:a16="http://schemas.microsoft.com/office/drawing/2014/main" id="{F31EE0B9-0908-482D-8D92-696721E5C5E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66" name="Text Box 3">
          <a:extLst>
            <a:ext uri="{FF2B5EF4-FFF2-40B4-BE49-F238E27FC236}">
              <a16:creationId xmlns:a16="http://schemas.microsoft.com/office/drawing/2014/main" id="{F85A6C8E-A8F2-4618-8624-5F046A92A04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67" name="Text Box 1">
          <a:extLst>
            <a:ext uri="{FF2B5EF4-FFF2-40B4-BE49-F238E27FC236}">
              <a16:creationId xmlns:a16="http://schemas.microsoft.com/office/drawing/2014/main" id="{AAE71B69-D2D4-4764-A11E-4B2C24DD5FF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68" name="Text Box 3">
          <a:extLst>
            <a:ext uri="{FF2B5EF4-FFF2-40B4-BE49-F238E27FC236}">
              <a16:creationId xmlns:a16="http://schemas.microsoft.com/office/drawing/2014/main" id="{CA5BC985-2FA4-4967-A7C7-4E2AE6307D2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69" name="Text Box 1">
          <a:extLst>
            <a:ext uri="{FF2B5EF4-FFF2-40B4-BE49-F238E27FC236}">
              <a16:creationId xmlns:a16="http://schemas.microsoft.com/office/drawing/2014/main" id="{A50CC0E2-F5E1-44EC-8484-22B31210631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70" name="Text Box 1">
          <a:extLst>
            <a:ext uri="{FF2B5EF4-FFF2-40B4-BE49-F238E27FC236}">
              <a16:creationId xmlns:a16="http://schemas.microsoft.com/office/drawing/2014/main" id="{D0A7953F-7795-4CED-B38C-44B15E7FCA0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71" name="Text Box 3">
          <a:extLst>
            <a:ext uri="{FF2B5EF4-FFF2-40B4-BE49-F238E27FC236}">
              <a16:creationId xmlns:a16="http://schemas.microsoft.com/office/drawing/2014/main" id="{3268824B-F4F3-4C27-896E-B98E6177062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72" name="Text Box 1">
          <a:extLst>
            <a:ext uri="{FF2B5EF4-FFF2-40B4-BE49-F238E27FC236}">
              <a16:creationId xmlns:a16="http://schemas.microsoft.com/office/drawing/2014/main" id="{665967DC-D497-44ED-9749-BA73F795490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73" name="Text Box 3">
          <a:extLst>
            <a:ext uri="{FF2B5EF4-FFF2-40B4-BE49-F238E27FC236}">
              <a16:creationId xmlns:a16="http://schemas.microsoft.com/office/drawing/2014/main" id="{EDF75571-9D8B-4310-94C6-8A4D228A2E0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74" name="Text Box 1">
          <a:extLst>
            <a:ext uri="{FF2B5EF4-FFF2-40B4-BE49-F238E27FC236}">
              <a16:creationId xmlns:a16="http://schemas.microsoft.com/office/drawing/2014/main" id="{38F050DC-2DCF-416F-950C-C5159D801BB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75" name="Text Box 1">
          <a:extLst>
            <a:ext uri="{FF2B5EF4-FFF2-40B4-BE49-F238E27FC236}">
              <a16:creationId xmlns:a16="http://schemas.microsoft.com/office/drawing/2014/main" id="{720B49FE-C4B1-4E56-A0E8-4D760D0AEF0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76" name="Text Box 3">
          <a:extLst>
            <a:ext uri="{FF2B5EF4-FFF2-40B4-BE49-F238E27FC236}">
              <a16:creationId xmlns:a16="http://schemas.microsoft.com/office/drawing/2014/main" id="{B68A6EB8-744C-4F2E-B6FB-B8CDB993433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77" name="Text Box 1">
          <a:extLst>
            <a:ext uri="{FF2B5EF4-FFF2-40B4-BE49-F238E27FC236}">
              <a16:creationId xmlns:a16="http://schemas.microsoft.com/office/drawing/2014/main" id="{3DAA57CA-F3E4-4E93-B134-4039B59E604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78" name="Text Box 3">
          <a:extLst>
            <a:ext uri="{FF2B5EF4-FFF2-40B4-BE49-F238E27FC236}">
              <a16:creationId xmlns:a16="http://schemas.microsoft.com/office/drawing/2014/main" id="{FDD61210-D64D-4191-98DA-32B5CED6D1B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79" name="Text Box 1">
          <a:extLst>
            <a:ext uri="{FF2B5EF4-FFF2-40B4-BE49-F238E27FC236}">
              <a16:creationId xmlns:a16="http://schemas.microsoft.com/office/drawing/2014/main" id="{50520F52-7365-4892-93DB-05F10F235BF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80" name="Text Box 1">
          <a:extLst>
            <a:ext uri="{FF2B5EF4-FFF2-40B4-BE49-F238E27FC236}">
              <a16:creationId xmlns:a16="http://schemas.microsoft.com/office/drawing/2014/main" id="{C2CA3203-BAE4-4719-9628-ED17EB907B8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81" name="Text Box 3">
          <a:extLst>
            <a:ext uri="{FF2B5EF4-FFF2-40B4-BE49-F238E27FC236}">
              <a16:creationId xmlns:a16="http://schemas.microsoft.com/office/drawing/2014/main" id="{4FFAFCF9-B2E6-4E94-81C0-65342777769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82" name="Text Box 1">
          <a:extLst>
            <a:ext uri="{FF2B5EF4-FFF2-40B4-BE49-F238E27FC236}">
              <a16:creationId xmlns:a16="http://schemas.microsoft.com/office/drawing/2014/main" id="{30E2A703-CD5A-407A-B56F-855DD854E5B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83" name="Text Box 3">
          <a:extLst>
            <a:ext uri="{FF2B5EF4-FFF2-40B4-BE49-F238E27FC236}">
              <a16:creationId xmlns:a16="http://schemas.microsoft.com/office/drawing/2014/main" id="{4A80EBC1-EF4D-4E6B-8319-8C4ED2EC92E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84" name="Text Box 1">
          <a:extLst>
            <a:ext uri="{FF2B5EF4-FFF2-40B4-BE49-F238E27FC236}">
              <a16:creationId xmlns:a16="http://schemas.microsoft.com/office/drawing/2014/main" id="{6ED9ACE7-59B3-49EF-A3CB-BAF5A19C549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85" name="Text Box 1">
          <a:extLst>
            <a:ext uri="{FF2B5EF4-FFF2-40B4-BE49-F238E27FC236}">
              <a16:creationId xmlns:a16="http://schemas.microsoft.com/office/drawing/2014/main" id="{9E75E99C-2A05-4CDB-9BB0-D4B782FE952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86" name="Text Box 3">
          <a:extLst>
            <a:ext uri="{FF2B5EF4-FFF2-40B4-BE49-F238E27FC236}">
              <a16:creationId xmlns:a16="http://schemas.microsoft.com/office/drawing/2014/main" id="{F5D17780-4625-49F9-8EDD-F2D2BF0DD35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87" name="Text Box 1">
          <a:extLst>
            <a:ext uri="{FF2B5EF4-FFF2-40B4-BE49-F238E27FC236}">
              <a16:creationId xmlns:a16="http://schemas.microsoft.com/office/drawing/2014/main" id="{4C9AC96A-3314-4EA6-9C97-2F778DFE405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88" name="Text Box 3">
          <a:extLst>
            <a:ext uri="{FF2B5EF4-FFF2-40B4-BE49-F238E27FC236}">
              <a16:creationId xmlns:a16="http://schemas.microsoft.com/office/drawing/2014/main" id="{0CEC8974-55B9-4A3B-8151-AD10B853D2C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89" name="Text Box 1">
          <a:extLst>
            <a:ext uri="{FF2B5EF4-FFF2-40B4-BE49-F238E27FC236}">
              <a16:creationId xmlns:a16="http://schemas.microsoft.com/office/drawing/2014/main" id="{EE5D7612-70DB-47CD-B3F4-E8C7167B706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90" name="Text Box 1">
          <a:extLst>
            <a:ext uri="{FF2B5EF4-FFF2-40B4-BE49-F238E27FC236}">
              <a16:creationId xmlns:a16="http://schemas.microsoft.com/office/drawing/2014/main" id="{A27BF6D9-CBE7-4EA0-87AB-075C67612AD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91" name="Text Box 3">
          <a:extLst>
            <a:ext uri="{FF2B5EF4-FFF2-40B4-BE49-F238E27FC236}">
              <a16:creationId xmlns:a16="http://schemas.microsoft.com/office/drawing/2014/main" id="{96A31345-63E4-4EAA-A1CD-69DECF49DD3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92" name="Text Box 1">
          <a:extLst>
            <a:ext uri="{FF2B5EF4-FFF2-40B4-BE49-F238E27FC236}">
              <a16:creationId xmlns:a16="http://schemas.microsoft.com/office/drawing/2014/main" id="{967FFDF0-BD2C-41FD-AB9E-AFDB749A4FB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93" name="Text Box 3">
          <a:extLst>
            <a:ext uri="{FF2B5EF4-FFF2-40B4-BE49-F238E27FC236}">
              <a16:creationId xmlns:a16="http://schemas.microsoft.com/office/drawing/2014/main" id="{C0BED11C-75A8-4294-BDEC-BC48097272E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694" name="Text Box 1">
          <a:extLst>
            <a:ext uri="{FF2B5EF4-FFF2-40B4-BE49-F238E27FC236}">
              <a16:creationId xmlns:a16="http://schemas.microsoft.com/office/drawing/2014/main" id="{C9C1B970-67C2-4B2C-B59A-F7D5FCA19AD6}"/>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695" name="Text Box 3">
          <a:extLst>
            <a:ext uri="{FF2B5EF4-FFF2-40B4-BE49-F238E27FC236}">
              <a16:creationId xmlns:a16="http://schemas.microsoft.com/office/drawing/2014/main" id="{DF41716B-E8B3-4801-9059-49DF8C27BF8E}"/>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696" name="Text Box 1">
          <a:extLst>
            <a:ext uri="{FF2B5EF4-FFF2-40B4-BE49-F238E27FC236}">
              <a16:creationId xmlns:a16="http://schemas.microsoft.com/office/drawing/2014/main" id="{38ACD522-748A-4536-BB79-1010EC1745B3}"/>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697" name="Text Box 3">
          <a:extLst>
            <a:ext uri="{FF2B5EF4-FFF2-40B4-BE49-F238E27FC236}">
              <a16:creationId xmlns:a16="http://schemas.microsoft.com/office/drawing/2014/main" id="{A18E4BB2-4BA4-41BF-B07F-3A4F5AABBA66}"/>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698" name="Text Box 1">
          <a:extLst>
            <a:ext uri="{FF2B5EF4-FFF2-40B4-BE49-F238E27FC236}">
              <a16:creationId xmlns:a16="http://schemas.microsoft.com/office/drawing/2014/main" id="{B7CE0701-C1B4-41F5-B598-AC11087DA8F0}"/>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699" name="Text Box 1">
          <a:extLst>
            <a:ext uri="{FF2B5EF4-FFF2-40B4-BE49-F238E27FC236}">
              <a16:creationId xmlns:a16="http://schemas.microsoft.com/office/drawing/2014/main" id="{B69A280F-125E-4E68-9717-499B8F2FDE2C}"/>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00" name="Text Box 3">
          <a:extLst>
            <a:ext uri="{FF2B5EF4-FFF2-40B4-BE49-F238E27FC236}">
              <a16:creationId xmlns:a16="http://schemas.microsoft.com/office/drawing/2014/main" id="{CA1107EA-DC60-4169-BB10-2F3D560029F9}"/>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01" name="Text Box 1">
          <a:extLst>
            <a:ext uri="{FF2B5EF4-FFF2-40B4-BE49-F238E27FC236}">
              <a16:creationId xmlns:a16="http://schemas.microsoft.com/office/drawing/2014/main" id="{BC0C86D6-3BBC-4B95-88AB-5641E237B40F}"/>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02" name="Text Box 3">
          <a:extLst>
            <a:ext uri="{FF2B5EF4-FFF2-40B4-BE49-F238E27FC236}">
              <a16:creationId xmlns:a16="http://schemas.microsoft.com/office/drawing/2014/main" id="{98760BAB-A997-4001-BF1D-E22694FD8467}"/>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03" name="Text Box 1">
          <a:extLst>
            <a:ext uri="{FF2B5EF4-FFF2-40B4-BE49-F238E27FC236}">
              <a16:creationId xmlns:a16="http://schemas.microsoft.com/office/drawing/2014/main" id="{F8132D2E-286C-4B35-B09B-2E867CF2084E}"/>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04" name="Text Box 1">
          <a:extLst>
            <a:ext uri="{FF2B5EF4-FFF2-40B4-BE49-F238E27FC236}">
              <a16:creationId xmlns:a16="http://schemas.microsoft.com/office/drawing/2014/main" id="{A9C18782-214B-434C-865D-A910F4780516}"/>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05" name="Text Box 3">
          <a:extLst>
            <a:ext uri="{FF2B5EF4-FFF2-40B4-BE49-F238E27FC236}">
              <a16:creationId xmlns:a16="http://schemas.microsoft.com/office/drawing/2014/main" id="{3D7DAA1F-5413-4E50-8657-55847FD8F2DC}"/>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06" name="Text Box 1">
          <a:extLst>
            <a:ext uri="{FF2B5EF4-FFF2-40B4-BE49-F238E27FC236}">
              <a16:creationId xmlns:a16="http://schemas.microsoft.com/office/drawing/2014/main" id="{A7D69128-D7CE-4BB0-9607-CD9389F501CB}"/>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07" name="Text Box 1">
          <a:extLst>
            <a:ext uri="{FF2B5EF4-FFF2-40B4-BE49-F238E27FC236}">
              <a16:creationId xmlns:a16="http://schemas.microsoft.com/office/drawing/2014/main" id="{DA6486E8-FBBA-4B07-B6E7-2B98061F82ED}"/>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08" name="Text Box 3">
          <a:extLst>
            <a:ext uri="{FF2B5EF4-FFF2-40B4-BE49-F238E27FC236}">
              <a16:creationId xmlns:a16="http://schemas.microsoft.com/office/drawing/2014/main" id="{AFD2CFE5-544A-4739-A111-19552388EEF2}"/>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09" name="Text Box 1">
          <a:extLst>
            <a:ext uri="{FF2B5EF4-FFF2-40B4-BE49-F238E27FC236}">
              <a16:creationId xmlns:a16="http://schemas.microsoft.com/office/drawing/2014/main" id="{FC91A515-6202-40F8-BE26-782869677FEF}"/>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10" name="Text Box 3">
          <a:extLst>
            <a:ext uri="{FF2B5EF4-FFF2-40B4-BE49-F238E27FC236}">
              <a16:creationId xmlns:a16="http://schemas.microsoft.com/office/drawing/2014/main" id="{5EA1BFD3-A865-493E-8F58-4AF8C947AA7B}"/>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11" name="Text Box 1">
          <a:extLst>
            <a:ext uri="{FF2B5EF4-FFF2-40B4-BE49-F238E27FC236}">
              <a16:creationId xmlns:a16="http://schemas.microsoft.com/office/drawing/2014/main" id="{52C2D763-E88C-4AC8-855C-880A1F137926}"/>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12" name="Text Box 1">
          <a:extLst>
            <a:ext uri="{FF2B5EF4-FFF2-40B4-BE49-F238E27FC236}">
              <a16:creationId xmlns:a16="http://schemas.microsoft.com/office/drawing/2014/main" id="{2A39E63C-6BC4-465E-AB80-E38D453E6295}"/>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13" name="Text Box 3">
          <a:extLst>
            <a:ext uri="{FF2B5EF4-FFF2-40B4-BE49-F238E27FC236}">
              <a16:creationId xmlns:a16="http://schemas.microsoft.com/office/drawing/2014/main" id="{D1D08BD7-F969-48B1-B13D-16853AD039C6}"/>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14" name="Text Box 1">
          <a:extLst>
            <a:ext uri="{FF2B5EF4-FFF2-40B4-BE49-F238E27FC236}">
              <a16:creationId xmlns:a16="http://schemas.microsoft.com/office/drawing/2014/main" id="{77586F78-4BD7-4358-B41E-2DC8DE063BE5}"/>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15" name="Text Box 3">
          <a:extLst>
            <a:ext uri="{FF2B5EF4-FFF2-40B4-BE49-F238E27FC236}">
              <a16:creationId xmlns:a16="http://schemas.microsoft.com/office/drawing/2014/main" id="{FE033134-C5A5-49FC-AF42-73E51CBE2357}"/>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16" name="Text Box 1">
          <a:extLst>
            <a:ext uri="{FF2B5EF4-FFF2-40B4-BE49-F238E27FC236}">
              <a16:creationId xmlns:a16="http://schemas.microsoft.com/office/drawing/2014/main" id="{A0BE67A7-2F88-4123-B05F-89A645718CCA}"/>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17" name="Text Box 1">
          <a:extLst>
            <a:ext uri="{FF2B5EF4-FFF2-40B4-BE49-F238E27FC236}">
              <a16:creationId xmlns:a16="http://schemas.microsoft.com/office/drawing/2014/main" id="{0E676741-E330-46DC-AD4A-DB62EF0D1949}"/>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18" name="Text Box 3">
          <a:extLst>
            <a:ext uri="{FF2B5EF4-FFF2-40B4-BE49-F238E27FC236}">
              <a16:creationId xmlns:a16="http://schemas.microsoft.com/office/drawing/2014/main" id="{A11B7DE6-66F0-4F35-A6E9-30E6234F3637}"/>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19" name="Text Box 3">
          <a:extLst>
            <a:ext uri="{FF2B5EF4-FFF2-40B4-BE49-F238E27FC236}">
              <a16:creationId xmlns:a16="http://schemas.microsoft.com/office/drawing/2014/main" id="{2D8E34AA-4775-47D4-A7FB-464A1DC422F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20" name="Text Box 1">
          <a:extLst>
            <a:ext uri="{FF2B5EF4-FFF2-40B4-BE49-F238E27FC236}">
              <a16:creationId xmlns:a16="http://schemas.microsoft.com/office/drawing/2014/main" id="{7FF4B321-A6A8-47B3-A51D-09B1601DA73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21" name="Text Box 3">
          <a:extLst>
            <a:ext uri="{FF2B5EF4-FFF2-40B4-BE49-F238E27FC236}">
              <a16:creationId xmlns:a16="http://schemas.microsoft.com/office/drawing/2014/main" id="{387E605F-AF3F-4E81-9A1F-007BBE1774F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22" name="Text Box 1">
          <a:extLst>
            <a:ext uri="{FF2B5EF4-FFF2-40B4-BE49-F238E27FC236}">
              <a16:creationId xmlns:a16="http://schemas.microsoft.com/office/drawing/2014/main" id="{7D9FEE9D-8F6E-408D-9192-D84B0634B5D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23" name="Text Box 1">
          <a:extLst>
            <a:ext uri="{FF2B5EF4-FFF2-40B4-BE49-F238E27FC236}">
              <a16:creationId xmlns:a16="http://schemas.microsoft.com/office/drawing/2014/main" id="{D82BCB77-75BF-43C1-B1CA-BEA92C1CC70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24" name="Text Box 3">
          <a:extLst>
            <a:ext uri="{FF2B5EF4-FFF2-40B4-BE49-F238E27FC236}">
              <a16:creationId xmlns:a16="http://schemas.microsoft.com/office/drawing/2014/main" id="{D0125E88-F5C2-4FCD-854E-C6F30B28DB6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25" name="Text Box 1">
          <a:extLst>
            <a:ext uri="{FF2B5EF4-FFF2-40B4-BE49-F238E27FC236}">
              <a16:creationId xmlns:a16="http://schemas.microsoft.com/office/drawing/2014/main" id="{5A685FBC-A083-4BFD-94EB-5A1A724E9DC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26" name="Text Box 3">
          <a:extLst>
            <a:ext uri="{FF2B5EF4-FFF2-40B4-BE49-F238E27FC236}">
              <a16:creationId xmlns:a16="http://schemas.microsoft.com/office/drawing/2014/main" id="{843C59B2-F5C6-4F8E-BA57-E931A9DD822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27" name="Text Box 1">
          <a:extLst>
            <a:ext uri="{FF2B5EF4-FFF2-40B4-BE49-F238E27FC236}">
              <a16:creationId xmlns:a16="http://schemas.microsoft.com/office/drawing/2014/main" id="{A349F180-76A0-4F9C-9C97-64D0428FBCE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28" name="Text Box 1">
          <a:extLst>
            <a:ext uri="{FF2B5EF4-FFF2-40B4-BE49-F238E27FC236}">
              <a16:creationId xmlns:a16="http://schemas.microsoft.com/office/drawing/2014/main" id="{EDDC3011-1C27-4667-A15A-42D24D2DFF9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29" name="Text Box 3">
          <a:extLst>
            <a:ext uri="{FF2B5EF4-FFF2-40B4-BE49-F238E27FC236}">
              <a16:creationId xmlns:a16="http://schemas.microsoft.com/office/drawing/2014/main" id="{A7978C28-6C8B-4EF4-9DC6-828EE8BCFDC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30" name="Text Box 1">
          <a:extLst>
            <a:ext uri="{FF2B5EF4-FFF2-40B4-BE49-F238E27FC236}">
              <a16:creationId xmlns:a16="http://schemas.microsoft.com/office/drawing/2014/main" id="{FD56559E-ADB5-4097-AE39-0C72387E9AF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31" name="Text Box 1">
          <a:extLst>
            <a:ext uri="{FF2B5EF4-FFF2-40B4-BE49-F238E27FC236}">
              <a16:creationId xmlns:a16="http://schemas.microsoft.com/office/drawing/2014/main" id="{D9B9649A-106E-45D6-A4D6-DAF30879E49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32" name="Text Box 3">
          <a:extLst>
            <a:ext uri="{FF2B5EF4-FFF2-40B4-BE49-F238E27FC236}">
              <a16:creationId xmlns:a16="http://schemas.microsoft.com/office/drawing/2014/main" id="{1388337F-AD26-4D5C-A91E-971E58EA632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33" name="Text Box 1">
          <a:extLst>
            <a:ext uri="{FF2B5EF4-FFF2-40B4-BE49-F238E27FC236}">
              <a16:creationId xmlns:a16="http://schemas.microsoft.com/office/drawing/2014/main" id="{96FF20AA-7A81-4EDD-B6DB-8F30F4BDD5F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34" name="Text Box 3">
          <a:extLst>
            <a:ext uri="{FF2B5EF4-FFF2-40B4-BE49-F238E27FC236}">
              <a16:creationId xmlns:a16="http://schemas.microsoft.com/office/drawing/2014/main" id="{7D9A93D8-BE87-4895-B6B0-07E4953B108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35" name="Text Box 1">
          <a:extLst>
            <a:ext uri="{FF2B5EF4-FFF2-40B4-BE49-F238E27FC236}">
              <a16:creationId xmlns:a16="http://schemas.microsoft.com/office/drawing/2014/main" id="{4677F493-3248-4D8E-B339-3F0C7B47C36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36" name="Text Box 3">
          <a:extLst>
            <a:ext uri="{FF2B5EF4-FFF2-40B4-BE49-F238E27FC236}">
              <a16:creationId xmlns:a16="http://schemas.microsoft.com/office/drawing/2014/main" id="{3518BF98-D5BC-433B-BB44-40B6424122B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37" name="Text Box 1">
          <a:extLst>
            <a:ext uri="{FF2B5EF4-FFF2-40B4-BE49-F238E27FC236}">
              <a16:creationId xmlns:a16="http://schemas.microsoft.com/office/drawing/2014/main" id="{4A663521-8D93-4D94-BCB1-922951107DA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38" name="Text Box 3">
          <a:extLst>
            <a:ext uri="{FF2B5EF4-FFF2-40B4-BE49-F238E27FC236}">
              <a16:creationId xmlns:a16="http://schemas.microsoft.com/office/drawing/2014/main" id="{62C057FE-3CDE-4A4A-952F-4ADF2AD1892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39" name="Text Box 1">
          <a:extLst>
            <a:ext uri="{FF2B5EF4-FFF2-40B4-BE49-F238E27FC236}">
              <a16:creationId xmlns:a16="http://schemas.microsoft.com/office/drawing/2014/main" id="{4FB8F011-67D6-4D8D-BD28-4939FD09EA1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40" name="Text Box 1">
          <a:extLst>
            <a:ext uri="{FF2B5EF4-FFF2-40B4-BE49-F238E27FC236}">
              <a16:creationId xmlns:a16="http://schemas.microsoft.com/office/drawing/2014/main" id="{87AFD3EC-A3EC-40C1-9C81-F7EEAD8349C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41" name="Text Box 3">
          <a:extLst>
            <a:ext uri="{FF2B5EF4-FFF2-40B4-BE49-F238E27FC236}">
              <a16:creationId xmlns:a16="http://schemas.microsoft.com/office/drawing/2014/main" id="{A760C460-7128-493D-8DC8-3962DC46CB6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42" name="Text Box 1">
          <a:extLst>
            <a:ext uri="{FF2B5EF4-FFF2-40B4-BE49-F238E27FC236}">
              <a16:creationId xmlns:a16="http://schemas.microsoft.com/office/drawing/2014/main" id="{9B2361D9-EDB8-46B2-B595-0B45B4E6F52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43" name="Text Box 1">
          <a:extLst>
            <a:ext uri="{FF2B5EF4-FFF2-40B4-BE49-F238E27FC236}">
              <a16:creationId xmlns:a16="http://schemas.microsoft.com/office/drawing/2014/main" id="{91314D33-19D2-44FD-AA66-6E039D23D5B4}"/>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44" name="Text Box 1">
          <a:extLst>
            <a:ext uri="{FF2B5EF4-FFF2-40B4-BE49-F238E27FC236}">
              <a16:creationId xmlns:a16="http://schemas.microsoft.com/office/drawing/2014/main" id="{2D7D9104-B85D-45C5-A49A-861D256246E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45" name="Text Box 3">
          <a:extLst>
            <a:ext uri="{FF2B5EF4-FFF2-40B4-BE49-F238E27FC236}">
              <a16:creationId xmlns:a16="http://schemas.microsoft.com/office/drawing/2014/main" id="{AC48532A-93C1-4B86-BFB0-B7D874AC97C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46" name="Text Box 1">
          <a:extLst>
            <a:ext uri="{FF2B5EF4-FFF2-40B4-BE49-F238E27FC236}">
              <a16:creationId xmlns:a16="http://schemas.microsoft.com/office/drawing/2014/main" id="{125C3D88-3E7D-41FF-AD63-031B2F9C4FA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47" name="Text Box 3">
          <a:extLst>
            <a:ext uri="{FF2B5EF4-FFF2-40B4-BE49-F238E27FC236}">
              <a16:creationId xmlns:a16="http://schemas.microsoft.com/office/drawing/2014/main" id="{9548F73E-CC82-4E44-8C06-5348F2CE10B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48" name="Text Box 1">
          <a:extLst>
            <a:ext uri="{FF2B5EF4-FFF2-40B4-BE49-F238E27FC236}">
              <a16:creationId xmlns:a16="http://schemas.microsoft.com/office/drawing/2014/main" id="{301C00A2-7A7F-4B0F-A346-95DCED63B61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49" name="Text Box 1">
          <a:extLst>
            <a:ext uri="{FF2B5EF4-FFF2-40B4-BE49-F238E27FC236}">
              <a16:creationId xmlns:a16="http://schemas.microsoft.com/office/drawing/2014/main" id="{5CA27D64-46B0-4416-B059-75D2E431FDF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50" name="Text Box 3">
          <a:extLst>
            <a:ext uri="{FF2B5EF4-FFF2-40B4-BE49-F238E27FC236}">
              <a16:creationId xmlns:a16="http://schemas.microsoft.com/office/drawing/2014/main" id="{7633E812-CD38-4FA8-81BD-2657C815884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51" name="Text Box 1">
          <a:extLst>
            <a:ext uri="{FF2B5EF4-FFF2-40B4-BE49-F238E27FC236}">
              <a16:creationId xmlns:a16="http://schemas.microsoft.com/office/drawing/2014/main" id="{AAD7314F-2E55-4D20-AB43-9258943AB6A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52" name="Text Box 3">
          <a:extLst>
            <a:ext uri="{FF2B5EF4-FFF2-40B4-BE49-F238E27FC236}">
              <a16:creationId xmlns:a16="http://schemas.microsoft.com/office/drawing/2014/main" id="{C7134999-FFBF-46A7-936C-FD61E42129A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53" name="Text Box 1">
          <a:extLst>
            <a:ext uri="{FF2B5EF4-FFF2-40B4-BE49-F238E27FC236}">
              <a16:creationId xmlns:a16="http://schemas.microsoft.com/office/drawing/2014/main" id="{4B82B451-7E4F-449E-ABDC-90FA05CB852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54" name="Text Box 1">
          <a:extLst>
            <a:ext uri="{FF2B5EF4-FFF2-40B4-BE49-F238E27FC236}">
              <a16:creationId xmlns:a16="http://schemas.microsoft.com/office/drawing/2014/main" id="{19607AEC-EA5B-4887-BC21-16BE750488B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55" name="Text Box 3">
          <a:extLst>
            <a:ext uri="{FF2B5EF4-FFF2-40B4-BE49-F238E27FC236}">
              <a16:creationId xmlns:a16="http://schemas.microsoft.com/office/drawing/2014/main" id="{D6A587FD-820B-4EF7-8161-E5CCA70EE06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56" name="Text Box 1">
          <a:extLst>
            <a:ext uri="{FF2B5EF4-FFF2-40B4-BE49-F238E27FC236}">
              <a16:creationId xmlns:a16="http://schemas.microsoft.com/office/drawing/2014/main" id="{65716DBA-48BE-44A9-A644-E0B342ED3B1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57" name="Text Box 3">
          <a:extLst>
            <a:ext uri="{FF2B5EF4-FFF2-40B4-BE49-F238E27FC236}">
              <a16:creationId xmlns:a16="http://schemas.microsoft.com/office/drawing/2014/main" id="{1D3BDF18-53AC-4452-B0CB-88F58A989D3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58" name="Text Box 1">
          <a:extLst>
            <a:ext uri="{FF2B5EF4-FFF2-40B4-BE49-F238E27FC236}">
              <a16:creationId xmlns:a16="http://schemas.microsoft.com/office/drawing/2014/main" id="{8C4F5D07-57C3-4EFB-B868-2791392373F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59" name="Text Box 1">
          <a:extLst>
            <a:ext uri="{FF2B5EF4-FFF2-40B4-BE49-F238E27FC236}">
              <a16:creationId xmlns:a16="http://schemas.microsoft.com/office/drawing/2014/main" id="{167D6FDC-401A-4EBE-A807-181BD14AAF7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60" name="Text Box 3">
          <a:extLst>
            <a:ext uri="{FF2B5EF4-FFF2-40B4-BE49-F238E27FC236}">
              <a16:creationId xmlns:a16="http://schemas.microsoft.com/office/drawing/2014/main" id="{B91C3B13-5A17-43FE-B78F-EE32ADBE9A9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61" name="Text Box 1">
          <a:extLst>
            <a:ext uri="{FF2B5EF4-FFF2-40B4-BE49-F238E27FC236}">
              <a16:creationId xmlns:a16="http://schemas.microsoft.com/office/drawing/2014/main" id="{EF111125-62AD-4327-90B6-24D858443AF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62" name="Text Box 3">
          <a:extLst>
            <a:ext uri="{FF2B5EF4-FFF2-40B4-BE49-F238E27FC236}">
              <a16:creationId xmlns:a16="http://schemas.microsoft.com/office/drawing/2014/main" id="{C927F5CF-8042-4AEE-B61D-A6AFD1A9D4F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63" name="Text Box 1">
          <a:extLst>
            <a:ext uri="{FF2B5EF4-FFF2-40B4-BE49-F238E27FC236}">
              <a16:creationId xmlns:a16="http://schemas.microsoft.com/office/drawing/2014/main" id="{8F5A1D82-56E2-4DF4-AE8D-C7345C7E214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64" name="Text Box 1">
          <a:extLst>
            <a:ext uri="{FF2B5EF4-FFF2-40B4-BE49-F238E27FC236}">
              <a16:creationId xmlns:a16="http://schemas.microsoft.com/office/drawing/2014/main" id="{2A684624-F819-487F-8409-749DD27FE79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65" name="Text Box 3">
          <a:extLst>
            <a:ext uri="{FF2B5EF4-FFF2-40B4-BE49-F238E27FC236}">
              <a16:creationId xmlns:a16="http://schemas.microsoft.com/office/drawing/2014/main" id="{B2FCC4D5-82D8-44F8-AAFF-E8FAC040809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66" name="Text Box 1">
          <a:extLst>
            <a:ext uri="{FF2B5EF4-FFF2-40B4-BE49-F238E27FC236}">
              <a16:creationId xmlns:a16="http://schemas.microsoft.com/office/drawing/2014/main" id="{55A05A3F-D70B-488A-ACE9-E312D1395A0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67" name="Text Box 3">
          <a:extLst>
            <a:ext uri="{FF2B5EF4-FFF2-40B4-BE49-F238E27FC236}">
              <a16:creationId xmlns:a16="http://schemas.microsoft.com/office/drawing/2014/main" id="{58006D80-5FEA-47C3-AF57-4F32019A736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68" name="Text Box 1">
          <a:extLst>
            <a:ext uri="{FF2B5EF4-FFF2-40B4-BE49-F238E27FC236}">
              <a16:creationId xmlns:a16="http://schemas.microsoft.com/office/drawing/2014/main" id="{7DD6A282-638B-48FA-AFD6-E14D80EDF30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69" name="Text Box 1">
          <a:extLst>
            <a:ext uri="{FF2B5EF4-FFF2-40B4-BE49-F238E27FC236}">
              <a16:creationId xmlns:a16="http://schemas.microsoft.com/office/drawing/2014/main" id="{BC55757F-836A-4BCC-B589-DCF12806B66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70" name="Text Box 3">
          <a:extLst>
            <a:ext uri="{FF2B5EF4-FFF2-40B4-BE49-F238E27FC236}">
              <a16:creationId xmlns:a16="http://schemas.microsoft.com/office/drawing/2014/main" id="{8A19D2F0-A723-4CF2-B098-63303FAB896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71" name="Text Box 1">
          <a:extLst>
            <a:ext uri="{FF2B5EF4-FFF2-40B4-BE49-F238E27FC236}">
              <a16:creationId xmlns:a16="http://schemas.microsoft.com/office/drawing/2014/main" id="{AE863A01-94CF-4613-8E5E-40BCC7C6A12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72" name="Text Box 3">
          <a:extLst>
            <a:ext uri="{FF2B5EF4-FFF2-40B4-BE49-F238E27FC236}">
              <a16:creationId xmlns:a16="http://schemas.microsoft.com/office/drawing/2014/main" id="{0AC62B60-CE0D-4A42-9C55-4E82F858001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73" name="Text Box 1">
          <a:extLst>
            <a:ext uri="{FF2B5EF4-FFF2-40B4-BE49-F238E27FC236}">
              <a16:creationId xmlns:a16="http://schemas.microsoft.com/office/drawing/2014/main" id="{95F6091E-B05D-4B69-BBB0-7C9BB722840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74" name="Text Box 1">
          <a:extLst>
            <a:ext uri="{FF2B5EF4-FFF2-40B4-BE49-F238E27FC236}">
              <a16:creationId xmlns:a16="http://schemas.microsoft.com/office/drawing/2014/main" id="{39FB8DE6-0522-497A-A51E-15AAA92FF21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75" name="Text Box 3">
          <a:extLst>
            <a:ext uri="{FF2B5EF4-FFF2-40B4-BE49-F238E27FC236}">
              <a16:creationId xmlns:a16="http://schemas.microsoft.com/office/drawing/2014/main" id="{5C86CF57-F050-4F86-A4A3-69EEAB4BD96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76" name="Text Box 1">
          <a:extLst>
            <a:ext uri="{FF2B5EF4-FFF2-40B4-BE49-F238E27FC236}">
              <a16:creationId xmlns:a16="http://schemas.microsoft.com/office/drawing/2014/main" id="{5994EC45-DE14-4502-944D-6C416E129AE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77" name="Text Box 3">
          <a:extLst>
            <a:ext uri="{FF2B5EF4-FFF2-40B4-BE49-F238E27FC236}">
              <a16:creationId xmlns:a16="http://schemas.microsoft.com/office/drawing/2014/main" id="{67C6EB37-05F3-4F5F-B112-146A6309270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78" name="Text Box 1">
          <a:extLst>
            <a:ext uri="{FF2B5EF4-FFF2-40B4-BE49-F238E27FC236}">
              <a16:creationId xmlns:a16="http://schemas.microsoft.com/office/drawing/2014/main" id="{3651E8EF-44CE-4DD9-90EA-17C90F2A794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79" name="Text Box 1">
          <a:extLst>
            <a:ext uri="{FF2B5EF4-FFF2-40B4-BE49-F238E27FC236}">
              <a16:creationId xmlns:a16="http://schemas.microsoft.com/office/drawing/2014/main" id="{527DEF00-A6EF-494A-AF78-65ADDC18F4B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80" name="Text Box 3">
          <a:extLst>
            <a:ext uri="{FF2B5EF4-FFF2-40B4-BE49-F238E27FC236}">
              <a16:creationId xmlns:a16="http://schemas.microsoft.com/office/drawing/2014/main" id="{9FA6C28C-5F0F-4639-A772-DDD4E367934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81" name="Text Box 1">
          <a:extLst>
            <a:ext uri="{FF2B5EF4-FFF2-40B4-BE49-F238E27FC236}">
              <a16:creationId xmlns:a16="http://schemas.microsoft.com/office/drawing/2014/main" id="{F59EF7B5-8D86-434E-9E4B-EC49B2734E8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82" name="Text Box 3">
          <a:extLst>
            <a:ext uri="{FF2B5EF4-FFF2-40B4-BE49-F238E27FC236}">
              <a16:creationId xmlns:a16="http://schemas.microsoft.com/office/drawing/2014/main" id="{A4D8CE63-3899-43C4-94C9-FB67622CB81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83" name="Text Box 1">
          <a:extLst>
            <a:ext uri="{FF2B5EF4-FFF2-40B4-BE49-F238E27FC236}">
              <a16:creationId xmlns:a16="http://schemas.microsoft.com/office/drawing/2014/main" id="{292B8CE0-1855-48A1-9852-95774157B0A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84" name="Text Box 1">
          <a:extLst>
            <a:ext uri="{FF2B5EF4-FFF2-40B4-BE49-F238E27FC236}">
              <a16:creationId xmlns:a16="http://schemas.microsoft.com/office/drawing/2014/main" id="{1811617E-2554-433A-BBE7-AE9A8C208C3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85" name="Text Box 3">
          <a:extLst>
            <a:ext uri="{FF2B5EF4-FFF2-40B4-BE49-F238E27FC236}">
              <a16:creationId xmlns:a16="http://schemas.microsoft.com/office/drawing/2014/main" id="{170AF252-E55B-42A3-9BE4-4BD5C302687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86" name="Text Box 1">
          <a:extLst>
            <a:ext uri="{FF2B5EF4-FFF2-40B4-BE49-F238E27FC236}">
              <a16:creationId xmlns:a16="http://schemas.microsoft.com/office/drawing/2014/main" id="{89EC61C6-5598-4F14-956B-BB6FC3188F1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87" name="Text Box 3">
          <a:extLst>
            <a:ext uri="{FF2B5EF4-FFF2-40B4-BE49-F238E27FC236}">
              <a16:creationId xmlns:a16="http://schemas.microsoft.com/office/drawing/2014/main" id="{CE8DDA57-01D6-4345-91BA-CF0C4205C9A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88" name="Text Box 1">
          <a:extLst>
            <a:ext uri="{FF2B5EF4-FFF2-40B4-BE49-F238E27FC236}">
              <a16:creationId xmlns:a16="http://schemas.microsoft.com/office/drawing/2014/main" id="{A890E624-D77F-4375-85CD-4808F383AF3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89" name="Text Box 1">
          <a:extLst>
            <a:ext uri="{FF2B5EF4-FFF2-40B4-BE49-F238E27FC236}">
              <a16:creationId xmlns:a16="http://schemas.microsoft.com/office/drawing/2014/main" id="{5893F3D1-9928-45C6-B49F-AB0190BC66D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90" name="Text Box 3">
          <a:extLst>
            <a:ext uri="{FF2B5EF4-FFF2-40B4-BE49-F238E27FC236}">
              <a16:creationId xmlns:a16="http://schemas.microsoft.com/office/drawing/2014/main" id="{FB9D7DB1-3CB9-4D7E-BB17-1F18735B6FB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91" name="Text Box 1">
          <a:extLst>
            <a:ext uri="{FF2B5EF4-FFF2-40B4-BE49-F238E27FC236}">
              <a16:creationId xmlns:a16="http://schemas.microsoft.com/office/drawing/2014/main" id="{769331EF-B33A-4274-9DEC-5B4281E5DE0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92" name="Text Box 3">
          <a:extLst>
            <a:ext uri="{FF2B5EF4-FFF2-40B4-BE49-F238E27FC236}">
              <a16:creationId xmlns:a16="http://schemas.microsoft.com/office/drawing/2014/main" id="{1EA2A2E3-5C96-4C9E-942B-C0BB36ABA52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93" name="Text Box 1">
          <a:extLst>
            <a:ext uri="{FF2B5EF4-FFF2-40B4-BE49-F238E27FC236}">
              <a16:creationId xmlns:a16="http://schemas.microsoft.com/office/drawing/2014/main" id="{697CE0DE-33E2-4B7A-8A0B-A3C394519EC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94" name="Text Box 1">
          <a:extLst>
            <a:ext uri="{FF2B5EF4-FFF2-40B4-BE49-F238E27FC236}">
              <a16:creationId xmlns:a16="http://schemas.microsoft.com/office/drawing/2014/main" id="{EB290FB2-C9B0-4141-8B91-48D0715BD30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95" name="Text Box 3">
          <a:extLst>
            <a:ext uri="{FF2B5EF4-FFF2-40B4-BE49-F238E27FC236}">
              <a16:creationId xmlns:a16="http://schemas.microsoft.com/office/drawing/2014/main" id="{706CFBED-9DD0-4AD0-8124-09C448F8F5F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96" name="Text Box 1">
          <a:extLst>
            <a:ext uri="{FF2B5EF4-FFF2-40B4-BE49-F238E27FC236}">
              <a16:creationId xmlns:a16="http://schemas.microsoft.com/office/drawing/2014/main" id="{5081CDAA-E778-4887-A481-E1370142A7C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97" name="Text Box 3">
          <a:extLst>
            <a:ext uri="{FF2B5EF4-FFF2-40B4-BE49-F238E27FC236}">
              <a16:creationId xmlns:a16="http://schemas.microsoft.com/office/drawing/2014/main" id="{43A27176-F25B-4967-8591-BF5B98D3AD1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98" name="Text Box 1">
          <a:extLst>
            <a:ext uri="{FF2B5EF4-FFF2-40B4-BE49-F238E27FC236}">
              <a16:creationId xmlns:a16="http://schemas.microsoft.com/office/drawing/2014/main" id="{0156D0C9-6036-4A24-8B60-0BA7C89A6D0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99" name="Text Box 1">
          <a:extLst>
            <a:ext uri="{FF2B5EF4-FFF2-40B4-BE49-F238E27FC236}">
              <a16:creationId xmlns:a16="http://schemas.microsoft.com/office/drawing/2014/main" id="{19713019-5C77-4CE2-AA49-D2336F3F462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00" name="Text Box 3">
          <a:extLst>
            <a:ext uri="{FF2B5EF4-FFF2-40B4-BE49-F238E27FC236}">
              <a16:creationId xmlns:a16="http://schemas.microsoft.com/office/drawing/2014/main" id="{74F02FE6-7C32-4E62-B251-6F6F26DECB6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01" name="Text Box 1">
          <a:extLst>
            <a:ext uri="{FF2B5EF4-FFF2-40B4-BE49-F238E27FC236}">
              <a16:creationId xmlns:a16="http://schemas.microsoft.com/office/drawing/2014/main" id="{CD279D7E-2B7D-40F8-8D1A-0D02898EFAC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02" name="Text Box 3">
          <a:extLst>
            <a:ext uri="{FF2B5EF4-FFF2-40B4-BE49-F238E27FC236}">
              <a16:creationId xmlns:a16="http://schemas.microsoft.com/office/drawing/2014/main" id="{F8E49513-7D47-49BB-A8A5-4145AE34EE3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03" name="Text Box 1">
          <a:extLst>
            <a:ext uri="{FF2B5EF4-FFF2-40B4-BE49-F238E27FC236}">
              <a16:creationId xmlns:a16="http://schemas.microsoft.com/office/drawing/2014/main" id="{014E24DB-46ED-4DF6-BB49-E830BE3CD15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04" name="Text Box 1">
          <a:extLst>
            <a:ext uri="{FF2B5EF4-FFF2-40B4-BE49-F238E27FC236}">
              <a16:creationId xmlns:a16="http://schemas.microsoft.com/office/drawing/2014/main" id="{9F56D818-C3A4-44BE-8D96-D7FF6C4ECC5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05" name="Text Box 3">
          <a:extLst>
            <a:ext uri="{FF2B5EF4-FFF2-40B4-BE49-F238E27FC236}">
              <a16:creationId xmlns:a16="http://schemas.microsoft.com/office/drawing/2014/main" id="{1B6EAD43-820D-470C-883A-FCC4FDA57A9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06" name="Text Box 1">
          <a:extLst>
            <a:ext uri="{FF2B5EF4-FFF2-40B4-BE49-F238E27FC236}">
              <a16:creationId xmlns:a16="http://schemas.microsoft.com/office/drawing/2014/main" id="{6BA20683-4B92-478F-87A1-E551401C33E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07" name="Text Box 3">
          <a:extLst>
            <a:ext uri="{FF2B5EF4-FFF2-40B4-BE49-F238E27FC236}">
              <a16:creationId xmlns:a16="http://schemas.microsoft.com/office/drawing/2014/main" id="{853C7A67-4C07-4107-879F-86C7C97DAC8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08" name="Text Box 1">
          <a:extLst>
            <a:ext uri="{FF2B5EF4-FFF2-40B4-BE49-F238E27FC236}">
              <a16:creationId xmlns:a16="http://schemas.microsoft.com/office/drawing/2014/main" id="{76ABB9EE-3F08-4D4E-9531-4CEDB6500D9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09" name="Text Box 1">
          <a:extLst>
            <a:ext uri="{FF2B5EF4-FFF2-40B4-BE49-F238E27FC236}">
              <a16:creationId xmlns:a16="http://schemas.microsoft.com/office/drawing/2014/main" id="{EB312744-80CB-47CE-BAC9-F10E1228B56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10" name="Text Box 3">
          <a:extLst>
            <a:ext uri="{FF2B5EF4-FFF2-40B4-BE49-F238E27FC236}">
              <a16:creationId xmlns:a16="http://schemas.microsoft.com/office/drawing/2014/main" id="{EDF36EDF-D9CB-4420-9397-BE876137A22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11" name="Text Box 1">
          <a:extLst>
            <a:ext uri="{FF2B5EF4-FFF2-40B4-BE49-F238E27FC236}">
              <a16:creationId xmlns:a16="http://schemas.microsoft.com/office/drawing/2014/main" id="{B2A53B59-CF34-48F5-9AC6-F5043183223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12" name="Text Box 3">
          <a:extLst>
            <a:ext uri="{FF2B5EF4-FFF2-40B4-BE49-F238E27FC236}">
              <a16:creationId xmlns:a16="http://schemas.microsoft.com/office/drawing/2014/main" id="{BB068EBC-0040-44DB-9929-F5D75C8D9C4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13" name="Text Box 1">
          <a:extLst>
            <a:ext uri="{FF2B5EF4-FFF2-40B4-BE49-F238E27FC236}">
              <a16:creationId xmlns:a16="http://schemas.microsoft.com/office/drawing/2014/main" id="{C3F2E88A-8FEF-4939-9596-71F005D7B80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14" name="Text Box 1">
          <a:extLst>
            <a:ext uri="{FF2B5EF4-FFF2-40B4-BE49-F238E27FC236}">
              <a16:creationId xmlns:a16="http://schemas.microsoft.com/office/drawing/2014/main" id="{5F18FAAC-FD4B-4A40-88A3-403556C97CF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15" name="Text Box 3">
          <a:extLst>
            <a:ext uri="{FF2B5EF4-FFF2-40B4-BE49-F238E27FC236}">
              <a16:creationId xmlns:a16="http://schemas.microsoft.com/office/drawing/2014/main" id="{D9E53DC5-7750-4AF5-9530-D6BC9900616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16" name="Text Box 1">
          <a:extLst>
            <a:ext uri="{FF2B5EF4-FFF2-40B4-BE49-F238E27FC236}">
              <a16:creationId xmlns:a16="http://schemas.microsoft.com/office/drawing/2014/main" id="{88EC9B39-E67D-47EA-8FB4-7878A17CB5A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17" name="Text Box 3">
          <a:extLst>
            <a:ext uri="{FF2B5EF4-FFF2-40B4-BE49-F238E27FC236}">
              <a16:creationId xmlns:a16="http://schemas.microsoft.com/office/drawing/2014/main" id="{FB8C051C-2304-4A06-8C55-387977E1892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18" name="Text Box 1">
          <a:extLst>
            <a:ext uri="{FF2B5EF4-FFF2-40B4-BE49-F238E27FC236}">
              <a16:creationId xmlns:a16="http://schemas.microsoft.com/office/drawing/2014/main" id="{29FAF76B-441B-4693-9EA8-9621ED06B3E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19" name="Text Box 1">
          <a:extLst>
            <a:ext uri="{FF2B5EF4-FFF2-40B4-BE49-F238E27FC236}">
              <a16:creationId xmlns:a16="http://schemas.microsoft.com/office/drawing/2014/main" id="{E29899A4-5A96-4E7A-BD06-B70C591B927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20" name="Text Box 3">
          <a:extLst>
            <a:ext uri="{FF2B5EF4-FFF2-40B4-BE49-F238E27FC236}">
              <a16:creationId xmlns:a16="http://schemas.microsoft.com/office/drawing/2014/main" id="{5F847723-A3AB-42CA-99A1-CB104BFD611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21" name="Text Box 1">
          <a:extLst>
            <a:ext uri="{FF2B5EF4-FFF2-40B4-BE49-F238E27FC236}">
              <a16:creationId xmlns:a16="http://schemas.microsoft.com/office/drawing/2014/main" id="{D7BB5E77-6E7C-436E-9699-248664BCCC0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22" name="Text Box 3">
          <a:extLst>
            <a:ext uri="{FF2B5EF4-FFF2-40B4-BE49-F238E27FC236}">
              <a16:creationId xmlns:a16="http://schemas.microsoft.com/office/drawing/2014/main" id="{037E4914-CEA4-4E5C-99B6-E556DCBFCB5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23" name="Text Box 1">
          <a:extLst>
            <a:ext uri="{FF2B5EF4-FFF2-40B4-BE49-F238E27FC236}">
              <a16:creationId xmlns:a16="http://schemas.microsoft.com/office/drawing/2014/main" id="{DC6C383F-B74B-4117-BA91-18C39808C58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24" name="Text Box 1">
          <a:extLst>
            <a:ext uri="{FF2B5EF4-FFF2-40B4-BE49-F238E27FC236}">
              <a16:creationId xmlns:a16="http://schemas.microsoft.com/office/drawing/2014/main" id="{E3C63294-8596-43FA-A265-D8596A00667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25" name="Text Box 3">
          <a:extLst>
            <a:ext uri="{FF2B5EF4-FFF2-40B4-BE49-F238E27FC236}">
              <a16:creationId xmlns:a16="http://schemas.microsoft.com/office/drawing/2014/main" id="{AF099F31-B4C2-4B85-B0C2-0A88A78320C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26" name="Text Box 1">
          <a:extLst>
            <a:ext uri="{FF2B5EF4-FFF2-40B4-BE49-F238E27FC236}">
              <a16:creationId xmlns:a16="http://schemas.microsoft.com/office/drawing/2014/main" id="{284797E0-3CC6-40E7-9043-ABA079C5832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27" name="Text Box 3">
          <a:extLst>
            <a:ext uri="{FF2B5EF4-FFF2-40B4-BE49-F238E27FC236}">
              <a16:creationId xmlns:a16="http://schemas.microsoft.com/office/drawing/2014/main" id="{6ED05BF8-DB2A-4B99-92C9-F4717C5BB68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28" name="Text Box 1">
          <a:extLst>
            <a:ext uri="{FF2B5EF4-FFF2-40B4-BE49-F238E27FC236}">
              <a16:creationId xmlns:a16="http://schemas.microsoft.com/office/drawing/2014/main" id="{B99C2BFF-3E15-45DA-94FF-60C6E28F203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29" name="Text Box 1">
          <a:extLst>
            <a:ext uri="{FF2B5EF4-FFF2-40B4-BE49-F238E27FC236}">
              <a16:creationId xmlns:a16="http://schemas.microsoft.com/office/drawing/2014/main" id="{3AF45C25-7227-4226-95BF-60C2CD9CA59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30" name="Text Box 3">
          <a:extLst>
            <a:ext uri="{FF2B5EF4-FFF2-40B4-BE49-F238E27FC236}">
              <a16:creationId xmlns:a16="http://schemas.microsoft.com/office/drawing/2014/main" id="{FC670AF5-1A1E-459B-BEE2-3F648799DA9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31" name="Text Box 1">
          <a:extLst>
            <a:ext uri="{FF2B5EF4-FFF2-40B4-BE49-F238E27FC236}">
              <a16:creationId xmlns:a16="http://schemas.microsoft.com/office/drawing/2014/main" id="{54F49C3D-7EA6-42E1-8B93-3AFC62AEB1C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32" name="Text Box 3">
          <a:extLst>
            <a:ext uri="{FF2B5EF4-FFF2-40B4-BE49-F238E27FC236}">
              <a16:creationId xmlns:a16="http://schemas.microsoft.com/office/drawing/2014/main" id="{43C6DD52-504B-44CB-990E-1D527EBD2BE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33" name="Text Box 1">
          <a:extLst>
            <a:ext uri="{FF2B5EF4-FFF2-40B4-BE49-F238E27FC236}">
              <a16:creationId xmlns:a16="http://schemas.microsoft.com/office/drawing/2014/main" id="{8215ADFA-2DE2-4F14-A172-D24ABA60E3E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34" name="Text Box 1">
          <a:extLst>
            <a:ext uri="{FF2B5EF4-FFF2-40B4-BE49-F238E27FC236}">
              <a16:creationId xmlns:a16="http://schemas.microsoft.com/office/drawing/2014/main" id="{D00CE358-245F-444D-8E16-89A98B4E0B7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35" name="Text Box 3">
          <a:extLst>
            <a:ext uri="{FF2B5EF4-FFF2-40B4-BE49-F238E27FC236}">
              <a16:creationId xmlns:a16="http://schemas.microsoft.com/office/drawing/2014/main" id="{67133CB1-AA82-410B-9D36-A684690580F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36" name="Text Box 1">
          <a:extLst>
            <a:ext uri="{FF2B5EF4-FFF2-40B4-BE49-F238E27FC236}">
              <a16:creationId xmlns:a16="http://schemas.microsoft.com/office/drawing/2014/main" id="{AC2651DF-A6BB-4CA6-A726-5B316C661EC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37" name="Text Box 3">
          <a:extLst>
            <a:ext uri="{FF2B5EF4-FFF2-40B4-BE49-F238E27FC236}">
              <a16:creationId xmlns:a16="http://schemas.microsoft.com/office/drawing/2014/main" id="{BADE1D41-FD19-4324-ACA7-F347AE04898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38" name="Text Box 1">
          <a:extLst>
            <a:ext uri="{FF2B5EF4-FFF2-40B4-BE49-F238E27FC236}">
              <a16:creationId xmlns:a16="http://schemas.microsoft.com/office/drawing/2014/main" id="{97E4869A-86A8-4B3B-8C64-715F4C6942E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39" name="Text Box 1">
          <a:extLst>
            <a:ext uri="{FF2B5EF4-FFF2-40B4-BE49-F238E27FC236}">
              <a16:creationId xmlns:a16="http://schemas.microsoft.com/office/drawing/2014/main" id="{E231677C-6157-4C5C-93A2-076B8FE8DC4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40" name="Text Box 3">
          <a:extLst>
            <a:ext uri="{FF2B5EF4-FFF2-40B4-BE49-F238E27FC236}">
              <a16:creationId xmlns:a16="http://schemas.microsoft.com/office/drawing/2014/main" id="{E2EF697D-0903-44E2-AEE2-01BC3058525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41" name="Text Box 1">
          <a:extLst>
            <a:ext uri="{FF2B5EF4-FFF2-40B4-BE49-F238E27FC236}">
              <a16:creationId xmlns:a16="http://schemas.microsoft.com/office/drawing/2014/main" id="{34129019-CD16-4CAA-BB2B-9BF81A87FD9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42" name="Text Box 3">
          <a:extLst>
            <a:ext uri="{FF2B5EF4-FFF2-40B4-BE49-F238E27FC236}">
              <a16:creationId xmlns:a16="http://schemas.microsoft.com/office/drawing/2014/main" id="{DFD68E6C-4DCC-4E8C-B4C2-A1C7C9DC530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43" name="Text Box 1">
          <a:extLst>
            <a:ext uri="{FF2B5EF4-FFF2-40B4-BE49-F238E27FC236}">
              <a16:creationId xmlns:a16="http://schemas.microsoft.com/office/drawing/2014/main" id="{75049BC1-5618-4651-A380-33240DCB68B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44" name="Text Box 1">
          <a:extLst>
            <a:ext uri="{FF2B5EF4-FFF2-40B4-BE49-F238E27FC236}">
              <a16:creationId xmlns:a16="http://schemas.microsoft.com/office/drawing/2014/main" id="{133A4BAD-56F6-4621-B7A7-D3AEE547DE5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45" name="Text Box 3">
          <a:extLst>
            <a:ext uri="{FF2B5EF4-FFF2-40B4-BE49-F238E27FC236}">
              <a16:creationId xmlns:a16="http://schemas.microsoft.com/office/drawing/2014/main" id="{6A307AE1-4DAD-40A5-B4BF-51F02C8B6C9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46" name="Text Box 1">
          <a:extLst>
            <a:ext uri="{FF2B5EF4-FFF2-40B4-BE49-F238E27FC236}">
              <a16:creationId xmlns:a16="http://schemas.microsoft.com/office/drawing/2014/main" id="{3330FEE2-B3F0-4380-B401-03DC9BB8DA6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47" name="Text Box 3">
          <a:extLst>
            <a:ext uri="{FF2B5EF4-FFF2-40B4-BE49-F238E27FC236}">
              <a16:creationId xmlns:a16="http://schemas.microsoft.com/office/drawing/2014/main" id="{B9DEE6FE-F2A8-49B0-89D3-EF05962C297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48" name="Text Box 1">
          <a:extLst>
            <a:ext uri="{FF2B5EF4-FFF2-40B4-BE49-F238E27FC236}">
              <a16:creationId xmlns:a16="http://schemas.microsoft.com/office/drawing/2014/main" id="{781C6463-7E98-459E-946C-858F9614813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49" name="Text Box 1">
          <a:extLst>
            <a:ext uri="{FF2B5EF4-FFF2-40B4-BE49-F238E27FC236}">
              <a16:creationId xmlns:a16="http://schemas.microsoft.com/office/drawing/2014/main" id="{50F2823A-EBC0-4CB7-9193-4763145AD29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50" name="Text Box 3">
          <a:extLst>
            <a:ext uri="{FF2B5EF4-FFF2-40B4-BE49-F238E27FC236}">
              <a16:creationId xmlns:a16="http://schemas.microsoft.com/office/drawing/2014/main" id="{5C631E68-6ACC-4FAD-B445-B2271AD4B52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51" name="Text Box 1">
          <a:extLst>
            <a:ext uri="{FF2B5EF4-FFF2-40B4-BE49-F238E27FC236}">
              <a16:creationId xmlns:a16="http://schemas.microsoft.com/office/drawing/2014/main" id="{9CB9623A-001A-4BCE-96AF-C6B89F2ED78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52" name="Text Box 3">
          <a:extLst>
            <a:ext uri="{FF2B5EF4-FFF2-40B4-BE49-F238E27FC236}">
              <a16:creationId xmlns:a16="http://schemas.microsoft.com/office/drawing/2014/main" id="{71450C7C-DE11-4FEE-8822-73001FE8285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53" name="Text Box 1">
          <a:extLst>
            <a:ext uri="{FF2B5EF4-FFF2-40B4-BE49-F238E27FC236}">
              <a16:creationId xmlns:a16="http://schemas.microsoft.com/office/drawing/2014/main" id="{0B64F7B9-DD40-4E39-B32F-D2034B9F013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54" name="Text Box 1">
          <a:extLst>
            <a:ext uri="{FF2B5EF4-FFF2-40B4-BE49-F238E27FC236}">
              <a16:creationId xmlns:a16="http://schemas.microsoft.com/office/drawing/2014/main" id="{DD6F6230-0DD3-47F8-AA89-682524E6D87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55" name="Text Box 3">
          <a:extLst>
            <a:ext uri="{FF2B5EF4-FFF2-40B4-BE49-F238E27FC236}">
              <a16:creationId xmlns:a16="http://schemas.microsoft.com/office/drawing/2014/main" id="{E16E0393-F923-4596-ACB3-AFDD03BDCFB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56" name="Text Box 1">
          <a:extLst>
            <a:ext uri="{FF2B5EF4-FFF2-40B4-BE49-F238E27FC236}">
              <a16:creationId xmlns:a16="http://schemas.microsoft.com/office/drawing/2014/main" id="{CC7BC8F6-A2F6-4691-B428-9CB086B3784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57" name="Text Box 3">
          <a:extLst>
            <a:ext uri="{FF2B5EF4-FFF2-40B4-BE49-F238E27FC236}">
              <a16:creationId xmlns:a16="http://schemas.microsoft.com/office/drawing/2014/main" id="{2D03700C-D644-4AF3-922F-AEC5673CF14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58" name="Text Box 1">
          <a:extLst>
            <a:ext uri="{FF2B5EF4-FFF2-40B4-BE49-F238E27FC236}">
              <a16:creationId xmlns:a16="http://schemas.microsoft.com/office/drawing/2014/main" id="{E12E818A-67EF-47E0-B043-928E5CD52D6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59" name="Text Box 1">
          <a:extLst>
            <a:ext uri="{FF2B5EF4-FFF2-40B4-BE49-F238E27FC236}">
              <a16:creationId xmlns:a16="http://schemas.microsoft.com/office/drawing/2014/main" id="{CBC99C76-893F-4CB1-8512-E441F7F61C9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60" name="Text Box 3">
          <a:extLst>
            <a:ext uri="{FF2B5EF4-FFF2-40B4-BE49-F238E27FC236}">
              <a16:creationId xmlns:a16="http://schemas.microsoft.com/office/drawing/2014/main" id="{BD7A57FF-B61B-4C1C-8B4B-4967AA49AE2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61" name="Text Box 1">
          <a:extLst>
            <a:ext uri="{FF2B5EF4-FFF2-40B4-BE49-F238E27FC236}">
              <a16:creationId xmlns:a16="http://schemas.microsoft.com/office/drawing/2014/main" id="{7820A7A3-8877-4000-8B8D-212E28DA368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62" name="Text Box 3">
          <a:extLst>
            <a:ext uri="{FF2B5EF4-FFF2-40B4-BE49-F238E27FC236}">
              <a16:creationId xmlns:a16="http://schemas.microsoft.com/office/drawing/2014/main" id="{72AD8F71-AAFA-4C06-B155-5FE7D601574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63" name="Text Box 1">
          <a:extLst>
            <a:ext uri="{FF2B5EF4-FFF2-40B4-BE49-F238E27FC236}">
              <a16:creationId xmlns:a16="http://schemas.microsoft.com/office/drawing/2014/main" id="{8F5CDB14-5370-466C-A414-3526D51B58D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64" name="Text Box 1">
          <a:extLst>
            <a:ext uri="{FF2B5EF4-FFF2-40B4-BE49-F238E27FC236}">
              <a16:creationId xmlns:a16="http://schemas.microsoft.com/office/drawing/2014/main" id="{7730CC84-D496-4590-AC8C-CBC37E51AE1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65" name="Text Box 3">
          <a:extLst>
            <a:ext uri="{FF2B5EF4-FFF2-40B4-BE49-F238E27FC236}">
              <a16:creationId xmlns:a16="http://schemas.microsoft.com/office/drawing/2014/main" id="{3ABF161D-1139-466A-BD5A-ABD96685DE6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66" name="Text Box 1">
          <a:extLst>
            <a:ext uri="{FF2B5EF4-FFF2-40B4-BE49-F238E27FC236}">
              <a16:creationId xmlns:a16="http://schemas.microsoft.com/office/drawing/2014/main" id="{BD643692-88F8-4AA8-BDDD-EAEE1223721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67" name="Text Box 3">
          <a:extLst>
            <a:ext uri="{FF2B5EF4-FFF2-40B4-BE49-F238E27FC236}">
              <a16:creationId xmlns:a16="http://schemas.microsoft.com/office/drawing/2014/main" id="{6C98E296-8328-43C5-91C2-8584749B589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68" name="Text Box 1">
          <a:extLst>
            <a:ext uri="{FF2B5EF4-FFF2-40B4-BE49-F238E27FC236}">
              <a16:creationId xmlns:a16="http://schemas.microsoft.com/office/drawing/2014/main" id="{A1FD9BA8-15DA-4229-BC68-348E50CEC6E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69" name="Text Box 1">
          <a:extLst>
            <a:ext uri="{FF2B5EF4-FFF2-40B4-BE49-F238E27FC236}">
              <a16:creationId xmlns:a16="http://schemas.microsoft.com/office/drawing/2014/main" id="{37F69C32-F9BC-49C0-9EC2-BF12ABD9F44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70" name="Text Box 3">
          <a:extLst>
            <a:ext uri="{FF2B5EF4-FFF2-40B4-BE49-F238E27FC236}">
              <a16:creationId xmlns:a16="http://schemas.microsoft.com/office/drawing/2014/main" id="{86129C25-B1BD-4226-9173-22C9F591DD3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71" name="Text Box 1">
          <a:extLst>
            <a:ext uri="{FF2B5EF4-FFF2-40B4-BE49-F238E27FC236}">
              <a16:creationId xmlns:a16="http://schemas.microsoft.com/office/drawing/2014/main" id="{D97DA8A7-186F-4FF0-8ACF-EC347B76BAC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72" name="Text Box 3">
          <a:extLst>
            <a:ext uri="{FF2B5EF4-FFF2-40B4-BE49-F238E27FC236}">
              <a16:creationId xmlns:a16="http://schemas.microsoft.com/office/drawing/2014/main" id="{4E77E4A3-13E6-4B20-9790-7FD8FCAD765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73" name="Text Box 1">
          <a:extLst>
            <a:ext uri="{FF2B5EF4-FFF2-40B4-BE49-F238E27FC236}">
              <a16:creationId xmlns:a16="http://schemas.microsoft.com/office/drawing/2014/main" id="{25F19959-8B7D-4006-9012-9CC22185A5C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74" name="Text Box 1">
          <a:extLst>
            <a:ext uri="{FF2B5EF4-FFF2-40B4-BE49-F238E27FC236}">
              <a16:creationId xmlns:a16="http://schemas.microsoft.com/office/drawing/2014/main" id="{071BE112-9429-4C78-822A-5E01C71C9C6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75" name="Text Box 3">
          <a:extLst>
            <a:ext uri="{FF2B5EF4-FFF2-40B4-BE49-F238E27FC236}">
              <a16:creationId xmlns:a16="http://schemas.microsoft.com/office/drawing/2014/main" id="{C6AF3270-8775-4675-AAD1-D3824271A76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76" name="Text Box 1">
          <a:extLst>
            <a:ext uri="{FF2B5EF4-FFF2-40B4-BE49-F238E27FC236}">
              <a16:creationId xmlns:a16="http://schemas.microsoft.com/office/drawing/2014/main" id="{449D0905-EE32-4C6B-A23A-CD8F97DD3BD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77" name="Text Box 3">
          <a:extLst>
            <a:ext uri="{FF2B5EF4-FFF2-40B4-BE49-F238E27FC236}">
              <a16:creationId xmlns:a16="http://schemas.microsoft.com/office/drawing/2014/main" id="{C4CC3B98-054E-4D40-8F5D-7069C6C04E0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78" name="Text Box 1">
          <a:extLst>
            <a:ext uri="{FF2B5EF4-FFF2-40B4-BE49-F238E27FC236}">
              <a16:creationId xmlns:a16="http://schemas.microsoft.com/office/drawing/2014/main" id="{8C6A66C4-D7BE-4B13-AECF-1AE8BBB8F02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79" name="Text Box 1">
          <a:extLst>
            <a:ext uri="{FF2B5EF4-FFF2-40B4-BE49-F238E27FC236}">
              <a16:creationId xmlns:a16="http://schemas.microsoft.com/office/drawing/2014/main" id="{79B97D2B-D3AB-4BF3-9F38-041F6528046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80" name="Text Box 3">
          <a:extLst>
            <a:ext uri="{FF2B5EF4-FFF2-40B4-BE49-F238E27FC236}">
              <a16:creationId xmlns:a16="http://schemas.microsoft.com/office/drawing/2014/main" id="{FE45C9A2-9CEE-40CA-8A65-EBBA22BD08D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81" name="Text Box 1">
          <a:extLst>
            <a:ext uri="{FF2B5EF4-FFF2-40B4-BE49-F238E27FC236}">
              <a16:creationId xmlns:a16="http://schemas.microsoft.com/office/drawing/2014/main" id="{A92F308E-95BA-45CC-A2BF-AEB27E913E8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82" name="Text Box 3">
          <a:extLst>
            <a:ext uri="{FF2B5EF4-FFF2-40B4-BE49-F238E27FC236}">
              <a16:creationId xmlns:a16="http://schemas.microsoft.com/office/drawing/2014/main" id="{4017022C-A26E-483E-91A4-82822312C87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83" name="Text Box 1">
          <a:extLst>
            <a:ext uri="{FF2B5EF4-FFF2-40B4-BE49-F238E27FC236}">
              <a16:creationId xmlns:a16="http://schemas.microsoft.com/office/drawing/2014/main" id="{57D36381-3095-47C5-B9D0-730FB506249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84" name="Text Box 1">
          <a:extLst>
            <a:ext uri="{FF2B5EF4-FFF2-40B4-BE49-F238E27FC236}">
              <a16:creationId xmlns:a16="http://schemas.microsoft.com/office/drawing/2014/main" id="{FEEECF36-B3E6-42BE-8937-3C5732E1C7B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85" name="Text Box 3">
          <a:extLst>
            <a:ext uri="{FF2B5EF4-FFF2-40B4-BE49-F238E27FC236}">
              <a16:creationId xmlns:a16="http://schemas.microsoft.com/office/drawing/2014/main" id="{0A53D42F-4988-469C-8D3A-00515D7630C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86" name="Text Box 1">
          <a:extLst>
            <a:ext uri="{FF2B5EF4-FFF2-40B4-BE49-F238E27FC236}">
              <a16:creationId xmlns:a16="http://schemas.microsoft.com/office/drawing/2014/main" id="{B2648001-94B1-4796-A465-4B86191D83A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87" name="Text Box 3">
          <a:extLst>
            <a:ext uri="{FF2B5EF4-FFF2-40B4-BE49-F238E27FC236}">
              <a16:creationId xmlns:a16="http://schemas.microsoft.com/office/drawing/2014/main" id="{409C2A60-BD73-4208-8A5B-BD59E0310A0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88" name="Text Box 1">
          <a:extLst>
            <a:ext uri="{FF2B5EF4-FFF2-40B4-BE49-F238E27FC236}">
              <a16:creationId xmlns:a16="http://schemas.microsoft.com/office/drawing/2014/main" id="{8A965503-60F9-404F-A865-FB0092E6A18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89" name="Text Box 1">
          <a:extLst>
            <a:ext uri="{FF2B5EF4-FFF2-40B4-BE49-F238E27FC236}">
              <a16:creationId xmlns:a16="http://schemas.microsoft.com/office/drawing/2014/main" id="{88AF4124-1907-4ABE-AEBF-D656E3B3299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90" name="Text Box 3">
          <a:extLst>
            <a:ext uri="{FF2B5EF4-FFF2-40B4-BE49-F238E27FC236}">
              <a16:creationId xmlns:a16="http://schemas.microsoft.com/office/drawing/2014/main" id="{D0486239-B07D-488C-B0A2-47167BB6F26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91" name="Text Box 1">
          <a:extLst>
            <a:ext uri="{FF2B5EF4-FFF2-40B4-BE49-F238E27FC236}">
              <a16:creationId xmlns:a16="http://schemas.microsoft.com/office/drawing/2014/main" id="{93215D4D-2352-4A86-A51D-BE8428A3B31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92" name="Text Box 3">
          <a:extLst>
            <a:ext uri="{FF2B5EF4-FFF2-40B4-BE49-F238E27FC236}">
              <a16:creationId xmlns:a16="http://schemas.microsoft.com/office/drawing/2014/main" id="{DA9A52A7-C923-482F-A403-94C47BEC6D3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93" name="Text Box 1">
          <a:extLst>
            <a:ext uri="{FF2B5EF4-FFF2-40B4-BE49-F238E27FC236}">
              <a16:creationId xmlns:a16="http://schemas.microsoft.com/office/drawing/2014/main" id="{745B27A7-74D6-4F1B-B4B0-914C99EDB47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94" name="Text Box 1">
          <a:extLst>
            <a:ext uri="{FF2B5EF4-FFF2-40B4-BE49-F238E27FC236}">
              <a16:creationId xmlns:a16="http://schemas.microsoft.com/office/drawing/2014/main" id="{C19F95C5-FE6C-4FD3-B287-A2EDD4C34BD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95" name="Text Box 3">
          <a:extLst>
            <a:ext uri="{FF2B5EF4-FFF2-40B4-BE49-F238E27FC236}">
              <a16:creationId xmlns:a16="http://schemas.microsoft.com/office/drawing/2014/main" id="{01E8F990-32CA-463B-931B-CD9B1CDB481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96" name="Text Box 1">
          <a:extLst>
            <a:ext uri="{FF2B5EF4-FFF2-40B4-BE49-F238E27FC236}">
              <a16:creationId xmlns:a16="http://schemas.microsoft.com/office/drawing/2014/main" id="{EBE77780-9A27-4809-B33A-D51E4843CD6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97" name="Text Box 3">
          <a:extLst>
            <a:ext uri="{FF2B5EF4-FFF2-40B4-BE49-F238E27FC236}">
              <a16:creationId xmlns:a16="http://schemas.microsoft.com/office/drawing/2014/main" id="{3ED508E8-BB87-45EA-A9CD-C5CD252A857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98" name="Text Box 1">
          <a:extLst>
            <a:ext uri="{FF2B5EF4-FFF2-40B4-BE49-F238E27FC236}">
              <a16:creationId xmlns:a16="http://schemas.microsoft.com/office/drawing/2014/main" id="{21010660-AB5D-4600-B923-DAD2DA0938B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99" name="Text Box 1">
          <a:extLst>
            <a:ext uri="{FF2B5EF4-FFF2-40B4-BE49-F238E27FC236}">
              <a16:creationId xmlns:a16="http://schemas.microsoft.com/office/drawing/2014/main" id="{8F6E1E05-12AC-4856-9871-14AE5201F22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00" name="Text Box 3">
          <a:extLst>
            <a:ext uri="{FF2B5EF4-FFF2-40B4-BE49-F238E27FC236}">
              <a16:creationId xmlns:a16="http://schemas.microsoft.com/office/drawing/2014/main" id="{F732F88D-17F5-49B9-A78B-1E4738541CE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01" name="Text Box 1">
          <a:extLst>
            <a:ext uri="{FF2B5EF4-FFF2-40B4-BE49-F238E27FC236}">
              <a16:creationId xmlns:a16="http://schemas.microsoft.com/office/drawing/2014/main" id="{45E304EB-0E11-4C8E-9A00-8D18D8ECB0B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02" name="Text Box 3">
          <a:extLst>
            <a:ext uri="{FF2B5EF4-FFF2-40B4-BE49-F238E27FC236}">
              <a16:creationId xmlns:a16="http://schemas.microsoft.com/office/drawing/2014/main" id="{9E2BA7F6-6ABB-4943-A907-DE06983DFCE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03" name="Text Box 1">
          <a:extLst>
            <a:ext uri="{FF2B5EF4-FFF2-40B4-BE49-F238E27FC236}">
              <a16:creationId xmlns:a16="http://schemas.microsoft.com/office/drawing/2014/main" id="{CEA59CC5-A998-407E-8FA0-0485405D561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04" name="Text Box 1">
          <a:extLst>
            <a:ext uri="{FF2B5EF4-FFF2-40B4-BE49-F238E27FC236}">
              <a16:creationId xmlns:a16="http://schemas.microsoft.com/office/drawing/2014/main" id="{88094550-2CC3-476D-9269-F31B964486C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05" name="Text Box 3">
          <a:extLst>
            <a:ext uri="{FF2B5EF4-FFF2-40B4-BE49-F238E27FC236}">
              <a16:creationId xmlns:a16="http://schemas.microsoft.com/office/drawing/2014/main" id="{A603037B-2B75-4D55-A480-8827EBF4C3B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06" name="Text Box 1">
          <a:extLst>
            <a:ext uri="{FF2B5EF4-FFF2-40B4-BE49-F238E27FC236}">
              <a16:creationId xmlns:a16="http://schemas.microsoft.com/office/drawing/2014/main" id="{ACA9079E-A497-44C8-B917-BC415D85848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07" name="Text Box 3">
          <a:extLst>
            <a:ext uri="{FF2B5EF4-FFF2-40B4-BE49-F238E27FC236}">
              <a16:creationId xmlns:a16="http://schemas.microsoft.com/office/drawing/2014/main" id="{58803003-8C01-4B01-975E-D259AE08BE3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08" name="Text Box 1">
          <a:extLst>
            <a:ext uri="{FF2B5EF4-FFF2-40B4-BE49-F238E27FC236}">
              <a16:creationId xmlns:a16="http://schemas.microsoft.com/office/drawing/2014/main" id="{A7EA413E-20D3-4033-AF23-E34AA2C211C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09" name="Text Box 1">
          <a:extLst>
            <a:ext uri="{FF2B5EF4-FFF2-40B4-BE49-F238E27FC236}">
              <a16:creationId xmlns:a16="http://schemas.microsoft.com/office/drawing/2014/main" id="{104966A7-45E1-4265-BD76-4EAC68475BE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10" name="Text Box 3">
          <a:extLst>
            <a:ext uri="{FF2B5EF4-FFF2-40B4-BE49-F238E27FC236}">
              <a16:creationId xmlns:a16="http://schemas.microsoft.com/office/drawing/2014/main" id="{3395E372-A6F8-4E45-8CAF-BF0E5135599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11" name="Text Box 1">
          <a:extLst>
            <a:ext uri="{FF2B5EF4-FFF2-40B4-BE49-F238E27FC236}">
              <a16:creationId xmlns:a16="http://schemas.microsoft.com/office/drawing/2014/main" id="{237163D2-6F09-4110-ACD9-A7272E35387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12" name="Text Box 3">
          <a:extLst>
            <a:ext uri="{FF2B5EF4-FFF2-40B4-BE49-F238E27FC236}">
              <a16:creationId xmlns:a16="http://schemas.microsoft.com/office/drawing/2014/main" id="{EB5A5B16-E009-4A2B-924A-0CAA2B40805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13" name="Text Box 1">
          <a:extLst>
            <a:ext uri="{FF2B5EF4-FFF2-40B4-BE49-F238E27FC236}">
              <a16:creationId xmlns:a16="http://schemas.microsoft.com/office/drawing/2014/main" id="{07C9ADAF-9BE9-463A-89E4-BDE2F191226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14" name="Text Box 1">
          <a:extLst>
            <a:ext uri="{FF2B5EF4-FFF2-40B4-BE49-F238E27FC236}">
              <a16:creationId xmlns:a16="http://schemas.microsoft.com/office/drawing/2014/main" id="{A661B9DB-1C4F-4C9C-9A28-380C75317C0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15" name="Text Box 3">
          <a:extLst>
            <a:ext uri="{FF2B5EF4-FFF2-40B4-BE49-F238E27FC236}">
              <a16:creationId xmlns:a16="http://schemas.microsoft.com/office/drawing/2014/main" id="{F5C91AA6-67B8-47F9-AE5F-192536B83EC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16" name="Text Box 1">
          <a:extLst>
            <a:ext uri="{FF2B5EF4-FFF2-40B4-BE49-F238E27FC236}">
              <a16:creationId xmlns:a16="http://schemas.microsoft.com/office/drawing/2014/main" id="{21564F07-0EF4-4A7D-9A95-78A7BD75D2A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17" name="Text Box 3">
          <a:extLst>
            <a:ext uri="{FF2B5EF4-FFF2-40B4-BE49-F238E27FC236}">
              <a16:creationId xmlns:a16="http://schemas.microsoft.com/office/drawing/2014/main" id="{8F5582C1-8F4D-4B7F-8927-C2819EF1DA8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18" name="Text Box 1">
          <a:extLst>
            <a:ext uri="{FF2B5EF4-FFF2-40B4-BE49-F238E27FC236}">
              <a16:creationId xmlns:a16="http://schemas.microsoft.com/office/drawing/2014/main" id="{D3D165E3-6A71-4CEF-9288-A81AE4B14A2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19" name="Text Box 1">
          <a:extLst>
            <a:ext uri="{FF2B5EF4-FFF2-40B4-BE49-F238E27FC236}">
              <a16:creationId xmlns:a16="http://schemas.microsoft.com/office/drawing/2014/main" id="{5921385A-6FF8-4C46-871F-434350FD89C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20" name="Text Box 3">
          <a:extLst>
            <a:ext uri="{FF2B5EF4-FFF2-40B4-BE49-F238E27FC236}">
              <a16:creationId xmlns:a16="http://schemas.microsoft.com/office/drawing/2014/main" id="{D3BEAA9F-8ECE-4AAE-96EC-A47B8133236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21" name="Text Box 1">
          <a:extLst>
            <a:ext uri="{FF2B5EF4-FFF2-40B4-BE49-F238E27FC236}">
              <a16:creationId xmlns:a16="http://schemas.microsoft.com/office/drawing/2014/main" id="{79977A92-EAF4-4C92-877C-5E4A1F5F336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22" name="Text Box 3">
          <a:extLst>
            <a:ext uri="{FF2B5EF4-FFF2-40B4-BE49-F238E27FC236}">
              <a16:creationId xmlns:a16="http://schemas.microsoft.com/office/drawing/2014/main" id="{8274C6A3-A820-417C-B28B-907177E5C3B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23" name="Text Box 1">
          <a:extLst>
            <a:ext uri="{FF2B5EF4-FFF2-40B4-BE49-F238E27FC236}">
              <a16:creationId xmlns:a16="http://schemas.microsoft.com/office/drawing/2014/main" id="{61DE1F9F-6E1D-4FFE-BADF-9C0E00A37D7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24" name="Text Box 1">
          <a:extLst>
            <a:ext uri="{FF2B5EF4-FFF2-40B4-BE49-F238E27FC236}">
              <a16:creationId xmlns:a16="http://schemas.microsoft.com/office/drawing/2014/main" id="{686F893D-4743-4C16-AD90-BF5A7B69626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25" name="Text Box 3">
          <a:extLst>
            <a:ext uri="{FF2B5EF4-FFF2-40B4-BE49-F238E27FC236}">
              <a16:creationId xmlns:a16="http://schemas.microsoft.com/office/drawing/2014/main" id="{4ECD0CCF-5D0D-4372-B29F-9B68BCF7D1C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26" name="Text Box 1">
          <a:extLst>
            <a:ext uri="{FF2B5EF4-FFF2-40B4-BE49-F238E27FC236}">
              <a16:creationId xmlns:a16="http://schemas.microsoft.com/office/drawing/2014/main" id="{1CFA1021-64F2-4962-A574-6ABD35311FB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27" name="Text Box 3">
          <a:extLst>
            <a:ext uri="{FF2B5EF4-FFF2-40B4-BE49-F238E27FC236}">
              <a16:creationId xmlns:a16="http://schemas.microsoft.com/office/drawing/2014/main" id="{396885DF-0434-4AE4-94DF-537B9A54375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28" name="Text Box 1">
          <a:extLst>
            <a:ext uri="{FF2B5EF4-FFF2-40B4-BE49-F238E27FC236}">
              <a16:creationId xmlns:a16="http://schemas.microsoft.com/office/drawing/2014/main" id="{EDBE500D-CAC8-4BBC-A76D-8BA1D1D08CE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29" name="Text Box 1">
          <a:extLst>
            <a:ext uri="{FF2B5EF4-FFF2-40B4-BE49-F238E27FC236}">
              <a16:creationId xmlns:a16="http://schemas.microsoft.com/office/drawing/2014/main" id="{95F9F7EC-B74B-4BE0-AADA-8C2A6D8359F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30" name="Text Box 3">
          <a:extLst>
            <a:ext uri="{FF2B5EF4-FFF2-40B4-BE49-F238E27FC236}">
              <a16:creationId xmlns:a16="http://schemas.microsoft.com/office/drawing/2014/main" id="{D20B02F1-7A50-43DF-BE10-F38A5D54DA8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31" name="Text Box 1">
          <a:extLst>
            <a:ext uri="{FF2B5EF4-FFF2-40B4-BE49-F238E27FC236}">
              <a16:creationId xmlns:a16="http://schemas.microsoft.com/office/drawing/2014/main" id="{5C218EF2-D53A-4D64-923D-4E27BF20A11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32" name="Text Box 3">
          <a:extLst>
            <a:ext uri="{FF2B5EF4-FFF2-40B4-BE49-F238E27FC236}">
              <a16:creationId xmlns:a16="http://schemas.microsoft.com/office/drawing/2014/main" id="{E36F03BF-25E6-43B9-AB62-52FE60B2882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33" name="Text Box 1">
          <a:extLst>
            <a:ext uri="{FF2B5EF4-FFF2-40B4-BE49-F238E27FC236}">
              <a16:creationId xmlns:a16="http://schemas.microsoft.com/office/drawing/2014/main" id="{09C1FDD3-3ECC-4A69-BDFD-7B9786233A2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34" name="Text Box 1">
          <a:extLst>
            <a:ext uri="{FF2B5EF4-FFF2-40B4-BE49-F238E27FC236}">
              <a16:creationId xmlns:a16="http://schemas.microsoft.com/office/drawing/2014/main" id="{1E5FF67E-D81C-46E9-B800-36EB517B101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35" name="Text Box 3">
          <a:extLst>
            <a:ext uri="{FF2B5EF4-FFF2-40B4-BE49-F238E27FC236}">
              <a16:creationId xmlns:a16="http://schemas.microsoft.com/office/drawing/2014/main" id="{5AF9F4C3-DC20-479B-B8AF-3F1680F6588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36" name="Text Box 1">
          <a:extLst>
            <a:ext uri="{FF2B5EF4-FFF2-40B4-BE49-F238E27FC236}">
              <a16:creationId xmlns:a16="http://schemas.microsoft.com/office/drawing/2014/main" id="{BD9DE345-D602-4EE4-B3EA-D7CE67A5DD1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37" name="Text Box 3">
          <a:extLst>
            <a:ext uri="{FF2B5EF4-FFF2-40B4-BE49-F238E27FC236}">
              <a16:creationId xmlns:a16="http://schemas.microsoft.com/office/drawing/2014/main" id="{EC78F292-65F8-44BF-9329-A577C61277B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38" name="Text Box 1">
          <a:extLst>
            <a:ext uri="{FF2B5EF4-FFF2-40B4-BE49-F238E27FC236}">
              <a16:creationId xmlns:a16="http://schemas.microsoft.com/office/drawing/2014/main" id="{E4009F3A-71D5-4BAB-BE06-E367E727947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39" name="Text Box 1">
          <a:extLst>
            <a:ext uri="{FF2B5EF4-FFF2-40B4-BE49-F238E27FC236}">
              <a16:creationId xmlns:a16="http://schemas.microsoft.com/office/drawing/2014/main" id="{EB3BB863-245C-4D49-8DC6-3FF77AB1BDB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40" name="Text Box 3">
          <a:extLst>
            <a:ext uri="{FF2B5EF4-FFF2-40B4-BE49-F238E27FC236}">
              <a16:creationId xmlns:a16="http://schemas.microsoft.com/office/drawing/2014/main" id="{2491A00D-D99D-4EA5-82C5-B9C18BAF10D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41" name="Text Box 1">
          <a:extLst>
            <a:ext uri="{FF2B5EF4-FFF2-40B4-BE49-F238E27FC236}">
              <a16:creationId xmlns:a16="http://schemas.microsoft.com/office/drawing/2014/main" id="{C7EE6FEB-E5E2-46DF-98EC-15AD8A05175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42" name="Text Box 3">
          <a:extLst>
            <a:ext uri="{FF2B5EF4-FFF2-40B4-BE49-F238E27FC236}">
              <a16:creationId xmlns:a16="http://schemas.microsoft.com/office/drawing/2014/main" id="{A86E45D8-E30E-43FA-B3B7-806BABE4B47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43" name="Text Box 1">
          <a:extLst>
            <a:ext uri="{FF2B5EF4-FFF2-40B4-BE49-F238E27FC236}">
              <a16:creationId xmlns:a16="http://schemas.microsoft.com/office/drawing/2014/main" id="{FF546069-0328-411B-AE15-3F6397D45D93}"/>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44" name="Text Box 3">
          <a:extLst>
            <a:ext uri="{FF2B5EF4-FFF2-40B4-BE49-F238E27FC236}">
              <a16:creationId xmlns:a16="http://schemas.microsoft.com/office/drawing/2014/main" id="{0DA719D7-EF88-4443-8A38-2CB5161C3279}"/>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45" name="Text Box 1">
          <a:extLst>
            <a:ext uri="{FF2B5EF4-FFF2-40B4-BE49-F238E27FC236}">
              <a16:creationId xmlns:a16="http://schemas.microsoft.com/office/drawing/2014/main" id="{D985C99E-B444-45D6-97FF-29252F367DEB}"/>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46" name="Text Box 3">
          <a:extLst>
            <a:ext uri="{FF2B5EF4-FFF2-40B4-BE49-F238E27FC236}">
              <a16:creationId xmlns:a16="http://schemas.microsoft.com/office/drawing/2014/main" id="{C74E9A1D-ACE6-437C-A105-1986E72E6FC4}"/>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47" name="Text Box 1">
          <a:extLst>
            <a:ext uri="{FF2B5EF4-FFF2-40B4-BE49-F238E27FC236}">
              <a16:creationId xmlns:a16="http://schemas.microsoft.com/office/drawing/2014/main" id="{8B23D5A7-66E7-48AC-AE98-255DDF999D0F}"/>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48" name="Text Box 1">
          <a:extLst>
            <a:ext uri="{FF2B5EF4-FFF2-40B4-BE49-F238E27FC236}">
              <a16:creationId xmlns:a16="http://schemas.microsoft.com/office/drawing/2014/main" id="{98BAE602-236C-438B-A416-CF1EC0F3A129}"/>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49" name="Text Box 3">
          <a:extLst>
            <a:ext uri="{FF2B5EF4-FFF2-40B4-BE49-F238E27FC236}">
              <a16:creationId xmlns:a16="http://schemas.microsoft.com/office/drawing/2014/main" id="{40CBC11F-AF9F-4BCD-9C4C-C46C371F896A}"/>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50" name="Text Box 1">
          <a:extLst>
            <a:ext uri="{FF2B5EF4-FFF2-40B4-BE49-F238E27FC236}">
              <a16:creationId xmlns:a16="http://schemas.microsoft.com/office/drawing/2014/main" id="{86F160DD-9021-4FDE-9082-D3C604F9F38A}"/>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51" name="Text Box 3">
          <a:extLst>
            <a:ext uri="{FF2B5EF4-FFF2-40B4-BE49-F238E27FC236}">
              <a16:creationId xmlns:a16="http://schemas.microsoft.com/office/drawing/2014/main" id="{90AC0959-60C5-4130-8EAE-C71A8E610A50}"/>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52" name="Text Box 1">
          <a:extLst>
            <a:ext uri="{FF2B5EF4-FFF2-40B4-BE49-F238E27FC236}">
              <a16:creationId xmlns:a16="http://schemas.microsoft.com/office/drawing/2014/main" id="{41F0EAE9-A866-46CC-9B5E-0C3F5BEC01C9}"/>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53" name="Text Box 1">
          <a:extLst>
            <a:ext uri="{FF2B5EF4-FFF2-40B4-BE49-F238E27FC236}">
              <a16:creationId xmlns:a16="http://schemas.microsoft.com/office/drawing/2014/main" id="{A63B71E9-CB96-46A0-A315-822A124EE1AC}"/>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54" name="Text Box 3">
          <a:extLst>
            <a:ext uri="{FF2B5EF4-FFF2-40B4-BE49-F238E27FC236}">
              <a16:creationId xmlns:a16="http://schemas.microsoft.com/office/drawing/2014/main" id="{69370F17-CA9C-49EF-99DB-9CC33099C7EA}"/>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55" name="Text Box 1">
          <a:extLst>
            <a:ext uri="{FF2B5EF4-FFF2-40B4-BE49-F238E27FC236}">
              <a16:creationId xmlns:a16="http://schemas.microsoft.com/office/drawing/2014/main" id="{2DCE52F6-0A16-4597-AA6D-5C988201B7E2}"/>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56" name="Text Box 1">
          <a:extLst>
            <a:ext uri="{FF2B5EF4-FFF2-40B4-BE49-F238E27FC236}">
              <a16:creationId xmlns:a16="http://schemas.microsoft.com/office/drawing/2014/main" id="{7A350DE9-C5B6-4DEF-A743-DABE2065552F}"/>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57" name="Text Box 3">
          <a:extLst>
            <a:ext uri="{FF2B5EF4-FFF2-40B4-BE49-F238E27FC236}">
              <a16:creationId xmlns:a16="http://schemas.microsoft.com/office/drawing/2014/main" id="{B30F351C-EFFB-4DD3-BC49-C8ABB8BBBBA6}"/>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58" name="Text Box 1">
          <a:extLst>
            <a:ext uri="{FF2B5EF4-FFF2-40B4-BE49-F238E27FC236}">
              <a16:creationId xmlns:a16="http://schemas.microsoft.com/office/drawing/2014/main" id="{382A74B7-3C8F-4842-A1A5-E3E70937A226}"/>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59" name="Text Box 3">
          <a:extLst>
            <a:ext uri="{FF2B5EF4-FFF2-40B4-BE49-F238E27FC236}">
              <a16:creationId xmlns:a16="http://schemas.microsoft.com/office/drawing/2014/main" id="{DB70A459-5C1F-41F5-B788-BB29CE17C217}"/>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60" name="Text Box 1">
          <a:extLst>
            <a:ext uri="{FF2B5EF4-FFF2-40B4-BE49-F238E27FC236}">
              <a16:creationId xmlns:a16="http://schemas.microsoft.com/office/drawing/2014/main" id="{D0457F6F-1A4C-4176-9B5E-E5D7F3594129}"/>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61" name="Text Box 1">
          <a:extLst>
            <a:ext uri="{FF2B5EF4-FFF2-40B4-BE49-F238E27FC236}">
              <a16:creationId xmlns:a16="http://schemas.microsoft.com/office/drawing/2014/main" id="{725716BC-1537-4CB7-9593-7484EEFA8F2C}"/>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62" name="Text Box 3">
          <a:extLst>
            <a:ext uri="{FF2B5EF4-FFF2-40B4-BE49-F238E27FC236}">
              <a16:creationId xmlns:a16="http://schemas.microsoft.com/office/drawing/2014/main" id="{09F37483-342B-40EA-853B-89E0487C6E28}"/>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63" name="Text Box 1">
          <a:extLst>
            <a:ext uri="{FF2B5EF4-FFF2-40B4-BE49-F238E27FC236}">
              <a16:creationId xmlns:a16="http://schemas.microsoft.com/office/drawing/2014/main" id="{BE9800F8-8F47-40A1-80CC-CF0B67490F68}"/>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64" name="Text Box 3">
          <a:extLst>
            <a:ext uri="{FF2B5EF4-FFF2-40B4-BE49-F238E27FC236}">
              <a16:creationId xmlns:a16="http://schemas.microsoft.com/office/drawing/2014/main" id="{45ADFF7E-5DB0-458E-9499-B8E5EB2C9A2C}"/>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65" name="Text Box 1">
          <a:extLst>
            <a:ext uri="{FF2B5EF4-FFF2-40B4-BE49-F238E27FC236}">
              <a16:creationId xmlns:a16="http://schemas.microsoft.com/office/drawing/2014/main" id="{E76F2067-FD04-403F-94DC-F90F86BF89B2}"/>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66" name="Text Box 1">
          <a:extLst>
            <a:ext uri="{FF2B5EF4-FFF2-40B4-BE49-F238E27FC236}">
              <a16:creationId xmlns:a16="http://schemas.microsoft.com/office/drawing/2014/main" id="{DE95499A-9933-42BD-943A-E2DE389646EC}"/>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67" name="Text Box 3">
          <a:extLst>
            <a:ext uri="{FF2B5EF4-FFF2-40B4-BE49-F238E27FC236}">
              <a16:creationId xmlns:a16="http://schemas.microsoft.com/office/drawing/2014/main" id="{B24ACEAB-B131-4522-ADDD-8023EA6A0B2D}"/>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68" name="Text Box 3">
          <a:extLst>
            <a:ext uri="{FF2B5EF4-FFF2-40B4-BE49-F238E27FC236}">
              <a16:creationId xmlns:a16="http://schemas.microsoft.com/office/drawing/2014/main" id="{BE7BFD5E-83ED-47F9-B7D4-2549234BE9E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69" name="Text Box 1">
          <a:extLst>
            <a:ext uri="{FF2B5EF4-FFF2-40B4-BE49-F238E27FC236}">
              <a16:creationId xmlns:a16="http://schemas.microsoft.com/office/drawing/2014/main" id="{DCB232F3-8412-4280-8580-0F9194E559E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70" name="Text Box 3">
          <a:extLst>
            <a:ext uri="{FF2B5EF4-FFF2-40B4-BE49-F238E27FC236}">
              <a16:creationId xmlns:a16="http://schemas.microsoft.com/office/drawing/2014/main" id="{6A31B643-D6B0-4DD4-9D65-0041C4ABC6D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71" name="Text Box 1">
          <a:extLst>
            <a:ext uri="{FF2B5EF4-FFF2-40B4-BE49-F238E27FC236}">
              <a16:creationId xmlns:a16="http://schemas.microsoft.com/office/drawing/2014/main" id="{BD427E98-52D8-4DE0-8554-261779442C4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72" name="Text Box 1">
          <a:extLst>
            <a:ext uri="{FF2B5EF4-FFF2-40B4-BE49-F238E27FC236}">
              <a16:creationId xmlns:a16="http://schemas.microsoft.com/office/drawing/2014/main" id="{3C6C5C9A-1715-4D3F-BD34-2EAFC7C0806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73" name="Text Box 3">
          <a:extLst>
            <a:ext uri="{FF2B5EF4-FFF2-40B4-BE49-F238E27FC236}">
              <a16:creationId xmlns:a16="http://schemas.microsoft.com/office/drawing/2014/main" id="{7A47A621-7D3C-4F40-B1B5-B80147160E5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74" name="Text Box 1">
          <a:extLst>
            <a:ext uri="{FF2B5EF4-FFF2-40B4-BE49-F238E27FC236}">
              <a16:creationId xmlns:a16="http://schemas.microsoft.com/office/drawing/2014/main" id="{C3D2FF50-F702-4D76-8397-3E6FD9E20F9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75" name="Text Box 3">
          <a:extLst>
            <a:ext uri="{FF2B5EF4-FFF2-40B4-BE49-F238E27FC236}">
              <a16:creationId xmlns:a16="http://schemas.microsoft.com/office/drawing/2014/main" id="{3BB90ADC-200C-4004-ACFB-58EF9EACA86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76" name="Text Box 1">
          <a:extLst>
            <a:ext uri="{FF2B5EF4-FFF2-40B4-BE49-F238E27FC236}">
              <a16:creationId xmlns:a16="http://schemas.microsoft.com/office/drawing/2014/main" id="{CC6A820A-994A-4192-9B94-5101FA87C9A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77" name="Text Box 1">
          <a:extLst>
            <a:ext uri="{FF2B5EF4-FFF2-40B4-BE49-F238E27FC236}">
              <a16:creationId xmlns:a16="http://schemas.microsoft.com/office/drawing/2014/main" id="{79D37A22-1221-4166-856A-2714BEECFA0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78" name="Text Box 3">
          <a:extLst>
            <a:ext uri="{FF2B5EF4-FFF2-40B4-BE49-F238E27FC236}">
              <a16:creationId xmlns:a16="http://schemas.microsoft.com/office/drawing/2014/main" id="{E61D778D-35FB-4223-803F-E254AE440A6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79" name="Text Box 1">
          <a:extLst>
            <a:ext uri="{FF2B5EF4-FFF2-40B4-BE49-F238E27FC236}">
              <a16:creationId xmlns:a16="http://schemas.microsoft.com/office/drawing/2014/main" id="{53A92B51-EBC3-4D8F-92D9-7254157E245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80" name="Text Box 1">
          <a:extLst>
            <a:ext uri="{FF2B5EF4-FFF2-40B4-BE49-F238E27FC236}">
              <a16:creationId xmlns:a16="http://schemas.microsoft.com/office/drawing/2014/main" id="{14FE489E-B819-4E03-BA3F-F184EB9455A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81" name="Text Box 3">
          <a:extLst>
            <a:ext uri="{FF2B5EF4-FFF2-40B4-BE49-F238E27FC236}">
              <a16:creationId xmlns:a16="http://schemas.microsoft.com/office/drawing/2014/main" id="{E19A7F7A-6721-4C77-89EF-D7D36B0C092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82" name="Text Box 1">
          <a:extLst>
            <a:ext uri="{FF2B5EF4-FFF2-40B4-BE49-F238E27FC236}">
              <a16:creationId xmlns:a16="http://schemas.microsoft.com/office/drawing/2014/main" id="{4136F424-6A65-46FC-B0B1-0A574D69559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83" name="Text Box 3">
          <a:extLst>
            <a:ext uri="{FF2B5EF4-FFF2-40B4-BE49-F238E27FC236}">
              <a16:creationId xmlns:a16="http://schemas.microsoft.com/office/drawing/2014/main" id="{F5BFA5A0-74A4-4AF2-BD0A-47C61B1A927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84" name="Text Box 1">
          <a:extLst>
            <a:ext uri="{FF2B5EF4-FFF2-40B4-BE49-F238E27FC236}">
              <a16:creationId xmlns:a16="http://schemas.microsoft.com/office/drawing/2014/main" id="{E2D13871-8579-40A0-B275-D6F541D3E9E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85" name="Text Box 3">
          <a:extLst>
            <a:ext uri="{FF2B5EF4-FFF2-40B4-BE49-F238E27FC236}">
              <a16:creationId xmlns:a16="http://schemas.microsoft.com/office/drawing/2014/main" id="{B6F18164-1C9E-43BE-A225-07798A0BF16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86" name="Text Box 1">
          <a:extLst>
            <a:ext uri="{FF2B5EF4-FFF2-40B4-BE49-F238E27FC236}">
              <a16:creationId xmlns:a16="http://schemas.microsoft.com/office/drawing/2014/main" id="{467E26CA-7E70-4A11-9624-F263D3BC049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87" name="Text Box 3">
          <a:extLst>
            <a:ext uri="{FF2B5EF4-FFF2-40B4-BE49-F238E27FC236}">
              <a16:creationId xmlns:a16="http://schemas.microsoft.com/office/drawing/2014/main" id="{BC871365-DEB4-414A-BCC7-330A5C37498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88" name="Text Box 1">
          <a:extLst>
            <a:ext uri="{FF2B5EF4-FFF2-40B4-BE49-F238E27FC236}">
              <a16:creationId xmlns:a16="http://schemas.microsoft.com/office/drawing/2014/main" id="{87E7B335-8738-41C4-AAC4-CB3D1156AC3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89" name="Text Box 1">
          <a:extLst>
            <a:ext uri="{FF2B5EF4-FFF2-40B4-BE49-F238E27FC236}">
              <a16:creationId xmlns:a16="http://schemas.microsoft.com/office/drawing/2014/main" id="{F0E6DF04-521C-4C9D-8937-0EE9F0C5327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1990" name="Text Box 1">
          <a:extLst>
            <a:ext uri="{FF2B5EF4-FFF2-40B4-BE49-F238E27FC236}">
              <a16:creationId xmlns:a16="http://schemas.microsoft.com/office/drawing/2014/main" id="{780DCCCD-18B9-4F51-B3F2-2B76C4525DAC}"/>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1991" name="Text Box 1">
          <a:extLst>
            <a:ext uri="{FF2B5EF4-FFF2-40B4-BE49-F238E27FC236}">
              <a16:creationId xmlns:a16="http://schemas.microsoft.com/office/drawing/2014/main" id="{D441B609-882F-473E-A26E-10BC7B73E5A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1992" name="Text Box 3">
          <a:extLst>
            <a:ext uri="{FF2B5EF4-FFF2-40B4-BE49-F238E27FC236}">
              <a16:creationId xmlns:a16="http://schemas.microsoft.com/office/drawing/2014/main" id="{0845BE38-4DEC-44F2-86CA-124D29B1115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1993" name="Text Box 1">
          <a:extLst>
            <a:ext uri="{FF2B5EF4-FFF2-40B4-BE49-F238E27FC236}">
              <a16:creationId xmlns:a16="http://schemas.microsoft.com/office/drawing/2014/main" id="{E44654D0-8F2F-4325-89D2-5466636F233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1994" name="Text Box 3">
          <a:extLst>
            <a:ext uri="{FF2B5EF4-FFF2-40B4-BE49-F238E27FC236}">
              <a16:creationId xmlns:a16="http://schemas.microsoft.com/office/drawing/2014/main" id="{3EE6B76E-7438-432D-8BDD-7AA25F409BD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1995" name="Text Box 1">
          <a:extLst>
            <a:ext uri="{FF2B5EF4-FFF2-40B4-BE49-F238E27FC236}">
              <a16:creationId xmlns:a16="http://schemas.microsoft.com/office/drawing/2014/main" id="{73249E88-B63E-4DBB-A657-642AB4644A4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1996" name="Text Box 1">
          <a:extLst>
            <a:ext uri="{FF2B5EF4-FFF2-40B4-BE49-F238E27FC236}">
              <a16:creationId xmlns:a16="http://schemas.microsoft.com/office/drawing/2014/main" id="{D48ED9C1-D8D5-4C03-AE72-D41881F05D4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1997" name="Text Box 3">
          <a:extLst>
            <a:ext uri="{FF2B5EF4-FFF2-40B4-BE49-F238E27FC236}">
              <a16:creationId xmlns:a16="http://schemas.microsoft.com/office/drawing/2014/main" id="{EF03B298-C492-4AD8-808D-B9F7C6C7CF1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1998" name="Text Box 1">
          <a:extLst>
            <a:ext uri="{FF2B5EF4-FFF2-40B4-BE49-F238E27FC236}">
              <a16:creationId xmlns:a16="http://schemas.microsoft.com/office/drawing/2014/main" id="{5CA9F52B-ACCD-4109-B0F0-BA8E2C7901A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1999" name="Text Box 3">
          <a:extLst>
            <a:ext uri="{FF2B5EF4-FFF2-40B4-BE49-F238E27FC236}">
              <a16:creationId xmlns:a16="http://schemas.microsoft.com/office/drawing/2014/main" id="{DC238A52-1408-4FD5-8773-D947915E7EC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00" name="Text Box 1">
          <a:extLst>
            <a:ext uri="{FF2B5EF4-FFF2-40B4-BE49-F238E27FC236}">
              <a16:creationId xmlns:a16="http://schemas.microsoft.com/office/drawing/2014/main" id="{27CADECD-2D55-450C-8713-E0CFCE4B9FE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01" name="Text Box 1">
          <a:extLst>
            <a:ext uri="{FF2B5EF4-FFF2-40B4-BE49-F238E27FC236}">
              <a16:creationId xmlns:a16="http://schemas.microsoft.com/office/drawing/2014/main" id="{7E0A5433-5B39-4C20-97EE-C9837B7E3F2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02" name="Text Box 3">
          <a:extLst>
            <a:ext uri="{FF2B5EF4-FFF2-40B4-BE49-F238E27FC236}">
              <a16:creationId xmlns:a16="http://schemas.microsoft.com/office/drawing/2014/main" id="{F009D14A-B189-40D1-A937-A6C7F95150F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03" name="Text Box 1">
          <a:extLst>
            <a:ext uri="{FF2B5EF4-FFF2-40B4-BE49-F238E27FC236}">
              <a16:creationId xmlns:a16="http://schemas.microsoft.com/office/drawing/2014/main" id="{F269196E-1E32-485B-B7DC-D52A37EE3F0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04" name="Text Box 3">
          <a:extLst>
            <a:ext uri="{FF2B5EF4-FFF2-40B4-BE49-F238E27FC236}">
              <a16:creationId xmlns:a16="http://schemas.microsoft.com/office/drawing/2014/main" id="{C0B069DF-26F7-4FB5-B78D-AF4820E7739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05" name="Text Box 1">
          <a:extLst>
            <a:ext uri="{FF2B5EF4-FFF2-40B4-BE49-F238E27FC236}">
              <a16:creationId xmlns:a16="http://schemas.microsoft.com/office/drawing/2014/main" id="{94F8CE3E-D16B-4D17-88D5-AD92F3E8D55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06" name="Text Box 1">
          <a:extLst>
            <a:ext uri="{FF2B5EF4-FFF2-40B4-BE49-F238E27FC236}">
              <a16:creationId xmlns:a16="http://schemas.microsoft.com/office/drawing/2014/main" id="{16CDF006-5907-4E1B-BFEE-2434C313847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07" name="Text Box 3">
          <a:extLst>
            <a:ext uri="{FF2B5EF4-FFF2-40B4-BE49-F238E27FC236}">
              <a16:creationId xmlns:a16="http://schemas.microsoft.com/office/drawing/2014/main" id="{970D8230-21ED-448E-ABFD-9C1ED276CAF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08" name="Text Box 1">
          <a:extLst>
            <a:ext uri="{FF2B5EF4-FFF2-40B4-BE49-F238E27FC236}">
              <a16:creationId xmlns:a16="http://schemas.microsoft.com/office/drawing/2014/main" id="{B85C598E-609E-43BB-9C71-B28DB19B57C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09" name="Text Box 3">
          <a:extLst>
            <a:ext uri="{FF2B5EF4-FFF2-40B4-BE49-F238E27FC236}">
              <a16:creationId xmlns:a16="http://schemas.microsoft.com/office/drawing/2014/main" id="{F2859014-29A6-41E6-9278-A006FF7D450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10" name="Text Box 1">
          <a:extLst>
            <a:ext uri="{FF2B5EF4-FFF2-40B4-BE49-F238E27FC236}">
              <a16:creationId xmlns:a16="http://schemas.microsoft.com/office/drawing/2014/main" id="{F99FC3F6-7ACF-4753-8F04-645B245C38A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11" name="Text Box 1">
          <a:extLst>
            <a:ext uri="{FF2B5EF4-FFF2-40B4-BE49-F238E27FC236}">
              <a16:creationId xmlns:a16="http://schemas.microsoft.com/office/drawing/2014/main" id="{2D720D87-8D35-40C9-BCF8-C4145A8811A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12" name="Text Box 3">
          <a:extLst>
            <a:ext uri="{FF2B5EF4-FFF2-40B4-BE49-F238E27FC236}">
              <a16:creationId xmlns:a16="http://schemas.microsoft.com/office/drawing/2014/main" id="{5B75AD19-36DE-4DBA-95D7-E19CB2BD248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13" name="Text Box 1">
          <a:extLst>
            <a:ext uri="{FF2B5EF4-FFF2-40B4-BE49-F238E27FC236}">
              <a16:creationId xmlns:a16="http://schemas.microsoft.com/office/drawing/2014/main" id="{3B260412-2E74-4C78-AD9B-059EE9E4804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14" name="Text Box 3">
          <a:extLst>
            <a:ext uri="{FF2B5EF4-FFF2-40B4-BE49-F238E27FC236}">
              <a16:creationId xmlns:a16="http://schemas.microsoft.com/office/drawing/2014/main" id="{98FF4383-2478-4810-85A1-733C51AF563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15" name="Text Box 1">
          <a:extLst>
            <a:ext uri="{FF2B5EF4-FFF2-40B4-BE49-F238E27FC236}">
              <a16:creationId xmlns:a16="http://schemas.microsoft.com/office/drawing/2014/main" id="{A7A60E5C-4397-43B2-A3A3-79B56FFF77A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16" name="Text Box 1">
          <a:extLst>
            <a:ext uri="{FF2B5EF4-FFF2-40B4-BE49-F238E27FC236}">
              <a16:creationId xmlns:a16="http://schemas.microsoft.com/office/drawing/2014/main" id="{0FD9F8C5-7AEA-46D5-B8B5-7D111DD6631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17" name="Text Box 3">
          <a:extLst>
            <a:ext uri="{FF2B5EF4-FFF2-40B4-BE49-F238E27FC236}">
              <a16:creationId xmlns:a16="http://schemas.microsoft.com/office/drawing/2014/main" id="{FDB31269-D7C6-40D8-98C6-BFF73E6B60A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18" name="Text Box 1">
          <a:extLst>
            <a:ext uri="{FF2B5EF4-FFF2-40B4-BE49-F238E27FC236}">
              <a16:creationId xmlns:a16="http://schemas.microsoft.com/office/drawing/2014/main" id="{14AC8340-884F-4432-A9A0-67C2AC131EC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19" name="Text Box 3">
          <a:extLst>
            <a:ext uri="{FF2B5EF4-FFF2-40B4-BE49-F238E27FC236}">
              <a16:creationId xmlns:a16="http://schemas.microsoft.com/office/drawing/2014/main" id="{311B629F-B660-4BCC-A4ED-CBAC2295810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20" name="Text Box 1">
          <a:extLst>
            <a:ext uri="{FF2B5EF4-FFF2-40B4-BE49-F238E27FC236}">
              <a16:creationId xmlns:a16="http://schemas.microsoft.com/office/drawing/2014/main" id="{1C9FB1EB-5CA9-4F05-AE84-0F13AE1872D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21" name="Text Box 1">
          <a:extLst>
            <a:ext uri="{FF2B5EF4-FFF2-40B4-BE49-F238E27FC236}">
              <a16:creationId xmlns:a16="http://schemas.microsoft.com/office/drawing/2014/main" id="{94B58EEB-4DEA-4147-B706-971AEDC3B5D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22" name="Text Box 3">
          <a:extLst>
            <a:ext uri="{FF2B5EF4-FFF2-40B4-BE49-F238E27FC236}">
              <a16:creationId xmlns:a16="http://schemas.microsoft.com/office/drawing/2014/main" id="{FBED9A29-3A09-42AC-80A5-B22795E08F7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23" name="Text Box 1">
          <a:extLst>
            <a:ext uri="{FF2B5EF4-FFF2-40B4-BE49-F238E27FC236}">
              <a16:creationId xmlns:a16="http://schemas.microsoft.com/office/drawing/2014/main" id="{784503BD-3F2E-423C-B96D-5870EE4CE31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24" name="Text Box 3">
          <a:extLst>
            <a:ext uri="{FF2B5EF4-FFF2-40B4-BE49-F238E27FC236}">
              <a16:creationId xmlns:a16="http://schemas.microsoft.com/office/drawing/2014/main" id="{8F890E64-2B69-44A8-B97F-D3C2D9BB1C7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25" name="Text Box 1">
          <a:extLst>
            <a:ext uri="{FF2B5EF4-FFF2-40B4-BE49-F238E27FC236}">
              <a16:creationId xmlns:a16="http://schemas.microsoft.com/office/drawing/2014/main" id="{F888C497-CF20-4387-B525-A684FE535BB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26" name="Text Box 1">
          <a:extLst>
            <a:ext uri="{FF2B5EF4-FFF2-40B4-BE49-F238E27FC236}">
              <a16:creationId xmlns:a16="http://schemas.microsoft.com/office/drawing/2014/main" id="{CB76DBB6-44FA-48D0-A282-0A520CC6162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27" name="Text Box 3">
          <a:extLst>
            <a:ext uri="{FF2B5EF4-FFF2-40B4-BE49-F238E27FC236}">
              <a16:creationId xmlns:a16="http://schemas.microsoft.com/office/drawing/2014/main" id="{A40304B3-7556-4341-A4DB-CB846C39820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28" name="Text Box 1">
          <a:extLst>
            <a:ext uri="{FF2B5EF4-FFF2-40B4-BE49-F238E27FC236}">
              <a16:creationId xmlns:a16="http://schemas.microsoft.com/office/drawing/2014/main" id="{8DDE5352-9224-41D2-88F9-55A3E336C0E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29" name="Text Box 3">
          <a:extLst>
            <a:ext uri="{FF2B5EF4-FFF2-40B4-BE49-F238E27FC236}">
              <a16:creationId xmlns:a16="http://schemas.microsoft.com/office/drawing/2014/main" id="{AC1053B5-9B24-4481-92AC-92B09DF77CA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30" name="Text Box 1">
          <a:extLst>
            <a:ext uri="{FF2B5EF4-FFF2-40B4-BE49-F238E27FC236}">
              <a16:creationId xmlns:a16="http://schemas.microsoft.com/office/drawing/2014/main" id="{9E22BF7C-5DE2-45A5-A63D-5E0D54F7712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31" name="Text Box 1">
          <a:extLst>
            <a:ext uri="{FF2B5EF4-FFF2-40B4-BE49-F238E27FC236}">
              <a16:creationId xmlns:a16="http://schemas.microsoft.com/office/drawing/2014/main" id="{89952620-3120-434B-BE4F-848B4CF4FCB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32" name="Text Box 3">
          <a:extLst>
            <a:ext uri="{FF2B5EF4-FFF2-40B4-BE49-F238E27FC236}">
              <a16:creationId xmlns:a16="http://schemas.microsoft.com/office/drawing/2014/main" id="{C2E7EE79-84CB-40F2-A658-828FD42C497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33" name="Text Box 1">
          <a:extLst>
            <a:ext uri="{FF2B5EF4-FFF2-40B4-BE49-F238E27FC236}">
              <a16:creationId xmlns:a16="http://schemas.microsoft.com/office/drawing/2014/main" id="{7DD39BFD-E0D0-4B20-90BC-8333E922377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34" name="Text Box 3">
          <a:extLst>
            <a:ext uri="{FF2B5EF4-FFF2-40B4-BE49-F238E27FC236}">
              <a16:creationId xmlns:a16="http://schemas.microsoft.com/office/drawing/2014/main" id="{7CD60A74-670D-4754-9861-2A60673DCF1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35" name="Text Box 1">
          <a:extLst>
            <a:ext uri="{FF2B5EF4-FFF2-40B4-BE49-F238E27FC236}">
              <a16:creationId xmlns:a16="http://schemas.microsoft.com/office/drawing/2014/main" id="{826206F5-1CF8-400E-8B68-7A0410E2223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36" name="Text Box 1">
          <a:extLst>
            <a:ext uri="{FF2B5EF4-FFF2-40B4-BE49-F238E27FC236}">
              <a16:creationId xmlns:a16="http://schemas.microsoft.com/office/drawing/2014/main" id="{D51F954C-7C62-473D-9345-0D0A9646A4B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37" name="Text Box 3">
          <a:extLst>
            <a:ext uri="{FF2B5EF4-FFF2-40B4-BE49-F238E27FC236}">
              <a16:creationId xmlns:a16="http://schemas.microsoft.com/office/drawing/2014/main" id="{E4F5E9E6-3358-47BA-9C6B-DDEE0844D21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38" name="Text Box 1">
          <a:extLst>
            <a:ext uri="{FF2B5EF4-FFF2-40B4-BE49-F238E27FC236}">
              <a16:creationId xmlns:a16="http://schemas.microsoft.com/office/drawing/2014/main" id="{277D0168-C1CE-4934-8FD9-CD840D9D27B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39" name="Text Box 3">
          <a:extLst>
            <a:ext uri="{FF2B5EF4-FFF2-40B4-BE49-F238E27FC236}">
              <a16:creationId xmlns:a16="http://schemas.microsoft.com/office/drawing/2014/main" id="{C2EDEFE9-C6D1-42A5-8545-A8E5DF775EB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40" name="Text Box 1">
          <a:extLst>
            <a:ext uri="{FF2B5EF4-FFF2-40B4-BE49-F238E27FC236}">
              <a16:creationId xmlns:a16="http://schemas.microsoft.com/office/drawing/2014/main" id="{91EC80C6-DF60-4F19-93E5-01C9519AFC7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41" name="Text Box 1">
          <a:extLst>
            <a:ext uri="{FF2B5EF4-FFF2-40B4-BE49-F238E27FC236}">
              <a16:creationId xmlns:a16="http://schemas.microsoft.com/office/drawing/2014/main" id="{F27B4246-0E76-498E-91DE-F5D5B29B1D7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42" name="Text Box 3">
          <a:extLst>
            <a:ext uri="{FF2B5EF4-FFF2-40B4-BE49-F238E27FC236}">
              <a16:creationId xmlns:a16="http://schemas.microsoft.com/office/drawing/2014/main" id="{0095D45D-4E00-4367-8455-EEE82F64B1E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43" name="Text Box 1">
          <a:extLst>
            <a:ext uri="{FF2B5EF4-FFF2-40B4-BE49-F238E27FC236}">
              <a16:creationId xmlns:a16="http://schemas.microsoft.com/office/drawing/2014/main" id="{92774DA2-C541-4F48-84BF-6202CE69771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44" name="Text Box 3">
          <a:extLst>
            <a:ext uri="{FF2B5EF4-FFF2-40B4-BE49-F238E27FC236}">
              <a16:creationId xmlns:a16="http://schemas.microsoft.com/office/drawing/2014/main" id="{AE484658-A1EE-466E-AF64-384D9430EF8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45" name="Text Box 1">
          <a:extLst>
            <a:ext uri="{FF2B5EF4-FFF2-40B4-BE49-F238E27FC236}">
              <a16:creationId xmlns:a16="http://schemas.microsoft.com/office/drawing/2014/main" id="{31E5FD6C-5269-44C4-A6D4-4AE61CA786A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46" name="Text Box 1">
          <a:extLst>
            <a:ext uri="{FF2B5EF4-FFF2-40B4-BE49-F238E27FC236}">
              <a16:creationId xmlns:a16="http://schemas.microsoft.com/office/drawing/2014/main" id="{53B9CB67-76C5-4969-9D98-4832BCF5F8C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47" name="Text Box 3">
          <a:extLst>
            <a:ext uri="{FF2B5EF4-FFF2-40B4-BE49-F238E27FC236}">
              <a16:creationId xmlns:a16="http://schemas.microsoft.com/office/drawing/2014/main" id="{3AD0C2B4-ACF4-4562-B9FD-D98895F0EF7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48" name="Text Box 1">
          <a:extLst>
            <a:ext uri="{FF2B5EF4-FFF2-40B4-BE49-F238E27FC236}">
              <a16:creationId xmlns:a16="http://schemas.microsoft.com/office/drawing/2014/main" id="{ABDBF5F7-F5DE-4DA0-BF28-29C596DBF74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49" name="Text Box 3">
          <a:extLst>
            <a:ext uri="{FF2B5EF4-FFF2-40B4-BE49-F238E27FC236}">
              <a16:creationId xmlns:a16="http://schemas.microsoft.com/office/drawing/2014/main" id="{2D035169-A6AE-4B42-88A2-8D76F476206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50" name="Text Box 1">
          <a:extLst>
            <a:ext uri="{FF2B5EF4-FFF2-40B4-BE49-F238E27FC236}">
              <a16:creationId xmlns:a16="http://schemas.microsoft.com/office/drawing/2014/main" id="{7153B35F-9753-4006-86ED-7475871141C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51" name="Text Box 1">
          <a:extLst>
            <a:ext uri="{FF2B5EF4-FFF2-40B4-BE49-F238E27FC236}">
              <a16:creationId xmlns:a16="http://schemas.microsoft.com/office/drawing/2014/main" id="{2FE959A9-7064-4B52-B206-8C7435527B0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52" name="Text Box 3">
          <a:extLst>
            <a:ext uri="{FF2B5EF4-FFF2-40B4-BE49-F238E27FC236}">
              <a16:creationId xmlns:a16="http://schemas.microsoft.com/office/drawing/2014/main" id="{328732A0-86A7-498A-AA2F-446B9C1E143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53" name="Text Box 1">
          <a:extLst>
            <a:ext uri="{FF2B5EF4-FFF2-40B4-BE49-F238E27FC236}">
              <a16:creationId xmlns:a16="http://schemas.microsoft.com/office/drawing/2014/main" id="{7CFE2331-FFF2-4825-A4B9-78BC0725BF5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54" name="Text Box 3">
          <a:extLst>
            <a:ext uri="{FF2B5EF4-FFF2-40B4-BE49-F238E27FC236}">
              <a16:creationId xmlns:a16="http://schemas.microsoft.com/office/drawing/2014/main" id="{0D3B5E9D-8913-413F-946C-9C08911CB3A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55" name="Text Box 1">
          <a:extLst>
            <a:ext uri="{FF2B5EF4-FFF2-40B4-BE49-F238E27FC236}">
              <a16:creationId xmlns:a16="http://schemas.microsoft.com/office/drawing/2014/main" id="{46AEE614-2B48-43AD-AFC8-319001AB0CB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56" name="Text Box 1">
          <a:extLst>
            <a:ext uri="{FF2B5EF4-FFF2-40B4-BE49-F238E27FC236}">
              <a16:creationId xmlns:a16="http://schemas.microsoft.com/office/drawing/2014/main" id="{21C8BAF5-71BF-4C87-8149-2C339AEB542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57" name="Text Box 3">
          <a:extLst>
            <a:ext uri="{FF2B5EF4-FFF2-40B4-BE49-F238E27FC236}">
              <a16:creationId xmlns:a16="http://schemas.microsoft.com/office/drawing/2014/main" id="{3257F16E-317E-4E22-90AB-A896B120811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58" name="Text Box 1">
          <a:extLst>
            <a:ext uri="{FF2B5EF4-FFF2-40B4-BE49-F238E27FC236}">
              <a16:creationId xmlns:a16="http://schemas.microsoft.com/office/drawing/2014/main" id="{066ECA7C-A815-4DB0-A119-8570AA82C33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59" name="Text Box 3">
          <a:extLst>
            <a:ext uri="{FF2B5EF4-FFF2-40B4-BE49-F238E27FC236}">
              <a16:creationId xmlns:a16="http://schemas.microsoft.com/office/drawing/2014/main" id="{B94A9C33-F9EE-4FC1-B9F9-4D0D4989B77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60" name="Text Box 1">
          <a:extLst>
            <a:ext uri="{FF2B5EF4-FFF2-40B4-BE49-F238E27FC236}">
              <a16:creationId xmlns:a16="http://schemas.microsoft.com/office/drawing/2014/main" id="{DF085895-372B-4F84-9705-3F8F70428F5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61" name="Text Box 1">
          <a:extLst>
            <a:ext uri="{FF2B5EF4-FFF2-40B4-BE49-F238E27FC236}">
              <a16:creationId xmlns:a16="http://schemas.microsoft.com/office/drawing/2014/main" id="{9A7042DA-DBD8-4A98-AB9E-076F8989BE1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62" name="Text Box 3">
          <a:extLst>
            <a:ext uri="{FF2B5EF4-FFF2-40B4-BE49-F238E27FC236}">
              <a16:creationId xmlns:a16="http://schemas.microsoft.com/office/drawing/2014/main" id="{738E6142-9847-46FD-955E-D06E2C49393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63" name="Text Box 1">
          <a:extLst>
            <a:ext uri="{FF2B5EF4-FFF2-40B4-BE49-F238E27FC236}">
              <a16:creationId xmlns:a16="http://schemas.microsoft.com/office/drawing/2014/main" id="{085D069A-D498-4B13-949E-9A06813CA4A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64" name="Text Box 3">
          <a:extLst>
            <a:ext uri="{FF2B5EF4-FFF2-40B4-BE49-F238E27FC236}">
              <a16:creationId xmlns:a16="http://schemas.microsoft.com/office/drawing/2014/main" id="{2D78B951-2E54-4039-8B2A-DED65541B9A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65" name="Text Box 1">
          <a:extLst>
            <a:ext uri="{FF2B5EF4-FFF2-40B4-BE49-F238E27FC236}">
              <a16:creationId xmlns:a16="http://schemas.microsoft.com/office/drawing/2014/main" id="{0ADF4C72-7346-42FC-990C-1A81E77134C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66" name="Text Box 1">
          <a:extLst>
            <a:ext uri="{FF2B5EF4-FFF2-40B4-BE49-F238E27FC236}">
              <a16:creationId xmlns:a16="http://schemas.microsoft.com/office/drawing/2014/main" id="{429570EF-FB67-40B6-8035-0635C9A0E4F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67" name="Text Box 3">
          <a:extLst>
            <a:ext uri="{FF2B5EF4-FFF2-40B4-BE49-F238E27FC236}">
              <a16:creationId xmlns:a16="http://schemas.microsoft.com/office/drawing/2014/main" id="{1C90818C-9A1D-44CF-BBDB-78780934ACF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68" name="Text Box 1">
          <a:extLst>
            <a:ext uri="{FF2B5EF4-FFF2-40B4-BE49-F238E27FC236}">
              <a16:creationId xmlns:a16="http://schemas.microsoft.com/office/drawing/2014/main" id="{0F4DDA61-92C4-43A4-93AA-68CEC58F8FE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69" name="Text Box 3">
          <a:extLst>
            <a:ext uri="{FF2B5EF4-FFF2-40B4-BE49-F238E27FC236}">
              <a16:creationId xmlns:a16="http://schemas.microsoft.com/office/drawing/2014/main" id="{83EEE1AB-D9F3-410E-BC1F-C6FCBED7EF9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70" name="Text Box 1">
          <a:extLst>
            <a:ext uri="{FF2B5EF4-FFF2-40B4-BE49-F238E27FC236}">
              <a16:creationId xmlns:a16="http://schemas.microsoft.com/office/drawing/2014/main" id="{8CBBA69F-C965-4F29-B923-33A6B8A6408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71" name="Text Box 1">
          <a:extLst>
            <a:ext uri="{FF2B5EF4-FFF2-40B4-BE49-F238E27FC236}">
              <a16:creationId xmlns:a16="http://schemas.microsoft.com/office/drawing/2014/main" id="{FBF0D31F-84E3-444A-95B6-5D550DD1AF3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72" name="Text Box 3">
          <a:extLst>
            <a:ext uri="{FF2B5EF4-FFF2-40B4-BE49-F238E27FC236}">
              <a16:creationId xmlns:a16="http://schemas.microsoft.com/office/drawing/2014/main" id="{6AB7F40A-556D-435A-A0ED-09D5D9253CF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73" name="Text Box 1">
          <a:extLst>
            <a:ext uri="{FF2B5EF4-FFF2-40B4-BE49-F238E27FC236}">
              <a16:creationId xmlns:a16="http://schemas.microsoft.com/office/drawing/2014/main" id="{814F913D-0BE7-4795-AF6F-BED1994F872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74" name="Text Box 3">
          <a:extLst>
            <a:ext uri="{FF2B5EF4-FFF2-40B4-BE49-F238E27FC236}">
              <a16:creationId xmlns:a16="http://schemas.microsoft.com/office/drawing/2014/main" id="{D6D4354A-97FA-41D8-A8B1-8EA06FAB20D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75" name="Text Box 1">
          <a:extLst>
            <a:ext uri="{FF2B5EF4-FFF2-40B4-BE49-F238E27FC236}">
              <a16:creationId xmlns:a16="http://schemas.microsoft.com/office/drawing/2014/main" id="{06CF699E-D1F7-4BAC-B67E-C207861666F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76" name="Text Box 1">
          <a:extLst>
            <a:ext uri="{FF2B5EF4-FFF2-40B4-BE49-F238E27FC236}">
              <a16:creationId xmlns:a16="http://schemas.microsoft.com/office/drawing/2014/main" id="{0C0F996A-5E40-4574-854B-26F95CFFC1A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77" name="Text Box 3">
          <a:extLst>
            <a:ext uri="{FF2B5EF4-FFF2-40B4-BE49-F238E27FC236}">
              <a16:creationId xmlns:a16="http://schemas.microsoft.com/office/drawing/2014/main" id="{610E30DB-9C86-4C78-93C6-2829A005907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78" name="Text Box 1">
          <a:extLst>
            <a:ext uri="{FF2B5EF4-FFF2-40B4-BE49-F238E27FC236}">
              <a16:creationId xmlns:a16="http://schemas.microsoft.com/office/drawing/2014/main" id="{F91D9925-E147-46FE-B5D1-2EA3799B30F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79" name="Text Box 3">
          <a:extLst>
            <a:ext uri="{FF2B5EF4-FFF2-40B4-BE49-F238E27FC236}">
              <a16:creationId xmlns:a16="http://schemas.microsoft.com/office/drawing/2014/main" id="{759AC7E1-ECF4-419C-ABD5-2786AA810CF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80" name="Text Box 1">
          <a:extLst>
            <a:ext uri="{FF2B5EF4-FFF2-40B4-BE49-F238E27FC236}">
              <a16:creationId xmlns:a16="http://schemas.microsoft.com/office/drawing/2014/main" id="{AFFA3553-BE9E-41A2-A403-738F10564C7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81" name="Text Box 1">
          <a:extLst>
            <a:ext uri="{FF2B5EF4-FFF2-40B4-BE49-F238E27FC236}">
              <a16:creationId xmlns:a16="http://schemas.microsoft.com/office/drawing/2014/main" id="{5DC7755C-735D-4702-9763-8EBBF6CE4B9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82" name="Text Box 3">
          <a:extLst>
            <a:ext uri="{FF2B5EF4-FFF2-40B4-BE49-F238E27FC236}">
              <a16:creationId xmlns:a16="http://schemas.microsoft.com/office/drawing/2014/main" id="{669F71BF-9335-4A74-980E-5B983D6E0B2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83" name="Text Box 1">
          <a:extLst>
            <a:ext uri="{FF2B5EF4-FFF2-40B4-BE49-F238E27FC236}">
              <a16:creationId xmlns:a16="http://schemas.microsoft.com/office/drawing/2014/main" id="{769EAF35-6714-4F60-85F2-A6EBD94F61D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84" name="Text Box 3">
          <a:extLst>
            <a:ext uri="{FF2B5EF4-FFF2-40B4-BE49-F238E27FC236}">
              <a16:creationId xmlns:a16="http://schemas.microsoft.com/office/drawing/2014/main" id="{63102247-D903-438A-84E4-D8819EC7B21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85" name="Text Box 1">
          <a:extLst>
            <a:ext uri="{FF2B5EF4-FFF2-40B4-BE49-F238E27FC236}">
              <a16:creationId xmlns:a16="http://schemas.microsoft.com/office/drawing/2014/main" id="{5884BF83-3526-4EFD-8A8A-AA3F03D780A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86" name="Text Box 1">
          <a:extLst>
            <a:ext uri="{FF2B5EF4-FFF2-40B4-BE49-F238E27FC236}">
              <a16:creationId xmlns:a16="http://schemas.microsoft.com/office/drawing/2014/main" id="{4091D828-A4D7-4A2F-9330-AFECBD04441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87" name="Text Box 3">
          <a:extLst>
            <a:ext uri="{FF2B5EF4-FFF2-40B4-BE49-F238E27FC236}">
              <a16:creationId xmlns:a16="http://schemas.microsoft.com/office/drawing/2014/main" id="{16DEBA59-7647-4558-99CB-E2DAE3E9B7F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88" name="Text Box 1">
          <a:extLst>
            <a:ext uri="{FF2B5EF4-FFF2-40B4-BE49-F238E27FC236}">
              <a16:creationId xmlns:a16="http://schemas.microsoft.com/office/drawing/2014/main" id="{DA45ECB1-410A-4AF4-981C-6202666EB75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89" name="Text Box 3">
          <a:extLst>
            <a:ext uri="{FF2B5EF4-FFF2-40B4-BE49-F238E27FC236}">
              <a16:creationId xmlns:a16="http://schemas.microsoft.com/office/drawing/2014/main" id="{F01FD9FD-7C47-47B7-9BDB-466EF3563ED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90" name="Text Box 1">
          <a:extLst>
            <a:ext uri="{FF2B5EF4-FFF2-40B4-BE49-F238E27FC236}">
              <a16:creationId xmlns:a16="http://schemas.microsoft.com/office/drawing/2014/main" id="{6293D5DE-DC71-43A4-959B-9921D668DDF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91" name="Text Box 1">
          <a:extLst>
            <a:ext uri="{FF2B5EF4-FFF2-40B4-BE49-F238E27FC236}">
              <a16:creationId xmlns:a16="http://schemas.microsoft.com/office/drawing/2014/main" id="{247C7722-8C65-4DFB-A9E4-A75E5E0E62F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92" name="Text Box 3">
          <a:extLst>
            <a:ext uri="{FF2B5EF4-FFF2-40B4-BE49-F238E27FC236}">
              <a16:creationId xmlns:a16="http://schemas.microsoft.com/office/drawing/2014/main" id="{039B0583-00B9-4B9C-BAC2-32ED4A6E074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93" name="Text Box 1">
          <a:extLst>
            <a:ext uri="{FF2B5EF4-FFF2-40B4-BE49-F238E27FC236}">
              <a16:creationId xmlns:a16="http://schemas.microsoft.com/office/drawing/2014/main" id="{CC425DE2-E24D-473B-BA9C-AA025811AE3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94" name="Text Box 3">
          <a:extLst>
            <a:ext uri="{FF2B5EF4-FFF2-40B4-BE49-F238E27FC236}">
              <a16:creationId xmlns:a16="http://schemas.microsoft.com/office/drawing/2014/main" id="{C9C303B3-4E3E-490A-91CC-6E6A5C5B30F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95" name="Text Box 1">
          <a:extLst>
            <a:ext uri="{FF2B5EF4-FFF2-40B4-BE49-F238E27FC236}">
              <a16:creationId xmlns:a16="http://schemas.microsoft.com/office/drawing/2014/main" id="{557A3F18-4870-46AB-B53E-94B5E7E2DBF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96" name="Text Box 1">
          <a:extLst>
            <a:ext uri="{FF2B5EF4-FFF2-40B4-BE49-F238E27FC236}">
              <a16:creationId xmlns:a16="http://schemas.microsoft.com/office/drawing/2014/main" id="{9EA9CAFF-596F-4777-B41E-74906187E3E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97" name="Text Box 3">
          <a:extLst>
            <a:ext uri="{FF2B5EF4-FFF2-40B4-BE49-F238E27FC236}">
              <a16:creationId xmlns:a16="http://schemas.microsoft.com/office/drawing/2014/main" id="{53AF508B-268A-41A0-9D2D-D821C829B7A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98" name="Text Box 1">
          <a:extLst>
            <a:ext uri="{FF2B5EF4-FFF2-40B4-BE49-F238E27FC236}">
              <a16:creationId xmlns:a16="http://schemas.microsoft.com/office/drawing/2014/main" id="{F7AD8CC6-8F41-4F0C-BD0E-D7E6926AD57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99" name="Text Box 3">
          <a:extLst>
            <a:ext uri="{FF2B5EF4-FFF2-40B4-BE49-F238E27FC236}">
              <a16:creationId xmlns:a16="http://schemas.microsoft.com/office/drawing/2014/main" id="{E29EB7D0-9040-4CFC-B891-FF398B1A030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00" name="Text Box 1">
          <a:extLst>
            <a:ext uri="{FF2B5EF4-FFF2-40B4-BE49-F238E27FC236}">
              <a16:creationId xmlns:a16="http://schemas.microsoft.com/office/drawing/2014/main" id="{7038D81B-A65B-4378-AAB5-CBCF38BD0F2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01" name="Text Box 1">
          <a:extLst>
            <a:ext uri="{FF2B5EF4-FFF2-40B4-BE49-F238E27FC236}">
              <a16:creationId xmlns:a16="http://schemas.microsoft.com/office/drawing/2014/main" id="{BAB13BBD-0B5B-4A12-80BA-B4E11A990A3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02" name="Text Box 3">
          <a:extLst>
            <a:ext uri="{FF2B5EF4-FFF2-40B4-BE49-F238E27FC236}">
              <a16:creationId xmlns:a16="http://schemas.microsoft.com/office/drawing/2014/main" id="{519DAD16-C470-4368-B7DF-C7D483F72DD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03" name="Text Box 1">
          <a:extLst>
            <a:ext uri="{FF2B5EF4-FFF2-40B4-BE49-F238E27FC236}">
              <a16:creationId xmlns:a16="http://schemas.microsoft.com/office/drawing/2014/main" id="{7B224EE9-E18C-4217-9AD1-5F4BA0FF867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04" name="Text Box 3">
          <a:extLst>
            <a:ext uri="{FF2B5EF4-FFF2-40B4-BE49-F238E27FC236}">
              <a16:creationId xmlns:a16="http://schemas.microsoft.com/office/drawing/2014/main" id="{220D2620-30BE-40E6-B1B8-9F5723D2776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05" name="Text Box 1">
          <a:extLst>
            <a:ext uri="{FF2B5EF4-FFF2-40B4-BE49-F238E27FC236}">
              <a16:creationId xmlns:a16="http://schemas.microsoft.com/office/drawing/2014/main" id="{D4A60F19-F2DB-4BA5-9E8C-95DDCF0DEC4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06" name="Text Box 1">
          <a:extLst>
            <a:ext uri="{FF2B5EF4-FFF2-40B4-BE49-F238E27FC236}">
              <a16:creationId xmlns:a16="http://schemas.microsoft.com/office/drawing/2014/main" id="{2FDE6229-A2D1-46E9-8285-E9D9E4554DE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07" name="Text Box 3">
          <a:extLst>
            <a:ext uri="{FF2B5EF4-FFF2-40B4-BE49-F238E27FC236}">
              <a16:creationId xmlns:a16="http://schemas.microsoft.com/office/drawing/2014/main" id="{45DA325D-145E-4219-94EE-6B81F60F862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08" name="Text Box 1">
          <a:extLst>
            <a:ext uri="{FF2B5EF4-FFF2-40B4-BE49-F238E27FC236}">
              <a16:creationId xmlns:a16="http://schemas.microsoft.com/office/drawing/2014/main" id="{D3AA6852-0CF6-4CA6-9025-0A9E046D832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09" name="Text Box 3">
          <a:extLst>
            <a:ext uri="{FF2B5EF4-FFF2-40B4-BE49-F238E27FC236}">
              <a16:creationId xmlns:a16="http://schemas.microsoft.com/office/drawing/2014/main" id="{43FE6A79-7605-4637-B307-36B144C28EF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10" name="Text Box 1">
          <a:extLst>
            <a:ext uri="{FF2B5EF4-FFF2-40B4-BE49-F238E27FC236}">
              <a16:creationId xmlns:a16="http://schemas.microsoft.com/office/drawing/2014/main" id="{41341027-E30E-4A43-B44C-C7BFD91738C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11" name="Text Box 1">
          <a:extLst>
            <a:ext uri="{FF2B5EF4-FFF2-40B4-BE49-F238E27FC236}">
              <a16:creationId xmlns:a16="http://schemas.microsoft.com/office/drawing/2014/main" id="{33037831-F89D-45B8-9D0C-4C113A81303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12" name="Text Box 3">
          <a:extLst>
            <a:ext uri="{FF2B5EF4-FFF2-40B4-BE49-F238E27FC236}">
              <a16:creationId xmlns:a16="http://schemas.microsoft.com/office/drawing/2014/main" id="{44A47C4F-8399-4027-B479-5566816909A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13" name="Text Box 1">
          <a:extLst>
            <a:ext uri="{FF2B5EF4-FFF2-40B4-BE49-F238E27FC236}">
              <a16:creationId xmlns:a16="http://schemas.microsoft.com/office/drawing/2014/main" id="{CC0A8F73-6F85-4258-AAFA-7BA526377BE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14" name="Text Box 3">
          <a:extLst>
            <a:ext uri="{FF2B5EF4-FFF2-40B4-BE49-F238E27FC236}">
              <a16:creationId xmlns:a16="http://schemas.microsoft.com/office/drawing/2014/main" id="{2D9ADFC1-6902-415B-B71D-1C2EED0797B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15" name="Text Box 1">
          <a:extLst>
            <a:ext uri="{FF2B5EF4-FFF2-40B4-BE49-F238E27FC236}">
              <a16:creationId xmlns:a16="http://schemas.microsoft.com/office/drawing/2014/main" id="{9C496D1E-6DEC-402A-AA2E-41A143AC5D9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16" name="Text Box 1">
          <a:extLst>
            <a:ext uri="{FF2B5EF4-FFF2-40B4-BE49-F238E27FC236}">
              <a16:creationId xmlns:a16="http://schemas.microsoft.com/office/drawing/2014/main" id="{7A45A0F6-BCDB-4CDB-AB2D-9E9BA2FEE8F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17" name="Text Box 3">
          <a:extLst>
            <a:ext uri="{FF2B5EF4-FFF2-40B4-BE49-F238E27FC236}">
              <a16:creationId xmlns:a16="http://schemas.microsoft.com/office/drawing/2014/main" id="{4ACDA97D-4CE2-461C-A00B-17C48401C95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18" name="Text Box 1">
          <a:extLst>
            <a:ext uri="{FF2B5EF4-FFF2-40B4-BE49-F238E27FC236}">
              <a16:creationId xmlns:a16="http://schemas.microsoft.com/office/drawing/2014/main" id="{F41B0589-D3AB-45E8-A32B-07D62594715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19" name="Text Box 3">
          <a:extLst>
            <a:ext uri="{FF2B5EF4-FFF2-40B4-BE49-F238E27FC236}">
              <a16:creationId xmlns:a16="http://schemas.microsoft.com/office/drawing/2014/main" id="{25DE237E-6942-4D9C-9357-E1C1EB407E1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20" name="Text Box 1">
          <a:extLst>
            <a:ext uri="{FF2B5EF4-FFF2-40B4-BE49-F238E27FC236}">
              <a16:creationId xmlns:a16="http://schemas.microsoft.com/office/drawing/2014/main" id="{E348358B-BCEE-4C06-910E-B07DB17C66C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21" name="Text Box 1">
          <a:extLst>
            <a:ext uri="{FF2B5EF4-FFF2-40B4-BE49-F238E27FC236}">
              <a16:creationId xmlns:a16="http://schemas.microsoft.com/office/drawing/2014/main" id="{BE219F90-7910-474D-BD46-EDDDEC9C51D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22" name="Text Box 3">
          <a:extLst>
            <a:ext uri="{FF2B5EF4-FFF2-40B4-BE49-F238E27FC236}">
              <a16:creationId xmlns:a16="http://schemas.microsoft.com/office/drawing/2014/main" id="{8B0291C8-56DA-4331-985A-4F290FE3E04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23" name="Text Box 1">
          <a:extLst>
            <a:ext uri="{FF2B5EF4-FFF2-40B4-BE49-F238E27FC236}">
              <a16:creationId xmlns:a16="http://schemas.microsoft.com/office/drawing/2014/main" id="{BD026401-7B12-429F-846D-CE1A8939DB2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24" name="Text Box 3">
          <a:extLst>
            <a:ext uri="{FF2B5EF4-FFF2-40B4-BE49-F238E27FC236}">
              <a16:creationId xmlns:a16="http://schemas.microsoft.com/office/drawing/2014/main" id="{DFE43455-6146-4034-A0CC-C887D1E1C75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25" name="Text Box 1">
          <a:extLst>
            <a:ext uri="{FF2B5EF4-FFF2-40B4-BE49-F238E27FC236}">
              <a16:creationId xmlns:a16="http://schemas.microsoft.com/office/drawing/2014/main" id="{8B461F23-39A6-4FFC-90DE-FDBC4D4B471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26" name="Text Box 1">
          <a:extLst>
            <a:ext uri="{FF2B5EF4-FFF2-40B4-BE49-F238E27FC236}">
              <a16:creationId xmlns:a16="http://schemas.microsoft.com/office/drawing/2014/main" id="{7F93BE3D-702B-475E-B4F9-E4958A46FCE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27" name="Text Box 3">
          <a:extLst>
            <a:ext uri="{FF2B5EF4-FFF2-40B4-BE49-F238E27FC236}">
              <a16:creationId xmlns:a16="http://schemas.microsoft.com/office/drawing/2014/main" id="{0AB1F38B-A75D-4822-8A75-D4E2976B3C9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28" name="Text Box 1">
          <a:extLst>
            <a:ext uri="{FF2B5EF4-FFF2-40B4-BE49-F238E27FC236}">
              <a16:creationId xmlns:a16="http://schemas.microsoft.com/office/drawing/2014/main" id="{2A3833AF-D2E4-4C77-A149-4AAB6FF5637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29" name="Text Box 3">
          <a:extLst>
            <a:ext uri="{FF2B5EF4-FFF2-40B4-BE49-F238E27FC236}">
              <a16:creationId xmlns:a16="http://schemas.microsoft.com/office/drawing/2014/main" id="{FEDA61AD-ABC9-47F6-9251-DB0AF77D120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30" name="Text Box 1">
          <a:extLst>
            <a:ext uri="{FF2B5EF4-FFF2-40B4-BE49-F238E27FC236}">
              <a16:creationId xmlns:a16="http://schemas.microsoft.com/office/drawing/2014/main" id="{A241588B-6BD2-416C-A944-166101BDBEB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31" name="Text Box 1">
          <a:extLst>
            <a:ext uri="{FF2B5EF4-FFF2-40B4-BE49-F238E27FC236}">
              <a16:creationId xmlns:a16="http://schemas.microsoft.com/office/drawing/2014/main" id="{B1088A5A-0789-4F17-AFB5-AF914866A1E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32" name="Text Box 3">
          <a:extLst>
            <a:ext uri="{FF2B5EF4-FFF2-40B4-BE49-F238E27FC236}">
              <a16:creationId xmlns:a16="http://schemas.microsoft.com/office/drawing/2014/main" id="{04EAF095-6073-4C39-ACE4-D9F72759CA7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33" name="Text Box 1">
          <a:extLst>
            <a:ext uri="{FF2B5EF4-FFF2-40B4-BE49-F238E27FC236}">
              <a16:creationId xmlns:a16="http://schemas.microsoft.com/office/drawing/2014/main" id="{2F9FE4DD-C082-4850-BC49-3CAB55EC292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34" name="Text Box 3">
          <a:extLst>
            <a:ext uri="{FF2B5EF4-FFF2-40B4-BE49-F238E27FC236}">
              <a16:creationId xmlns:a16="http://schemas.microsoft.com/office/drawing/2014/main" id="{A5A34A4C-F95D-4225-841C-FB7EF664B3E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35" name="Text Box 1">
          <a:extLst>
            <a:ext uri="{FF2B5EF4-FFF2-40B4-BE49-F238E27FC236}">
              <a16:creationId xmlns:a16="http://schemas.microsoft.com/office/drawing/2014/main" id="{03316A4C-2C7E-4091-BD3B-F6212F56EBE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36" name="Text Box 1">
          <a:extLst>
            <a:ext uri="{FF2B5EF4-FFF2-40B4-BE49-F238E27FC236}">
              <a16:creationId xmlns:a16="http://schemas.microsoft.com/office/drawing/2014/main" id="{F7279386-9AA7-40C1-9942-5FFEAA3DABF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37" name="Text Box 3">
          <a:extLst>
            <a:ext uri="{FF2B5EF4-FFF2-40B4-BE49-F238E27FC236}">
              <a16:creationId xmlns:a16="http://schemas.microsoft.com/office/drawing/2014/main" id="{B59218BC-BC33-4456-B4C8-8AD491F442F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38" name="Text Box 1">
          <a:extLst>
            <a:ext uri="{FF2B5EF4-FFF2-40B4-BE49-F238E27FC236}">
              <a16:creationId xmlns:a16="http://schemas.microsoft.com/office/drawing/2014/main" id="{78AE415D-39FD-4B4E-8179-5E7A29D3349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39" name="Text Box 3">
          <a:extLst>
            <a:ext uri="{FF2B5EF4-FFF2-40B4-BE49-F238E27FC236}">
              <a16:creationId xmlns:a16="http://schemas.microsoft.com/office/drawing/2014/main" id="{17FE4C4E-8A26-4E1F-967E-2FC14F0E035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40" name="Text Box 1">
          <a:extLst>
            <a:ext uri="{FF2B5EF4-FFF2-40B4-BE49-F238E27FC236}">
              <a16:creationId xmlns:a16="http://schemas.microsoft.com/office/drawing/2014/main" id="{64930BDA-0669-46A6-A3E9-6314F595107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41" name="Text Box 1">
          <a:extLst>
            <a:ext uri="{FF2B5EF4-FFF2-40B4-BE49-F238E27FC236}">
              <a16:creationId xmlns:a16="http://schemas.microsoft.com/office/drawing/2014/main" id="{C2445384-504F-4969-8B01-E8BE2A44596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42" name="Text Box 3">
          <a:extLst>
            <a:ext uri="{FF2B5EF4-FFF2-40B4-BE49-F238E27FC236}">
              <a16:creationId xmlns:a16="http://schemas.microsoft.com/office/drawing/2014/main" id="{747E653D-D437-40A8-A913-D5680A5B1BE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43" name="Text Box 1">
          <a:extLst>
            <a:ext uri="{FF2B5EF4-FFF2-40B4-BE49-F238E27FC236}">
              <a16:creationId xmlns:a16="http://schemas.microsoft.com/office/drawing/2014/main" id="{7D5DE1FB-9E36-409A-B63E-E56ED24B2DC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44" name="Text Box 3">
          <a:extLst>
            <a:ext uri="{FF2B5EF4-FFF2-40B4-BE49-F238E27FC236}">
              <a16:creationId xmlns:a16="http://schemas.microsoft.com/office/drawing/2014/main" id="{7B1D9637-A2F7-44F1-AFC6-5B44C22C757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45" name="Text Box 1">
          <a:extLst>
            <a:ext uri="{FF2B5EF4-FFF2-40B4-BE49-F238E27FC236}">
              <a16:creationId xmlns:a16="http://schemas.microsoft.com/office/drawing/2014/main" id="{4FA4DDF7-E8D5-4704-9DEB-DDE60C06F3C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46" name="Text Box 1">
          <a:extLst>
            <a:ext uri="{FF2B5EF4-FFF2-40B4-BE49-F238E27FC236}">
              <a16:creationId xmlns:a16="http://schemas.microsoft.com/office/drawing/2014/main" id="{D6E91715-3EB9-4C14-A001-F74D7A40497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47" name="Text Box 3">
          <a:extLst>
            <a:ext uri="{FF2B5EF4-FFF2-40B4-BE49-F238E27FC236}">
              <a16:creationId xmlns:a16="http://schemas.microsoft.com/office/drawing/2014/main" id="{1DBA8552-6498-4BB5-B133-E1733F61E11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48" name="Text Box 1">
          <a:extLst>
            <a:ext uri="{FF2B5EF4-FFF2-40B4-BE49-F238E27FC236}">
              <a16:creationId xmlns:a16="http://schemas.microsoft.com/office/drawing/2014/main" id="{6F50ABE6-73FE-44C7-977F-3CB3ADF4AEC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49" name="Text Box 3">
          <a:extLst>
            <a:ext uri="{FF2B5EF4-FFF2-40B4-BE49-F238E27FC236}">
              <a16:creationId xmlns:a16="http://schemas.microsoft.com/office/drawing/2014/main" id="{3D6093BC-928E-406D-8A4C-8802171333A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50" name="Text Box 1">
          <a:extLst>
            <a:ext uri="{FF2B5EF4-FFF2-40B4-BE49-F238E27FC236}">
              <a16:creationId xmlns:a16="http://schemas.microsoft.com/office/drawing/2014/main" id="{9BA9A0B1-2FC8-4A3E-BEE7-9466A0833DE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51" name="Text Box 1">
          <a:extLst>
            <a:ext uri="{FF2B5EF4-FFF2-40B4-BE49-F238E27FC236}">
              <a16:creationId xmlns:a16="http://schemas.microsoft.com/office/drawing/2014/main" id="{FD5C8906-E01D-44D1-A253-FA5BB35ACBC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52" name="Text Box 3">
          <a:extLst>
            <a:ext uri="{FF2B5EF4-FFF2-40B4-BE49-F238E27FC236}">
              <a16:creationId xmlns:a16="http://schemas.microsoft.com/office/drawing/2014/main" id="{5F4AF4FD-26A4-482C-A415-7FF600F9795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53" name="Text Box 1">
          <a:extLst>
            <a:ext uri="{FF2B5EF4-FFF2-40B4-BE49-F238E27FC236}">
              <a16:creationId xmlns:a16="http://schemas.microsoft.com/office/drawing/2014/main" id="{1523ACD1-E211-4DC3-83BC-18E9BBA1E30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54" name="Text Box 3">
          <a:extLst>
            <a:ext uri="{FF2B5EF4-FFF2-40B4-BE49-F238E27FC236}">
              <a16:creationId xmlns:a16="http://schemas.microsoft.com/office/drawing/2014/main" id="{D674CEA2-7F9D-4142-8D85-4DB3725D032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55" name="Text Box 1">
          <a:extLst>
            <a:ext uri="{FF2B5EF4-FFF2-40B4-BE49-F238E27FC236}">
              <a16:creationId xmlns:a16="http://schemas.microsoft.com/office/drawing/2014/main" id="{0D0C3D6C-2B67-4EEF-97F5-49CDD69BCBF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56" name="Text Box 1">
          <a:extLst>
            <a:ext uri="{FF2B5EF4-FFF2-40B4-BE49-F238E27FC236}">
              <a16:creationId xmlns:a16="http://schemas.microsoft.com/office/drawing/2014/main" id="{6CAF834E-E965-460C-944A-230BC9DF900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57" name="Text Box 3">
          <a:extLst>
            <a:ext uri="{FF2B5EF4-FFF2-40B4-BE49-F238E27FC236}">
              <a16:creationId xmlns:a16="http://schemas.microsoft.com/office/drawing/2014/main" id="{EB31157C-4D85-4C70-A798-72DD51F2DD8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58" name="Text Box 1">
          <a:extLst>
            <a:ext uri="{FF2B5EF4-FFF2-40B4-BE49-F238E27FC236}">
              <a16:creationId xmlns:a16="http://schemas.microsoft.com/office/drawing/2014/main" id="{7941BE62-4A92-4B1D-9866-6AD0C06C668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59" name="Text Box 3">
          <a:extLst>
            <a:ext uri="{FF2B5EF4-FFF2-40B4-BE49-F238E27FC236}">
              <a16:creationId xmlns:a16="http://schemas.microsoft.com/office/drawing/2014/main" id="{50A56605-8277-4B2E-9735-FFC2F5FCC10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60" name="Text Box 1">
          <a:extLst>
            <a:ext uri="{FF2B5EF4-FFF2-40B4-BE49-F238E27FC236}">
              <a16:creationId xmlns:a16="http://schemas.microsoft.com/office/drawing/2014/main" id="{9BAF4453-59C9-4157-9610-E3E848E7A30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61" name="Text Box 1">
          <a:extLst>
            <a:ext uri="{FF2B5EF4-FFF2-40B4-BE49-F238E27FC236}">
              <a16:creationId xmlns:a16="http://schemas.microsoft.com/office/drawing/2014/main" id="{EA336D74-B6FF-4AA6-B603-E71F5D2DEC1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62" name="Text Box 3">
          <a:extLst>
            <a:ext uri="{FF2B5EF4-FFF2-40B4-BE49-F238E27FC236}">
              <a16:creationId xmlns:a16="http://schemas.microsoft.com/office/drawing/2014/main" id="{B6A2B736-B487-4D18-89B8-0B7CC796A63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63" name="Text Box 1">
          <a:extLst>
            <a:ext uri="{FF2B5EF4-FFF2-40B4-BE49-F238E27FC236}">
              <a16:creationId xmlns:a16="http://schemas.microsoft.com/office/drawing/2014/main" id="{CBCD19B5-3D79-4970-816D-04C49E6D7EB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64" name="Text Box 3">
          <a:extLst>
            <a:ext uri="{FF2B5EF4-FFF2-40B4-BE49-F238E27FC236}">
              <a16:creationId xmlns:a16="http://schemas.microsoft.com/office/drawing/2014/main" id="{648EA278-D6FA-4602-A485-8B5CC533CB2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65" name="Text Box 1">
          <a:extLst>
            <a:ext uri="{FF2B5EF4-FFF2-40B4-BE49-F238E27FC236}">
              <a16:creationId xmlns:a16="http://schemas.microsoft.com/office/drawing/2014/main" id="{21581562-1A21-4467-801B-391B457B31B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66" name="Text Box 1">
          <a:extLst>
            <a:ext uri="{FF2B5EF4-FFF2-40B4-BE49-F238E27FC236}">
              <a16:creationId xmlns:a16="http://schemas.microsoft.com/office/drawing/2014/main" id="{FF284C3E-DBCA-4EB5-859E-EFCDCAAD051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67" name="Text Box 3">
          <a:extLst>
            <a:ext uri="{FF2B5EF4-FFF2-40B4-BE49-F238E27FC236}">
              <a16:creationId xmlns:a16="http://schemas.microsoft.com/office/drawing/2014/main" id="{7B59FCFF-033A-4841-AC62-585B7E444B6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68" name="Text Box 1">
          <a:extLst>
            <a:ext uri="{FF2B5EF4-FFF2-40B4-BE49-F238E27FC236}">
              <a16:creationId xmlns:a16="http://schemas.microsoft.com/office/drawing/2014/main" id="{4B360031-F6D0-41CE-A7DE-DF7CCA4850B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69" name="Text Box 3">
          <a:extLst>
            <a:ext uri="{FF2B5EF4-FFF2-40B4-BE49-F238E27FC236}">
              <a16:creationId xmlns:a16="http://schemas.microsoft.com/office/drawing/2014/main" id="{B47742FD-850C-4DEF-832C-AEAED6E6841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70" name="Text Box 1">
          <a:extLst>
            <a:ext uri="{FF2B5EF4-FFF2-40B4-BE49-F238E27FC236}">
              <a16:creationId xmlns:a16="http://schemas.microsoft.com/office/drawing/2014/main" id="{337CC5AA-62F2-41CB-A019-224D8959B29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71" name="Text Box 1">
          <a:extLst>
            <a:ext uri="{FF2B5EF4-FFF2-40B4-BE49-F238E27FC236}">
              <a16:creationId xmlns:a16="http://schemas.microsoft.com/office/drawing/2014/main" id="{DA45F231-CD3A-46EA-8573-44BF110207C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72" name="Text Box 3">
          <a:extLst>
            <a:ext uri="{FF2B5EF4-FFF2-40B4-BE49-F238E27FC236}">
              <a16:creationId xmlns:a16="http://schemas.microsoft.com/office/drawing/2014/main" id="{90B3E931-7C0F-4265-BC2D-6CD0CD4DF6D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73" name="Text Box 1">
          <a:extLst>
            <a:ext uri="{FF2B5EF4-FFF2-40B4-BE49-F238E27FC236}">
              <a16:creationId xmlns:a16="http://schemas.microsoft.com/office/drawing/2014/main" id="{FF8F3AFE-C7F1-4F29-A739-4073728998B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74" name="Text Box 3">
          <a:extLst>
            <a:ext uri="{FF2B5EF4-FFF2-40B4-BE49-F238E27FC236}">
              <a16:creationId xmlns:a16="http://schemas.microsoft.com/office/drawing/2014/main" id="{DE4C45E2-913C-49C8-9BB4-84F492B7167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75" name="Text Box 1">
          <a:extLst>
            <a:ext uri="{FF2B5EF4-FFF2-40B4-BE49-F238E27FC236}">
              <a16:creationId xmlns:a16="http://schemas.microsoft.com/office/drawing/2014/main" id="{DCABE5CB-8D7A-49AF-86FF-88E52C13CDD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76" name="Text Box 1">
          <a:extLst>
            <a:ext uri="{FF2B5EF4-FFF2-40B4-BE49-F238E27FC236}">
              <a16:creationId xmlns:a16="http://schemas.microsoft.com/office/drawing/2014/main" id="{4C3DC9AB-DD66-4AE1-A2E5-0B23B7D2FF6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77" name="Text Box 3">
          <a:extLst>
            <a:ext uri="{FF2B5EF4-FFF2-40B4-BE49-F238E27FC236}">
              <a16:creationId xmlns:a16="http://schemas.microsoft.com/office/drawing/2014/main" id="{F7149729-963B-459F-AB57-32C6BAB3E4F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78" name="Text Box 1">
          <a:extLst>
            <a:ext uri="{FF2B5EF4-FFF2-40B4-BE49-F238E27FC236}">
              <a16:creationId xmlns:a16="http://schemas.microsoft.com/office/drawing/2014/main" id="{CC33B8F5-1862-4E2B-A0C3-CFE6A3E6593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79" name="Text Box 3">
          <a:extLst>
            <a:ext uri="{FF2B5EF4-FFF2-40B4-BE49-F238E27FC236}">
              <a16:creationId xmlns:a16="http://schemas.microsoft.com/office/drawing/2014/main" id="{1FCCCC56-0A93-4B86-83D3-D6D77C7214E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80" name="Text Box 1">
          <a:extLst>
            <a:ext uri="{FF2B5EF4-FFF2-40B4-BE49-F238E27FC236}">
              <a16:creationId xmlns:a16="http://schemas.microsoft.com/office/drawing/2014/main" id="{14C1CC6D-CDA6-4B8F-AF4E-654B852AA06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81" name="Text Box 1">
          <a:extLst>
            <a:ext uri="{FF2B5EF4-FFF2-40B4-BE49-F238E27FC236}">
              <a16:creationId xmlns:a16="http://schemas.microsoft.com/office/drawing/2014/main" id="{6665B6FD-86D3-4557-9E07-8FB19F322B2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82" name="Text Box 3">
          <a:extLst>
            <a:ext uri="{FF2B5EF4-FFF2-40B4-BE49-F238E27FC236}">
              <a16:creationId xmlns:a16="http://schemas.microsoft.com/office/drawing/2014/main" id="{3ABA65D3-7C88-4E7A-9B98-1D72187C468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83" name="Text Box 1">
          <a:extLst>
            <a:ext uri="{FF2B5EF4-FFF2-40B4-BE49-F238E27FC236}">
              <a16:creationId xmlns:a16="http://schemas.microsoft.com/office/drawing/2014/main" id="{CCB912D1-CE24-4482-A1DA-82B908E5AC5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84" name="Text Box 3">
          <a:extLst>
            <a:ext uri="{FF2B5EF4-FFF2-40B4-BE49-F238E27FC236}">
              <a16:creationId xmlns:a16="http://schemas.microsoft.com/office/drawing/2014/main" id="{5CE93BE3-EB83-4464-A098-887DBDCC299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85" name="Text Box 1">
          <a:extLst>
            <a:ext uri="{FF2B5EF4-FFF2-40B4-BE49-F238E27FC236}">
              <a16:creationId xmlns:a16="http://schemas.microsoft.com/office/drawing/2014/main" id="{D588377F-5C6B-486C-B11E-FDB0BA17C8D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86" name="Text Box 1">
          <a:extLst>
            <a:ext uri="{FF2B5EF4-FFF2-40B4-BE49-F238E27FC236}">
              <a16:creationId xmlns:a16="http://schemas.microsoft.com/office/drawing/2014/main" id="{C9DF2DF6-711B-48C4-9906-1F2D61097C9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87" name="Text Box 3">
          <a:extLst>
            <a:ext uri="{FF2B5EF4-FFF2-40B4-BE49-F238E27FC236}">
              <a16:creationId xmlns:a16="http://schemas.microsoft.com/office/drawing/2014/main" id="{37EE9CE2-FC63-4F8B-ABE1-0091A3BE62D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88" name="Text Box 1">
          <a:extLst>
            <a:ext uri="{FF2B5EF4-FFF2-40B4-BE49-F238E27FC236}">
              <a16:creationId xmlns:a16="http://schemas.microsoft.com/office/drawing/2014/main" id="{904C87A3-E05A-4A1F-9D25-B9D22F1B123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89" name="Text Box 3">
          <a:extLst>
            <a:ext uri="{FF2B5EF4-FFF2-40B4-BE49-F238E27FC236}">
              <a16:creationId xmlns:a16="http://schemas.microsoft.com/office/drawing/2014/main" id="{BD5272C7-C27E-4159-AA0D-7BE3713807F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190" name="Text Box 1">
          <a:extLst>
            <a:ext uri="{FF2B5EF4-FFF2-40B4-BE49-F238E27FC236}">
              <a16:creationId xmlns:a16="http://schemas.microsoft.com/office/drawing/2014/main" id="{7CA70169-5174-4CE9-A475-79DB0DC4A638}"/>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191" name="Text Box 3">
          <a:extLst>
            <a:ext uri="{FF2B5EF4-FFF2-40B4-BE49-F238E27FC236}">
              <a16:creationId xmlns:a16="http://schemas.microsoft.com/office/drawing/2014/main" id="{1E498509-CCA8-419C-AF5C-B4CDFF2523B3}"/>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192" name="Text Box 1">
          <a:extLst>
            <a:ext uri="{FF2B5EF4-FFF2-40B4-BE49-F238E27FC236}">
              <a16:creationId xmlns:a16="http://schemas.microsoft.com/office/drawing/2014/main" id="{9D8A681F-285F-4F4E-A1D4-4FC1A32B1A23}"/>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193" name="Text Box 3">
          <a:extLst>
            <a:ext uri="{FF2B5EF4-FFF2-40B4-BE49-F238E27FC236}">
              <a16:creationId xmlns:a16="http://schemas.microsoft.com/office/drawing/2014/main" id="{E6822A66-0D17-46A2-9035-396A87DE8C41}"/>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194" name="Text Box 1">
          <a:extLst>
            <a:ext uri="{FF2B5EF4-FFF2-40B4-BE49-F238E27FC236}">
              <a16:creationId xmlns:a16="http://schemas.microsoft.com/office/drawing/2014/main" id="{2B1741C9-63A8-44D8-8FD1-587A8CDE1413}"/>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195" name="Text Box 1">
          <a:extLst>
            <a:ext uri="{FF2B5EF4-FFF2-40B4-BE49-F238E27FC236}">
              <a16:creationId xmlns:a16="http://schemas.microsoft.com/office/drawing/2014/main" id="{9A71E6C0-3F3D-46C7-96C7-7D6AB4ACF753}"/>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196" name="Text Box 3">
          <a:extLst>
            <a:ext uri="{FF2B5EF4-FFF2-40B4-BE49-F238E27FC236}">
              <a16:creationId xmlns:a16="http://schemas.microsoft.com/office/drawing/2014/main" id="{0893A900-C4ED-46F3-96B8-EE1B031E8EED}"/>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197" name="Text Box 1">
          <a:extLst>
            <a:ext uri="{FF2B5EF4-FFF2-40B4-BE49-F238E27FC236}">
              <a16:creationId xmlns:a16="http://schemas.microsoft.com/office/drawing/2014/main" id="{DAFE5935-6EB2-4D1A-A098-347D56B5259B}"/>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198" name="Text Box 3">
          <a:extLst>
            <a:ext uri="{FF2B5EF4-FFF2-40B4-BE49-F238E27FC236}">
              <a16:creationId xmlns:a16="http://schemas.microsoft.com/office/drawing/2014/main" id="{A99201E3-2132-466D-A568-2426FE778999}"/>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199" name="Text Box 1">
          <a:extLst>
            <a:ext uri="{FF2B5EF4-FFF2-40B4-BE49-F238E27FC236}">
              <a16:creationId xmlns:a16="http://schemas.microsoft.com/office/drawing/2014/main" id="{3348C027-0FF3-463F-B7B5-1392A3CA96E9}"/>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00" name="Text Box 1">
          <a:extLst>
            <a:ext uri="{FF2B5EF4-FFF2-40B4-BE49-F238E27FC236}">
              <a16:creationId xmlns:a16="http://schemas.microsoft.com/office/drawing/2014/main" id="{9D0F9267-B14D-4613-8043-2B08F16E7FD7}"/>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01" name="Text Box 3">
          <a:extLst>
            <a:ext uri="{FF2B5EF4-FFF2-40B4-BE49-F238E27FC236}">
              <a16:creationId xmlns:a16="http://schemas.microsoft.com/office/drawing/2014/main" id="{482E27D8-A8C9-42C4-85C9-338E5565BB12}"/>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02" name="Text Box 1">
          <a:extLst>
            <a:ext uri="{FF2B5EF4-FFF2-40B4-BE49-F238E27FC236}">
              <a16:creationId xmlns:a16="http://schemas.microsoft.com/office/drawing/2014/main" id="{69F56F9E-8083-4A05-8A23-8924A0FEBA73}"/>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03" name="Text Box 1">
          <a:extLst>
            <a:ext uri="{FF2B5EF4-FFF2-40B4-BE49-F238E27FC236}">
              <a16:creationId xmlns:a16="http://schemas.microsoft.com/office/drawing/2014/main" id="{32071183-EC7A-45CE-94B3-C11588269727}"/>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04" name="Text Box 3">
          <a:extLst>
            <a:ext uri="{FF2B5EF4-FFF2-40B4-BE49-F238E27FC236}">
              <a16:creationId xmlns:a16="http://schemas.microsoft.com/office/drawing/2014/main" id="{952C9AB8-6601-478A-890F-C0B739B1AFEC}"/>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05" name="Text Box 1">
          <a:extLst>
            <a:ext uri="{FF2B5EF4-FFF2-40B4-BE49-F238E27FC236}">
              <a16:creationId xmlns:a16="http://schemas.microsoft.com/office/drawing/2014/main" id="{1C839972-7857-4AF5-9677-BF0C262B256A}"/>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06" name="Text Box 3">
          <a:extLst>
            <a:ext uri="{FF2B5EF4-FFF2-40B4-BE49-F238E27FC236}">
              <a16:creationId xmlns:a16="http://schemas.microsoft.com/office/drawing/2014/main" id="{69271B03-EF1C-4075-B8E9-6ACCD1E4BDEB}"/>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07" name="Text Box 1">
          <a:extLst>
            <a:ext uri="{FF2B5EF4-FFF2-40B4-BE49-F238E27FC236}">
              <a16:creationId xmlns:a16="http://schemas.microsoft.com/office/drawing/2014/main" id="{DE7A734F-05F4-4559-893A-2449A39D5B3D}"/>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08" name="Text Box 1">
          <a:extLst>
            <a:ext uri="{FF2B5EF4-FFF2-40B4-BE49-F238E27FC236}">
              <a16:creationId xmlns:a16="http://schemas.microsoft.com/office/drawing/2014/main" id="{CCA34FAD-6963-48D0-BDF1-B5CC1289248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09" name="Text Box 3">
          <a:extLst>
            <a:ext uri="{FF2B5EF4-FFF2-40B4-BE49-F238E27FC236}">
              <a16:creationId xmlns:a16="http://schemas.microsoft.com/office/drawing/2014/main" id="{F1CFC778-BB62-47DE-940E-AB07486EC897}"/>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10" name="Text Box 1">
          <a:extLst>
            <a:ext uri="{FF2B5EF4-FFF2-40B4-BE49-F238E27FC236}">
              <a16:creationId xmlns:a16="http://schemas.microsoft.com/office/drawing/2014/main" id="{860E24CA-E853-4824-A783-BF113F15EBD9}"/>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11" name="Text Box 3">
          <a:extLst>
            <a:ext uri="{FF2B5EF4-FFF2-40B4-BE49-F238E27FC236}">
              <a16:creationId xmlns:a16="http://schemas.microsoft.com/office/drawing/2014/main" id="{BF3637D8-ABB8-458A-86CB-07CD96A211CE}"/>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12" name="Text Box 1">
          <a:extLst>
            <a:ext uri="{FF2B5EF4-FFF2-40B4-BE49-F238E27FC236}">
              <a16:creationId xmlns:a16="http://schemas.microsoft.com/office/drawing/2014/main" id="{876EED71-1A8F-4F10-87A3-E571761F93D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13" name="Text Box 1">
          <a:extLst>
            <a:ext uri="{FF2B5EF4-FFF2-40B4-BE49-F238E27FC236}">
              <a16:creationId xmlns:a16="http://schemas.microsoft.com/office/drawing/2014/main" id="{E6BCC8C5-B61E-4347-AD7A-774713DC7F33}"/>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14" name="Text Box 3">
          <a:extLst>
            <a:ext uri="{FF2B5EF4-FFF2-40B4-BE49-F238E27FC236}">
              <a16:creationId xmlns:a16="http://schemas.microsoft.com/office/drawing/2014/main" id="{C1E7F3C0-4B73-426D-AC98-2DE920AB57C0}"/>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15" name="Text Box 3">
          <a:extLst>
            <a:ext uri="{FF2B5EF4-FFF2-40B4-BE49-F238E27FC236}">
              <a16:creationId xmlns:a16="http://schemas.microsoft.com/office/drawing/2014/main" id="{EB1588DE-ABAB-4A0C-9C79-35FBAAE8BBF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16" name="Text Box 1">
          <a:extLst>
            <a:ext uri="{FF2B5EF4-FFF2-40B4-BE49-F238E27FC236}">
              <a16:creationId xmlns:a16="http://schemas.microsoft.com/office/drawing/2014/main" id="{CC8FF40A-0A3C-448E-9983-C5F7442C4FC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17" name="Text Box 3">
          <a:extLst>
            <a:ext uri="{FF2B5EF4-FFF2-40B4-BE49-F238E27FC236}">
              <a16:creationId xmlns:a16="http://schemas.microsoft.com/office/drawing/2014/main" id="{D128CABD-A2BB-4AF6-9566-4CA69811B69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18" name="Text Box 1">
          <a:extLst>
            <a:ext uri="{FF2B5EF4-FFF2-40B4-BE49-F238E27FC236}">
              <a16:creationId xmlns:a16="http://schemas.microsoft.com/office/drawing/2014/main" id="{554CA9BF-3065-4946-8A4C-04CBDD6D067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19" name="Text Box 1">
          <a:extLst>
            <a:ext uri="{FF2B5EF4-FFF2-40B4-BE49-F238E27FC236}">
              <a16:creationId xmlns:a16="http://schemas.microsoft.com/office/drawing/2014/main" id="{F45F4B4B-C087-4936-874E-344DBB94BB7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20" name="Text Box 3">
          <a:extLst>
            <a:ext uri="{FF2B5EF4-FFF2-40B4-BE49-F238E27FC236}">
              <a16:creationId xmlns:a16="http://schemas.microsoft.com/office/drawing/2014/main" id="{9192F28B-165A-44E6-AA04-B2D33589311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21" name="Text Box 1">
          <a:extLst>
            <a:ext uri="{FF2B5EF4-FFF2-40B4-BE49-F238E27FC236}">
              <a16:creationId xmlns:a16="http://schemas.microsoft.com/office/drawing/2014/main" id="{A33D6AE6-85FC-44F1-99F8-7ABC4156C1A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22" name="Text Box 3">
          <a:extLst>
            <a:ext uri="{FF2B5EF4-FFF2-40B4-BE49-F238E27FC236}">
              <a16:creationId xmlns:a16="http://schemas.microsoft.com/office/drawing/2014/main" id="{B81C0956-B739-4537-BB2E-F85A45BF172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23" name="Text Box 1">
          <a:extLst>
            <a:ext uri="{FF2B5EF4-FFF2-40B4-BE49-F238E27FC236}">
              <a16:creationId xmlns:a16="http://schemas.microsoft.com/office/drawing/2014/main" id="{279C4C78-BA4D-4BCC-B623-F08AC49BDE9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24" name="Text Box 1">
          <a:extLst>
            <a:ext uri="{FF2B5EF4-FFF2-40B4-BE49-F238E27FC236}">
              <a16:creationId xmlns:a16="http://schemas.microsoft.com/office/drawing/2014/main" id="{ADFA168C-CC55-462E-9C75-4AE4151B9F6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25" name="Text Box 3">
          <a:extLst>
            <a:ext uri="{FF2B5EF4-FFF2-40B4-BE49-F238E27FC236}">
              <a16:creationId xmlns:a16="http://schemas.microsoft.com/office/drawing/2014/main" id="{55B44813-DC4A-4D5B-AC18-B153F060E91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26" name="Text Box 1">
          <a:extLst>
            <a:ext uri="{FF2B5EF4-FFF2-40B4-BE49-F238E27FC236}">
              <a16:creationId xmlns:a16="http://schemas.microsoft.com/office/drawing/2014/main" id="{D79B38E2-62C3-46DF-A5ED-51FB8BBA938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27" name="Text Box 1">
          <a:extLst>
            <a:ext uri="{FF2B5EF4-FFF2-40B4-BE49-F238E27FC236}">
              <a16:creationId xmlns:a16="http://schemas.microsoft.com/office/drawing/2014/main" id="{5042AFCD-E977-4214-A9C1-A685A8AA117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28" name="Text Box 3">
          <a:extLst>
            <a:ext uri="{FF2B5EF4-FFF2-40B4-BE49-F238E27FC236}">
              <a16:creationId xmlns:a16="http://schemas.microsoft.com/office/drawing/2014/main" id="{917F9590-EB3E-4906-9E22-0A8B19FD0C2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29" name="Text Box 1">
          <a:extLst>
            <a:ext uri="{FF2B5EF4-FFF2-40B4-BE49-F238E27FC236}">
              <a16:creationId xmlns:a16="http://schemas.microsoft.com/office/drawing/2014/main" id="{A0F556F9-F686-40FD-A53B-4821AD87CA8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30" name="Text Box 3">
          <a:extLst>
            <a:ext uri="{FF2B5EF4-FFF2-40B4-BE49-F238E27FC236}">
              <a16:creationId xmlns:a16="http://schemas.microsoft.com/office/drawing/2014/main" id="{8BE8E693-09FE-48EA-B5C4-9E7A11F7F59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31" name="Text Box 1">
          <a:extLst>
            <a:ext uri="{FF2B5EF4-FFF2-40B4-BE49-F238E27FC236}">
              <a16:creationId xmlns:a16="http://schemas.microsoft.com/office/drawing/2014/main" id="{5003B145-5A1B-4A13-A3E3-4CE418884EA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32" name="Text Box 3">
          <a:extLst>
            <a:ext uri="{FF2B5EF4-FFF2-40B4-BE49-F238E27FC236}">
              <a16:creationId xmlns:a16="http://schemas.microsoft.com/office/drawing/2014/main" id="{ECD884AA-89FE-4E91-9DB8-C58FB951935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33" name="Text Box 1">
          <a:extLst>
            <a:ext uri="{FF2B5EF4-FFF2-40B4-BE49-F238E27FC236}">
              <a16:creationId xmlns:a16="http://schemas.microsoft.com/office/drawing/2014/main" id="{796B6E1C-C683-40E5-8E48-8C16A9A2F73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34" name="Text Box 3">
          <a:extLst>
            <a:ext uri="{FF2B5EF4-FFF2-40B4-BE49-F238E27FC236}">
              <a16:creationId xmlns:a16="http://schemas.microsoft.com/office/drawing/2014/main" id="{4C0BD7B7-EA2A-40D5-B717-B83B1ECCF74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35" name="Text Box 1">
          <a:extLst>
            <a:ext uri="{FF2B5EF4-FFF2-40B4-BE49-F238E27FC236}">
              <a16:creationId xmlns:a16="http://schemas.microsoft.com/office/drawing/2014/main" id="{E2CD7DA0-9995-4B8D-A57B-DDEC76F2D73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36" name="Text Box 1">
          <a:extLst>
            <a:ext uri="{FF2B5EF4-FFF2-40B4-BE49-F238E27FC236}">
              <a16:creationId xmlns:a16="http://schemas.microsoft.com/office/drawing/2014/main" id="{938C99D3-0888-4294-945B-4B138C3A06D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37" name="Text Box 3">
          <a:extLst>
            <a:ext uri="{FF2B5EF4-FFF2-40B4-BE49-F238E27FC236}">
              <a16:creationId xmlns:a16="http://schemas.microsoft.com/office/drawing/2014/main" id="{C00DE7AE-1E1D-488A-BC70-1A5984D5034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38" name="Text Box 1">
          <a:extLst>
            <a:ext uri="{FF2B5EF4-FFF2-40B4-BE49-F238E27FC236}">
              <a16:creationId xmlns:a16="http://schemas.microsoft.com/office/drawing/2014/main" id="{C04A8631-06C6-4F32-B759-13A3D6578CE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39" name="Text Box 1">
          <a:extLst>
            <a:ext uri="{FF2B5EF4-FFF2-40B4-BE49-F238E27FC236}">
              <a16:creationId xmlns:a16="http://schemas.microsoft.com/office/drawing/2014/main" id="{BFD17B00-633E-413B-9DA0-63DB94292E38}"/>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40" name="Text Box 1">
          <a:extLst>
            <a:ext uri="{FF2B5EF4-FFF2-40B4-BE49-F238E27FC236}">
              <a16:creationId xmlns:a16="http://schemas.microsoft.com/office/drawing/2014/main" id="{3B82E09D-D8FE-4542-942B-B86DA70790D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41" name="Text Box 3">
          <a:extLst>
            <a:ext uri="{FF2B5EF4-FFF2-40B4-BE49-F238E27FC236}">
              <a16:creationId xmlns:a16="http://schemas.microsoft.com/office/drawing/2014/main" id="{08456505-0549-4A4E-8B92-44B1B33B9E8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42" name="Text Box 1">
          <a:extLst>
            <a:ext uri="{FF2B5EF4-FFF2-40B4-BE49-F238E27FC236}">
              <a16:creationId xmlns:a16="http://schemas.microsoft.com/office/drawing/2014/main" id="{49912425-C8C2-465A-A4E8-B283117F863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43" name="Text Box 3">
          <a:extLst>
            <a:ext uri="{FF2B5EF4-FFF2-40B4-BE49-F238E27FC236}">
              <a16:creationId xmlns:a16="http://schemas.microsoft.com/office/drawing/2014/main" id="{33A01443-DD50-4FA6-99D5-DF47AB48C60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44" name="Text Box 1">
          <a:extLst>
            <a:ext uri="{FF2B5EF4-FFF2-40B4-BE49-F238E27FC236}">
              <a16:creationId xmlns:a16="http://schemas.microsoft.com/office/drawing/2014/main" id="{C36C191E-B063-4129-BD3E-BE02433DC4F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45" name="Text Box 1">
          <a:extLst>
            <a:ext uri="{FF2B5EF4-FFF2-40B4-BE49-F238E27FC236}">
              <a16:creationId xmlns:a16="http://schemas.microsoft.com/office/drawing/2014/main" id="{FEB873E4-66F8-4064-A871-BEEFE4D161A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46" name="Text Box 3">
          <a:extLst>
            <a:ext uri="{FF2B5EF4-FFF2-40B4-BE49-F238E27FC236}">
              <a16:creationId xmlns:a16="http://schemas.microsoft.com/office/drawing/2014/main" id="{AF6FE149-B619-49D0-B42D-5715E4F359B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47" name="Text Box 1">
          <a:extLst>
            <a:ext uri="{FF2B5EF4-FFF2-40B4-BE49-F238E27FC236}">
              <a16:creationId xmlns:a16="http://schemas.microsoft.com/office/drawing/2014/main" id="{278E33C3-5EB2-443D-A6F2-67D71B28E72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48" name="Text Box 3">
          <a:extLst>
            <a:ext uri="{FF2B5EF4-FFF2-40B4-BE49-F238E27FC236}">
              <a16:creationId xmlns:a16="http://schemas.microsoft.com/office/drawing/2014/main" id="{B6280AD3-1D5D-467B-ADCC-2C43D8F08AC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49" name="Text Box 1">
          <a:extLst>
            <a:ext uri="{FF2B5EF4-FFF2-40B4-BE49-F238E27FC236}">
              <a16:creationId xmlns:a16="http://schemas.microsoft.com/office/drawing/2014/main" id="{CF0FE7C5-E151-4291-B235-0A408048466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50" name="Text Box 1">
          <a:extLst>
            <a:ext uri="{FF2B5EF4-FFF2-40B4-BE49-F238E27FC236}">
              <a16:creationId xmlns:a16="http://schemas.microsoft.com/office/drawing/2014/main" id="{E8233828-DA5B-45A6-83F2-ACAB6546ADE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51" name="Text Box 3">
          <a:extLst>
            <a:ext uri="{FF2B5EF4-FFF2-40B4-BE49-F238E27FC236}">
              <a16:creationId xmlns:a16="http://schemas.microsoft.com/office/drawing/2014/main" id="{714F7610-7317-4561-A362-5A80A4BCA7F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52" name="Text Box 1">
          <a:extLst>
            <a:ext uri="{FF2B5EF4-FFF2-40B4-BE49-F238E27FC236}">
              <a16:creationId xmlns:a16="http://schemas.microsoft.com/office/drawing/2014/main" id="{74E55DC8-03FA-4807-A1A5-52BE420864D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53" name="Text Box 3">
          <a:extLst>
            <a:ext uri="{FF2B5EF4-FFF2-40B4-BE49-F238E27FC236}">
              <a16:creationId xmlns:a16="http://schemas.microsoft.com/office/drawing/2014/main" id="{276B4D62-52F1-4FE1-907C-32CD590D135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54" name="Text Box 1">
          <a:extLst>
            <a:ext uri="{FF2B5EF4-FFF2-40B4-BE49-F238E27FC236}">
              <a16:creationId xmlns:a16="http://schemas.microsoft.com/office/drawing/2014/main" id="{7C98908A-C0B6-4BBD-85D8-84AF1669123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55" name="Text Box 1">
          <a:extLst>
            <a:ext uri="{FF2B5EF4-FFF2-40B4-BE49-F238E27FC236}">
              <a16:creationId xmlns:a16="http://schemas.microsoft.com/office/drawing/2014/main" id="{36936682-464C-46C1-B786-D381B6763BF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56" name="Text Box 3">
          <a:extLst>
            <a:ext uri="{FF2B5EF4-FFF2-40B4-BE49-F238E27FC236}">
              <a16:creationId xmlns:a16="http://schemas.microsoft.com/office/drawing/2014/main" id="{6D7CB825-56AB-4B2B-A6EF-D913C2A5C7F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57" name="Text Box 1">
          <a:extLst>
            <a:ext uri="{FF2B5EF4-FFF2-40B4-BE49-F238E27FC236}">
              <a16:creationId xmlns:a16="http://schemas.microsoft.com/office/drawing/2014/main" id="{AF4A6798-EE8B-4497-8F99-0D7D6E1F212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58" name="Text Box 3">
          <a:extLst>
            <a:ext uri="{FF2B5EF4-FFF2-40B4-BE49-F238E27FC236}">
              <a16:creationId xmlns:a16="http://schemas.microsoft.com/office/drawing/2014/main" id="{0C5BD2F4-162A-4374-A4DC-A8FDAE6A292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59" name="Text Box 1">
          <a:extLst>
            <a:ext uri="{FF2B5EF4-FFF2-40B4-BE49-F238E27FC236}">
              <a16:creationId xmlns:a16="http://schemas.microsoft.com/office/drawing/2014/main" id="{615AAA40-62C9-4347-BE10-9170664BB0C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60" name="Text Box 1">
          <a:extLst>
            <a:ext uri="{FF2B5EF4-FFF2-40B4-BE49-F238E27FC236}">
              <a16:creationId xmlns:a16="http://schemas.microsoft.com/office/drawing/2014/main" id="{880BD2EA-EF5F-4945-8601-B9447AF8F11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61" name="Text Box 3">
          <a:extLst>
            <a:ext uri="{FF2B5EF4-FFF2-40B4-BE49-F238E27FC236}">
              <a16:creationId xmlns:a16="http://schemas.microsoft.com/office/drawing/2014/main" id="{758766ED-588B-4A3C-B56B-1750931D5DF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62" name="Text Box 1">
          <a:extLst>
            <a:ext uri="{FF2B5EF4-FFF2-40B4-BE49-F238E27FC236}">
              <a16:creationId xmlns:a16="http://schemas.microsoft.com/office/drawing/2014/main" id="{3185DABC-3ACA-4A69-A313-63B02E21260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63" name="Text Box 3">
          <a:extLst>
            <a:ext uri="{FF2B5EF4-FFF2-40B4-BE49-F238E27FC236}">
              <a16:creationId xmlns:a16="http://schemas.microsoft.com/office/drawing/2014/main" id="{D8EE8864-BEE7-46CC-8C8F-A0149293F3A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64" name="Text Box 1">
          <a:extLst>
            <a:ext uri="{FF2B5EF4-FFF2-40B4-BE49-F238E27FC236}">
              <a16:creationId xmlns:a16="http://schemas.microsoft.com/office/drawing/2014/main" id="{AD98D12E-AE64-4D66-B476-BAE867673C1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65" name="Text Box 1">
          <a:extLst>
            <a:ext uri="{FF2B5EF4-FFF2-40B4-BE49-F238E27FC236}">
              <a16:creationId xmlns:a16="http://schemas.microsoft.com/office/drawing/2014/main" id="{8615043C-CA1C-4CC5-861C-C43A79010DC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66" name="Text Box 3">
          <a:extLst>
            <a:ext uri="{FF2B5EF4-FFF2-40B4-BE49-F238E27FC236}">
              <a16:creationId xmlns:a16="http://schemas.microsoft.com/office/drawing/2014/main" id="{AB2D3105-F485-4120-BF39-0CC9750F976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67" name="Text Box 1">
          <a:extLst>
            <a:ext uri="{FF2B5EF4-FFF2-40B4-BE49-F238E27FC236}">
              <a16:creationId xmlns:a16="http://schemas.microsoft.com/office/drawing/2014/main" id="{8DF636BA-D622-4B88-B87D-3CA42854382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68" name="Text Box 3">
          <a:extLst>
            <a:ext uri="{FF2B5EF4-FFF2-40B4-BE49-F238E27FC236}">
              <a16:creationId xmlns:a16="http://schemas.microsoft.com/office/drawing/2014/main" id="{9A763C1A-578B-4ED0-A989-13CC10D835D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69" name="Text Box 1">
          <a:extLst>
            <a:ext uri="{FF2B5EF4-FFF2-40B4-BE49-F238E27FC236}">
              <a16:creationId xmlns:a16="http://schemas.microsoft.com/office/drawing/2014/main" id="{31021659-8235-4536-BCCD-5E240AEC688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70" name="Text Box 1">
          <a:extLst>
            <a:ext uri="{FF2B5EF4-FFF2-40B4-BE49-F238E27FC236}">
              <a16:creationId xmlns:a16="http://schemas.microsoft.com/office/drawing/2014/main" id="{4480A31B-0AB3-4E2B-8082-428F265CEF6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71" name="Text Box 3">
          <a:extLst>
            <a:ext uri="{FF2B5EF4-FFF2-40B4-BE49-F238E27FC236}">
              <a16:creationId xmlns:a16="http://schemas.microsoft.com/office/drawing/2014/main" id="{3C80F6D4-2C01-4479-98BA-03FBF5D887C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72" name="Text Box 1">
          <a:extLst>
            <a:ext uri="{FF2B5EF4-FFF2-40B4-BE49-F238E27FC236}">
              <a16:creationId xmlns:a16="http://schemas.microsoft.com/office/drawing/2014/main" id="{F316A223-65A4-4C00-B077-3701442ABBD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73" name="Text Box 3">
          <a:extLst>
            <a:ext uri="{FF2B5EF4-FFF2-40B4-BE49-F238E27FC236}">
              <a16:creationId xmlns:a16="http://schemas.microsoft.com/office/drawing/2014/main" id="{7E58CF5D-E12E-4F3F-9A3C-4901BA0E2AF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74" name="Text Box 1">
          <a:extLst>
            <a:ext uri="{FF2B5EF4-FFF2-40B4-BE49-F238E27FC236}">
              <a16:creationId xmlns:a16="http://schemas.microsoft.com/office/drawing/2014/main" id="{328D3F62-3BF4-4C48-B46D-8CB6F091BC8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75" name="Text Box 1">
          <a:extLst>
            <a:ext uri="{FF2B5EF4-FFF2-40B4-BE49-F238E27FC236}">
              <a16:creationId xmlns:a16="http://schemas.microsoft.com/office/drawing/2014/main" id="{DE447268-AE8B-47EE-867A-7597F4E842C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76" name="Text Box 3">
          <a:extLst>
            <a:ext uri="{FF2B5EF4-FFF2-40B4-BE49-F238E27FC236}">
              <a16:creationId xmlns:a16="http://schemas.microsoft.com/office/drawing/2014/main" id="{88C8CF9B-F235-4924-9F5C-598ADFA9FDD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77" name="Text Box 1">
          <a:extLst>
            <a:ext uri="{FF2B5EF4-FFF2-40B4-BE49-F238E27FC236}">
              <a16:creationId xmlns:a16="http://schemas.microsoft.com/office/drawing/2014/main" id="{4A6C2E8C-13D4-46B4-9924-4F9776C5A16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78" name="Text Box 3">
          <a:extLst>
            <a:ext uri="{FF2B5EF4-FFF2-40B4-BE49-F238E27FC236}">
              <a16:creationId xmlns:a16="http://schemas.microsoft.com/office/drawing/2014/main" id="{5BB4D015-A77E-4692-AEA7-72236EE972D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79" name="Text Box 1">
          <a:extLst>
            <a:ext uri="{FF2B5EF4-FFF2-40B4-BE49-F238E27FC236}">
              <a16:creationId xmlns:a16="http://schemas.microsoft.com/office/drawing/2014/main" id="{C0D80959-3420-479A-B381-811B28D0808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80" name="Text Box 1">
          <a:extLst>
            <a:ext uri="{FF2B5EF4-FFF2-40B4-BE49-F238E27FC236}">
              <a16:creationId xmlns:a16="http://schemas.microsoft.com/office/drawing/2014/main" id="{DDF767CD-8240-408F-B400-AA16586CB24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81" name="Text Box 3">
          <a:extLst>
            <a:ext uri="{FF2B5EF4-FFF2-40B4-BE49-F238E27FC236}">
              <a16:creationId xmlns:a16="http://schemas.microsoft.com/office/drawing/2014/main" id="{8A42B761-4C6D-46A6-BEE2-9C4CE4E8DB0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82" name="Text Box 1">
          <a:extLst>
            <a:ext uri="{FF2B5EF4-FFF2-40B4-BE49-F238E27FC236}">
              <a16:creationId xmlns:a16="http://schemas.microsoft.com/office/drawing/2014/main" id="{17CB49AE-81BE-49C1-9A57-40D13D7C29C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83" name="Text Box 3">
          <a:extLst>
            <a:ext uri="{FF2B5EF4-FFF2-40B4-BE49-F238E27FC236}">
              <a16:creationId xmlns:a16="http://schemas.microsoft.com/office/drawing/2014/main" id="{09CD91AA-9D60-4FF9-AF76-24E46894411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84" name="Text Box 1">
          <a:extLst>
            <a:ext uri="{FF2B5EF4-FFF2-40B4-BE49-F238E27FC236}">
              <a16:creationId xmlns:a16="http://schemas.microsoft.com/office/drawing/2014/main" id="{23FD06F6-0F3A-4856-92CE-71B2782C0F1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85" name="Text Box 1">
          <a:extLst>
            <a:ext uri="{FF2B5EF4-FFF2-40B4-BE49-F238E27FC236}">
              <a16:creationId xmlns:a16="http://schemas.microsoft.com/office/drawing/2014/main" id="{D0ECBF17-770E-4D7E-B6ED-D9E6E6339E1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86" name="Text Box 3">
          <a:extLst>
            <a:ext uri="{FF2B5EF4-FFF2-40B4-BE49-F238E27FC236}">
              <a16:creationId xmlns:a16="http://schemas.microsoft.com/office/drawing/2014/main" id="{E714F0B2-C6D2-449E-9AFD-910C16328B2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87" name="Text Box 1">
          <a:extLst>
            <a:ext uri="{FF2B5EF4-FFF2-40B4-BE49-F238E27FC236}">
              <a16:creationId xmlns:a16="http://schemas.microsoft.com/office/drawing/2014/main" id="{F0947134-7394-4F7B-84A9-1F1370065A3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88" name="Text Box 3">
          <a:extLst>
            <a:ext uri="{FF2B5EF4-FFF2-40B4-BE49-F238E27FC236}">
              <a16:creationId xmlns:a16="http://schemas.microsoft.com/office/drawing/2014/main" id="{18BDC9BB-FF3F-4226-B437-7D447310F2F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89" name="Text Box 1">
          <a:extLst>
            <a:ext uri="{FF2B5EF4-FFF2-40B4-BE49-F238E27FC236}">
              <a16:creationId xmlns:a16="http://schemas.microsoft.com/office/drawing/2014/main" id="{89CE16CE-7415-4487-8A5A-0A74B6B858C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90" name="Text Box 1">
          <a:extLst>
            <a:ext uri="{FF2B5EF4-FFF2-40B4-BE49-F238E27FC236}">
              <a16:creationId xmlns:a16="http://schemas.microsoft.com/office/drawing/2014/main" id="{DA29F5E1-2D1F-4F2F-ACFD-A1845B52A36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91" name="Text Box 3">
          <a:extLst>
            <a:ext uri="{FF2B5EF4-FFF2-40B4-BE49-F238E27FC236}">
              <a16:creationId xmlns:a16="http://schemas.microsoft.com/office/drawing/2014/main" id="{43444CF1-1398-402F-9F8C-05A7E543EA3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92" name="Text Box 1">
          <a:extLst>
            <a:ext uri="{FF2B5EF4-FFF2-40B4-BE49-F238E27FC236}">
              <a16:creationId xmlns:a16="http://schemas.microsoft.com/office/drawing/2014/main" id="{AA98CCD8-C498-47B9-965A-1C17CDC8D77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93" name="Text Box 3">
          <a:extLst>
            <a:ext uri="{FF2B5EF4-FFF2-40B4-BE49-F238E27FC236}">
              <a16:creationId xmlns:a16="http://schemas.microsoft.com/office/drawing/2014/main" id="{D11D7BA8-3B16-4A0A-A31A-04586DD488E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94" name="Text Box 1">
          <a:extLst>
            <a:ext uri="{FF2B5EF4-FFF2-40B4-BE49-F238E27FC236}">
              <a16:creationId xmlns:a16="http://schemas.microsoft.com/office/drawing/2014/main" id="{38B17CE4-9A4B-493D-9EDE-6428DD9FD55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95" name="Text Box 1">
          <a:extLst>
            <a:ext uri="{FF2B5EF4-FFF2-40B4-BE49-F238E27FC236}">
              <a16:creationId xmlns:a16="http://schemas.microsoft.com/office/drawing/2014/main" id="{2D5340B0-C6A1-4D46-9BA0-E7F7A12F340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96" name="Text Box 3">
          <a:extLst>
            <a:ext uri="{FF2B5EF4-FFF2-40B4-BE49-F238E27FC236}">
              <a16:creationId xmlns:a16="http://schemas.microsoft.com/office/drawing/2014/main" id="{2539C61F-48D5-418A-9321-61671FBD5D0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97" name="Text Box 1">
          <a:extLst>
            <a:ext uri="{FF2B5EF4-FFF2-40B4-BE49-F238E27FC236}">
              <a16:creationId xmlns:a16="http://schemas.microsoft.com/office/drawing/2014/main" id="{2903845B-F04F-4013-A3BD-693BE485B27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98" name="Text Box 3">
          <a:extLst>
            <a:ext uri="{FF2B5EF4-FFF2-40B4-BE49-F238E27FC236}">
              <a16:creationId xmlns:a16="http://schemas.microsoft.com/office/drawing/2014/main" id="{F1FE5CB2-E7E1-4AB5-94D6-D1EB8FA1EB9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99" name="Text Box 1">
          <a:extLst>
            <a:ext uri="{FF2B5EF4-FFF2-40B4-BE49-F238E27FC236}">
              <a16:creationId xmlns:a16="http://schemas.microsoft.com/office/drawing/2014/main" id="{11938269-E5C2-412A-A0BE-AA99E8DFA2E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00" name="Text Box 1">
          <a:extLst>
            <a:ext uri="{FF2B5EF4-FFF2-40B4-BE49-F238E27FC236}">
              <a16:creationId xmlns:a16="http://schemas.microsoft.com/office/drawing/2014/main" id="{B2A0656F-586C-4E67-82F8-AC3E9A127A8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01" name="Text Box 3">
          <a:extLst>
            <a:ext uri="{FF2B5EF4-FFF2-40B4-BE49-F238E27FC236}">
              <a16:creationId xmlns:a16="http://schemas.microsoft.com/office/drawing/2014/main" id="{54668611-7781-4F0D-9D67-29B5830ECBA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02" name="Text Box 1">
          <a:extLst>
            <a:ext uri="{FF2B5EF4-FFF2-40B4-BE49-F238E27FC236}">
              <a16:creationId xmlns:a16="http://schemas.microsoft.com/office/drawing/2014/main" id="{1E19CDBF-A7A6-4632-8202-AFD0E45D678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03" name="Text Box 3">
          <a:extLst>
            <a:ext uri="{FF2B5EF4-FFF2-40B4-BE49-F238E27FC236}">
              <a16:creationId xmlns:a16="http://schemas.microsoft.com/office/drawing/2014/main" id="{2C2EA6AA-6B80-4A63-B095-0CC075E5818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04" name="Text Box 1">
          <a:extLst>
            <a:ext uri="{FF2B5EF4-FFF2-40B4-BE49-F238E27FC236}">
              <a16:creationId xmlns:a16="http://schemas.microsoft.com/office/drawing/2014/main" id="{7F78714B-15F3-4A46-8BBF-E5B20C074A8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05" name="Text Box 1">
          <a:extLst>
            <a:ext uri="{FF2B5EF4-FFF2-40B4-BE49-F238E27FC236}">
              <a16:creationId xmlns:a16="http://schemas.microsoft.com/office/drawing/2014/main" id="{AF038F47-B1B0-4BDA-9F85-28C589EDA93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06" name="Text Box 3">
          <a:extLst>
            <a:ext uri="{FF2B5EF4-FFF2-40B4-BE49-F238E27FC236}">
              <a16:creationId xmlns:a16="http://schemas.microsoft.com/office/drawing/2014/main" id="{6606DD72-B3FE-4F10-A6CD-2E6DAC3538E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07" name="Text Box 1">
          <a:extLst>
            <a:ext uri="{FF2B5EF4-FFF2-40B4-BE49-F238E27FC236}">
              <a16:creationId xmlns:a16="http://schemas.microsoft.com/office/drawing/2014/main" id="{F004866D-1962-4408-A630-7B7F5D282E4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08" name="Text Box 3">
          <a:extLst>
            <a:ext uri="{FF2B5EF4-FFF2-40B4-BE49-F238E27FC236}">
              <a16:creationId xmlns:a16="http://schemas.microsoft.com/office/drawing/2014/main" id="{A666A6FF-454D-4B07-A284-3E4F043A328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09" name="Text Box 1">
          <a:extLst>
            <a:ext uri="{FF2B5EF4-FFF2-40B4-BE49-F238E27FC236}">
              <a16:creationId xmlns:a16="http://schemas.microsoft.com/office/drawing/2014/main" id="{05BA192A-01F6-4E46-88B9-9AEB29C6BD1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10" name="Text Box 1">
          <a:extLst>
            <a:ext uri="{FF2B5EF4-FFF2-40B4-BE49-F238E27FC236}">
              <a16:creationId xmlns:a16="http://schemas.microsoft.com/office/drawing/2014/main" id="{E5C72D9F-6629-45D8-9CFC-9F0330B256B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11" name="Text Box 3">
          <a:extLst>
            <a:ext uri="{FF2B5EF4-FFF2-40B4-BE49-F238E27FC236}">
              <a16:creationId xmlns:a16="http://schemas.microsoft.com/office/drawing/2014/main" id="{152B14AD-D026-4D8B-81A1-5793ADB77BB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12" name="Text Box 1">
          <a:extLst>
            <a:ext uri="{FF2B5EF4-FFF2-40B4-BE49-F238E27FC236}">
              <a16:creationId xmlns:a16="http://schemas.microsoft.com/office/drawing/2014/main" id="{DC31CB08-8945-4564-B977-C5A26598B08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13" name="Text Box 3">
          <a:extLst>
            <a:ext uri="{FF2B5EF4-FFF2-40B4-BE49-F238E27FC236}">
              <a16:creationId xmlns:a16="http://schemas.microsoft.com/office/drawing/2014/main" id="{2094D10B-6479-47AF-BFDA-EC240A84E31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14" name="Text Box 1">
          <a:extLst>
            <a:ext uri="{FF2B5EF4-FFF2-40B4-BE49-F238E27FC236}">
              <a16:creationId xmlns:a16="http://schemas.microsoft.com/office/drawing/2014/main" id="{2226E298-EDAD-4576-86E4-15A126F1D97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15" name="Text Box 1">
          <a:extLst>
            <a:ext uri="{FF2B5EF4-FFF2-40B4-BE49-F238E27FC236}">
              <a16:creationId xmlns:a16="http://schemas.microsoft.com/office/drawing/2014/main" id="{93FBB281-AE0F-48DD-8D61-8D4DD81815B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16" name="Text Box 3">
          <a:extLst>
            <a:ext uri="{FF2B5EF4-FFF2-40B4-BE49-F238E27FC236}">
              <a16:creationId xmlns:a16="http://schemas.microsoft.com/office/drawing/2014/main" id="{2F4A05CE-B2E6-4B8A-9043-F7FB203994A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17" name="Text Box 1">
          <a:extLst>
            <a:ext uri="{FF2B5EF4-FFF2-40B4-BE49-F238E27FC236}">
              <a16:creationId xmlns:a16="http://schemas.microsoft.com/office/drawing/2014/main" id="{83A5E235-A381-4877-AA34-3ED156DC466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18" name="Text Box 3">
          <a:extLst>
            <a:ext uri="{FF2B5EF4-FFF2-40B4-BE49-F238E27FC236}">
              <a16:creationId xmlns:a16="http://schemas.microsoft.com/office/drawing/2014/main" id="{E1CB3830-BF9D-40ED-BF49-F8C8270277D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19" name="Text Box 1">
          <a:extLst>
            <a:ext uri="{FF2B5EF4-FFF2-40B4-BE49-F238E27FC236}">
              <a16:creationId xmlns:a16="http://schemas.microsoft.com/office/drawing/2014/main" id="{CD0AE1CB-6314-4698-AB6F-1BB2602DB49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20" name="Text Box 1">
          <a:extLst>
            <a:ext uri="{FF2B5EF4-FFF2-40B4-BE49-F238E27FC236}">
              <a16:creationId xmlns:a16="http://schemas.microsoft.com/office/drawing/2014/main" id="{76CC2076-5E54-4151-8B1E-32EC62B182D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21" name="Text Box 3">
          <a:extLst>
            <a:ext uri="{FF2B5EF4-FFF2-40B4-BE49-F238E27FC236}">
              <a16:creationId xmlns:a16="http://schemas.microsoft.com/office/drawing/2014/main" id="{CC74EC7F-B7F3-4D2A-8DD8-07DC502ED94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22" name="Text Box 1">
          <a:extLst>
            <a:ext uri="{FF2B5EF4-FFF2-40B4-BE49-F238E27FC236}">
              <a16:creationId xmlns:a16="http://schemas.microsoft.com/office/drawing/2014/main" id="{C25DAECB-97CC-4287-819C-0661B067B58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23" name="Text Box 3">
          <a:extLst>
            <a:ext uri="{FF2B5EF4-FFF2-40B4-BE49-F238E27FC236}">
              <a16:creationId xmlns:a16="http://schemas.microsoft.com/office/drawing/2014/main" id="{5E35A1B2-9D39-4362-B3EF-C8B6340E3EA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24" name="Text Box 1">
          <a:extLst>
            <a:ext uri="{FF2B5EF4-FFF2-40B4-BE49-F238E27FC236}">
              <a16:creationId xmlns:a16="http://schemas.microsoft.com/office/drawing/2014/main" id="{A79993A8-08E2-4493-BAD4-A4F0EBD4DB5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25" name="Text Box 1">
          <a:extLst>
            <a:ext uri="{FF2B5EF4-FFF2-40B4-BE49-F238E27FC236}">
              <a16:creationId xmlns:a16="http://schemas.microsoft.com/office/drawing/2014/main" id="{44483157-DBBF-4E1B-BA34-1219C67CA1A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26" name="Text Box 3">
          <a:extLst>
            <a:ext uri="{FF2B5EF4-FFF2-40B4-BE49-F238E27FC236}">
              <a16:creationId xmlns:a16="http://schemas.microsoft.com/office/drawing/2014/main" id="{8026540F-4E97-46C9-8917-374429E2AC7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27" name="Text Box 1">
          <a:extLst>
            <a:ext uri="{FF2B5EF4-FFF2-40B4-BE49-F238E27FC236}">
              <a16:creationId xmlns:a16="http://schemas.microsoft.com/office/drawing/2014/main" id="{3CA9BBF3-A9EB-47E5-BFE6-F5C0BE52AE2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28" name="Text Box 3">
          <a:extLst>
            <a:ext uri="{FF2B5EF4-FFF2-40B4-BE49-F238E27FC236}">
              <a16:creationId xmlns:a16="http://schemas.microsoft.com/office/drawing/2014/main" id="{B2600420-6AB2-43AD-B937-0D487641029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29" name="Text Box 1">
          <a:extLst>
            <a:ext uri="{FF2B5EF4-FFF2-40B4-BE49-F238E27FC236}">
              <a16:creationId xmlns:a16="http://schemas.microsoft.com/office/drawing/2014/main" id="{BE97B053-3F64-45D1-AD95-AB19910DB35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30" name="Text Box 1">
          <a:extLst>
            <a:ext uri="{FF2B5EF4-FFF2-40B4-BE49-F238E27FC236}">
              <a16:creationId xmlns:a16="http://schemas.microsoft.com/office/drawing/2014/main" id="{C093CE31-0347-42F8-B258-CD5C6783DEF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31" name="Text Box 3">
          <a:extLst>
            <a:ext uri="{FF2B5EF4-FFF2-40B4-BE49-F238E27FC236}">
              <a16:creationId xmlns:a16="http://schemas.microsoft.com/office/drawing/2014/main" id="{7850E497-C911-4875-B3A3-A807C26529E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32" name="Text Box 1">
          <a:extLst>
            <a:ext uri="{FF2B5EF4-FFF2-40B4-BE49-F238E27FC236}">
              <a16:creationId xmlns:a16="http://schemas.microsoft.com/office/drawing/2014/main" id="{310D6D68-69EC-4893-B5C5-B84E4C92BF5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33" name="Text Box 3">
          <a:extLst>
            <a:ext uri="{FF2B5EF4-FFF2-40B4-BE49-F238E27FC236}">
              <a16:creationId xmlns:a16="http://schemas.microsoft.com/office/drawing/2014/main" id="{6A3373E8-CA31-4D7F-AD29-B3313624FC7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34" name="Text Box 1">
          <a:extLst>
            <a:ext uri="{FF2B5EF4-FFF2-40B4-BE49-F238E27FC236}">
              <a16:creationId xmlns:a16="http://schemas.microsoft.com/office/drawing/2014/main" id="{99535B0C-368D-44FD-9066-B9A36F37960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35" name="Text Box 1">
          <a:extLst>
            <a:ext uri="{FF2B5EF4-FFF2-40B4-BE49-F238E27FC236}">
              <a16:creationId xmlns:a16="http://schemas.microsoft.com/office/drawing/2014/main" id="{0E634C69-96A9-41B5-BCD5-8B98E4AC9F7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36" name="Text Box 3">
          <a:extLst>
            <a:ext uri="{FF2B5EF4-FFF2-40B4-BE49-F238E27FC236}">
              <a16:creationId xmlns:a16="http://schemas.microsoft.com/office/drawing/2014/main" id="{14507DD9-8527-4E83-869A-C95FBCE19D4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37" name="Text Box 1">
          <a:extLst>
            <a:ext uri="{FF2B5EF4-FFF2-40B4-BE49-F238E27FC236}">
              <a16:creationId xmlns:a16="http://schemas.microsoft.com/office/drawing/2014/main" id="{945EB2D7-B713-483D-AB3F-65D9876ABB7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38" name="Text Box 3">
          <a:extLst>
            <a:ext uri="{FF2B5EF4-FFF2-40B4-BE49-F238E27FC236}">
              <a16:creationId xmlns:a16="http://schemas.microsoft.com/office/drawing/2014/main" id="{D2AC0EB7-B596-4F20-A866-87A7CF5A68E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39" name="Text Box 1">
          <a:extLst>
            <a:ext uri="{FF2B5EF4-FFF2-40B4-BE49-F238E27FC236}">
              <a16:creationId xmlns:a16="http://schemas.microsoft.com/office/drawing/2014/main" id="{FD767E84-6692-469B-BC95-94094BCB345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40" name="Text Box 1">
          <a:extLst>
            <a:ext uri="{FF2B5EF4-FFF2-40B4-BE49-F238E27FC236}">
              <a16:creationId xmlns:a16="http://schemas.microsoft.com/office/drawing/2014/main" id="{3320B8E7-B9FB-49C3-BDEB-C19C004F568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41" name="Text Box 3">
          <a:extLst>
            <a:ext uri="{FF2B5EF4-FFF2-40B4-BE49-F238E27FC236}">
              <a16:creationId xmlns:a16="http://schemas.microsoft.com/office/drawing/2014/main" id="{8E37341D-5E6A-437E-BB25-E7EB71E5080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42" name="Text Box 1">
          <a:extLst>
            <a:ext uri="{FF2B5EF4-FFF2-40B4-BE49-F238E27FC236}">
              <a16:creationId xmlns:a16="http://schemas.microsoft.com/office/drawing/2014/main" id="{9EF1C3A0-27FB-4F1E-A382-B406E76DA62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43" name="Text Box 3">
          <a:extLst>
            <a:ext uri="{FF2B5EF4-FFF2-40B4-BE49-F238E27FC236}">
              <a16:creationId xmlns:a16="http://schemas.microsoft.com/office/drawing/2014/main" id="{BE406A76-D6E9-4A9D-B2B0-D230BACC408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44" name="Text Box 1">
          <a:extLst>
            <a:ext uri="{FF2B5EF4-FFF2-40B4-BE49-F238E27FC236}">
              <a16:creationId xmlns:a16="http://schemas.microsoft.com/office/drawing/2014/main" id="{1C59AF0C-CD8E-4D3C-8627-DDDF24A7FC5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45" name="Text Box 1">
          <a:extLst>
            <a:ext uri="{FF2B5EF4-FFF2-40B4-BE49-F238E27FC236}">
              <a16:creationId xmlns:a16="http://schemas.microsoft.com/office/drawing/2014/main" id="{E429422A-7CE3-49D4-9E74-9B5B73CD88F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46" name="Text Box 3">
          <a:extLst>
            <a:ext uri="{FF2B5EF4-FFF2-40B4-BE49-F238E27FC236}">
              <a16:creationId xmlns:a16="http://schemas.microsoft.com/office/drawing/2014/main" id="{739609ED-230A-4EB2-AB61-98D59E6ED3B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47" name="Text Box 1">
          <a:extLst>
            <a:ext uri="{FF2B5EF4-FFF2-40B4-BE49-F238E27FC236}">
              <a16:creationId xmlns:a16="http://schemas.microsoft.com/office/drawing/2014/main" id="{70BA4264-12EF-4598-91DB-61F54E6E19F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48" name="Text Box 3">
          <a:extLst>
            <a:ext uri="{FF2B5EF4-FFF2-40B4-BE49-F238E27FC236}">
              <a16:creationId xmlns:a16="http://schemas.microsoft.com/office/drawing/2014/main" id="{DE3F6949-81DB-4AFD-AABD-605C5B370EC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49" name="Text Box 1">
          <a:extLst>
            <a:ext uri="{FF2B5EF4-FFF2-40B4-BE49-F238E27FC236}">
              <a16:creationId xmlns:a16="http://schemas.microsoft.com/office/drawing/2014/main" id="{EF80A4A9-02D2-4B8F-A319-81DA0E0A463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50" name="Text Box 1">
          <a:extLst>
            <a:ext uri="{FF2B5EF4-FFF2-40B4-BE49-F238E27FC236}">
              <a16:creationId xmlns:a16="http://schemas.microsoft.com/office/drawing/2014/main" id="{B3145418-1266-4B2F-A096-617838A136E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51" name="Text Box 3">
          <a:extLst>
            <a:ext uri="{FF2B5EF4-FFF2-40B4-BE49-F238E27FC236}">
              <a16:creationId xmlns:a16="http://schemas.microsoft.com/office/drawing/2014/main" id="{C9C5E35F-0755-4774-82E0-ACBB976F9CA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52" name="Text Box 1">
          <a:extLst>
            <a:ext uri="{FF2B5EF4-FFF2-40B4-BE49-F238E27FC236}">
              <a16:creationId xmlns:a16="http://schemas.microsoft.com/office/drawing/2014/main" id="{E040FB29-1C00-4B22-9574-8D1D512C0D5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53" name="Text Box 3">
          <a:extLst>
            <a:ext uri="{FF2B5EF4-FFF2-40B4-BE49-F238E27FC236}">
              <a16:creationId xmlns:a16="http://schemas.microsoft.com/office/drawing/2014/main" id="{78CF3381-5F79-4526-8A14-EB928620690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54" name="Text Box 1">
          <a:extLst>
            <a:ext uri="{FF2B5EF4-FFF2-40B4-BE49-F238E27FC236}">
              <a16:creationId xmlns:a16="http://schemas.microsoft.com/office/drawing/2014/main" id="{39D5EDF1-0AD7-4DE3-A1D2-47BA447052D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55" name="Text Box 1">
          <a:extLst>
            <a:ext uri="{FF2B5EF4-FFF2-40B4-BE49-F238E27FC236}">
              <a16:creationId xmlns:a16="http://schemas.microsoft.com/office/drawing/2014/main" id="{5E58C86E-ADF8-402E-85FC-6D515C1481E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56" name="Text Box 3">
          <a:extLst>
            <a:ext uri="{FF2B5EF4-FFF2-40B4-BE49-F238E27FC236}">
              <a16:creationId xmlns:a16="http://schemas.microsoft.com/office/drawing/2014/main" id="{C46109F2-88DC-4554-839B-F9B6B4D41BE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57" name="Text Box 1">
          <a:extLst>
            <a:ext uri="{FF2B5EF4-FFF2-40B4-BE49-F238E27FC236}">
              <a16:creationId xmlns:a16="http://schemas.microsoft.com/office/drawing/2014/main" id="{25C16071-DBFF-430D-9AB8-A3E6D0888D4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58" name="Text Box 3">
          <a:extLst>
            <a:ext uri="{FF2B5EF4-FFF2-40B4-BE49-F238E27FC236}">
              <a16:creationId xmlns:a16="http://schemas.microsoft.com/office/drawing/2014/main" id="{8E23F41B-249B-4C6C-A1A6-61FF3F6C47F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59" name="Text Box 1">
          <a:extLst>
            <a:ext uri="{FF2B5EF4-FFF2-40B4-BE49-F238E27FC236}">
              <a16:creationId xmlns:a16="http://schemas.microsoft.com/office/drawing/2014/main" id="{428127E8-EAE0-4415-AD58-690905E9CAD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60" name="Text Box 1">
          <a:extLst>
            <a:ext uri="{FF2B5EF4-FFF2-40B4-BE49-F238E27FC236}">
              <a16:creationId xmlns:a16="http://schemas.microsoft.com/office/drawing/2014/main" id="{7CC6FB4F-B48C-4E1A-9239-850347D934C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61" name="Text Box 3">
          <a:extLst>
            <a:ext uri="{FF2B5EF4-FFF2-40B4-BE49-F238E27FC236}">
              <a16:creationId xmlns:a16="http://schemas.microsoft.com/office/drawing/2014/main" id="{99D54978-DDFE-4087-B59A-924B14D5554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62" name="Text Box 1">
          <a:extLst>
            <a:ext uri="{FF2B5EF4-FFF2-40B4-BE49-F238E27FC236}">
              <a16:creationId xmlns:a16="http://schemas.microsoft.com/office/drawing/2014/main" id="{84127491-81DF-4C3F-A570-B0E8E8FA0A9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63" name="Text Box 3">
          <a:extLst>
            <a:ext uri="{FF2B5EF4-FFF2-40B4-BE49-F238E27FC236}">
              <a16:creationId xmlns:a16="http://schemas.microsoft.com/office/drawing/2014/main" id="{EFF447F2-D2F5-4A41-A5FE-CD3BBC917EA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64" name="Text Box 1">
          <a:extLst>
            <a:ext uri="{FF2B5EF4-FFF2-40B4-BE49-F238E27FC236}">
              <a16:creationId xmlns:a16="http://schemas.microsoft.com/office/drawing/2014/main" id="{B7B95CF9-82D4-4A2F-999E-34B8F20DBAC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65" name="Text Box 1">
          <a:extLst>
            <a:ext uri="{FF2B5EF4-FFF2-40B4-BE49-F238E27FC236}">
              <a16:creationId xmlns:a16="http://schemas.microsoft.com/office/drawing/2014/main" id="{61B6EA72-BA47-4EFA-B191-90D7DABC91E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66" name="Text Box 3">
          <a:extLst>
            <a:ext uri="{FF2B5EF4-FFF2-40B4-BE49-F238E27FC236}">
              <a16:creationId xmlns:a16="http://schemas.microsoft.com/office/drawing/2014/main" id="{ABE32E9A-9B3D-4619-96FF-6EF9AA7DB49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67" name="Text Box 1">
          <a:extLst>
            <a:ext uri="{FF2B5EF4-FFF2-40B4-BE49-F238E27FC236}">
              <a16:creationId xmlns:a16="http://schemas.microsoft.com/office/drawing/2014/main" id="{AF329269-E137-4B8E-B5F7-9B91107E58C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68" name="Text Box 3">
          <a:extLst>
            <a:ext uri="{FF2B5EF4-FFF2-40B4-BE49-F238E27FC236}">
              <a16:creationId xmlns:a16="http://schemas.microsoft.com/office/drawing/2014/main" id="{B75465C1-CD6E-45DC-AED3-08A7C563013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69" name="Text Box 1">
          <a:extLst>
            <a:ext uri="{FF2B5EF4-FFF2-40B4-BE49-F238E27FC236}">
              <a16:creationId xmlns:a16="http://schemas.microsoft.com/office/drawing/2014/main" id="{F0AA649C-2C63-457E-BE37-579298C245A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70" name="Text Box 1">
          <a:extLst>
            <a:ext uri="{FF2B5EF4-FFF2-40B4-BE49-F238E27FC236}">
              <a16:creationId xmlns:a16="http://schemas.microsoft.com/office/drawing/2014/main" id="{1123F92B-3859-417F-B24B-AA6663D000F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71" name="Text Box 3">
          <a:extLst>
            <a:ext uri="{FF2B5EF4-FFF2-40B4-BE49-F238E27FC236}">
              <a16:creationId xmlns:a16="http://schemas.microsoft.com/office/drawing/2014/main" id="{C5A055DF-065E-4042-96C5-AB659E85807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72" name="Text Box 1">
          <a:extLst>
            <a:ext uri="{FF2B5EF4-FFF2-40B4-BE49-F238E27FC236}">
              <a16:creationId xmlns:a16="http://schemas.microsoft.com/office/drawing/2014/main" id="{E882A2CA-A39B-4F1B-981F-AAA2348F880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73" name="Text Box 3">
          <a:extLst>
            <a:ext uri="{FF2B5EF4-FFF2-40B4-BE49-F238E27FC236}">
              <a16:creationId xmlns:a16="http://schemas.microsoft.com/office/drawing/2014/main" id="{B367DDC8-B048-4394-A193-BAC48C8A5A4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74" name="Text Box 1">
          <a:extLst>
            <a:ext uri="{FF2B5EF4-FFF2-40B4-BE49-F238E27FC236}">
              <a16:creationId xmlns:a16="http://schemas.microsoft.com/office/drawing/2014/main" id="{0DFDD703-B72D-464A-B8B3-68635C490E4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75" name="Text Box 1">
          <a:extLst>
            <a:ext uri="{FF2B5EF4-FFF2-40B4-BE49-F238E27FC236}">
              <a16:creationId xmlns:a16="http://schemas.microsoft.com/office/drawing/2014/main" id="{F0FEEEC6-A12C-404A-A8E3-6745EC74B36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76" name="Text Box 3">
          <a:extLst>
            <a:ext uri="{FF2B5EF4-FFF2-40B4-BE49-F238E27FC236}">
              <a16:creationId xmlns:a16="http://schemas.microsoft.com/office/drawing/2014/main" id="{E955639D-C155-45AC-9587-46E8920BE91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77" name="Text Box 1">
          <a:extLst>
            <a:ext uri="{FF2B5EF4-FFF2-40B4-BE49-F238E27FC236}">
              <a16:creationId xmlns:a16="http://schemas.microsoft.com/office/drawing/2014/main" id="{B92E2F1E-5197-4D9D-9936-F0DB5CC2355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78" name="Text Box 3">
          <a:extLst>
            <a:ext uri="{FF2B5EF4-FFF2-40B4-BE49-F238E27FC236}">
              <a16:creationId xmlns:a16="http://schemas.microsoft.com/office/drawing/2014/main" id="{40B70FE2-953C-4908-A24B-1D1D3CD43C8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79" name="Text Box 1">
          <a:extLst>
            <a:ext uri="{FF2B5EF4-FFF2-40B4-BE49-F238E27FC236}">
              <a16:creationId xmlns:a16="http://schemas.microsoft.com/office/drawing/2014/main" id="{972C1A8E-A105-4659-A301-CDF2136AC78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80" name="Text Box 1">
          <a:extLst>
            <a:ext uri="{FF2B5EF4-FFF2-40B4-BE49-F238E27FC236}">
              <a16:creationId xmlns:a16="http://schemas.microsoft.com/office/drawing/2014/main" id="{C191AADD-0FF9-42CA-B48F-AC661E3DD82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81" name="Text Box 3">
          <a:extLst>
            <a:ext uri="{FF2B5EF4-FFF2-40B4-BE49-F238E27FC236}">
              <a16:creationId xmlns:a16="http://schemas.microsoft.com/office/drawing/2014/main" id="{AADB339E-4B72-45BD-BFE1-ED9170D827E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82" name="Text Box 1">
          <a:extLst>
            <a:ext uri="{FF2B5EF4-FFF2-40B4-BE49-F238E27FC236}">
              <a16:creationId xmlns:a16="http://schemas.microsoft.com/office/drawing/2014/main" id="{D711C6D5-BE4E-470B-A2A4-861CF675507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83" name="Text Box 3">
          <a:extLst>
            <a:ext uri="{FF2B5EF4-FFF2-40B4-BE49-F238E27FC236}">
              <a16:creationId xmlns:a16="http://schemas.microsoft.com/office/drawing/2014/main" id="{3CFDD594-A931-4884-A938-F31068BF394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84" name="Text Box 1">
          <a:extLst>
            <a:ext uri="{FF2B5EF4-FFF2-40B4-BE49-F238E27FC236}">
              <a16:creationId xmlns:a16="http://schemas.microsoft.com/office/drawing/2014/main" id="{3AB71436-0615-42BB-8D8E-A2BE5D4FFDC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85" name="Text Box 1">
          <a:extLst>
            <a:ext uri="{FF2B5EF4-FFF2-40B4-BE49-F238E27FC236}">
              <a16:creationId xmlns:a16="http://schemas.microsoft.com/office/drawing/2014/main" id="{D3898A66-4950-41F1-A0A7-DEF2B80BD6D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86" name="Text Box 3">
          <a:extLst>
            <a:ext uri="{FF2B5EF4-FFF2-40B4-BE49-F238E27FC236}">
              <a16:creationId xmlns:a16="http://schemas.microsoft.com/office/drawing/2014/main" id="{8927D7E9-5F9F-4264-8234-531751BC622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87" name="Text Box 1">
          <a:extLst>
            <a:ext uri="{FF2B5EF4-FFF2-40B4-BE49-F238E27FC236}">
              <a16:creationId xmlns:a16="http://schemas.microsoft.com/office/drawing/2014/main" id="{221E4B51-BCE3-4496-B656-F555B55D44A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88" name="Text Box 3">
          <a:extLst>
            <a:ext uri="{FF2B5EF4-FFF2-40B4-BE49-F238E27FC236}">
              <a16:creationId xmlns:a16="http://schemas.microsoft.com/office/drawing/2014/main" id="{77D2E2F2-8D0A-40D1-85B7-37AFB46D162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89" name="Text Box 1">
          <a:extLst>
            <a:ext uri="{FF2B5EF4-FFF2-40B4-BE49-F238E27FC236}">
              <a16:creationId xmlns:a16="http://schemas.microsoft.com/office/drawing/2014/main" id="{CD0E30D9-0343-43A1-A325-FF6DC5CC3BA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90" name="Text Box 1">
          <a:extLst>
            <a:ext uri="{FF2B5EF4-FFF2-40B4-BE49-F238E27FC236}">
              <a16:creationId xmlns:a16="http://schemas.microsoft.com/office/drawing/2014/main" id="{377935AD-3453-4085-BC56-2D3401FFB7F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91" name="Text Box 3">
          <a:extLst>
            <a:ext uri="{FF2B5EF4-FFF2-40B4-BE49-F238E27FC236}">
              <a16:creationId xmlns:a16="http://schemas.microsoft.com/office/drawing/2014/main" id="{9CDCEEF5-58E4-42C2-86B6-53F945B4B4E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92" name="Text Box 1">
          <a:extLst>
            <a:ext uri="{FF2B5EF4-FFF2-40B4-BE49-F238E27FC236}">
              <a16:creationId xmlns:a16="http://schemas.microsoft.com/office/drawing/2014/main" id="{A1B6AE43-318A-4C8F-9722-5E841AFB8B7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93" name="Text Box 3">
          <a:extLst>
            <a:ext uri="{FF2B5EF4-FFF2-40B4-BE49-F238E27FC236}">
              <a16:creationId xmlns:a16="http://schemas.microsoft.com/office/drawing/2014/main" id="{EB8DC94F-F8BC-4701-B2FC-9857FDD7FF5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94" name="Text Box 1">
          <a:extLst>
            <a:ext uri="{FF2B5EF4-FFF2-40B4-BE49-F238E27FC236}">
              <a16:creationId xmlns:a16="http://schemas.microsoft.com/office/drawing/2014/main" id="{8DF3924F-9F64-40CE-94D3-2E76E5B7059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95" name="Text Box 1">
          <a:extLst>
            <a:ext uri="{FF2B5EF4-FFF2-40B4-BE49-F238E27FC236}">
              <a16:creationId xmlns:a16="http://schemas.microsoft.com/office/drawing/2014/main" id="{9561134A-8064-4FF2-B96E-89A1E5BC472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96" name="Text Box 3">
          <a:extLst>
            <a:ext uri="{FF2B5EF4-FFF2-40B4-BE49-F238E27FC236}">
              <a16:creationId xmlns:a16="http://schemas.microsoft.com/office/drawing/2014/main" id="{5D97022F-018F-4054-AA46-A971657CDE0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97" name="Text Box 1">
          <a:extLst>
            <a:ext uri="{FF2B5EF4-FFF2-40B4-BE49-F238E27FC236}">
              <a16:creationId xmlns:a16="http://schemas.microsoft.com/office/drawing/2014/main" id="{1F87E37B-CEBB-42DF-83EA-2614E5E3012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98" name="Text Box 3">
          <a:extLst>
            <a:ext uri="{FF2B5EF4-FFF2-40B4-BE49-F238E27FC236}">
              <a16:creationId xmlns:a16="http://schemas.microsoft.com/office/drawing/2014/main" id="{53A2CE10-AD8C-43BE-A0D2-1671B32E0F4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99" name="Text Box 1">
          <a:extLst>
            <a:ext uri="{FF2B5EF4-FFF2-40B4-BE49-F238E27FC236}">
              <a16:creationId xmlns:a16="http://schemas.microsoft.com/office/drawing/2014/main" id="{ABBE452C-871A-42ED-982D-AB9921EE79D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00" name="Text Box 1">
          <a:extLst>
            <a:ext uri="{FF2B5EF4-FFF2-40B4-BE49-F238E27FC236}">
              <a16:creationId xmlns:a16="http://schemas.microsoft.com/office/drawing/2014/main" id="{E183B9B6-FA3C-47AB-A520-EC614B5E7B4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01" name="Text Box 3">
          <a:extLst>
            <a:ext uri="{FF2B5EF4-FFF2-40B4-BE49-F238E27FC236}">
              <a16:creationId xmlns:a16="http://schemas.microsoft.com/office/drawing/2014/main" id="{267953AA-64C9-4A43-918E-DFF23F3586B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02" name="Text Box 1">
          <a:extLst>
            <a:ext uri="{FF2B5EF4-FFF2-40B4-BE49-F238E27FC236}">
              <a16:creationId xmlns:a16="http://schemas.microsoft.com/office/drawing/2014/main" id="{905B79F6-840F-41F3-87A7-C88871591E2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03" name="Text Box 3">
          <a:extLst>
            <a:ext uri="{FF2B5EF4-FFF2-40B4-BE49-F238E27FC236}">
              <a16:creationId xmlns:a16="http://schemas.microsoft.com/office/drawing/2014/main" id="{35C5D665-2E6D-41F0-9546-F2330633AC9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04" name="Text Box 1">
          <a:extLst>
            <a:ext uri="{FF2B5EF4-FFF2-40B4-BE49-F238E27FC236}">
              <a16:creationId xmlns:a16="http://schemas.microsoft.com/office/drawing/2014/main" id="{9459EDC4-DB44-41F4-97B7-4F9EFD08D3E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05" name="Text Box 1">
          <a:extLst>
            <a:ext uri="{FF2B5EF4-FFF2-40B4-BE49-F238E27FC236}">
              <a16:creationId xmlns:a16="http://schemas.microsoft.com/office/drawing/2014/main" id="{F70CEB83-2866-4DAC-84BD-B20C99DFEA9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06" name="Text Box 3">
          <a:extLst>
            <a:ext uri="{FF2B5EF4-FFF2-40B4-BE49-F238E27FC236}">
              <a16:creationId xmlns:a16="http://schemas.microsoft.com/office/drawing/2014/main" id="{BA9907CF-B443-4D81-9AE6-8ADAD22133D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07" name="Text Box 1">
          <a:extLst>
            <a:ext uri="{FF2B5EF4-FFF2-40B4-BE49-F238E27FC236}">
              <a16:creationId xmlns:a16="http://schemas.microsoft.com/office/drawing/2014/main" id="{667229EE-BED3-4D49-8D7D-E14572EEA27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08" name="Text Box 3">
          <a:extLst>
            <a:ext uri="{FF2B5EF4-FFF2-40B4-BE49-F238E27FC236}">
              <a16:creationId xmlns:a16="http://schemas.microsoft.com/office/drawing/2014/main" id="{D7AB5DCB-091D-46BA-B4B8-4809C36F01B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09" name="Text Box 1">
          <a:extLst>
            <a:ext uri="{FF2B5EF4-FFF2-40B4-BE49-F238E27FC236}">
              <a16:creationId xmlns:a16="http://schemas.microsoft.com/office/drawing/2014/main" id="{63B9F19E-E88E-475B-B1F0-E9F157D1F10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10" name="Text Box 1">
          <a:extLst>
            <a:ext uri="{FF2B5EF4-FFF2-40B4-BE49-F238E27FC236}">
              <a16:creationId xmlns:a16="http://schemas.microsoft.com/office/drawing/2014/main" id="{9863DAD2-4E29-43C8-9BA6-FC1B6DB8964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11" name="Text Box 3">
          <a:extLst>
            <a:ext uri="{FF2B5EF4-FFF2-40B4-BE49-F238E27FC236}">
              <a16:creationId xmlns:a16="http://schemas.microsoft.com/office/drawing/2014/main" id="{AD0B658D-3B3C-4228-84A1-A7B4C318655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12" name="Text Box 1">
          <a:extLst>
            <a:ext uri="{FF2B5EF4-FFF2-40B4-BE49-F238E27FC236}">
              <a16:creationId xmlns:a16="http://schemas.microsoft.com/office/drawing/2014/main" id="{9CD63693-0876-4490-AD6A-8C801A83666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13" name="Text Box 3">
          <a:extLst>
            <a:ext uri="{FF2B5EF4-FFF2-40B4-BE49-F238E27FC236}">
              <a16:creationId xmlns:a16="http://schemas.microsoft.com/office/drawing/2014/main" id="{E3C92296-D527-48BA-9B88-3DCB3D0D423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14" name="Text Box 1">
          <a:extLst>
            <a:ext uri="{FF2B5EF4-FFF2-40B4-BE49-F238E27FC236}">
              <a16:creationId xmlns:a16="http://schemas.microsoft.com/office/drawing/2014/main" id="{7E71F967-60E3-43A4-86DD-CDF55A221E6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15" name="Text Box 1">
          <a:extLst>
            <a:ext uri="{FF2B5EF4-FFF2-40B4-BE49-F238E27FC236}">
              <a16:creationId xmlns:a16="http://schemas.microsoft.com/office/drawing/2014/main" id="{AB6F76DB-E1D6-473B-8421-7FEFBCAC27A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16" name="Text Box 3">
          <a:extLst>
            <a:ext uri="{FF2B5EF4-FFF2-40B4-BE49-F238E27FC236}">
              <a16:creationId xmlns:a16="http://schemas.microsoft.com/office/drawing/2014/main" id="{271B6FA7-1C75-4590-AE1E-09BEA2C5D21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17" name="Text Box 1">
          <a:extLst>
            <a:ext uri="{FF2B5EF4-FFF2-40B4-BE49-F238E27FC236}">
              <a16:creationId xmlns:a16="http://schemas.microsoft.com/office/drawing/2014/main" id="{5B878060-8B3A-4256-B80A-FD935C86F75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18" name="Text Box 3">
          <a:extLst>
            <a:ext uri="{FF2B5EF4-FFF2-40B4-BE49-F238E27FC236}">
              <a16:creationId xmlns:a16="http://schemas.microsoft.com/office/drawing/2014/main" id="{433A4087-5DF0-490A-B74D-7D7117D451C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19" name="Text Box 1">
          <a:extLst>
            <a:ext uri="{FF2B5EF4-FFF2-40B4-BE49-F238E27FC236}">
              <a16:creationId xmlns:a16="http://schemas.microsoft.com/office/drawing/2014/main" id="{CF06D657-40BD-4701-B7B1-43538B6DE80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20" name="Text Box 1">
          <a:extLst>
            <a:ext uri="{FF2B5EF4-FFF2-40B4-BE49-F238E27FC236}">
              <a16:creationId xmlns:a16="http://schemas.microsoft.com/office/drawing/2014/main" id="{9BDE44BB-A6B2-4EF4-A62D-6AF2580CAE2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21" name="Text Box 3">
          <a:extLst>
            <a:ext uri="{FF2B5EF4-FFF2-40B4-BE49-F238E27FC236}">
              <a16:creationId xmlns:a16="http://schemas.microsoft.com/office/drawing/2014/main" id="{6E8F42E4-01BF-4AE6-BE98-088F730E383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22" name="Text Box 1">
          <a:extLst>
            <a:ext uri="{FF2B5EF4-FFF2-40B4-BE49-F238E27FC236}">
              <a16:creationId xmlns:a16="http://schemas.microsoft.com/office/drawing/2014/main" id="{68D06168-779E-44EB-9639-45E7433DF69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23" name="Text Box 3">
          <a:extLst>
            <a:ext uri="{FF2B5EF4-FFF2-40B4-BE49-F238E27FC236}">
              <a16:creationId xmlns:a16="http://schemas.microsoft.com/office/drawing/2014/main" id="{57ADEDE2-7F3C-46F2-B9F3-B66719F7A45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24" name="Text Box 1">
          <a:extLst>
            <a:ext uri="{FF2B5EF4-FFF2-40B4-BE49-F238E27FC236}">
              <a16:creationId xmlns:a16="http://schemas.microsoft.com/office/drawing/2014/main" id="{A6DB185D-5CC4-47CD-AA41-81A3111A5F3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25" name="Text Box 1">
          <a:extLst>
            <a:ext uri="{FF2B5EF4-FFF2-40B4-BE49-F238E27FC236}">
              <a16:creationId xmlns:a16="http://schemas.microsoft.com/office/drawing/2014/main" id="{0CB76C11-1CA0-4BE7-9E84-BA7ECE12B34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26" name="Text Box 3">
          <a:extLst>
            <a:ext uri="{FF2B5EF4-FFF2-40B4-BE49-F238E27FC236}">
              <a16:creationId xmlns:a16="http://schemas.microsoft.com/office/drawing/2014/main" id="{982E8F67-D23F-4F58-A91E-13FA8EE41AA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27" name="Text Box 1">
          <a:extLst>
            <a:ext uri="{FF2B5EF4-FFF2-40B4-BE49-F238E27FC236}">
              <a16:creationId xmlns:a16="http://schemas.microsoft.com/office/drawing/2014/main" id="{5CD0563C-81E5-4EA8-AD80-46DC9DAC702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28" name="Text Box 3">
          <a:extLst>
            <a:ext uri="{FF2B5EF4-FFF2-40B4-BE49-F238E27FC236}">
              <a16:creationId xmlns:a16="http://schemas.microsoft.com/office/drawing/2014/main" id="{8235C816-387F-49EC-B69E-C10829F426B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29" name="Text Box 1">
          <a:extLst>
            <a:ext uri="{FF2B5EF4-FFF2-40B4-BE49-F238E27FC236}">
              <a16:creationId xmlns:a16="http://schemas.microsoft.com/office/drawing/2014/main" id="{57A5E8AD-5B63-4746-B43F-9344F989E95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30" name="Text Box 1">
          <a:extLst>
            <a:ext uri="{FF2B5EF4-FFF2-40B4-BE49-F238E27FC236}">
              <a16:creationId xmlns:a16="http://schemas.microsoft.com/office/drawing/2014/main" id="{CE3E7907-FF6A-4500-B84D-63877522D7A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31" name="Text Box 3">
          <a:extLst>
            <a:ext uri="{FF2B5EF4-FFF2-40B4-BE49-F238E27FC236}">
              <a16:creationId xmlns:a16="http://schemas.microsoft.com/office/drawing/2014/main" id="{9C7DA47F-EC9B-4C2F-81C7-FE0A5B7E05C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32" name="Text Box 1">
          <a:extLst>
            <a:ext uri="{FF2B5EF4-FFF2-40B4-BE49-F238E27FC236}">
              <a16:creationId xmlns:a16="http://schemas.microsoft.com/office/drawing/2014/main" id="{7AF19DC2-64D2-4ED9-A3B8-084EE027C68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33" name="Text Box 3">
          <a:extLst>
            <a:ext uri="{FF2B5EF4-FFF2-40B4-BE49-F238E27FC236}">
              <a16:creationId xmlns:a16="http://schemas.microsoft.com/office/drawing/2014/main" id="{6239E56C-7D36-4595-B2AB-A7E67F39449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34" name="Text Box 1">
          <a:extLst>
            <a:ext uri="{FF2B5EF4-FFF2-40B4-BE49-F238E27FC236}">
              <a16:creationId xmlns:a16="http://schemas.microsoft.com/office/drawing/2014/main" id="{C2E31FD7-40AF-4C37-AFB0-1FA0FA0B7F5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35" name="Text Box 1">
          <a:extLst>
            <a:ext uri="{FF2B5EF4-FFF2-40B4-BE49-F238E27FC236}">
              <a16:creationId xmlns:a16="http://schemas.microsoft.com/office/drawing/2014/main" id="{B2963FFC-AA7C-4CF1-B79A-1D3EADDC4E3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36" name="Text Box 3">
          <a:extLst>
            <a:ext uri="{FF2B5EF4-FFF2-40B4-BE49-F238E27FC236}">
              <a16:creationId xmlns:a16="http://schemas.microsoft.com/office/drawing/2014/main" id="{5E88792D-212B-4CC6-AA3B-185602B03BF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37" name="Text Box 1">
          <a:extLst>
            <a:ext uri="{FF2B5EF4-FFF2-40B4-BE49-F238E27FC236}">
              <a16:creationId xmlns:a16="http://schemas.microsoft.com/office/drawing/2014/main" id="{7579E652-A60A-4366-A636-FFA95AA0628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38" name="Text Box 3">
          <a:extLst>
            <a:ext uri="{FF2B5EF4-FFF2-40B4-BE49-F238E27FC236}">
              <a16:creationId xmlns:a16="http://schemas.microsoft.com/office/drawing/2014/main" id="{DC9B63B6-F6D2-4C31-B3B1-EB4495DAEB9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39" name="Text Box 1">
          <a:extLst>
            <a:ext uri="{FF2B5EF4-FFF2-40B4-BE49-F238E27FC236}">
              <a16:creationId xmlns:a16="http://schemas.microsoft.com/office/drawing/2014/main" id="{A54A11FF-68F4-483B-BB82-D4FD17FB8622}"/>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40" name="Text Box 3">
          <a:extLst>
            <a:ext uri="{FF2B5EF4-FFF2-40B4-BE49-F238E27FC236}">
              <a16:creationId xmlns:a16="http://schemas.microsoft.com/office/drawing/2014/main" id="{C2BFC0B3-8116-406A-943D-A613D05FFB60}"/>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41" name="Text Box 1">
          <a:extLst>
            <a:ext uri="{FF2B5EF4-FFF2-40B4-BE49-F238E27FC236}">
              <a16:creationId xmlns:a16="http://schemas.microsoft.com/office/drawing/2014/main" id="{CA4D2A65-FCB2-47DD-B52C-7E416897C284}"/>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42" name="Text Box 3">
          <a:extLst>
            <a:ext uri="{FF2B5EF4-FFF2-40B4-BE49-F238E27FC236}">
              <a16:creationId xmlns:a16="http://schemas.microsoft.com/office/drawing/2014/main" id="{A11C620C-88B8-4303-A743-7055214BFC97}"/>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43" name="Text Box 1">
          <a:extLst>
            <a:ext uri="{FF2B5EF4-FFF2-40B4-BE49-F238E27FC236}">
              <a16:creationId xmlns:a16="http://schemas.microsoft.com/office/drawing/2014/main" id="{58A156DE-3B33-4B99-AC80-1BC8D2078349}"/>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44" name="Text Box 1">
          <a:extLst>
            <a:ext uri="{FF2B5EF4-FFF2-40B4-BE49-F238E27FC236}">
              <a16:creationId xmlns:a16="http://schemas.microsoft.com/office/drawing/2014/main" id="{34203C78-E802-4567-8897-8935F47EFCB3}"/>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45" name="Text Box 3">
          <a:extLst>
            <a:ext uri="{FF2B5EF4-FFF2-40B4-BE49-F238E27FC236}">
              <a16:creationId xmlns:a16="http://schemas.microsoft.com/office/drawing/2014/main" id="{A8C71D6E-2E5D-43ED-BE98-C126D05D1BFC}"/>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46" name="Text Box 1">
          <a:extLst>
            <a:ext uri="{FF2B5EF4-FFF2-40B4-BE49-F238E27FC236}">
              <a16:creationId xmlns:a16="http://schemas.microsoft.com/office/drawing/2014/main" id="{A1DF0E61-9EF7-41FE-8F39-44F6FDD68D44}"/>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47" name="Text Box 3">
          <a:extLst>
            <a:ext uri="{FF2B5EF4-FFF2-40B4-BE49-F238E27FC236}">
              <a16:creationId xmlns:a16="http://schemas.microsoft.com/office/drawing/2014/main" id="{924C9A9C-AB40-412E-B681-821662783E9E}"/>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48" name="Text Box 1">
          <a:extLst>
            <a:ext uri="{FF2B5EF4-FFF2-40B4-BE49-F238E27FC236}">
              <a16:creationId xmlns:a16="http://schemas.microsoft.com/office/drawing/2014/main" id="{0C9849DE-263B-493F-8DD7-392319FB762A}"/>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49" name="Text Box 1">
          <a:extLst>
            <a:ext uri="{FF2B5EF4-FFF2-40B4-BE49-F238E27FC236}">
              <a16:creationId xmlns:a16="http://schemas.microsoft.com/office/drawing/2014/main" id="{EF0563CE-5F44-4BC5-A15F-08F084DEDE92}"/>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50" name="Text Box 3">
          <a:extLst>
            <a:ext uri="{FF2B5EF4-FFF2-40B4-BE49-F238E27FC236}">
              <a16:creationId xmlns:a16="http://schemas.microsoft.com/office/drawing/2014/main" id="{642429F8-DEBE-4B32-84CD-864B59B513A4}"/>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51" name="Text Box 1">
          <a:extLst>
            <a:ext uri="{FF2B5EF4-FFF2-40B4-BE49-F238E27FC236}">
              <a16:creationId xmlns:a16="http://schemas.microsoft.com/office/drawing/2014/main" id="{8084BF95-78A9-445E-A7AE-D51AA6BE678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52" name="Text Box 1">
          <a:extLst>
            <a:ext uri="{FF2B5EF4-FFF2-40B4-BE49-F238E27FC236}">
              <a16:creationId xmlns:a16="http://schemas.microsoft.com/office/drawing/2014/main" id="{5F91C569-C354-454F-B747-A787CEAD508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53" name="Text Box 3">
          <a:extLst>
            <a:ext uri="{FF2B5EF4-FFF2-40B4-BE49-F238E27FC236}">
              <a16:creationId xmlns:a16="http://schemas.microsoft.com/office/drawing/2014/main" id="{648C840A-D008-4E2D-825C-30E89EA5CF57}"/>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54" name="Text Box 1">
          <a:extLst>
            <a:ext uri="{FF2B5EF4-FFF2-40B4-BE49-F238E27FC236}">
              <a16:creationId xmlns:a16="http://schemas.microsoft.com/office/drawing/2014/main" id="{79D539E2-D17E-444D-8823-C070E7230BF9}"/>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55" name="Text Box 3">
          <a:extLst>
            <a:ext uri="{FF2B5EF4-FFF2-40B4-BE49-F238E27FC236}">
              <a16:creationId xmlns:a16="http://schemas.microsoft.com/office/drawing/2014/main" id="{D5BE68D0-C8E0-4064-BF5D-C4413DAAAFF2}"/>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56" name="Text Box 1">
          <a:extLst>
            <a:ext uri="{FF2B5EF4-FFF2-40B4-BE49-F238E27FC236}">
              <a16:creationId xmlns:a16="http://schemas.microsoft.com/office/drawing/2014/main" id="{949B0ECB-43A7-4B7F-AF8A-F5AC9D96F83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57" name="Text Box 1">
          <a:extLst>
            <a:ext uri="{FF2B5EF4-FFF2-40B4-BE49-F238E27FC236}">
              <a16:creationId xmlns:a16="http://schemas.microsoft.com/office/drawing/2014/main" id="{3CFD0F01-C6AE-4E6F-A98B-E689B225E3EB}"/>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58" name="Text Box 3">
          <a:extLst>
            <a:ext uri="{FF2B5EF4-FFF2-40B4-BE49-F238E27FC236}">
              <a16:creationId xmlns:a16="http://schemas.microsoft.com/office/drawing/2014/main" id="{628DE55F-64BA-492A-B3CF-F402A4C2F672}"/>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59" name="Text Box 1">
          <a:extLst>
            <a:ext uri="{FF2B5EF4-FFF2-40B4-BE49-F238E27FC236}">
              <a16:creationId xmlns:a16="http://schemas.microsoft.com/office/drawing/2014/main" id="{41C9A543-2300-4F3F-A0B2-BB2EDC3FE06E}"/>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60" name="Text Box 3">
          <a:extLst>
            <a:ext uri="{FF2B5EF4-FFF2-40B4-BE49-F238E27FC236}">
              <a16:creationId xmlns:a16="http://schemas.microsoft.com/office/drawing/2014/main" id="{603348F1-D12C-46A5-9E6F-FED3D97D2810}"/>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61" name="Text Box 1">
          <a:extLst>
            <a:ext uri="{FF2B5EF4-FFF2-40B4-BE49-F238E27FC236}">
              <a16:creationId xmlns:a16="http://schemas.microsoft.com/office/drawing/2014/main" id="{68D66D48-7FB2-4BEE-9158-3F5EC56FF26E}"/>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62" name="Text Box 1">
          <a:extLst>
            <a:ext uri="{FF2B5EF4-FFF2-40B4-BE49-F238E27FC236}">
              <a16:creationId xmlns:a16="http://schemas.microsoft.com/office/drawing/2014/main" id="{DA1546C8-0466-49AA-8899-51913F07D49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63" name="Text Box 3">
          <a:extLst>
            <a:ext uri="{FF2B5EF4-FFF2-40B4-BE49-F238E27FC236}">
              <a16:creationId xmlns:a16="http://schemas.microsoft.com/office/drawing/2014/main" id="{7B9E0178-D97B-4432-BB49-9F6375920E68}"/>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64" name="Text Box 3">
          <a:extLst>
            <a:ext uri="{FF2B5EF4-FFF2-40B4-BE49-F238E27FC236}">
              <a16:creationId xmlns:a16="http://schemas.microsoft.com/office/drawing/2014/main" id="{38B6DED6-F3A3-467B-B26E-6825EDD69D1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65" name="Text Box 1">
          <a:extLst>
            <a:ext uri="{FF2B5EF4-FFF2-40B4-BE49-F238E27FC236}">
              <a16:creationId xmlns:a16="http://schemas.microsoft.com/office/drawing/2014/main" id="{7DC23EC4-52F7-436F-8733-C7663008414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66" name="Text Box 3">
          <a:extLst>
            <a:ext uri="{FF2B5EF4-FFF2-40B4-BE49-F238E27FC236}">
              <a16:creationId xmlns:a16="http://schemas.microsoft.com/office/drawing/2014/main" id="{C444F666-2A5B-4803-85EA-4817FB671B0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67" name="Text Box 1">
          <a:extLst>
            <a:ext uri="{FF2B5EF4-FFF2-40B4-BE49-F238E27FC236}">
              <a16:creationId xmlns:a16="http://schemas.microsoft.com/office/drawing/2014/main" id="{41452C01-6D26-428E-84A0-00A85D155BC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68" name="Text Box 1">
          <a:extLst>
            <a:ext uri="{FF2B5EF4-FFF2-40B4-BE49-F238E27FC236}">
              <a16:creationId xmlns:a16="http://schemas.microsoft.com/office/drawing/2014/main" id="{03F19919-42DA-445B-ABAE-251C9841F29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69" name="Text Box 3">
          <a:extLst>
            <a:ext uri="{FF2B5EF4-FFF2-40B4-BE49-F238E27FC236}">
              <a16:creationId xmlns:a16="http://schemas.microsoft.com/office/drawing/2014/main" id="{57902321-699D-47A1-B4F9-56E82781E04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70" name="Text Box 1">
          <a:extLst>
            <a:ext uri="{FF2B5EF4-FFF2-40B4-BE49-F238E27FC236}">
              <a16:creationId xmlns:a16="http://schemas.microsoft.com/office/drawing/2014/main" id="{65A23CCC-7DC0-4CB0-A6C8-9EB67D739B5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71" name="Text Box 3">
          <a:extLst>
            <a:ext uri="{FF2B5EF4-FFF2-40B4-BE49-F238E27FC236}">
              <a16:creationId xmlns:a16="http://schemas.microsoft.com/office/drawing/2014/main" id="{3F5FC5A6-269B-4E29-9D1F-56A59DCF02F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72" name="Text Box 1">
          <a:extLst>
            <a:ext uri="{FF2B5EF4-FFF2-40B4-BE49-F238E27FC236}">
              <a16:creationId xmlns:a16="http://schemas.microsoft.com/office/drawing/2014/main" id="{CB2C6596-01AD-4564-A590-8C07A85A13F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73" name="Text Box 1">
          <a:extLst>
            <a:ext uri="{FF2B5EF4-FFF2-40B4-BE49-F238E27FC236}">
              <a16:creationId xmlns:a16="http://schemas.microsoft.com/office/drawing/2014/main" id="{4111F760-8BB9-428F-AB45-9E809EAA458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74" name="Text Box 3">
          <a:extLst>
            <a:ext uri="{FF2B5EF4-FFF2-40B4-BE49-F238E27FC236}">
              <a16:creationId xmlns:a16="http://schemas.microsoft.com/office/drawing/2014/main" id="{47B08019-75F3-4ECE-AB5D-EC0CD27CFA5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75" name="Text Box 1">
          <a:extLst>
            <a:ext uri="{FF2B5EF4-FFF2-40B4-BE49-F238E27FC236}">
              <a16:creationId xmlns:a16="http://schemas.microsoft.com/office/drawing/2014/main" id="{A09C0519-690A-4523-88D1-2AA50968300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76" name="Text Box 1">
          <a:extLst>
            <a:ext uri="{FF2B5EF4-FFF2-40B4-BE49-F238E27FC236}">
              <a16:creationId xmlns:a16="http://schemas.microsoft.com/office/drawing/2014/main" id="{79B44697-B5AE-4AF0-95DA-7FC3BAC2A4C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77" name="Text Box 3">
          <a:extLst>
            <a:ext uri="{FF2B5EF4-FFF2-40B4-BE49-F238E27FC236}">
              <a16:creationId xmlns:a16="http://schemas.microsoft.com/office/drawing/2014/main" id="{A941214C-08A3-4899-B77C-E88260FC60A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78" name="Text Box 1">
          <a:extLst>
            <a:ext uri="{FF2B5EF4-FFF2-40B4-BE49-F238E27FC236}">
              <a16:creationId xmlns:a16="http://schemas.microsoft.com/office/drawing/2014/main" id="{18FB018D-8BE8-451A-890B-94243A98211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79" name="Text Box 3">
          <a:extLst>
            <a:ext uri="{FF2B5EF4-FFF2-40B4-BE49-F238E27FC236}">
              <a16:creationId xmlns:a16="http://schemas.microsoft.com/office/drawing/2014/main" id="{74608F7C-4291-4606-B7E8-5FF829741C7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80" name="Text Box 1">
          <a:extLst>
            <a:ext uri="{FF2B5EF4-FFF2-40B4-BE49-F238E27FC236}">
              <a16:creationId xmlns:a16="http://schemas.microsoft.com/office/drawing/2014/main" id="{B6C558AD-53AC-4B2E-9B97-0520213B668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81" name="Text Box 3">
          <a:extLst>
            <a:ext uri="{FF2B5EF4-FFF2-40B4-BE49-F238E27FC236}">
              <a16:creationId xmlns:a16="http://schemas.microsoft.com/office/drawing/2014/main" id="{A535A6FC-1C2C-43EA-BE37-3BE48645CEF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82" name="Text Box 1">
          <a:extLst>
            <a:ext uri="{FF2B5EF4-FFF2-40B4-BE49-F238E27FC236}">
              <a16:creationId xmlns:a16="http://schemas.microsoft.com/office/drawing/2014/main" id="{17C4CFBF-478F-4A0C-808D-AFAFC98EA14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83" name="Text Box 3">
          <a:extLst>
            <a:ext uri="{FF2B5EF4-FFF2-40B4-BE49-F238E27FC236}">
              <a16:creationId xmlns:a16="http://schemas.microsoft.com/office/drawing/2014/main" id="{FDA4AFC3-5153-4F33-9049-4BE5DCD720B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84" name="Text Box 1">
          <a:extLst>
            <a:ext uri="{FF2B5EF4-FFF2-40B4-BE49-F238E27FC236}">
              <a16:creationId xmlns:a16="http://schemas.microsoft.com/office/drawing/2014/main" id="{91B558B3-42A7-425B-9726-96C1D91720F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85" name="Text Box 1">
          <a:extLst>
            <a:ext uri="{FF2B5EF4-FFF2-40B4-BE49-F238E27FC236}">
              <a16:creationId xmlns:a16="http://schemas.microsoft.com/office/drawing/2014/main" id="{8D8F5548-0CCA-4FD7-91AE-2C0E256773B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86" name="Text Box 3">
          <a:extLst>
            <a:ext uri="{FF2B5EF4-FFF2-40B4-BE49-F238E27FC236}">
              <a16:creationId xmlns:a16="http://schemas.microsoft.com/office/drawing/2014/main" id="{61EC3431-5800-4773-AFFF-131127C1FEA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87" name="Text Box 1">
          <a:extLst>
            <a:ext uri="{FF2B5EF4-FFF2-40B4-BE49-F238E27FC236}">
              <a16:creationId xmlns:a16="http://schemas.microsoft.com/office/drawing/2014/main" id="{CC0E82CE-9A30-4F90-BFAC-A2D33AD201B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88" name="Text Box 1">
          <a:extLst>
            <a:ext uri="{FF2B5EF4-FFF2-40B4-BE49-F238E27FC236}">
              <a16:creationId xmlns:a16="http://schemas.microsoft.com/office/drawing/2014/main" id="{CB2C2683-F3E7-430D-B75E-E514DEBD475C}"/>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89" name="Text Box 1">
          <a:extLst>
            <a:ext uri="{FF2B5EF4-FFF2-40B4-BE49-F238E27FC236}">
              <a16:creationId xmlns:a16="http://schemas.microsoft.com/office/drawing/2014/main" id="{BB4D0994-6DBE-4D81-90C3-49BF59359D5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90" name="Text Box 3">
          <a:extLst>
            <a:ext uri="{FF2B5EF4-FFF2-40B4-BE49-F238E27FC236}">
              <a16:creationId xmlns:a16="http://schemas.microsoft.com/office/drawing/2014/main" id="{5C3FF8D4-319D-4BA6-900F-55EF1E9ECAF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91" name="Text Box 1">
          <a:extLst>
            <a:ext uri="{FF2B5EF4-FFF2-40B4-BE49-F238E27FC236}">
              <a16:creationId xmlns:a16="http://schemas.microsoft.com/office/drawing/2014/main" id="{0AFF9650-866F-4EF5-98D0-909254B1E2C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92" name="Text Box 3">
          <a:extLst>
            <a:ext uri="{FF2B5EF4-FFF2-40B4-BE49-F238E27FC236}">
              <a16:creationId xmlns:a16="http://schemas.microsoft.com/office/drawing/2014/main" id="{A8CC7DCB-9945-4BBC-BBC5-5CE12E1ABC4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93" name="Text Box 1">
          <a:extLst>
            <a:ext uri="{FF2B5EF4-FFF2-40B4-BE49-F238E27FC236}">
              <a16:creationId xmlns:a16="http://schemas.microsoft.com/office/drawing/2014/main" id="{694C461D-FAA2-4C87-91A0-5BDC85E0A5B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94" name="Text Box 1">
          <a:extLst>
            <a:ext uri="{FF2B5EF4-FFF2-40B4-BE49-F238E27FC236}">
              <a16:creationId xmlns:a16="http://schemas.microsoft.com/office/drawing/2014/main" id="{ABBBB0F8-A54A-4F44-8733-8278A4439B6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95" name="Text Box 3">
          <a:extLst>
            <a:ext uri="{FF2B5EF4-FFF2-40B4-BE49-F238E27FC236}">
              <a16:creationId xmlns:a16="http://schemas.microsoft.com/office/drawing/2014/main" id="{BB8B443E-9204-4E52-8C56-EF051D3B2D3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96" name="Text Box 1">
          <a:extLst>
            <a:ext uri="{FF2B5EF4-FFF2-40B4-BE49-F238E27FC236}">
              <a16:creationId xmlns:a16="http://schemas.microsoft.com/office/drawing/2014/main" id="{76FC8444-DF1E-4135-A5FE-96DF9FFDAC6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97" name="Text Box 3">
          <a:extLst>
            <a:ext uri="{FF2B5EF4-FFF2-40B4-BE49-F238E27FC236}">
              <a16:creationId xmlns:a16="http://schemas.microsoft.com/office/drawing/2014/main" id="{3476B436-1780-43E3-88B2-40B471E5BF6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98" name="Text Box 1">
          <a:extLst>
            <a:ext uri="{FF2B5EF4-FFF2-40B4-BE49-F238E27FC236}">
              <a16:creationId xmlns:a16="http://schemas.microsoft.com/office/drawing/2014/main" id="{CB4A525E-E2A7-44EE-9368-E99BBE3F47C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99" name="Text Box 1">
          <a:extLst>
            <a:ext uri="{FF2B5EF4-FFF2-40B4-BE49-F238E27FC236}">
              <a16:creationId xmlns:a16="http://schemas.microsoft.com/office/drawing/2014/main" id="{EF7C1BEB-F3E6-4EE9-B662-BA463809B5D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00" name="Text Box 3">
          <a:extLst>
            <a:ext uri="{FF2B5EF4-FFF2-40B4-BE49-F238E27FC236}">
              <a16:creationId xmlns:a16="http://schemas.microsoft.com/office/drawing/2014/main" id="{6FFB3D60-B911-4A32-B9B7-9F5C46E27A6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01" name="Text Box 1">
          <a:extLst>
            <a:ext uri="{FF2B5EF4-FFF2-40B4-BE49-F238E27FC236}">
              <a16:creationId xmlns:a16="http://schemas.microsoft.com/office/drawing/2014/main" id="{0570B72A-F12C-4627-9DB9-999CEF66A26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02" name="Text Box 3">
          <a:extLst>
            <a:ext uri="{FF2B5EF4-FFF2-40B4-BE49-F238E27FC236}">
              <a16:creationId xmlns:a16="http://schemas.microsoft.com/office/drawing/2014/main" id="{E56B0D88-A14F-4E1E-BB58-D65DC5B4D30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03" name="Text Box 1">
          <a:extLst>
            <a:ext uri="{FF2B5EF4-FFF2-40B4-BE49-F238E27FC236}">
              <a16:creationId xmlns:a16="http://schemas.microsoft.com/office/drawing/2014/main" id="{B8CFF23A-F132-4DF2-AF35-8E02CC64D17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04" name="Text Box 1">
          <a:extLst>
            <a:ext uri="{FF2B5EF4-FFF2-40B4-BE49-F238E27FC236}">
              <a16:creationId xmlns:a16="http://schemas.microsoft.com/office/drawing/2014/main" id="{0B743136-E5D2-4DF2-ABD8-C0EAF7410EE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05" name="Text Box 3">
          <a:extLst>
            <a:ext uri="{FF2B5EF4-FFF2-40B4-BE49-F238E27FC236}">
              <a16:creationId xmlns:a16="http://schemas.microsoft.com/office/drawing/2014/main" id="{8B5D4865-C411-4725-B9A9-2D58A73CEB2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06" name="Text Box 1">
          <a:extLst>
            <a:ext uri="{FF2B5EF4-FFF2-40B4-BE49-F238E27FC236}">
              <a16:creationId xmlns:a16="http://schemas.microsoft.com/office/drawing/2014/main" id="{30A5E3C0-0A35-4895-BDD5-C8795D3B1B6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07" name="Text Box 3">
          <a:extLst>
            <a:ext uri="{FF2B5EF4-FFF2-40B4-BE49-F238E27FC236}">
              <a16:creationId xmlns:a16="http://schemas.microsoft.com/office/drawing/2014/main" id="{B15969BD-C766-42D2-B0AD-E4B458FD925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08" name="Text Box 1">
          <a:extLst>
            <a:ext uri="{FF2B5EF4-FFF2-40B4-BE49-F238E27FC236}">
              <a16:creationId xmlns:a16="http://schemas.microsoft.com/office/drawing/2014/main" id="{9CCDC1D5-C017-48E5-B469-AC37091DDD2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09" name="Text Box 1">
          <a:extLst>
            <a:ext uri="{FF2B5EF4-FFF2-40B4-BE49-F238E27FC236}">
              <a16:creationId xmlns:a16="http://schemas.microsoft.com/office/drawing/2014/main" id="{045F8618-E5CF-460C-9B08-C051364559B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10" name="Text Box 3">
          <a:extLst>
            <a:ext uri="{FF2B5EF4-FFF2-40B4-BE49-F238E27FC236}">
              <a16:creationId xmlns:a16="http://schemas.microsoft.com/office/drawing/2014/main" id="{438A1177-FA8F-42D8-A2D0-67ED6822C55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11" name="Text Box 1">
          <a:extLst>
            <a:ext uri="{FF2B5EF4-FFF2-40B4-BE49-F238E27FC236}">
              <a16:creationId xmlns:a16="http://schemas.microsoft.com/office/drawing/2014/main" id="{6E405EEA-3E7C-4BFF-93B1-B651452D46E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12" name="Text Box 3">
          <a:extLst>
            <a:ext uri="{FF2B5EF4-FFF2-40B4-BE49-F238E27FC236}">
              <a16:creationId xmlns:a16="http://schemas.microsoft.com/office/drawing/2014/main" id="{82DD4622-B6D7-40E3-BFC2-DD9D5A38C28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13" name="Text Box 1">
          <a:extLst>
            <a:ext uri="{FF2B5EF4-FFF2-40B4-BE49-F238E27FC236}">
              <a16:creationId xmlns:a16="http://schemas.microsoft.com/office/drawing/2014/main" id="{45E7E2A7-3B80-4122-9E70-827CE2E0F2D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14" name="Text Box 1">
          <a:extLst>
            <a:ext uri="{FF2B5EF4-FFF2-40B4-BE49-F238E27FC236}">
              <a16:creationId xmlns:a16="http://schemas.microsoft.com/office/drawing/2014/main" id="{4A903797-3B88-47F9-A8AF-08809A19E6D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15" name="Text Box 3">
          <a:extLst>
            <a:ext uri="{FF2B5EF4-FFF2-40B4-BE49-F238E27FC236}">
              <a16:creationId xmlns:a16="http://schemas.microsoft.com/office/drawing/2014/main" id="{CEC872D6-379F-4D29-B901-976AB4CF7B6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16" name="Text Box 1">
          <a:extLst>
            <a:ext uri="{FF2B5EF4-FFF2-40B4-BE49-F238E27FC236}">
              <a16:creationId xmlns:a16="http://schemas.microsoft.com/office/drawing/2014/main" id="{13B87FA9-8E7A-4618-9154-358DC40B6DA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17" name="Text Box 3">
          <a:extLst>
            <a:ext uri="{FF2B5EF4-FFF2-40B4-BE49-F238E27FC236}">
              <a16:creationId xmlns:a16="http://schemas.microsoft.com/office/drawing/2014/main" id="{CE53B5DE-ED58-4DC0-A819-4263AA2DF26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18" name="Text Box 1">
          <a:extLst>
            <a:ext uri="{FF2B5EF4-FFF2-40B4-BE49-F238E27FC236}">
              <a16:creationId xmlns:a16="http://schemas.microsoft.com/office/drawing/2014/main" id="{53C33EC3-9501-41DF-B71C-777154C290E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19" name="Text Box 1">
          <a:extLst>
            <a:ext uri="{FF2B5EF4-FFF2-40B4-BE49-F238E27FC236}">
              <a16:creationId xmlns:a16="http://schemas.microsoft.com/office/drawing/2014/main" id="{7DED86DC-4982-4380-80E5-1E2DBDE3D0B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20" name="Text Box 3">
          <a:extLst>
            <a:ext uri="{FF2B5EF4-FFF2-40B4-BE49-F238E27FC236}">
              <a16:creationId xmlns:a16="http://schemas.microsoft.com/office/drawing/2014/main" id="{7998D51D-7214-43D2-8B6D-FFE3F7BF017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21" name="Text Box 1">
          <a:extLst>
            <a:ext uri="{FF2B5EF4-FFF2-40B4-BE49-F238E27FC236}">
              <a16:creationId xmlns:a16="http://schemas.microsoft.com/office/drawing/2014/main" id="{3A2256A6-B7C5-47B4-B78C-3EB1B63C1A8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22" name="Text Box 3">
          <a:extLst>
            <a:ext uri="{FF2B5EF4-FFF2-40B4-BE49-F238E27FC236}">
              <a16:creationId xmlns:a16="http://schemas.microsoft.com/office/drawing/2014/main" id="{7A3BB1ED-38AC-4D54-916F-9A596A44CD3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23" name="Text Box 1">
          <a:extLst>
            <a:ext uri="{FF2B5EF4-FFF2-40B4-BE49-F238E27FC236}">
              <a16:creationId xmlns:a16="http://schemas.microsoft.com/office/drawing/2014/main" id="{A7CFE131-0B31-4C73-8FD3-CD6EB2548FF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24" name="Text Box 1">
          <a:extLst>
            <a:ext uri="{FF2B5EF4-FFF2-40B4-BE49-F238E27FC236}">
              <a16:creationId xmlns:a16="http://schemas.microsoft.com/office/drawing/2014/main" id="{F52A950A-BFE7-40C6-9BF7-8F0AE6FA35A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25" name="Text Box 3">
          <a:extLst>
            <a:ext uri="{FF2B5EF4-FFF2-40B4-BE49-F238E27FC236}">
              <a16:creationId xmlns:a16="http://schemas.microsoft.com/office/drawing/2014/main" id="{171E98AE-2210-45E6-8776-861314BFDBA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26" name="Text Box 1">
          <a:extLst>
            <a:ext uri="{FF2B5EF4-FFF2-40B4-BE49-F238E27FC236}">
              <a16:creationId xmlns:a16="http://schemas.microsoft.com/office/drawing/2014/main" id="{92736515-B1B3-4753-9042-24DB9079A64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27" name="Text Box 3">
          <a:extLst>
            <a:ext uri="{FF2B5EF4-FFF2-40B4-BE49-F238E27FC236}">
              <a16:creationId xmlns:a16="http://schemas.microsoft.com/office/drawing/2014/main" id="{F5EF9299-1123-4B40-B4E0-CEEC36852E0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28" name="Text Box 1">
          <a:extLst>
            <a:ext uri="{FF2B5EF4-FFF2-40B4-BE49-F238E27FC236}">
              <a16:creationId xmlns:a16="http://schemas.microsoft.com/office/drawing/2014/main" id="{A51B1785-0A5B-4CCB-A379-BBED049B93F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29" name="Text Box 1">
          <a:extLst>
            <a:ext uri="{FF2B5EF4-FFF2-40B4-BE49-F238E27FC236}">
              <a16:creationId xmlns:a16="http://schemas.microsoft.com/office/drawing/2014/main" id="{8CD22863-D6B0-4DC4-A47E-0895F188091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30" name="Text Box 3">
          <a:extLst>
            <a:ext uri="{FF2B5EF4-FFF2-40B4-BE49-F238E27FC236}">
              <a16:creationId xmlns:a16="http://schemas.microsoft.com/office/drawing/2014/main" id="{FA0E249F-9B39-4723-A8E4-0D943796DD1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31" name="Text Box 1">
          <a:extLst>
            <a:ext uri="{FF2B5EF4-FFF2-40B4-BE49-F238E27FC236}">
              <a16:creationId xmlns:a16="http://schemas.microsoft.com/office/drawing/2014/main" id="{1507B000-DDE7-402E-AD6C-1C7767A81FC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32" name="Text Box 3">
          <a:extLst>
            <a:ext uri="{FF2B5EF4-FFF2-40B4-BE49-F238E27FC236}">
              <a16:creationId xmlns:a16="http://schemas.microsoft.com/office/drawing/2014/main" id="{1DC2D5DA-B503-49D9-854E-59D28AFEA45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33" name="Text Box 1">
          <a:extLst>
            <a:ext uri="{FF2B5EF4-FFF2-40B4-BE49-F238E27FC236}">
              <a16:creationId xmlns:a16="http://schemas.microsoft.com/office/drawing/2014/main" id="{EBB03E2A-344E-4A2F-8788-58288E0F96E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34" name="Text Box 1">
          <a:extLst>
            <a:ext uri="{FF2B5EF4-FFF2-40B4-BE49-F238E27FC236}">
              <a16:creationId xmlns:a16="http://schemas.microsoft.com/office/drawing/2014/main" id="{498C538C-E5BC-4AF9-B377-4328ACA78CA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35" name="Text Box 3">
          <a:extLst>
            <a:ext uri="{FF2B5EF4-FFF2-40B4-BE49-F238E27FC236}">
              <a16:creationId xmlns:a16="http://schemas.microsoft.com/office/drawing/2014/main" id="{43E2529D-FB61-438D-B5BC-5BEDEC937FD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36" name="Text Box 1">
          <a:extLst>
            <a:ext uri="{FF2B5EF4-FFF2-40B4-BE49-F238E27FC236}">
              <a16:creationId xmlns:a16="http://schemas.microsoft.com/office/drawing/2014/main" id="{785EF62D-E470-4CB3-B6D6-E5DB7B66011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37" name="Text Box 3">
          <a:extLst>
            <a:ext uri="{FF2B5EF4-FFF2-40B4-BE49-F238E27FC236}">
              <a16:creationId xmlns:a16="http://schemas.microsoft.com/office/drawing/2014/main" id="{2B5FB8D9-37FF-40D4-B72F-AD2E6959A4A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38" name="Text Box 1">
          <a:extLst>
            <a:ext uri="{FF2B5EF4-FFF2-40B4-BE49-F238E27FC236}">
              <a16:creationId xmlns:a16="http://schemas.microsoft.com/office/drawing/2014/main" id="{A2AD46B2-6D84-4B20-AAB7-459E9604EFF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39" name="Text Box 1">
          <a:extLst>
            <a:ext uri="{FF2B5EF4-FFF2-40B4-BE49-F238E27FC236}">
              <a16:creationId xmlns:a16="http://schemas.microsoft.com/office/drawing/2014/main" id="{C7FD1A74-30CB-4212-8D7D-C12EF3BE886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40" name="Text Box 3">
          <a:extLst>
            <a:ext uri="{FF2B5EF4-FFF2-40B4-BE49-F238E27FC236}">
              <a16:creationId xmlns:a16="http://schemas.microsoft.com/office/drawing/2014/main" id="{B91CC815-950C-4173-B1B3-054A771DAC6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41" name="Text Box 1">
          <a:extLst>
            <a:ext uri="{FF2B5EF4-FFF2-40B4-BE49-F238E27FC236}">
              <a16:creationId xmlns:a16="http://schemas.microsoft.com/office/drawing/2014/main" id="{9F1F8158-1443-4F98-89CF-7DDCDFE7794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42" name="Text Box 3">
          <a:extLst>
            <a:ext uri="{FF2B5EF4-FFF2-40B4-BE49-F238E27FC236}">
              <a16:creationId xmlns:a16="http://schemas.microsoft.com/office/drawing/2014/main" id="{981EEE19-6DCD-4630-AB04-E062C743D31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43" name="Text Box 1">
          <a:extLst>
            <a:ext uri="{FF2B5EF4-FFF2-40B4-BE49-F238E27FC236}">
              <a16:creationId xmlns:a16="http://schemas.microsoft.com/office/drawing/2014/main" id="{24B0BDA5-F680-4998-B042-762BBD674F2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44" name="Text Box 1">
          <a:extLst>
            <a:ext uri="{FF2B5EF4-FFF2-40B4-BE49-F238E27FC236}">
              <a16:creationId xmlns:a16="http://schemas.microsoft.com/office/drawing/2014/main" id="{9A7C7A38-F548-43D5-810D-E9532D256D9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45" name="Text Box 3">
          <a:extLst>
            <a:ext uri="{FF2B5EF4-FFF2-40B4-BE49-F238E27FC236}">
              <a16:creationId xmlns:a16="http://schemas.microsoft.com/office/drawing/2014/main" id="{501C6750-70F9-43F1-A2C6-84FC4012EA8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46" name="Text Box 1">
          <a:extLst>
            <a:ext uri="{FF2B5EF4-FFF2-40B4-BE49-F238E27FC236}">
              <a16:creationId xmlns:a16="http://schemas.microsoft.com/office/drawing/2014/main" id="{54036A7F-33E7-4FD5-B961-1B289B4575C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47" name="Text Box 3">
          <a:extLst>
            <a:ext uri="{FF2B5EF4-FFF2-40B4-BE49-F238E27FC236}">
              <a16:creationId xmlns:a16="http://schemas.microsoft.com/office/drawing/2014/main" id="{EE377678-88D1-4903-8B76-F9ABF5E048E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48" name="Text Box 1">
          <a:extLst>
            <a:ext uri="{FF2B5EF4-FFF2-40B4-BE49-F238E27FC236}">
              <a16:creationId xmlns:a16="http://schemas.microsoft.com/office/drawing/2014/main" id="{A1F29469-F628-4F79-BE57-34B6389D05B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49" name="Text Box 1">
          <a:extLst>
            <a:ext uri="{FF2B5EF4-FFF2-40B4-BE49-F238E27FC236}">
              <a16:creationId xmlns:a16="http://schemas.microsoft.com/office/drawing/2014/main" id="{730EFAAE-BF64-4D79-8614-879EE662560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50" name="Text Box 3">
          <a:extLst>
            <a:ext uri="{FF2B5EF4-FFF2-40B4-BE49-F238E27FC236}">
              <a16:creationId xmlns:a16="http://schemas.microsoft.com/office/drawing/2014/main" id="{BA374884-0669-4884-AFAB-67023147932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51" name="Text Box 1">
          <a:extLst>
            <a:ext uri="{FF2B5EF4-FFF2-40B4-BE49-F238E27FC236}">
              <a16:creationId xmlns:a16="http://schemas.microsoft.com/office/drawing/2014/main" id="{4A180C07-01D3-436C-A5C1-1FD40707B5C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52" name="Text Box 3">
          <a:extLst>
            <a:ext uri="{FF2B5EF4-FFF2-40B4-BE49-F238E27FC236}">
              <a16:creationId xmlns:a16="http://schemas.microsoft.com/office/drawing/2014/main" id="{3461C82D-C53F-441B-A906-7F466AE51AB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53" name="Text Box 1">
          <a:extLst>
            <a:ext uri="{FF2B5EF4-FFF2-40B4-BE49-F238E27FC236}">
              <a16:creationId xmlns:a16="http://schemas.microsoft.com/office/drawing/2014/main" id="{0BB4221A-199B-4F60-A672-2CEB0EBFA04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54" name="Text Box 1">
          <a:extLst>
            <a:ext uri="{FF2B5EF4-FFF2-40B4-BE49-F238E27FC236}">
              <a16:creationId xmlns:a16="http://schemas.microsoft.com/office/drawing/2014/main" id="{16D93BE2-0594-41C1-89AA-45356A35E71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55" name="Text Box 3">
          <a:extLst>
            <a:ext uri="{FF2B5EF4-FFF2-40B4-BE49-F238E27FC236}">
              <a16:creationId xmlns:a16="http://schemas.microsoft.com/office/drawing/2014/main" id="{8080F609-8310-4355-9B64-323BD90211F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56" name="Text Box 1">
          <a:extLst>
            <a:ext uri="{FF2B5EF4-FFF2-40B4-BE49-F238E27FC236}">
              <a16:creationId xmlns:a16="http://schemas.microsoft.com/office/drawing/2014/main" id="{DD65B404-625A-4C55-92B4-5316DA19EA4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57" name="Text Box 3">
          <a:extLst>
            <a:ext uri="{FF2B5EF4-FFF2-40B4-BE49-F238E27FC236}">
              <a16:creationId xmlns:a16="http://schemas.microsoft.com/office/drawing/2014/main" id="{85606DF5-D5F2-449D-8472-1AFE352A2E2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58" name="Text Box 1">
          <a:extLst>
            <a:ext uri="{FF2B5EF4-FFF2-40B4-BE49-F238E27FC236}">
              <a16:creationId xmlns:a16="http://schemas.microsoft.com/office/drawing/2014/main" id="{24A2A3A1-4A90-4330-BBDE-CF5DD37AC46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59" name="Text Box 1">
          <a:extLst>
            <a:ext uri="{FF2B5EF4-FFF2-40B4-BE49-F238E27FC236}">
              <a16:creationId xmlns:a16="http://schemas.microsoft.com/office/drawing/2014/main" id="{DB4488A9-D5AF-416C-8B79-D51C916B404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60" name="Text Box 3">
          <a:extLst>
            <a:ext uri="{FF2B5EF4-FFF2-40B4-BE49-F238E27FC236}">
              <a16:creationId xmlns:a16="http://schemas.microsoft.com/office/drawing/2014/main" id="{7DC736D2-0A86-4CCE-8E5E-09FE4E77080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61" name="Text Box 1">
          <a:extLst>
            <a:ext uri="{FF2B5EF4-FFF2-40B4-BE49-F238E27FC236}">
              <a16:creationId xmlns:a16="http://schemas.microsoft.com/office/drawing/2014/main" id="{BBA2397F-F473-4978-B98C-16660F5B8F7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62" name="Text Box 3">
          <a:extLst>
            <a:ext uri="{FF2B5EF4-FFF2-40B4-BE49-F238E27FC236}">
              <a16:creationId xmlns:a16="http://schemas.microsoft.com/office/drawing/2014/main" id="{487381FB-0C4A-4BF1-9B64-FC93AD0AC9E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63" name="Text Box 1">
          <a:extLst>
            <a:ext uri="{FF2B5EF4-FFF2-40B4-BE49-F238E27FC236}">
              <a16:creationId xmlns:a16="http://schemas.microsoft.com/office/drawing/2014/main" id="{AB326EFA-4CA0-40BD-966B-6D2A7F82B8A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64" name="Text Box 1">
          <a:extLst>
            <a:ext uri="{FF2B5EF4-FFF2-40B4-BE49-F238E27FC236}">
              <a16:creationId xmlns:a16="http://schemas.microsoft.com/office/drawing/2014/main" id="{63DD1E01-24CA-48B3-833A-4418C837639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65" name="Text Box 3">
          <a:extLst>
            <a:ext uri="{FF2B5EF4-FFF2-40B4-BE49-F238E27FC236}">
              <a16:creationId xmlns:a16="http://schemas.microsoft.com/office/drawing/2014/main" id="{0605064B-9D87-4E15-AA35-805AE358DA8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66" name="Text Box 1">
          <a:extLst>
            <a:ext uri="{FF2B5EF4-FFF2-40B4-BE49-F238E27FC236}">
              <a16:creationId xmlns:a16="http://schemas.microsoft.com/office/drawing/2014/main" id="{7F248C2D-E371-405F-862A-1A421B204E4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67" name="Text Box 3">
          <a:extLst>
            <a:ext uri="{FF2B5EF4-FFF2-40B4-BE49-F238E27FC236}">
              <a16:creationId xmlns:a16="http://schemas.microsoft.com/office/drawing/2014/main" id="{0994546E-EDA9-4A88-B343-6C5FE133407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68" name="Text Box 1">
          <a:extLst>
            <a:ext uri="{FF2B5EF4-FFF2-40B4-BE49-F238E27FC236}">
              <a16:creationId xmlns:a16="http://schemas.microsoft.com/office/drawing/2014/main" id="{71433228-8DC0-4A3B-BB3E-D1EC7388AA1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69" name="Text Box 1">
          <a:extLst>
            <a:ext uri="{FF2B5EF4-FFF2-40B4-BE49-F238E27FC236}">
              <a16:creationId xmlns:a16="http://schemas.microsoft.com/office/drawing/2014/main" id="{60F51679-310A-49CE-A1C4-F1E164EE41B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70" name="Text Box 3">
          <a:extLst>
            <a:ext uri="{FF2B5EF4-FFF2-40B4-BE49-F238E27FC236}">
              <a16:creationId xmlns:a16="http://schemas.microsoft.com/office/drawing/2014/main" id="{B8A532E2-EB13-4891-BF10-75843C36591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71" name="Text Box 1">
          <a:extLst>
            <a:ext uri="{FF2B5EF4-FFF2-40B4-BE49-F238E27FC236}">
              <a16:creationId xmlns:a16="http://schemas.microsoft.com/office/drawing/2014/main" id="{9A098C67-4735-4076-9CC0-D7B40753D68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72" name="Text Box 3">
          <a:extLst>
            <a:ext uri="{FF2B5EF4-FFF2-40B4-BE49-F238E27FC236}">
              <a16:creationId xmlns:a16="http://schemas.microsoft.com/office/drawing/2014/main" id="{4350286F-5B8B-4C46-A4B7-9EEA977C28A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73" name="Text Box 1">
          <a:extLst>
            <a:ext uri="{FF2B5EF4-FFF2-40B4-BE49-F238E27FC236}">
              <a16:creationId xmlns:a16="http://schemas.microsoft.com/office/drawing/2014/main" id="{F02E7718-55E2-43A9-909A-BF67D694051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74" name="Text Box 1">
          <a:extLst>
            <a:ext uri="{FF2B5EF4-FFF2-40B4-BE49-F238E27FC236}">
              <a16:creationId xmlns:a16="http://schemas.microsoft.com/office/drawing/2014/main" id="{13AF8F3B-CC40-4512-AD34-D26991DDEE8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75" name="Text Box 3">
          <a:extLst>
            <a:ext uri="{FF2B5EF4-FFF2-40B4-BE49-F238E27FC236}">
              <a16:creationId xmlns:a16="http://schemas.microsoft.com/office/drawing/2014/main" id="{2F54CAAF-C05A-4FD7-AC93-953141CCA3F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76" name="Text Box 1">
          <a:extLst>
            <a:ext uri="{FF2B5EF4-FFF2-40B4-BE49-F238E27FC236}">
              <a16:creationId xmlns:a16="http://schemas.microsoft.com/office/drawing/2014/main" id="{DCBC3D31-34E8-4469-8DC2-CE5EC359D90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77" name="Text Box 3">
          <a:extLst>
            <a:ext uri="{FF2B5EF4-FFF2-40B4-BE49-F238E27FC236}">
              <a16:creationId xmlns:a16="http://schemas.microsoft.com/office/drawing/2014/main" id="{A1CDDC46-E8A4-4D31-9C1C-A27C0A96477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78" name="Text Box 1">
          <a:extLst>
            <a:ext uri="{FF2B5EF4-FFF2-40B4-BE49-F238E27FC236}">
              <a16:creationId xmlns:a16="http://schemas.microsoft.com/office/drawing/2014/main" id="{FC143D65-4549-4A08-A50C-DFF6872BD2E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79" name="Text Box 1">
          <a:extLst>
            <a:ext uri="{FF2B5EF4-FFF2-40B4-BE49-F238E27FC236}">
              <a16:creationId xmlns:a16="http://schemas.microsoft.com/office/drawing/2014/main" id="{AD1C2A7C-80E6-4255-84F9-4BD829ED2C7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80" name="Text Box 3">
          <a:extLst>
            <a:ext uri="{FF2B5EF4-FFF2-40B4-BE49-F238E27FC236}">
              <a16:creationId xmlns:a16="http://schemas.microsoft.com/office/drawing/2014/main" id="{B2FAAAA6-C301-4FA8-BD47-6E8DE39F9EA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81" name="Text Box 1">
          <a:extLst>
            <a:ext uri="{FF2B5EF4-FFF2-40B4-BE49-F238E27FC236}">
              <a16:creationId xmlns:a16="http://schemas.microsoft.com/office/drawing/2014/main" id="{1A9CBBA7-B471-4FAC-BA2E-67E5E9DD376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82" name="Text Box 3">
          <a:extLst>
            <a:ext uri="{FF2B5EF4-FFF2-40B4-BE49-F238E27FC236}">
              <a16:creationId xmlns:a16="http://schemas.microsoft.com/office/drawing/2014/main" id="{0C42A7EF-734E-42E9-A6B1-106F8119841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83" name="Text Box 1">
          <a:extLst>
            <a:ext uri="{FF2B5EF4-FFF2-40B4-BE49-F238E27FC236}">
              <a16:creationId xmlns:a16="http://schemas.microsoft.com/office/drawing/2014/main" id="{966E7A59-3085-46E6-BA97-EE6A0B39D92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84" name="Text Box 1">
          <a:extLst>
            <a:ext uri="{FF2B5EF4-FFF2-40B4-BE49-F238E27FC236}">
              <a16:creationId xmlns:a16="http://schemas.microsoft.com/office/drawing/2014/main" id="{DB557B42-0025-4B99-8AED-5F795ED7882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85" name="Text Box 3">
          <a:extLst>
            <a:ext uri="{FF2B5EF4-FFF2-40B4-BE49-F238E27FC236}">
              <a16:creationId xmlns:a16="http://schemas.microsoft.com/office/drawing/2014/main" id="{B17CACD5-568C-46F6-B322-A395F3EC3F5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86" name="Text Box 1">
          <a:extLst>
            <a:ext uri="{FF2B5EF4-FFF2-40B4-BE49-F238E27FC236}">
              <a16:creationId xmlns:a16="http://schemas.microsoft.com/office/drawing/2014/main" id="{BBCC021A-6912-4625-8725-CBADDED60FF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87" name="Text Box 3">
          <a:extLst>
            <a:ext uri="{FF2B5EF4-FFF2-40B4-BE49-F238E27FC236}">
              <a16:creationId xmlns:a16="http://schemas.microsoft.com/office/drawing/2014/main" id="{8AD5B22B-6F6B-4517-9F3A-37F99ADD7C9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88" name="Text Box 1">
          <a:extLst>
            <a:ext uri="{FF2B5EF4-FFF2-40B4-BE49-F238E27FC236}">
              <a16:creationId xmlns:a16="http://schemas.microsoft.com/office/drawing/2014/main" id="{6727754F-C554-4E77-A3B4-06E466C3DCC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89" name="Text Box 1">
          <a:extLst>
            <a:ext uri="{FF2B5EF4-FFF2-40B4-BE49-F238E27FC236}">
              <a16:creationId xmlns:a16="http://schemas.microsoft.com/office/drawing/2014/main" id="{29AF4C66-4C78-4350-AA3E-AC9451B85B7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90" name="Text Box 3">
          <a:extLst>
            <a:ext uri="{FF2B5EF4-FFF2-40B4-BE49-F238E27FC236}">
              <a16:creationId xmlns:a16="http://schemas.microsoft.com/office/drawing/2014/main" id="{914B54B7-8D4A-4858-82FA-61B36F03E35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91" name="Text Box 1">
          <a:extLst>
            <a:ext uri="{FF2B5EF4-FFF2-40B4-BE49-F238E27FC236}">
              <a16:creationId xmlns:a16="http://schemas.microsoft.com/office/drawing/2014/main" id="{51D17DB4-9AD6-446B-BD00-EBC72A460C3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92" name="Text Box 3">
          <a:extLst>
            <a:ext uri="{FF2B5EF4-FFF2-40B4-BE49-F238E27FC236}">
              <a16:creationId xmlns:a16="http://schemas.microsoft.com/office/drawing/2014/main" id="{477595FC-69EF-4279-853B-E84E20286AB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93" name="Text Box 1">
          <a:extLst>
            <a:ext uri="{FF2B5EF4-FFF2-40B4-BE49-F238E27FC236}">
              <a16:creationId xmlns:a16="http://schemas.microsoft.com/office/drawing/2014/main" id="{27EF9EBB-48D5-4942-895F-F2CF73812D3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94" name="Text Box 1">
          <a:extLst>
            <a:ext uri="{FF2B5EF4-FFF2-40B4-BE49-F238E27FC236}">
              <a16:creationId xmlns:a16="http://schemas.microsoft.com/office/drawing/2014/main" id="{69FB1934-6641-4C2F-8271-655EBF256CD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95" name="Text Box 3">
          <a:extLst>
            <a:ext uri="{FF2B5EF4-FFF2-40B4-BE49-F238E27FC236}">
              <a16:creationId xmlns:a16="http://schemas.microsoft.com/office/drawing/2014/main" id="{D6CE6088-9A3A-48D6-B75C-DCE8CBABC42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96" name="Text Box 1">
          <a:extLst>
            <a:ext uri="{FF2B5EF4-FFF2-40B4-BE49-F238E27FC236}">
              <a16:creationId xmlns:a16="http://schemas.microsoft.com/office/drawing/2014/main" id="{1F28C95D-CDD6-48B2-A4A7-36920FBB483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97" name="Text Box 3">
          <a:extLst>
            <a:ext uri="{FF2B5EF4-FFF2-40B4-BE49-F238E27FC236}">
              <a16:creationId xmlns:a16="http://schemas.microsoft.com/office/drawing/2014/main" id="{87AF9EDF-E86C-49D6-87CB-1AD83964923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98" name="Text Box 1">
          <a:extLst>
            <a:ext uri="{FF2B5EF4-FFF2-40B4-BE49-F238E27FC236}">
              <a16:creationId xmlns:a16="http://schemas.microsoft.com/office/drawing/2014/main" id="{CC242D3F-2BCF-4662-BD3E-9882E1F24EC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99" name="Text Box 1">
          <a:extLst>
            <a:ext uri="{FF2B5EF4-FFF2-40B4-BE49-F238E27FC236}">
              <a16:creationId xmlns:a16="http://schemas.microsoft.com/office/drawing/2014/main" id="{4F675072-A8AC-4A65-9F2D-E8D070C487A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00" name="Text Box 3">
          <a:extLst>
            <a:ext uri="{FF2B5EF4-FFF2-40B4-BE49-F238E27FC236}">
              <a16:creationId xmlns:a16="http://schemas.microsoft.com/office/drawing/2014/main" id="{1ED4EFDE-728C-45F7-A742-8171BF40FEC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01" name="Text Box 1">
          <a:extLst>
            <a:ext uri="{FF2B5EF4-FFF2-40B4-BE49-F238E27FC236}">
              <a16:creationId xmlns:a16="http://schemas.microsoft.com/office/drawing/2014/main" id="{75F1CD14-7C39-4673-9D9B-313299FB70A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02" name="Text Box 3">
          <a:extLst>
            <a:ext uri="{FF2B5EF4-FFF2-40B4-BE49-F238E27FC236}">
              <a16:creationId xmlns:a16="http://schemas.microsoft.com/office/drawing/2014/main" id="{91E70312-FCBA-4A7F-8444-F8AD2213F87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03" name="Text Box 1">
          <a:extLst>
            <a:ext uri="{FF2B5EF4-FFF2-40B4-BE49-F238E27FC236}">
              <a16:creationId xmlns:a16="http://schemas.microsoft.com/office/drawing/2014/main" id="{49602089-B26A-4F70-BFAD-2FF66362239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04" name="Text Box 1">
          <a:extLst>
            <a:ext uri="{FF2B5EF4-FFF2-40B4-BE49-F238E27FC236}">
              <a16:creationId xmlns:a16="http://schemas.microsoft.com/office/drawing/2014/main" id="{F3079412-DDCA-4F33-B720-5DC67FAF632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05" name="Text Box 3">
          <a:extLst>
            <a:ext uri="{FF2B5EF4-FFF2-40B4-BE49-F238E27FC236}">
              <a16:creationId xmlns:a16="http://schemas.microsoft.com/office/drawing/2014/main" id="{1EDE0DAE-FF6A-4D4F-AEBE-F8D928C2D1C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06" name="Text Box 1">
          <a:extLst>
            <a:ext uri="{FF2B5EF4-FFF2-40B4-BE49-F238E27FC236}">
              <a16:creationId xmlns:a16="http://schemas.microsoft.com/office/drawing/2014/main" id="{03DFB994-6430-4557-A49F-E4AF55C050F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07" name="Text Box 3">
          <a:extLst>
            <a:ext uri="{FF2B5EF4-FFF2-40B4-BE49-F238E27FC236}">
              <a16:creationId xmlns:a16="http://schemas.microsoft.com/office/drawing/2014/main" id="{FAD4ADB7-E84F-4129-9570-E4C06D7BF84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08" name="Text Box 1">
          <a:extLst>
            <a:ext uri="{FF2B5EF4-FFF2-40B4-BE49-F238E27FC236}">
              <a16:creationId xmlns:a16="http://schemas.microsoft.com/office/drawing/2014/main" id="{54286330-484F-46BA-8E9C-46D6C1049A7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09" name="Text Box 1">
          <a:extLst>
            <a:ext uri="{FF2B5EF4-FFF2-40B4-BE49-F238E27FC236}">
              <a16:creationId xmlns:a16="http://schemas.microsoft.com/office/drawing/2014/main" id="{309A0C72-26FD-4FEB-804E-637BB086F46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10" name="Text Box 3">
          <a:extLst>
            <a:ext uri="{FF2B5EF4-FFF2-40B4-BE49-F238E27FC236}">
              <a16:creationId xmlns:a16="http://schemas.microsoft.com/office/drawing/2014/main" id="{9EA2278D-A569-4DEB-B933-B05B02FF003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11" name="Text Box 1">
          <a:extLst>
            <a:ext uri="{FF2B5EF4-FFF2-40B4-BE49-F238E27FC236}">
              <a16:creationId xmlns:a16="http://schemas.microsoft.com/office/drawing/2014/main" id="{858CC8B1-3B4E-472B-92AE-3603E59EB92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12" name="Text Box 3">
          <a:extLst>
            <a:ext uri="{FF2B5EF4-FFF2-40B4-BE49-F238E27FC236}">
              <a16:creationId xmlns:a16="http://schemas.microsoft.com/office/drawing/2014/main" id="{11B2F704-C939-4921-80C5-B6B4B19A0CB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13" name="Text Box 1">
          <a:extLst>
            <a:ext uri="{FF2B5EF4-FFF2-40B4-BE49-F238E27FC236}">
              <a16:creationId xmlns:a16="http://schemas.microsoft.com/office/drawing/2014/main" id="{BE16508C-F099-4032-B903-02C66A6C8C3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14" name="Text Box 1">
          <a:extLst>
            <a:ext uri="{FF2B5EF4-FFF2-40B4-BE49-F238E27FC236}">
              <a16:creationId xmlns:a16="http://schemas.microsoft.com/office/drawing/2014/main" id="{EA0767CC-65B9-42DA-9192-81416B146F3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15" name="Text Box 3">
          <a:extLst>
            <a:ext uri="{FF2B5EF4-FFF2-40B4-BE49-F238E27FC236}">
              <a16:creationId xmlns:a16="http://schemas.microsoft.com/office/drawing/2014/main" id="{9C7EDEFF-0BA4-4311-AE97-34D05D7B9BD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16" name="Text Box 1">
          <a:extLst>
            <a:ext uri="{FF2B5EF4-FFF2-40B4-BE49-F238E27FC236}">
              <a16:creationId xmlns:a16="http://schemas.microsoft.com/office/drawing/2014/main" id="{D5080391-2D05-4978-A1EA-F69FB2C43EC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17" name="Text Box 3">
          <a:extLst>
            <a:ext uri="{FF2B5EF4-FFF2-40B4-BE49-F238E27FC236}">
              <a16:creationId xmlns:a16="http://schemas.microsoft.com/office/drawing/2014/main" id="{902EF160-8A46-4087-9123-3CD4C02A345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18" name="Text Box 1">
          <a:extLst>
            <a:ext uri="{FF2B5EF4-FFF2-40B4-BE49-F238E27FC236}">
              <a16:creationId xmlns:a16="http://schemas.microsoft.com/office/drawing/2014/main" id="{5FADD52B-2611-4F7F-8576-44AD409EE82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19" name="Text Box 1">
          <a:extLst>
            <a:ext uri="{FF2B5EF4-FFF2-40B4-BE49-F238E27FC236}">
              <a16:creationId xmlns:a16="http://schemas.microsoft.com/office/drawing/2014/main" id="{44FD5819-E9F1-4B85-BC60-96A859914E5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20" name="Text Box 3">
          <a:extLst>
            <a:ext uri="{FF2B5EF4-FFF2-40B4-BE49-F238E27FC236}">
              <a16:creationId xmlns:a16="http://schemas.microsoft.com/office/drawing/2014/main" id="{6C6284DE-2B6F-4E5F-9658-09C59A3EBEE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21" name="Text Box 1">
          <a:extLst>
            <a:ext uri="{FF2B5EF4-FFF2-40B4-BE49-F238E27FC236}">
              <a16:creationId xmlns:a16="http://schemas.microsoft.com/office/drawing/2014/main" id="{32033939-7EE5-426D-9CF8-10249D2E60B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22" name="Text Box 3">
          <a:extLst>
            <a:ext uri="{FF2B5EF4-FFF2-40B4-BE49-F238E27FC236}">
              <a16:creationId xmlns:a16="http://schemas.microsoft.com/office/drawing/2014/main" id="{D30A6DF7-515D-479C-8B0B-F21664D5B76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23" name="Text Box 1">
          <a:extLst>
            <a:ext uri="{FF2B5EF4-FFF2-40B4-BE49-F238E27FC236}">
              <a16:creationId xmlns:a16="http://schemas.microsoft.com/office/drawing/2014/main" id="{C67F2FF5-7646-4EA8-B807-D5E53717989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24" name="Text Box 1">
          <a:extLst>
            <a:ext uri="{FF2B5EF4-FFF2-40B4-BE49-F238E27FC236}">
              <a16:creationId xmlns:a16="http://schemas.microsoft.com/office/drawing/2014/main" id="{6B786D1F-BA8A-4779-83F7-2DD1B4B41A9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25" name="Text Box 3">
          <a:extLst>
            <a:ext uri="{FF2B5EF4-FFF2-40B4-BE49-F238E27FC236}">
              <a16:creationId xmlns:a16="http://schemas.microsoft.com/office/drawing/2014/main" id="{FF0B052F-26EA-49F9-8FEC-D0306C0FA32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26" name="Text Box 1">
          <a:extLst>
            <a:ext uri="{FF2B5EF4-FFF2-40B4-BE49-F238E27FC236}">
              <a16:creationId xmlns:a16="http://schemas.microsoft.com/office/drawing/2014/main" id="{207670D0-A887-4F0C-9F20-5F16622B3FA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27" name="Text Box 3">
          <a:extLst>
            <a:ext uri="{FF2B5EF4-FFF2-40B4-BE49-F238E27FC236}">
              <a16:creationId xmlns:a16="http://schemas.microsoft.com/office/drawing/2014/main" id="{B2F90344-CCC3-49C4-82C0-C8A9D601FB2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28" name="Text Box 1">
          <a:extLst>
            <a:ext uri="{FF2B5EF4-FFF2-40B4-BE49-F238E27FC236}">
              <a16:creationId xmlns:a16="http://schemas.microsoft.com/office/drawing/2014/main" id="{16A7CA79-3394-4B6D-A19C-A100736E8E9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29" name="Text Box 1">
          <a:extLst>
            <a:ext uri="{FF2B5EF4-FFF2-40B4-BE49-F238E27FC236}">
              <a16:creationId xmlns:a16="http://schemas.microsoft.com/office/drawing/2014/main" id="{9DB01666-8EB9-4274-AA17-135864B3534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30" name="Text Box 3">
          <a:extLst>
            <a:ext uri="{FF2B5EF4-FFF2-40B4-BE49-F238E27FC236}">
              <a16:creationId xmlns:a16="http://schemas.microsoft.com/office/drawing/2014/main" id="{E2C62B9F-1703-4FB8-989E-D287C0A6D86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31" name="Text Box 1">
          <a:extLst>
            <a:ext uri="{FF2B5EF4-FFF2-40B4-BE49-F238E27FC236}">
              <a16:creationId xmlns:a16="http://schemas.microsoft.com/office/drawing/2014/main" id="{3C322BED-D849-48B9-B991-739B4EC7D3C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32" name="Text Box 3">
          <a:extLst>
            <a:ext uri="{FF2B5EF4-FFF2-40B4-BE49-F238E27FC236}">
              <a16:creationId xmlns:a16="http://schemas.microsoft.com/office/drawing/2014/main" id="{278A6BDE-C3E4-4C59-AFA0-A4281B3A769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33" name="Text Box 1">
          <a:extLst>
            <a:ext uri="{FF2B5EF4-FFF2-40B4-BE49-F238E27FC236}">
              <a16:creationId xmlns:a16="http://schemas.microsoft.com/office/drawing/2014/main" id="{7C0ABDD6-A316-4319-8437-FA8D51ADAB2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34" name="Text Box 1">
          <a:extLst>
            <a:ext uri="{FF2B5EF4-FFF2-40B4-BE49-F238E27FC236}">
              <a16:creationId xmlns:a16="http://schemas.microsoft.com/office/drawing/2014/main" id="{7EB0FCC9-E90F-4448-BC5A-59A8B46F341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35" name="Text Box 3">
          <a:extLst>
            <a:ext uri="{FF2B5EF4-FFF2-40B4-BE49-F238E27FC236}">
              <a16:creationId xmlns:a16="http://schemas.microsoft.com/office/drawing/2014/main" id="{6C31BE0E-3AF6-48C1-B3AC-8FE699212D9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36" name="Text Box 1">
          <a:extLst>
            <a:ext uri="{FF2B5EF4-FFF2-40B4-BE49-F238E27FC236}">
              <a16:creationId xmlns:a16="http://schemas.microsoft.com/office/drawing/2014/main" id="{4ABD0F9F-A477-43EF-A90B-07DA61AEABE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37" name="Text Box 3">
          <a:extLst>
            <a:ext uri="{FF2B5EF4-FFF2-40B4-BE49-F238E27FC236}">
              <a16:creationId xmlns:a16="http://schemas.microsoft.com/office/drawing/2014/main" id="{2FA4ED1F-0F5A-47F6-A156-3D65B37809C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38" name="Text Box 1">
          <a:extLst>
            <a:ext uri="{FF2B5EF4-FFF2-40B4-BE49-F238E27FC236}">
              <a16:creationId xmlns:a16="http://schemas.microsoft.com/office/drawing/2014/main" id="{3E33D91C-F518-49DA-8E43-F2D33E083C3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39" name="Text Box 1">
          <a:extLst>
            <a:ext uri="{FF2B5EF4-FFF2-40B4-BE49-F238E27FC236}">
              <a16:creationId xmlns:a16="http://schemas.microsoft.com/office/drawing/2014/main" id="{4211736E-3B1C-4CF3-B350-FB2954B973C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40" name="Text Box 3">
          <a:extLst>
            <a:ext uri="{FF2B5EF4-FFF2-40B4-BE49-F238E27FC236}">
              <a16:creationId xmlns:a16="http://schemas.microsoft.com/office/drawing/2014/main" id="{7BA8CCBF-EEE1-48D6-9DB4-2FA8C6C1AB7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41" name="Text Box 1">
          <a:extLst>
            <a:ext uri="{FF2B5EF4-FFF2-40B4-BE49-F238E27FC236}">
              <a16:creationId xmlns:a16="http://schemas.microsoft.com/office/drawing/2014/main" id="{64E7ED75-3E48-4241-98CE-F19530F2C36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42" name="Text Box 3">
          <a:extLst>
            <a:ext uri="{FF2B5EF4-FFF2-40B4-BE49-F238E27FC236}">
              <a16:creationId xmlns:a16="http://schemas.microsoft.com/office/drawing/2014/main" id="{6785F800-2B27-4C83-9AB0-3631DD823FB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43" name="Text Box 1">
          <a:extLst>
            <a:ext uri="{FF2B5EF4-FFF2-40B4-BE49-F238E27FC236}">
              <a16:creationId xmlns:a16="http://schemas.microsoft.com/office/drawing/2014/main" id="{0E7EB22B-4C2E-4906-82EB-1CAE686EC04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44" name="Text Box 1">
          <a:extLst>
            <a:ext uri="{FF2B5EF4-FFF2-40B4-BE49-F238E27FC236}">
              <a16:creationId xmlns:a16="http://schemas.microsoft.com/office/drawing/2014/main" id="{B819244B-15B4-48DE-9354-6C79D858B82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45" name="Text Box 3">
          <a:extLst>
            <a:ext uri="{FF2B5EF4-FFF2-40B4-BE49-F238E27FC236}">
              <a16:creationId xmlns:a16="http://schemas.microsoft.com/office/drawing/2014/main" id="{AE11C0FA-A338-4A98-848E-6C76856E9C9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46" name="Text Box 1">
          <a:extLst>
            <a:ext uri="{FF2B5EF4-FFF2-40B4-BE49-F238E27FC236}">
              <a16:creationId xmlns:a16="http://schemas.microsoft.com/office/drawing/2014/main" id="{02070AAC-C322-4600-AEDA-6F0567C992A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47" name="Text Box 3">
          <a:extLst>
            <a:ext uri="{FF2B5EF4-FFF2-40B4-BE49-F238E27FC236}">
              <a16:creationId xmlns:a16="http://schemas.microsoft.com/office/drawing/2014/main" id="{01CF5A61-AD5F-4DAB-BF0D-A247F02C32D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48" name="Text Box 1">
          <a:extLst>
            <a:ext uri="{FF2B5EF4-FFF2-40B4-BE49-F238E27FC236}">
              <a16:creationId xmlns:a16="http://schemas.microsoft.com/office/drawing/2014/main" id="{0FFC6A14-ECB7-41B9-AC99-306F7A27E24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49" name="Text Box 1">
          <a:extLst>
            <a:ext uri="{FF2B5EF4-FFF2-40B4-BE49-F238E27FC236}">
              <a16:creationId xmlns:a16="http://schemas.microsoft.com/office/drawing/2014/main" id="{93CDB557-92F5-4E4A-A289-9696E3F4C38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50" name="Text Box 3">
          <a:extLst>
            <a:ext uri="{FF2B5EF4-FFF2-40B4-BE49-F238E27FC236}">
              <a16:creationId xmlns:a16="http://schemas.microsoft.com/office/drawing/2014/main" id="{54D42D78-C1AD-4D5D-98F1-043271B1755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51" name="Text Box 1">
          <a:extLst>
            <a:ext uri="{FF2B5EF4-FFF2-40B4-BE49-F238E27FC236}">
              <a16:creationId xmlns:a16="http://schemas.microsoft.com/office/drawing/2014/main" id="{F42F098C-B060-45FF-B028-87BB10D8652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52" name="Text Box 3">
          <a:extLst>
            <a:ext uri="{FF2B5EF4-FFF2-40B4-BE49-F238E27FC236}">
              <a16:creationId xmlns:a16="http://schemas.microsoft.com/office/drawing/2014/main" id="{22087F35-B148-4F9C-95A8-79277E5DEF1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53" name="Text Box 1">
          <a:extLst>
            <a:ext uri="{FF2B5EF4-FFF2-40B4-BE49-F238E27FC236}">
              <a16:creationId xmlns:a16="http://schemas.microsoft.com/office/drawing/2014/main" id="{C1BB4CAB-7AA0-436B-B127-B297B04FD77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54" name="Text Box 1">
          <a:extLst>
            <a:ext uri="{FF2B5EF4-FFF2-40B4-BE49-F238E27FC236}">
              <a16:creationId xmlns:a16="http://schemas.microsoft.com/office/drawing/2014/main" id="{E659BC0D-6198-441B-9892-06F8445170C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55" name="Text Box 3">
          <a:extLst>
            <a:ext uri="{FF2B5EF4-FFF2-40B4-BE49-F238E27FC236}">
              <a16:creationId xmlns:a16="http://schemas.microsoft.com/office/drawing/2014/main" id="{DF38C079-3C81-4BE7-AD18-F639C4966C2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56" name="Text Box 1">
          <a:extLst>
            <a:ext uri="{FF2B5EF4-FFF2-40B4-BE49-F238E27FC236}">
              <a16:creationId xmlns:a16="http://schemas.microsoft.com/office/drawing/2014/main" id="{9F9C17F6-ECE3-4737-A878-4AA8E863982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57" name="Text Box 3">
          <a:extLst>
            <a:ext uri="{FF2B5EF4-FFF2-40B4-BE49-F238E27FC236}">
              <a16:creationId xmlns:a16="http://schemas.microsoft.com/office/drawing/2014/main" id="{9669A8B7-3133-477A-BD04-DC88196AE94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58" name="Text Box 1">
          <a:extLst>
            <a:ext uri="{FF2B5EF4-FFF2-40B4-BE49-F238E27FC236}">
              <a16:creationId xmlns:a16="http://schemas.microsoft.com/office/drawing/2014/main" id="{5F86DCD3-2051-4F29-9CB6-EB1E4DBB6E3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59" name="Text Box 1">
          <a:extLst>
            <a:ext uri="{FF2B5EF4-FFF2-40B4-BE49-F238E27FC236}">
              <a16:creationId xmlns:a16="http://schemas.microsoft.com/office/drawing/2014/main" id="{63D0966B-B2D9-47DF-BE3B-F192EF84D20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60" name="Text Box 3">
          <a:extLst>
            <a:ext uri="{FF2B5EF4-FFF2-40B4-BE49-F238E27FC236}">
              <a16:creationId xmlns:a16="http://schemas.microsoft.com/office/drawing/2014/main" id="{03E583D4-9568-44CB-9E2E-496A2589044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61" name="Text Box 1">
          <a:extLst>
            <a:ext uri="{FF2B5EF4-FFF2-40B4-BE49-F238E27FC236}">
              <a16:creationId xmlns:a16="http://schemas.microsoft.com/office/drawing/2014/main" id="{BB17A1C4-369C-420E-AA02-544AB68EE79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62" name="Text Box 3">
          <a:extLst>
            <a:ext uri="{FF2B5EF4-FFF2-40B4-BE49-F238E27FC236}">
              <a16:creationId xmlns:a16="http://schemas.microsoft.com/office/drawing/2014/main" id="{4F66E8AF-8DCA-44C9-9878-C869E413028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63" name="Text Box 1">
          <a:extLst>
            <a:ext uri="{FF2B5EF4-FFF2-40B4-BE49-F238E27FC236}">
              <a16:creationId xmlns:a16="http://schemas.microsoft.com/office/drawing/2014/main" id="{D582219C-0695-4FFD-BD43-8DB6ADB22B2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64" name="Text Box 1">
          <a:extLst>
            <a:ext uri="{FF2B5EF4-FFF2-40B4-BE49-F238E27FC236}">
              <a16:creationId xmlns:a16="http://schemas.microsoft.com/office/drawing/2014/main" id="{50B1887B-45FC-4A37-90F9-EAAEC041C18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65" name="Text Box 3">
          <a:extLst>
            <a:ext uri="{FF2B5EF4-FFF2-40B4-BE49-F238E27FC236}">
              <a16:creationId xmlns:a16="http://schemas.microsoft.com/office/drawing/2014/main" id="{20965E19-8C89-4801-82D7-DBC93D368FE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66" name="Text Box 1">
          <a:extLst>
            <a:ext uri="{FF2B5EF4-FFF2-40B4-BE49-F238E27FC236}">
              <a16:creationId xmlns:a16="http://schemas.microsoft.com/office/drawing/2014/main" id="{FDAD4C6E-BF52-4A7C-9EF4-F37EC27F8AC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67" name="Text Box 3">
          <a:extLst>
            <a:ext uri="{FF2B5EF4-FFF2-40B4-BE49-F238E27FC236}">
              <a16:creationId xmlns:a16="http://schemas.microsoft.com/office/drawing/2014/main" id="{F8617D53-8EB3-4B80-89FF-A89914943B4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68" name="Text Box 1">
          <a:extLst>
            <a:ext uri="{FF2B5EF4-FFF2-40B4-BE49-F238E27FC236}">
              <a16:creationId xmlns:a16="http://schemas.microsoft.com/office/drawing/2014/main" id="{8A24C45E-EA4A-4837-BE05-97D2166D68A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69" name="Text Box 1">
          <a:extLst>
            <a:ext uri="{FF2B5EF4-FFF2-40B4-BE49-F238E27FC236}">
              <a16:creationId xmlns:a16="http://schemas.microsoft.com/office/drawing/2014/main" id="{53209A58-3985-4782-9E5F-ECFB0ADC1F5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70" name="Text Box 3">
          <a:extLst>
            <a:ext uri="{FF2B5EF4-FFF2-40B4-BE49-F238E27FC236}">
              <a16:creationId xmlns:a16="http://schemas.microsoft.com/office/drawing/2014/main" id="{E60737F4-D3F5-4981-88DC-A7466A0FECB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71" name="Text Box 1">
          <a:extLst>
            <a:ext uri="{FF2B5EF4-FFF2-40B4-BE49-F238E27FC236}">
              <a16:creationId xmlns:a16="http://schemas.microsoft.com/office/drawing/2014/main" id="{EE3F2608-9966-4BCC-AD1F-687C0E78AFF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72" name="Text Box 3">
          <a:extLst>
            <a:ext uri="{FF2B5EF4-FFF2-40B4-BE49-F238E27FC236}">
              <a16:creationId xmlns:a16="http://schemas.microsoft.com/office/drawing/2014/main" id="{13906D8B-28B2-4B2E-8EA9-B2C75AE8144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73" name="Text Box 1">
          <a:extLst>
            <a:ext uri="{FF2B5EF4-FFF2-40B4-BE49-F238E27FC236}">
              <a16:creationId xmlns:a16="http://schemas.microsoft.com/office/drawing/2014/main" id="{59753E83-6780-43C0-83F8-0BE9BB2C9AF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74" name="Text Box 1">
          <a:extLst>
            <a:ext uri="{FF2B5EF4-FFF2-40B4-BE49-F238E27FC236}">
              <a16:creationId xmlns:a16="http://schemas.microsoft.com/office/drawing/2014/main" id="{8CD787F9-B333-4C25-A622-DBDBDFD120C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75" name="Text Box 3">
          <a:extLst>
            <a:ext uri="{FF2B5EF4-FFF2-40B4-BE49-F238E27FC236}">
              <a16:creationId xmlns:a16="http://schemas.microsoft.com/office/drawing/2014/main" id="{9AF0FE9F-B043-49F3-95C1-ADE9EAB99EE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76" name="Text Box 1">
          <a:extLst>
            <a:ext uri="{FF2B5EF4-FFF2-40B4-BE49-F238E27FC236}">
              <a16:creationId xmlns:a16="http://schemas.microsoft.com/office/drawing/2014/main" id="{6B33F932-BB71-40AB-ACB7-A2E5DC17EF4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77" name="Text Box 3">
          <a:extLst>
            <a:ext uri="{FF2B5EF4-FFF2-40B4-BE49-F238E27FC236}">
              <a16:creationId xmlns:a16="http://schemas.microsoft.com/office/drawing/2014/main" id="{69716019-43C2-494D-82B9-AB0EE94CC93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78" name="Text Box 1">
          <a:extLst>
            <a:ext uri="{FF2B5EF4-FFF2-40B4-BE49-F238E27FC236}">
              <a16:creationId xmlns:a16="http://schemas.microsoft.com/office/drawing/2014/main" id="{19A9F9A4-248B-4868-A9F8-956705FFB07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79" name="Text Box 1">
          <a:extLst>
            <a:ext uri="{FF2B5EF4-FFF2-40B4-BE49-F238E27FC236}">
              <a16:creationId xmlns:a16="http://schemas.microsoft.com/office/drawing/2014/main" id="{FAFF3538-B0E6-4D4A-8DFE-42105B46CFD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80" name="Text Box 3">
          <a:extLst>
            <a:ext uri="{FF2B5EF4-FFF2-40B4-BE49-F238E27FC236}">
              <a16:creationId xmlns:a16="http://schemas.microsoft.com/office/drawing/2014/main" id="{603AD63C-892E-404E-9E0B-4FBDBF81C8B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81" name="Text Box 1">
          <a:extLst>
            <a:ext uri="{FF2B5EF4-FFF2-40B4-BE49-F238E27FC236}">
              <a16:creationId xmlns:a16="http://schemas.microsoft.com/office/drawing/2014/main" id="{6BD0A93C-A5BF-49A5-AD89-EC3879C9FEC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82" name="Text Box 3">
          <a:extLst>
            <a:ext uri="{FF2B5EF4-FFF2-40B4-BE49-F238E27FC236}">
              <a16:creationId xmlns:a16="http://schemas.microsoft.com/office/drawing/2014/main" id="{4699C159-6D99-4110-A73E-3C286080949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83" name="Text Box 1">
          <a:extLst>
            <a:ext uri="{FF2B5EF4-FFF2-40B4-BE49-F238E27FC236}">
              <a16:creationId xmlns:a16="http://schemas.microsoft.com/office/drawing/2014/main" id="{99C63FAA-4D7A-4855-B3BB-591931F6A69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84" name="Text Box 1">
          <a:extLst>
            <a:ext uri="{FF2B5EF4-FFF2-40B4-BE49-F238E27FC236}">
              <a16:creationId xmlns:a16="http://schemas.microsoft.com/office/drawing/2014/main" id="{BAE05A0A-19A7-40F7-AFE5-A0AFA706296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85" name="Text Box 3">
          <a:extLst>
            <a:ext uri="{FF2B5EF4-FFF2-40B4-BE49-F238E27FC236}">
              <a16:creationId xmlns:a16="http://schemas.microsoft.com/office/drawing/2014/main" id="{4C3FFD29-E109-4DAD-B43E-B7BEE5E5379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86" name="Text Box 1">
          <a:extLst>
            <a:ext uri="{FF2B5EF4-FFF2-40B4-BE49-F238E27FC236}">
              <a16:creationId xmlns:a16="http://schemas.microsoft.com/office/drawing/2014/main" id="{4D3B7FD8-415D-43CD-ADD6-909F5D8374C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87" name="Text Box 3">
          <a:extLst>
            <a:ext uri="{FF2B5EF4-FFF2-40B4-BE49-F238E27FC236}">
              <a16:creationId xmlns:a16="http://schemas.microsoft.com/office/drawing/2014/main" id="{61200DDC-584D-4F72-B569-3B4E91CCFF8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88" name="Text Box 1">
          <a:extLst>
            <a:ext uri="{FF2B5EF4-FFF2-40B4-BE49-F238E27FC236}">
              <a16:creationId xmlns:a16="http://schemas.microsoft.com/office/drawing/2014/main" id="{AE5447BE-E683-4643-9BDC-8EABF41C4CD7}"/>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89" name="Text Box 3">
          <a:extLst>
            <a:ext uri="{FF2B5EF4-FFF2-40B4-BE49-F238E27FC236}">
              <a16:creationId xmlns:a16="http://schemas.microsoft.com/office/drawing/2014/main" id="{9DB894BB-604A-4D95-A769-EE0E3887E10F}"/>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90" name="Text Box 1">
          <a:extLst>
            <a:ext uri="{FF2B5EF4-FFF2-40B4-BE49-F238E27FC236}">
              <a16:creationId xmlns:a16="http://schemas.microsoft.com/office/drawing/2014/main" id="{BBAB3B37-AD96-412D-8471-D654DA09916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91" name="Text Box 3">
          <a:extLst>
            <a:ext uri="{FF2B5EF4-FFF2-40B4-BE49-F238E27FC236}">
              <a16:creationId xmlns:a16="http://schemas.microsoft.com/office/drawing/2014/main" id="{565C3609-2F62-4DDA-B037-F623DF71F5EC}"/>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92" name="Text Box 1">
          <a:extLst>
            <a:ext uri="{FF2B5EF4-FFF2-40B4-BE49-F238E27FC236}">
              <a16:creationId xmlns:a16="http://schemas.microsoft.com/office/drawing/2014/main" id="{1E88AE41-51DF-4AB5-BAAF-194F1F4FEA48}"/>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93" name="Text Box 1">
          <a:extLst>
            <a:ext uri="{FF2B5EF4-FFF2-40B4-BE49-F238E27FC236}">
              <a16:creationId xmlns:a16="http://schemas.microsoft.com/office/drawing/2014/main" id="{D974DDD0-5015-47D2-92B4-C90A447866B8}"/>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94" name="Text Box 3">
          <a:extLst>
            <a:ext uri="{FF2B5EF4-FFF2-40B4-BE49-F238E27FC236}">
              <a16:creationId xmlns:a16="http://schemas.microsoft.com/office/drawing/2014/main" id="{B4B5F3B5-E471-47C0-9DF7-F7E5DD03B3E9}"/>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95" name="Text Box 1">
          <a:extLst>
            <a:ext uri="{FF2B5EF4-FFF2-40B4-BE49-F238E27FC236}">
              <a16:creationId xmlns:a16="http://schemas.microsoft.com/office/drawing/2014/main" id="{28C7B37D-9433-4E01-8856-AC5FF3761956}"/>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96" name="Text Box 3">
          <a:extLst>
            <a:ext uri="{FF2B5EF4-FFF2-40B4-BE49-F238E27FC236}">
              <a16:creationId xmlns:a16="http://schemas.microsoft.com/office/drawing/2014/main" id="{77EF91BD-BF42-437F-9FBD-07D4FCDE91DF}"/>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97" name="Text Box 1">
          <a:extLst>
            <a:ext uri="{FF2B5EF4-FFF2-40B4-BE49-F238E27FC236}">
              <a16:creationId xmlns:a16="http://schemas.microsoft.com/office/drawing/2014/main" id="{B00F1859-41B2-4081-B070-AB71F3F0628B}"/>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98" name="Text Box 1">
          <a:extLst>
            <a:ext uri="{FF2B5EF4-FFF2-40B4-BE49-F238E27FC236}">
              <a16:creationId xmlns:a16="http://schemas.microsoft.com/office/drawing/2014/main" id="{86215C32-CB1B-4CBD-8767-15567CA56DC0}"/>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99" name="Text Box 3">
          <a:extLst>
            <a:ext uri="{FF2B5EF4-FFF2-40B4-BE49-F238E27FC236}">
              <a16:creationId xmlns:a16="http://schemas.microsoft.com/office/drawing/2014/main" id="{ED7B8344-D10E-4673-91AF-514C2FD28762}"/>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00" name="Text Box 1">
          <a:extLst>
            <a:ext uri="{FF2B5EF4-FFF2-40B4-BE49-F238E27FC236}">
              <a16:creationId xmlns:a16="http://schemas.microsoft.com/office/drawing/2014/main" id="{FD905CDF-7778-4974-8132-37D76626F8EA}"/>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01" name="Text Box 1">
          <a:extLst>
            <a:ext uri="{FF2B5EF4-FFF2-40B4-BE49-F238E27FC236}">
              <a16:creationId xmlns:a16="http://schemas.microsoft.com/office/drawing/2014/main" id="{9E444A65-95A7-4510-80DD-5EF9589DF4B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02" name="Text Box 3">
          <a:extLst>
            <a:ext uri="{FF2B5EF4-FFF2-40B4-BE49-F238E27FC236}">
              <a16:creationId xmlns:a16="http://schemas.microsoft.com/office/drawing/2014/main" id="{64ADDCFD-E9FC-4A40-94FE-4A30D7C1BC87}"/>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03" name="Text Box 1">
          <a:extLst>
            <a:ext uri="{FF2B5EF4-FFF2-40B4-BE49-F238E27FC236}">
              <a16:creationId xmlns:a16="http://schemas.microsoft.com/office/drawing/2014/main" id="{5A8750E9-CE64-48E5-BA96-937F01C0B674}"/>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04" name="Text Box 3">
          <a:extLst>
            <a:ext uri="{FF2B5EF4-FFF2-40B4-BE49-F238E27FC236}">
              <a16:creationId xmlns:a16="http://schemas.microsoft.com/office/drawing/2014/main" id="{1F3C852F-74FA-41AB-8FFF-119E1BAAF752}"/>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05" name="Text Box 1">
          <a:extLst>
            <a:ext uri="{FF2B5EF4-FFF2-40B4-BE49-F238E27FC236}">
              <a16:creationId xmlns:a16="http://schemas.microsoft.com/office/drawing/2014/main" id="{8362FBB9-1541-48E8-8D1D-8BF88F5361C3}"/>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06" name="Text Box 1">
          <a:extLst>
            <a:ext uri="{FF2B5EF4-FFF2-40B4-BE49-F238E27FC236}">
              <a16:creationId xmlns:a16="http://schemas.microsoft.com/office/drawing/2014/main" id="{21B198DC-EF4A-401A-8950-A258571AED44}"/>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07" name="Text Box 3">
          <a:extLst>
            <a:ext uri="{FF2B5EF4-FFF2-40B4-BE49-F238E27FC236}">
              <a16:creationId xmlns:a16="http://schemas.microsoft.com/office/drawing/2014/main" id="{FBDCF37A-BF32-4CBD-BCD0-64B10F70DB4E}"/>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08" name="Text Box 1">
          <a:extLst>
            <a:ext uri="{FF2B5EF4-FFF2-40B4-BE49-F238E27FC236}">
              <a16:creationId xmlns:a16="http://schemas.microsoft.com/office/drawing/2014/main" id="{6FBB1311-CB3E-4E4F-B26E-45CA3BDCF7A3}"/>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09" name="Text Box 3">
          <a:extLst>
            <a:ext uri="{FF2B5EF4-FFF2-40B4-BE49-F238E27FC236}">
              <a16:creationId xmlns:a16="http://schemas.microsoft.com/office/drawing/2014/main" id="{B372706B-30B5-4144-BAC5-9156D58E936A}"/>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10" name="Text Box 1">
          <a:extLst>
            <a:ext uri="{FF2B5EF4-FFF2-40B4-BE49-F238E27FC236}">
              <a16:creationId xmlns:a16="http://schemas.microsoft.com/office/drawing/2014/main" id="{2020C581-3E4A-4299-8018-5C6481C5192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11" name="Text Box 1">
          <a:extLst>
            <a:ext uri="{FF2B5EF4-FFF2-40B4-BE49-F238E27FC236}">
              <a16:creationId xmlns:a16="http://schemas.microsoft.com/office/drawing/2014/main" id="{B21C5689-07D4-47D2-8848-2C7A55266A97}"/>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12" name="Text Box 3">
          <a:extLst>
            <a:ext uri="{FF2B5EF4-FFF2-40B4-BE49-F238E27FC236}">
              <a16:creationId xmlns:a16="http://schemas.microsoft.com/office/drawing/2014/main" id="{055E1E1D-0671-4448-A70D-546701FD14C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13" name="Text Box 3">
          <a:extLst>
            <a:ext uri="{FF2B5EF4-FFF2-40B4-BE49-F238E27FC236}">
              <a16:creationId xmlns:a16="http://schemas.microsoft.com/office/drawing/2014/main" id="{96A3C145-167E-458C-8878-AF49D767EB7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14" name="Text Box 1">
          <a:extLst>
            <a:ext uri="{FF2B5EF4-FFF2-40B4-BE49-F238E27FC236}">
              <a16:creationId xmlns:a16="http://schemas.microsoft.com/office/drawing/2014/main" id="{16F2C5DD-068B-4F45-84AE-33ADFA53667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15" name="Text Box 3">
          <a:extLst>
            <a:ext uri="{FF2B5EF4-FFF2-40B4-BE49-F238E27FC236}">
              <a16:creationId xmlns:a16="http://schemas.microsoft.com/office/drawing/2014/main" id="{D0D5D169-96E0-427F-8E32-2F03DEFB274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16" name="Text Box 1">
          <a:extLst>
            <a:ext uri="{FF2B5EF4-FFF2-40B4-BE49-F238E27FC236}">
              <a16:creationId xmlns:a16="http://schemas.microsoft.com/office/drawing/2014/main" id="{FC8255F2-B98B-4DE7-A7D7-BB0B833A9C0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17" name="Text Box 1">
          <a:extLst>
            <a:ext uri="{FF2B5EF4-FFF2-40B4-BE49-F238E27FC236}">
              <a16:creationId xmlns:a16="http://schemas.microsoft.com/office/drawing/2014/main" id="{7944D99E-5638-4C0C-BA80-94AB5F5E975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18" name="Text Box 3">
          <a:extLst>
            <a:ext uri="{FF2B5EF4-FFF2-40B4-BE49-F238E27FC236}">
              <a16:creationId xmlns:a16="http://schemas.microsoft.com/office/drawing/2014/main" id="{0EE73CFB-9DC0-477F-A00F-88B6A9D30D0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19" name="Text Box 1">
          <a:extLst>
            <a:ext uri="{FF2B5EF4-FFF2-40B4-BE49-F238E27FC236}">
              <a16:creationId xmlns:a16="http://schemas.microsoft.com/office/drawing/2014/main" id="{D016C03F-3012-4499-B0AE-7F9F35550D4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20" name="Text Box 3">
          <a:extLst>
            <a:ext uri="{FF2B5EF4-FFF2-40B4-BE49-F238E27FC236}">
              <a16:creationId xmlns:a16="http://schemas.microsoft.com/office/drawing/2014/main" id="{CD101C52-9D44-49BE-9B83-6415BD5E519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21" name="Text Box 1">
          <a:extLst>
            <a:ext uri="{FF2B5EF4-FFF2-40B4-BE49-F238E27FC236}">
              <a16:creationId xmlns:a16="http://schemas.microsoft.com/office/drawing/2014/main" id="{A0476EEE-722E-4EA6-A11C-A4CD7F68106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22" name="Text Box 1">
          <a:extLst>
            <a:ext uri="{FF2B5EF4-FFF2-40B4-BE49-F238E27FC236}">
              <a16:creationId xmlns:a16="http://schemas.microsoft.com/office/drawing/2014/main" id="{9DFCE76F-047D-4349-9E64-12493E082EE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23" name="Text Box 3">
          <a:extLst>
            <a:ext uri="{FF2B5EF4-FFF2-40B4-BE49-F238E27FC236}">
              <a16:creationId xmlns:a16="http://schemas.microsoft.com/office/drawing/2014/main" id="{37C87B67-532D-4B10-AD12-AFB3EBE3A88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24" name="Text Box 1">
          <a:extLst>
            <a:ext uri="{FF2B5EF4-FFF2-40B4-BE49-F238E27FC236}">
              <a16:creationId xmlns:a16="http://schemas.microsoft.com/office/drawing/2014/main" id="{9CC15E8D-FA2A-4FB8-9547-67FC5C734AB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25" name="Text Box 1">
          <a:extLst>
            <a:ext uri="{FF2B5EF4-FFF2-40B4-BE49-F238E27FC236}">
              <a16:creationId xmlns:a16="http://schemas.microsoft.com/office/drawing/2014/main" id="{E642781E-3986-4F71-AE20-1055A63D8DA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26" name="Text Box 3">
          <a:extLst>
            <a:ext uri="{FF2B5EF4-FFF2-40B4-BE49-F238E27FC236}">
              <a16:creationId xmlns:a16="http://schemas.microsoft.com/office/drawing/2014/main" id="{E0D6BB27-4427-4BBE-82B2-2A1FD1901A8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27" name="Text Box 1">
          <a:extLst>
            <a:ext uri="{FF2B5EF4-FFF2-40B4-BE49-F238E27FC236}">
              <a16:creationId xmlns:a16="http://schemas.microsoft.com/office/drawing/2014/main" id="{921BEB4C-BBE4-44CE-9010-6B4A997B825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28" name="Text Box 3">
          <a:extLst>
            <a:ext uri="{FF2B5EF4-FFF2-40B4-BE49-F238E27FC236}">
              <a16:creationId xmlns:a16="http://schemas.microsoft.com/office/drawing/2014/main" id="{686EE398-25FB-4B1A-9EC8-4C853A1F169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29" name="Text Box 1">
          <a:extLst>
            <a:ext uri="{FF2B5EF4-FFF2-40B4-BE49-F238E27FC236}">
              <a16:creationId xmlns:a16="http://schemas.microsoft.com/office/drawing/2014/main" id="{61D7CF34-A447-4446-A005-F20C3020984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30" name="Text Box 3">
          <a:extLst>
            <a:ext uri="{FF2B5EF4-FFF2-40B4-BE49-F238E27FC236}">
              <a16:creationId xmlns:a16="http://schemas.microsoft.com/office/drawing/2014/main" id="{81753EB0-24DA-4803-B8CA-1257FD66BC8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31" name="Text Box 1">
          <a:extLst>
            <a:ext uri="{FF2B5EF4-FFF2-40B4-BE49-F238E27FC236}">
              <a16:creationId xmlns:a16="http://schemas.microsoft.com/office/drawing/2014/main" id="{3691DA12-680B-46F5-A8E8-96FD09C084D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32" name="Text Box 3">
          <a:extLst>
            <a:ext uri="{FF2B5EF4-FFF2-40B4-BE49-F238E27FC236}">
              <a16:creationId xmlns:a16="http://schemas.microsoft.com/office/drawing/2014/main" id="{01219D5E-27F2-4D90-9E62-6D6D6660E91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33" name="Text Box 1">
          <a:extLst>
            <a:ext uri="{FF2B5EF4-FFF2-40B4-BE49-F238E27FC236}">
              <a16:creationId xmlns:a16="http://schemas.microsoft.com/office/drawing/2014/main" id="{34D48105-4D29-413D-8670-6DD1B679E3E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34" name="Text Box 1">
          <a:extLst>
            <a:ext uri="{FF2B5EF4-FFF2-40B4-BE49-F238E27FC236}">
              <a16:creationId xmlns:a16="http://schemas.microsoft.com/office/drawing/2014/main" id="{12428406-A695-4602-8705-BA39A3DE71A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35" name="Text Box 3">
          <a:extLst>
            <a:ext uri="{FF2B5EF4-FFF2-40B4-BE49-F238E27FC236}">
              <a16:creationId xmlns:a16="http://schemas.microsoft.com/office/drawing/2014/main" id="{CD15D784-4C38-46B8-99A4-03911CFDF6E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36" name="Text Box 1">
          <a:extLst>
            <a:ext uri="{FF2B5EF4-FFF2-40B4-BE49-F238E27FC236}">
              <a16:creationId xmlns:a16="http://schemas.microsoft.com/office/drawing/2014/main" id="{6660CC2E-70F7-431C-A446-5A33299C039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37" name="Text Box 1">
          <a:extLst>
            <a:ext uri="{FF2B5EF4-FFF2-40B4-BE49-F238E27FC236}">
              <a16:creationId xmlns:a16="http://schemas.microsoft.com/office/drawing/2014/main" id="{E4A37739-A2D4-449C-AB8B-1DA7B69FBC7B}"/>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38" name="Text Box 1">
          <a:extLst>
            <a:ext uri="{FF2B5EF4-FFF2-40B4-BE49-F238E27FC236}">
              <a16:creationId xmlns:a16="http://schemas.microsoft.com/office/drawing/2014/main" id="{0B48CCA8-C5DF-44D0-8A86-AA77C8EE4AA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39" name="Text Box 3">
          <a:extLst>
            <a:ext uri="{FF2B5EF4-FFF2-40B4-BE49-F238E27FC236}">
              <a16:creationId xmlns:a16="http://schemas.microsoft.com/office/drawing/2014/main" id="{03796352-2548-41AC-BA64-8DC91A390A2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40" name="Text Box 1">
          <a:extLst>
            <a:ext uri="{FF2B5EF4-FFF2-40B4-BE49-F238E27FC236}">
              <a16:creationId xmlns:a16="http://schemas.microsoft.com/office/drawing/2014/main" id="{BBD7F761-2C6D-40E9-BF5E-124BF3A32C5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41" name="Text Box 3">
          <a:extLst>
            <a:ext uri="{FF2B5EF4-FFF2-40B4-BE49-F238E27FC236}">
              <a16:creationId xmlns:a16="http://schemas.microsoft.com/office/drawing/2014/main" id="{7F377B36-5AB6-441C-88B1-C9AE1D8AE4C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42" name="Text Box 1">
          <a:extLst>
            <a:ext uri="{FF2B5EF4-FFF2-40B4-BE49-F238E27FC236}">
              <a16:creationId xmlns:a16="http://schemas.microsoft.com/office/drawing/2014/main" id="{9F16016A-1ECB-4989-A17B-7787E0DE8E8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43" name="Text Box 1">
          <a:extLst>
            <a:ext uri="{FF2B5EF4-FFF2-40B4-BE49-F238E27FC236}">
              <a16:creationId xmlns:a16="http://schemas.microsoft.com/office/drawing/2014/main" id="{78DA4D9A-09E5-4ACE-9B2C-15F7A72EC3A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44" name="Text Box 3">
          <a:extLst>
            <a:ext uri="{FF2B5EF4-FFF2-40B4-BE49-F238E27FC236}">
              <a16:creationId xmlns:a16="http://schemas.microsoft.com/office/drawing/2014/main" id="{A3336178-A347-4A6C-873E-F43F888C64D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45" name="Text Box 1">
          <a:extLst>
            <a:ext uri="{FF2B5EF4-FFF2-40B4-BE49-F238E27FC236}">
              <a16:creationId xmlns:a16="http://schemas.microsoft.com/office/drawing/2014/main" id="{62ACEF52-655F-4E75-B7EF-E27C9DFEEA7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46" name="Text Box 3">
          <a:extLst>
            <a:ext uri="{FF2B5EF4-FFF2-40B4-BE49-F238E27FC236}">
              <a16:creationId xmlns:a16="http://schemas.microsoft.com/office/drawing/2014/main" id="{01FADAD9-00B1-4D51-9608-E5287B526AF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47" name="Text Box 1">
          <a:extLst>
            <a:ext uri="{FF2B5EF4-FFF2-40B4-BE49-F238E27FC236}">
              <a16:creationId xmlns:a16="http://schemas.microsoft.com/office/drawing/2014/main" id="{6A7A79E2-CE8C-4CC2-A5AE-F5F8CAEB18F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48" name="Text Box 1">
          <a:extLst>
            <a:ext uri="{FF2B5EF4-FFF2-40B4-BE49-F238E27FC236}">
              <a16:creationId xmlns:a16="http://schemas.microsoft.com/office/drawing/2014/main" id="{3A0A57EF-4D33-4A23-A3FD-6EC65ABD067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49" name="Text Box 3">
          <a:extLst>
            <a:ext uri="{FF2B5EF4-FFF2-40B4-BE49-F238E27FC236}">
              <a16:creationId xmlns:a16="http://schemas.microsoft.com/office/drawing/2014/main" id="{F7BF1DAB-283C-4FB6-BE9C-F6D734EA0EF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50" name="Text Box 1">
          <a:extLst>
            <a:ext uri="{FF2B5EF4-FFF2-40B4-BE49-F238E27FC236}">
              <a16:creationId xmlns:a16="http://schemas.microsoft.com/office/drawing/2014/main" id="{DA7DB791-8629-4682-8F86-D7B163B9B68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51" name="Text Box 3">
          <a:extLst>
            <a:ext uri="{FF2B5EF4-FFF2-40B4-BE49-F238E27FC236}">
              <a16:creationId xmlns:a16="http://schemas.microsoft.com/office/drawing/2014/main" id="{E76F85DC-AF56-475A-AAE0-C65590AE64D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52" name="Text Box 1">
          <a:extLst>
            <a:ext uri="{FF2B5EF4-FFF2-40B4-BE49-F238E27FC236}">
              <a16:creationId xmlns:a16="http://schemas.microsoft.com/office/drawing/2014/main" id="{885CAE62-DC3D-4EA8-9949-F3F7736663D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53" name="Text Box 1">
          <a:extLst>
            <a:ext uri="{FF2B5EF4-FFF2-40B4-BE49-F238E27FC236}">
              <a16:creationId xmlns:a16="http://schemas.microsoft.com/office/drawing/2014/main" id="{61258BE3-E806-4960-8592-7E9D9A8FA40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54" name="Text Box 3">
          <a:extLst>
            <a:ext uri="{FF2B5EF4-FFF2-40B4-BE49-F238E27FC236}">
              <a16:creationId xmlns:a16="http://schemas.microsoft.com/office/drawing/2014/main" id="{6BBC2CEB-986D-4674-AED4-D1CF4A87BD0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55" name="Text Box 1">
          <a:extLst>
            <a:ext uri="{FF2B5EF4-FFF2-40B4-BE49-F238E27FC236}">
              <a16:creationId xmlns:a16="http://schemas.microsoft.com/office/drawing/2014/main" id="{72E74015-EA15-44D1-B6DB-A2ABBDA739C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56" name="Text Box 3">
          <a:extLst>
            <a:ext uri="{FF2B5EF4-FFF2-40B4-BE49-F238E27FC236}">
              <a16:creationId xmlns:a16="http://schemas.microsoft.com/office/drawing/2014/main" id="{98B7DAF4-90A7-47A5-8403-26C78E8A212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57" name="Text Box 1">
          <a:extLst>
            <a:ext uri="{FF2B5EF4-FFF2-40B4-BE49-F238E27FC236}">
              <a16:creationId xmlns:a16="http://schemas.microsoft.com/office/drawing/2014/main" id="{5CC58657-09BA-48BE-BC55-20B486EF57E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58" name="Text Box 1">
          <a:extLst>
            <a:ext uri="{FF2B5EF4-FFF2-40B4-BE49-F238E27FC236}">
              <a16:creationId xmlns:a16="http://schemas.microsoft.com/office/drawing/2014/main" id="{8A2E9A41-93D9-4C19-88B3-F7E29782D38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59" name="Text Box 3">
          <a:extLst>
            <a:ext uri="{FF2B5EF4-FFF2-40B4-BE49-F238E27FC236}">
              <a16:creationId xmlns:a16="http://schemas.microsoft.com/office/drawing/2014/main" id="{2FECE51B-D0BE-4E91-A773-C962C437ACF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60" name="Text Box 1">
          <a:extLst>
            <a:ext uri="{FF2B5EF4-FFF2-40B4-BE49-F238E27FC236}">
              <a16:creationId xmlns:a16="http://schemas.microsoft.com/office/drawing/2014/main" id="{B7B823F4-E3AB-4533-AD48-699D24921F7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61" name="Text Box 3">
          <a:extLst>
            <a:ext uri="{FF2B5EF4-FFF2-40B4-BE49-F238E27FC236}">
              <a16:creationId xmlns:a16="http://schemas.microsoft.com/office/drawing/2014/main" id="{3E209BF0-41C8-4BA8-9211-54929A1154E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62" name="Text Box 1">
          <a:extLst>
            <a:ext uri="{FF2B5EF4-FFF2-40B4-BE49-F238E27FC236}">
              <a16:creationId xmlns:a16="http://schemas.microsoft.com/office/drawing/2014/main" id="{AF6BE68C-1D7A-4C43-8F8B-D5BB516F467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63" name="Text Box 1">
          <a:extLst>
            <a:ext uri="{FF2B5EF4-FFF2-40B4-BE49-F238E27FC236}">
              <a16:creationId xmlns:a16="http://schemas.microsoft.com/office/drawing/2014/main" id="{8C9AC70A-4E3D-4BD1-B0D5-20FFDEF08C8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64" name="Text Box 3">
          <a:extLst>
            <a:ext uri="{FF2B5EF4-FFF2-40B4-BE49-F238E27FC236}">
              <a16:creationId xmlns:a16="http://schemas.microsoft.com/office/drawing/2014/main" id="{317E3783-E7D7-4DD3-AEF7-3398749BE3C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65" name="Text Box 1">
          <a:extLst>
            <a:ext uri="{FF2B5EF4-FFF2-40B4-BE49-F238E27FC236}">
              <a16:creationId xmlns:a16="http://schemas.microsoft.com/office/drawing/2014/main" id="{3B8BAB19-749B-42A7-84EE-80C04A5F98E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66" name="Text Box 3">
          <a:extLst>
            <a:ext uri="{FF2B5EF4-FFF2-40B4-BE49-F238E27FC236}">
              <a16:creationId xmlns:a16="http://schemas.microsoft.com/office/drawing/2014/main" id="{988C1F05-5EDC-42A6-B6C0-42596E1B059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67" name="Text Box 1">
          <a:extLst>
            <a:ext uri="{FF2B5EF4-FFF2-40B4-BE49-F238E27FC236}">
              <a16:creationId xmlns:a16="http://schemas.microsoft.com/office/drawing/2014/main" id="{D258A8B8-E80D-41F7-A7B6-653AD34584B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68" name="Text Box 1">
          <a:extLst>
            <a:ext uri="{FF2B5EF4-FFF2-40B4-BE49-F238E27FC236}">
              <a16:creationId xmlns:a16="http://schemas.microsoft.com/office/drawing/2014/main" id="{20A7F2AA-8151-4B34-8BBD-E0A49898F3A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69" name="Text Box 3">
          <a:extLst>
            <a:ext uri="{FF2B5EF4-FFF2-40B4-BE49-F238E27FC236}">
              <a16:creationId xmlns:a16="http://schemas.microsoft.com/office/drawing/2014/main" id="{59A56FFC-1834-4E8D-A443-DEA36429683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70" name="Text Box 1">
          <a:extLst>
            <a:ext uri="{FF2B5EF4-FFF2-40B4-BE49-F238E27FC236}">
              <a16:creationId xmlns:a16="http://schemas.microsoft.com/office/drawing/2014/main" id="{8E7461F5-BA0B-4C77-9213-CDD8F56C728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71" name="Text Box 3">
          <a:extLst>
            <a:ext uri="{FF2B5EF4-FFF2-40B4-BE49-F238E27FC236}">
              <a16:creationId xmlns:a16="http://schemas.microsoft.com/office/drawing/2014/main" id="{2FB3089A-5296-4D49-9DB3-2275DCD9E2F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72" name="Text Box 1">
          <a:extLst>
            <a:ext uri="{FF2B5EF4-FFF2-40B4-BE49-F238E27FC236}">
              <a16:creationId xmlns:a16="http://schemas.microsoft.com/office/drawing/2014/main" id="{CB3A0A84-B51F-4021-A003-05AD8671BB1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73" name="Text Box 1">
          <a:extLst>
            <a:ext uri="{FF2B5EF4-FFF2-40B4-BE49-F238E27FC236}">
              <a16:creationId xmlns:a16="http://schemas.microsoft.com/office/drawing/2014/main" id="{0583736E-6C7B-4560-B975-24166277BF7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74" name="Text Box 3">
          <a:extLst>
            <a:ext uri="{FF2B5EF4-FFF2-40B4-BE49-F238E27FC236}">
              <a16:creationId xmlns:a16="http://schemas.microsoft.com/office/drawing/2014/main" id="{A13CA37D-3816-49AA-9761-2F8FEDEFE78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75" name="Text Box 1">
          <a:extLst>
            <a:ext uri="{FF2B5EF4-FFF2-40B4-BE49-F238E27FC236}">
              <a16:creationId xmlns:a16="http://schemas.microsoft.com/office/drawing/2014/main" id="{87CE0E4E-B3F2-497B-BBDA-64C26857B86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76" name="Text Box 3">
          <a:extLst>
            <a:ext uri="{FF2B5EF4-FFF2-40B4-BE49-F238E27FC236}">
              <a16:creationId xmlns:a16="http://schemas.microsoft.com/office/drawing/2014/main" id="{997F985B-77CE-437E-AE93-6B069674C20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77" name="Text Box 1">
          <a:extLst>
            <a:ext uri="{FF2B5EF4-FFF2-40B4-BE49-F238E27FC236}">
              <a16:creationId xmlns:a16="http://schemas.microsoft.com/office/drawing/2014/main" id="{79104804-1E5F-404A-B571-B53774FE04C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78" name="Text Box 1">
          <a:extLst>
            <a:ext uri="{FF2B5EF4-FFF2-40B4-BE49-F238E27FC236}">
              <a16:creationId xmlns:a16="http://schemas.microsoft.com/office/drawing/2014/main" id="{F591E2CB-6624-4AA6-B1CE-F54F04943E0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79" name="Text Box 3">
          <a:extLst>
            <a:ext uri="{FF2B5EF4-FFF2-40B4-BE49-F238E27FC236}">
              <a16:creationId xmlns:a16="http://schemas.microsoft.com/office/drawing/2014/main" id="{3D78C20C-B408-4095-9024-401DD1DA113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80" name="Text Box 1">
          <a:extLst>
            <a:ext uri="{FF2B5EF4-FFF2-40B4-BE49-F238E27FC236}">
              <a16:creationId xmlns:a16="http://schemas.microsoft.com/office/drawing/2014/main" id="{9F857337-C321-4CDF-ABE9-4E320DD3BA9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81" name="Text Box 3">
          <a:extLst>
            <a:ext uri="{FF2B5EF4-FFF2-40B4-BE49-F238E27FC236}">
              <a16:creationId xmlns:a16="http://schemas.microsoft.com/office/drawing/2014/main" id="{D794CF2F-DFA3-477B-B2A0-B7DC85F27C3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82" name="Text Box 1">
          <a:extLst>
            <a:ext uri="{FF2B5EF4-FFF2-40B4-BE49-F238E27FC236}">
              <a16:creationId xmlns:a16="http://schemas.microsoft.com/office/drawing/2014/main" id="{9CF6ABAA-DA90-4AF0-81CA-65D76572CE5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83" name="Text Box 1">
          <a:extLst>
            <a:ext uri="{FF2B5EF4-FFF2-40B4-BE49-F238E27FC236}">
              <a16:creationId xmlns:a16="http://schemas.microsoft.com/office/drawing/2014/main" id="{49EE09AA-F792-4E61-B3C0-5DB54E4B6F4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84" name="Text Box 3">
          <a:extLst>
            <a:ext uri="{FF2B5EF4-FFF2-40B4-BE49-F238E27FC236}">
              <a16:creationId xmlns:a16="http://schemas.microsoft.com/office/drawing/2014/main" id="{73B4AEA9-E03D-4EF2-9780-9047DC9456E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85" name="Text Box 1">
          <a:extLst>
            <a:ext uri="{FF2B5EF4-FFF2-40B4-BE49-F238E27FC236}">
              <a16:creationId xmlns:a16="http://schemas.microsoft.com/office/drawing/2014/main" id="{48B50E57-1A8B-434D-BBA0-EE1C1DDD0E6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86" name="Text Box 3">
          <a:extLst>
            <a:ext uri="{FF2B5EF4-FFF2-40B4-BE49-F238E27FC236}">
              <a16:creationId xmlns:a16="http://schemas.microsoft.com/office/drawing/2014/main" id="{BBAECACA-5461-4343-8A58-6770793ECC5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87" name="Text Box 1">
          <a:extLst>
            <a:ext uri="{FF2B5EF4-FFF2-40B4-BE49-F238E27FC236}">
              <a16:creationId xmlns:a16="http://schemas.microsoft.com/office/drawing/2014/main" id="{9CD11355-B781-4247-BB23-2CD68B053E6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88" name="Text Box 1">
          <a:extLst>
            <a:ext uri="{FF2B5EF4-FFF2-40B4-BE49-F238E27FC236}">
              <a16:creationId xmlns:a16="http://schemas.microsoft.com/office/drawing/2014/main" id="{173F6456-32DA-45A5-BBE8-E2940B8B5B1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89" name="Text Box 3">
          <a:extLst>
            <a:ext uri="{FF2B5EF4-FFF2-40B4-BE49-F238E27FC236}">
              <a16:creationId xmlns:a16="http://schemas.microsoft.com/office/drawing/2014/main" id="{DF00A473-AD76-4AA6-9631-30831B23D5C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90" name="Text Box 1">
          <a:extLst>
            <a:ext uri="{FF2B5EF4-FFF2-40B4-BE49-F238E27FC236}">
              <a16:creationId xmlns:a16="http://schemas.microsoft.com/office/drawing/2014/main" id="{605E3728-EDED-4A04-A168-EA65FEF67B6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91" name="Text Box 3">
          <a:extLst>
            <a:ext uri="{FF2B5EF4-FFF2-40B4-BE49-F238E27FC236}">
              <a16:creationId xmlns:a16="http://schemas.microsoft.com/office/drawing/2014/main" id="{21EEA624-6C68-42AB-A325-4DAE9FEC79C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92" name="Text Box 1">
          <a:extLst>
            <a:ext uri="{FF2B5EF4-FFF2-40B4-BE49-F238E27FC236}">
              <a16:creationId xmlns:a16="http://schemas.microsoft.com/office/drawing/2014/main" id="{689797FE-571C-4D38-A2DD-713096EF787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93" name="Text Box 1">
          <a:extLst>
            <a:ext uri="{FF2B5EF4-FFF2-40B4-BE49-F238E27FC236}">
              <a16:creationId xmlns:a16="http://schemas.microsoft.com/office/drawing/2014/main" id="{1F475541-38F0-4868-9BBE-808EBE574FF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94" name="Text Box 3">
          <a:extLst>
            <a:ext uri="{FF2B5EF4-FFF2-40B4-BE49-F238E27FC236}">
              <a16:creationId xmlns:a16="http://schemas.microsoft.com/office/drawing/2014/main" id="{FD900AE9-AC95-4555-BC8B-9EBC5FA1855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95" name="Text Box 1">
          <a:extLst>
            <a:ext uri="{FF2B5EF4-FFF2-40B4-BE49-F238E27FC236}">
              <a16:creationId xmlns:a16="http://schemas.microsoft.com/office/drawing/2014/main" id="{61414B49-FE0A-4F2A-A382-F2DA2F538A2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96" name="Text Box 3">
          <a:extLst>
            <a:ext uri="{FF2B5EF4-FFF2-40B4-BE49-F238E27FC236}">
              <a16:creationId xmlns:a16="http://schemas.microsoft.com/office/drawing/2014/main" id="{BB9F6D42-89D2-439D-8897-766D40F52D3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97" name="Text Box 1">
          <a:extLst>
            <a:ext uri="{FF2B5EF4-FFF2-40B4-BE49-F238E27FC236}">
              <a16:creationId xmlns:a16="http://schemas.microsoft.com/office/drawing/2014/main" id="{10E43194-D9C1-4245-A49C-974A7AD5A54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98" name="Text Box 1">
          <a:extLst>
            <a:ext uri="{FF2B5EF4-FFF2-40B4-BE49-F238E27FC236}">
              <a16:creationId xmlns:a16="http://schemas.microsoft.com/office/drawing/2014/main" id="{222505F1-A17A-46FC-8D52-0B1937A9E96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99" name="Text Box 3">
          <a:extLst>
            <a:ext uri="{FF2B5EF4-FFF2-40B4-BE49-F238E27FC236}">
              <a16:creationId xmlns:a16="http://schemas.microsoft.com/office/drawing/2014/main" id="{7A7AB5A4-D29D-4139-8D33-A3B4C8421D7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00" name="Text Box 1">
          <a:extLst>
            <a:ext uri="{FF2B5EF4-FFF2-40B4-BE49-F238E27FC236}">
              <a16:creationId xmlns:a16="http://schemas.microsoft.com/office/drawing/2014/main" id="{8E508C0B-B5A7-433C-B5E2-9343A45D8B8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01" name="Text Box 3">
          <a:extLst>
            <a:ext uri="{FF2B5EF4-FFF2-40B4-BE49-F238E27FC236}">
              <a16:creationId xmlns:a16="http://schemas.microsoft.com/office/drawing/2014/main" id="{1B71BE5F-8583-4D32-B761-0B985633301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02" name="Text Box 1">
          <a:extLst>
            <a:ext uri="{FF2B5EF4-FFF2-40B4-BE49-F238E27FC236}">
              <a16:creationId xmlns:a16="http://schemas.microsoft.com/office/drawing/2014/main" id="{7151D654-7AC8-4945-9C7C-39A633117B6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03" name="Text Box 1">
          <a:extLst>
            <a:ext uri="{FF2B5EF4-FFF2-40B4-BE49-F238E27FC236}">
              <a16:creationId xmlns:a16="http://schemas.microsoft.com/office/drawing/2014/main" id="{08887F77-EB87-451F-85CB-2FBC02E64D6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04" name="Text Box 3">
          <a:extLst>
            <a:ext uri="{FF2B5EF4-FFF2-40B4-BE49-F238E27FC236}">
              <a16:creationId xmlns:a16="http://schemas.microsoft.com/office/drawing/2014/main" id="{3C50C471-2107-4015-8925-9CB625F0032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05" name="Text Box 1">
          <a:extLst>
            <a:ext uri="{FF2B5EF4-FFF2-40B4-BE49-F238E27FC236}">
              <a16:creationId xmlns:a16="http://schemas.microsoft.com/office/drawing/2014/main" id="{568D6BDB-6642-4EFB-88E8-2CEE6AC179E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06" name="Text Box 3">
          <a:extLst>
            <a:ext uri="{FF2B5EF4-FFF2-40B4-BE49-F238E27FC236}">
              <a16:creationId xmlns:a16="http://schemas.microsoft.com/office/drawing/2014/main" id="{706117D2-9375-4C34-8F4F-DA8ED5488FD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07" name="Text Box 1">
          <a:extLst>
            <a:ext uri="{FF2B5EF4-FFF2-40B4-BE49-F238E27FC236}">
              <a16:creationId xmlns:a16="http://schemas.microsoft.com/office/drawing/2014/main" id="{95F2C523-7F9F-4C94-B153-520A014DEB0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08" name="Text Box 1">
          <a:extLst>
            <a:ext uri="{FF2B5EF4-FFF2-40B4-BE49-F238E27FC236}">
              <a16:creationId xmlns:a16="http://schemas.microsoft.com/office/drawing/2014/main" id="{CEF503EC-09EE-4267-83FF-5898882A1B2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09" name="Text Box 3">
          <a:extLst>
            <a:ext uri="{FF2B5EF4-FFF2-40B4-BE49-F238E27FC236}">
              <a16:creationId xmlns:a16="http://schemas.microsoft.com/office/drawing/2014/main" id="{59CAD066-625E-45AD-AA14-11CDBA12B2C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10" name="Text Box 1">
          <a:extLst>
            <a:ext uri="{FF2B5EF4-FFF2-40B4-BE49-F238E27FC236}">
              <a16:creationId xmlns:a16="http://schemas.microsoft.com/office/drawing/2014/main" id="{3C483F77-626D-413B-A7F1-42CD54F6335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11" name="Text Box 3">
          <a:extLst>
            <a:ext uri="{FF2B5EF4-FFF2-40B4-BE49-F238E27FC236}">
              <a16:creationId xmlns:a16="http://schemas.microsoft.com/office/drawing/2014/main" id="{E0F7D7B6-B5D1-44DA-A319-FC7AC6DAA65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12" name="Text Box 1">
          <a:extLst>
            <a:ext uri="{FF2B5EF4-FFF2-40B4-BE49-F238E27FC236}">
              <a16:creationId xmlns:a16="http://schemas.microsoft.com/office/drawing/2014/main" id="{FD8378C4-1F05-4BE3-9744-53A0DCB6BE9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13" name="Text Box 1">
          <a:extLst>
            <a:ext uri="{FF2B5EF4-FFF2-40B4-BE49-F238E27FC236}">
              <a16:creationId xmlns:a16="http://schemas.microsoft.com/office/drawing/2014/main" id="{B1EB1F58-E22C-42AA-B914-8A5087D0A63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14" name="Text Box 3">
          <a:extLst>
            <a:ext uri="{FF2B5EF4-FFF2-40B4-BE49-F238E27FC236}">
              <a16:creationId xmlns:a16="http://schemas.microsoft.com/office/drawing/2014/main" id="{0554EACE-E2E0-4350-8C06-60A20D87E97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15" name="Text Box 1">
          <a:extLst>
            <a:ext uri="{FF2B5EF4-FFF2-40B4-BE49-F238E27FC236}">
              <a16:creationId xmlns:a16="http://schemas.microsoft.com/office/drawing/2014/main" id="{88DD85FF-DEC5-4626-9D84-85F51DAF99C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16" name="Text Box 3">
          <a:extLst>
            <a:ext uri="{FF2B5EF4-FFF2-40B4-BE49-F238E27FC236}">
              <a16:creationId xmlns:a16="http://schemas.microsoft.com/office/drawing/2014/main" id="{A2DBF3C2-2397-4859-9A75-4B348FC3A6A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17" name="Text Box 1">
          <a:extLst>
            <a:ext uri="{FF2B5EF4-FFF2-40B4-BE49-F238E27FC236}">
              <a16:creationId xmlns:a16="http://schemas.microsoft.com/office/drawing/2014/main" id="{8CE0DBC8-F944-4E4F-8EC6-5F46403F71C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18" name="Text Box 1">
          <a:extLst>
            <a:ext uri="{FF2B5EF4-FFF2-40B4-BE49-F238E27FC236}">
              <a16:creationId xmlns:a16="http://schemas.microsoft.com/office/drawing/2014/main" id="{0D9BA93C-5D93-4605-92F2-9CAA6A7D946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19" name="Text Box 3">
          <a:extLst>
            <a:ext uri="{FF2B5EF4-FFF2-40B4-BE49-F238E27FC236}">
              <a16:creationId xmlns:a16="http://schemas.microsoft.com/office/drawing/2014/main" id="{DC499013-0DB0-4F4B-A2AF-3794D7ED48D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20" name="Text Box 1">
          <a:extLst>
            <a:ext uri="{FF2B5EF4-FFF2-40B4-BE49-F238E27FC236}">
              <a16:creationId xmlns:a16="http://schemas.microsoft.com/office/drawing/2014/main" id="{AA166557-7F59-4ADF-A303-CD48C6739CA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21" name="Text Box 3">
          <a:extLst>
            <a:ext uri="{FF2B5EF4-FFF2-40B4-BE49-F238E27FC236}">
              <a16:creationId xmlns:a16="http://schemas.microsoft.com/office/drawing/2014/main" id="{F92E0FB0-3D65-4ABC-B786-D1665A788A6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22" name="Text Box 1">
          <a:extLst>
            <a:ext uri="{FF2B5EF4-FFF2-40B4-BE49-F238E27FC236}">
              <a16:creationId xmlns:a16="http://schemas.microsoft.com/office/drawing/2014/main" id="{F1E1FE96-3210-42C1-8235-466A0485F3E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23" name="Text Box 1">
          <a:extLst>
            <a:ext uri="{FF2B5EF4-FFF2-40B4-BE49-F238E27FC236}">
              <a16:creationId xmlns:a16="http://schemas.microsoft.com/office/drawing/2014/main" id="{F83B2972-C6F8-4FED-A4C5-04F46264C3D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24" name="Text Box 3">
          <a:extLst>
            <a:ext uri="{FF2B5EF4-FFF2-40B4-BE49-F238E27FC236}">
              <a16:creationId xmlns:a16="http://schemas.microsoft.com/office/drawing/2014/main" id="{41B1B520-4CC2-4283-B820-FD9F0C52113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25" name="Text Box 1">
          <a:extLst>
            <a:ext uri="{FF2B5EF4-FFF2-40B4-BE49-F238E27FC236}">
              <a16:creationId xmlns:a16="http://schemas.microsoft.com/office/drawing/2014/main" id="{2DC57344-A856-46BD-9CAF-5587BBEA8AC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26" name="Text Box 3">
          <a:extLst>
            <a:ext uri="{FF2B5EF4-FFF2-40B4-BE49-F238E27FC236}">
              <a16:creationId xmlns:a16="http://schemas.microsoft.com/office/drawing/2014/main" id="{45C897C7-2945-4279-B240-3BD5F42E86B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27" name="Text Box 1">
          <a:extLst>
            <a:ext uri="{FF2B5EF4-FFF2-40B4-BE49-F238E27FC236}">
              <a16:creationId xmlns:a16="http://schemas.microsoft.com/office/drawing/2014/main" id="{83ECEEFC-C112-4954-803C-C2BEADD6D49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28" name="Text Box 1">
          <a:extLst>
            <a:ext uri="{FF2B5EF4-FFF2-40B4-BE49-F238E27FC236}">
              <a16:creationId xmlns:a16="http://schemas.microsoft.com/office/drawing/2014/main" id="{82E45A00-8E37-4403-B21F-989FD63DB35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29" name="Text Box 3">
          <a:extLst>
            <a:ext uri="{FF2B5EF4-FFF2-40B4-BE49-F238E27FC236}">
              <a16:creationId xmlns:a16="http://schemas.microsoft.com/office/drawing/2014/main" id="{F53AD80A-D7F5-4A1F-B738-C5E67DEBD12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30" name="Text Box 1">
          <a:extLst>
            <a:ext uri="{FF2B5EF4-FFF2-40B4-BE49-F238E27FC236}">
              <a16:creationId xmlns:a16="http://schemas.microsoft.com/office/drawing/2014/main" id="{40CCE942-F8E9-412A-9BAA-E4889DC8FB1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31" name="Text Box 3">
          <a:extLst>
            <a:ext uri="{FF2B5EF4-FFF2-40B4-BE49-F238E27FC236}">
              <a16:creationId xmlns:a16="http://schemas.microsoft.com/office/drawing/2014/main" id="{460C7F29-E4E3-4D89-8AE7-ED54C49BCAC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32" name="Text Box 1">
          <a:extLst>
            <a:ext uri="{FF2B5EF4-FFF2-40B4-BE49-F238E27FC236}">
              <a16:creationId xmlns:a16="http://schemas.microsoft.com/office/drawing/2014/main" id="{3E27AAD6-9C2F-4AAF-A2F2-B41F00D6073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33" name="Text Box 1">
          <a:extLst>
            <a:ext uri="{FF2B5EF4-FFF2-40B4-BE49-F238E27FC236}">
              <a16:creationId xmlns:a16="http://schemas.microsoft.com/office/drawing/2014/main" id="{69FB7EC5-E3F3-4EC8-8E2C-D6AA41316FB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34" name="Text Box 3">
          <a:extLst>
            <a:ext uri="{FF2B5EF4-FFF2-40B4-BE49-F238E27FC236}">
              <a16:creationId xmlns:a16="http://schemas.microsoft.com/office/drawing/2014/main" id="{655E4432-25CF-4A7B-B19D-4264FA6CB3B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35" name="Text Box 1">
          <a:extLst>
            <a:ext uri="{FF2B5EF4-FFF2-40B4-BE49-F238E27FC236}">
              <a16:creationId xmlns:a16="http://schemas.microsoft.com/office/drawing/2014/main" id="{AA6BA3D7-F700-4538-BD9C-56DF4F86564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36" name="Text Box 3">
          <a:extLst>
            <a:ext uri="{FF2B5EF4-FFF2-40B4-BE49-F238E27FC236}">
              <a16:creationId xmlns:a16="http://schemas.microsoft.com/office/drawing/2014/main" id="{6D7B2B85-0A02-4C8C-B32C-484EC42CD95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37" name="Text Box 1">
          <a:extLst>
            <a:ext uri="{FF2B5EF4-FFF2-40B4-BE49-F238E27FC236}">
              <a16:creationId xmlns:a16="http://schemas.microsoft.com/office/drawing/2014/main" id="{8FD9F036-96A4-4A14-A557-2B92BB4909E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38" name="Text Box 1">
          <a:extLst>
            <a:ext uri="{FF2B5EF4-FFF2-40B4-BE49-F238E27FC236}">
              <a16:creationId xmlns:a16="http://schemas.microsoft.com/office/drawing/2014/main" id="{46BEDF04-E12A-48D3-9EC6-018D54B52A6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39" name="Text Box 3">
          <a:extLst>
            <a:ext uri="{FF2B5EF4-FFF2-40B4-BE49-F238E27FC236}">
              <a16:creationId xmlns:a16="http://schemas.microsoft.com/office/drawing/2014/main" id="{8D236684-B3CD-48B6-8162-FC895E5E77D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40" name="Text Box 1">
          <a:extLst>
            <a:ext uri="{FF2B5EF4-FFF2-40B4-BE49-F238E27FC236}">
              <a16:creationId xmlns:a16="http://schemas.microsoft.com/office/drawing/2014/main" id="{6B28F947-FEE9-47BE-B2B3-72A0D86B039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41" name="Text Box 3">
          <a:extLst>
            <a:ext uri="{FF2B5EF4-FFF2-40B4-BE49-F238E27FC236}">
              <a16:creationId xmlns:a16="http://schemas.microsoft.com/office/drawing/2014/main" id="{7361E0F9-05AC-46FC-8C3C-CDAC550D205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42" name="Text Box 1">
          <a:extLst>
            <a:ext uri="{FF2B5EF4-FFF2-40B4-BE49-F238E27FC236}">
              <a16:creationId xmlns:a16="http://schemas.microsoft.com/office/drawing/2014/main" id="{6114885C-A72C-4DE7-A2C5-9486196C738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43" name="Text Box 1">
          <a:extLst>
            <a:ext uri="{FF2B5EF4-FFF2-40B4-BE49-F238E27FC236}">
              <a16:creationId xmlns:a16="http://schemas.microsoft.com/office/drawing/2014/main" id="{77504307-F54C-41AD-8B34-10855AAB2F2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44" name="Text Box 3">
          <a:extLst>
            <a:ext uri="{FF2B5EF4-FFF2-40B4-BE49-F238E27FC236}">
              <a16:creationId xmlns:a16="http://schemas.microsoft.com/office/drawing/2014/main" id="{F8EB5171-2787-42C6-859C-A3F82A20CEE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45" name="Text Box 1">
          <a:extLst>
            <a:ext uri="{FF2B5EF4-FFF2-40B4-BE49-F238E27FC236}">
              <a16:creationId xmlns:a16="http://schemas.microsoft.com/office/drawing/2014/main" id="{27A208C7-1F75-4AFA-BA93-7D0C1F0A1DF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46" name="Text Box 3">
          <a:extLst>
            <a:ext uri="{FF2B5EF4-FFF2-40B4-BE49-F238E27FC236}">
              <a16:creationId xmlns:a16="http://schemas.microsoft.com/office/drawing/2014/main" id="{32928BCA-4769-4A06-9D94-4687B1FEB9E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47" name="Text Box 1">
          <a:extLst>
            <a:ext uri="{FF2B5EF4-FFF2-40B4-BE49-F238E27FC236}">
              <a16:creationId xmlns:a16="http://schemas.microsoft.com/office/drawing/2014/main" id="{CF8AB5A7-795A-4C88-9A1E-1F10201C70B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48" name="Text Box 1">
          <a:extLst>
            <a:ext uri="{FF2B5EF4-FFF2-40B4-BE49-F238E27FC236}">
              <a16:creationId xmlns:a16="http://schemas.microsoft.com/office/drawing/2014/main" id="{1056904A-7F4D-4708-B0AC-05D58D8E793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49" name="Text Box 3">
          <a:extLst>
            <a:ext uri="{FF2B5EF4-FFF2-40B4-BE49-F238E27FC236}">
              <a16:creationId xmlns:a16="http://schemas.microsoft.com/office/drawing/2014/main" id="{7EAA286D-5AA3-472C-8BD0-AFC55A8280F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50" name="Text Box 1">
          <a:extLst>
            <a:ext uri="{FF2B5EF4-FFF2-40B4-BE49-F238E27FC236}">
              <a16:creationId xmlns:a16="http://schemas.microsoft.com/office/drawing/2014/main" id="{7D916340-1EDB-4B39-BD7D-CB06DADB38D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51" name="Text Box 3">
          <a:extLst>
            <a:ext uri="{FF2B5EF4-FFF2-40B4-BE49-F238E27FC236}">
              <a16:creationId xmlns:a16="http://schemas.microsoft.com/office/drawing/2014/main" id="{1DC30814-9EA4-4547-9AD9-C9E4E17D6A9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52" name="Text Box 1">
          <a:extLst>
            <a:ext uri="{FF2B5EF4-FFF2-40B4-BE49-F238E27FC236}">
              <a16:creationId xmlns:a16="http://schemas.microsoft.com/office/drawing/2014/main" id="{E4D88A6C-D5D9-40EF-8365-B285EA9C240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53" name="Text Box 1">
          <a:extLst>
            <a:ext uri="{FF2B5EF4-FFF2-40B4-BE49-F238E27FC236}">
              <a16:creationId xmlns:a16="http://schemas.microsoft.com/office/drawing/2014/main" id="{9941B709-A4F7-43B3-BACA-6D105AD0E86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54" name="Text Box 3">
          <a:extLst>
            <a:ext uri="{FF2B5EF4-FFF2-40B4-BE49-F238E27FC236}">
              <a16:creationId xmlns:a16="http://schemas.microsoft.com/office/drawing/2014/main" id="{E9B0F1F9-BC64-4CB9-BA80-73B223FDEBE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55" name="Text Box 1">
          <a:extLst>
            <a:ext uri="{FF2B5EF4-FFF2-40B4-BE49-F238E27FC236}">
              <a16:creationId xmlns:a16="http://schemas.microsoft.com/office/drawing/2014/main" id="{6902D002-C0C5-4859-8B2D-654308929CE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56" name="Text Box 3">
          <a:extLst>
            <a:ext uri="{FF2B5EF4-FFF2-40B4-BE49-F238E27FC236}">
              <a16:creationId xmlns:a16="http://schemas.microsoft.com/office/drawing/2014/main" id="{EAC626A1-827C-44CB-91EB-5EB8C62EFE5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57" name="Text Box 1">
          <a:extLst>
            <a:ext uri="{FF2B5EF4-FFF2-40B4-BE49-F238E27FC236}">
              <a16:creationId xmlns:a16="http://schemas.microsoft.com/office/drawing/2014/main" id="{EBD89ADA-8203-48AC-9F9B-D67F7FF3712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58" name="Text Box 1">
          <a:extLst>
            <a:ext uri="{FF2B5EF4-FFF2-40B4-BE49-F238E27FC236}">
              <a16:creationId xmlns:a16="http://schemas.microsoft.com/office/drawing/2014/main" id="{E9753EE2-9124-45DB-98D8-CDCECDED6D6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59" name="Text Box 3">
          <a:extLst>
            <a:ext uri="{FF2B5EF4-FFF2-40B4-BE49-F238E27FC236}">
              <a16:creationId xmlns:a16="http://schemas.microsoft.com/office/drawing/2014/main" id="{9452A874-6439-4C4A-823F-12989752137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60" name="Text Box 1">
          <a:extLst>
            <a:ext uri="{FF2B5EF4-FFF2-40B4-BE49-F238E27FC236}">
              <a16:creationId xmlns:a16="http://schemas.microsoft.com/office/drawing/2014/main" id="{BE41525A-B761-4EFE-B9D1-0C1BEDB7E67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61" name="Text Box 3">
          <a:extLst>
            <a:ext uri="{FF2B5EF4-FFF2-40B4-BE49-F238E27FC236}">
              <a16:creationId xmlns:a16="http://schemas.microsoft.com/office/drawing/2014/main" id="{69035D25-627F-4392-B3F2-36AC4854F1E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62" name="Text Box 1">
          <a:extLst>
            <a:ext uri="{FF2B5EF4-FFF2-40B4-BE49-F238E27FC236}">
              <a16:creationId xmlns:a16="http://schemas.microsoft.com/office/drawing/2014/main" id="{8AD4D630-75C6-4457-880B-D0BC18E8F46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63" name="Text Box 1">
          <a:extLst>
            <a:ext uri="{FF2B5EF4-FFF2-40B4-BE49-F238E27FC236}">
              <a16:creationId xmlns:a16="http://schemas.microsoft.com/office/drawing/2014/main" id="{04D8DE8B-BD1F-414A-86FA-5E966435D74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64" name="Text Box 3">
          <a:extLst>
            <a:ext uri="{FF2B5EF4-FFF2-40B4-BE49-F238E27FC236}">
              <a16:creationId xmlns:a16="http://schemas.microsoft.com/office/drawing/2014/main" id="{A9B3AB16-68AE-438D-B184-CD242804708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65" name="Text Box 1">
          <a:extLst>
            <a:ext uri="{FF2B5EF4-FFF2-40B4-BE49-F238E27FC236}">
              <a16:creationId xmlns:a16="http://schemas.microsoft.com/office/drawing/2014/main" id="{54211ED3-A708-4826-AD2C-D4D7F87F800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66" name="Text Box 3">
          <a:extLst>
            <a:ext uri="{FF2B5EF4-FFF2-40B4-BE49-F238E27FC236}">
              <a16:creationId xmlns:a16="http://schemas.microsoft.com/office/drawing/2014/main" id="{F0F27C0D-505F-4E39-BA6A-1B7340E371E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67" name="Text Box 1">
          <a:extLst>
            <a:ext uri="{FF2B5EF4-FFF2-40B4-BE49-F238E27FC236}">
              <a16:creationId xmlns:a16="http://schemas.microsoft.com/office/drawing/2014/main" id="{4B7B8D73-203C-4841-B19B-1C02779B9AF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68" name="Text Box 1">
          <a:extLst>
            <a:ext uri="{FF2B5EF4-FFF2-40B4-BE49-F238E27FC236}">
              <a16:creationId xmlns:a16="http://schemas.microsoft.com/office/drawing/2014/main" id="{9AA95DB0-31E7-4AD8-B1C4-957B4C5DA5A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69" name="Text Box 3">
          <a:extLst>
            <a:ext uri="{FF2B5EF4-FFF2-40B4-BE49-F238E27FC236}">
              <a16:creationId xmlns:a16="http://schemas.microsoft.com/office/drawing/2014/main" id="{43A6BD67-B81F-4ACB-B1E3-6F05E1D450E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70" name="Text Box 1">
          <a:extLst>
            <a:ext uri="{FF2B5EF4-FFF2-40B4-BE49-F238E27FC236}">
              <a16:creationId xmlns:a16="http://schemas.microsoft.com/office/drawing/2014/main" id="{C3023342-77CC-40F5-9BBD-92F196F9568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71" name="Text Box 3">
          <a:extLst>
            <a:ext uri="{FF2B5EF4-FFF2-40B4-BE49-F238E27FC236}">
              <a16:creationId xmlns:a16="http://schemas.microsoft.com/office/drawing/2014/main" id="{F0C160DE-5E3F-4D05-8061-325F32B0BC6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72" name="Text Box 1">
          <a:extLst>
            <a:ext uri="{FF2B5EF4-FFF2-40B4-BE49-F238E27FC236}">
              <a16:creationId xmlns:a16="http://schemas.microsoft.com/office/drawing/2014/main" id="{4AF5A1AF-E5B9-4159-92B4-65302B127E1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73" name="Text Box 1">
          <a:extLst>
            <a:ext uri="{FF2B5EF4-FFF2-40B4-BE49-F238E27FC236}">
              <a16:creationId xmlns:a16="http://schemas.microsoft.com/office/drawing/2014/main" id="{DFFD2524-FF14-4018-A2AF-25561ADBCF3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74" name="Text Box 3">
          <a:extLst>
            <a:ext uri="{FF2B5EF4-FFF2-40B4-BE49-F238E27FC236}">
              <a16:creationId xmlns:a16="http://schemas.microsoft.com/office/drawing/2014/main" id="{02A8A720-5090-4E9A-AF34-1DDCFE2B13A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75" name="Text Box 1">
          <a:extLst>
            <a:ext uri="{FF2B5EF4-FFF2-40B4-BE49-F238E27FC236}">
              <a16:creationId xmlns:a16="http://schemas.microsoft.com/office/drawing/2014/main" id="{15A57748-515E-4EE2-9382-3A333DCBC8E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76" name="Text Box 3">
          <a:extLst>
            <a:ext uri="{FF2B5EF4-FFF2-40B4-BE49-F238E27FC236}">
              <a16:creationId xmlns:a16="http://schemas.microsoft.com/office/drawing/2014/main" id="{AECEAFDD-6797-4D44-BDE1-AA24448DE89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77" name="Text Box 1">
          <a:extLst>
            <a:ext uri="{FF2B5EF4-FFF2-40B4-BE49-F238E27FC236}">
              <a16:creationId xmlns:a16="http://schemas.microsoft.com/office/drawing/2014/main" id="{0D6E9D25-72F2-48E6-9D53-B0FB3880CE4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78" name="Text Box 1">
          <a:extLst>
            <a:ext uri="{FF2B5EF4-FFF2-40B4-BE49-F238E27FC236}">
              <a16:creationId xmlns:a16="http://schemas.microsoft.com/office/drawing/2014/main" id="{9EC7D526-BB69-485E-AC05-8D88C6F9367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79" name="Text Box 3">
          <a:extLst>
            <a:ext uri="{FF2B5EF4-FFF2-40B4-BE49-F238E27FC236}">
              <a16:creationId xmlns:a16="http://schemas.microsoft.com/office/drawing/2014/main" id="{6D4F3C7A-E4B7-4CCB-9E58-A7E453D4D4F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80" name="Text Box 1">
          <a:extLst>
            <a:ext uri="{FF2B5EF4-FFF2-40B4-BE49-F238E27FC236}">
              <a16:creationId xmlns:a16="http://schemas.microsoft.com/office/drawing/2014/main" id="{DCEB0959-EC45-49EB-B2DF-74768EF40E1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81" name="Text Box 3">
          <a:extLst>
            <a:ext uri="{FF2B5EF4-FFF2-40B4-BE49-F238E27FC236}">
              <a16:creationId xmlns:a16="http://schemas.microsoft.com/office/drawing/2014/main" id="{86BCBD0F-B63C-4DE6-9B2D-6DE5E98EB26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82" name="Text Box 1">
          <a:extLst>
            <a:ext uri="{FF2B5EF4-FFF2-40B4-BE49-F238E27FC236}">
              <a16:creationId xmlns:a16="http://schemas.microsoft.com/office/drawing/2014/main" id="{7038EE33-4D56-495B-B77F-EFBE58CC122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83" name="Text Box 1">
          <a:extLst>
            <a:ext uri="{FF2B5EF4-FFF2-40B4-BE49-F238E27FC236}">
              <a16:creationId xmlns:a16="http://schemas.microsoft.com/office/drawing/2014/main" id="{36EF03F4-444F-4FE6-85B2-0D2868BA4CC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84" name="Text Box 3">
          <a:extLst>
            <a:ext uri="{FF2B5EF4-FFF2-40B4-BE49-F238E27FC236}">
              <a16:creationId xmlns:a16="http://schemas.microsoft.com/office/drawing/2014/main" id="{B753CE14-1E5A-4AE6-A076-33B5A85DB6C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85" name="Text Box 1">
          <a:extLst>
            <a:ext uri="{FF2B5EF4-FFF2-40B4-BE49-F238E27FC236}">
              <a16:creationId xmlns:a16="http://schemas.microsoft.com/office/drawing/2014/main" id="{E8054FE6-99C8-4548-A412-3471844173F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86" name="Text Box 3">
          <a:extLst>
            <a:ext uri="{FF2B5EF4-FFF2-40B4-BE49-F238E27FC236}">
              <a16:creationId xmlns:a16="http://schemas.microsoft.com/office/drawing/2014/main" id="{81A73E67-F8EA-4415-AE55-C483DF95698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87" name="Text Box 1">
          <a:extLst>
            <a:ext uri="{FF2B5EF4-FFF2-40B4-BE49-F238E27FC236}">
              <a16:creationId xmlns:a16="http://schemas.microsoft.com/office/drawing/2014/main" id="{CFABB091-0A58-4850-9285-43754829F73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88" name="Text Box 1">
          <a:extLst>
            <a:ext uri="{FF2B5EF4-FFF2-40B4-BE49-F238E27FC236}">
              <a16:creationId xmlns:a16="http://schemas.microsoft.com/office/drawing/2014/main" id="{4F7592F7-FFB1-4B82-B5DA-9DD556F25B9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89" name="Text Box 3">
          <a:extLst>
            <a:ext uri="{FF2B5EF4-FFF2-40B4-BE49-F238E27FC236}">
              <a16:creationId xmlns:a16="http://schemas.microsoft.com/office/drawing/2014/main" id="{BE12F0C4-3407-47AE-A2E8-002B35FB845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90" name="Text Box 1">
          <a:extLst>
            <a:ext uri="{FF2B5EF4-FFF2-40B4-BE49-F238E27FC236}">
              <a16:creationId xmlns:a16="http://schemas.microsoft.com/office/drawing/2014/main" id="{918EC6E0-2F1D-49F6-9AAB-A6DD674F394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91" name="Text Box 3">
          <a:extLst>
            <a:ext uri="{FF2B5EF4-FFF2-40B4-BE49-F238E27FC236}">
              <a16:creationId xmlns:a16="http://schemas.microsoft.com/office/drawing/2014/main" id="{2299463B-0214-42FC-A721-17DB1D092B8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92" name="Text Box 1">
          <a:extLst>
            <a:ext uri="{FF2B5EF4-FFF2-40B4-BE49-F238E27FC236}">
              <a16:creationId xmlns:a16="http://schemas.microsoft.com/office/drawing/2014/main" id="{93F101FD-5DE9-4108-8106-80CC7BD3E8E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93" name="Text Box 1">
          <a:extLst>
            <a:ext uri="{FF2B5EF4-FFF2-40B4-BE49-F238E27FC236}">
              <a16:creationId xmlns:a16="http://schemas.microsoft.com/office/drawing/2014/main" id="{B3F2776D-21E4-4FC0-9E6B-71569A23C02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94" name="Text Box 3">
          <a:extLst>
            <a:ext uri="{FF2B5EF4-FFF2-40B4-BE49-F238E27FC236}">
              <a16:creationId xmlns:a16="http://schemas.microsoft.com/office/drawing/2014/main" id="{7A970773-1009-456D-AC6E-58ACBE714BA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95" name="Text Box 1">
          <a:extLst>
            <a:ext uri="{FF2B5EF4-FFF2-40B4-BE49-F238E27FC236}">
              <a16:creationId xmlns:a16="http://schemas.microsoft.com/office/drawing/2014/main" id="{96C0420B-F8BD-4486-B034-7055A18A6C6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96" name="Text Box 3">
          <a:extLst>
            <a:ext uri="{FF2B5EF4-FFF2-40B4-BE49-F238E27FC236}">
              <a16:creationId xmlns:a16="http://schemas.microsoft.com/office/drawing/2014/main" id="{773BB3E0-2E3A-4B37-A64B-106252BF652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97" name="Text Box 1">
          <a:extLst>
            <a:ext uri="{FF2B5EF4-FFF2-40B4-BE49-F238E27FC236}">
              <a16:creationId xmlns:a16="http://schemas.microsoft.com/office/drawing/2014/main" id="{9F31AE4E-2D48-416A-979C-C56F0FFE967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98" name="Text Box 1">
          <a:extLst>
            <a:ext uri="{FF2B5EF4-FFF2-40B4-BE49-F238E27FC236}">
              <a16:creationId xmlns:a16="http://schemas.microsoft.com/office/drawing/2014/main" id="{7F3EF305-AD7B-44FA-9EB3-B8C38A33B30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99" name="Text Box 3">
          <a:extLst>
            <a:ext uri="{FF2B5EF4-FFF2-40B4-BE49-F238E27FC236}">
              <a16:creationId xmlns:a16="http://schemas.microsoft.com/office/drawing/2014/main" id="{E00814B3-879E-4166-875B-9D740EED437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00" name="Text Box 1">
          <a:extLst>
            <a:ext uri="{FF2B5EF4-FFF2-40B4-BE49-F238E27FC236}">
              <a16:creationId xmlns:a16="http://schemas.microsoft.com/office/drawing/2014/main" id="{7517E755-6166-4C9F-A7B6-A1C071ECB7B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01" name="Text Box 3">
          <a:extLst>
            <a:ext uri="{FF2B5EF4-FFF2-40B4-BE49-F238E27FC236}">
              <a16:creationId xmlns:a16="http://schemas.microsoft.com/office/drawing/2014/main" id="{4441D394-8C14-43A0-81F2-FB5A3CE5E04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02" name="Text Box 1">
          <a:extLst>
            <a:ext uri="{FF2B5EF4-FFF2-40B4-BE49-F238E27FC236}">
              <a16:creationId xmlns:a16="http://schemas.microsoft.com/office/drawing/2014/main" id="{125D6353-A3AA-4648-9991-922BFA46F8D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03" name="Text Box 1">
          <a:extLst>
            <a:ext uri="{FF2B5EF4-FFF2-40B4-BE49-F238E27FC236}">
              <a16:creationId xmlns:a16="http://schemas.microsoft.com/office/drawing/2014/main" id="{C38B5ECF-269B-4A8A-9029-0C0823A0DE2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04" name="Text Box 3">
          <a:extLst>
            <a:ext uri="{FF2B5EF4-FFF2-40B4-BE49-F238E27FC236}">
              <a16:creationId xmlns:a16="http://schemas.microsoft.com/office/drawing/2014/main" id="{FB5A03BD-C7D0-4531-8A16-5172D8797CC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05" name="Text Box 1">
          <a:extLst>
            <a:ext uri="{FF2B5EF4-FFF2-40B4-BE49-F238E27FC236}">
              <a16:creationId xmlns:a16="http://schemas.microsoft.com/office/drawing/2014/main" id="{6F86D942-C56F-461A-9179-DB5D4DDCD2D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06" name="Text Box 3">
          <a:extLst>
            <a:ext uri="{FF2B5EF4-FFF2-40B4-BE49-F238E27FC236}">
              <a16:creationId xmlns:a16="http://schemas.microsoft.com/office/drawing/2014/main" id="{DCDE399A-1C63-44B4-B306-A6456ACB78D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07" name="Text Box 1">
          <a:extLst>
            <a:ext uri="{FF2B5EF4-FFF2-40B4-BE49-F238E27FC236}">
              <a16:creationId xmlns:a16="http://schemas.microsoft.com/office/drawing/2014/main" id="{208F739A-843C-4FFB-821D-F0AEA635CC0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08" name="Text Box 1">
          <a:extLst>
            <a:ext uri="{FF2B5EF4-FFF2-40B4-BE49-F238E27FC236}">
              <a16:creationId xmlns:a16="http://schemas.microsoft.com/office/drawing/2014/main" id="{497B4958-DA2F-4283-9495-56F72A333C9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09" name="Text Box 3">
          <a:extLst>
            <a:ext uri="{FF2B5EF4-FFF2-40B4-BE49-F238E27FC236}">
              <a16:creationId xmlns:a16="http://schemas.microsoft.com/office/drawing/2014/main" id="{19E1059E-EC4A-46F9-8D95-5AFB846F426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10" name="Text Box 1">
          <a:extLst>
            <a:ext uri="{FF2B5EF4-FFF2-40B4-BE49-F238E27FC236}">
              <a16:creationId xmlns:a16="http://schemas.microsoft.com/office/drawing/2014/main" id="{F26D4181-CD53-4A6A-A543-C7565C35E98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11" name="Text Box 3">
          <a:extLst>
            <a:ext uri="{FF2B5EF4-FFF2-40B4-BE49-F238E27FC236}">
              <a16:creationId xmlns:a16="http://schemas.microsoft.com/office/drawing/2014/main" id="{0BDDF09A-3ABA-4F02-BE72-4E47D343C28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12" name="Text Box 1">
          <a:extLst>
            <a:ext uri="{FF2B5EF4-FFF2-40B4-BE49-F238E27FC236}">
              <a16:creationId xmlns:a16="http://schemas.microsoft.com/office/drawing/2014/main" id="{6E3DC998-5462-4CFD-BF5D-6630F77CD76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13" name="Text Box 1">
          <a:extLst>
            <a:ext uri="{FF2B5EF4-FFF2-40B4-BE49-F238E27FC236}">
              <a16:creationId xmlns:a16="http://schemas.microsoft.com/office/drawing/2014/main" id="{B9FF011C-1A3E-41E4-A7E4-B8873DE3359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14" name="Text Box 3">
          <a:extLst>
            <a:ext uri="{FF2B5EF4-FFF2-40B4-BE49-F238E27FC236}">
              <a16:creationId xmlns:a16="http://schemas.microsoft.com/office/drawing/2014/main" id="{53B6911C-CF7D-48FC-8937-0CE21747C50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15" name="Text Box 1">
          <a:extLst>
            <a:ext uri="{FF2B5EF4-FFF2-40B4-BE49-F238E27FC236}">
              <a16:creationId xmlns:a16="http://schemas.microsoft.com/office/drawing/2014/main" id="{4FB3DDDC-1BA2-4B19-A5AC-31FB3A780D8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16" name="Text Box 3">
          <a:extLst>
            <a:ext uri="{FF2B5EF4-FFF2-40B4-BE49-F238E27FC236}">
              <a16:creationId xmlns:a16="http://schemas.microsoft.com/office/drawing/2014/main" id="{CBD848C3-50EC-4520-938B-146EC11A794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17" name="Text Box 1">
          <a:extLst>
            <a:ext uri="{FF2B5EF4-FFF2-40B4-BE49-F238E27FC236}">
              <a16:creationId xmlns:a16="http://schemas.microsoft.com/office/drawing/2014/main" id="{6C419D40-23C6-4D15-A758-F9C16D29C2A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18" name="Text Box 1">
          <a:extLst>
            <a:ext uri="{FF2B5EF4-FFF2-40B4-BE49-F238E27FC236}">
              <a16:creationId xmlns:a16="http://schemas.microsoft.com/office/drawing/2014/main" id="{D4ADAF21-BE49-4C06-82E8-85713A5AFF2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19" name="Text Box 3">
          <a:extLst>
            <a:ext uri="{FF2B5EF4-FFF2-40B4-BE49-F238E27FC236}">
              <a16:creationId xmlns:a16="http://schemas.microsoft.com/office/drawing/2014/main" id="{CB455034-BDCC-4269-B581-141EE7A1BA2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20" name="Text Box 1">
          <a:extLst>
            <a:ext uri="{FF2B5EF4-FFF2-40B4-BE49-F238E27FC236}">
              <a16:creationId xmlns:a16="http://schemas.microsoft.com/office/drawing/2014/main" id="{65E91B14-1AB7-41DE-93DA-B00846E0E51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21" name="Text Box 3">
          <a:extLst>
            <a:ext uri="{FF2B5EF4-FFF2-40B4-BE49-F238E27FC236}">
              <a16:creationId xmlns:a16="http://schemas.microsoft.com/office/drawing/2014/main" id="{8070E985-2BC8-4D72-BB49-C30465F5999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22" name="Text Box 1">
          <a:extLst>
            <a:ext uri="{FF2B5EF4-FFF2-40B4-BE49-F238E27FC236}">
              <a16:creationId xmlns:a16="http://schemas.microsoft.com/office/drawing/2014/main" id="{125EC87C-EFA9-404D-BAF3-DE80B73280E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23" name="Text Box 1">
          <a:extLst>
            <a:ext uri="{FF2B5EF4-FFF2-40B4-BE49-F238E27FC236}">
              <a16:creationId xmlns:a16="http://schemas.microsoft.com/office/drawing/2014/main" id="{EABB23B7-52BD-41AA-A167-0B916DB84E7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24" name="Text Box 3">
          <a:extLst>
            <a:ext uri="{FF2B5EF4-FFF2-40B4-BE49-F238E27FC236}">
              <a16:creationId xmlns:a16="http://schemas.microsoft.com/office/drawing/2014/main" id="{F2356D73-F8DA-4C58-81CF-737C9B1190E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25" name="Text Box 1">
          <a:extLst>
            <a:ext uri="{FF2B5EF4-FFF2-40B4-BE49-F238E27FC236}">
              <a16:creationId xmlns:a16="http://schemas.microsoft.com/office/drawing/2014/main" id="{5FB257A5-021C-4110-BDFA-3588A19339A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26" name="Text Box 3">
          <a:extLst>
            <a:ext uri="{FF2B5EF4-FFF2-40B4-BE49-F238E27FC236}">
              <a16:creationId xmlns:a16="http://schemas.microsoft.com/office/drawing/2014/main" id="{D820FE08-7823-4D0F-BC14-E5CDBC065CF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27" name="Text Box 1">
          <a:extLst>
            <a:ext uri="{FF2B5EF4-FFF2-40B4-BE49-F238E27FC236}">
              <a16:creationId xmlns:a16="http://schemas.microsoft.com/office/drawing/2014/main" id="{5A1AA5FE-9866-4025-B334-2AC519D4E85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28" name="Text Box 1">
          <a:extLst>
            <a:ext uri="{FF2B5EF4-FFF2-40B4-BE49-F238E27FC236}">
              <a16:creationId xmlns:a16="http://schemas.microsoft.com/office/drawing/2014/main" id="{29190974-E0CD-4B86-958C-73A70FE9047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29" name="Text Box 3">
          <a:extLst>
            <a:ext uri="{FF2B5EF4-FFF2-40B4-BE49-F238E27FC236}">
              <a16:creationId xmlns:a16="http://schemas.microsoft.com/office/drawing/2014/main" id="{12FAB93D-660F-40E4-8B81-A8509277FEC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30" name="Text Box 1">
          <a:extLst>
            <a:ext uri="{FF2B5EF4-FFF2-40B4-BE49-F238E27FC236}">
              <a16:creationId xmlns:a16="http://schemas.microsoft.com/office/drawing/2014/main" id="{421DC445-3F66-48D4-97EC-839A3C7B278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31" name="Text Box 3">
          <a:extLst>
            <a:ext uri="{FF2B5EF4-FFF2-40B4-BE49-F238E27FC236}">
              <a16:creationId xmlns:a16="http://schemas.microsoft.com/office/drawing/2014/main" id="{C131ED46-A254-423D-8CF3-348871849B2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32" name="Text Box 1">
          <a:extLst>
            <a:ext uri="{FF2B5EF4-FFF2-40B4-BE49-F238E27FC236}">
              <a16:creationId xmlns:a16="http://schemas.microsoft.com/office/drawing/2014/main" id="{6F0436A0-2D66-47E7-B407-F8D968B7EFA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33" name="Text Box 1">
          <a:extLst>
            <a:ext uri="{FF2B5EF4-FFF2-40B4-BE49-F238E27FC236}">
              <a16:creationId xmlns:a16="http://schemas.microsoft.com/office/drawing/2014/main" id="{16BE77CC-06E2-4546-86AE-8A12086BB4E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34" name="Text Box 3">
          <a:extLst>
            <a:ext uri="{FF2B5EF4-FFF2-40B4-BE49-F238E27FC236}">
              <a16:creationId xmlns:a16="http://schemas.microsoft.com/office/drawing/2014/main" id="{108025F0-1078-4051-BAE8-C00559C92E9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35" name="Text Box 1">
          <a:extLst>
            <a:ext uri="{FF2B5EF4-FFF2-40B4-BE49-F238E27FC236}">
              <a16:creationId xmlns:a16="http://schemas.microsoft.com/office/drawing/2014/main" id="{97CDF7FB-148E-48B2-9099-5CCD236D9D6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36" name="Text Box 3">
          <a:extLst>
            <a:ext uri="{FF2B5EF4-FFF2-40B4-BE49-F238E27FC236}">
              <a16:creationId xmlns:a16="http://schemas.microsoft.com/office/drawing/2014/main" id="{4B74D659-9079-4AD5-A42A-419E2B1AC89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37" name="Text Box 1">
          <a:extLst>
            <a:ext uri="{FF2B5EF4-FFF2-40B4-BE49-F238E27FC236}">
              <a16:creationId xmlns:a16="http://schemas.microsoft.com/office/drawing/2014/main" id="{A97C0BD1-EDD8-4F76-9ACF-830C1FA522F0}"/>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38" name="Text Box 3">
          <a:extLst>
            <a:ext uri="{FF2B5EF4-FFF2-40B4-BE49-F238E27FC236}">
              <a16:creationId xmlns:a16="http://schemas.microsoft.com/office/drawing/2014/main" id="{8939AF5B-3A17-4559-B203-95305FBACDC8}"/>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39" name="Text Box 1">
          <a:extLst>
            <a:ext uri="{FF2B5EF4-FFF2-40B4-BE49-F238E27FC236}">
              <a16:creationId xmlns:a16="http://schemas.microsoft.com/office/drawing/2014/main" id="{7BC72566-056E-46B9-B35E-69CC2CA048A4}"/>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40" name="Text Box 3">
          <a:extLst>
            <a:ext uri="{FF2B5EF4-FFF2-40B4-BE49-F238E27FC236}">
              <a16:creationId xmlns:a16="http://schemas.microsoft.com/office/drawing/2014/main" id="{92224196-10BB-4892-9AF9-AF7A1DC9CB91}"/>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41" name="Text Box 1">
          <a:extLst>
            <a:ext uri="{FF2B5EF4-FFF2-40B4-BE49-F238E27FC236}">
              <a16:creationId xmlns:a16="http://schemas.microsoft.com/office/drawing/2014/main" id="{77E178F4-364E-4BED-92A2-14B33CC75BEE}"/>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42" name="Text Box 1">
          <a:extLst>
            <a:ext uri="{FF2B5EF4-FFF2-40B4-BE49-F238E27FC236}">
              <a16:creationId xmlns:a16="http://schemas.microsoft.com/office/drawing/2014/main" id="{E595D45E-7FB3-4375-845F-B101868668EA}"/>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43" name="Text Box 3">
          <a:extLst>
            <a:ext uri="{FF2B5EF4-FFF2-40B4-BE49-F238E27FC236}">
              <a16:creationId xmlns:a16="http://schemas.microsoft.com/office/drawing/2014/main" id="{BB20E7DE-7224-4D5A-99EE-41142801A89E}"/>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44" name="Text Box 1">
          <a:extLst>
            <a:ext uri="{FF2B5EF4-FFF2-40B4-BE49-F238E27FC236}">
              <a16:creationId xmlns:a16="http://schemas.microsoft.com/office/drawing/2014/main" id="{AE103A61-485B-4054-B339-84418DAAF7E0}"/>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45" name="Text Box 3">
          <a:extLst>
            <a:ext uri="{FF2B5EF4-FFF2-40B4-BE49-F238E27FC236}">
              <a16:creationId xmlns:a16="http://schemas.microsoft.com/office/drawing/2014/main" id="{F09EC362-658C-4347-9DF9-1588C5471510}"/>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46" name="Text Box 1">
          <a:extLst>
            <a:ext uri="{FF2B5EF4-FFF2-40B4-BE49-F238E27FC236}">
              <a16:creationId xmlns:a16="http://schemas.microsoft.com/office/drawing/2014/main" id="{F77A6D49-57FE-4333-AB10-35AD4E566A2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47" name="Text Box 1">
          <a:extLst>
            <a:ext uri="{FF2B5EF4-FFF2-40B4-BE49-F238E27FC236}">
              <a16:creationId xmlns:a16="http://schemas.microsoft.com/office/drawing/2014/main" id="{433C6AC9-73A9-4270-8A2B-6023EED5481F}"/>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48" name="Text Box 3">
          <a:extLst>
            <a:ext uri="{FF2B5EF4-FFF2-40B4-BE49-F238E27FC236}">
              <a16:creationId xmlns:a16="http://schemas.microsoft.com/office/drawing/2014/main" id="{C7EEFDC9-2B2B-4D44-B57B-6E754D3CABAA}"/>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49" name="Text Box 1">
          <a:extLst>
            <a:ext uri="{FF2B5EF4-FFF2-40B4-BE49-F238E27FC236}">
              <a16:creationId xmlns:a16="http://schemas.microsoft.com/office/drawing/2014/main" id="{0B8C4F3A-7687-4144-90B7-75BC663A8988}"/>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50" name="Text Box 1">
          <a:extLst>
            <a:ext uri="{FF2B5EF4-FFF2-40B4-BE49-F238E27FC236}">
              <a16:creationId xmlns:a16="http://schemas.microsoft.com/office/drawing/2014/main" id="{169A30F6-AB1E-480F-AFDE-8227F4D153EA}"/>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51" name="Text Box 3">
          <a:extLst>
            <a:ext uri="{FF2B5EF4-FFF2-40B4-BE49-F238E27FC236}">
              <a16:creationId xmlns:a16="http://schemas.microsoft.com/office/drawing/2014/main" id="{237543F0-4FF1-4A00-B1B8-5BB949A10C96}"/>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52" name="Text Box 1">
          <a:extLst>
            <a:ext uri="{FF2B5EF4-FFF2-40B4-BE49-F238E27FC236}">
              <a16:creationId xmlns:a16="http://schemas.microsoft.com/office/drawing/2014/main" id="{E24D5820-7BA3-46F3-8EE6-E6927AF9A3B8}"/>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53" name="Text Box 3">
          <a:extLst>
            <a:ext uri="{FF2B5EF4-FFF2-40B4-BE49-F238E27FC236}">
              <a16:creationId xmlns:a16="http://schemas.microsoft.com/office/drawing/2014/main" id="{C8768488-E1A6-40AE-9743-873C9E805748}"/>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54" name="Text Box 1">
          <a:extLst>
            <a:ext uri="{FF2B5EF4-FFF2-40B4-BE49-F238E27FC236}">
              <a16:creationId xmlns:a16="http://schemas.microsoft.com/office/drawing/2014/main" id="{167544CA-0A0C-4DBF-B95D-446A89F97F5A}"/>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55" name="Text Box 1">
          <a:extLst>
            <a:ext uri="{FF2B5EF4-FFF2-40B4-BE49-F238E27FC236}">
              <a16:creationId xmlns:a16="http://schemas.microsoft.com/office/drawing/2014/main" id="{FFE61203-7221-4FC2-BFD6-DF1AE3CC838C}"/>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56" name="Text Box 3">
          <a:extLst>
            <a:ext uri="{FF2B5EF4-FFF2-40B4-BE49-F238E27FC236}">
              <a16:creationId xmlns:a16="http://schemas.microsoft.com/office/drawing/2014/main" id="{F5A6F418-7455-4475-A613-826137DE1821}"/>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57" name="Text Box 1">
          <a:extLst>
            <a:ext uri="{FF2B5EF4-FFF2-40B4-BE49-F238E27FC236}">
              <a16:creationId xmlns:a16="http://schemas.microsoft.com/office/drawing/2014/main" id="{44AB6AAE-253E-4757-9519-5A67AB3099C4}"/>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58" name="Text Box 3">
          <a:extLst>
            <a:ext uri="{FF2B5EF4-FFF2-40B4-BE49-F238E27FC236}">
              <a16:creationId xmlns:a16="http://schemas.microsoft.com/office/drawing/2014/main" id="{437DDB09-AC1D-4007-9275-BF5E32FE262A}"/>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59" name="Text Box 1">
          <a:extLst>
            <a:ext uri="{FF2B5EF4-FFF2-40B4-BE49-F238E27FC236}">
              <a16:creationId xmlns:a16="http://schemas.microsoft.com/office/drawing/2014/main" id="{18C1F4FF-9724-4687-8EB7-0911FB4B1ADA}"/>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60" name="Text Box 1">
          <a:extLst>
            <a:ext uri="{FF2B5EF4-FFF2-40B4-BE49-F238E27FC236}">
              <a16:creationId xmlns:a16="http://schemas.microsoft.com/office/drawing/2014/main" id="{8D32A32B-D3F6-4883-A09A-17E593E140A9}"/>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61" name="Text Box 3">
          <a:extLst>
            <a:ext uri="{FF2B5EF4-FFF2-40B4-BE49-F238E27FC236}">
              <a16:creationId xmlns:a16="http://schemas.microsoft.com/office/drawing/2014/main" id="{1A3CBF61-9C9F-48C8-82D4-F31EA5575B4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62" name="Text Box 3">
          <a:extLst>
            <a:ext uri="{FF2B5EF4-FFF2-40B4-BE49-F238E27FC236}">
              <a16:creationId xmlns:a16="http://schemas.microsoft.com/office/drawing/2014/main" id="{9E93F4CF-2FD6-4CA8-BAD7-9298A44B274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63" name="Text Box 1">
          <a:extLst>
            <a:ext uri="{FF2B5EF4-FFF2-40B4-BE49-F238E27FC236}">
              <a16:creationId xmlns:a16="http://schemas.microsoft.com/office/drawing/2014/main" id="{E63A1111-76E3-41C3-996C-DD92EDCF54F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64" name="Text Box 3">
          <a:extLst>
            <a:ext uri="{FF2B5EF4-FFF2-40B4-BE49-F238E27FC236}">
              <a16:creationId xmlns:a16="http://schemas.microsoft.com/office/drawing/2014/main" id="{B9E05593-A04A-4867-85B2-21F38EB7DA8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65" name="Text Box 1">
          <a:extLst>
            <a:ext uri="{FF2B5EF4-FFF2-40B4-BE49-F238E27FC236}">
              <a16:creationId xmlns:a16="http://schemas.microsoft.com/office/drawing/2014/main" id="{7AD3ECE8-2D4E-4F03-8422-7BB96EF57E9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66" name="Text Box 1">
          <a:extLst>
            <a:ext uri="{FF2B5EF4-FFF2-40B4-BE49-F238E27FC236}">
              <a16:creationId xmlns:a16="http://schemas.microsoft.com/office/drawing/2014/main" id="{F9299D76-CA77-4762-919C-442605232FF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67" name="Text Box 3">
          <a:extLst>
            <a:ext uri="{FF2B5EF4-FFF2-40B4-BE49-F238E27FC236}">
              <a16:creationId xmlns:a16="http://schemas.microsoft.com/office/drawing/2014/main" id="{630D2E02-E4D7-4BC3-8480-35DC469EF12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68" name="Text Box 1">
          <a:extLst>
            <a:ext uri="{FF2B5EF4-FFF2-40B4-BE49-F238E27FC236}">
              <a16:creationId xmlns:a16="http://schemas.microsoft.com/office/drawing/2014/main" id="{3CDD418F-1FBE-44E9-92E2-F7B38D74F44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69" name="Text Box 3">
          <a:extLst>
            <a:ext uri="{FF2B5EF4-FFF2-40B4-BE49-F238E27FC236}">
              <a16:creationId xmlns:a16="http://schemas.microsoft.com/office/drawing/2014/main" id="{A75F2510-FE0B-4E7A-9C8E-0D5C1DE152E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70" name="Text Box 1">
          <a:extLst>
            <a:ext uri="{FF2B5EF4-FFF2-40B4-BE49-F238E27FC236}">
              <a16:creationId xmlns:a16="http://schemas.microsoft.com/office/drawing/2014/main" id="{4FB378F3-0D5D-4A2F-B4C7-FEC877A79B7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71" name="Text Box 1">
          <a:extLst>
            <a:ext uri="{FF2B5EF4-FFF2-40B4-BE49-F238E27FC236}">
              <a16:creationId xmlns:a16="http://schemas.microsoft.com/office/drawing/2014/main" id="{C21A3217-5592-41DE-919B-F3F0927208F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72" name="Text Box 3">
          <a:extLst>
            <a:ext uri="{FF2B5EF4-FFF2-40B4-BE49-F238E27FC236}">
              <a16:creationId xmlns:a16="http://schemas.microsoft.com/office/drawing/2014/main" id="{5FDAFF23-AF35-4F17-94D9-E814C96E96E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73" name="Text Box 1">
          <a:extLst>
            <a:ext uri="{FF2B5EF4-FFF2-40B4-BE49-F238E27FC236}">
              <a16:creationId xmlns:a16="http://schemas.microsoft.com/office/drawing/2014/main" id="{95BEA2C5-066D-421C-9B4E-076F5076667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74" name="Text Box 1">
          <a:extLst>
            <a:ext uri="{FF2B5EF4-FFF2-40B4-BE49-F238E27FC236}">
              <a16:creationId xmlns:a16="http://schemas.microsoft.com/office/drawing/2014/main" id="{62183F16-4C43-4241-B16D-8347D1809BF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75" name="Text Box 3">
          <a:extLst>
            <a:ext uri="{FF2B5EF4-FFF2-40B4-BE49-F238E27FC236}">
              <a16:creationId xmlns:a16="http://schemas.microsoft.com/office/drawing/2014/main" id="{01ACB7CE-FCFB-4A8A-9864-B3D60664688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76" name="Text Box 1">
          <a:extLst>
            <a:ext uri="{FF2B5EF4-FFF2-40B4-BE49-F238E27FC236}">
              <a16:creationId xmlns:a16="http://schemas.microsoft.com/office/drawing/2014/main" id="{FD54533A-7132-44DC-BA25-DCACAAA1C1E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77" name="Text Box 3">
          <a:extLst>
            <a:ext uri="{FF2B5EF4-FFF2-40B4-BE49-F238E27FC236}">
              <a16:creationId xmlns:a16="http://schemas.microsoft.com/office/drawing/2014/main" id="{E8BB0695-B50E-41D3-BE2F-49B887169A3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78" name="Text Box 1">
          <a:extLst>
            <a:ext uri="{FF2B5EF4-FFF2-40B4-BE49-F238E27FC236}">
              <a16:creationId xmlns:a16="http://schemas.microsoft.com/office/drawing/2014/main" id="{94200E0F-DF33-41DD-9EA4-80E6E859D04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79" name="Text Box 3">
          <a:extLst>
            <a:ext uri="{FF2B5EF4-FFF2-40B4-BE49-F238E27FC236}">
              <a16:creationId xmlns:a16="http://schemas.microsoft.com/office/drawing/2014/main" id="{D682613B-E545-4C8C-B88A-496E112474E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80" name="Text Box 1">
          <a:extLst>
            <a:ext uri="{FF2B5EF4-FFF2-40B4-BE49-F238E27FC236}">
              <a16:creationId xmlns:a16="http://schemas.microsoft.com/office/drawing/2014/main" id="{B5BF9C63-6B5C-4323-9EF2-E37F8F791B1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81" name="Text Box 3">
          <a:extLst>
            <a:ext uri="{FF2B5EF4-FFF2-40B4-BE49-F238E27FC236}">
              <a16:creationId xmlns:a16="http://schemas.microsoft.com/office/drawing/2014/main" id="{AF8E3AC1-2DDE-4059-87DA-C2792862BAF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82" name="Text Box 1">
          <a:extLst>
            <a:ext uri="{FF2B5EF4-FFF2-40B4-BE49-F238E27FC236}">
              <a16:creationId xmlns:a16="http://schemas.microsoft.com/office/drawing/2014/main" id="{15D7596B-42F2-49FE-9189-0F8FCD7F128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83" name="Text Box 1">
          <a:extLst>
            <a:ext uri="{FF2B5EF4-FFF2-40B4-BE49-F238E27FC236}">
              <a16:creationId xmlns:a16="http://schemas.microsoft.com/office/drawing/2014/main" id="{F1E480BA-DE3C-4278-BAC2-071F400A1B8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2984" name="Text Box 1">
          <a:extLst>
            <a:ext uri="{FF2B5EF4-FFF2-40B4-BE49-F238E27FC236}">
              <a16:creationId xmlns:a16="http://schemas.microsoft.com/office/drawing/2014/main" id="{985D99BF-2BDC-42A0-89F5-6E1AC328555C}"/>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85" name="Text Box 1">
          <a:extLst>
            <a:ext uri="{FF2B5EF4-FFF2-40B4-BE49-F238E27FC236}">
              <a16:creationId xmlns:a16="http://schemas.microsoft.com/office/drawing/2014/main" id="{5A2E58A9-C29F-4B75-AD01-253AC27C9A0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86" name="Text Box 3">
          <a:extLst>
            <a:ext uri="{FF2B5EF4-FFF2-40B4-BE49-F238E27FC236}">
              <a16:creationId xmlns:a16="http://schemas.microsoft.com/office/drawing/2014/main" id="{99ACAC03-D364-4DEE-A467-D5FE7E88FC3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87" name="Text Box 1">
          <a:extLst>
            <a:ext uri="{FF2B5EF4-FFF2-40B4-BE49-F238E27FC236}">
              <a16:creationId xmlns:a16="http://schemas.microsoft.com/office/drawing/2014/main" id="{905D6D55-4153-49BB-ABF5-4DF6A7100F4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88" name="Text Box 3">
          <a:extLst>
            <a:ext uri="{FF2B5EF4-FFF2-40B4-BE49-F238E27FC236}">
              <a16:creationId xmlns:a16="http://schemas.microsoft.com/office/drawing/2014/main" id="{14A75642-3D38-42B4-860C-DD798C4475D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89" name="Text Box 1">
          <a:extLst>
            <a:ext uri="{FF2B5EF4-FFF2-40B4-BE49-F238E27FC236}">
              <a16:creationId xmlns:a16="http://schemas.microsoft.com/office/drawing/2014/main" id="{EDF4C839-0B55-47CA-94E9-A0A819ADBFF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90" name="Text Box 1">
          <a:extLst>
            <a:ext uri="{FF2B5EF4-FFF2-40B4-BE49-F238E27FC236}">
              <a16:creationId xmlns:a16="http://schemas.microsoft.com/office/drawing/2014/main" id="{6274C586-7FD9-4DF8-A70D-5B1F6F66E6D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91" name="Text Box 3">
          <a:extLst>
            <a:ext uri="{FF2B5EF4-FFF2-40B4-BE49-F238E27FC236}">
              <a16:creationId xmlns:a16="http://schemas.microsoft.com/office/drawing/2014/main" id="{0D221D40-65D8-41DE-8177-F0F87991F12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92" name="Text Box 1">
          <a:extLst>
            <a:ext uri="{FF2B5EF4-FFF2-40B4-BE49-F238E27FC236}">
              <a16:creationId xmlns:a16="http://schemas.microsoft.com/office/drawing/2014/main" id="{5009F18F-8F64-4626-8BEC-9AABBF3C0AC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93" name="Text Box 3">
          <a:extLst>
            <a:ext uri="{FF2B5EF4-FFF2-40B4-BE49-F238E27FC236}">
              <a16:creationId xmlns:a16="http://schemas.microsoft.com/office/drawing/2014/main" id="{FD361551-1D39-4BA1-AE2C-2A4DC910061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94" name="Text Box 1">
          <a:extLst>
            <a:ext uri="{FF2B5EF4-FFF2-40B4-BE49-F238E27FC236}">
              <a16:creationId xmlns:a16="http://schemas.microsoft.com/office/drawing/2014/main" id="{9DA008F8-F1DC-489B-9956-B21E9EBBE99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95" name="Text Box 1">
          <a:extLst>
            <a:ext uri="{FF2B5EF4-FFF2-40B4-BE49-F238E27FC236}">
              <a16:creationId xmlns:a16="http://schemas.microsoft.com/office/drawing/2014/main" id="{53C48711-01E9-43C8-A0D5-801708F4F4B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96" name="Text Box 3">
          <a:extLst>
            <a:ext uri="{FF2B5EF4-FFF2-40B4-BE49-F238E27FC236}">
              <a16:creationId xmlns:a16="http://schemas.microsoft.com/office/drawing/2014/main" id="{F74AD83D-4516-432B-96ED-2B7C630EF09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97" name="Text Box 1">
          <a:extLst>
            <a:ext uri="{FF2B5EF4-FFF2-40B4-BE49-F238E27FC236}">
              <a16:creationId xmlns:a16="http://schemas.microsoft.com/office/drawing/2014/main" id="{17095CD6-9CDB-40DF-B550-87964E653EE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98" name="Text Box 3">
          <a:extLst>
            <a:ext uri="{FF2B5EF4-FFF2-40B4-BE49-F238E27FC236}">
              <a16:creationId xmlns:a16="http://schemas.microsoft.com/office/drawing/2014/main" id="{54907DC1-B132-45D9-A60A-DFBB3913DA0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99" name="Text Box 1">
          <a:extLst>
            <a:ext uri="{FF2B5EF4-FFF2-40B4-BE49-F238E27FC236}">
              <a16:creationId xmlns:a16="http://schemas.microsoft.com/office/drawing/2014/main" id="{0226A35E-449A-4DCF-9DF9-79B095626DB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00" name="Text Box 1">
          <a:extLst>
            <a:ext uri="{FF2B5EF4-FFF2-40B4-BE49-F238E27FC236}">
              <a16:creationId xmlns:a16="http://schemas.microsoft.com/office/drawing/2014/main" id="{9494F8C8-B879-4B5F-8880-8A79FEC6369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01" name="Text Box 3">
          <a:extLst>
            <a:ext uri="{FF2B5EF4-FFF2-40B4-BE49-F238E27FC236}">
              <a16:creationId xmlns:a16="http://schemas.microsoft.com/office/drawing/2014/main" id="{F556A713-EC3D-4E5D-8EFA-9F8557253EA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02" name="Text Box 1">
          <a:extLst>
            <a:ext uri="{FF2B5EF4-FFF2-40B4-BE49-F238E27FC236}">
              <a16:creationId xmlns:a16="http://schemas.microsoft.com/office/drawing/2014/main" id="{EA18812C-A397-4987-A8E7-03E893293AE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03" name="Text Box 3">
          <a:extLst>
            <a:ext uri="{FF2B5EF4-FFF2-40B4-BE49-F238E27FC236}">
              <a16:creationId xmlns:a16="http://schemas.microsoft.com/office/drawing/2014/main" id="{B02E69E6-A2A3-4054-A0B8-701DED13978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04" name="Text Box 1">
          <a:extLst>
            <a:ext uri="{FF2B5EF4-FFF2-40B4-BE49-F238E27FC236}">
              <a16:creationId xmlns:a16="http://schemas.microsoft.com/office/drawing/2014/main" id="{B79F5F6A-AE9C-40FA-B2E2-960ACC35CB0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05" name="Text Box 1">
          <a:extLst>
            <a:ext uri="{FF2B5EF4-FFF2-40B4-BE49-F238E27FC236}">
              <a16:creationId xmlns:a16="http://schemas.microsoft.com/office/drawing/2014/main" id="{7266AF64-071A-403E-8CCF-27FF7C2E6CB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06" name="Text Box 3">
          <a:extLst>
            <a:ext uri="{FF2B5EF4-FFF2-40B4-BE49-F238E27FC236}">
              <a16:creationId xmlns:a16="http://schemas.microsoft.com/office/drawing/2014/main" id="{7DCDD5AF-24FF-44D5-BD74-5911C013CBC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07" name="Text Box 1">
          <a:extLst>
            <a:ext uri="{FF2B5EF4-FFF2-40B4-BE49-F238E27FC236}">
              <a16:creationId xmlns:a16="http://schemas.microsoft.com/office/drawing/2014/main" id="{157EE55E-EA83-4FD6-94ED-EF5B2BA7D77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08" name="Text Box 3">
          <a:extLst>
            <a:ext uri="{FF2B5EF4-FFF2-40B4-BE49-F238E27FC236}">
              <a16:creationId xmlns:a16="http://schemas.microsoft.com/office/drawing/2014/main" id="{9AF5E3A7-B1C2-4F1C-BA24-A0090B5A3AD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09" name="Text Box 1">
          <a:extLst>
            <a:ext uri="{FF2B5EF4-FFF2-40B4-BE49-F238E27FC236}">
              <a16:creationId xmlns:a16="http://schemas.microsoft.com/office/drawing/2014/main" id="{C0A94B05-9CF6-4707-849B-2913EEFFED9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10" name="Text Box 1">
          <a:extLst>
            <a:ext uri="{FF2B5EF4-FFF2-40B4-BE49-F238E27FC236}">
              <a16:creationId xmlns:a16="http://schemas.microsoft.com/office/drawing/2014/main" id="{1318FE3B-CF15-4EC3-8D6C-0A8C83CFA2C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11" name="Text Box 3">
          <a:extLst>
            <a:ext uri="{FF2B5EF4-FFF2-40B4-BE49-F238E27FC236}">
              <a16:creationId xmlns:a16="http://schemas.microsoft.com/office/drawing/2014/main" id="{332DDA02-D848-4AD2-A92B-16B89113F40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12" name="Text Box 1">
          <a:extLst>
            <a:ext uri="{FF2B5EF4-FFF2-40B4-BE49-F238E27FC236}">
              <a16:creationId xmlns:a16="http://schemas.microsoft.com/office/drawing/2014/main" id="{840265DD-F1B2-4DBC-9CD5-6BC749AE4FF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13" name="Text Box 3">
          <a:extLst>
            <a:ext uri="{FF2B5EF4-FFF2-40B4-BE49-F238E27FC236}">
              <a16:creationId xmlns:a16="http://schemas.microsoft.com/office/drawing/2014/main" id="{F8175A22-34D2-46B9-B6A7-A06202C5808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14" name="Text Box 1">
          <a:extLst>
            <a:ext uri="{FF2B5EF4-FFF2-40B4-BE49-F238E27FC236}">
              <a16:creationId xmlns:a16="http://schemas.microsoft.com/office/drawing/2014/main" id="{722A760C-2674-4F78-8522-DA0801CF1A2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15" name="Text Box 1">
          <a:extLst>
            <a:ext uri="{FF2B5EF4-FFF2-40B4-BE49-F238E27FC236}">
              <a16:creationId xmlns:a16="http://schemas.microsoft.com/office/drawing/2014/main" id="{F636A0C9-6BE8-4B11-A921-40B8AE921C7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16" name="Text Box 3">
          <a:extLst>
            <a:ext uri="{FF2B5EF4-FFF2-40B4-BE49-F238E27FC236}">
              <a16:creationId xmlns:a16="http://schemas.microsoft.com/office/drawing/2014/main" id="{6FB20C8A-7AED-4BED-9253-767668D142C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17" name="Text Box 1">
          <a:extLst>
            <a:ext uri="{FF2B5EF4-FFF2-40B4-BE49-F238E27FC236}">
              <a16:creationId xmlns:a16="http://schemas.microsoft.com/office/drawing/2014/main" id="{1F27CE7D-B2E1-40C6-BA0E-3C985FAE4A6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18" name="Text Box 3">
          <a:extLst>
            <a:ext uri="{FF2B5EF4-FFF2-40B4-BE49-F238E27FC236}">
              <a16:creationId xmlns:a16="http://schemas.microsoft.com/office/drawing/2014/main" id="{D6E311B9-FC5F-4A32-BDAC-84562F3AA7C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19" name="Text Box 1">
          <a:extLst>
            <a:ext uri="{FF2B5EF4-FFF2-40B4-BE49-F238E27FC236}">
              <a16:creationId xmlns:a16="http://schemas.microsoft.com/office/drawing/2014/main" id="{AB9AEAA7-6013-405F-9CDA-73A71BC1C14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20" name="Text Box 1">
          <a:extLst>
            <a:ext uri="{FF2B5EF4-FFF2-40B4-BE49-F238E27FC236}">
              <a16:creationId xmlns:a16="http://schemas.microsoft.com/office/drawing/2014/main" id="{6FD7D728-DF14-4DCF-9444-33D17CF2A67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21" name="Text Box 3">
          <a:extLst>
            <a:ext uri="{FF2B5EF4-FFF2-40B4-BE49-F238E27FC236}">
              <a16:creationId xmlns:a16="http://schemas.microsoft.com/office/drawing/2014/main" id="{51EA656C-745E-4A91-97D5-BB5319B17E0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22" name="Text Box 1">
          <a:extLst>
            <a:ext uri="{FF2B5EF4-FFF2-40B4-BE49-F238E27FC236}">
              <a16:creationId xmlns:a16="http://schemas.microsoft.com/office/drawing/2014/main" id="{F75CD96B-11E8-4AC2-9623-AA358082BAE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23" name="Text Box 3">
          <a:extLst>
            <a:ext uri="{FF2B5EF4-FFF2-40B4-BE49-F238E27FC236}">
              <a16:creationId xmlns:a16="http://schemas.microsoft.com/office/drawing/2014/main" id="{FF9D960A-C86F-4BF7-A0F8-B35D2C11B8D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24" name="Text Box 1">
          <a:extLst>
            <a:ext uri="{FF2B5EF4-FFF2-40B4-BE49-F238E27FC236}">
              <a16:creationId xmlns:a16="http://schemas.microsoft.com/office/drawing/2014/main" id="{8FC5EB89-86DF-4D46-AA52-F4A91E1C0E1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25" name="Text Box 1">
          <a:extLst>
            <a:ext uri="{FF2B5EF4-FFF2-40B4-BE49-F238E27FC236}">
              <a16:creationId xmlns:a16="http://schemas.microsoft.com/office/drawing/2014/main" id="{746594C5-9EF0-4F58-8D4B-1D70468DB73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26" name="Text Box 3">
          <a:extLst>
            <a:ext uri="{FF2B5EF4-FFF2-40B4-BE49-F238E27FC236}">
              <a16:creationId xmlns:a16="http://schemas.microsoft.com/office/drawing/2014/main" id="{04829D25-A3AE-4FF4-BE47-346893D36BF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27" name="Text Box 1">
          <a:extLst>
            <a:ext uri="{FF2B5EF4-FFF2-40B4-BE49-F238E27FC236}">
              <a16:creationId xmlns:a16="http://schemas.microsoft.com/office/drawing/2014/main" id="{3F586E3A-94F5-4B72-A717-1D98CE6B7C2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28" name="Text Box 3">
          <a:extLst>
            <a:ext uri="{FF2B5EF4-FFF2-40B4-BE49-F238E27FC236}">
              <a16:creationId xmlns:a16="http://schemas.microsoft.com/office/drawing/2014/main" id="{03D5C073-FBAF-4383-A7B0-D502AAE3D5E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29" name="Text Box 1">
          <a:extLst>
            <a:ext uri="{FF2B5EF4-FFF2-40B4-BE49-F238E27FC236}">
              <a16:creationId xmlns:a16="http://schemas.microsoft.com/office/drawing/2014/main" id="{73B359B7-92FC-42DE-B28B-0D6C829F495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30" name="Text Box 1">
          <a:extLst>
            <a:ext uri="{FF2B5EF4-FFF2-40B4-BE49-F238E27FC236}">
              <a16:creationId xmlns:a16="http://schemas.microsoft.com/office/drawing/2014/main" id="{4953A77A-CB11-458E-B4F0-572FEAC5D63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31" name="Text Box 3">
          <a:extLst>
            <a:ext uri="{FF2B5EF4-FFF2-40B4-BE49-F238E27FC236}">
              <a16:creationId xmlns:a16="http://schemas.microsoft.com/office/drawing/2014/main" id="{A2219FC2-7784-4010-B964-BC3BD1CD017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32" name="Text Box 1">
          <a:extLst>
            <a:ext uri="{FF2B5EF4-FFF2-40B4-BE49-F238E27FC236}">
              <a16:creationId xmlns:a16="http://schemas.microsoft.com/office/drawing/2014/main" id="{110BB4C5-FE39-48A0-BC87-527AEB82A0D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33" name="Text Box 3">
          <a:extLst>
            <a:ext uri="{FF2B5EF4-FFF2-40B4-BE49-F238E27FC236}">
              <a16:creationId xmlns:a16="http://schemas.microsoft.com/office/drawing/2014/main" id="{E531C2CA-D31F-4DFB-8ECC-9C4328E076F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34" name="Text Box 1">
          <a:extLst>
            <a:ext uri="{FF2B5EF4-FFF2-40B4-BE49-F238E27FC236}">
              <a16:creationId xmlns:a16="http://schemas.microsoft.com/office/drawing/2014/main" id="{B0EC2199-7C81-4577-9342-E5797B08F18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35" name="Text Box 1">
          <a:extLst>
            <a:ext uri="{FF2B5EF4-FFF2-40B4-BE49-F238E27FC236}">
              <a16:creationId xmlns:a16="http://schemas.microsoft.com/office/drawing/2014/main" id="{AEB22268-22C7-4272-A5F1-9FF1C640781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36" name="Text Box 3">
          <a:extLst>
            <a:ext uri="{FF2B5EF4-FFF2-40B4-BE49-F238E27FC236}">
              <a16:creationId xmlns:a16="http://schemas.microsoft.com/office/drawing/2014/main" id="{57C6E145-3584-4E53-9DAB-B41E6D9E17D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37" name="Text Box 1">
          <a:extLst>
            <a:ext uri="{FF2B5EF4-FFF2-40B4-BE49-F238E27FC236}">
              <a16:creationId xmlns:a16="http://schemas.microsoft.com/office/drawing/2014/main" id="{DABE0DC7-1142-436B-ADC7-B2448F39B0A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38" name="Text Box 3">
          <a:extLst>
            <a:ext uri="{FF2B5EF4-FFF2-40B4-BE49-F238E27FC236}">
              <a16:creationId xmlns:a16="http://schemas.microsoft.com/office/drawing/2014/main" id="{17F90D4A-305B-421C-8296-4F8F3893150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39" name="Text Box 1">
          <a:extLst>
            <a:ext uri="{FF2B5EF4-FFF2-40B4-BE49-F238E27FC236}">
              <a16:creationId xmlns:a16="http://schemas.microsoft.com/office/drawing/2014/main" id="{A6CDCE40-C977-4760-B29A-EB3F5F854D3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40" name="Text Box 1">
          <a:extLst>
            <a:ext uri="{FF2B5EF4-FFF2-40B4-BE49-F238E27FC236}">
              <a16:creationId xmlns:a16="http://schemas.microsoft.com/office/drawing/2014/main" id="{3EBD246E-D532-4DD0-A2FB-EAD04D72EF0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41" name="Text Box 3">
          <a:extLst>
            <a:ext uri="{FF2B5EF4-FFF2-40B4-BE49-F238E27FC236}">
              <a16:creationId xmlns:a16="http://schemas.microsoft.com/office/drawing/2014/main" id="{17BAFD9D-BF7C-40CD-AD3C-763A07331FB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42" name="Text Box 1">
          <a:extLst>
            <a:ext uri="{FF2B5EF4-FFF2-40B4-BE49-F238E27FC236}">
              <a16:creationId xmlns:a16="http://schemas.microsoft.com/office/drawing/2014/main" id="{7E5D1458-FBB9-425B-BBC7-B36955D6FA7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43" name="Text Box 3">
          <a:extLst>
            <a:ext uri="{FF2B5EF4-FFF2-40B4-BE49-F238E27FC236}">
              <a16:creationId xmlns:a16="http://schemas.microsoft.com/office/drawing/2014/main" id="{8E521A62-9388-40E3-BD4A-FC02E23C783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44" name="Text Box 1">
          <a:extLst>
            <a:ext uri="{FF2B5EF4-FFF2-40B4-BE49-F238E27FC236}">
              <a16:creationId xmlns:a16="http://schemas.microsoft.com/office/drawing/2014/main" id="{9F76A802-A186-4B28-A770-15FCB38D627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45" name="Text Box 1">
          <a:extLst>
            <a:ext uri="{FF2B5EF4-FFF2-40B4-BE49-F238E27FC236}">
              <a16:creationId xmlns:a16="http://schemas.microsoft.com/office/drawing/2014/main" id="{0892E93A-0CBF-46AC-86C9-7870895F054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46" name="Text Box 3">
          <a:extLst>
            <a:ext uri="{FF2B5EF4-FFF2-40B4-BE49-F238E27FC236}">
              <a16:creationId xmlns:a16="http://schemas.microsoft.com/office/drawing/2014/main" id="{D07A0FEC-58C9-42A4-BCB7-B59431CB3DF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47" name="Text Box 1">
          <a:extLst>
            <a:ext uri="{FF2B5EF4-FFF2-40B4-BE49-F238E27FC236}">
              <a16:creationId xmlns:a16="http://schemas.microsoft.com/office/drawing/2014/main" id="{5FA64940-E09F-4316-9A2E-237CA7D2E70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48" name="Text Box 3">
          <a:extLst>
            <a:ext uri="{FF2B5EF4-FFF2-40B4-BE49-F238E27FC236}">
              <a16:creationId xmlns:a16="http://schemas.microsoft.com/office/drawing/2014/main" id="{C3275C90-C79A-42CB-BC50-8C75D3E03B6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49" name="Text Box 1">
          <a:extLst>
            <a:ext uri="{FF2B5EF4-FFF2-40B4-BE49-F238E27FC236}">
              <a16:creationId xmlns:a16="http://schemas.microsoft.com/office/drawing/2014/main" id="{7664CEA6-9F2A-451E-9052-C3211C2639E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50" name="Text Box 1">
          <a:extLst>
            <a:ext uri="{FF2B5EF4-FFF2-40B4-BE49-F238E27FC236}">
              <a16:creationId xmlns:a16="http://schemas.microsoft.com/office/drawing/2014/main" id="{A61ADB49-2180-47E1-A3DE-AC030EBF1EB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51" name="Text Box 3">
          <a:extLst>
            <a:ext uri="{FF2B5EF4-FFF2-40B4-BE49-F238E27FC236}">
              <a16:creationId xmlns:a16="http://schemas.microsoft.com/office/drawing/2014/main" id="{71F80F41-F371-434A-BFC6-ED4166FE658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52" name="Text Box 1">
          <a:extLst>
            <a:ext uri="{FF2B5EF4-FFF2-40B4-BE49-F238E27FC236}">
              <a16:creationId xmlns:a16="http://schemas.microsoft.com/office/drawing/2014/main" id="{A09081C4-DC23-4AA0-BBCB-D7990447D60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53" name="Text Box 3">
          <a:extLst>
            <a:ext uri="{FF2B5EF4-FFF2-40B4-BE49-F238E27FC236}">
              <a16:creationId xmlns:a16="http://schemas.microsoft.com/office/drawing/2014/main" id="{7FADABA5-64EC-411D-9E21-DE32E5FC7F0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54" name="Text Box 1">
          <a:extLst>
            <a:ext uri="{FF2B5EF4-FFF2-40B4-BE49-F238E27FC236}">
              <a16:creationId xmlns:a16="http://schemas.microsoft.com/office/drawing/2014/main" id="{DA65547C-8B7D-4EF3-AAE6-DD1F3BE3566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55" name="Text Box 1">
          <a:extLst>
            <a:ext uri="{FF2B5EF4-FFF2-40B4-BE49-F238E27FC236}">
              <a16:creationId xmlns:a16="http://schemas.microsoft.com/office/drawing/2014/main" id="{0E44ACDD-6A51-47D2-B206-E10C2171D94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56" name="Text Box 3">
          <a:extLst>
            <a:ext uri="{FF2B5EF4-FFF2-40B4-BE49-F238E27FC236}">
              <a16:creationId xmlns:a16="http://schemas.microsoft.com/office/drawing/2014/main" id="{A5E32936-FC86-4558-A41B-5E0813B098F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57" name="Text Box 1">
          <a:extLst>
            <a:ext uri="{FF2B5EF4-FFF2-40B4-BE49-F238E27FC236}">
              <a16:creationId xmlns:a16="http://schemas.microsoft.com/office/drawing/2014/main" id="{2068B06A-0BA4-4EEF-AFDC-F30B1414092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58" name="Text Box 3">
          <a:extLst>
            <a:ext uri="{FF2B5EF4-FFF2-40B4-BE49-F238E27FC236}">
              <a16:creationId xmlns:a16="http://schemas.microsoft.com/office/drawing/2014/main" id="{F55921AB-92A3-4683-B020-F1289F1FAF0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59" name="Text Box 1">
          <a:extLst>
            <a:ext uri="{FF2B5EF4-FFF2-40B4-BE49-F238E27FC236}">
              <a16:creationId xmlns:a16="http://schemas.microsoft.com/office/drawing/2014/main" id="{1831CAED-05AF-490C-AB5C-D11B9F32A2F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60" name="Text Box 1">
          <a:extLst>
            <a:ext uri="{FF2B5EF4-FFF2-40B4-BE49-F238E27FC236}">
              <a16:creationId xmlns:a16="http://schemas.microsoft.com/office/drawing/2014/main" id="{4E9A9DEB-2120-42A4-9A9F-B82CCCDD2C4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61" name="Text Box 3">
          <a:extLst>
            <a:ext uri="{FF2B5EF4-FFF2-40B4-BE49-F238E27FC236}">
              <a16:creationId xmlns:a16="http://schemas.microsoft.com/office/drawing/2014/main" id="{E819964F-7525-4569-B05D-F88F63F4128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62" name="Text Box 1">
          <a:extLst>
            <a:ext uri="{FF2B5EF4-FFF2-40B4-BE49-F238E27FC236}">
              <a16:creationId xmlns:a16="http://schemas.microsoft.com/office/drawing/2014/main" id="{DDF1C383-7B22-4BCB-B564-AB4E3A2C2B2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63" name="Text Box 3">
          <a:extLst>
            <a:ext uri="{FF2B5EF4-FFF2-40B4-BE49-F238E27FC236}">
              <a16:creationId xmlns:a16="http://schemas.microsoft.com/office/drawing/2014/main" id="{B1A4FFAD-17C6-41F8-A186-DA14C27A9A7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64" name="Text Box 1">
          <a:extLst>
            <a:ext uri="{FF2B5EF4-FFF2-40B4-BE49-F238E27FC236}">
              <a16:creationId xmlns:a16="http://schemas.microsoft.com/office/drawing/2014/main" id="{A698DEA4-A6FE-417D-8533-BDAC5E5C28A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65" name="Text Box 1">
          <a:extLst>
            <a:ext uri="{FF2B5EF4-FFF2-40B4-BE49-F238E27FC236}">
              <a16:creationId xmlns:a16="http://schemas.microsoft.com/office/drawing/2014/main" id="{1E88E4DC-93D8-4647-8BA9-9BB810E735C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66" name="Text Box 3">
          <a:extLst>
            <a:ext uri="{FF2B5EF4-FFF2-40B4-BE49-F238E27FC236}">
              <a16:creationId xmlns:a16="http://schemas.microsoft.com/office/drawing/2014/main" id="{6F2AD076-254D-4CA7-B203-9D64D71F720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67" name="Text Box 1">
          <a:extLst>
            <a:ext uri="{FF2B5EF4-FFF2-40B4-BE49-F238E27FC236}">
              <a16:creationId xmlns:a16="http://schemas.microsoft.com/office/drawing/2014/main" id="{193228A3-E63E-4A6D-AC10-CFBBE9ECAE9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68" name="Text Box 3">
          <a:extLst>
            <a:ext uri="{FF2B5EF4-FFF2-40B4-BE49-F238E27FC236}">
              <a16:creationId xmlns:a16="http://schemas.microsoft.com/office/drawing/2014/main" id="{BBD63243-B89B-4E38-B893-077312F92D2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69" name="Text Box 1">
          <a:extLst>
            <a:ext uri="{FF2B5EF4-FFF2-40B4-BE49-F238E27FC236}">
              <a16:creationId xmlns:a16="http://schemas.microsoft.com/office/drawing/2014/main" id="{9B59B8E2-AFC5-4F44-817F-D4483FB4551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70" name="Text Box 1">
          <a:extLst>
            <a:ext uri="{FF2B5EF4-FFF2-40B4-BE49-F238E27FC236}">
              <a16:creationId xmlns:a16="http://schemas.microsoft.com/office/drawing/2014/main" id="{5876CD76-9C8F-4402-87E8-A4B03B1E2EA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71" name="Text Box 3">
          <a:extLst>
            <a:ext uri="{FF2B5EF4-FFF2-40B4-BE49-F238E27FC236}">
              <a16:creationId xmlns:a16="http://schemas.microsoft.com/office/drawing/2014/main" id="{A6DEE094-5BC3-4EDE-924C-EF208A1034F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72" name="Text Box 1">
          <a:extLst>
            <a:ext uri="{FF2B5EF4-FFF2-40B4-BE49-F238E27FC236}">
              <a16:creationId xmlns:a16="http://schemas.microsoft.com/office/drawing/2014/main" id="{960B3DB6-2E3F-4844-844C-241665016B6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73" name="Text Box 3">
          <a:extLst>
            <a:ext uri="{FF2B5EF4-FFF2-40B4-BE49-F238E27FC236}">
              <a16:creationId xmlns:a16="http://schemas.microsoft.com/office/drawing/2014/main" id="{12A95C88-2DB6-4942-8DD7-FC1EE67D5B6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74" name="Text Box 1">
          <a:extLst>
            <a:ext uri="{FF2B5EF4-FFF2-40B4-BE49-F238E27FC236}">
              <a16:creationId xmlns:a16="http://schemas.microsoft.com/office/drawing/2014/main" id="{F8C99C7A-F377-4507-97F8-D2BE4194872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75" name="Text Box 1">
          <a:extLst>
            <a:ext uri="{FF2B5EF4-FFF2-40B4-BE49-F238E27FC236}">
              <a16:creationId xmlns:a16="http://schemas.microsoft.com/office/drawing/2014/main" id="{A7E9FBF9-E612-488D-A1E7-6166B0427D0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76" name="Text Box 3">
          <a:extLst>
            <a:ext uri="{FF2B5EF4-FFF2-40B4-BE49-F238E27FC236}">
              <a16:creationId xmlns:a16="http://schemas.microsoft.com/office/drawing/2014/main" id="{F529A8D3-AD28-4949-B39B-E3DF09CA667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77" name="Text Box 1">
          <a:extLst>
            <a:ext uri="{FF2B5EF4-FFF2-40B4-BE49-F238E27FC236}">
              <a16:creationId xmlns:a16="http://schemas.microsoft.com/office/drawing/2014/main" id="{5A0B5685-B0FB-43A8-8E1E-A752143A2CC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78" name="Text Box 3">
          <a:extLst>
            <a:ext uri="{FF2B5EF4-FFF2-40B4-BE49-F238E27FC236}">
              <a16:creationId xmlns:a16="http://schemas.microsoft.com/office/drawing/2014/main" id="{A094F5D1-AF0E-487A-AA5D-09827879F68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79" name="Text Box 1">
          <a:extLst>
            <a:ext uri="{FF2B5EF4-FFF2-40B4-BE49-F238E27FC236}">
              <a16:creationId xmlns:a16="http://schemas.microsoft.com/office/drawing/2014/main" id="{8688DD5B-A51F-4306-8C29-CC82C9B33F6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80" name="Text Box 1">
          <a:extLst>
            <a:ext uri="{FF2B5EF4-FFF2-40B4-BE49-F238E27FC236}">
              <a16:creationId xmlns:a16="http://schemas.microsoft.com/office/drawing/2014/main" id="{42E6F6DF-C468-4739-953E-E7574A73EF1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81" name="Text Box 3">
          <a:extLst>
            <a:ext uri="{FF2B5EF4-FFF2-40B4-BE49-F238E27FC236}">
              <a16:creationId xmlns:a16="http://schemas.microsoft.com/office/drawing/2014/main" id="{2B83A4A7-52C8-4BFD-8BCB-784DF2A53BB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82" name="Text Box 1">
          <a:extLst>
            <a:ext uri="{FF2B5EF4-FFF2-40B4-BE49-F238E27FC236}">
              <a16:creationId xmlns:a16="http://schemas.microsoft.com/office/drawing/2014/main" id="{94AFBFAF-F70A-489E-84B7-C9C945AC77B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83" name="Text Box 3">
          <a:extLst>
            <a:ext uri="{FF2B5EF4-FFF2-40B4-BE49-F238E27FC236}">
              <a16:creationId xmlns:a16="http://schemas.microsoft.com/office/drawing/2014/main" id="{7D91132E-0F7B-4545-93BB-B16F62EB7B7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84" name="Text Box 1">
          <a:extLst>
            <a:ext uri="{FF2B5EF4-FFF2-40B4-BE49-F238E27FC236}">
              <a16:creationId xmlns:a16="http://schemas.microsoft.com/office/drawing/2014/main" id="{C935E11C-F938-4774-8EB5-92C2E1519C3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85" name="Text Box 1">
          <a:extLst>
            <a:ext uri="{FF2B5EF4-FFF2-40B4-BE49-F238E27FC236}">
              <a16:creationId xmlns:a16="http://schemas.microsoft.com/office/drawing/2014/main" id="{63B8BD90-D4AF-44B4-BFF3-B4968326DFB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86" name="Text Box 3">
          <a:extLst>
            <a:ext uri="{FF2B5EF4-FFF2-40B4-BE49-F238E27FC236}">
              <a16:creationId xmlns:a16="http://schemas.microsoft.com/office/drawing/2014/main" id="{C1A3BD08-CCEA-4B36-838D-0796F243FD2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87" name="Text Box 1">
          <a:extLst>
            <a:ext uri="{FF2B5EF4-FFF2-40B4-BE49-F238E27FC236}">
              <a16:creationId xmlns:a16="http://schemas.microsoft.com/office/drawing/2014/main" id="{7D472128-D964-4EC1-9266-FF6F503E657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88" name="Text Box 3">
          <a:extLst>
            <a:ext uri="{FF2B5EF4-FFF2-40B4-BE49-F238E27FC236}">
              <a16:creationId xmlns:a16="http://schemas.microsoft.com/office/drawing/2014/main" id="{8E35A1AB-C912-4D92-A53C-2480BD10904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89" name="Text Box 1">
          <a:extLst>
            <a:ext uri="{FF2B5EF4-FFF2-40B4-BE49-F238E27FC236}">
              <a16:creationId xmlns:a16="http://schemas.microsoft.com/office/drawing/2014/main" id="{43509AFC-1434-4018-B968-9F74FBF56DF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90" name="Text Box 1">
          <a:extLst>
            <a:ext uri="{FF2B5EF4-FFF2-40B4-BE49-F238E27FC236}">
              <a16:creationId xmlns:a16="http://schemas.microsoft.com/office/drawing/2014/main" id="{CC20B343-2DE0-4EC3-8D65-D58BABAFF07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91" name="Text Box 3">
          <a:extLst>
            <a:ext uri="{FF2B5EF4-FFF2-40B4-BE49-F238E27FC236}">
              <a16:creationId xmlns:a16="http://schemas.microsoft.com/office/drawing/2014/main" id="{B2D0649E-C9AF-4616-8532-563E090B756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92" name="Text Box 1">
          <a:extLst>
            <a:ext uri="{FF2B5EF4-FFF2-40B4-BE49-F238E27FC236}">
              <a16:creationId xmlns:a16="http://schemas.microsoft.com/office/drawing/2014/main" id="{79829617-FE96-4CA0-84A2-82F5F03D051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93" name="Text Box 3">
          <a:extLst>
            <a:ext uri="{FF2B5EF4-FFF2-40B4-BE49-F238E27FC236}">
              <a16:creationId xmlns:a16="http://schemas.microsoft.com/office/drawing/2014/main" id="{DDEE397C-13A0-4131-96B9-9DD1A3B71E4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94" name="Text Box 1">
          <a:extLst>
            <a:ext uri="{FF2B5EF4-FFF2-40B4-BE49-F238E27FC236}">
              <a16:creationId xmlns:a16="http://schemas.microsoft.com/office/drawing/2014/main" id="{C216F22D-61DF-4633-A34E-47282BA8B89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95" name="Text Box 1">
          <a:extLst>
            <a:ext uri="{FF2B5EF4-FFF2-40B4-BE49-F238E27FC236}">
              <a16:creationId xmlns:a16="http://schemas.microsoft.com/office/drawing/2014/main" id="{539B9CE7-4182-45F4-8088-531AA2D20B9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96" name="Text Box 3">
          <a:extLst>
            <a:ext uri="{FF2B5EF4-FFF2-40B4-BE49-F238E27FC236}">
              <a16:creationId xmlns:a16="http://schemas.microsoft.com/office/drawing/2014/main" id="{0B76B181-CE51-4597-BA13-9DA1AC10C5A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97" name="Text Box 1">
          <a:extLst>
            <a:ext uri="{FF2B5EF4-FFF2-40B4-BE49-F238E27FC236}">
              <a16:creationId xmlns:a16="http://schemas.microsoft.com/office/drawing/2014/main" id="{80A7E827-2289-4D31-A91A-2E19C31752F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98" name="Text Box 3">
          <a:extLst>
            <a:ext uri="{FF2B5EF4-FFF2-40B4-BE49-F238E27FC236}">
              <a16:creationId xmlns:a16="http://schemas.microsoft.com/office/drawing/2014/main" id="{21DD8438-79C0-4D01-80CF-F28CAF4BDBB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99" name="Text Box 1">
          <a:extLst>
            <a:ext uri="{FF2B5EF4-FFF2-40B4-BE49-F238E27FC236}">
              <a16:creationId xmlns:a16="http://schemas.microsoft.com/office/drawing/2014/main" id="{C44FF027-974F-4D86-82E7-8DEA67694A3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00" name="Text Box 1">
          <a:extLst>
            <a:ext uri="{FF2B5EF4-FFF2-40B4-BE49-F238E27FC236}">
              <a16:creationId xmlns:a16="http://schemas.microsoft.com/office/drawing/2014/main" id="{0535E4C7-4ED6-495F-A9A9-49F565B312B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01" name="Text Box 3">
          <a:extLst>
            <a:ext uri="{FF2B5EF4-FFF2-40B4-BE49-F238E27FC236}">
              <a16:creationId xmlns:a16="http://schemas.microsoft.com/office/drawing/2014/main" id="{7532D813-8F64-4C68-BE06-E6D477DC83C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02" name="Text Box 1">
          <a:extLst>
            <a:ext uri="{FF2B5EF4-FFF2-40B4-BE49-F238E27FC236}">
              <a16:creationId xmlns:a16="http://schemas.microsoft.com/office/drawing/2014/main" id="{A1A0DC9A-9B40-4725-911F-721B7E26722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03" name="Text Box 3">
          <a:extLst>
            <a:ext uri="{FF2B5EF4-FFF2-40B4-BE49-F238E27FC236}">
              <a16:creationId xmlns:a16="http://schemas.microsoft.com/office/drawing/2014/main" id="{97E7815A-7F03-419A-8749-46C3AD62712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04" name="Text Box 1">
          <a:extLst>
            <a:ext uri="{FF2B5EF4-FFF2-40B4-BE49-F238E27FC236}">
              <a16:creationId xmlns:a16="http://schemas.microsoft.com/office/drawing/2014/main" id="{F75D6822-BAC1-4A58-9F67-01906188898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05" name="Text Box 1">
          <a:extLst>
            <a:ext uri="{FF2B5EF4-FFF2-40B4-BE49-F238E27FC236}">
              <a16:creationId xmlns:a16="http://schemas.microsoft.com/office/drawing/2014/main" id="{752C0240-3CB1-4A9E-A0B6-97DA33422B9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06" name="Text Box 3">
          <a:extLst>
            <a:ext uri="{FF2B5EF4-FFF2-40B4-BE49-F238E27FC236}">
              <a16:creationId xmlns:a16="http://schemas.microsoft.com/office/drawing/2014/main" id="{5EC428F3-01B8-4DE0-A3BD-039584A40D4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07" name="Text Box 1">
          <a:extLst>
            <a:ext uri="{FF2B5EF4-FFF2-40B4-BE49-F238E27FC236}">
              <a16:creationId xmlns:a16="http://schemas.microsoft.com/office/drawing/2014/main" id="{A1916A14-938D-42FA-ADA9-8FF44DC72A6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08" name="Text Box 3">
          <a:extLst>
            <a:ext uri="{FF2B5EF4-FFF2-40B4-BE49-F238E27FC236}">
              <a16:creationId xmlns:a16="http://schemas.microsoft.com/office/drawing/2014/main" id="{64F7D268-2DF9-4F7C-86AC-8FBADBBC8AE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09" name="Text Box 1">
          <a:extLst>
            <a:ext uri="{FF2B5EF4-FFF2-40B4-BE49-F238E27FC236}">
              <a16:creationId xmlns:a16="http://schemas.microsoft.com/office/drawing/2014/main" id="{1043221A-78F5-45FD-9212-A25814A366F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10" name="Text Box 1">
          <a:extLst>
            <a:ext uri="{FF2B5EF4-FFF2-40B4-BE49-F238E27FC236}">
              <a16:creationId xmlns:a16="http://schemas.microsoft.com/office/drawing/2014/main" id="{570DFAB8-8D68-4122-91C1-0ECAACC95BE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11" name="Text Box 3">
          <a:extLst>
            <a:ext uri="{FF2B5EF4-FFF2-40B4-BE49-F238E27FC236}">
              <a16:creationId xmlns:a16="http://schemas.microsoft.com/office/drawing/2014/main" id="{460E2027-FAB3-47B4-874F-E8D00D4EE81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12" name="Text Box 1">
          <a:extLst>
            <a:ext uri="{FF2B5EF4-FFF2-40B4-BE49-F238E27FC236}">
              <a16:creationId xmlns:a16="http://schemas.microsoft.com/office/drawing/2014/main" id="{84663C05-BEB0-4E3D-A4B7-A1F44E50E7D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13" name="Text Box 3">
          <a:extLst>
            <a:ext uri="{FF2B5EF4-FFF2-40B4-BE49-F238E27FC236}">
              <a16:creationId xmlns:a16="http://schemas.microsoft.com/office/drawing/2014/main" id="{EFFFB3C2-8E87-497B-B60E-AB6AA67157C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14" name="Text Box 1">
          <a:extLst>
            <a:ext uri="{FF2B5EF4-FFF2-40B4-BE49-F238E27FC236}">
              <a16:creationId xmlns:a16="http://schemas.microsoft.com/office/drawing/2014/main" id="{E269A211-96E4-41E4-A19F-7C2BEEFD802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15" name="Text Box 1">
          <a:extLst>
            <a:ext uri="{FF2B5EF4-FFF2-40B4-BE49-F238E27FC236}">
              <a16:creationId xmlns:a16="http://schemas.microsoft.com/office/drawing/2014/main" id="{F01141AC-DBE4-48B2-97EC-A51FE3C1905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16" name="Text Box 3">
          <a:extLst>
            <a:ext uri="{FF2B5EF4-FFF2-40B4-BE49-F238E27FC236}">
              <a16:creationId xmlns:a16="http://schemas.microsoft.com/office/drawing/2014/main" id="{3FA3A048-9C44-4530-94EB-1EDE345C8A0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17" name="Text Box 1">
          <a:extLst>
            <a:ext uri="{FF2B5EF4-FFF2-40B4-BE49-F238E27FC236}">
              <a16:creationId xmlns:a16="http://schemas.microsoft.com/office/drawing/2014/main" id="{16C5C90A-2113-4DB1-8858-E9E99DC69D5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18" name="Text Box 3">
          <a:extLst>
            <a:ext uri="{FF2B5EF4-FFF2-40B4-BE49-F238E27FC236}">
              <a16:creationId xmlns:a16="http://schemas.microsoft.com/office/drawing/2014/main" id="{E3870273-4413-4F9F-8377-6BA88419262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19" name="Text Box 1">
          <a:extLst>
            <a:ext uri="{FF2B5EF4-FFF2-40B4-BE49-F238E27FC236}">
              <a16:creationId xmlns:a16="http://schemas.microsoft.com/office/drawing/2014/main" id="{B95A780A-ADB0-41AB-AD86-8FC3430EA0F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20" name="Text Box 1">
          <a:extLst>
            <a:ext uri="{FF2B5EF4-FFF2-40B4-BE49-F238E27FC236}">
              <a16:creationId xmlns:a16="http://schemas.microsoft.com/office/drawing/2014/main" id="{ED952880-536E-4767-AC59-7F9139E68CA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21" name="Text Box 3">
          <a:extLst>
            <a:ext uri="{FF2B5EF4-FFF2-40B4-BE49-F238E27FC236}">
              <a16:creationId xmlns:a16="http://schemas.microsoft.com/office/drawing/2014/main" id="{A4F4A246-8C5E-4458-A062-F020F218FFF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22" name="Text Box 1">
          <a:extLst>
            <a:ext uri="{FF2B5EF4-FFF2-40B4-BE49-F238E27FC236}">
              <a16:creationId xmlns:a16="http://schemas.microsoft.com/office/drawing/2014/main" id="{0B6D319E-5139-4949-AF75-D32E9E713B7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23" name="Text Box 3">
          <a:extLst>
            <a:ext uri="{FF2B5EF4-FFF2-40B4-BE49-F238E27FC236}">
              <a16:creationId xmlns:a16="http://schemas.microsoft.com/office/drawing/2014/main" id="{71AE678A-5071-4439-A4A5-F6064D6C334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24" name="Text Box 1">
          <a:extLst>
            <a:ext uri="{FF2B5EF4-FFF2-40B4-BE49-F238E27FC236}">
              <a16:creationId xmlns:a16="http://schemas.microsoft.com/office/drawing/2014/main" id="{B160223E-5AAF-471F-AB61-F7DE64B58D1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25" name="Text Box 1">
          <a:extLst>
            <a:ext uri="{FF2B5EF4-FFF2-40B4-BE49-F238E27FC236}">
              <a16:creationId xmlns:a16="http://schemas.microsoft.com/office/drawing/2014/main" id="{18624817-6B07-4F4A-89D4-93D76914AF4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26" name="Text Box 3">
          <a:extLst>
            <a:ext uri="{FF2B5EF4-FFF2-40B4-BE49-F238E27FC236}">
              <a16:creationId xmlns:a16="http://schemas.microsoft.com/office/drawing/2014/main" id="{DF89D579-288A-41E9-A9BF-61DAF3CF555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27" name="Text Box 1">
          <a:extLst>
            <a:ext uri="{FF2B5EF4-FFF2-40B4-BE49-F238E27FC236}">
              <a16:creationId xmlns:a16="http://schemas.microsoft.com/office/drawing/2014/main" id="{3343EFE2-5596-4A95-B38E-8FB97110670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28" name="Text Box 3">
          <a:extLst>
            <a:ext uri="{FF2B5EF4-FFF2-40B4-BE49-F238E27FC236}">
              <a16:creationId xmlns:a16="http://schemas.microsoft.com/office/drawing/2014/main" id="{527FB12E-8230-403E-AF61-DC55B8B9FDD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29" name="Text Box 1">
          <a:extLst>
            <a:ext uri="{FF2B5EF4-FFF2-40B4-BE49-F238E27FC236}">
              <a16:creationId xmlns:a16="http://schemas.microsoft.com/office/drawing/2014/main" id="{797675BA-A0FF-4FB6-8B40-1C9B8BCD3E4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30" name="Text Box 1">
          <a:extLst>
            <a:ext uri="{FF2B5EF4-FFF2-40B4-BE49-F238E27FC236}">
              <a16:creationId xmlns:a16="http://schemas.microsoft.com/office/drawing/2014/main" id="{8C7EE89A-7298-4BEF-9DAD-13EB9085A6B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31" name="Text Box 3">
          <a:extLst>
            <a:ext uri="{FF2B5EF4-FFF2-40B4-BE49-F238E27FC236}">
              <a16:creationId xmlns:a16="http://schemas.microsoft.com/office/drawing/2014/main" id="{22D0A2D3-EDEA-458D-A9EB-F94C3DC693F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32" name="Text Box 1">
          <a:extLst>
            <a:ext uri="{FF2B5EF4-FFF2-40B4-BE49-F238E27FC236}">
              <a16:creationId xmlns:a16="http://schemas.microsoft.com/office/drawing/2014/main" id="{BBC0CA1E-34AC-45C4-969E-2E52F6899CC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33" name="Text Box 3">
          <a:extLst>
            <a:ext uri="{FF2B5EF4-FFF2-40B4-BE49-F238E27FC236}">
              <a16:creationId xmlns:a16="http://schemas.microsoft.com/office/drawing/2014/main" id="{41B37B3E-DAA6-4F39-AC48-DEB1D2F6617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34" name="Text Box 1">
          <a:extLst>
            <a:ext uri="{FF2B5EF4-FFF2-40B4-BE49-F238E27FC236}">
              <a16:creationId xmlns:a16="http://schemas.microsoft.com/office/drawing/2014/main" id="{0A4EECDB-2474-4065-95F8-3EF1E6BF6FC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35" name="Text Box 1">
          <a:extLst>
            <a:ext uri="{FF2B5EF4-FFF2-40B4-BE49-F238E27FC236}">
              <a16:creationId xmlns:a16="http://schemas.microsoft.com/office/drawing/2014/main" id="{260F60AA-6BB1-4D06-A212-1DAB98E19E5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36" name="Text Box 3">
          <a:extLst>
            <a:ext uri="{FF2B5EF4-FFF2-40B4-BE49-F238E27FC236}">
              <a16:creationId xmlns:a16="http://schemas.microsoft.com/office/drawing/2014/main" id="{ED98B2BC-A15E-4C82-B114-727F070C59C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37" name="Text Box 1">
          <a:extLst>
            <a:ext uri="{FF2B5EF4-FFF2-40B4-BE49-F238E27FC236}">
              <a16:creationId xmlns:a16="http://schemas.microsoft.com/office/drawing/2014/main" id="{C9F48133-BF7D-4A0B-90F4-579129F7D4B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38" name="Text Box 3">
          <a:extLst>
            <a:ext uri="{FF2B5EF4-FFF2-40B4-BE49-F238E27FC236}">
              <a16:creationId xmlns:a16="http://schemas.microsoft.com/office/drawing/2014/main" id="{54D6EE3D-9ACA-4268-B396-395ABB06933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39" name="Text Box 1">
          <a:extLst>
            <a:ext uri="{FF2B5EF4-FFF2-40B4-BE49-F238E27FC236}">
              <a16:creationId xmlns:a16="http://schemas.microsoft.com/office/drawing/2014/main" id="{4E1DFB5A-288A-412A-AA7E-010C155534B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40" name="Text Box 1">
          <a:extLst>
            <a:ext uri="{FF2B5EF4-FFF2-40B4-BE49-F238E27FC236}">
              <a16:creationId xmlns:a16="http://schemas.microsoft.com/office/drawing/2014/main" id="{70F51645-A074-484A-A014-A4460A56FAF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41" name="Text Box 3">
          <a:extLst>
            <a:ext uri="{FF2B5EF4-FFF2-40B4-BE49-F238E27FC236}">
              <a16:creationId xmlns:a16="http://schemas.microsoft.com/office/drawing/2014/main" id="{04BA22D4-56F1-41A2-A43B-334A2D1DC89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42" name="Text Box 1">
          <a:extLst>
            <a:ext uri="{FF2B5EF4-FFF2-40B4-BE49-F238E27FC236}">
              <a16:creationId xmlns:a16="http://schemas.microsoft.com/office/drawing/2014/main" id="{6413AC76-F331-4EC7-A930-F2779BDCFA6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43" name="Text Box 3">
          <a:extLst>
            <a:ext uri="{FF2B5EF4-FFF2-40B4-BE49-F238E27FC236}">
              <a16:creationId xmlns:a16="http://schemas.microsoft.com/office/drawing/2014/main" id="{EFE61DCF-DF4A-4D20-9583-A838989BE2C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44" name="Text Box 1">
          <a:extLst>
            <a:ext uri="{FF2B5EF4-FFF2-40B4-BE49-F238E27FC236}">
              <a16:creationId xmlns:a16="http://schemas.microsoft.com/office/drawing/2014/main" id="{17E48DC0-09CC-4171-8A7C-76DFA903EC3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45" name="Text Box 1">
          <a:extLst>
            <a:ext uri="{FF2B5EF4-FFF2-40B4-BE49-F238E27FC236}">
              <a16:creationId xmlns:a16="http://schemas.microsoft.com/office/drawing/2014/main" id="{B65F9A08-C202-4A96-B557-CF05608E599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46" name="Text Box 3">
          <a:extLst>
            <a:ext uri="{FF2B5EF4-FFF2-40B4-BE49-F238E27FC236}">
              <a16:creationId xmlns:a16="http://schemas.microsoft.com/office/drawing/2014/main" id="{AA69E074-CBEE-44E7-B9EB-26D0FD3F705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47" name="Text Box 1">
          <a:extLst>
            <a:ext uri="{FF2B5EF4-FFF2-40B4-BE49-F238E27FC236}">
              <a16:creationId xmlns:a16="http://schemas.microsoft.com/office/drawing/2014/main" id="{84CF8EB0-C416-4B42-A6A9-E2BCA86E7DE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48" name="Text Box 3">
          <a:extLst>
            <a:ext uri="{FF2B5EF4-FFF2-40B4-BE49-F238E27FC236}">
              <a16:creationId xmlns:a16="http://schemas.microsoft.com/office/drawing/2014/main" id="{F0491845-8830-4335-A839-57045013CA3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49" name="Text Box 1">
          <a:extLst>
            <a:ext uri="{FF2B5EF4-FFF2-40B4-BE49-F238E27FC236}">
              <a16:creationId xmlns:a16="http://schemas.microsoft.com/office/drawing/2014/main" id="{AF3185EE-F621-4BF2-9EA4-6530E7CACFF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50" name="Text Box 1">
          <a:extLst>
            <a:ext uri="{FF2B5EF4-FFF2-40B4-BE49-F238E27FC236}">
              <a16:creationId xmlns:a16="http://schemas.microsoft.com/office/drawing/2014/main" id="{D61EE985-2A11-47A7-A706-EA03FF67D09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51" name="Text Box 3">
          <a:extLst>
            <a:ext uri="{FF2B5EF4-FFF2-40B4-BE49-F238E27FC236}">
              <a16:creationId xmlns:a16="http://schemas.microsoft.com/office/drawing/2014/main" id="{A8B2EB53-8E56-48D2-97CC-6B0DF08D6E7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52" name="Text Box 1">
          <a:extLst>
            <a:ext uri="{FF2B5EF4-FFF2-40B4-BE49-F238E27FC236}">
              <a16:creationId xmlns:a16="http://schemas.microsoft.com/office/drawing/2014/main" id="{7CABD5BA-19E6-4A16-9EA2-8AAAE192477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53" name="Text Box 3">
          <a:extLst>
            <a:ext uri="{FF2B5EF4-FFF2-40B4-BE49-F238E27FC236}">
              <a16:creationId xmlns:a16="http://schemas.microsoft.com/office/drawing/2014/main" id="{D9932383-E737-4B08-97CD-8C3CA5FA33C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54" name="Text Box 1">
          <a:extLst>
            <a:ext uri="{FF2B5EF4-FFF2-40B4-BE49-F238E27FC236}">
              <a16:creationId xmlns:a16="http://schemas.microsoft.com/office/drawing/2014/main" id="{7D424C44-3038-4B03-8BC7-B2577EB09A2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55" name="Text Box 1">
          <a:extLst>
            <a:ext uri="{FF2B5EF4-FFF2-40B4-BE49-F238E27FC236}">
              <a16:creationId xmlns:a16="http://schemas.microsoft.com/office/drawing/2014/main" id="{3E8D80FB-4A8A-4155-8243-CDA056F1169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56" name="Text Box 3">
          <a:extLst>
            <a:ext uri="{FF2B5EF4-FFF2-40B4-BE49-F238E27FC236}">
              <a16:creationId xmlns:a16="http://schemas.microsoft.com/office/drawing/2014/main" id="{3177BD5A-4471-4EC3-83D2-3ACA46A8D94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57" name="Text Box 1">
          <a:extLst>
            <a:ext uri="{FF2B5EF4-FFF2-40B4-BE49-F238E27FC236}">
              <a16:creationId xmlns:a16="http://schemas.microsoft.com/office/drawing/2014/main" id="{E023A7B6-FEE3-404F-A92E-B2E67C78FAF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58" name="Text Box 3">
          <a:extLst>
            <a:ext uri="{FF2B5EF4-FFF2-40B4-BE49-F238E27FC236}">
              <a16:creationId xmlns:a16="http://schemas.microsoft.com/office/drawing/2014/main" id="{997B5CBA-505D-428B-B4A6-8DA75609EA7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59" name="Text Box 1">
          <a:extLst>
            <a:ext uri="{FF2B5EF4-FFF2-40B4-BE49-F238E27FC236}">
              <a16:creationId xmlns:a16="http://schemas.microsoft.com/office/drawing/2014/main" id="{F3B06BC1-B774-4527-BBE3-3DCD0B0E4D0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60" name="Text Box 1">
          <a:extLst>
            <a:ext uri="{FF2B5EF4-FFF2-40B4-BE49-F238E27FC236}">
              <a16:creationId xmlns:a16="http://schemas.microsoft.com/office/drawing/2014/main" id="{135C6125-BF62-4C90-92D3-CB86B0E7E86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61" name="Text Box 3">
          <a:extLst>
            <a:ext uri="{FF2B5EF4-FFF2-40B4-BE49-F238E27FC236}">
              <a16:creationId xmlns:a16="http://schemas.microsoft.com/office/drawing/2014/main" id="{7FBDFB7C-8A8E-4773-82B8-5FE5711B415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62" name="Text Box 1">
          <a:extLst>
            <a:ext uri="{FF2B5EF4-FFF2-40B4-BE49-F238E27FC236}">
              <a16:creationId xmlns:a16="http://schemas.microsoft.com/office/drawing/2014/main" id="{58B69354-FE96-4A7D-B80E-907D02425A0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63" name="Text Box 3">
          <a:extLst>
            <a:ext uri="{FF2B5EF4-FFF2-40B4-BE49-F238E27FC236}">
              <a16:creationId xmlns:a16="http://schemas.microsoft.com/office/drawing/2014/main" id="{5D9C7CD9-0E83-410F-954C-12D981F5960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64" name="Text Box 1">
          <a:extLst>
            <a:ext uri="{FF2B5EF4-FFF2-40B4-BE49-F238E27FC236}">
              <a16:creationId xmlns:a16="http://schemas.microsoft.com/office/drawing/2014/main" id="{31894942-52EC-44F8-BD3A-A0DD8B3EF82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65" name="Text Box 1">
          <a:extLst>
            <a:ext uri="{FF2B5EF4-FFF2-40B4-BE49-F238E27FC236}">
              <a16:creationId xmlns:a16="http://schemas.microsoft.com/office/drawing/2014/main" id="{B418FF74-F2E9-4E80-B887-223DDC11B9D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66" name="Text Box 3">
          <a:extLst>
            <a:ext uri="{FF2B5EF4-FFF2-40B4-BE49-F238E27FC236}">
              <a16:creationId xmlns:a16="http://schemas.microsoft.com/office/drawing/2014/main" id="{6E499532-337B-4540-8296-114B1495C85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67" name="Text Box 1">
          <a:extLst>
            <a:ext uri="{FF2B5EF4-FFF2-40B4-BE49-F238E27FC236}">
              <a16:creationId xmlns:a16="http://schemas.microsoft.com/office/drawing/2014/main" id="{2A6695E4-7AFB-4455-B47A-F4680B83C04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68" name="Text Box 3">
          <a:extLst>
            <a:ext uri="{FF2B5EF4-FFF2-40B4-BE49-F238E27FC236}">
              <a16:creationId xmlns:a16="http://schemas.microsoft.com/office/drawing/2014/main" id="{28F7B7C4-B33B-49B8-AB46-3782FD681C5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69" name="Text Box 1">
          <a:extLst>
            <a:ext uri="{FF2B5EF4-FFF2-40B4-BE49-F238E27FC236}">
              <a16:creationId xmlns:a16="http://schemas.microsoft.com/office/drawing/2014/main" id="{AD868B93-9C46-4F3B-B58D-8CCB1E3B604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70" name="Text Box 1">
          <a:extLst>
            <a:ext uri="{FF2B5EF4-FFF2-40B4-BE49-F238E27FC236}">
              <a16:creationId xmlns:a16="http://schemas.microsoft.com/office/drawing/2014/main" id="{5F97F857-357F-45A3-968C-7CBF6B7BA18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71" name="Text Box 3">
          <a:extLst>
            <a:ext uri="{FF2B5EF4-FFF2-40B4-BE49-F238E27FC236}">
              <a16:creationId xmlns:a16="http://schemas.microsoft.com/office/drawing/2014/main" id="{5D263EFF-7BD2-4F2E-9275-6A1835548DB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72" name="Text Box 1">
          <a:extLst>
            <a:ext uri="{FF2B5EF4-FFF2-40B4-BE49-F238E27FC236}">
              <a16:creationId xmlns:a16="http://schemas.microsoft.com/office/drawing/2014/main" id="{694A5872-CBB9-4DBA-AA92-5C3F5B6577E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73" name="Text Box 3">
          <a:extLst>
            <a:ext uri="{FF2B5EF4-FFF2-40B4-BE49-F238E27FC236}">
              <a16:creationId xmlns:a16="http://schemas.microsoft.com/office/drawing/2014/main" id="{E0469CC4-B483-4933-B877-606B7E8E79C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74" name="Text Box 1">
          <a:extLst>
            <a:ext uri="{FF2B5EF4-FFF2-40B4-BE49-F238E27FC236}">
              <a16:creationId xmlns:a16="http://schemas.microsoft.com/office/drawing/2014/main" id="{6CE408D0-FBB2-4977-B409-A3877C7950C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75" name="Text Box 1">
          <a:extLst>
            <a:ext uri="{FF2B5EF4-FFF2-40B4-BE49-F238E27FC236}">
              <a16:creationId xmlns:a16="http://schemas.microsoft.com/office/drawing/2014/main" id="{77632346-6218-48F3-A93E-22FF9E0E334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76" name="Text Box 3">
          <a:extLst>
            <a:ext uri="{FF2B5EF4-FFF2-40B4-BE49-F238E27FC236}">
              <a16:creationId xmlns:a16="http://schemas.microsoft.com/office/drawing/2014/main" id="{8FC21A73-E1CE-47B9-B396-B8140B9020C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77" name="Text Box 1">
          <a:extLst>
            <a:ext uri="{FF2B5EF4-FFF2-40B4-BE49-F238E27FC236}">
              <a16:creationId xmlns:a16="http://schemas.microsoft.com/office/drawing/2014/main" id="{E7945708-8810-4F94-8156-103B18E4032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78" name="Text Box 3">
          <a:extLst>
            <a:ext uri="{FF2B5EF4-FFF2-40B4-BE49-F238E27FC236}">
              <a16:creationId xmlns:a16="http://schemas.microsoft.com/office/drawing/2014/main" id="{5FE2B852-38AD-4E12-89AB-E5376991CA7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79" name="Text Box 1">
          <a:extLst>
            <a:ext uri="{FF2B5EF4-FFF2-40B4-BE49-F238E27FC236}">
              <a16:creationId xmlns:a16="http://schemas.microsoft.com/office/drawing/2014/main" id="{55FE0021-61A8-4B25-9DF9-4F14B8F8F24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80" name="Text Box 1">
          <a:extLst>
            <a:ext uri="{FF2B5EF4-FFF2-40B4-BE49-F238E27FC236}">
              <a16:creationId xmlns:a16="http://schemas.microsoft.com/office/drawing/2014/main" id="{C04FB0D0-472D-4FD8-92DF-11BB808456F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81" name="Text Box 3">
          <a:extLst>
            <a:ext uri="{FF2B5EF4-FFF2-40B4-BE49-F238E27FC236}">
              <a16:creationId xmlns:a16="http://schemas.microsoft.com/office/drawing/2014/main" id="{640AF012-97EA-4679-B5B6-C2987C26221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82" name="Text Box 1">
          <a:extLst>
            <a:ext uri="{FF2B5EF4-FFF2-40B4-BE49-F238E27FC236}">
              <a16:creationId xmlns:a16="http://schemas.microsoft.com/office/drawing/2014/main" id="{4954F2CA-8C42-405C-9B19-9BF375B8093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83" name="Text Box 3">
          <a:extLst>
            <a:ext uri="{FF2B5EF4-FFF2-40B4-BE49-F238E27FC236}">
              <a16:creationId xmlns:a16="http://schemas.microsoft.com/office/drawing/2014/main" id="{2C6308FE-9333-482E-B8DF-0781D81C25F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84" name="Text Box 1">
          <a:extLst>
            <a:ext uri="{FF2B5EF4-FFF2-40B4-BE49-F238E27FC236}">
              <a16:creationId xmlns:a16="http://schemas.microsoft.com/office/drawing/2014/main" id="{29AA8F2E-BBFC-458C-9949-3F7B536FD58E}"/>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85" name="Text Box 3">
          <a:extLst>
            <a:ext uri="{FF2B5EF4-FFF2-40B4-BE49-F238E27FC236}">
              <a16:creationId xmlns:a16="http://schemas.microsoft.com/office/drawing/2014/main" id="{425151C5-F939-4D1D-8A8A-BE30C0A17A58}"/>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86" name="Text Box 1">
          <a:extLst>
            <a:ext uri="{FF2B5EF4-FFF2-40B4-BE49-F238E27FC236}">
              <a16:creationId xmlns:a16="http://schemas.microsoft.com/office/drawing/2014/main" id="{E2C7F155-162F-4E30-9A50-455C655FB9BE}"/>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87" name="Text Box 3">
          <a:extLst>
            <a:ext uri="{FF2B5EF4-FFF2-40B4-BE49-F238E27FC236}">
              <a16:creationId xmlns:a16="http://schemas.microsoft.com/office/drawing/2014/main" id="{651E0CB4-2E5A-4D1B-BEF0-0D21C460F304}"/>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88" name="Text Box 1">
          <a:extLst>
            <a:ext uri="{FF2B5EF4-FFF2-40B4-BE49-F238E27FC236}">
              <a16:creationId xmlns:a16="http://schemas.microsoft.com/office/drawing/2014/main" id="{A867D824-E00A-42E8-983D-99AE02EC2A02}"/>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89" name="Text Box 1">
          <a:extLst>
            <a:ext uri="{FF2B5EF4-FFF2-40B4-BE49-F238E27FC236}">
              <a16:creationId xmlns:a16="http://schemas.microsoft.com/office/drawing/2014/main" id="{E30CD6DF-6244-4FB0-91E8-4789DB531990}"/>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90" name="Text Box 3">
          <a:extLst>
            <a:ext uri="{FF2B5EF4-FFF2-40B4-BE49-F238E27FC236}">
              <a16:creationId xmlns:a16="http://schemas.microsoft.com/office/drawing/2014/main" id="{20B6B358-4F16-45E6-A304-978843E1224A}"/>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91" name="Text Box 1">
          <a:extLst>
            <a:ext uri="{FF2B5EF4-FFF2-40B4-BE49-F238E27FC236}">
              <a16:creationId xmlns:a16="http://schemas.microsoft.com/office/drawing/2014/main" id="{E12B1C03-1B01-42F0-B320-D39E8D192BAC}"/>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92" name="Text Box 3">
          <a:extLst>
            <a:ext uri="{FF2B5EF4-FFF2-40B4-BE49-F238E27FC236}">
              <a16:creationId xmlns:a16="http://schemas.microsoft.com/office/drawing/2014/main" id="{374532D8-20FD-453B-A679-4DE3A79EC0F9}"/>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93" name="Text Box 1">
          <a:extLst>
            <a:ext uri="{FF2B5EF4-FFF2-40B4-BE49-F238E27FC236}">
              <a16:creationId xmlns:a16="http://schemas.microsoft.com/office/drawing/2014/main" id="{F6D2AA34-9D83-46AA-B616-458110918EA0}"/>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94" name="Text Box 1">
          <a:extLst>
            <a:ext uri="{FF2B5EF4-FFF2-40B4-BE49-F238E27FC236}">
              <a16:creationId xmlns:a16="http://schemas.microsoft.com/office/drawing/2014/main" id="{6D4C1E0F-2F6F-48EB-A7D4-B203A808492C}"/>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95" name="Text Box 3">
          <a:extLst>
            <a:ext uri="{FF2B5EF4-FFF2-40B4-BE49-F238E27FC236}">
              <a16:creationId xmlns:a16="http://schemas.microsoft.com/office/drawing/2014/main" id="{E8900B7F-C6B8-4F12-A1DC-4351D626BB3A}"/>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96" name="Text Box 1">
          <a:extLst>
            <a:ext uri="{FF2B5EF4-FFF2-40B4-BE49-F238E27FC236}">
              <a16:creationId xmlns:a16="http://schemas.microsoft.com/office/drawing/2014/main" id="{234322B0-E9E4-422F-8DD6-28A00389B4B1}"/>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97" name="Text Box 1">
          <a:extLst>
            <a:ext uri="{FF2B5EF4-FFF2-40B4-BE49-F238E27FC236}">
              <a16:creationId xmlns:a16="http://schemas.microsoft.com/office/drawing/2014/main" id="{0ACB0CAF-134F-4E2A-804E-7A3A4B64C1C9}"/>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98" name="Text Box 3">
          <a:extLst>
            <a:ext uri="{FF2B5EF4-FFF2-40B4-BE49-F238E27FC236}">
              <a16:creationId xmlns:a16="http://schemas.microsoft.com/office/drawing/2014/main" id="{37735F2B-C205-4486-A3B0-EF3BB7CC3387}"/>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99" name="Text Box 1">
          <a:extLst>
            <a:ext uri="{FF2B5EF4-FFF2-40B4-BE49-F238E27FC236}">
              <a16:creationId xmlns:a16="http://schemas.microsoft.com/office/drawing/2014/main" id="{08ED5585-A515-45EA-9DBD-276264BF66E8}"/>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200" name="Text Box 3">
          <a:extLst>
            <a:ext uri="{FF2B5EF4-FFF2-40B4-BE49-F238E27FC236}">
              <a16:creationId xmlns:a16="http://schemas.microsoft.com/office/drawing/2014/main" id="{A8E6812C-7D10-4F0E-AAF7-380EAE84B5E7}"/>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201" name="Text Box 1">
          <a:extLst>
            <a:ext uri="{FF2B5EF4-FFF2-40B4-BE49-F238E27FC236}">
              <a16:creationId xmlns:a16="http://schemas.microsoft.com/office/drawing/2014/main" id="{0842A1D9-F9CD-42F5-8E65-D976076FED61}"/>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202" name="Text Box 1">
          <a:extLst>
            <a:ext uri="{FF2B5EF4-FFF2-40B4-BE49-F238E27FC236}">
              <a16:creationId xmlns:a16="http://schemas.microsoft.com/office/drawing/2014/main" id="{BAEFA2B1-8CA1-4066-B270-1B614960C46B}"/>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203" name="Text Box 3">
          <a:extLst>
            <a:ext uri="{FF2B5EF4-FFF2-40B4-BE49-F238E27FC236}">
              <a16:creationId xmlns:a16="http://schemas.microsoft.com/office/drawing/2014/main" id="{3AFC051C-CB6F-4A73-B755-C3471ACD6979}"/>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204" name="Text Box 1">
          <a:extLst>
            <a:ext uri="{FF2B5EF4-FFF2-40B4-BE49-F238E27FC236}">
              <a16:creationId xmlns:a16="http://schemas.microsoft.com/office/drawing/2014/main" id="{D8B32DD4-F876-4DCC-A651-7758438A7D7A}"/>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205" name="Text Box 3">
          <a:extLst>
            <a:ext uri="{FF2B5EF4-FFF2-40B4-BE49-F238E27FC236}">
              <a16:creationId xmlns:a16="http://schemas.microsoft.com/office/drawing/2014/main" id="{153B3956-D0B6-48D6-B92F-B8DC3220897E}"/>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206" name="Text Box 1">
          <a:extLst>
            <a:ext uri="{FF2B5EF4-FFF2-40B4-BE49-F238E27FC236}">
              <a16:creationId xmlns:a16="http://schemas.microsoft.com/office/drawing/2014/main" id="{3F2D9BB1-61F0-4774-AF32-8506B73B3BF2}"/>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207" name="Text Box 1">
          <a:extLst>
            <a:ext uri="{FF2B5EF4-FFF2-40B4-BE49-F238E27FC236}">
              <a16:creationId xmlns:a16="http://schemas.microsoft.com/office/drawing/2014/main" id="{55C246D1-94A2-4A76-AEA7-BE78FE7AF2DB}"/>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208" name="Text Box 3">
          <a:extLst>
            <a:ext uri="{FF2B5EF4-FFF2-40B4-BE49-F238E27FC236}">
              <a16:creationId xmlns:a16="http://schemas.microsoft.com/office/drawing/2014/main" id="{B138422F-2211-4640-BBB9-6BF73A50E1B7}"/>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09" name="Text Box 3">
          <a:extLst>
            <a:ext uri="{FF2B5EF4-FFF2-40B4-BE49-F238E27FC236}">
              <a16:creationId xmlns:a16="http://schemas.microsoft.com/office/drawing/2014/main" id="{160C6413-4B12-44AF-AC96-98C3BBDD4ED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10" name="Text Box 1">
          <a:extLst>
            <a:ext uri="{FF2B5EF4-FFF2-40B4-BE49-F238E27FC236}">
              <a16:creationId xmlns:a16="http://schemas.microsoft.com/office/drawing/2014/main" id="{C755DC7E-8646-4668-932B-BE35EB73C12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11" name="Text Box 3">
          <a:extLst>
            <a:ext uri="{FF2B5EF4-FFF2-40B4-BE49-F238E27FC236}">
              <a16:creationId xmlns:a16="http://schemas.microsoft.com/office/drawing/2014/main" id="{A32288D6-B6FB-4DD9-A039-5CC8CBDF64E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12" name="Text Box 1">
          <a:extLst>
            <a:ext uri="{FF2B5EF4-FFF2-40B4-BE49-F238E27FC236}">
              <a16:creationId xmlns:a16="http://schemas.microsoft.com/office/drawing/2014/main" id="{50343A15-14B4-48E4-B647-A0D55FBD969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13" name="Text Box 1">
          <a:extLst>
            <a:ext uri="{FF2B5EF4-FFF2-40B4-BE49-F238E27FC236}">
              <a16:creationId xmlns:a16="http://schemas.microsoft.com/office/drawing/2014/main" id="{54D8598C-E6B1-4C45-B8C4-9381E309B28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14" name="Text Box 3">
          <a:extLst>
            <a:ext uri="{FF2B5EF4-FFF2-40B4-BE49-F238E27FC236}">
              <a16:creationId xmlns:a16="http://schemas.microsoft.com/office/drawing/2014/main" id="{EE6C7331-DA9C-4E01-A6D9-CB63C286E4F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15" name="Text Box 1">
          <a:extLst>
            <a:ext uri="{FF2B5EF4-FFF2-40B4-BE49-F238E27FC236}">
              <a16:creationId xmlns:a16="http://schemas.microsoft.com/office/drawing/2014/main" id="{1C5DEBA1-49A0-47D0-B93A-B140C1DC70B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16" name="Text Box 3">
          <a:extLst>
            <a:ext uri="{FF2B5EF4-FFF2-40B4-BE49-F238E27FC236}">
              <a16:creationId xmlns:a16="http://schemas.microsoft.com/office/drawing/2014/main" id="{FEB404E6-E8B6-4F22-B31C-FD6EB33A051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17" name="Text Box 1">
          <a:extLst>
            <a:ext uri="{FF2B5EF4-FFF2-40B4-BE49-F238E27FC236}">
              <a16:creationId xmlns:a16="http://schemas.microsoft.com/office/drawing/2014/main" id="{4516F025-0745-44D3-83F0-DEB2D20ED79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18" name="Text Box 1">
          <a:extLst>
            <a:ext uri="{FF2B5EF4-FFF2-40B4-BE49-F238E27FC236}">
              <a16:creationId xmlns:a16="http://schemas.microsoft.com/office/drawing/2014/main" id="{C87A9A50-35D5-4DEF-90A6-F261FD199E9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19" name="Text Box 3">
          <a:extLst>
            <a:ext uri="{FF2B5EF4-FFF2-40B4-BE49-F238E27FC236}">
              <a16:creationId xmlns:a16="http://schemas.microsoft.com/office/drawing/2014/main" id="{40CF098A-E591-410C-B7E1-254AEB833A9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20" name="Text Box 1">
          <a:extLst>
            <a:ext uri="{FF2B5EF4-FFF2-40B4-BE49-F238E27FC236}">
              <a16:creationId xmlns:a16="http://schemas.microsoft.com/office/drawing/2014/main" id="{08A0715C-CA28-457F-A4BD-AC22F22EAC2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21" name="Text Box 1">
          <a:extLst>
            <a:ext uri="{FF2B5EF4-FFF2-40B4-BE49-F238E27FC236}">
              <a16:creationId xmlns:a16="http://schemas.microsoft.com/office/drawing/2014/main" id="{784CF0C9-E4F5-4BCF-A5E5-3E5217BE080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22" name="Text Box 3">
          <a:extLst>
            <a:ext uri="{FF2B5EF4-FFF2-40B4-BE49-F238E27FC236}">
              <a16:creationId xmlns:a16="http://schemas.microsoft.com/office/drawing/2014/main" id="{135DAC1C-1AC2-44B3-B6CF-2CEA8E557B5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23" name="Text Box 1">
          <a:extLst>
            <a:ext uri="{FF2B5EF4-FFF2-40B4-BE49-F238E27FC236}">
              <a16:creationId xmlns:a16="http://schemas.microsoft.com/office/drawing/2014/main" id="{55011C59-ECCF-4EC9-8870-AC9B400601A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24" name="Text Box 3">
          <a:extLst>
            <a:ext uri="{FF2B5EF4-FFF2-40B4-BE49-F238E27FC236}">
              <a16:creationId xmlns:a16="http://schemas.microsoft.com/office/drawing/2014/main" id="{E0BF2488-3C64-493B-8068-BAEE32141CB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25" name="Text Box 1">
          <a:extLst>
            <a:ext uri="{FF2B5EF4-FFF2-40B4-BE49-F238E27FC236}">
              <a16:creationId xmlns:a16="http://schemas.microsoft.com/office/drawing/2014/main" id="{D08A5ECF-54A3-4D47-948F-96238D714F7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26" name="Text Box 3">
          <a:extLst>
            <a:ext uri="{FF2B5EF4-FFF2-40B4-BE49-F238E27FC236}">
              <a16:creationId xmlns:a16="http://schemas.microsoft.com/office/drawing/2014/main" id="{10F37684-BD6B-4B07-BBDC-D1A0CD25170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27" name="Text Box 1">
          <a:extLst>
            <a:ext uri="{FF2B5EF4-FFF2-40B4-BE49-F238E27FC236}">
              <a16:creationId xmlns:a16="http://schemas.microsoft.com/office/drawing/2014/main" id="{5BC6D735-0A25-46EC-A20F-33ABF38DCB1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28" name="Text Box 3">
          <a:extLst>
            <a:ext uri="{FF2B5EF4-FFF2-40B4-BE49-F238E27FC236}">
              <a16:creationId xmlns:a16="http://schemas.microsoft.com/office/drawing/2014/main" id="{2A0B1A50-2011-4791-BF39-846301E380E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29" name="Text Box 1">
          <a:extLst>
            <a:ext uri="{FF2B5EF4-FFF2-40B4-BE49-F238E27FC236}">
              <a16:creationId xmlns:a16="http://schemas.microsoft.com/office/drawing/2014/main" id="{9AC2D0A6-D807-460A-BD37-115D1245901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30" name="Text Box 1">
          <a:extLst>
            <a:ext uri="{FF2B5EF4-FFF2-40B4-BE49-F238E27FC236}">
              <a16:creationId xmlns:a16="http://schemas.microsoft.com/office/drawing/2014/main" id="{43EE2EB9-0CEF-4568-9947-BE0429C51E9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31" name="Text Box 3">
          <a:extLst>
            <a:ext uri="{FF2B5EF4-FFF2-40B4-BE49-F238E27FC236}">
              <a16:creationId xmlns:a16="http://schemas.microsoft.com/office/drawing/2014/main" id="{FF39C67B-4438-4D43-AED3-11A8B5A640A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32" name="Text Box 1">
          <a:extLst>
            <a:ext uri="{FF2B5EF4-FFF2-40B4-BE49-F238E27FC236}">
              <a16:creationId xmlns:a16="http://schemas.microsoft.com/office/drawing/2014/main" id="{C689D30F-B873-4BF6-820C-E0DD40F41D8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233" name="Text Box 1">
          <a:extLst>
            <a:ext uri="{FF2B5EF4-FFF2-40B4-BE49-F238E27FC236}">
              <a16:creationId xmlns:a16="http://schemas.microsoft.com/office/drawing/2014/main" id="{4B80B923-7313-4C3E-A8F1-ADA96E09D61C}"/>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34" name="Text Box 1">
          <a:extLst>
            <a:ext uri="{FF2B5EF4-FFF2-40B4-BE49-F238E27FC236}">
              <a16:creationId xmlns:a16="http://schemas.microsoft.com/office/drawing/2014/main" id="{A2B3519B-98CA-4283-AECA-D64E4206998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35" name="Text Box 3">
          <a:extLst>
            <a:ext uri="{FF2B5EF4-FFF2-40B4-BE49-F238E27FC236}">
              <a16:creationId xmlns:a16="http://schemas.microsoft.com/office/drawing/2014/main" id="{22C648EF-18A4-433E-8CEE-8F14195F75F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36" name="Text Box 1">
          <a:extLst>
            <a:ext uri="{FF2B5EF4-FFF2-40B4-BE49-F238E27FC236}">
              <a16:creationId xmlns:a16="http://schemas.microsoft.com/office/drawing/2014/main" id="{FDBDF3DA-6B5B-41E1-966F-17256BB01E9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37" name="Text Box 3">
          <a:extLst>
            <a:ext uri="{FF2B5EF4-FFF2-40B4-BE49-F238E27FC236}">
              <a16:creationId xmlns:a16="http://schemas.microsoft.com/office/drawing/2014/main" id="{E875E9BE-D773-4D7F-BBE7-94918DA8AD7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38" name="Text Box 1">
          <a:extLst>
            <a:ext uri="{FF2B5EF4-FFF2-40B4-BE49-F238E27FC236}">
              <a16:creationId xmlns:a16="http://schemas.microsoft.com/office/drawing/2014/main" id="{8CC81E9E-70BA-40A7-B9C7-4027DC8A8BE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39" name="Text Box 1">
          <a:extLst>
            <a:ext uri="{FF2B5EF4-FFF2-40B4-BE49-F238E27FC236}">
              <a16:creationId xmlns:a16="http://schemas.microsoft.com/office/drawing/2014/main" id="{E2F50529-26A2-48FB-981C-66D32CED8B5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40" name="Text Box 3">
          <a:extLst>
            <a:ext uri="{FF2B5EF4-FFF2-40B4-BE49-F238E27FC236}">
              <a16:creationId xmlns:a16="http://schemas.microsoft.com/office/drawing/2014/main" id="{B591C330-AF39-4903-99BD-DF175347F46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41" name="Text Box 1">
          <a:extLst>
            <a:ext uri="{FF2B5EF4-FFF2-40B4-BE49-F238E27FC236}">
              <a16:creationId xmlns:a16="http://schemas.microsoft.com/office/drawing/2014/main" id="{C7EA3A83-9EAD-4A75-BABB-B98A57DEE5A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42" name="Text Box 3">
          <a:extLst>
            <a:ext uri="{FF2B5EF4-FFF2-40B4-BE49-F238E27FC236}">
              <a16:creationId xmlns:a16="http://schemas.microsoft.com/office/drawing/2014/main" id="{DF7B8A0D-6346-45A3-B3DC-961F54AF835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43" name="Text Box 1">
          <a:extLst>
            <a:ext uri="{FF2B5EF4-FFF2-40B4-BE49-F238E27FC236}">
              <a16:creationId xmlns:a16="http://schemas.microsoft.com/office/drawing/2014/main" id="{69AEA0F9-E3FF-46C0-8CC4-264BB65A001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44" name="Text Box 1">
          <a:extLst>
            <a:ext uri="{FF2B5EF4-FFF2-40B4-BE49-F238E27FC236}">
              <a16:creationId xmlns:a16="http://schemas.microsoft.com/office/drawing/2014/main" id="{421CB198-373F-49A1-9E46-C3430D3A109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45" name="Text Box 3">
          <a:extLst>
            <a:ext uri="{FF2B5EF4-FFF2-40B4-BE49-F238E27FC236}">
              <a16:creationId xmlns:a16="http://schemas.microsoft.com/office/drawing/2014/main" id="{36E6383D-3C62-4F5B-9F97-B505E9F6F2A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46" name="Text Box 1">
          <a:extLst>
            <a:ext uri="{FF2B5EF4-FFF2-40B4-BE49-F238E27FC236}">
              <a16:creationId xmlns:a16="http://schemas.microsoft.com/office/drawing/2014/main" id="{A4FDBC52-5EA5-4E84-845A-2AC5182A780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47" name="Text Box 3">
          <a:extLst>
            <a:ext uri="{FF2B5EF4-FFF2-40B4-BE49-F238E27FC236}">
              <a16:creationId xmlns:a16="http://schemas.microsoft.com/office/drawing/2014/main" id="{E7E25476-798A-474C-B393-4D71FD3118B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48" name="Text Box 1">
          <a:extLst>
            <a:ext uri="{FF2B5EF4-FFF2-40B4-BE49-F238E27FC236}">
              <a16:creationId xmlns:a16="http://schemas.microsoft.com/office/drawing/2014/main" id="{420E9DCF-6F2B-4AC5-9D1A-D8A387B0722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49" name="Text Box 1">
          <a:extLst>
            <a:ext uri="{FF2B5EF4-FFF2-40B4-BE49-F238E27FC236}">
              <a16:creationId xmlns:a16="http://schemas.microsoft.com/office/drawing/2014/main" id="{4F7D248E-25F3-42C0-8C76-4140727107F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50" name="Text Box 3">
          <a:extLst>
            <a:ext uri="{FF2B5EF4-FFF2-40B4-BE49-F238E27FC236}">
              <a16:creationId xmlns:a16="http://schemas.microsoft.com/office/drawing/2014/main" id="{FDDD61C8-8488-44FA-BF8A-EDCD22BBB3D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51" name="Text Box 1">
          <a:extLst>
            <a:ext uri="{FF2B5EF4-FFF2-40B4-BE49-F238E27FC236}">
              <a16:creationId xmlns:a16="http://schemas.microsoft.com/office/drawing/2014/main" id="{432112C1-5CCA-4EB7-9CFD-8C9D4EC9B79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52" name="Text Box 3">
          <a:extLst>
            <a:ext uri="{FF2B5EF4-FFF2-40B4-BE49-F238E27FC236}">
              <a16:creationId xmlns:a16="http://schemas.microsoft.com/office/drawing/2014/main" id="{CBA22C69-FE61-470D-95E0-E708EEB95C0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53" name="Text Box 1">
          <a:extLst>
            <a:ext uri="{FF2B5EF4-FFF2-40B4-BE49-F238E27FC236}">
              <a16:creationId xmlns:a16="http://schemas.microsoft.com/office/drawing/2014/main" id="{E7CBD06B-8707-4BF9-B151-9A801565E5E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54" name="Text Box 1">
          <a:extLst>
            <a:ext uri="{FF2B5EF4-FFF2-40B4-BE49-F238E27FC236}">
              <a16:creationId xmlns:a16="http://schemas.microsoft.com/office/drawing/2014/main" id="{EC88DDFE-7372-464A-80FC-2851A044309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55" name="Text Box 3">
          <a:extLst>
            <a:ext uri="{FF2B5EF4-FFF2-40B4-BE49-F238E27FC236}">
              <a16:creationId xmlns:a16="http://schemas.microsoft.com/office/drawing/2014/main" id="{4C80824A-0607-45FE-B52B-26FCF548FA6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56" name="Text Box 1">
          <a:extLst>
            <a:ext uri="{FF2B5EF4-FFF2-40B4-BE49-F238E27FC236}">
              <a16:creationId xmlns:a16="http://schemas.microsoft.com/office/drawing/2014/main" id="{E77E9DDE-1589-4A25-A49F-851112D2800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57" name="Text Box 3">
          <a:extLst>
            <a:ext uri="{FF2B5EF4-FFF2-40B4-BE49-F238E27FC236}">
              <a16:creationId xmlns:a16="http://schemas.microsoft.com/office/drawing/2014/main" id="{750296CC-DFC6-4EA3-A62C-B1E0BC373BC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58" name="Text Box 1">
          <a:extLst>
            <a:ext uri="{FF2B5EF4-FFF2-40B4-BE49-F238E27FC236}">
              <a16:creationId xmlns:a16="http://schemas.microsoft.com/office/drawing/2014/main" id="{306F18AA-D786-4E10-ADE9-681BA3F4D16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59" name="Text Box 1">
          <a:extLst>
            <a:ext uri="{FF2B5EF4-FFF2-40B4-BE49-F238E27FC236}">
              <a16:creationId xmlns:a16="http://schemas.microsoft.com/office/drawing/2014/main" id="{290C1C22-7D5B-4AF9-80FB-52D8ED7EB69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60" name="Text Box 3">
          <a:extLst>
            <a:ext uri="{FF2B5EF4-FFF2-40B4-BE49-F238E27FC236}">
              <a16:creationId xmlns:a16="http://schemas.microsoft.com/office/drawing/2014/main" id="{C1A57692-F70E-4446-A669-E6C33AF16BA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61" name="Text Box 1">
          <a:extLst>
            <a:ext uri="{FF2B5EF4-FFF2-40B4-BE49-F238E27FC236}">
              <a16:creationId xmlns:a16="http://schemas.microsoft.com/office/drawing/2014/main" id="{952D9432-7B32-4F72-8975-9634745F4F5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62" name="Text Box 3">
          <a:extLst>
            <a:ext uri="{FF2B5EF4-FFF2-40B4-BE49-F238E27FC236}">
              <a16:creationId xmlns:a16="http://schemas.microsoft.com/office/drawing/2014/main" id="{D28165A9-5AE7-49B5-BC25-5044A64ABA7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63" name="Text Box 1">
          <a:extLst>
            <a:ext uri="{FF2B5EF4-FFF2-40B4-BE49-F238E27FC236}">
              <a16:creationId xmlns:a16="http://schemas.microsoft.com/office/drawing/2014/main" id="{C3EC7878-CA27-4D37-9233-AC5D21BC858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64" name="Text Box 1">
          <a:extLst>
            <a:ext uri="{FF2B5EF4-FFF2-40B4-BE49-F238E27FC236}">
              <a16:creationId xmlns:a16="http://schemas.microsoft.com/office/drawing/2014/main" id="{38EFC3E5-934E-4D17-A5AC-B1535CD5C5F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65" name="Text Box 3">
          <a:extLst>
            <a:ext uri="{FF2B5EF4-FFF2-40B4-BE49-F238E27FC236}">
              <a16:creationId xmlns:a16="http://schemas.microsoft.com/office/drawing/2014/main" id="{88930DF4-EAC3-430C-8EE9-136FA3491C4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66" name="Text Box 1">
          <a:extLst>
            <a:ext uri="{FF2B5EF4-FFF2-40B4-BE49-F238E27FC236}">
              <a16:creationId xmlns:a16="http://schemas.microsoft.com/office/drawing/2014/main" id="{EEE49467-7A4F-43E6-A8EE-38B848E8121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67" name="Text Box 3">
          <a:extLst>
            <a:ext uri="{FF2B5EF4-FFF2-40B4-BE49-F238E27FC236}">
              <a16:creationId xmlns:a16="http://schemas.microsoft.com/office/drawing/2014/main" id="{CEBA0B2F-5A47-4FFD-80AC-4434C06DBE8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68" name="Text Box 1">
          <a:extLst>
            <a:ext uri="{FF2B5EF4-FFF2-40B4-BE49-F238E27FC236}">
              <a16:creationId xmlns:a16="http://schemas.microsoft.com/office/drawing/2014/main" id="{46AE821A-54AE-4D5D-BDC6-82785B64574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69" name="Text Box 1">
          <a:extLst>
            <a:ext uri="{FF2B5EF4-FFF2-40B4-BE49-F238E27FC236}">
              <a16:creationId xmlns:a16="http://schemas.microsoft.com/office/drawing/2014/main" id="{2090131C-EF78-489C-91C0-93CAE592DAA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70" name="Text Box 3">
          <a:extLst>
            <a:ext uri="{FF2B5EF4-FFF2-40B4-BE49-F238E27FC236}">
              <a16:creationId xmlns:a16="http://schemas.microsoft.com/office/drawing/2014/main" id="{CF8E68C2-6F2B-4378-9B1D-38BF9CB00A7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71" name="Text Box 1">
          <a:extLst>
            <a:ext uri="{FF2B5EF4-FFF2-40B4-BE49-F238E27FC236}">
              <a16:creationId xmlns:a16="http://schemas.microsoft.com/office/drawing/2014/main" id="{AEE4B644-DDB1-42C0-A26E-AC6D330266A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72" name="Text Box 3">
          <a:extLst>
            <a:ext uri="{FF2B5EF4-FFF2-40B4-BE49-F238E27FC236}">
              <a16:creationId xmlns:a16="http://schemas.microsoft.com/office/drawing/2014/main" id="{5B470F4C-F10C-45FC-A98B-C72038DA37A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73" name="Text Box 1">
          <a:extLst>
            <a:ext uri="{FF2B5EF4-FFF2-40B4-BE49-F238E27FC236}">
              <a16:creationId xmlns:a16="http://schemas.microsoft.com/office/drawing/2014/main" id="{53282940-B3A0-4D1B-A40A-DA9B61B88FB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74" name="Text Box 1">
          <a:extLst>
            <a:ext uri="{FF2B5EF4-FFF2-40B4-BE49-F238E27FC236}">
              <a16:creationId xmlns:a16="http://schemas.microsoft.com/office/drawing/2014/main" id="{4E09F943-D27B-4550-A378-DC88EBA4091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75" name="Text Box 3">
          <a:extLst>
            <a:ext uri="{FF2B5EF4-FFF2-40B4-BE49-F238E27FC236}">
              <a16:creationId xmlns:a16="http://schemas.microsoft.com/office/drawing/2014/main" id="{44D653AD-0650-46AF-94C1-14A425D579A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76" name="Text Box 1">
          <a:extLst>
            <a:ext uri="{FF2B5EF4-FFF2-40B4-BE49-F238E27FC236}">
              <a16:creationId xmlns:a16="http://schemas.microsoft.com/office/drawing/2014/main" id="{51E2F9F3-7CFC-415F-B77B-62F15E47C27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77" name="Text Box 3">
          <a:extLst>
            <a:ext uri="{FF2B5EF4-FFF2-40B4-BE49-F238E27FC236}">
              <a16:creationId xmlns:a16="http://schemas.microsoft.com/office/drawing/2014/main" id="{5A471EBA-14FB-48E8-9FA2-8908B37733D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78" name="Text Box 1">
          <a:extLst>
            <a:ext uri="{FF2B5EF4-FFF2-40B4-BE49-F238E27FC236}">
              <a16:creationId xmlns:a16="http://schemas.microsoft.com/office/drawing/2014/main" id="{E97778B4-C429-4089-95B9-F385A28EBF6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79" name="Text Box 1">
          <a:extLst>
            <a:ext uri="{FF2B5EF4-FFF2-40B4-BE49-F238E27FC236}">
              <a16:creationId xmlns:a16="http://schemas.microsoft.com/office/drawing/2014/main" id="{7B59B670-E968-412E-90DE-7ADEB05D985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80" name="Text Box 3">
          <a:extLst>
            <a:ext uri="{FF2B5EF4-FFF2-40B4-BE49-F238E27FC236}">
              <a16:creationId xmlns:a16="http://schemas.microsoft.com/office/drawing/2014/main" id="{99FED409-D092-4EA1-9F73-404895D15FC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81" name="Text Box 1">
          <a:extLst>
            <a:ext uri="{FF2B5EF4-FFF2-40B4-BE49-F238E27FC236}">
              <a16:creationId xmlns:a16="http://schemas.microsoft.com/office/drawing/2014/main" id="{0CC0AB7F-420A-4880-87D3-83D7F859691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82" name="Text Box 3">
          <a:extLst>
            <a:ext uri="{FF2B5EF4-FFF2-40B4-BE49-F238E27FC236}">
              <a16:creationId xmlns:a16="http://schemas.microsoft.com/office/drawing/2014/main" id="{3C39D7CD-A291-4B02-BC95-F2BF869189C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83" name="Text Box 1">
          <a:extLst>
            <a:ext uri="{FF2B5EF4-FFF2-40B4-BE49-F238E27FC236}">
              <a16:creationId xmlns:a16="http://schemas.microsoft.com/office/drawing/2014/main" id="{28973D32-84A6-43FF-A8BF-528DF40A536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84" name="Text Box 1">
          <a:extLst>
            <a:ext uri="{FF2B5EF4-FFF2-40B4-BE49-F238E27FC236}">
              <a16:creationId xmlns:a16="http://schemas.microsoft.com/office/drawing/2014/main" id="{FBCCF75C-4FBF-46AF-98F1-2C2CE8CDCF3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85" name="Text Box 3">
          <a:extLst>
            <a:ext uri="{FF2B5EF4-FFF2-40B4-BE49-F238E27FC236}">
              <a16:creationId xmlns:a16="http://schemas.microsoft.com/office/drawing/2014/main" id="{E4FBDA8B-7916-4D96-8788-CEC985C77EC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86" name="Text Box 1">
          <a:extLst>
            <a:ext uri="{FF2B5EF4-FFF2-40B4-BE49-F238E27FC236}">
              <a16:creationId xmlns:a16="http://schemas.microsoft.com/office/drawing/2014/main" id="{BB0E5F32-D59E-43A9-B896-1578B6D767F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87" name="Text Box 3">
          <a:extLst>
            <a:ext uri="{FF2B5EF4-FFF2-40B4-BE49-F238E27FC236}">
              <a16:creationId xmlns:a16="http://schemas.microsoft.com/office/drawing/2014/main" id="{BCFEA28B-7BE1-46FB-A6D2-8B8EAD1AF65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88" name="Text Box 1">
          <a:extLst>
            <a:ext uri="{FF2B5EF4-FFF2-40B4-BE49-F238E27FC236}">
              <a16:creationId xmlns:a16="http://schemas.microsoft.com/office/drawing/2014/main" id="{CD8D6B74-A43C-4451-87D9-2838B8002DB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89" name="Text Box 1">
          <a:extLst>
            <a:ext uri="{FF2B5EF4-FFF2-40B4-BE49-F238E27FC236}">
              <a16:creationId xmlns:a16="http://schemas.microsoft.com/office/drawing/2014/main" id="{F6397908-7C6A-4F32-9F1E-6DEDF610A3B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90" name="Text Box 3">
          <a:extLst>
            <a:ext uri="{FF2B5EF4-FFF2-40B4-BE49-F238E27FC236}">
              <a16:creationId xmlns:a16="http://schemas.microsoft.com/office/drawing/2014/main" id="{58522845-1AE3-4561-90F1-38B35C1C5B0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91" name="Text Box 1">
          <a:extLst>
            <a:ext uri="{FF2B5EF4-FFF2-40B4-BE49-F238E27FC236}">
              <a16:creationId xmlns:a16="http://schemas.microsoft.com/office/drawing/2014/main" id="{89F16E1F-9948-4093-9FF1-211B80209F0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92" name="Text Box 3">
          <a:extLst>
            <a:ext uri="{FF2B5EF4-FFF2-40B4-BE49-F238E27FC236}">
              <a16:creationId xmlns:a16="http://schemas.microsoft.com/office/drawing/2014/main" id="{F445B904-9067-4DBB-B4DC-14A6168E130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93" name="Text Box 1">
          <a:extLst>
            <a:ext uri="{FF2B5EF4-FFF2-40B4-BE49-F238E27FC236}">
              <a16:creationId xmlns:a16="http://schemas.microsoft.com/office/drawing/2014/main" id="{1C64C2F0-C5CA-47B6-83D5-5349068887D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94" name="Text Box 1">
          <a:extLst>
            <a:ext uri="{FF2B5EF4-FFF2-40B4-BE49-F238E27FC236}">
              <a16:creationId xmlns:a16="http://schemas.microsoft.com/office/drawing/2014/main" id="{24B81D87-9D28-4AB0-99E6-C2231419BF1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95" name="Text Box 3">
          <a:extLst>
            <a:ext uri="{FF2B5EF4-FFF2-40B4-BE49-F238E27FC236}">
              <a16:creationId xmlns:a16="http://schemas.microsoft.com/office/drawing/2014/main" id="{E71226E5-D3B3-46F3-B237-351580F7574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96" name="Text Box 1">
          <a:extLst>
            <a:ext uri="{FF2B5EF4-FFF2-40B4-BE49-F238E27FC236}">
              <a16:creationId xmlns:a16="http://schemas.microsoft.com/office/drawing/2014/main" id="{6FA12290-32A7-4F47-856B-4D35BE6EE74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97" name="Text Box 3">
          <a:extLst>
            <a:ext uri="{FF2B5EF4-FFF2-40B4-BE49-F238E27FC236}">
              <a16:creationId xmlns:a16="http://schemas.microsoft.com/office/drawing/2014/main" id="{40053063-2891-4B9E-A0FF-D0C5BCFF39B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98" name="Text Box 1">
          <a:extLst>
            <a:ext uri="{FF2B5EF4-FFF2-40B4-BE49-F238E27FC236}">
              <a16:creationId xmlns:a16="http://schemas.microsoft.com/office/drawing/2014/main" id="{DD47A2FF-06B2-4576-B8A2-C8CC3D6CA7D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99" name="Text Box 1">
          <a:extLst>
            <a:ext uri="{FF2B5EF4-FFF2-40B4-BE49-F238E27FC236}">
              <a16:creationId xmlns:a16="http://schemas.microsoft.com/office/drawing/2014/main" id="{6A25C204-BC12-40FD-B653-6B3FEA1967F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00" name="Text Box 3">
          <a:extLst>
            <a:ext uri="{FF2B5EF4-FFF2-40B4-BE49-F238E27FC236}">
              <a16:creationId xmlns:a16="http://schemas.microsoft.com/office/drawing/2014/main" id="{51FD6623-8F8F-48B6-9268-C999D0EFB03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01" name="Text Box 1">
          <a:extLst>
            <a:ext uri="{FF2B5EF4-FFF2-40B4-BE49-F238E27FC236}">
              <a16:creationId xmlns:a16="http://schemas.microsoft.com/office/drawing/2014/main" id="{F5ABF8E3-080A-4B55-8142-A49CCD4F742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02" name="Text Box 3">
          <a:extLst>
            <a:ext uri="{FF2B5EF4-FFF2-40B4-BE49-F238E27FC236}">
              <a16:creationId xmlns:a16="http://schemas.microsoft.com/office/drawing/2014/main" id="{87C03721-C571-4F69-A7AF-46CA6E392FE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03" name="Text Box 1">
          <a:extLst>
            <a:ext uri="{FF2B5EF4-FFF2-40B4-BE49-F238E27FC236}">
              <a16:creationId xmlns:a16="http://schemas.microsoft.com/office/drawing/2014/main" id="{E586E3FE-9F9B-4D9B-941E-B7E22C46084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04" name="Text Box 1">
          <a:extLst>
            <a:ext uri="{FF2B5EF4-FFF2-40B4-BE49-F238E27FC236}">
              <a16:creationId xmlns:a16="http://schemas.microsoft.com/office/drawing/2014/main" id="{2CF6E6E1-88F0-439D-B747-B1E690EBE04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05" name="Text Box 3">
          <a:extLst>
            <a:ext uri="{FF2B5EF4-FFF2-40B4-BE49-F238E27FC236}">
              <a16:creationId xmlns:a16="http://schemas.microsoft.com/office/drawing/2014/main" id="{38660B1F-E8BC-47E4-BF51-3676F86DF60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06" name="Text Box 1">
          <a:extLst>
            <a:ext uri="{FF2B5EF4-FFF2-40B4-BE49-F238E27FC236}">
              <a16:creationId xmlns:a16="http://schemas.microsoft.com/office/drawing/2014/main" id="{AF5A4087-3C8F-4F75-B670-485576501B1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07" name="Text Box 3">
          <a:extLst>
            <a:ext uri="{FF2B5EF4-FFF2-40B4-BE49-F238E27FC236}">
              <a16:creationId xmlns:a16="http://schemas.microsoft.com/office/drawing/2014/main" id="{25F806A0-45E7-46DF-91B5-F487C059FCF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08" name="Text Box 1">
          <a:extLst>
            <a:ext uri="{FF2B5EF4-FFF2-40B4-BE49-F238E27FC236}">
              <a16:creationId xmlns:a16="http://schemas.microsoft.com/office/drawing/2014/main" id="{A2A2C047-7941-4660-B5FB-BFC59D63690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09" name="Text Box 1">
          <a:extLst>
            <a:ext uri="{FF2B5EF4-FFF2-40B4-BE49-F238E27FC236}">
              <a16:creationId xmlns:a16="http://schemas.microsoft.com/office/drawing/2014/main" id="{D5AE988B-422E-4A53-9F34-306DD30F808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10" name="Text Box 3">
          <a:extLst>
            <a:ext uri="{FF2B5EF4-FFF2-40B4-BE49-F238E27FC236}">
              <a16:creationId xmlns:a16="http://schemas.microsoft.com/office/drawing/2014/main" id="{862811DE-6D20-4858-A787-00B8BB58F50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11" name="Text Box 1">
          <a:extLst>
            <a:ext uri="{FF2B5EF4-FFF2-40B4-BE49-F238E27FC236}">
              <a16:creationId xmlns:a16="http://schemas.microsoft.com/office/drawing/2014/main" id="{9E0B6997-54E5-4906-A913-E34FDB4343C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12" name="Text Box 3">
          <a:extLst>
            <a:ext uri="{FF2B5EF4-FFF2-40B4-BE49-F238E27FC236}">
              <a16:creationId xmlns:a16="http://schemas.microsoft.com/office/drawing/2014/main" id="{CBEF442A-C80F-4CB2-95CE-6CAF4A9DB55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13" name="Text Box 1">
          <a:extLst>
            <a:ext uri="{FF2B5EF4-FFF2-40B4-BE49-F238E27FC236}">
              <a16:creationId xmlns:a16="http://schemas.microsoft.com/office/drawing/2014/main" id="{6FFA9D23-6215-4945-9311-01B5716AC94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14" name="Text Box 1">
          <a:extLst>
            <a:ext uri="{FF2B5EF4-FFF2-40B4-BE49-F238E27FC236}">
              <a16:creationId xmlns:a16="http://schemas.microsoft.com/office/drawing/2014/main" id="{9107F0FE-8ECD-43EE-8E80-90A7332A79D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15" name="Text Box 3">
          <a:extLst>
            <a:ext uri="{FF2B5EF4-FFF2-40B4-BE49-F238E27FC236}">
              <a16:creationId xmlns:a16="http://schemas.microsoft.com/office/drawing/2014/main" id="{3F4E9BFD-2472-46DA-801A-71ADB83E128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16" name="Text Box 1">
          <a:extLst>
            <a:ext uri="{FF2B5EF4-FFF2-40B4-BE49-F238E27FC236}">
              <a16:creationId xmlns:a16="http://schemas.microsoft.com/office/drawing/2014/main" id="{36F7C3B0-7CDB-49D5-9121-72C1DC54DBD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17" name="Text Box 3">
          <a:extLst>
            <a:ext uri="{FF2B5EF4-FFF2-40B4-BE49-F238E27FC236}">
              <a16:creationId xmlns:a16="http://schemas.microsoft.com/office/drawing/2014/main" id="{440A6BEF-FB96-496F-8ED6-5FC5E763982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18" name="Text Box 1">
          <a:extLst>
            <a:ext uri="{FF2B5EF4-FFF2-40B4-BE49-F238E27FC236}">
              <a16:creationId xmlns:a16="http://schemas.microsoft.com/office/drawing/2014/main" id="{AF1BBF1A-BF68-41C6-8D27-029FA0526D1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19" name="Text Box 1">
          <a:extLst>
            <a:ext uri="{FF2B5EF4-FFF2-40B4-BE49-F238E27FC236}">
              <a16:creationId xmlns:a16="http://schemas.microsoft.com/office/drawing/2014/main" id="{8893BE93-0822-47C8-A577-E8EB8BE1749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20" name="Text Box 3">
          <a:extLst>
            <a:ext uri="{FF2B5EF4-FFF2-40B4-BE49-F238E27FC236}">
              <a16:creationId xmlns:a16="http://schemas.microsoft.com/office/drawing/2014/main" id="{CE1828E8-B902-45FA-B2FB-E04D53809BA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21" name="Text Box 1">
          <a:extLst>
            <a:ext uri="{FF2B5EF4-FFF2-40B4-BE49-F238E27FC236}">
              <a16:creationId xmlns:a16="http://schemas.microsoft.com/office/drawing/2014/main" id="{BBFE8BBA-54A7-42C0-B407-23AD8CE1967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22" name="Text Box 3">
          <a:extLst>
            <a:ext uri="{FF2B5EF4-FFF2-40B4-BE49-F238E27FC236}">
              <a16:creationId xmlns:a16="http://schemas.microsoft.com/office/drawing/2014/main" id="{C025E37B-7DDC-4A4C-B636-293C7A0F000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23" name="Text Box 1">
          <a:extLst>
            <a:ext uri="{FF2B5EF4-FFF2-40B4-BE49-F238E27FC236}">
              <a16:creationId xmlns:a16="http://schemas.microsoft.com/office/drawing/2014/main" id="{AB349816-597F-4C96-B3A9-8032325E906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24" name="Text Box 1">
          <a:extLst>
            <a:ext uri="{FF2B5EF4-FFF2-40B4-BE49-F238E27FC236}">
              <a16:creationId xmlns:a16="http://schemas.microsoft.com/office/drawing/2014/main" id="{04E71FD2-63B7-45D2-94AF-428AD7C7D60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25" name="Text Box 3">
          <a:extLst>
            <a:ext uri="{FF2B5EF4-FFF2-40B4-BE49-F238E27FC236}">
              <a16:creationId xmlns:a16="http://schemas.microsoft.com/office/drawing/2014/main" id="{A6C5E619-872C-44C2-B8EE-583E86739C9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26" name="Text Box 1">
          <a:extLst>
            <a:ext uri="{FF2B5EF4-FFF2-40B4-BE49-F238E27FC236}">
              <a16:creationId xmlns:a16="http://schemas.microsoft.com/office/drawing/2014/main" id="{FCF1FC26-169D-4541-8FD5-B31D70CC775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27" name="Text Box 3">
          <a:extLst>
            <a:ext uri="{FF2B5EF4-FFF2-40B4-BE49-F238E27FC236}">
              <a16:creationId xmlns:a16="http://schemas.microsoft.com/office/drawing/2014/main" id="{DB5C21E7-45CB-409C-8261-34E75D41747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28" name="Text Box 1">
          <a:extLst>
            <a:ext uri="{FF2B5EF4-FFF2-40B4-BE49-F238E27FC236}">
              <a16:creationId xmlns:a16="http://schemas.microsoft.com/office/drawing/2014/main" id="{FC30D316-E6BB-428E-A98D-23A68B62236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29" name="Text Box 1">
          <a:extLst>
            <a:ext uri="{FF2B5EF4-FFF2-40B4-BE49-F238E27FC236}">
              <a16:creationId xmlns:a16="http://schemas.microsoft.com/office/drawing/2014/main" id="{62028B0F-2B93-44D1-9340-6ADF98CAF44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30" name="Text Box 3">
          <a:extLst>
            <a:ext uri="{FF2B5EF4-FFF2-40B4-BE49-F238E27FC236}">
              <a16:creationId xmlns:a16="http://schemas.microsoft.com/office/drawing/2014/main" id="{90A7F191-F095-4877-90C5-2CC9285AB15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31" name="Text Box 1">
          <a:extLst>
            <a:ext uri="{FF2B5EF4-FFF2-40B4-BE49-F238E27FC236}">
              <a16:creationId xmlns:a16="http://schemas.microsoft.com/office/drawing/2014/main" id="{F589E911-F8D8-483B-9A51-D59DFBCE85F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32" name="Text Box 3">
          <a:extLst>
            <a:ext uri="{FF2B5EF4-FFF2-40B4-BE49-F238E27FC236}">
              <a16:creationId xmlns:a16="http://schemas.microsoft.com/office/drawing/2014/main" id="{943304A9-1A38-4D98-870A-90425808E3C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33" name="Text Box 1">
          <a:extLst>
            <a:ext uri="{FF2B5EF4-FFF2-40B4-BE49-F238E27FC236}">
              <a16:creationId xmlns:a16="http://schemas.microsoft.com/office/drawing/2014/main" id="{FFFF9E77-BA2F-4C05-A18D-BE1178CD399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34" name="Text Box 1">
          <a:extLst>
            <a:ext uri="{FF2B5EF4-FFF2-40B4-BE49-F238E27FC236}">
              <a16:creationId xmlns:a16="http://schemas.microsoft.com/office/drawing/2014/main" id="{ECAE443E-682C-4220-8261-383F926B017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35" name="Text Box 3">
          <a:extLst>
            <a:ext uri="{FF2B5EF4-FFF2-40B4-BE49-F238E27FC236}">
              <a16:creationId xmlns:a16="http://schemas.microsoft.com/office/drawing/2014/main" id="{C41D816C-6AF3-4F16-87B0-2EA0D43E6EA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36" name="Text Box 1">
          <a:extLst>
            <a:ext uri="{FF2B5EF4-FFF2-40B4-BE49-F238E27FC236}">
              <a16:creationId xmlns:a16="http://schemas.microsoft.com/office/drawing/2014/main" id="{09359202-F300-47B1-ABAA-B78A1D81D62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37" name="Text Box 3">
          <a:extLst>
            <a:ext uri="{FF2B5EF4-FFF2-40B4-BE49-F238E27FC236}">
              <a16:creationId xmlns:a16="http://schemas.microsoft.com/office/drawing/2014/main" id="{77797192-82AE-4E53-87EC-F9F86642CD7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38" name="Text Box 1">
          <a:extLst>
            <a:ext uri="{FF2B5EF4-FFF2-40B4-BE49-F238E27FC236}">
              <a16:creationId xmlns:a16="http://schemas.microsoft.com/office/drawing/2014/main" id="{3F48A733-91B6-43C4-B59B-DF62F38EF53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39" name="Text Box 1">
          <a:extLst>
            <a:ext uri="{FF2B5EF4-FFF2-40B4-BE49-F238E27FC236}">
              <a16:creationId xmlns:a16="http://schemas.microsoft.com/office/drawing/2014/main" id="{24274DF0-158E-4E27-A632-496B6A6CCD4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40" name="Text Box 3">
          <a:extLst>
            <a:ext uri="{FF2B5EF4-FFF2-40B4-BE49-F238E27FC236}">
              <a16:creationId xmlns:a16="http://schemas.microsoft.com/office/drawing/2014/main" id="{664ADEFB-E002-4B65-8368-EFDDD10CA65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41" name="Text Box 1">
          <a:extLst>
            <a:ext uri="{FF2B5EF4-FFF2-40B4-BE49-F238E27FC236}">
              <a16:creationId xmlns:a16="http://schemas.microsoft.com/office/drawing/2014/main" id="{406190A2-09C8-4C97-85AC-0490010F0DF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42" name="Text Box 3">
          <a:extLst>
            <a:ext uri="{FF2B5EF4-FFF2-40B4-BE49-F238E27FC236}">
              <a16:creationId xmlns:a16="http://schemas.microsoft.com/office/drawing/2014/main" id="{CD93BEFC-05FD-4897-9D4D-367E1AD78DC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43" name="Text Box 1">
          <a:extLst>
            <a:ext uri="{FF2B5EF4-FFF2-40B4-BE49-F238E27FC236}">
              <a16:creationId xmlns:a16="http://schemas.microsoft.com/office/drawing/2014/main" id="{D189782A-8C99-4E0E-A8ED-C02A2003EB7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44" name="Text Box 1">
          <a:extLst>
            <a:ext uri="{FF2B5EF4-FFF2-40B4-BE49-F238E27FC236}">
              <a16:creationId xmlns:a16="http://schemas.microsoft.com/office/drawing/2014/main" id="{3CB5ACC7-0213-4179-8D23-DDE18C41BDA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45" name="Text Box 3">
          <a:extLst>
            <a:ext uri="{FF2B5EF4-FFF2-40B4-BE49-F238E27FC236}">
              <a16:creationId xmlns:a16="http://schemas.microsoft.com/office/drawing/2014/main" id="{4CBDF88F-1184-46CD-A22A-EF7D37598E1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46" name="Text Box 1">
          <a:extLst>
            <a:ext uri="{FF2B5EF4-FFF2-40B4-BE49-F238E27FC236}">
              <a16:creationId xmlns:a16="http://schemas.microsoft.com/office/drawing/2014/main" id="{C4846DBE-C27E-41C9-B387-3D2D3A7E858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47" name="Text Box 3">
          <a:extLst>
            <a:ext uri="{FF2B5EF4-FFF2-40B4-BE49-F238E27FC236}">
              <a16:creationId xmlns:a16="http://schemas.microsoft.com/office/drawing/2014/main" id="{6F156C70-3276-4507-A7EB-2AC1BB60CFF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48" name="Text Box 1">
          <a:extLst>
            <a:ext uri="{FF2B5EF4-FFF2-40B4-BE49-F238E27FC236}">
              <a16:creationId xmlns:a16="http://schemas.microsoft.com/office/drawing/2014/main" id="{3EF06757-CF6F-4F79-B848-24203E9001F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49" name="Text Box 1">
          <a:extLst>
            <a:ext uri="{FF2B5EF4-FFF2-40B4-BE49-F238E27FC236}">
              <a16:creationId xmlns:a16="http://schemas.microsoft.com/office/drawing/2014/main" id="{514E8086-DA61-46EC-80CB-B71A3FB45A9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50" name="Text Box 3">
          <a:extLst>
            <a:ext uri="{FF2B5EF4-FFF2-40B4-BE49-F238E27FC236}">
              <a16:creationId xmlns:a16="http://schemas.microsoft.com/office/drawing/2014/main" id="{2BBE5415-82D8-4728-9D74-43933D5E63C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51" name="Text Box 1">
          <a:extLst>
            <a:ext uri="{FF2B5EF4-FFF2-40B4-BE49-F238E27FC236}">
              <a16:creationId xmlns:a16="http://schemas.microsoft.com/office/drawing/2014/main" id="{1F3CE92F-F59F-4DD7-888F-3255268C237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52" name="Text Box 3">
          <a:extLst>
            <a:ext uri="{FF2B5EF4-FFF2-40B4-BE49-F238E27FC236}">
              <a16:creationId xmlns:a16="http://schemas.microsoft.com/office/drawing/2014/main" id="{E03AFC48-80E4-4A96-B766-041E38C83F0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53" name="Text Box 1">
          <a:extLst>
            <a:ext uri="{FF2B5EF4-FFF2-40B4-BE49-F238E27FC236}">
              <a16:creationId xmlns:a16="http://schemas.microsoft.com/office/drawing/2014/main" id="{9D71BF8C-85E0-4BD3-8878-48DE1B54B6C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54" name="Text Box 1">
          <a:extLst>
            <a:ext uri="{FF2B5EF4-FFF2-40B4-BE49-F238E27FC236}">
              <a16:creationId xmlns:a16="http://schemas.microsoft.com/office/drawing/2014/main" id="{ACF1EBE4-ED82-4551-8BD8-DCD4E66FC9F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55" name="Text Box 3">
          <a:extLst>
            <a:ext uri="{FF2B5EF4-FFF2-40B4-BE49-F238E27FC236}">
              <a16:creationId xmlns:a16="http://schemas.microsoft.com/office/drawing/2014/main" id="{0E05B746-03BC-41E4-B1B3-98FAE581851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56" name="Text Box 1">
          <a:extLst>
            <a:ext uri="{FF2B5EF4-FFF2-40B4-BE49-F238E27FC236}">
              <a16:creationId xmlns:a16="http://schemas.microsoft.com/office/drawing/2014/main" id="{EB74B3A0-FB68-46F6-8311-DCEE5E0296C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57" name="Text Box 3">
          <a:extLst>
            <a:ext uri="{FF2B5EF4-FFF2-40B4-BE49-F238E27FC236}">
              <a16:creationId xmlns:a16="http://schemas.microsoft.com/office/drawing/2014/main" id="{264A044E-F434-419D-A13A-5C3B1A0F3AC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58" name="Text Box 1">
          <a:extLst>
            <a:ext uri="{FF2B5EF4-FFF2-40B4-BE49-F238E27FC236}">
              <a16:creationId xmlns:a16="http://schemas.microsoft.com/office/drawing/2014/main" id="{76BBBA70-844A-46FC-88C0-722C500EEA9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59" name="Text Box 1">
          <a:extLst>
            <a:ext uri="{FF2B5EF4-FFF2-40B4-BE49-F238E27FC236}">
              <a16:creationId xmlns:a16="http://schemas.microsoft.com/office/drawing/2014/main" id="{AA15C4CE-EA95-4726-94E6-B1232BF5140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60" name="Text Box 3">
          <a:extLst>
            <a:ext uri="{FF2B5EF4-FFF2-40B4-BE49-F238E27FC236}">
              <a16:creationId xmlns:a16="http://schemas.microsoft.com/office/drawing/2014/main" id="{5231D8D9-7374-478E-B6A4-F15BD2B40C5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61" name="Text Box 1">
          <a:extLst>
            <a:ext uri="{FF2B5EF4-FFF2-40B4-BE49-F238E27FC236}">
              <a16:creationId xmlns:a16="http://schemas.microsoft.com/office/drawing/2014/main" id="{AB055ABB-BE68-4FC3-A790-FC781093315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62" name="Text Box 3">
          <a:extLst>
            <a:ext uri="{FF2B5EF4-FFF2-40B4-BE49-F238E27FC236}">
              <a16:creationId xmlns:a16="http://schemas.microsoft.com/office/drawing/2014/main" id="{1621D668-08C3-46A1-8FC0-1E93D41DC57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63" name="Text Box 1">
          <a:extLst>
            <a:ext uri="{FF2B5EF4-FFF2-40B4-BE49-F238E27FC236}">
              <a16:creationId xmlns:a16="http://schemas.microsoft.com/office/drawing/2014/main" id="{A365CB31-5B28-4F4E-8BE1-C8BCF7A7F0A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64" name="Text Box 1">
          <a:extLst>
            <a:ext uri="{FF2B5EF4-FFF2-40B4-BE49-F238E27FC236}">
              <a16:creationId xmlns:a16="http://schemas.microsoft.com/office/drawing/2014/main" id="{F072F3D1-ADD9-4B27-8B80-08230C43701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65" name="Text Box 3">
          <a:extLst>
            <a:ext uri="{FF2B5EF4-FFF2-40B4-BE49-F238E27FC236}">
              <a16:creationId xmlns:a16="http://schemas.microsoft.com/office/drawing/2014/main" id="{48AFD66D-CE68-4B16-9C11-E94E75D48D8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66" name="Text Box 1">
          <a:extLst>
            <a:ext uri="{FF2B5EF4-FFF2-40B4-BE49-F238E27FC236}">
              <a16:creationId xmlns:a16="http://schemas.microsoft.com/office/drawing/2014/main" id="{656E70E6-22E0-4B8D-98E5-F6F60A4D05B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67" name="Text Box 3">
          <a:extLst>
            <a:ext uri="{FF2B5EF4-FFF2-40B4-BE49-F238E27FC236}">
              <a16:creationId xmlns:a16="http://schemas.microsoft.com/office/drawing/2014/main" id="{588C82DB-828E-47B4-911E-BBE42480B8F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68" name="Text Box 1">
          <a:extLst>
            <a:ext uri="{FF2B5EF4-FFF2-40B4-BE49-F238E27FC236}">
              <a16:creationId xmlns:a16="http://schemas.microsoft.com/office/drawing/2014/main" id="{C8875D5E-0B49-4673-8D5E-7579113294F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69" name="Text Box 1">
          <a:extLst>
            <a:ext uri="{FF2B5EF4-FFF2-40B4-BE49-F238E27FC236}">
              <a16:creationId xmlns:a16="http://schemas.microsoft.com/office/drawing/2014/main" id="{31622B1A-5C55-4CC2-81BD-012B26537E8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70" name="Text Box 3">
          <a:extLst>
            <a:ext uri="{FF2B5EF4-FFF2-40B4-BE49-F238E27FC236}">
              <a16:creationId xmlns:a16="http://schemas.microsoft.com/office/drawing/2014/main" id="{832F7B41-DC7A-4748-BB2F-562E5BF5ADB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71" name="Text Box 1">
          <a:extLst>
            <a:ext uri="{FF2B5EF4-FFF2-40B4-BE49-F238E27FC236}">
              <a16:creationId xmlns:a16="http://schemas.microsoft.com/office/drawing/2014/main" id="{F6CA2595-2A75-49ED-834A-742A462AB52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72" name="Text Box 3">
          <a:extLst>
            <a:ext uri="{FF2B5EF4-FFF2-40B4-BE49-F238E27FC236}">
              <a16:creationId xmlns:a16="http://schemas.microsoft.com/office/drawing/2014/main" id="{787CCA6B-3CC2-46B1-852D-932963B477D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73" name="Text Box 1">
          <a:extLst>
            <a:ext uri="{FF2B5EF4-FFF2-40B4-BE49-F238E27FC236}">
              <a16:creationId xmlns:a16="http://schemas.microsoft.com/office/drawing/2014/main" id="{B688C281-8D6D-4232-AEE3-D54557312E7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74" name="Text Box 1">
          <a:extLst>
            <a:ext uri="{FF2B5EF4-FFF2-40B4-BE49-F238E27FC236}">
              <a16:creationId xmlns:a16="http://schemas.microsoft.com/office/drawing/2014/main" id="{CECAA8A3-C0A8-4468-91C2-789741630F9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75" name="Text Box 3">
          <a:extLst>
            <a:ext uri="{FF2B5EF4-FFF2-40B4-BE49-F238E27FC236}">
              <a16:creationId xmlns:a16="http://schemas.microsoft.com/office/drawing/2014/main" id="{AE786503-CA04-4F9C-938A-E543D704C59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76" name="Text Box 1">
          <a:extLst>
            <a:ext uri="{FF2B5EF4-FFF2-40B4-BE49-F238E27FC236}">
              <a16:creationId xmlns:a16="http://schemas.microsoft.com/office/drawing/2014/main" id="{0CBC8B92-194A-4055-93D0-8E229C1FBBE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77" name="Text Box 3">
          <a:extLst>
            <a:ext uri="{FF2B5EF4-FFF2-40B4-BE49-F238E27FC236}">
              <a16:creationId xmlns:a16="http://schemas.microsoft.com/office/drawing/2014/main" id="{DC86F5E5-CBDD-43F8-9471-2BD0FB81AF8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78" name="Text Box 1">
          <a:extLst>
            <a:ext uri="{FF2B5EF4-FFF2-40B4-BE49-F238E27FC236}">
              <a16:creationId xmlns:a16="http://schemas.microsoft.com/office/drawing/2014/main" id="{F85E1620-4EAB-41F0-BD26-4BD60978B78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79" name="Text Box 1">
          <a:extLst>
            <a:ext uri="{FF2B5EF4-FFF2-40B4-BE49-F238E27FC236}">
              <a16:creationId xmlns:a16="http://schemas.microsoft.com/office/drawing/2014/main" id="{AFD4C3F7-2608-45D7-AB98-F33131A7177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80" name="Text Box 3">
          <a:extLst>
            <a:ext uri="{FF2B5EF4-FFF2-40B4-BE49-F238E27FC236}">
              <a16:creationId xmlns:a16="http://schemas.microsoft.com/office/drawing/2014/main" id="{7E549004-9A08-46DE-83EF-BB0C393C856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81" name="Text Box 1">
          <a:extLst>
            <a:ext uri="{FF2B5EF4-FFF2-40B4-BE49-F238E27FC236}">
              <a16:creationId xmlns:a16="http://schemas.microsoft.com/office/drawing/2014/main" id="{4BD85FD0-EE0B-48C2-953F-FC69D8B7DB4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82" name="Text Box 3">
          <a:extLst>
            <a:ext uri="{FF2B5EF4-FFF2-40B4-BE49-F238E27FC236}">
              <a16:creationId xmlns:a16="http://schemas.microsoft.com/office/drawing/2014/main" id="{B8F48DB3-8E5C-4A90-B1AE-7954B291458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83" name="Text Box 1">
          <a:extLst>
            <a:ext uri="{FF2B5EF4-FFF2-40B4-BE49-F238E27FC236}">
              <a16:creationId xmlns:a16="http://schemas.microsoft.com/office/drawing/2014/main" id="{E73A3923-60C5-4C1A-9C7A-EF44BBB1A5A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84" name="Text Box 1">
          <a:extLst>
            <a:ext uri="{FF2B5EF4-FFF2-40B4-BE49-F238E27FC236}">
              <a16:creationId xmlns:a16="http://schemas.microsoft.com/office/drawing/2014/main" id="{0D719DCA-03FF-404C-89A0-CD168202C56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85" name="Text Box 3">
          <a:extLst>
            <a:ext uri="{FF2B5EF4-FFF2-40B4-BE49-F238E27FC236}">
              <a16:creationId xmlns:a16="http://schemas.microsoft.com/office/drawing/2014/main" id="{F388282F-FD06-4B47-98EC-6F2A4413789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86" name="Text Box 1">
          <a:extLst>
            <a:ext uri="{FF2B5EF4-FFF2-40B4-BE49-F238E27FC236}">
              <a16:creationId xmlns:a16="http://schemas.microsoft.com/office/drawing/2014/main" id="{A0C4BBF1-6696-4C2C-8E04-E572399E95C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87" name="Text Box 3">
          <a:extLst>
            <a:ext uri="{FF2B5EF4-FFF2-40B4-BE49-F238E27FC236}">
              <a16:creationId xmlns:a16="http://schemas.microsoft.com/office/drawing/2014/main" id="{BD23DE9C-49C9-4D63-8A0F-A29D4C7621F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88" name="Text Box 1">
          <a:extLst>
            <a:ext uri="{FF2B5EF4-FFF2-40B4-BE49-F238E27FC236}">
              <a16:creationId xmlns:a16="http://schemas.microsoft.com/office/drawing/2014/main" id="{1453FBF0-B847-44D4-917B-8ECDBDAE80F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89" name="Text Box 1">
          <a:extLst>
            <a:ext uri="{FF2B5EF4-FFF2-40B4-BE49-F238E27FC236}">
              <a16:creationId xmlns:a16="http://schemas.microsoft.com/office/drawing/2014/main" id="{7021FE3C-D106-4ED7-835F-0E3066D1ED2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90" name="Text Box 3">
          <a:extLst>
            <a:ext uri="{FF2B5EF4-FFF2-40B4-BE49-F238E27FC236}">
              <a16:creationId xmlns:a16="http://schemas.microsoft.com/office/drawing/2014/main" id="{5DDEEF88-0B33-43C8-83AF-2893CD864E0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91" name="Text Box 1">
          <a:extLst>
            <a:ext uri="{FF2B5EF4-FFF2-40B4-BE49-F238E27FC236}">
              <a16:creationId xmlns:a16="http://schemas.microsoft.com/office/drawing/2014/main" id="{C7C7E0BF-8CAE-4BBF-AE90-FCBCA384A6B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92" name="Text Box 3">
          <a:extLst>
            <a:ext uri="{FF2B5EF4-FFF2-40B4-BE49-F238E27FC236}">
              <a16:creationId xmlns:a16="http://schemas.microsoft.com/office/drawing/2014/main" id="{081CDFDC-2114-4299-B292-B30B03CDED8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93" name="Text Box 1">
          <a:extLst>
            <a:ext uri="{FF2B5EF4-FFF2-40B4-BE49-F238E27FC236}">
              <a16:creationId xmlns:a16="http://schemas.microsoft.com/office/drawing/2014/main" id="{59EFCE1D-227B-4916-A72C-C8315AA420C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94" name="Text Box 1">
          <a:extLst>
            <a:ext uri="{FF2B5EF4-FFF2-40B4-BE49-F238E27FC236}">
              <a16:creationId xmlns:a16="http://schemas.microsoft.com/office/drawing/2014/main" id="{08DDEE6B-7192-4ED5-8981-2C026582CEC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95" name="Text Box 3">
          <a:extLst>
            <a:ext uri="{FF2B5EF4-FFF2-40B4-BE49-F238E27FC236}">
              <a16:creationId xmlns:a16="http://schemas.microsoft.com/office/drawing/2014/main" id="{34B83734-6533-4C36-B537-48D43363CC4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96" name="Text Box 1">
          <a:extLst>
            <a:ext uri="{FF2B5EF4-FFF2-40B4-BE49-F238E27FC236}">
              <a16:creationId xmlns:a16="http://schemas.microsoft.com/office/drawing/2014/main" id="{AEE8B5CA-458B-47E1-B826-56244F42037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97" name="Text Box 3">
          <a:extLst>
            <a:ext uri="{FF2B5EF4-FFF2-40B4-BE49-F238E27FC236}">
              <a16:creationId xmlns:a16="http://schemas.microsoft.com/office/drawing/2014/main" id="{3B5DC5A2-5F18-4154-A511-5D62C71A5AD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98" name="Text Box 1">
          <a:extLst>
            <a:ext uri="{FF2B5EF4-FFF2-40B4-BE49-F238E27FC236}">
              <a16:creationId xmlns:a16="http://schemas.microsoft.com/office/drawing/2014/main" id="{8E88974B-1F6C-4F65-979A-A9B18B923F2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99" name="Text Box 1">
          <a:extLst>
            <a:ext uri="{FF2B5EF4-FFF2-40B4-BE49-F238E27FC236}">
              <a16:creationId xmlns:a16="http://schemas.microsoft.com/office/drawing/2014/main" id="{939752EC-3761-4003-BFAE-37F85DAF781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00" name="Text Box 3">
          <a:extLst>
            <a:ext uri="{FF2B5EF4-FFF2-40B4-BE49-F238E27FC236}">
              <a16:creationId xmlns:a16="http://schemas.microsoft.com/office/drawing/2014/main" id="{0F334DEE-6D9B-40CD-AD42-D68152376E9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01" name="Text Box 1">
          <a:extLst>
            <a:ext uri="{FF2B5EF4-FFF2-40B4-BE49-F238E27FC236}">
              <a16:creationId xmlns:a16="http://schemas.microsoft.com/office/drawing/2014/main" id="{AC874347-3A35-4F53-8604-45B18C54140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02" name="Text Box 3">
          <a:extLst>
            <a:ext uri="{FF2B5EF4-FFF2-40B4-BE49-F238E27FC236}">
              <a16:creationId xmlns:a16="http://schemas.microsoft.com/office/drawing/2014/main" id="{4B9C426C-AE49-48B0-99CE-93E96E91B26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03" name="Text Box 1">
          <a:extLst>
            <a:ext uri="{FF2B5EF4-FFF2-40B4-BE49-F238E27FC236}">
              <a16:creationId xmlns:a16="http://schemas.microsoft.com/office/drawing/2014/main" id="{1D9628E0-6807-4A76-8542-97F8B3563ED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04" name="Text Box 1">
          <a:extLst>
            <a:ext uri="{FF2B5EF4-FFF2-40B4-BE49-F238E27FC236}">
              <a16:creationId xmlns:a16="http://schemas.microsoft.com/office/drawing/2014/main" id="{5C99AF81-D6B1-4E9D-A670-0FBAF5CCEE5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05" name="Text Box 3">
          <a:extLst>
            <a:ext uri="{FF2B5EF4-FFF2-40B4-BE49-F238E27FC236}">
              <a16:creationId xmlns:a16="http://schemas.microsoft.com/office/drawing/2014/main" id="{6FF0F248-3593-4134-A105-271076A4F35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06" name="Text Box 1">
          <a:extLst>
            <a:ext uri="{FF2B5EF4-FFF2-40B4-BE49-F238E27FC236}">
              <a16:creationId xmlns:a16="http://schemas.microsoft.com/office/drawing/2014/main" id="{77ED141B-A267-4517-B2B8-FB84ED56F2B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07" name="Text Box 3">
          <a:extLst>
            <a:ext uri="{FF2B5EF4-FFF2-40B4-BE49-F238E27FC236}">
              <a16:creationId xmlns:a16="http://schemas.microsoft.com/office/drawing/2014/main" id="{13819F2E-EBB3-42A0-9B22-B0CFA2F30E6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08" name="Text Box 1">
          <a:extLst>
            <a:ext uri="{FF2B5EF4-FFF2-40B4-BE49-F238E27FC236}">
              <a16:creationId xmlns:a16="http://schemas.microsoft.com/office/drawing/2014/main" id="{95CF9476-1583-40F2-AE89-7EC570E579E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09" name="Text Box 1">
          <a:extLst>
            <a:ext uri="{FF2B5EF4-FFF2-40B4-BE49-F238E27FC236}">
              <a16:creationId xmlns:a16="http://schemas.microsoft.com/office/drawing/2014/main" id="{DCD1D6E3-3452-4B0E-9079-8FC324B3EF1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10" name="Text Box 3">
          <a:extLst>
            <a:ext uri="{FF2B5EF4-FFF2-40B4-BE49-F238E27FC236}">
              <a16:creationId xmlns:a16="http://schemas.microsoft.com/office/drawing/2014/main" id="{2ACDA0E2-A71E-4230-ADE8-0B39D8FFC5C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11" name="Text Box 1">
          <a:extLst>
            <a:ext uri="{FF2B5EF4-FFF2-40B4-BE49-F238E27FC236}">
              <a16:creationId xmlns:a16="http://schemas.microsoft.com/office/drawing/2014/main" id="{EAE5E338-8F5D-4FCC-8481-FAB122BEFDE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12" name="Text Box 3">
          <a:extLst>
            <a:ext uri="{FF2B5EF4-FFF2-40B4-BE49-F238E27FC236}">
              <a16:creationId xmlns:a16="http://schemas.microsoft.com/office/drawing/2014/main" id="{8BF397A0-4470-46EC-98A8-30E2B4DC3ED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13" name="Text Box 1">
          <a:extLst>
            <a:ext uri="{FF2B5EF4-FFF2-40B4-BE49-F238E27FC236}">
              <a16:creationId xmlns:a16="http://schemas.microsoft.com/office/drawing/2014/main" id="{458E4233-B7C9-491C-9835-9C38E2AF016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14" name="Text Box 1">
          <a:extLst>
            <a:ext uri="{FF2B5EF4-FFF2-40B4-BE49-F238E27FC236}">
              <a16:creationId xmlns:a16="http://schemas.microsoft.com/office/drawing/2014/main" id="{E2078458-EC6A-4F69-A25F-7779796BC67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15" name="Text Box 3">
          <a:extLst>
            <a:ext uri="{FF2B5EF4-FFF2-40B4-BE49-F238E27FC236}">
              <a16:creationId xmlns:a16="http://schemas.microsoft.com/office/drawing/2014/main" id="{CF6C2492-3CAF-4C69-A309-AC3BE35D1E3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16" name="Text Box 1">
          <a:extLst>
            <a:ext uri="{FF2B5EF4-FFF2-40B4-BE49-F238E27FC236}">
              <a16:creationId xmlns:a16="http://schemas.microsoft.com/office/drawing/2014/main" id="{761D8FA2-21E3-4B74-9302-57F006C7E22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17" name="Text Box 3">
          <a:extLst>
            <a:ext uri="{FF2B5EF4-FFF2-40B4-BE49-F238E27FC236}">
              <a16:creationId xmlns:a16="http://schemas.microsoft.com/office/drawing/2014/main" id="{EBEC5061-5A8B-4CD9-9BC3-33A3C15A9A2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18" name="Text Box 1">
          <a:extLst>
            <a:ext uri="{FF2B5EF4-FFF2-40B4-BE49-F238E27FC236}">
              <a16:creationId xmlns:a16="http://schemas.microsoft.com/office/drawing/2014/main" id="{D9198AE6-E4F0-4B2A-B433-CCE39E36712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19" name="Text Box 1">
          <a:extLst>
            <a:ext uri="{FF2B5EF4-FFF2-40B4-BE49-F238E27FC236}">
              <a16:creationId xmlns:a16="http://schemas.microsoft.com/office/drawing/2014/main" id="{7D3107CA-8685-48FF-B9A3-83E569AAB79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20" name="Text Box 3">
          <a:extLst>
            <a:ext uri="{FF2B5EF4-FFF2-40B4-BE49-F238E27FC236}">
              <a16:creationId xmlns:a16="http://schemas.microsoft.com/office/drawing/2014/main" id="{FFC13886-FA55-45DD-B03B-D5F220A4F09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21" name="Text Box 1">
          <a:extLst>
            <a:ext uri="{FF2B5EF4-FFF2-40B4-BE49-F238E27FC236}">
              <a16:creationId xmlns:a16="http://schemas.microsoft.com/office/drawing/2014/main" id="{05E31CC1-E928-4BD3-883B-297759228BC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22" name="Text Box 3">
          <a:extLst>
            <a:ext uri="{FF2B5EF4-FFF2-40B4-BE49-F238E27FC236}">
              <a16:creationId xmlns:a16="http://schemas.microsoft.com/office/drawing/2014/main" id="{10176A4A-6779-4E78-A22B-FB520D5BC5D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23" name="Text Box 1">
          <a:extLst>
            <a:ext uri="{FF2B5EF4-FFF2-40B4-BE49-F238E27FC236}">
              <a16:creationId xmlns:a16="http://schemas.microsoft.com/office/drawing/2014/main" id="{7C03A4ED-4DD6-4AB0-B445-D4FE0688CD1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24" name="Text Box 1">
          <a:extLst>
            <a:ext uri="{FF2B5EF4-FFF2-40B4-BE49-F238E27FC236}">
              <a16:creationId xmlns:a16="http://schemas.microsoft.com/office/drawing/2014/main" id="{E2C749B0-6123-4DD2-8137-03B708BA34C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25" name="Text Box 3">
          <a:extLst>
            <a:ext uri="{FF2B5EF4-FFF2-40B4-BE49-F238E27FC236}">
              <a16:creationId xmlns:a16="http://schemas.microsoft.com/office/drawing/2014/main" id="{0CC513A4-6CDD-460E-89B9-6E53DC234CF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26" name="Text Box 1">
          <a:extLst>
            <a:ext uri="{FF2B5EF4-FFF2-40B4-BE49-F238E27FC236}">
              <a16:creationId xmlns:a16="http://schemas.microsoft.com/office/drawing/2014/main" id="{9C45E32D-440C-4573-A357-D44FE690BF9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27" name="Text Box 3">
          <a:extLst>
            <a:ext uri="{FF2B5EF4-FFF2-40B4-BE49-F238E27FC236}">
              <a16:creationId xmlns:a16="http://schemas.microsoft.com/office/drawing/2014/main" id="{283AA81E-F1EE-4F6A-A01A-BCF48E57273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28" name="Text Box 1">
          <a:extLst>
            <a:ext uri="{FF2B5EF4-FFF2-40B4-BE49-F238E27FC236}">
              <a16:creationId xmlns:a16="http://schemas.microsoft.com/office/drawing/2014/main" id="{51438A14-27C1-41AF-B8A6-DEE8E9C31AC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29" name="Text Box 1">
          <a:extLst>
            <a:ext uri="{FF2B5EF4-FFF2-40B4-BE49-F238E27FC236}">
              <a16:creationId xmlns:a16="http://schemas.microsoft.com/office/drawing/2014/main" id="{25E53E66-2375-4DB5-9F84-758805B3D6D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30" name="Text Box 3">
          <a:extLst>
            <a:ext uri="{FF2B5EF4-FFF2-40B4-BE49-F238E27FC236}">
              <a16:creationId xmlns:a16="http://schemas.microsoft.com/office/drawing/2014/main" id="{3982F3A4-31B2-4D45-82E2-B20B8EF6BE2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31" name="Text Box 1">
          <a:extLst>
            <a:ext uri="{FF2B5EF4-FFF2-40B4-BE49-F238E27FC236}">
              <a16:creationId xmlns:a16="http://schemas.microsoft.com/office/drawing/2014/main" id="{ADAC27AB-B99B-4526-8B2B-66884BB9122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32" name="Text Box 3">
          <a:extLst>
            <a:ext uri="{FF2B5EF4-FFF2-40B4-BE49-F238E27FC236}">
              <a16:creationId xmlns:a16="http://schemas.microsoft.com/office/drawing/2014/main" id="{C753826F-683F-4532-B4A7-809CE4ADED6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33" name="Text Box 1">
          <a:extLst>
            <a:ext uri="{FF2B5EF4-FFF2-40B4-BE49-F238E27FC236}">
              <a16:creationId xmlns:a16="http://schemas.microsoft.com/office/drawing/2014/main" id="{F902A5CD-6D55-405E-8761-347041C1DAC3}"/>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34" name="Text Box 3">
          <a:extLst>
            <a:ext uri="{FF2B5EF4-FFF2-40B4-BE49-F238E27FC236}">
              <a16:creationId xmlns:a16="http://schemas.microsoft.com/office/drawing/2014/main" id="{0869473F-9920-4DF2-85EA-4408BD8BE0AD}"/>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35" name="Text Box 1">
          <a:extLst>
            <a:ext uri="{FF2B5EF4-FFF2-40B4-BE49-F238E27FC236}">
              <a16:creationId xmlns:a16="http://schemas.microsoft.com/office/drawing/2014/main" id="{5F69BDD1-38BB-47C3-B0E9-5893DD1D4A12}"/>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36" name="Text Box 3">
          <a:extLst>
            <a:ext uri="{FF2B5EF4-FFF2-40B4-BE49-F238E27FC236}">
              <a16:creationId xmlns:a16="http://schemas.microsoft.com/office/drawing/2014/main" id="{D933E7BC-AF9A-4756-9B3A-2D33EE131AF7}"/>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37" name="Text Box 1">
          <a:extLst>
            <a:ext uri="{FF2B5EF4-FFF2-40B4-BE49-F238E27FC236}">
              <a16:creationId xmlns:a16="http://schemas.microsoft.com/office/drawing/2014/main" id="{611FC553-2438-4DBA-B44F-A3B85C95184D}"/>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38" name="Text Box 1">
          <a:extLst>
            <a:ext uri="{FF2B5EF4-FFF2-40B4-BE49-F238E27FC236}">
              <a16:creationId xmlns:a16="http://schemas.microsoft.com/office/drawing/2014/main" id="{37F6DF7B-3D13-47CA-B857-07EA17A2ECBE}"/>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39" name="Text Box 3">
          <a:extLst>
            <a:ext uri="{FF2B5EF4-FFF2-40B4-BE49-F238E27FC236}">
              <a16:creationId xmlns:a16="http://schemas.microsoft.com/office/drawing/2014/main" id="{C3470D7F-4D69-4F2C-A378-6F1991BD0F5A}"/>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40" name="Text Box 1">
          <a:extLst>
            <a:ext uri="{FF2B5EF4-FFF2-40B4-BE49-F238E27FC236}">
              <a16:creationId xmlns:a16="http://schemas.microsoft.com/office/drawing/2014/main" id="{526EE468-1F57-46D8-A439-3574AE6CE45E}"/>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41" name="Text Box 3">
          <a:extLst>
            <a:ext uri="{FF2B5EF4-FFF2-40B4-BE49-F238E27FC236}">
              <a16:creationId xmlns:a16="http://schemas.microsoft.com/office/drawing/2014/main" id="{E0AF2437-62BC-44AE-84E6-303D138FE553}"/>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42" name="Text Box 1">
          <a:extLst>
            <a:ext uri="{FF2B5EF4-FFF2-40B4-BE49-F238E27FC236}">
              <a16:creationId xmlns:a16="http://schemas.microsoft.com/office/drawing/2014/main" id="{31BCBCCB-B370-44FF-88BA-1D0211564697}"/>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43" name="Text Box 1">
          <a:extLst>
            <a:ext uri="{FF2B5EF4-FFF2-40B4-BE49-F238E27FC236}">
              <a16:creationId xmlns:a16="http://schemas.microsoft.com/office/drawing/2014/main" id="{C92B18E8-6225-4D48-83EA-A4B5B5427169}"/>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44" name="Text Box 3">
          <a:extLst>
            <a:ext uri="{FF2B5EF4-FFF2-40B4-BE49-F238E27FC236}">
              <a16:creationId xmlns:a16="http://schemas.microsoft.com/office/drawing/2014/main" id="{64FCEB49-7B15-4E11-B783-887324CE31B1}"/>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45" name="Text Box 1">
          <a:extLst>
            <a:ext uri="{FF2B5EF4-FFF2-40B4-BE49-F238E27FC236}">
              <a16:creationId xmlns:a16="http://schemas.microsoft.com/office/drawing/2014/main" id="{887F65EC-0719-4C47-BD45-3F97DAF8A134}"/>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46" name="Text Box 1">
          <a:extLst>
            <a:ext uri="{FF2B5EF4-FFF2-40B4-BE49-F238E27FC236}">
              <a16:creationId xmlns:a16="http://schemas.microsoft.com/office/drawing/2014/main" id="{0ABF1D26-0912-446E-84F1-9F3004D90912}"/>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47" name="Text Box 3">
          <a:extLst>
            <a:ext uri="{FF2B5EF4-FFF2-40B4-BE49-F238E27FC236}">
              <a16:creationId xmlns:a16="http://schemas.microsoft.com/office/drawing/2014/main" id="{1296EEE9-C5FD-4340-904A-2E772DD2B248}"/>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48" name="Text Box 1">
          <a:extLst>
            <a:ext uri="{FF2B5EF4-FFF2-40B4-BE49-F238E27FC236}">
              <a16:creationId xmlns:a16="http://schemas.microsoft.com/office/drawing/2014/main" id="{930069FF-C6EC-4E0F-92A0-FA9DA8750F31}"/>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49" name="Text Box 3">
          <a:extLst>
            <a:ext uri="{FF2B5EF4-FFF2-40B4-BE49-F238E27FC236}">
              <a16:creationId xmlns:a16="http://schemas.microsoft.com/office/drawing/2014/main" id="{51DC5D69-D0D0-4FF4-A985-B532A43CD7DF}"/>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50" name="Text Box 1">
          <a:extLst>
            <a:ext uri="{FF2B5EF4-FFF2-40B4-BE49-F238E27FC236}">
              <a16:creationId xmlns:a16="http://schemas.microsoft.com/office/drawing/2014/main" id="{5D69D94F-7359-4D6E-9253-7BC6009C130B}"/>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51" name="Text Box 1">
          <a:extLst>
            <a:ext uri="{FF2B5EF4-FFF2-40B4-BE49-F238E27FC236}">
              <a16:creationId xmlns:a16="http://schemas.microsoft.com/office/drawing/2014/main" id="{421F4EC8-FC03-458E-B7EC-B4E4654D5235}"/>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52" name="Text Box 3">
          <a:extLst>
            <a:ext uri="{FF2B5EF4-FFF2-40B4-BE49-F238E27FC236}">
              <a16:creationId xmlns:a16="http://schemas.microsoft.com/office/drawing/2014/main" id="{AA724F2F-0052-469F-AE3A-8B9747AB267D}"/>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53" name="Text Box 1">
          <a:extLst>
            <a:ext uri="{FF2B5EF4-FFF2-40B4-BE49-F238E27FC236}">
              <a16:creationId xmlns:a16="http://schemas.microsoft.com/office/drawing/2014/main" id="{CDC26DC0-B1BB-43A7-A562-AD9341E4710D}"/>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54" name="Text Box 3">
          <a:extLst>
            <a:ext uri="{FF2B5EF4-FFF2-40B4-BE49-F238E27FC236}">
              <a16:creationId xmlns:a16="http://schemas.microsoft.com/office/drawing/2014/main" id="{BBB2B66E-7DC9-4833-911D-F1E7C6342BE3}"/>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55" name="Text Box 1">
          <a:extLst>
            <a:ext uri="{FF2B5EF4-FFF2-40B4-BE49-F238E27FC236}">
              <a16:creationId xmlns:a16="http://schemas.microsoft.com/office/drawing/2014/main" id="{6A2436EC-50F1-4028-A2DE-5F44B33422D5}"/>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56" name="Text Box 1">
          <a:extLst>
            <a:ext uri="{FF2B5EF4-FFF2-40B4-BE49-F238E27FC236}">
              <a16:creationId xmlns:a16="http://schemas.microsoft.com/office/drawing/2014/main" id="{D43F54FF-F94A-4AC1-9D25-DA8C6906668A}"/>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57" name="Text Box 3">
          <a:extLst>
            <a:ext uri="{FF2B5EF4-FFF2-40B4-BE49-F238E27FC236}">
              <a16:creationId xmlns:a16="http://schemas.microsoft.com/office/drawing/2014/main" id="{1A4B270C-BFA2-424B-B796-2E7A898E023E}"/>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58" name="Text Box 3">
          <a:extLst>
            <a:ext uri="{FF2B5EF4-FFF2-40B4-BE49-F238E27FC236}">
              <a16:creationId xmlns:a16="http://schemas.microsoft.com/office/drawing/2014/main" id="{5032A55E-2C00-4A5A-918E-C494B031C8F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59" name="Text Box 1">
          <a:extLst>
            <a:ext uri="{FF2B5EF4-FFF2-40B4-BE49-F238E27FC236}">
              <a16:creationId xmlns:a16="http://schemas.microsoft.com/office/drawing/2014/main" id="{02FA7A2B-4C8C-4330-9F9E-30B887C1F34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60" name="Text Box 3">
          <a:extLst>
            <a:ext uri="{FF2B5EF4-FFF2-40B4-BE49-F238E27FC236}">
              <a16:creationId xmlns:a16="http://schemas.microsoft.com/office/drawing/2014/main" id="{72E227D9-D629-4511-9FE1-393F94DC22D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61" name="Text Box 1">
          <a:extLst>
            <a:ext uri="{FF2B5EF4-FFF2-40B4-BE49-F238E27FC236}">
              <a16:creationId xmlns:a16="http://schemas.microsoft.com/office/drawing/2014/main" id="{A15DD7BF-7482-4C8D-9E86-9C5B9BC97E5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62" name="Text Box 1">
          <a:extLst>
            <a:ext uri="{FF2B5EF4-FFF2-40B4-BE49-F238E27FC236}">
              <a16:creationId xmlns:a16="http://schemas.microsoft.com/office/drawing/2014/main" id="{31EC84B2-BDA9-4912-A5CE-BE51B3013B1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63" name="Text Box 3">
          <a:extLst>
            <a:ext uri="{FF2B5EF4-FFF2-40B4-BE49-F238E27FC236}">
              <a16:creationId xmlns:a16="http://schemas.microsoft.com/office/drawing/2014/main" id="{454A8CD5-985F-4F8A-8023-3A75610E773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64" name="Text Box 1">
          <a:extLst>
            <a:ext uri="{FF2B5EF4-FFF2-40B4-BE49-F238E27FC236}">
              <a16:creationId xmlns:a16="http://schemas.microsoft.com/office/drawing/2014/main" id="{C5E666FC-9990-4E09-B74B-7FA01083043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65" name="Text Box 3">
          <a:extLst>
            <a:ext uri="{FF2B5EF4-FFF2-40B4-BE49-F238E27FC236}">
              <a16:creationId xmlns:a16="http://schemas.microsoft.com/office/drawing/2014/main" id="{932E9C07-910E-4B2C-B0A7-74A721A9D8D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66" name="Text Box 1">
          <a:extLst>
            <a:ext uri="{FF2B5EF4-FFF2-40B4-BE49-F238E27FC236}">
              <a16:creationId xmlns:a16="http://schemas.microsoft.com/office/drawing/2014/main" id="{E096F17D-FED4-4006-AAEC-99515F9BA62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67" name="Text Box 1">
          <a:extLst>
            <a:ext uri="{FF2B5EF4-FFF2-40B4-BE49-F238E27FC236}">
              <a16:creationId xmlns:a16="http://schemas.microsoft.com/office/drawing/2014/main" id="{A4C75536-3AFA-4C6D-B948-D081675F86C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68" name="Text Box 3">
          <a:extLst>
            <a:ext uri="{FF2B5EF4-FFF2-40B4-BE49-F238E27FC236}">
              <a16:creationId xmlns:a16="http://schemas.microsoft.com/office/drawing/2014/main" id="{B8967495-C4E5-49A6-A166-48EE7353314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69" name="Text Box 1">
          <a:extLst>
            <a:ext uri="{FF2B5EF4-FFF2-40B4-BE49-F238E27FC236}">
              <a16:creationId xmlns:a16="http://schemas.microsoft.com/office/drawing/2014/main" id="{1B6C320E-4697-4D82-819C-BE2B3A3CE88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70" name="Text Box 1">
          <a:extLst>
            <a:ext uri="{FF2B5EF4-FFF2-40B4-BE49-F238E27FC236}">
              <a16:creationId xmlns:a16="http://schemas.microsoft.com/office/drawing/2014/main" id="{7691EA8C-9C40-459F-BF73-67D8C35B1DA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71" name="Text Box 3">
          <a:extLst>
            <a:ext uri="{FF2B5EF4-FFF2-40B4-BE49-F238E27FC236}">
              <a16:creationId xmlns:a16="http://schemas.microsoft.com/office/drawing/2014/main" id="{87B3B5A3-4209-423C-AC71-A8C66EF4B1C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72" name="Text Box 1">
          <a:extLst>
            <a:ext uri="{FF2B5EF4-FFF2-40B4-BE49-F238E27FC236}">
              <a16:creationId xmlns:a16="http://schemas.microsoft.com/office/drawing/2014/main" id="{41FFB9AB-63CB-4048-A52F-7BFC22DD793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73" name="Text Box 3">
          <a:extLst>
            <a:ext uri="{FF2B5EF4-FFF2-40B4-BE49-F238E27FC236}">
              <a16:creationId xmlns:a16="http://schemas.microsoft.com/office/drawing/2014/main" id="{9B5C7C75-472E-413F-9152-FFC8331E59A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74" name="Text Box 1">
          <a:extLst>
            <a:ext uri="{FF2B5EF4-FFF2-40B4-BE49-F238E27FC236}">
              <a16:creationId xmlns:a16="http://schemas.microsoft.com/office/drawing/2014/main" id="{8FAF257E-8B7A-4117-931D-3DE8966ED86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75" name="Text Box 3">
          <a:extLst>
            <a:ext uri="{FF2B5EF4-FFF2-40B4-BE49-F238E27FC236}">
              <a16:creationId xmlns:a16="http://schemas.microsoft.com/office/drawing/2014/main" id="{6617AB26-E4F7-4FA2-996D-C11C85D54BE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76" name="Text Box 1">
          <a:extLst>
            <a:ext uri="{FF2B5EF4-FFF2-40B4-BE49-F238E27FC236}">
              <a16:creationId xmlns:a16="http://schemas.microsoft.com/office/drawing/2014/main" id="{BA6D475F-8C90-49E2-A62D-D9B4EAFA2A6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77" name="Text Box 3">
          <a:extLst>
            <a:ext uri="{FF2B5EF4-FFF2-40B4-BE49-F238E27FC236}">
              <a16:creationId xmlns:a16="http://schemas.microsoft.com/office/drawing/2014/main" id="{429FB4C3-BD37-4F19-93CE-E6B25C97D4F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78" name="Text Box 1">
          <a:extLst>
            <a:ext uri="{FF2B5EF4-FFF2-40B4-BE49-F238E27FC236}">
              <a16:creationId xmlns:a16="http://schemas.microsoft.com/office/drawing/2014/main" id="{72EA0989-26D1-4AAD-957F-FCCF1C65215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79" name="Text Box 1">
          <a:extLst>
            <a:ext uri="{FF2B5EF4-FFF2-40B4-BE49-F238E27FC236}">
              <a16:creationId xmlns:a16="http://schemas.microsoft.com/office/drawing/2014/main" id="{ED6876C6-10A7-4C3D-B16D-974E0A6E3B6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80" name="Text Box 3">
          <a:extLst>
            <a:ext uri="{FF2B5EF4-FFF2-40B4-BE49-F238E27FC236}">
              <a16:creationId xmlns:a16="http://schemas.microsoft.com/office/drawing/2014/main" id="{DFF4DE83-897B-4CA3-B2AF-7D98A840F31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81" name="Text Box 1">
          <a:extLst>
            <a:ext uri="{FF2B5EF4-FFF2-40B4-BE49-F238E27FC236}">
              <a16:creationId xmlns:a16="http://schemas.microsoft.com/office/drawing/2014/main" id="{05C91B92-E3F1-4C5B-A9A3-808168253B1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82" name="Text Box 1">
          <a:extLst>
            <a:ext uri="{FF2B5EF4-FFF2-40B4-BE49-F238E27FC236}">
              <a16:creationId xmlns:a16="http://schemas.microsoft.com/office/drawing/2014/main" id="{42E9D799-3D40-4CAF-B5DF-88C150585BBE}"/>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83" name="Text Box 1">
          <a:extLst>
            <a:ext uri="{FF2B5EF4-FFF2-40B4-BE49-F238E27FC236}">
              <a16:creationId xmlns:a16="http://schemas.microsoft.com/office/drawing/2014/main" id="{367BFF10-3314-4D4C-B7AA-36B81365F2D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84" name="Text Box 3">
          <a:extLst>
            <a:ext uri="{FF2B5EF4-FFF2-40B4-BE49-F238E27FC236}">
              <a16:creationId xmlns:a16="http://schemas.microsoft.com/office/drawing/2014/main" id="{64BDBD85-BF8D-4EDB-A6F0-9E960BEA971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85" name="Text Box 1">
          <a:extLst>
            <a:ext uri="{FF2B5EF4-FFF2-40B4-BE49-F238E27FC236}">
              <a16:creationId xmlns:a16="http://schemas.microsoft.com/office/drawing/2014/main" id="{6FFC165B-CAAF-42F8-BF76-993D6745247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86" name="Text Box 3">
          <a:extLst>
            <a:ext uri="{FF2B5EF4-FFF2-40B4-BE49-F238E27FC236}">
              <a16:creationId xmlns:a16="http://schemas.microsoft.com/office/drawing/2014/main" id="{59334424-C283-4806-94C7-F50BBE42193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87" name="Text Box 1">
          <a:extLst>
            <a:ext uri="{FF2B5EF4-FFF2-40B4-BE49-F238E27FC236}">
              <a16:creationId xmlns:a16="http://schemas.microsoft.com/office/drawing/2014/main" id="{1B18E420-0159-4219-9897-83F36121A2A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88" name="Text Box 1">
          <a:extLst>
            <a:ext uri="{FF2B5EF4-FFF2-40B4-BE49-F238E27FC236}">
              <a16:creationId xmlns:a16="http://schemas.microsoft.com/office/drawing/2014/main" id="{21D28DBC-80D9-4DA3-8945-8FA60AE109C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89" name="Text Box 3">
          <a:extLst>
            <a:ext uri="{FF2B5EF4-FFF2-40B4-BE49-F238E27FC236}">
              <a16:creationId xmlns:a16="http://schemas.microsoft.com/office/drawing/2014/main" id="{772DD3C3-30B8-4772-9269-79F50D1613B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90" name="Text Box 1">
          <a:extLst>
            <a:ext uri="{FF2B5EF4-FFF2-40B4-BE49-F238E27FC236}">
              <a16:creationId xmlns:a16="http://schemas.microsoft.com/office/drawing/2014/main" id="{31C57680-5A36-4A12-A631-E7590CD198E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91" name="Text Box 3">
          <a:extLst>
            <a:ext uri="{FF2B5EF4-FFF2-40B4-BE49-F238E27FC236}">
              <a16:creationId xmlns:a16="http://schemas.microsoft.com/office/drawing/2014/main" id="{2C6A5FBF-A19D-4706-B81A-F9ACF1517F4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92" name="Text Box 1">
          <a:extLst>
            <a:ext uri="{FF2B5EF4-FFF2-40B4-BE49-F238E27FC236}">
              <a16:creationId xmlns:a16="http://schemas.microsoft.com/office/drawing/2014/main" id="{9D6E473A-C74E-4218-A084-0D02F453682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93" name="Text Box 1">
          <a:extLst>
            <a:ext uri="{FF2B5EF4-FFF2-40B4-BE49-F238E27FC236}">
              <a16:creationId xmlns:a16="http://schemas.microsoft.com/office/drawing/2014/main" id="{8921C872-B57D-4120-B828-A3A7BB26CFE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94" name="Text Box 3">
          <a:extLst>
            <a:ext uri="{FF2B5EF4-FFF2-40B4-BE49-F238E27FC236}">
              <a16:creationId xmlns:a16="http://schemas.microsoft.com/office/drawing/2014/main" id="{3FA25B55-5892-4FB0-9429-B66B3CB4868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95" name="Text Box 1">
          <a:extLst>
            <a:ext uri="{FF2B5EF4-FFF2-40B4-BE49-F238E27FC236}">
              <a16:creationId xmlns:a16="http://schemas.microsoft.com/office/drawing/2014/main" id="{FBD1B759-3600-444F-BE3D-3903D9CC784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96" name="Text Box 3">
          <a:extLst>
            <a:ext uri="{FF2B5EF4-FFF2-40B4-BE49-F238E27FC236}">
              <a16:creationId xmlns:a16="http://schemas.microsoft.com/office/drawing/2014/main" id="{07229783-4295-4E6B-9648-93D79A0E34F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97" name="Text Box 1">
          <a:extLst>
            <a:ext uri="{FF2B5EF4-FFF2-40B4-BE49-F238E27FC236}">
              <a16:creationId xmlns:a16="http://schemas.microsoft.com/office/drawing/2014/main" id="{D243F5E6-EAAD-4CE4-B797-548340E6EB3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98" name="Text Box 1">
          <a:extLst>
            <a:ext uri="{FF2B5EF4-FFF2-40B4-BE49-F238E27FC236}">
              <a16:creationId xmlns:a16="http://schemas.microsoft.com/office/drawing/2014/main" id="{26E9DBEA-AD3A-4B29-880D-94C694CBCEF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99" name="Text Box 3">
          <a:extLst>
            <a:ext uri="{FF2B5EF4-FFF2-40B4-BE49-F238E27FC236}">
              <a16:creationId xmlns:a16="http://schemas.microsoft.com/office/drawing/2014/main" id="{2A1A360F-8931-425E-84C5-A521E7538DB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00" name="Text Box 1">
          <a:extLst>
            <a:ext uri="{FF2B5EF4-FFF2-40B4-BE49-F238E27FC236}">
              <a16:creationId xmlns:a16="http://schemas.microsoft.com/office/drawing/2014/main" id="{D4872F69-D62C-49AD-BF3C-533CC8E1AE8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01" name="Text Box 3">
          <a:extLst>
            <a:ext uri="{FF2B5EF4-FFF2-40B4-BE49-F238E27FC236}">
              <a16:creationId xmlns:a16="http://schemas.microsoft.com/office/drawing/2014/main" id="{FA1D9BC1-F1B7-459C-A209-26CE16CED07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02" name="Text Box 1">
          <a:extLst>
            <a:ext uri="{FF2B5EF4-FFF2-40B4-BE49-F238E27FC236}">
              <a16:creationId xmlns:a16="http://schemas.microsoft.com/office/drawing/2014/main" id="{09C21EC3-5C58-46DB-B1F5-B858BA520A6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03" name="Text Box 1">
          <a:extLst>
            <a:ext uri="{FF2B5EF4-FFF2-40B4-BE49-F238E27FC236}">
              <a16:creationId xmlns:a16="http://schemas.microsoft.com/office/drawing/2014/main" id="{6CC24D0D-1166-473A-B0EB-8FAE957C3F2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04" name="Text Box 3">
          <a:extLst>
            <a:ext uri="{FF2B5EF4-FFF2-40B4-BE49-F238E27FC236}">
              <a16:creationId xmlns:a16="http://schemas.microsoft.com/office/drawing/2014/main" id="{BE911796-0E39-4D92-ACC6-77FFEF71A71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05" name="Text Box 1">
          <a:extLst>
            <a:ext uri="{FF2B5EF4-FFF2-40B4-BE49-F238E27FC236}">
              <a16:creationId xmlns:a16="http://schemas.microsoft.com/office/drawing/2014/main" id="{80216AA2-3336-4E37-89BB-2406D87CC6B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06" name="Text Box 3">
          <a:extLst>
            <a:ext uri="{FF2B5EF4-FFF2-40B4-BE49-F238E27FC236}">
              <a16:creationId xmlns:a16="http://schemas.microsoft.com/office/drawing/2014/main" id="{2B59CDC9-5D78-4DE9-819D-684F91B50FC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07" name="Text Box 1">
          <a:extLst>
            <a:ext uri="{FF2B5EF4-FFF2-40B4-BE49-F238E27FC236}">
              <a16:creationId xmlns:a16="http://schemas.microsoft.com/office/drawing/2014/main" id="{4E8F124A-AC07-46AB-B088-150BEE07C55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08" name="Text Box 1">
          <a:extLst>
            <a:ext uri="{FF2B5EF4-FFF2-40B4-BE49-F238E27FC236}">
              <a16:creationId xmlns:a16="http://schemas.microsoft.com/office/drawing/2014/main" id="{CA3F63C7-B650-47F3-9C1A-1B512B8DB8B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09" name="Text Box 3">
          <a:extLst>
            <a:ext uri="{FF2B5EF4-FFF2-40B4-BE49-F238E27FC236}">
              <a16:creationId xmlns:a16="http://schemas.microsoft.com/office/drawing/2014/main" id="{2E135466-2567-45F7-A9DC-590DBF1BE8F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10" name="Text Box 1">
          <a:extLst>
            <a:ext uri="{FF2B5EF4-FFF2-40B4-BE49-F238E27FC236}">
              <a16:creationId xmlns:a16="http://schemas.microsoft.com/office/drawing/2014/main" id="{E5007002-7132-44B8-B25B-9F041051E5E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11" name="Text Box 3">
          <a:extLst>
            <a:ext uri="{FF2B5EF4-FFF2-40B4-BE49-F238E27FC236}">
              <a16:creationId xmlns:a16="http://schemas.microsoft.com/office/drawing/2014/main" id="{6DF0E4FF-8E41-479F-AFFE-77AB39D6E07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12" name="Text Box 1">
          <a:extLst>
            <a:ext uri="{FF2B5EF4-FFF2-40B4-BE49-F238E27FC236}">
              <a16:creationId xmlns:a16="http://schemas.microsoft.com/office/drawing/2014/main" id="{0F5A45AE-BB6E-4393-AADA-AFBC04ABFBB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13" name="Text Box 1">
          <a:extLst>
            <a:ext uri="{FF2B5EF4-FFF2-40B4-BE49-F238E27FC236}">
              <a16:creationId xmlns:a16="http://schemas.microsoft.com/office/drawing/2014/main" id="{CAE721D5-A067-417B-A4B7-0C8F39CD22A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14" name="Text Box 3">
          <a:extLst>
            <a:ext uri="{FF2B5EF4-FFF2-40B4-BE49-F238E27FC236}">
              <a16:creationId xmlns:a16="http://schemas.microsoft.com/office/drawing/2014/main" id="{EE6155E9-86A9-49D7-B59B-96B93F92D01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15" name="Text Box 1">
          <a:extLst>
            <a:ext uri="{FF2B5EF4-FFF2-40B4-BE49-F238E27FC236}">
              <a16:creationId xmlns:a16="http://schemas.microsoft.com/office/drawing/2014/main" id="{46F45C8D-3147-496D-99B4-6CE51907BC3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16" name="Text Box 3">
          <a:extLst>
            <a:ext uri="{FF2B5EF4-FFF2-40B4-BE49-F238E27FC236}">
              <a16:creationId xmlns:a16="http://schemas.microsoft.com/office/drawing/2014/main" id="{64DDE188-C4F4-4C46-9423-5C99858C076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17" name="Text Box 1">
          <a:extLst>
            <a:ext uri="{FF2B5EF4-FFF2-40B4-BE49-F238E27FC236}">
              <a16:creationId xmlns:a16="http://schemas.microsoft.com/office/drawing/2014/main" id="{F7052FF7-A475-423D-BC05-DF03A182EF2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18" name="Text Box 1">
          <a:extLst>
            <a:ext uri="{FF2B5EF4-FFF2-40B4-BE49-F238E27FC236}">
              <a16:creationId xmlns:a16="http://schemas.microsoft.com/office/drawing/2014/main" id="{11396E43-1B8D-4D13-B410-46E86AA8722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19" name="Text Box 3">
          <a:extLst>
            <a:ext uri="{FF2B5EF4-FFF2-40B4-BE49-F238E27FC236}">
              <a16:creationId xmlns:a16="http://schemas.microsoft.com/office/drawing/2014/main" id="{A04C454F-63B9-45E6-B9AD-20C966EB04B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20" name="Text Box 1">
          <a:extLst>
            <a:ext uri="{FF2B5EF4-FFF2-40B4-BE49-F238E27FC236}">
              <a16:creationId xmlns:a16="http://schemas.microsoft.com/office/drawing/2014/main" id="{9FBA2DB9-717F-4322-AAC6-97CBCB5C32E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21" name="Text Box 3">
          <a:extLst>
            <a:ext uri="{FF2B5EF4-FFF2-40B4-BE49-F238E27FC236}">
              <a16:creationId xmlns:a16="http://schemas.microsoft.com/office/drawing/2014/main" id="{AA67BE38-A6DB-4CAB-B934-FEFF8243BEF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22" name="Text Box 1">
          <a:extLst>
            <a:ext uri="{FF2B5EF4-FFF2-40B4-BE49-F238E27FC236}">
              <a16:creationId xmlns:a16="http://schemas.microsoft.com/office/drawing/2014/main" id="{A93B5DC2-1F14-411F-A796-392EB183B79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23" name="Text Box 1">
          <a:extLst>
            <a:ext uri="{FF2B5EF4-FFF2-40B4-BE49-F238E27FC236}">
              <a16:creationId xmlns:a16="http://schemas.microsoft.com/office/drawing/2014/main" id="{757DB8AE-6B27-4EA7-9462-DCBB53CD81E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24" name="Text Box 3">
          <a:extLst>
            <a:ext uri="{FF2B5EF4-FFF2-40B4-BE49-F238E27FC236}">
              <a16:creationId xmlns:a16="http://schemas.microsoft.com/office/drawing/2014/main" id="{F82229CD-D5EB-4776-91E2-4ADB2F7F457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25" name="Text Box 1">
          <a:extLst>
            <a:ext uri="{FF2B5EF4-FFF2-40B4-BE49-F238E27FC236}">
              <a16:creationId xmlns:a16="http://schemas.microsoft.com/office/drawing/2014/main" id="{A4669FF8-DC1F-42F6-B98E-C40BBDEFD3C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26" name="Text Box 3">
          <a:extLst>
            <a:ext uri="{FF2B5EF4-FFF2-40B4-BE49-F238E27FC236}">
              <a16:creationId xmlns:a16="http://schemas.microsoft.com/office/drawing/2014/main" id="{3C6C8A8D-B3A0-43C5-887B-58BFB9ED0A8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27" name="Text Box 1">
          <a:extLst>
            <a:ext uri="{FF2B5EF4-FFF2-40B4-BE49-F238E27FC236}">
              <a16:creationId xmlns:a16="http://schemas.microsoft.com/office/drawing/2014/main" id="{F914C70F-2903-4E87-99B6-CCD96DD64EF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28" name="Text Box 1">
          <a:extLst>
            <a:ext uri="{FF2B5EF4-FFF2-40B4-BE49-F238E27FC236}">
              <a16:creationId xmlns:a16="http://schemas.microsoft.com/office/drawing/2014/main" id="{F198377E-48B3-4609-8955-EF50E2FCC0A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29" name="Text Box 3">
          <a:extLst>
            <a:ext uri="{FF2B5EF4-FFF2-40B4-BE49-F238E27FC236}">
              <a16:creationId xmlns:a16="http://schemas.microsoft.com/office/drawing/2014/main" id="{768F316C-40B8-44B6-AFA3-A02F8197D41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30" name="Text Box 1">
          <a:extLst>
            <a:ext uri="{FF2B5EF4-FFF2-40B4-BE49-F238E27FC236}">
              <a16:creationId xmlns:a16="http://schemas.microsoft.com/office/drawing/2014/main" id="{4D2E8731-71FD-47FB-B1E0-85641E9A88F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31" name="Text Box 3">
          <a:extLst>
            <a:ext uri="{FF2B5EF4-FFF2-40B4-BE49-F238E27FC236}">
              <a16:creationId xmlns:a16="http://schemas.microsoft.com/office/drawing/2014/main" id="{48800309-FED6-4260-A793-3758963F35B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32" name="Text Box 1">
          <a:extLst>
            <a:ext uri="{FF2B5EF4-FFF2-40B4-BE49-F238E27FC236}">
              <a16:creationId xmlns:a16="http://schemas.microsoft.com/office/drawing/2014/main" id="{D48E3A0B-394E-47C0-BD51-8CC52E6C0B9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33" name="Text Box 1">
          <a:extLst>
            <a:ext uri="{FF2B5EF4-FFF2-40B4-BE49-F238E27FC236}">
              <a16:creationId xmlns:a16="http://schemas.microsoft.com/office/drawing/2014/main" id="{93176610-756C-4EAF-8E9C-57B33C7FCF8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34" name="Text Box 3">
          <a:extLst>
            <a:ext uri="{FF2B5EF4-FFF2-40B4-BE49-F238E27FC236}">
              <a16:creationId xmlns:a16="http://schemas.microsoft.com/office/drawing/2014/main" id="{02EBBA8C-C372-4F98-886A-F4D2E0E7C7A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35" name="Text Box 1">
          <a:extLst>
            <a:ext uri="{FF2B5EF4-FFF2-40B4-BE49-F238E27FC236}">
              <a16:creationId xmlns:a16="http://schemas.microsoft.com/office/drawing/2014/main" id="{0F3A7F78-751C-45D5-9274-F3376FDA848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36" name="Text Box 3">
          <a:extLst>
            <a:ext uri="{FF2B5EF4-FFF2-40B4-BE49-F238E27FC236}">
              <a16:creationId xmlns:a16="http://schemas.microsoft.com/office/drawing/2014/main" id="{5C715C0F-B7AC-48F5-AF5F-740B413AB29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37" name="Text Box 1">
          <a:extLst>
            <a:ext uri="{FF2B5EF4-FFF2-40B4-BE49-F238E27FC236}">
              <a16:creationId xmlns:a16="http://schemas.microsoft.com/office/drawing/2014/main" id="{CD0D2F0D-9F2E-425E-BD9D-67B7C06FF49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38" name="Text Box 1">
          <a:extLst>
            <a:ext uri="{FF2B5EF4-FFF2-40B4-BE49-F238E27FC236}">
              <a16:creationId xmlns:a16="http://schemas.microsoft.com/office/drawing/2014/main" id="{59BE3701-ED1F-4E3E-90EB-807A9A1DE16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39" name="Text Box 3">
          <a:extLst>
            <a:ext uri="{FF2B5EF4-FFF2-40B4-BE49-F238E27FC236}">
              <a16:creationId xmlns:a16="http://schemas.microsoft.com/office/drawing/2014/main" id="{BFA014C1-79A4-46EF-8C16-E983721A0F2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40" name="Text Box 1">
          <a:extLst>
            <a:ext uri="{FF2B5EF4-FFF2-40B4-BE49-F238E27FC236}">
              <a16:creationId xmlns:a16="http://schemas.microsoft.com/office/drawing/2014/main" id="{EC6C3153-CDC4-4CD8-8606-B14E55608FD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41" name="Text Box 3">
          <a:extLst>
            <a:ext uri="{FF2B5EF4-FFF2-40B4-BE49-F238E27FC236}">
              <a16:creationId xmlns:a16="http://schemas.microsoft.com/office/drawing/2014/main" id="{BF42D9E3-7D80-4FE8-B6BA-A2DD8A9384F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42" name="Text Box 1">
          <a:extLst>
            <a:ext uri="{FF2B5EF4-FFF2-40B4-BE49-F238E27FC236}">
              <a16:creationId xmlns:a16="http://schemas.microsoft.com/office/drawing/2014/main" id="{4FAB4E19-212E-48B4-9EDF-BAA177EDED3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43" name="Text Box 1">
          <a:extLst>
            <a:ext uri="{FF2B5EF4-FFF2-40B4-BE49-F238E27FC236}">
              <a16:creationId xmlns:a16="http://schemas.microsoft.com/office/drawing/2014/main" id="{92CAF79B-2946-40FE-88C9-018BCB30E8E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44" name="Text Box 3">
          <a:extLst>
            <a:ext uri="{FF2B5EF4-FFF2-40B4-BE49-F238E27FC236}">
              <a16:creationId xmlns:a16="http://schemas.microsoft.com/office/drawing/2014/main" id="{41D020F9-B43E-489C-AA55-00B93D5005B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45" name="Text Box 1">
          <a:extLst>
            <a:ext uri="{FF2B5EF4-FFF2-40B4-BE49-F238E27FC236}">
              <a16:creationId xmlns:a16="http://schemas.microsoft.com/office/drawing/2014/main" id="{7E8265A9-916B-4A28-8DC7-939B7955B46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46" name="Text Box 3">
          <a:extLst>
            <a:ext uri="{FF2B5EF4-FFF2-40B4-BE49-F238E27FC236}">
              <a16:creationId xmlns:a16="http://schemas.microsoft.com/office/drawing/2014/main" id="{A87C0E8E-66EE-49FA-8468-4530A994A49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47" name="Text Box 1">
          <a:extLst>
            <a:ext uri="{FF2B5EF4-FFF2-40B4-BE49-F238E27FC236}">
              <a16:creationId xmlns:a16="http://schemas.microsoft.com/office/drawing/2014/main" id="{F519188B-38C0-4DA4-B0DD-95226E6B91C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48" name="Text Box 1">
          <a:extLst>
            <a:ext uri="{FF2B5EF4-FFF2-40B4-BE49-F238E27FC236}">
              <a16:creationId xmlns:a16="http://schemas.microsoft.com/office/drawing/2014/main" id="{C1EC2F47-AA48-4754-B739-7654E808BE4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49" name="Text Box 3">
          <a:extLst>
            <a:ext uri="{FF2B5EF4-FFF2-40B4-BE49-F238E27FC236}">
              <a16:creationId xmlns:a16="http://schemas.microsoft.com/office/drawing/2014/main" id="{035E7706-8F74-4B3C-8CD9-1D21388064A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50" name="Text Box 1">
          <a:extLst>
            <a:ext uri="{FF2B5EF4-FFF2-40B4-BE49-F238E27FC236}">
              <a16:creationId xmlns:a16="http://schemas.microsoft.com/office/drawing/2014/main" id="{63AC1F0A-CBE6-4847-AF3A-2E8A6B7F715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51" name="Text Box 3">
          <a:extLst>
            <a:ext uri="{FF2B5EF4-FFF2-40B4-BE49-F238E27FC236}">
              <a16:creationId xmlns:a16="http://schemas.microsoft.com/office/drawing/2014/main" id="{5AB4D101-4A81-46B7-82D1-D3406BCE381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52" name="Text Box 1">
          <a:extLst>
            <a:ext uri="{FF2B5EF4-FFF2-40B4-BE49-F238E27FC236}">
              <a16:creationId xmlns:a16="http://schemas.microsoft.com/office/drawing/2014/main" id="{1DEE0F79-C1DC-4247-AD21-2AA2EAD8C10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53" name="Text Box 1">
          <a:extLst>
            <a:ext uri="{FF2B5EF4-FFF2-40B4-BE49-F238E27FC236}">
              <a16:creationId xmlns:a16="http://schemas.microsoft.com/office/drawing/2014/main" id="{3CD38BBE-4857-457E-B1C3-648DE779EB6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54" name="Text Box 3">
          <a:extLst>
            <a:ext uri="{FF2B5EF4-FFF2-40B4-BE49-F238E27FC236}">
              <a16:creationId xmlns:a16="http://schemas.microsoft.com/office/drawing/2014/main" id="{2B60AFEA-8599-4B8B-8E95-4A887E99A7C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55" name="Text Box 1">
          <a:extLst>
            <a:ext uri="{FF2B5EF4-FFF2-40B4-BE49-F238E27FC236}">
              <a16:creationId xmlns:a16="http://schemas.microsoft.com/office/drawing/2014/main" id="{F9D696CC-8CF2-462E-9668-1AD5137FA2B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56" name="Text Box 3">
          <a:extLst>
            <a:ext uri="{FF2B5EF4-FFF2-40B4-BE49-F238E27FC236}">
              <a16:creationId xmlns:a16="http://schemas.microsoft.com/office/drawing/2014/main" id="{79EBDBC5-2A31-423E-A160-04E48A81976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57" name="Text Box 1">
          <a:extLst>
            <a:ext uri="{FF2B5EF4-FFF2-40B4-BE49-F238E27FC236}">
              <a16:creationId xmlns:a16="http://schemas.microsoft.com/office/drawing/2014/main" id="{9A15BBDC-0D3E-4C53-9DCF-008E57A2206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58" name="Text Box 1">
          <a:extLst>
            <a:ext uri="{FF2B5EF4-FFF2-40B4-BE49-F238E27FC236}">
              <a16:creationId xmlns:a16="http://schemas.microsoft.com/office/drawing/2014/main" id="{2324FB61-921E-45AD-9397-94DE66F4EC7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59" name="Text Box 3">
          <a:extLst>
            <a:ext uri="{FF2B5EF4-FFF2-40B4-BE49-F238E27FC236}">
              <a16:creationId xmlns:a16="http://schemas.microsoft.com/office/drawing/2014/main" id="{A9A40904-F480-4802-84B7-76CF75BBF4F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60" name="Text Box 1">
          <a:extLst>
            <a:ext uri="{FF2B5EF4-FFF2-40B4-BE49-F238E27FC236}">
              <a16:creationId xmlns:a16="http://schemas.microsoft.com/office/drawing/2014/main" id="{F7ED4532-3DC2-4FA9-8E9A-151E8B7E045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61" name="Text Box 3">
          <a:extLst>
            <a:ext uri="{FF2B5EF4-FFF2-40B4-BE49-F238E27FC236}">
              <a16:creationId xmlns:a16="http://schemas.microsoft.com/office/drawing/2014/main" id="{4138BF39-8D37-491E-9674-3EF56FE1B55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62" name="Text Box 1">
          <a:extLst>
            <a:ext uri="{FF2B5EF4-FFF2-40B4-BE49-F238E27FC236}">
              <a16:creationId xmlns:a16="http://schemas.microsoft.com/office/drawing/2014/main" id="{76877F2E-07C0-47BD-B89A-0E77BFA706F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63" name="Text Box 1">
          <a:extLst>
            <a:ext uri="{FF2B5EF4-FFF2-40B4-BE49-F238E27FC236}">
              <a16:creationId xmlns:a16="http://schemas.microsoft.com/office/drawing/2014/main" id="{59449ADE-90BE-4542-AA3D-7994F460170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64" name="Text Box 3">
          <a:extLst>
            <a:ext uri="{FF2B5EF4-FFF2-40B4-BE49-F238E27FC236}">
              <a16:creationId xmlns:a16="http://schemas.microsoft.com/office/drawing/2014/main" id="{80576362-4E28-49F0-A5BE-6B8FC229205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65" name="Text Box 1">
          <a:extLst>
            <a:ext uri="{FF2B5EF4-FFF2-40B4-BE49-F238E27FC236}">
              <a16:creationId xmlns:a16="http://schemas.microsoft.com/office/drawing/2014/main" id="{5E3D842D-26EA-4340-8F16-FD573ABB281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66" name="Text Box 3">
          <a:extLst>
            <a:ext uri="{FF2B5EF4-FFF2-40B4-BE49-F238E27FC236}">
              <a16:creationId xmlns:a16="http://schemas.microsoft.com/office/drawing/2014/main" id="{059B07D2-C79F-4F98-9F90-CDF4F779CA6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67" name="Text Box 1">
          <a:extLst>
            <a:ext uri="{FF2B5EF4-FFF2-40B4-BE49-F238E27FC236}">
              <a16:creationId xmlns:a16="http://schemas.microsoft.com/office/drawing/2014/main" id="{29A14EE9-E63C-4DD4-AA43-C2255DD7197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68" name="Text Box 1">
          <a:extLst>
            <a:ext uri="{FF2B5EF4-FFF2-40B4-BE49-F238E27FC236}">
              <a16:creationId xmlns:a16="http://schemas.microsoft.com/office/drawing/2014/main" id="{04191681-22CA-41A3-B2DF-C2F31870DB5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69" name="Text Box 3">
          <a:extLst>
            <a:ext uri="{FF2B5EF4-FFF2-40B4-BE49-F238E27FC236}">
              <a16:creationId xmlns:a16="http://schemas.microsoft.com/office/drawing/2014/main" id="{07CF8F6E-CB40-42C6-8193-19F3F5FC748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70" name="Text Box 1">
          <a:extLst>
            <a:ext uri="{FF2B5EF4-FFF2-40B4-BE49-F238E27FC236}">
              <a16:creationId xmlns:a16="http://schemas.microsoft.com/office/drawing/2014/main" id="{23F5C510-4762-4DD2-9962-E90E564C9B6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71" name="Text Box 3">
          <a:extLst>
            <a:ext uri="{FF2B5EF4-FFF2-40B4-BE49-F238E27FC236}">
              <a16:creationId xmlns:a16="http://schemas.microsoft.com/office/drawing/2014/main" id="{8F0202CD-A50F-4F6F-9A03-8531D8DFD95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72" name="Text Box 1">
          <a:extLst>
            <a:ext uri="{FF2B5EF4-FFF2-40B4-BE49-F238E27FC236}">
              <a16:creationId xmlns:a16="http://schemas.microsoft.com/office/drawing/2014/main" id="{E1D9BFA6-DC65-4EA5-89B4-66D883825CC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73" name="Text Box 1">
          <a:extLst>
            <a:ext uri="{FF2B5EF4-FFF2-40B4-BE49-F238E27FC236}">
              <a16:creationId xmlns:a16="http://schemas.microsoft.com/office/drawing/2014/main" id="{CE45920B-BDFE-4A0B-9F8B-2A303EB4ED2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74" name="Text Box 3">
          <a:extLst>
            <a:ext uri="{FF2B5EF4-FFF2-40B4-BE49-F238E27FC236}">
              <a16:creationId xmlns:a16="http://schemas.microsoft.com/office/drawing/2014/main" id="{146AF6B4-AEFC-4CE8-B9A0-730A312981A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75" name="Text Box 1">
          <a:extLst>
            <a:ext uri="{FF2B5EF4-FFF2-40B4-BE49-F238E27FC236}">
              <a16:creationId xmlns:a16="http://schemas.microsoft.com/office/drawing/2014/main" id="{1D83D2B1-1C65-4F6E-B8A9-9538C6DEB35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76" name="Text Box 3">
          <a:extLst>
            <a:ext uri="{FF2B5EF4-FFF2-40B4-BE49-F238E27FC236}">
              <a16:creationId xmlns:a16="http://schemas.microsoft.com/office/drawing/2014/main" id="{D7B85D46-8676-4C9A-94EC-0D31058B625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77" name="Text Box 1">
          <a:extLst>
            <a:ext uri="{FF2B5EF4-FFF2-40B4-BE49-F238E27FC236}">
              <a16:creationId xmlns:a16="http://schemas.microsoft.com/office/drawing/2014/main" id="{34DDACC3-2DED-4972-AEE1-30731CDC294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78" name="Text Box 1">
          <a:extLst>
            <a:ext uri="{FF2B5EF4-FFF2-40B4-BE49-F238E27FC236}">
              <a16:creationId xmlns:a16="http://schemas.microsoft.com/office/drawing/2014/main" id="{1BF8FD77-9DE1-446C-A779-C7895EA18AE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79" name="Text Box 3">
          <a:extLst>
            <a:ext uri="{FF2B5EF4-FFF2-40B4-BE49-F238E27FC236}">
              <a16:creationId xmlns:a16="http://schemas.microsoft.com/office/drawing/2014/main" id="{83498943-CD6C-4CAD-9D9C-2834FC54F5F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80" name="Text Box 1">
          <a:extLst>
            <a:ext uri="{FF2B5EF4-FFF2-40B4-BE49-F238E27FC236}">
              <a16:creationId xmlns:a16="http://schemas.microsoft.com/office/drawing/2014/main" id="{83B05FF5-92AD-457D-BA2F-CBB26A6C411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81" name="Text Box 3">
          <a:extLst>
            <a:ext uri="{FF2B5EF4-FFF2-40B4-BE49-F238E27FC236}">
              <a16:creationId xmlns:a16="http://schemas.microsoft.com/office/drawing/2014/main" id="{932EB28A-B51B-4AB9-8F61-A1DC17F46F8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82" name="Text Box 1">
          <a:extLst>
            <a:ext uri="{FF2B5EF4-FFF2-40B4-BE49-F238E27FC236}">
              <a16:creationId xmlns:a16="http://schemas.microsoft.com/office/drawing/2014/main" id="{82089D97-A71F-4332-B37D-6EF41E789A8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83" name="Text Box 1">
          <a:extLst>
            <a:ext uri="{FF2B5EF4-FFF2-40B4-BE49-F238E27FC236}">
              <a16:creationId xmlns:a16="http://schemas.microsoft.com/office/drawing/2014/main" id="{1E3D584C-9245-4DB4-B416-C72E615CF13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84" name="Text Box 3">
          <a:extLst>
            <a:ext uri="{FF2B5EF4-FFF2-40B4-BE49-F238E27FC236}">
              <a16:creationId xmlns:a16="http://schemas.microsoft.com/office/drawing/2014/main" id="{21D32BA4-8B1B-4879-AFAD-9F60BB02A95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85" name="Text Box 1">
          <a:extLst>
            <a:ext uri="{FF2B5EF4-FFF2-40B4-BE49-F238E27FC236}">
              <a16:creationId xmlns:a16="http://schemas.microsoft.com/office/drawing/2014/main" id="{5B25C9A2-9E90-4DED-9448-1966A67CB17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86" name="Text Box 3">
          <a:extLst>
            <a:ext uri="{FF2B5EF4-FFF2-40B4-BE49-F238E27FC236}">
              <a16:creationId xmlns:a16="http://schemas.microsoft.com/office/drawing/2014/main" id="{D0D8FDDB-EA47-4E85-965E-660546CC598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87" name="Text Box 1">
          <a:extLst>
            <a:ext uri="{FF2B5EF4-FFF2-40B4-BE49-F238E27FC236}">
              <a16:creationId xmlns:a16="http://schemas.microsoft.com/office/drawing/2014/main" id="{47BD8F89-AF91-4239-83D6-A1E2C79B3DC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88" name="Text Box 1">
          <a:extLst>
            <a:ext uri="{FF2B5EF4-FFF2-40B4-BE49-F238E27FC236}">
              <a16:creationId xmlns:a16="http://schemas.microsoft.com/office/drawing/2014/main" id="{4B2B8BB3-66D2-49C4-88A8-F60E606B3AE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89" name="Text Box 3">
          <a:extLst>
            <a:ext uri="{FF2B5EF4-FFF2-40B4-BE49-F238E27FC236}">
              <a16:creationId xmlns:a16="http://schemas.microsoft.com/office/drawing/2014/main" id="{617909D1-4297-4C2C-B380-A311707566E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90" name="Text Box 1">
          <a:extLst>
            <a:ext uri="{FF2B5EF4-FFF2-40B4-BE49-F238E27FC236}">
              <a16:creationId xmlns:a16="http://schemas.microsoft.com/office/drawing/2014/main" id="{DA0AFF48-E95A-417A-A520-FF21A0D286C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91" name="Text Box 3">
          <a:extLst>
            <a:ext uri="{FF2B5EF4-FFF2-40B4-BE49-F238E27FC236}">
              <a16:creationId xmlns:a16="http://schemas.microsoft.com/office/drawing/2014/main" id="{ED771A9E-5514-430B-AF7D-9DC49C9C141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92" name="Text Box 1">
          <a:extLst>
            <a:ext uri="{FF2B5EF4-FFF2-40B4-BE49-F238E27FC236}">
              <a16:creationId xmlns:a16="http://schemas.microsoft.com/office/drawing/2014/main" id="{29F57946-DA36-46E4-9624-6326EBB8932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93" name="Text Box 1">
          <a:extLst>
            <a:ext uri="{FF2B5EF4-FFF2-40B4-BE49-F238E27FC236}">
              <a16:creationId xmlns:a16="http://schemas.microsoft.com/office/drawing/2014/main" id="{6C23FD75-64E1-4DAF-9D0D-577D1D950EB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94" name="Text Box 3">
          <a:extLst>
            <a:ext uri="{FF2B5EF4-FFF2-40B4-BE49-F238E27FC236}">
              <a16:creationId xmlns:a16="http://schemas.microsoft.com/office/drawing/2014/main" id="{14E55FDD-121B-4C61-B24B-0BD07F36DEA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95" name="Text Box 1">
          <a:extLst>
            <a:ext uri="{FF2B5EF4-FFF2-40B4-BE49-F238E27FC236}">
              <a16:creationId xmlns:a16="http://schemas.microsoft.com/office/drawing/2014/main" id="{29FF8087-AF5D-4786-847A-E38571AAB42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96" name="Text Box 3">
          <a:extLst>
            <a:ext uri="{FF2B5EF4-FFF2-40B4-BE49-F238E27FC236}">
              <a16:creationId xmlns:a16="http://schemas.microsoft.com/office/drawing/2014/main" id="{759F5BA5-5979-4265-AE2D-6764C643850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97" name="Text Box 1">
          <a:extLst>
            <a:ext uri="{FF2B5EF4-FFF2-40B4-BE49-F238E27FC236}">
              <a16:creationId xmlns:a16="http://schemas.microsoft.com/office/drawing/2014/main" id="{5B1864B9-BE1C-4493-9583-F98DEC2C08E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98" name="Text Box 1">
          <a:extLst>
            <a:ext uri="{FF2B5EF4-FFF2-40B4-BE49-F238E27FC236}">
              <a16:creationId xmlns:a16="http://schemas.microsoft.com/office/drawing/2014/main" id="{A4C3C2D2-16CA-44B3-9FEB-36013AE8F4F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99" name="Text Box 3">
          <a:extLst>
            <a:ext uri="{FF2B5EF4-FFF2-40B4-BE49-F238E27FC236}">
              <a16:creationId xmlns:a16="http://schemas.microsoft.com/office/drawing/2014/main" id="{27729D65-CFEC-4316-8968-7E9590ADD32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00" name="Text Box 1">
          <a:extLst>
            <a:ext uri="{FF2B5EF4-FFF2-40B4-BE49-F238E27FC236}">
              <a16:creationId xmlns:a16="http://schemas.microsoft.com/office/drawing/2014/main" id="{164F4701-DFA1-42C9-9030-3693FED1A96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01" name="Text Box 3">
          <a:extLst>
            <a:ext uri="{FF2B5EF4-FFF2-40B4-BE49-F238E27FC236}">
              <a16:creationId xmlns:a16="http://schemas.microsoft.com/office/drawing/2014/main" id="{64EC7E4B-E8D0-48BF-817B-2B23757F6DF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02" name="Text Box 1">
          <a:extLst>
            <a:ext uri="{FF2B5EF4-FFF2-40B4-BE49-F238E27FC236}">
              <a16:creationId xmlns:a16="http://schemas.microsoft.com/office/drawing/2014/main" id="{A79D44EB-EF99-4912-BE01-6BC87454268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03" name="Text Box 1">
          <a:extLst>
            <a:ext uri="{FF2B5EF4-FFF2-40B4-BE49-F238E27FC236}">
              <a16:creationId xmlns:a16="http://schemas.microsoft.com/office/drawing/2014/main" id="{31D12AE0-54E1-4363-8D03-8DD41C8AA2C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04" name="Text Box 3">
          <a:extLst>
            <a:ext uri="{FF2B5EF4-FFF2-40B4-BE49-F238E27FC236}">
              <a16:creationId xmlns:a16="http://schemas.microsoft.com/office/drawing/2014/main" id="{4D92AF04-C013-4FB9-9F34-4F98EB898AD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05" name="Text Box 1">
          <a:extLst>
            <a:ext uri="{FF2B5EF4-FFF2-40B4-BE49-F238E27FC236}">
              <a16:creationId xmlns:a16="http://schemas.microsoft.com/office/drawing/2014/main" id="{021C85CC-265F-45A4-AE5F-1A4267757A5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06" name="Text Box 3">
          <a:extLst>
            <a:ext uri="{FF2B5EF4-FFF2-40B4-BE49-F238E27FC236}">
              <a16:creationId xmlns:a16="http://schemas.microsoft.com/office/drawing/2014/main" id="{28194434-93EB-4F85-848B-9A7C5C6AF3A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07" name="Text Box 1">
          <a:extLst>
            <a:ext uri="{FF2B5EF4-FFF2-40B4-BE49-F238E27FC236}">
              <a16:creationId xmlns:a16="http://schemas.microsoft.com/office/drawing/2014/main" id="{A9C2F63F-986E-43DA-90D7-E5663E4E858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08" name="Text Box 1">
          <a:extLst>
            <a:ext uri="{FF2B5EF4-FFF2-40B4-BE49-F238E27FC236}">
              <a16:creationId xmlns:a16="http://schemas.microsoft.com/office/drawing/2014/main" id="{1F79FECA-C2AB-486B-864D-351B55D9D2D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09" name="Text Box 3">
          <a:extLst>
            <a:ext uri="{FF2B5EF4-FFF2-40B4-BE49-F238E27FC236}">
              <a16:creationId xmlns:a16="http://schemas.microsoft.com/office/drawing/2014/main" id="{7CFBC39D-BE21-43DF-87CA-54C8497DC63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10" name="Text Box 1">
          <a:extLst>
            <a:ext uri="{FF2B5EF4-FFF2-40B4-BE49-F238E27FC236}">
              <a16:creationId xmlns:a16="http://schemas.microsoft.com/office/drawing/2014/main" id="{D0CF5F99-B622-418C-84C9-882B0BDDFE3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11" name="Text Box 3">
          <a:extLst>
            <a:ext uri="{FF2B5EF4-FFF2-40B4-BE49-F238E27FC236}">
              <a16:creationId xmlns:a16="http://schemas.microsoft.com/office/drawing/2014/main" id="{1C1BA8D6-5117-455F-BF6B-953F4A34714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12" name="Text Box 1">
          <a:extLst>
            <a:ext uri="{FF2B5EF4-FFF2-40B4-BE49-F238E27FC236}">
              <a16:creationId xmlns:a16="http://schemas.microsoft.com/office/drawing/2014/main" id="{CB7B834A-B550-46E3-ADCC-DFE36B7CF66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13" name="Text Box 1">
          <a:extLst>
            <a:ext uri="{FF2B5EF4-FFF2-40B4-BE49-F238E27FC236}">
              <a16:creationId xmlns:a16="http://schemas.microsoft.com/office/drawing/2014/main" id="{EC5C3406-0A56-4DB9-9A4D-BAA7E369A9E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14" name="Text Box 3">
          <a:extLst>
            <a:ext uri="{FF2B5EF4-FFF2-40B4-BE49-F238E27FC236}">
              <a16:creationId xmlns:a16="http://schemas.microsoft.com/office/drawing/2014/main" id="{7259F4EB-1B1B-42D3-A9D6-A1F03B512F1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15" name="Text Box 1">
          <a:extLst>
            <a:ext uri="{FF2B5EF4-FFF2-40B4-BE49-F238E27FC236}">
              <a16:creationId xmlns:a16="http://schemas.microsoft.com/office/drawing/2014/main" id="{B6DC76F7-3608-4EE5-86AA-6CDF8C459EF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16" name="Text Box 3">
          <a:extLst>
            <a:ext uri="{FF2B5EF4-FFF2-40B4-BE49-F238E27FC236}">
              <a16:creationId xmlns:a16="http://schemas.microsoft.com/office/drawing/2014/main" id="{C9B16CA8-BC17-4129-8597-F3EE72871C4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17" name="Text Box 1">
          <a:extLst>
            <a:ext uri="{FF2B5EF4-FFF2-40B4-BE49-F238E27FC236}">
              <a16:creationId xmlns:a16="http://schemas.microsoft.com/office/drawing/2014/main" id="{3C45E9D9-5134-4033-896C-665D552B874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18" name="Text Box 1">
          <a:extLst>
            <a:ext uri="{FF2B5EF4-FFF2-40B4-BE49-F238E27FC236}">
              <a16:creationId xmlns:a16="http://schemas.microsoft.com/office/drawing/2014/main" id="{EB7A269C-B271-4A5A-B767-7F24A8E6075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19" name="Text Box 3">
          <a:extLst>
            <a:ext uri="{FF2B5EF4-FFF2-40B4-BE49-F238E27FC236}">
              <a16:creationId xmlns:a16="http://schemas.microsoft.com/office/drawing/2014/main" id="{BF60359E-6BB0-4A06-8F43-64D7C6E7CD6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20" name="Text Box 1">
          <a:extLst>
            <a:ext uri="{FF2B5EF4-FFF2-40B4-BE49-F238E27FC236}">
              <a16:creationId xmlns:a16="http://schemas.microsoft.com/office/drawing/2014/main" id="{CCDF0A5D-2617-4302-8BE6-3ABCD43D0D1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21" name="Text Box 3">
          <a:extLst>
            <a:ext uri="{FF2B5EF4-FFF2-40B4-BE49-F238E27FC236}">
              <a16:creationId xmlns:a16="http://schemas.microsoft.com/office/drawing/2014/main" id="{D69610F7-ABDE-4962-BB4E-A12CBC98360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22" name="Text Box 1">
          <a:extLst>
            <a:ext uri="{FF2B5EF4-FFF2-40B4-BE49-F238E27FC236}">
              <a16:creationId xmlns:a16="http://schemas.microsoft.com/office/drawing/2014/main" id="{CD8EA79F-26BB-46E2-B28B-195D93BAF34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23" name="Text Box 1">
          <a:extLst>
            <a:ext uri="{FF2B5EF4-FFF2-40B4-BE49-F238E27FC236}">
              <a16:creationId xmlns:a16="http://schemas.microsoft.com/office/drawing/2014/main" id="{98EFE0AF-5358-4982-9C75-FD1AD1A3E31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24" name="Text Box 3">
          <a:extLst>
            <a:ext uri="{FF2B5EF4-FFF2-40B4-BE49-F238E27FC236}">
              <a16:creationId xmlns:a16="http://schemas.microsoft.com/office/drawing/2014/main" id="{03AFF9D3-7E0E-4CAE-902E-FF4655BEEBB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25" name="Text Box 1">
          <a:extLst>
            <a:ext uri="{FF2B5EF4-FFF2-40B4-BE49-F238E27FC236}">
              <a16:creationId xmlns:a16="http://schemas.microsoft.com/office/drawing/2014/main" id="{3AE232C6-CBAA-4F2E-8FC0-6AA10CE9913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26" name="Text Box 3">
          <a:extLst>
            <a:ext uri="{FF2B5EF4-FFF2-40B4-BE49-F238E27FC236}">
              <a16:creationId xmlns:a16="http://schemas.microsoft.com/office/drawing/2014/main" id="{93031597-CACF-4EFE-A0FB-168878872DE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27" name="Text Box 1">
          <a:extLst>
            <a:ext uri="{FF2B5EF4-FFF2-40B4-BE49-F238E27FC236}">
              <a16:creationId xmlns:a16="http://schemas.microsoft.com/office/drawing/2014/main" id="{1FBACD43-F400-4DC0-BA85-EE4893E8B62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28" name="Text Box 1">
          <a:extLst>
            <a:ext uri="{FF2B5EF4-FFF2-40B4-BE49-F238E27FC236}">
              <a16:creationId xmlns:a16="http://schemas.microsoft.com/office/drawing/2014/main" id="{192DD650-938B-4C5C-AA88-14414EF9801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29" name="Text Box 3">
          <a:extLst>
            <a:ext uri="{FF2B5EF4-FFF2-40B4-BE49-F238E27FC236}">
              <a16:creationId xmlns:a16="http://schemas.microsoft.com/office/drawing/2014/main" id="{D8D13F43-27BC-4A38-9075-882180F64F7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30" name="Text Box 1">
          <a:extLst>
            <a:ext uri="{FF2B5EF4-FFF2-40B4-BE49-F238E27FC236}">
              <a16:creationId xmlns:a16="http://schemas.microsoft.com/office/drawing/2014/main" id="{C7568824-0233-462E-8FB6-51EDFC99D53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31" name="Text Box 3">
          <a:extLst>
            <a:ext uri="{FF2B5EF4-FFF2-40B4-BE49-F238E27FC236}">
              <a16:creationId xmlns:a16="http://schemas.microsoft.com/office/drawing/2014/main" id="{F12C315C-2804-4D26-8999-DBEE34D891F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32" name="Text Box 1">
          <a:extLst>
            <a:ext uri="{FF2B5EF4-FFF2-40B4-BE49-F238E27FC236}">
              <a16:creationId xmlns:a16="http://schemas.microsoft.com/office/drawing/2014/main" id="{D772D357-9DBA-4C22-9A19-7F8DC322254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33" name="Text Box 1">
          <a:extLst>
            <a:ext uri="{FF2B5EF4-FFF2-40B4-BE49-F238E27FC236}">
              <a16:creationId xmlns:a16="http://schemas.microsoft.com/office/drawing/2014/main" id="{8F8DBC91-C71C-476A-829F-63CE3FC0D18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34" name="Text Box 3">
          <a:extLst>
            <a:ext uri="{FF2B5EF4-FFF2-40B4-BE49-F238E27FC236}">
              <a16:creationId xmlns:a16="http://schemas.microsoft.com/office/drawing/2014/main" id="{61B6B336-3315-4CDB-BA63-6DF942FCBF4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35" name="Text Box 1">
          <a:extLst>
            <a:ext uri="{FF2B5EF4-FFF2-40B4-BE49-F238E27FC236}">
              <a16:creationId xmlns:a16="http://schemas.microsoft.com/office/drawing/2014/main" id="{1DAA1403-81E6-44AA-9DA8-E09EBBAC180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36" name="Text Box 3">
          <a:extLst>
            <a:ext uri="{FF2B5EF4-FFF2-40B4-BE49-F238E27FC236}">
              <a16:creationId xmlns:a16="http://schemas.microsoft.com/office/drawing/2014/main" id="{74E68130-7B9A-468A-AC97-78334783456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37" name="Text Box 1">
          <a:extLst>
            <a:ext uri="{FF2B5EF4-FFF2-40B4-BE49-F238E27FC236}">
              <a16:creationId xmlns:a16="http://schemas.microsoft.com/office/drawing/2014/main" id="{0CE23630-7365-48AE-ACC9-60505BB8413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38" name="Text Box 1">
          <a:extLst>
            <a:ext uri="{FF2B5EF4-FFF2-40B4-BE49-F238E27FC236}">
              <a16:creationId xmlns:a16="http://schemas.microsoft.com/office/drawing/2014/main" id="{A6BA6AB3-3EFB-499A-AA80-1EE4C658511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39" name="Text Box 3">
          <a:extLst>
            <a:ext uri="{FF2B5EF4-FFF2-40B4-BE49-F238E27FC236}">
              <a16:creationId xmlns:a16="http://schemas.microsoft.com/office/drawing/2014/main" id="{421B8749-F9CD-4F19-B5AA-3B3F1BFBBAB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40" name="Text Box 1">
          <a:extLst>
            <a:ext uri="{FF2B5EF4-FFF2-40B4-BE49-F238E27FC236}">
              <a16:creationId xmlns:a16="http://schemas.microsoft.com/office/drawing/2014/main" id="{1792461B-A724-4FE3-88E1-C030D4B4BA1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41" name="Text Box 3">
          <a:extLst>
            <a:ext uri="{FF2B5EF4-FFF2-40B4-BE49-F238E27FC236}">
              <a16:creationId xmlns:a16="http://schemas.microsoft.com/office/drawing/2014/main" id="{2CCAAE27-64E0-4496-918A-19368319CDA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42" name="Text Box 1">
          <a:extLst>
            <a:ext uri="{FF2B5EF4-FFF2-40B4-BE49-F238E27FC236}">
              <a16:creationId xmlns:a16="http://schemas.microsoft.com/office/drawing/2014/main" id="{5E2C139D-5C7E-4F97-A9AC-2963312C527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43" name="Text Box 1">
          <a:extLst>
            <a:ext uri="{FF2B5EF4-FFF2-40B4-BE49-F238E27FC236}">
              <a16:creationId xmlns:a16="http://schemas.microsoft.com/office/drawing/2014/main" id="{0520FCC0-79D9-4A1C-A9E2-6F9692F5311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44" name="Text Box 3">
          <a:extLst>
            <a:ext uri="{FF2B5EF4-FFF2-40B4-BE49-F238E27FC236}">
              <a16:creationId xmlns:a16="http://schemas.microsoft.com/office/drawing/2014/main" id="{DC0D3A8A-40E7-4EE5-83FA-DB664662D49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45" name="Text Box 1">
          <a:extLst>
            <a:ext uri="{FF2B5EF4-FFF2-40B4-BE49-F238E27FC236}">
              <a16:creationId xmlns:a16="http://schemas.microsoft.com/office/drawing/2014/main" id="{8D5FE28A-2733-4140-ABDF-038BA127271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46" name="Text Box 3">
          <a:extLst>
            <a:ext uri="{FF2B5EF4-FFF2-40B4-BE49-F238E27FC236}">
              <a16:creationId xmlns:a16="http://schemas.microsoft.com/office/drawing/2014/main" id="{43610CF3-A50D-4839-9FB2-88BE61E7FCE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47" name="Text Box 1">
          <a:extLst>
            <a:ext uri="{FF2B5EF4-FFF2-40B4-BE49-F238E27FC236}">
              <a16:creationId xmlns:a16="http://schemas.microsoft.com/office/drawing/2014/main" id="{388444CA-A124-4FB9-98FC-805F0C8B641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48" name="Text Box 1">
          <a:extLst>
            <a:ext uri="{FF2B5EF4-FFF2-40B4-BE49-F238E27FC236}">
              <a16:creationId xmlns:a16="http://schemas.microsoft.com/office/drawing/2014/main" id="{7CA24A41-B44E-4799-B8BD-D4759ADFBA9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49" name="Text Box 3">
          <a:extLst>
            <a:ext uri="{FF2B5EF4-FFF2-40B4-BE49-F238E27FC236}">
              <a16:creationId xmlns:a16="http://schemas.microsoft.com/office/drawing/2014/main" id="{CC1414F0-ED55-4C63-9DF1-26B72937BC8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50" name="Text Box 1">
          <a:extLst>
            <a:ext uri="{FF2B5EF4-FFF2-40B4-BE49-F238E27FC236}">
              <a16:creationId xmlns:a16="http://schemas.microsoft.com/office/drawing/2014/main" id="{9DB86C76-97D0-4DD9-A886-82793E9421C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51" name="Text Box 3">
          <a:extLst>
            <a:ext uri="{FF2B5EF4-FFF2-40B4-BE49-F238E27FC236}">
              <a16:creationId xmlns:a16="http://schemas.microsoft.com/office/drawing/2014/main" id="{DA2D5472-E234-49D1-80A6-CA9D88A5B64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52" name="Text Box 1">
          <a:extLst>
            <a:ext uri="{FF2B5EF4-FFF2-40B4-BE49-F238E27FC236}">
              <a16:creationId xmlns:a16="http://schemas.microsoft.com/office/drawing/2014/main" id="{AB04E6AE-0948-48D6-BE8A-B340D6C65E5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53" name="Text Box 1">
          <a:extLst>
            <a:ext uri="{FF2B5EF4-FFF2-40B4-BE49-F238E27FC236}">
              <a16:creationId xmlns:a16="http://schemas.microsoft.com/office/drawing/2014/main" id="{F89B8365-1304-4360-9E4C-D2153AAB41F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54" name="Text Box 3">
          <a:extLst>
            <a:ext uri="{FF2B5EF4-FFF2-40B4-BE49-F238E27FC236}">
              <a16:creationId xmlns:a16="http://schemas.microsoft.com/office/drawing/2014/main" id="{81A1B8FA-5672-46E4-B5E7-1A7707E2041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55" name="Text Box 1">
          <a:extLst>
            <a:ext uri="{FF2B5EF4-FFF2-40B4-BE49-F238E27FC236}">
              <a16:creationId xmlns:a16="http://schemas.microsoft.com/office/drawing/2014/main" id="{8B9EC765-D218-4DE9-AC95-B7DB7A4D2AD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56" name="Text Box 3">
          <a:extLst>
            <a:ext uri="{FF2B5EF4-FFF2-40B4-BE49-F238E27FC236}">
              <a16:creationId xmlns:a16="http://schemas.microsoft.com/office/drawing/2014/main" id="{C5CA97CB-F338-4F7E-BCDA-C65A127723B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57" name="Text Box 1">
          <a:extLst>
            <a:ext uri="{FF2B5EF4-FFF2-40B4-BE49-F238E27FC236}">
              <a16:creationId xmlns:a16="http://schemas.microsoft.com/office/drawing/2014/main" id="{4D7B5EE8-CEBD-4F88-A996-EB249889C3E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58" name="Text Box 1">
          <a:extLst>
            <a:ext uri="{FF2B5EF4-FFF2-40B4-BE49-F238E27FC236}">
              <a16:creationId xmlns:a16="http://schemas.microsoft.com/office/drawing/2014/main" id="{9FAA813E-A1FD-4B9F-9BCF-179C1B20027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59" name="Text Box 3">
          <a:extLst>
            <a:ext uri="{FF2B5EF4-FFF2-40B4-BE49-F238E27FC236}">
              <a16:creationId xmlns:a16="http://schemas.microsoft.com/office/drawing/2014/main" id="{B1EF5A34-5A4E-46FB-A97E-07AC7313B9C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60" name="Text Box 1">
          <a:extLst>
            <a:ext uri="{FF2B5EF4-FFF2-40B4-BE49-F238E27FC236}">
              <a16:creationId xmlns:a16="http://schemas.microsoft.com/office/drawing/2014/main" id="{001B396C-9039-4FF4-8273-CEB6770DA60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61" name="Text Box 3">
          <a:extLst>
            <a:ext uri="{FF2B5EF4-FFF2-40B4-BE49-F238E27FC236}">
              <a16:creationId xmlns:a16="http://schemas.microsoft.com/office/drawing/2014/main" id="{FB9C1F86-0451-4E29-B97B-8D306686110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62" name="Text Box 1">
          <a:extLst>
            <a:ext uri="{FF2B5EF4-FFF2-40B4-BE49-F238E27FC236}">
              <a16:creationId xmlns:a16="http://schemas.microsoft.com/office/drawing/2014/main" id="{FAB6F241-D42C-4AB2-8E99-3248B1C5AB5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63" name="Text Box 1">
          <a:extLst>
            <a:ext uri="{FF2B5EF4-FFF2-40B4-BE49-F238E27FC236}">
              <a16:creationId xmlns:a16="http://schemas.microsoft.com/office/drawing/2014/main" id="{39B6CF1A-2DF6-40BA-9734-B7F10BE7B04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64" name="Text Box 3">
          <a:extLst>
            <a:ext uri="{FF2B5EF4-FFF2-40B4-BE49-F238E27FC236}">
              <a16:creationId xmlns:a16="http://schemas.microsoft.com/office/drawing/2014/main" id="{395C212F-EA4D-4CBD-824C-8D2CE011D0F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65" name="Text Box 1">
          <a:extLst>
            <a:ext uri="{FF2B5EF4-FFF2-40B4-BE49-F238E27FC236}">
              <a16:creationId xmlns:a16="http://schemas.microsoft.com/office/drawing/2014/main" id="{A09E59E2-F660-47D6-9BDF-9285E192037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66" name="Text Box 3">
          <a:extLst>
            <a:ext uri="{FF2B5EF4-FFF2-40B4-BE49-F238E27FC236}">
              <a16:creationId xmlns:a16="http://schemas.microsoft.com/office/drawing/2014/main" id="{372647CC-81C6-4BF4-9C14-DCCF071853F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67" name="Text Box 1">
          <a:extLst>
            <a:ext uri="{FF2B5EF4-FFF2-40B4-BE49-F238E27FC236}">
              <a16:creationId xmlns:a16="http://schemas.microsoft.com/office/drawing/2014/main" id="{8F5BFC6D-75DF-440C-9ADC-20477A471D7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68" name="Text Box 1">
          <a:extLst>
            <a:ext uri="{FF2B5EF4-FFF2-40B4-BE49-F238E27FC236}">
              <a16:creationId xmlns:a16="http://schemas.microsoft.com/office/drawing/2014/main" id="{68CAAAD6-9508-419C-B696-8AB6CA54050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69" name="Text Box 3">
          <a:extLst>
            <a:ext uri="{FF2B5EF4-FFF2-40B4-BE49-F238E27FC236}">
              <a16:creationId xmlns:a16="http://schemas.microsoft.com/office/drawing/2014/main" id="{F06CADD9-6E86-468C-BD67-715EBD8FFEE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70" name="Text Box 1">
          <a:extLst>
            <a:ext uri="{FF2B5EF4-FFF2-40B4-BE49-F238E27FC236}">
              <a16:creationId xmlns:a16="http://schemas.microsoft.com/office/drawing/2014/main" id="{C943E485-5E61-4B8C-9567-F4855854322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71" name="Text Box 3">
          <a:extLst>
            <a:ext uri="{FF2B5EF4-FFF2-40B4-BE49-F238E27FC236}">
              <a16:creationId xmlns:a16="http://schemas.microsoft.com/office/drawing/2014/main" id="{15126982-8B72-440B-83E7-81E524575FD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72" name="Text Box 1">
          <a:extLst>
            <a:ext uri="{FF2B5EF4-FFF2-40B4-BE49-F238E27FC236}">
              <a16:creationId xmlns:a16="http://schemas.microsoft.com/office/drawing/2014/main" id="{93D32657-114D-4809-AF2A-F30A5E5DAF7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73" name="Text Box 1">
          <a:extLst>
            <a:ext uri="{FF2B5EF4-FFF2-40B4-BE49-F238E27FC236}">
              <a16:creationId xmlns:a16="http://schemas.microsoft.com/office/drawing/2014/main" id="{B882A8A2-AC59-45DA-BBB0-03C8221719A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74" name="Text Box 3">
          <a:extLst>
            <a:ext uri="{FF2B5EF4-FFF2-40B4-BE49-F238E27FC236}">
              <a16:creationId xmlns:a16="http://schemas.microsoft.com/office/drawing/2014/main" id="{55E2D96C-8C13-41D8-9824-B677181AF8C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75" name="Text Box 1">
          <a:extLst>
            <a:ext uri="{FF2B5EF4-FFF2-40B4-BE49-F238E27FC236}">
              <a16:creationId xmlns:a16="http://schemas.microsoft.com/office/drawing/2014/main" id="{9B4D736E-9BE9-4213-ADF4-1C8B7AC393A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76" name="Text Box 3">
          <a:extLst>
            <a:ext uri="{FF2B5EF4-FFF2-40B4-BE49-F238E27FC236}">
              <a16:creationId xmlns:a16="http://schemas.microsoft.com/office/drawing/2014/main" id="{61A63CF9-E123-43AF-974A-75289956437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77" name="Text Box 1">
          <a:extLst>
            <a:ext uri="{FF2B5EF4-FFF2-40B4-BE49-F238E27FC236}">
              <a16:creationId xmlns:a16="http://schemas.microsoft.com/office/drawing/2014/main" id="{AA6D7D9C-A759-4C01-B01A-21F720C5313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78" name="Text Box 1">
          <a:extLst>
            <a:ext uri="{FF2B5EF4-FFF2-40B4-BE49-F238E27FC236}">
              <a16:creationId xmlns:a16="http://schemas.microsoft.com/office/drawing/2014/main" id="{8AE3D3C6-E358-4766-A048-6761C48F754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79" name="Text Box 3">
          <a:extLst>
            <a:ext uri="{FF2B5EF4-FFF2-40B4-BE49-F238E27FC236}">
              <a16:creationId xmlns:a16="http://schemas.microsoft.com/office/drawing/2014/main" id="{300F52BC-CC74-4E80-A398-2981FAA0D8A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80" name="Text Box 1">
          <a:extLst>
            <a:ext uri="{FF2B5EF4-FFF2-40B4-BE49-F238E27FC236}">
              <a16:creationId xmlns:a16="http://schemas.microsoft.com/office/drawing/2014/main" id="{29673421-ACAE-4879-8F0A-56E464FD183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81" name="Text Box 3">
          <a:extLst>
            <a:ext uri="{FF2B5EF4-FFF2-40B4-BE49-F238E27FC236}">
              <a16:creationId xmlns:a16="http://schemas.microsoft.com/office/drawing/2014/main" id="{44D494B8-FF1F-4E78-9616-E4BEBB886E7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82" name="Text Box 1">
          <a:extLst>
            <a:ext uri="{FF2B5EF4-FFF2-40B4-BE49-F238E27FC236}">
              <a16:creationId xmlns:a16="http://schemas.microsoft.com/office/drawing/2014/main" id="{1E768D80-6F11-40E9-BC96-63A446DFC146}"/>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83" name="Text Box 3">
          <a:extLst>
            <a:ext uri="{FF2B5EF4-FFF2-40B4-BE49-F238E27FC236}">
              <a16:creationId xmlns:a16="http://schemas.microsoft.com/office/drawing/2014/main" id="{1F22D8A9-CE00-43CB-9036-85D306DE704A}"/>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84" name="Text Box 1">
          <a:extLst>
            <a:ext uri="{FF2B5EF4-FFF2-40B4-BE49-F238E27FC236}">
              <a16:creationId xmlns:a16="http://schemas.microsoft.com/office/drawing/2014/main" id="{29E86126-1EA4-4E6A-A4A2-161C46B17AF3}"/>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85" name="Text Box 3">
          <a:extLst>
            <a:ext uri="{FF2B5EF4-FFF2-40B4-BE49-F238E27FC236}">
              <a16:creationId xmlns:a16="http://schemas.microsoft.com/office/drawing/2014/main" id="{A682103B-6206-4448-8771-E116546A0D4B}"/>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86" name="Text Box 1">
          <a:extLst>
            <a:ext uri="{FF2B5EF4-FFF2-40B4-BE49-F238E27FC236}">
              <a16:creationId xmlns:a16="http://schemas.microsoft.com/office/drawing/2014/main" id="{74DC3B33-9C83-40D0-A032-91BE6F86E98A}"/>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87" name="Text Box 1">
          <a:extLst>
            <a:ext uri="{FF2B5EF4-FFF2-40B4-BE49-F238E27FC236}">
              <a16:creationId xmlns:a16="http://schemas.microsoft.com/office/drawing/2014/main" id="{7130BF91-523E-4238-92AA-06927A4CAC19}"/>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88" name="Text Box 3">
          <a:extLst>
            <a:ext uri="{FF2B5EF4-FFF2-40B4-BE49-F238E27FC236}">
              <a16:creationId xmlns:a16="http://schemas.microsoft.com/office/drawing/2014/main" id="{70951C93-72F9-4C8B-8638-05687EF9336D}"/>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89" name="Text Box 1">
          <a:extLst>
            <a:ext uri="{FF2B5EF4-FFF2-40B4-BE49-F238E27FC236}">
              <a16:creationId xmlns:a16="http://schemas.microsoft.com/office/drawing/2014/main" id="{0708657E-9282-4947-9BA3-51749C57412A}"/>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90" name="Text Box 3">
          <a:extLst>
            <a:ext uri="{FF2B5EF4-FFF2-40B4-BE49-F238E27FC236}">
              <a16:creationId xmlns:a16="http://schemas.microsoft.com/office/drawing/2014/main" id="{4311CC2A-17F4-4976-AEED-7832740FBC00}"/>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91" name="Text Box 1">
          <a:extLst>
            <a:ext uri="{FF2B5EF4-FFF2-40B4-BE49-F238E27FC236}">
              <a16:creationId xmlns:a16="http://schemas.microsoft.com/office/drawing/2014/main" id="{F45A0E8D-5DD4-40F7-ADA7-5B03D85DEAC5}"/>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92" name="Text Box 1">
          <a:extLst>
            <a:ext uri="{FF2B5EF4-FFF2-40B4-BE49-F238E27FC236}">
              <a16:creationId xmlns:a16="http://schemas.microsoft.com/office/drawing/2014/main" id="{BF1AD3B2-4021-498A-980A-022D53F476A0}"/>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93" name="Text Box 3">
          <a:extLst>
            <a:ext uri="{FF2B5EF4-FFF2-40B4-BE49-F238E27FC236}">
              <a16:creationId xmlns:a16="http://schemas.microsoft.com/office/drawing/2014/main" id="{9AC98318-2D5B-4802-8B4D-EA3B8D72EB03}"/>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94" name="Text Box 1">
          <a:extLst>
            <a:ext uri="{FF2B5EF4-FFF2-40B4-BE49-F238E27FC236}">
              <a16:creationId xmlns:a16="http://schemas.microsoft.com/office/drawing/2014/main" id="{19B07959-581A-4504-BF1E-5221396A2544}"/>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95" name="Text Box 1">
          <a:extLst>
            <a:ext uri="{FF2B5EF4-FFF2-40B4-BE49-F238E27FC236}">
              <a16:creationId xmlns:a16="http://schemas.microsoft.com/office/drawing/2014/main" id="{9358EF8B-D7DD-4447-A6AC-64D7D04FF500}"/>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96" name="Text Box 3">
          <a:extLst>
            <a:ext uri="{FF2B5EF4-FFF2-40B4-BE49-F238E27FC236}">
              <a16:creationId xmlns:a16="http://schemas.microsoft.com/office/drawing/2014/main" id="{49C0F518-1BD9-4D8E-95D7-FA27101B4C03}"/>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97" name="Text Box 1">
          <a:extLst>
            <a:ext uri="{FF2B5EF4-FFF2-40B4-BE49-F238E27FC236}">
              <a16:creationId xmlns:a16="http://schemas.microsoft.com/office/drawing/2014/main" id="{875E80EA-199F-4991-985C-20BC30BF17BF}"/>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98" name="Text Box 3">
          <a:extLst>
            <a:ext uri="{FF2B5EF4-FFF2-40B4-BE49-F238E27FC236}">
              <a16:creationId xmlns:a16="http://schemas.microsoft.com/office/drawing/2014/main" id="{008E79B2-E002-42C4-8EC2-7720B72291FF}"/>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99" name="Text Box 1">
          <a:extLst>
            <a:ext uri="{FF2B5EF4-FFF2-40B4-BE49-F238E27FC236}">
              <a16:creationId xmlns:a16="http://schemas.microsoft.com/office/drawing/2014/main" id="{D48E91BD-89CE-482F-AC7C-041F5F1BEA1D}"/>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700" name="Text Box 1">
          <a:extLst>
            <a:ext uri="{FF2B5EF4-FFF2-40B4-BE49-F238E27FC236}">
              <a16:creationId xmlns:a16="http://schemas.microsoft.com/office/drawing/2014/main" id="{44A18922-F0CA-4D0F-B0AC-595263F44ADC}"/>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701" name="Text Box 3">
          <a:extLst>
            <a:ext uri="{FF2B5EF4-FFF2-40B4-BE49-F238E27FC236}">
              <a16:creationId xmlns:a16="http://schemas.microsoft.com/office/drawing/2014/main" id="{7E1007FF-B73D-46A8-BA75-7380849E63FC}"/>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702" name="Text Box 1">
          <a:extLst>
            <a:ext uri="{FF2B5EF4-FFF2-40B4-BE49-F238E27FC236}">
              <a16:creationId xmlns:a16="http://schemas.microsoft.com/office/drawing/2014/main" id="{866228CE-0715-4401-828A-43639149B4DE}"/>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703" name="Text Box 3">
          <a:extLst>
            <a:ext uri="{FF2B5EF4-FFF2-40B4-BE49-F238E27FC236}">
              <a16:creationId xmlns:a16="http://schemas.microsoft.com/office/drawing/2014/main" id="{72D824EC-3F3F-4E88-82B4-4C1B25DDE08C}"/>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704" name="Text Box 1">
          <a:extLst>
            <a:ext uri="{FF2B5EF4-FFF2-40B4-BE49-F238E27FC236}">
              <a16:creationId xmlns:a16="http://schemas.microsoft.com/office/drawing/2014/main" id="{48985793-5C6B-4DD6-B4DA-04A675CB4BA7}"/>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705" name="Text Box 1">
          <a:extLst>
            <a:ext uri="{FF2B5EF4-FFF2-40B4-BE49-F238E27FC236}">
              <a16:creationId xmlns:a16="http://schemas.microsoft.com/office/drawing/2014/main" id="{4EB168D4-F26A-4496-8B90-5CDC0E6B0D5F}"/>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706" name="Text Box 3">
          <a:extLst>
            <a:ext uri="{FF2B5EF4-FFF2-40B4-BE49-F238E27FC236}">
              <a16:creationId xmlns:a16="http://schemas.microsoft.com/office/drawing/2014/main" id="{E26CC8D0-F8EC-49A5-B50E-994AC6168F10}"/>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07" name="Text Box 3">
          <a:extLst>
            <a:ext uri="{FF2B5EF4-FFF2-40B4-BE49-F238E27FC236}">
              <a16:creationId xmlns:a16="http://schemas.microsoft.com/office/drawing/2014/main" id="{45678B97-A642-430B-91BA-935CC9C35E1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08" name="Text Box 1">
          <a:extLst>
            <a:ext uri="{FF2B5EF4-FFF2-40B4-BE49-F238E27FC236}">
              <a16:creationId xmlns:a16="http://schemas.microsoft.com/office/drawing/2014/main" id="{0424D2EF-5BCD-4F76-9E16-24B325FA77D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09" name="Text Box 3">
          <a:extLst>
            <a:ext uri="{FF2B5EF4-FFF2-40B4-BE49-F238E27FC236}">
              <a16:creationId xmlns:a16="http://schemas.microsoft.com/office/drawing/2014/main" id="{7AC80F6F-D2DA-482A-8A1D-EA28204C2E6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10" name="Text Box 1">
          <a:extLst>
            <a:ext uri="{FF2B5EF4-FFF2-40B4-BE49-F238E27FC236}">
              <a16:creationId xmlns:a16="http://schemas.microsoft.com/office/drawing/2014/main" id="{A36CC21B-8824-49CB-AEC1-3C52FE165AA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11" name="Text Box 1">
          <a:extLst>
            <a:ext uri="{FF2B5EF4-FFF2-40B4-BE49-F238E27FC236}">
              <a16:creationId xmlns:a16="http://schemas.microsoft.com/office/drawing/2014/main" id="{EF823AD4-A08E-456F-9640-E1BA2D41022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12" name="Text Box 3">
          <a:extLst>
            <a:ext uri="{FF2B5EF4-FFF2-40B4-BE49-F238E27FC236}">
              <a16:creationId xmlns:a16="http://schemas.microsoft.com/office/drawing/2014/main" id="{E32A7FD7-83A8-4940-A0DB-8BAE1F16B25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13" name="Text Box 1">
          <a:extLst>
            <a:ext uri="{FF2B5EF4-FFF2-40B4-BE49-F238E27FC236}">
              <a16:creationId xmlns:a16="http://schemas.microsoft.com/office/drawing/2014/main" id="{1E9F52A6-340E-4762-AB79-CB0D9566AED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14" name="Text Box 3">
          <a:extLst>
            <a:ext uri="{FF2B5EF4-FFF2-40B4-BE49-F238E27FC236}">
              <a16:creationId xmlns:a16="http://schemas.microsoft.com/office/drawing/2014/main" id="{8CDAB402-EF6A-400A-A70F-D2C80103083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15" name="Text Box 1">
          <a:extLst>
            <a:ext uri="{FF2B5EF4-FFF2-40B4-BE49-F238E27FC236}">
              <a16:creationId xmlns:a16="http://schemas.microsoft.com/office/drawing/2014/main" id="{0831B3CA-FCD8-47A9-A406-325BD267A86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16" name="Text Box 1">
          <a:extLst>
            <a:ext uri="{FF2B5EF4-FFF2-40B4-BE49-F238E27FC236}">
              <a16:creationId xmlns:a16="http://schemas.microsoft.com/office/drawing/2014/main" id="{F0C0C00F-C1AD-4F53-B5D3-52F5618EE62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17" name="Text Box 3">
          <a:extLst>
            <a:ext uri="{FF2B5EF4-FFF2-40B4-BE49-F238E27FC236}">
              <a16:creationId xmlns:a16="http://schemas.microsoft.com/office/drawing/2014/main" id="{AB468810-BADC-4A4A-B0AA-47A12924DFF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18" name="Text Box 1">
          <a:extLst>
            <a:ext uri="{FF2B5EF4-FFF2-40B4-BE49-F238E27FC236}">
              <a16:creationId xmlns:a16="http://schemas.microsoft.com/office/drawing/2014/main" id="{1FCC2351-687A-41A5-BF52-FA4D300F77F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19" name="Text Box 1">
          <a:extLst>
            <a:ext uri="{FF2B5EF4-FFF2-40B4-BE49-F238E27FC236}">
              <a16:creationId xmlns:a16="http://schemas.microsoft.com/office/drawing/2014/main" id="{13E88B2D-F02D-49B6-B76B-AB81152FCB5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20" name="Text Box 3">
          <a:extLst>
            <a:ext uri="{FF2B5EF4-FFF2-40B4-BE49-F238E27FC236}">
              <a16:creationId xmlns:a16="http://schemas.microsoft.com/office/drawing/2014/main" id="{02E03750-80C8-4A37-95FF-F2DC1BA673A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21" name="Text Box 1">
          <a:extLst>
            <a:ext uri="{FF2B5EF4-FFF2-40B4-BE49-F238E27FC236}">
              <a16:creationId xmlns:a16="http://schemas.microsoft.com/office/drawing/2014/main" id="{75B3B44F-E38A-438C-940D-A7737A0B833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22" name="Text Box 3">
          <a:extLst>
            <a:ext uri="{FF2B5EF4-FFF2-40B4-BE49-F238E27FC236}">
              <a16:creationId xmlns:a16="http://schemas.microsoft.com/office/drawing/2014/main" id="{6BAC9EF2-B379-4B04-98D7-20242A395C5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23" name="Text Box 1">
          <a:extLst>
            <a:ext uri="{FF2B5EF4-FFF2-40B4-BE49-F238E27FC236}">
              <a16:creationId xmlns:a16="http://schemas.microsoft.com/office/drawing/2014/main" id="{0DB478C9-2E08-48F0-B655-F6756B872F9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24" name="Text Box 3">
          <a:extLst>
            <a:ext uri="{FF2B5EF4-FFF2-40B4-BE49-F238E27FC236}">
              <a16:creationId xmlns:a16="http://schemas.microsoft.com/office/drawing/2014/main" id="{F29BB48E-7A00-407E-80E0-44A8CEE0A28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25" name="Text Box 1">
          <a:extLst>
            <a:ext uri="{FF2B5EF4-FFF2-40B4-BE49-F238E27FC236}">
              <a16:creationId xmlns:a16="http://schemas.microsoft.com/office/drawing/2014/main" id="{DF80D68E-6EEC-4D24-8478-629F3263FB0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26" name="Text Box 3">
          <a:extLst>
            <a:ext uri="{FF2B5EF4-FFF2-40B4-BE49-F238E27FC236}">
              <a16:creationId xmlns:a16="http://schemas.microsoft.com/office/drawing/2014/main" id="{46603822-3310-404F-AA97-20604AC682B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27" name="Text Box 1">
          <a:extLst>
            <a:ext uri="{FF2B5EF4-FFF2-40B4-BE49-F238E27FC236}">
              <a16:creationId xmlns:a16="http://schemas.microsoft.com/office/drawing/2014/main" id="{45577CA1-F630-4271-AA25-B640D116F96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28" name="Text Box 1">
          <a:extLst>
            <a:ext uri="{FF2B5EF4-FFF2-40B4-BE49-F238E27FC236}">
              <a16:creationId xmlns:a16="http://schemas.microsoft.com/office/drawing/2014/main" id="{B7A5DB4A-48F8-4686-A0E5-634F2B3C83A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29" name="Text Box 3">
          <a:extLst>
            <a:ext uri="{FF2B5EF4-FFF2-40B4-BE49-F238E27FC236}">
              <a16:creationId xmlns:a16="http://schemas.microsoft.com/office/drawing/2014/main" id="{96C4CA2B-B7D8-4F2C-BE88-BDAB0958B9E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30" name="Text Box 1">
          <a:extLst>
            <a:ext uri="{FF2B5EF4-FFF2-40B4-BE49-F238E27FC236}">
              <a16:creationId xmlns:a16="http://schemas.microsoft.com/office/drawing/2014/main" id="{F7773229-11CE-4D48-A89D-C089E0DE4C3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731" name="Text Box 1">
          <a:extLst>
            <a:ext uri="{FF2B5EF4-FFF2-40B4-BE49-F238E27FC236}">
              <a16:creationId xmlns:a16="http://schemas.microsoft.com/office/drawing/2014/main" id="{EBAE531F-0A62-47B8-837F-896A1AC05CCC}"/>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32" name="Text Box 1">
          <a:extLst>
            <a:ext uri="{FF2B5EF4-FFF2-40B4-BE49-F238E27FC236}">
              <a16:creationId xmlns:a16="http://schemas.microsoft.com/office/drawing/2014/main" id="{24674D93-42FC-41BD-B73E-2060B6DC9D3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33" name="Text Box 3">
          <a:extLst>
            <a:ext uri="{FF2B5EF4-FFF2-40B4-BE49-F238E27FC236}">
              <a16:creationId xmlns:a16="http://schemas.microsoft.com/office/drawing/2014/main" id="{0940AED3-3C4C-417A-BC61-DB96653109E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34" name="Text Box 1">
          <a:extLst>
            <a:ext uri="{FF2B5EF4-FFF2-40B4-BE49-F238E27FC236}">
              <a16:creationId xmlns:a16="http://schemas.microsoft.com/office/drawing/2014/main" id="{B3B34CE9-ABA8-4C3B-916E-55E7557B1D6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35" name="Text Box 3">
          <a:extLst>
            <a:ext uri="{FF2B5EF4-FFF2-40B4-BE49-F238E27FC236}">
              <a16:creationId xmlns:a16="http://schemas.microsoft.com/office/drawing/2014/main" id="{8657E6CC-51AB-4E4D-A8CC-79FFF488A6F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36" name="Text Box 1">
          <a:extLst>
            <a:ext uri="{FF2B5EF4-FFF2-40B4-BE49-F238E27FC236}">
              <a16:creationId xmlns:a16="http://schemas.microsoft.com/office/drawing/2014/main" id="{EF0E43D3-97F0-4A74-8960-4BE469DE6D9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37" name="Text Box 1">
          <a:extLst>
            <a:ext uri="{FF2B5EF4-FFF2-40B4-BE49-F238E27FC236}">
              <a16:creationId xmlns:a16="http://schemas.microsoft.com/office/drawing/2014/main" id="{614FB99D-AFB9-4CAC-8E8D-B522D11435B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38" name="Text Box 3">
          <a:extLst>
            <a:ext uri="{FF2B5EF4-FFF2-40B4-BE49-F238E27FC236}">
              <a16:creationId xmlns:a16="http://schemas.microsoft.com/office/drawing/2014/main" id="{438C2748-768B-4A51-B03C-8DED49DF13A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39" name="Text Box 1">
          <a:extLst>
            <a:ext uri="{FF2B5EF4-FFF2-40B4-BE49-F238E27FC236}">
              <a16:creationId xmlns:a16="http://schemas.microsoft.com/office/drawing/2014/main" id="{C5DA790F-5EDB-41D8-A026-638BD0F2269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40" name="Text Box 3">
          <a:extLst>
            <a:ext uri="{FF2B5EF4-FFF2-40B4-BE49-F238E27FC236}">
              <a16:creationId xmlns:a16="http://schemas.microsoft.com/office/drawing/2014/main" id="{D90D390C-6AC8-4E6C-8892-9ADFAE738F9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41" name="Text Box 1">
          <a:extLst>
            <a:ext uri="{FF2B5EF4-FFF2-40B4-BE49-F238E27FC236}">
              <a16:creationId xmlns:a16="http://schemas.microsoft.com/office/drawing/2014/main" id="{43FC33C6-1A4F-49FC-9881-EDDED969437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42" name="Text Box 1">
          <a:extLst>
            <a:ext uri="{FF2B5EF4-FFF2-40B4-BE49-F238E27FC236}">
              <a16:creationId xmlns:a16="http://schemas.microsoft.com/office/drawing/2014/main" id="{88351E46-075A-454D-96DD-638C7069653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43" name="Text Box 3">
          <a:extLst>
            <a:ext uri="{FF2B5EF4-FFF2-40B4-BE49-F238E27FC236}">
              <a16:creationId xmlns:a16="http://schemas.microsoft.com/office/drawing/2014/main" id="{CF774EF1-BEC1-49FC-BCE9-3E5DE379D0A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44" name="Text Box 1">
          <a:extLst>
            <a:ext uri="{FF2B5EF4-FFF2-40B4-BE49-F238E27FC236}">
              <a16:creationId xmlns:a16="http://schemas.microsoft.com/office/drawing/2014/main" id="{B68EFDF4-F00D-4E9A-8328-8B93B60870E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45" name="Text Box 3">
          <a:extLst>
            <a:ext uri="{FF2B5EF4-FFF2-40B4-BE49-F238E27FC236}">
              <a16:creationId xmlns:a16="http://schemas.microsoft.com/office/drawing/2014/main" id="{C2E92812-BDBC-49B5-B104-EDCE125F669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46" name="Text Box 1">
          <a:extLst>
            <a:ext uri="{FF2B5EF4-FFF2-40B4-BE49-F238E27FC236}">
              <a16:creationId xmlns:a16="http://schemas.microsoft.com/office/drawing/2014/main" id="{CBBD2B41-1050-4E39-A564-7C7FB867C21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47" name="Text Box 1">
          <a:extLst>
            <a:ext uri="{FF2B5EF4-FFF2-40B4-BE49-F238E27FC236}">
              <a16:creationId xmlns:a16="http://schemas.microsoft.com/office/drawing/2014/main" id="{AD12FF20-9927-4B30-9DD6-B0A53CB0B4A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48" name="Text Box 3">
          <a:extLst>
            <a:ext uri="{FF2B5EF4-FFF2-40B4-BE49-F238E27FC236}">
              <a16:creationId xmlns:a16="http://schemas.microsoft.com/office/drawing/2014/main" id="{5127FFB3-A6AD-4B8B-969F-8226C0049EB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49" name="Text Box 1">
          <a:extLst>
            <a:ext uri="{FF2B5EF4-FFF2-40B4-BE49-F238E27FC236}">
              <a16:creationId xmlns:a16="http://schemas.microsoft.com/office/drawing/2014/main" id="{46E0836D-6BEB-43EF-811E-0D61FAC33DD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50" name="Text Box 3">
          <a:extLst>
            <a:ext uri="{FF2B5EF4-FFF2-40B4-BE49-F238E27FC236}">
              <a16:creationId xmlns:a16="http://schemas.microsoft.com/office/drawing/2014/main" id="{1BD3A158-726D-4F32-A244-807E22D8CA2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51" name="Text Box 1">
          <a:extLst>
            <a:ext uri="{FF2B5EF4-FFF2-40B4-BE49-F238E27FC236}">
              <a16:creationId xmlns:a16="http://schemas.microsoft.com/office/drawing/2014/main" id="{A4EB6E4C-8F90-4BA6-A306-EC931443E16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52" name="Text Box 1">
          <a:extLst>
            <a:ext uri="{FF2B5EF4-FFF2-40B4-BE49-F238E27FC236}">
              <a16:creationId xmlns:a16="http://schemas.microsoft.com/office/drawing/2014/main" id="{9D903E2C-943D-4183-914C-B09E98471BE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53" name="Text Box 3">
          <a:extLst>
            <a:ext uri="{FF2B5EF4-FFF2-40B4-BE49-F238E27FC236}">
              <a16:creationId xmlns:a16="http://schemas.microsoft.com/office/drawing/2014/main" id="{B33BE34F-41D5-44CE-A7AE-122992D9A9A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54" name="Text Box 1">
          <a:extLst>
            <a:ext uri="{FF2B5EF4-FFF2-40B4-BE49-F238E27FC236}">
              <a16:creationId xmlns:a16="http://schemas.microsoft.com/office/drawing/2014/main" id="{67742211-2C92-46EC-9CBD-7BE086733C5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55" name="Text Box 3">
          <a:extLst>
            <a:ext uri="{FF2B5EF4-FFF2-40B4-BE49-F238E27FC236}">
              <a16:creationId xmlns:a16="http://schemas.microsoft.com/office/drawing/2014/main" id="{82CC73FE-496B-4CA1-BFE7-23FC2051673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56" name="Text Box 1">
          <a:extLst>
            <a:ext uri="{FF2B5EF4-FFF2-40B4-BE49-F238E27FC236}">
              <a16:creationId xmlns:a16="http://schemas.microsoft.com/office/drawing/2014/main" id="{BBF6855A-A246-4F1E-9B72-DE8463F4047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57" name="Text Box 1">
          <a:extLst>
            <a:ext uri="{FF2B5EF4-FFF2-40B4-BE49-F238E27FC236}">
              <a16:creationId xmlns:a16="http://schemas.microsoft.com/office/drawing/2014/main" id="{09303B47-FA86-4689-B768-B14BD169195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58" name="Text Box 3">
          <a:extLst>
            <a:ext uri="{FF2B5EF4-FFF2-40B4-BE49-F238E27FC236}">
              <a16:creationId xmlns:a16="http://schemas.microsoft.com/office/drawing/2014/main" id="{6AC1E498-8A45-4897-989A-79123F8D1B0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59" name="Text Box 1">
          <a:extLst>
            <a:ext uri="{FF2B5EF4-FFF2-40B4-BE49-F238E27FC236}">
              <a16:creationId xmlns:a16="http://schemas.microsoft.com/office/drawing/2014/main" id="{3F7A7741-B43A-4AE1-8A60-AC11CBB1855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60" name="Text Box 3">
          <a:extLst>
            <a:ext uri="{FF2B5EF4-FFF2-40B4-BE49-F238E27FC236}">
              <a16:creationId xmlns:a16="http://schemas.microsoft.com/office/drawing/2014/main" id="{E61CE27D-222A-4CEC-831A-6F5BCB0B510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61" name="Text Box 1">
          <a:extLst>
            <a:ext uri="{FF2B5EF4-FFF2-40B4-BE49-F238E27FC236}">
              <a16:creationId xmlns:a16="http://schemas.microsoft.com/office/drawing/2014/main" id="{69FD9C17-102E-4E08-843E-50EAD138D8B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62" name="Text Box 1">
          <a:extLst>
            <a:ext uri="{FF2B5EF4-FFF2-40B4-BE49-F238E27FC236}">
              <a16:creationId xmlns:a16="http://schemas.microsoft.com/office/drawing/2014/main" id="{5F0AA0ED-D222-4008-86FE-F709D848064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63" name="Text Box 3">
          <a:extLst>
            <a:ext uri="{FF2B5EF4-FFF2-40B4-BE49-F238E27FC236}">
              <a16:creationId xmlns:a16="http://schemas.microsoft.com/office/drawing/2014/main" id="{C85BFF70-B710-4259-BE94-F192757E890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64" name="Text Box 1">
          <a:extLst>
            <a:ext uri="{FF2B5EF4-FFF2-40B4-BE49-F238E27FC236}">
              <a16:creationId xmlns:a16="http://schemas.microsoft.com/office/drawing/2014/main" id="{1B955EAF-09C5-44F3-8D5D-5A11364C05D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65" name="Text Box 3">
          <a:extLst>
            <a:ext uri="{FF2B5EF4-FFF2-40B4-BE49-F238E27FC236}">
              <a16:creationId xmlns:a16="http://schemas.microsoft.com/office/drawing/2014/main" id="{EF69229A-CCB1-4135-937F-D8679248596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66" name="Text Box 1">
          <a:extLst>
            <a:ext uri="{FF2B5EF4-FFF2-40B4-BE49-F238E27FC236}">
              <a16:creationId xmlns:a16="http://schemas.microsoft.com/office/drawing/2014/main" id="{E65D96D9-C45E-4CFC-B8EA-73A12ED5943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67" name="Text Box 1">
          <a:extLst>
            <a:ext uri="{FF2B5EF4-FFF2-40B4-BE49-F238E27FC236}">
              <a16:creationId xmlns:a16="http://schemas.microsoft.com/office/drawing/2014/main" id="{E06C1192-0F90-44B6-A76D-6481FCF3F05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68" name="Text Box 3">
          <a:extLst>
            <a:ext uri="{FF2B5EF4-FFF2-40B4-BE49-F238E27FC236}">
              <a16:creationId xmlns:a16="http://schemas.microsoft.com/office/drawing/2014/main" id="{689ED23D-BEF9-45F9-9220-95A46293165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69" name="Text Box 1">
          <a:extLst>
            <a:ext uri="{FF2B5EF4-FFF2-40B4-BE49-F238E27FC236}">
              <a16:creationId xmlns:a16="http://schemas.microsoft.com/office/drawing/2014/main" id="{CB4AA0A9-9704-499A-BA2F-E1DF9DCE4C8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70" name="Text Box 3">
          <a:extLst>
            <a:ext uri="{FF2B5EF4-FFF2-40B4-BE49-F238E27FC236}">
              <a16:creationId xmlns:a16="http://schemas.microsoft.com/office/drawing/2014/main" id="{78A6C439-FBEF-4EAA-A93A-460256F9329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71" name="Text Box 1">
          <a:extLst>
            <a:ext uri="{FF2B5EF4-FFF2-40B4-BE49-F238E27FC236}">
              <a16:creationId xmlns:a16="http://schemas.microsoft.com/office/drawing/2014/main" id="{CC9BC4BC-25A7-4612-97D2-AA1943ABE4C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72" name="Text Box 1">
          <a:extLst>
            <a:ext uri="{FF2B5EF4-FFF2-40B4-BE49-F238E27FC236}">
              <a16:creationId xmlns:a16="http://schemas.microsoft.com/office/drawing/2014/main" id="{1A27EB63-0CBD-479A-A891-AEE796167CE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73" name="Text Box 3">
          <a:extLst>
            <a:ext uri="{FF2B5EF4-FFF2-40B4-BE49-F238E27FC236}">
              <a16:creationId xmlns:a16="http://schemas.microsoft.com/office/drawing/2014/main" id="{EFBA18C6-7DB1-4B08-AB94-675E6253B8F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74" name="Text Box 1">
          <a:extLst>
            <a:ext uri="{FF2B5EF4-FFF2-40B4-BE49-F238E27FC236}">
              <a16:creationId xmlns:a16="http://schemas.microsoft.com/office/drawing/2014/main" id="{6105CC45-D896-49DE-97A4-3E26DCBD6D0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75" name="Text Box 3">
          <a:extLst>
            <a:ext uri="{FF2B5EF4-FFF2-40B4-BE49-F238E27FC236}">
              <a16:creationId xmlns:a16="http://schemas.microsoft.com/office/drawing/2014/main" id="{71021AFA-0E74-4424-96DF-BEFA6EB55E3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76" name="Text Box 1">
          <a:extLst>
            <a:ext uri="{FF2B5EF4-FFF2-40B4-BE49-F238E27FC236}">
              <a16:creationId xmlns:a16="http://schemas.microsoft.com/office/drawing/2014/main" id="{71C47722-1DCB-42AB-875A-9F2A80C364D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77" name="Text Box 1">
          <a:extLst>
            <a:ext uri="{FF2B5EF4-FFF2-40B4-BE49-F238E27FC236}">
              <a16:creationId xmlns:a16="http://schemas.microsoft.com/office/drawing/2014/main" id="{5F93566C-4EA4-48CE-B298-68EEEF63BC0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78" name="Text Box 3">
          <a:extLst>
            <a:ext uri="{FF2B5EF4-FFF2-40B4-BE49-F238E27FC236}">
              <a16:creationId xmlns:a16="http://schemas.microsoft.com/office/drawing/2014/main" id="{CC3151C4-ABAF-4D99-8ECE-8D796DC8B67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79" name="Text Box 1">
          <a:extLst>
            <a:ext uri="{FF2B5EF4-FFF2-40B4-BE49-F238E27FC236}">
              <a16:creationId xmlns:a16="http://schemas.microsoft.com/office/drawing/2014/main" id="{5D0EDC30-511C-4E42-BB10-A9FCF796B7F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80" name="Text Box 3">
          <a:extLst>
            <a:ext uri="{FF2B5EF4-FFF2-40B4-BE49-F238E27FC236}">
              <a16:creationId xmlns:a16="http://schemas.microsoft.com/office/drawing/2014/main" id="{6CE38E43-200F-400A-A368-3B30B129199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81" name="Text Box 1">
          <a:extLst>
            <a:ext uri="{FF2B5EF4-FFF2-40B4-BE49-F238E27FC236}">
              <a16:creationId xmlns:a16="http://schemas.microsoft.com/office/drawing/2014/main" id="{F413186D-7344-4BE6-B608-634CDC40691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82" name="Text Box 1">
          <a:extLst>
            <a:ext uri="{FF2B5EF4-FFF2-40B4-BE49-F238E27FC236}">
              <a16:creationId xmlns:a16="http://schemas.microsoft.com/office/drawing/2014/main" id="{746223F2-938D-45AA-B99A-70DB74D5EAE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83" name="Text Box 3">
          <a:extLst>
            <a:ext uri="{FF2B5EF4-FFF2-40B4-BE49-F238E27FC236}">
              <a16:creationId xmlns:a16="http://schemas.microsoft.com/office/drawing/2014/main" id="{0A6AD3DD-D4B5-4101-8AC0-2F4D7EF419F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84" name="Text Box 1">
          <a:extLst>
            <a:ext uri="{FF2B5EF4-FFF2-40B4-BE49-F238E27FC236}">
              <a16:creationId xmlns:a16="http://schemas.microsoft.com/office/drawing/2014/main" id="{CF66FF11-30AF-4FC1-ACAF-FDF7C8370B8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85" name="Text Box 3">
          <a:extLst>
            <a:ext uri="{FF2B5EF4-FFF2-40B4-BE49-F238E27FC236}">
              <a16:creationId xmlns:a16="http://schemas.microsoft.com/office/drawing/2014/main" id="{6AD52662-48E5-4411-9987-F0526F30339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86" name="Text Box 1">
          <a:extLst>
            <a:ext uri="{FF2B5EF4-FFF2-40B4-BE49-F238E27FC236}">
              <a16:creationId xmlns:a16="http://schemas.microsoft.com/office/drawing/2014/main" id="{CA9EC6B0-E5F1-4924-BC2A-4C5BDB1F5C7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87" name="Text Box 1">
          <a:extLst>
            <a:ext uri="{FF2B5EF4-FFF2-40B4-BE49-F238E27FC236}">
              <a16:creationId xmlns:a16="http://schemas.microsoft.com/office/drawing/2014/main" id="{4554EAE0-2F8F-4706-BC18-C0446034AAD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88" name="Text Box 3">
          <a:extLst>
            <a:ext uri="{FF2B5EF4-FFF2-40B4-BE49-F238E27FC236}">
              <a16:creationId xmlns:a16="http://schemas.microsoft.com/office/drawing/2014/main" id="{971AA0DB-22E1-4CFA-8853-3CA33298BAB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89" name="Text Box 1">
          <a:extLst>
            <a:ext uri="{FF2B5EF4-FFF2-40B4-BE49-F238E27FC236}">
              <a16:creationId xmlns:a16="http://schemas.microsoft.com/office/drawing/2014/main" id="{B22802B3-5529-4438-8972-AF3C7230B84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90" name="Text Box 3">
          <a:extLst>
            <a:ext uri="{FF2B5EF4-FFF2-40B4-BE49-F238E27FC236}">
              <a16:creationId xmlns:a16="http://schemas.microsoft.com/office/drawing/2014/main" id="{07ECC90F-0AE7-4040-B4CE-6FC9E8B88DA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91" name="Text Box 1">
          <a:extLst>
            <a:ext uri="{FF2B5EF4-FFF2-40B4-BE49-F238E27FC236}">
              <a16:creationId xmlns:a16="http://schemas.microsoft.com/office/drawing/2014/main" id="{F780D400-1E0B-49D1-AAB2-B297485BE4D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92" name="Text Box 1">
          <a:extLst>
            <a:ext uri="{FF2B5EF4-FFF2-40B4-BE49-F238E27FC236}">
              <a16:creationId xmlns:a16="http://schemas.microsoft.com/office/drawing/2014/main" id="{1EB35AB7-9874-46A1-B513-F52F0E20F90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93" name="Text Box 3">
          <a:extLst>
            <a:ext uri="{FF2B5EF4-FFF2-40B4-BE49-F238E27FC236}">
              <a16:creationId xmlns:a16="http://schemas.microsoft.com/office/drawing/2014/main" id="{F43788E5-3FD9-4212-B04B-9AB0B1EF31D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94" name="Text Box 1">
          <a:extLst>
            <a:ext uri="{FF2B5EF4-FFF2-40B4-BE49-F238E27FC236}">
              <a16:creationId xmlns:a16="http://schemas.microsoft.com/office/drawing/2014/main" id="{64E83AC7-1488-4AE6-98E0-E35EF76BEC3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95" name="Text Box 3">
          <a:extLst>
            <a:ext uri="{FF2B5EF4-FFF2-40B4-BE49-F238E27FC236}">
              <a16:creationId xmlns:a16="http://schemas.microsoft.com/office/drawing/2014/main" id="{7355FCB7-2498-4E1E-8510-E97A6E60FE2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96" name="Text Box 1">
          <a:extLst>
            <a:ext uri="{FF2B5EF4-FFF2-40B4-BE49-F238E27FC236}">
              <a16:creationId xmlns:a16="http://schemas.microsoft.com/office/drawing/2014/main" id="{F87F5612-F187-4284-B13E-540D4B98A2F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97" name="Text Box 1">
          <a:extLst>
            <a:ext uri="{FF2B5EF4-FFF2-40B4-BE49-F238E27FC236}">
              <a16:creationId xmlns:a16="http://schemas.microsoft.com/office/drawing/2014/main" id="{9CDA11B3-53CC-41DA-9322-C25D2D1198A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98" name="Text Box 3">
          <a:extLst>
            <a:ext uri="{FF2B5EF4-FFF2-40B4-BE49-F238E27FC236}">
              <a16:creationId xmlns:a16="http://schemas.microsoft.com/office/drawing/2014/main" id="{6AC37A1C-8F39-4AE5-A5E0-6678E41E977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99" name="Text Box 1">
          <a:extLst>
            <a:ext uri="{FF2B5EF4-FFF2-40B4-BE49-F238E27FC236}">
              <a16:creationId xmlns:a16="http://schemas.microsoft.com/office/drawing/2014/main" id="{25C22712-51D2-4D2C-93F5-409DDE7A9CC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00" name="Text Box 3">
          <a:extLst>
            <a:ext uri="{FF2B5EF4-FFF2-40B4-BE49-F238E27FC236}">
              <a16:creationId xmlns:a16="http://schemas.microsoft.com/office/drawing/2014/main" id="{24FEAD39-C79E-44D4-A335-571420008C8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01" name="Text Box 1">
          <a:extLst>
            <a:ext uri="{FF2B5EF4-FFF2-40B4-BE49-F238E27FC236}">
              <a16:creationId xmlns:a16="http://schemas.microsoft.com/office/drawing/2014/main" id="{BDA0F643-C28A-4258-9EF2-82A52D634AA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02" name="Text Box 1">
          <a:extLst>
            <a:ext uri="{FF2B5EF4-FFF2-40B4-BE49-F238E27FC236}">
              <a16:creationId xmlns:a16="http://schemas.microsoft.com/office/drawing/2014/main" id="{6A4381F7-0210-48D5-B884-7DC7BB277AA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03" name="Text Box 3">
          <a:extLst>
            <a:ext uri="{FF2B5EF4-FFF2-40B4-BE49-F238E27FC236}">
              <a16:creationId xmlns:a16="http://schemas.microsoft.com/office/drawing/2014/main" id="{416ACA8B-6D70-4510-B1C9-69EF7436493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04" name="Text Box 1">
          <a:extLst>
            <a:ext uri="{FF2B5EF4-FFF2-40B4-BE49-F238E27FC236}">
              <a16:creationId xmlns:a16="http://schemas.microsoft.com/office/drawing/2014/main" id="{2A348A47-DCB6-4345-84EA-29F762B0F7E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05" name="Text Box 3">
          <a:extLst>
            <a:ext uri="{FF2B5EF4-FFF2-40B4-BE49-F238E27FC236}">
              <a16:creationId xmlns:a16="http://schemas.microsoft.com/office/drawing/2014/main" id="{E2CD06F2-6E2F-4952-9ED9-E2F3CFF9946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06" name="Text Box 1">
          <a:extLst>
            <a:ext uri="{FF2B5EF4-FFF2-40B4-BE49-F238E27FC236}">
              <a16:creationId xmlns:a16="http://schemas.microsoft.com/office/drawing/2014/main" id="{BFE69CE5-A494-4E12-B447-76F4B38FCAB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07" name="Text Box 1">
          <a:extLst>
            <a:ext uri="{FF2B5EF4-FFF2-40B4-BE49-F238E27FC236}">
              <a16:creationId xmlns:a16="http://schemas.microsoft.com/office/drawing/2014/main" id="{4121F4F2-0B77-4BB1-B0B9-B553C5ABC36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08" name="Text Box 3">
          <a:extLst>
            <a:ext uri="{FF2B5EF4-FFF2-40B4-BE49-F238E27FC236}">
              <a16:creationId xmlns:a16="http://schemas.microsoft.com/office/drawing/2014/main" id="{5278544C-E08C-480A-9D61-3D69932B4BE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09" name="Text Box 1">
          <a:extLst>
            <a:ext uri="{FF2B5EF4-FFF2-40B4-BE49-F238E27FC236}">
              <a16:creationId xmlns:a16="http://schemas.microsoft.com/office/drawing/2014/main" id="{FCB021F1-DBA4-44FD-99E2-456040E8744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10" name="Text Box 3">
          <a:extLst>
            <a:ext uri="{FF2B5EF4-FFF2-40B4-BE49-F238E27FC236}">
              <a16:creationId xmlns:a16="http://schemas.microsoft.com/office/drawing/2014/main" id="{C94733FE-7192-4045-8BF2-0D7208A655B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11" name="Text Box 1">
          <a:extLst>
            <a:ext uri="{FF2B5EF4-FFF2-40B4-BE49-F238E27FC236}">
              <a16:creationId xmlns:a16="http://schemas.microsoft.com/office/drawing/2014/main" id="{4787F532-5122-466D-908A-8582A51B8C2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12" name="Text Box 1">
          <a:extLst>
            <a:ext uri="{FF2B5EF4-FFF2-40B4-BE49-F238E27FC236}">
              <a16:creationId xmlns:a16="http://schemas.microsoft.com/office/drawing/2014/main" id="{C3DF266D-B382-4CCE-B3B7-36F79C2419C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13" name="Text Box 3">
          <a:extLst>
            <a:ext uri="{FF2B5EF4-FFF2-40B4-BE49-F238E27FC236}">
              <a16:creationId xmlns:a16="http://schemas.microsoft.com/office/drawing/2014/main" id="{E3A313A4-B8B3-4662-A5F8-C094D0A103B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14" name="Text Box 1">
          <a:extLst>
            <a:ext uri="{FF2B5EF4-FFF2-40B4-BE49-F238E27FC236}">
              <a16:creationId xmlns:a16="http://schemas.microsoft.com/office/drawing/2014/main" id="{41F39C99-7ACE-45FA-8AB2-1A2C10C7D8C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15" name="Text Box 3">
          <a:extLst>
            <a:ext uri="{FF2B5EF4-FFF2-40B4-BE49-F238E27FC236}">
              <a16:creationId xmlns:a16="http://schemas.microsoft.com/office/drawing/2014/main" id="{7A1F85E5-FCE7-44D7-A2BE-518CCBA7015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16" name="Text Box 1">
          <a:extLst>
            <a:ext uri="{FF2B5EF4-FFF2-40B4-BE49-F238E27FC236}">
              <a16:creationId xmlns:a16="http://schemas.microsoft.com/office/drawing/2014/main" id="{201200B2-DA2E-4850-A473-859E33FC74F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17" name="Text Box 1">
          <a:extLst>
            <a:ext uri="{FF2B5EF4-FFF2-40B4-BE49-F238E27FC236}">
              <a16:creationId xmlns:a16="http://schemas.microsoft.com/office/drawing/2014/main" id="{48C7CE4E-8E4F-4847-997E-26CB89A18D3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18" name="Text Box 3">
          <a:extLst>
            <a:ext uri="{FF2B5EF4-FFF2-40B4-BE49-F238E27FC236}">
              <a16:creationId xmlns:a16="http://schemas.microsoft.com/office/drawing/2014/main" id="{AB77FF37-1F92-4F4E-99A0-A0E27DD35FF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19" name="Text Box 1">
          <a:extLst>
            <a:ext uri="{FF2B5EF4-FFF2-40B4-BE49-F238E27FC236}">
              <a16:creationId xmlns:a16="http://schemas.microsoft.com/office/drawing/2014/main" id="{247EBBF4-8AED-4BF7-BEC9-8186FBCEF7F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20" name="Text Box 3">
          <a:extLst>
            <a:ext uri="{FF2B5EF4-FFF2-40B4-BE49-F238E27FC236}">
              <a16:creationId xmlns:a16="http://schemas.microsoft.com/office/drawing/2014/main" id="{692AAC03-E7EB-4187-844A-84E3823487C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21" name="Text Box 1">
          <a:extLst>
            <a:ext uri="{FF2B5EF4-FFF2-40B4-BE49-F238E27FC236}">
              <a16:creationId xmlns:a16="http://schemas.microsoft.com/office/drawing/2014/main" id="{66E2F27F-69A0-4DA9-915D-F6AAEFDA1F7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22" name="Text Box 1">
          <a:extLst>
            <a:ext uri="{FF2B5EF4-FFF2-40B4-BE49-F238E27FC236}">
              <a16:creationId xmlns:a16="http://schemas.microsoft.com/office/drawing/2014/main" id="{3BFEF128-AF79-4B2E-BB25-AD2B55B8C7B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23" name="Text Box 3">
          <a:extLst>
            <a:ext uri="{FF2B5EF4-FFF2-40B4-BE49-F238E27FC236}">
              <a16:creationId xmlns:a16="http://schemas.microsoft.com/office/drawing/2014/main" id="{48A885C1-51D5-4F51-B4AF-643A31D0973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24" name="Text Box 1">
          <a:extLst>
            <a:ext uri="{FF2B5EF4-FFF2-40B4-BE49-F238E27FC236}">
              <a16:creationId xmlns:a16="http://schemas.microsoft.com/office/drawing/2014/main" id="{89FE9960-4CE3-435D-8400-42B02B0AD43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25" name="Text Box 3">
          <a:extLst>
            <a:ext uri="{FF2B5EF4-FFF2-40B4-BE49-F238E27FC236}">
              <a16:creationId xmlns:a16="http://schemas.microsoft.com/office/drawing/2014/main" id="{78107955-9C22-41A3-8C93-DCC5B3FBCDE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26" name="Text Box 1">
          <a:extLst>
            <a:ext uri="{FF2B5EF4-FFF2-40B4-BE49-F238E27FC236}">
              <a16:creationId xmlns:a16="http://schemas.microsoft.com/office/drawing/2014/main" id="{2FD4F1EC-6056-4144-8E17-D4E6EB01E05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27" name="Text Box 1">
          <a:extLst>
            <a:ext uri="{FF2B5EF4-FFF2-40B4-BE49-F238E27FC236}">
              <a16:creationId xmlns:a16="http://schemas.microsoft.com/office/drawing/2014/main" id="{FA026CD2-83C4-4F62-8CAF-D433EB07377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28" name="Text Box 3">
          <a:extLst>
            <a:ext uri="{FF2B5EF4-FFF2-40B4-BE49-F238E27FC236}">
              <a16:creationId xmlns:a16="http://schemas.microsoft.com/office/drawing/2014/main" id="{132AAA71-5289-4092-BD3D-155FA9176EF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29" name="Text Box 1">
          <a:extLst>
            <a:ext uri="{FF2B5EF4-FFF2-40B4-BE49-F238E27FC236}">
              <a16:creationId xmlns:a16="http://schemas.microsoft.com/office/drawing/2014/main" id="{8E62DA9D-6DCD-4639-9C0E-848B8829AB8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30" name="Text Box 3">
          <a:extLst>
            <a:ext uri="{FF2B5EF4-FFF2-40B4-BE49-F238E27FC236}">
              <a16:creationId xmlns:a16="http://schemas.microsoft.com/office/drawing/2014/main" id="{63D35E3E-034A-4375-8A49-F2289FED367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31" name="Text Box 1">
          <a:extLst>
            <a:ext uri="{FF2B5EF4-FFF2-40B4-BE49-F238E27FC236}">
              <a16:creationId xmlns:a16="http://schemas.microsoft.com/office/drawing/2014/main" id="{7DFC880C-4114-4F22-9603-485273B9C70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32" name="Text Box 1">
          <a:extLst>
            <a:ext uri="{FF2B5EF4-FFF2-40B4-BE49-F238E27FC236}">
              <a16:creationId xmlns:a16="http://schemas.microsoft.com/office/drawing/2014/main" id="{1338DB53-9DEC-4DFF-BE81-78DF5ABDCB8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33" name="Text Box 3">
          <a:extLst>
            <a:ext uri="{FF2B5EF4-FFF2-40B4-BE49-F238E27FC236}">
              <a16:creationId xmlns:a16="http://schemas.microsoft.com/office/drawing/2014/main" id="{D591A6ED-241C-4045-B88E-215821528E2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34" name="Text Box 1">
          <a:extLst>
            <a:ext uri="{FF2B5EF4-FFF2-40B4-BE49-F238E27FC236}">
              <a16:creationId xmlns:a16="http://schemas.microsoft.com/office/drawing/2014/main" id="{070F2927-399E-450D-8A89-79EE103D8C1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35" name="Text Box 3">
          <a:extLst>
            <a:ext uri="{FF2B5EF4-FFF2-40B4-BE49-F238E27FC236}">
              <a16:creationId xmlns:a16="http://schemas.microsoft.com/office/drawing/2014/main" id="{BA4539E2-2347-40AE-9893-AEAB3D6B190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36" name="Text Box 1">
          <a:extLst>
            <a:ext uri="{FF2B5EF4-FFF2-40B4-BE49-F238E27FC236}">
              <a16:creationId xmlns:a16="http://schemas.microsoft.com/office/drawing/2014/main" id="{0BF8DEB5-75F8-4E04-9038-493B312B667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37" name="Text Box 1">
          <a:extLst>
            <a:ext uri="{FF2B5EF4-FFF2-40B4-BE49-F238E27FC236}">
              <a16:creationId xmlns:a16="http://schemas.microsoft.com/office/drawing/2014/main" id="{6A18C7FF-94E6-42DA-9891-33DA5693E8A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38" name="Text Box 3">
          <a:extLst>
            <a:ext uri="{FF2B5EF4-FFF2-40B4-BE49-F238E27FC236}">
              <a16:creationId xmlns:a16="http://schemas.microsoft.com/office/drawing/2014/main" id="{6C13FB92-B4FA-44A8-AA83-F24D34295B7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39" name="Text Box 1">
          <a:extLst>
            <a:ext uri="{FF2B5EF4-FFF2-40B4-BE49-F238E27FC236}">
              <a16:creationId xmlns:a16="http://schemas.microsoft.com/office/drawing/2014/main" id="{DAB7A33D-A122-407B-8175-5140E5A2B22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40" name="Text Box 3">
          <a:extLst>
            <a:ext uri="{FF2B5EF4-FFF2-40B4-BE49-F238E27FC236}">
              <a16:creationId xmlns:a16="http://schemas.microsoft.com/office/drawing/2014/main" id="{A43BFD84-C720-4297-A0AB-F464F2E4F46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41" name="Text Box 1">
          <a:extLst>
            <a:ext uri="{FF2B5EF4-FFF2-40B4-BE49-F238E27FC236}">
              <a16:creationId xmlns:a16="http://schemas.microsoft.com/office/drawing/2014/main" id="{16321948-EFFE-41DE-A79F-5CF5D564E2C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42" name="Text Box 1">
          <a:extLst>
            <a:ext uri="{FF2B5EF4-FFF2-40B4-BE49-F238E27FC236}">
              <a16:creationId xmlns:a16="http://schemas.microsoft.com/office/drawing/2014/main" id="{E8613F17-606A-4D54-B49C-252CAD07D25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43" name="Text Box 3">
          <a:extLst>
            <a:ext uri="{FF2B5EF4-FFF2-40B4-BE49-F238E27FC236}">
              <a16:creationId xmlns:a16="http://schemas.microsoft.com/office/drawing/2014/main" id="{B4061B9C-CF81-4B8B-A743-26E9E9ECDD9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44" name="Text Box 1">
          <a:extLst>
            <a:ext uri="{FF2B5EF4-FFF2-40B4-BE49-F238E27FC236}">
              <a16:creationId xmlns:a16="http://schemas.microsoft.com/office/drawing/2014/main" id="{C293DFD9-5354-4132-959A-84354BDD451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45" name="Text Box 3">
          <a:extLst>
            <a:ext uri="{FF2B5EF4-FFF2-40B4-BE49-F238E27FC236}">
              <a16:creationId xmlns:a16="http://schemas.microsoft.com/office/drawing/2014/main" id="{52EEFADE-7907-48EE-A471-4F44F4CFA35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46" name="Text Box 1">
          <a:extLst>
            <a:ext uri="{FF2B5EF4-FFF2-40B4-BE49-F238E27FC236}">
              <a16:creationId xmlns:a16="http://schemas.microsoft.com/office/drawing/2014/main" id="{78EE185E-A7F1-4061-8A50-E90DD67EC20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47" name="Text Box 1">
          <a:extLst>
            <a:ext uri="{FF2B5EF4-FFF2-40B4-BE49-F238E27FC236}">
              <a16:creationId xmlns:a16="http://schemas.microsoft.com/office/drawing/2014/main" id="{80B48D04-75DD-4487-BA0D-7ABF7315AF5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48" name="Text Box 3">
          <a:extLst>
            <a:ext uri="{FF2B5EF4-FFF2-40B4-BE49-F238E27FC236}">
              <a16:creationId xmlns:a16="http://schemas.microsoft.com/office/drawing/2014/main" id="{E990756C-8D0A-43F6-8483-346F7090670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49" name="Text Box 1">
          <a:extLst>
            <a:ext uri="{FF2B5EF4-FFF2-40B4-BE49-F238E27FC236}">
              <a16:creationId xmlns:a16="http://schemas.microsoft.com/office/drawing/2014/main" id="{49B834D9-01FF-4C12-9673-201E37E71EC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50" name="Text Box 3">
          <a:extLst>
            <a:ext uri="{FF2B5EF4-FFF2-40B4-BE49-F238E27FC236}">
              <a16:creationId xmlns:a16="http://schemas.microsoft.com/office/drawing/2014/main" id="{06BD4194-D087-4A56-8F39-3FAD4E17944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51" name="Text Box 1">
          <a:extLst>
            <a:ext uri="{FF2B5EF4-FFF2-40B4-BE49-F238E27FC236}">
              <a16:creationId xmlns:a16="http://schemas.microsoft.com/office/drawing/2014/main" id="{659DB0D4-11B4-4E38-9DC8-2EC532D7256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52" name="Text Box 1">
          <a:extLst>
            <a:ext uri="{FF2B5EF4-FFF2-40B4-BE49-F238E27FC236}">
              <a16:creationId xmlns:a16="http://schemas.microsoft.com/office/drawing/2014/main" id="{F8023CB3-5946-4F18-A89E-6D2A3981F71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53" name="Text Box 3">
          <a:extLst>
            <a:ext uri="{FF2B5EF4-FFF2-40B4-BE49-F238E27FC236}">
              <a16:creationId xmlns:a16="http://schemas.microsoft.com/office/drawing/2014/main" id="{CA4B9AB4-7596-46C4-BD9B-F6E525111CC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54" name="Text Box 1">
          <a:extLst>
            <a:ext uri="{FF2B5EF4-FFF2-40B4-BE49-F238E27FC236}">
              <a16:creationId xmlns:a16="http://schemas.microsoft.com/office/drawing/2014/main" id="{B9216187-E265-4967-A740-93F9BBB2513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55" name="Text Box 3">
          <a:extLst>
            <a:ext uri="{FF2B5EF4-FFF2-40B4-BE49-F238E27FC236}">
              <a16:creationId xmlns:a16="http://schemas.microsoft.com/office/drawing/2014/main" id="{49DAD8F5-1914-4A55-A938-F635536DE38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56" name="Text Box 1">
          <a:extLst>
            <a:ext uri="{FF2B5EF4-FFF2-40B4-BE49-F238E27FC236}">
              <a16:creationId xmlns:a16="http://schemas.microsoft.com/office/drawing/2014/main" id="{58CFD86A-79B5-4D95-B43C-FAF40B81A5E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57" name="Text Box 1">
          <a:extLst>
            <a:ext uri="{FF2B5EF4-FFF2-40B4-BE49-F238E27FC236}">
              <a16:creationId xmlns:a16="http://schemas.microsoft.com/office/drawing/2014/main" id="{8F0213ED-5DFE-430E-BA52-33663A9794E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58" name="Text Box 3">
          <a:extLst>
            <a:ext uri="{FF2B5EF4-FFF2-40B4-BE49-F238E27FC236}">
              <a16:creationId xmlns:a16="http://schemas.microsoft.com/office/drawing/2014/main" id="{FFED34E4-DE12-4D8C-844E-ED76C57BC48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59" name="Text Box 1">
          <a:extLst>
            <a:ext uri="{FF2B5EF4-FFF2-40B4-BE49-F238E27FC236}">
              <a16:creationId xmlns:a16="http://schemas.microsoft.com/office/drawing/2014/main" id="{FF8F715E-277D-46B5-B1ED-01D489CEFD3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60" name="Text Box 3">
          <a:extLst>
            <a:ext uri="{FF2B5EF4-FFF2-40B4-BE49-F238E27FC236}">
              <a16:creationId xmlns:a16="http://schemas.microsoft.com/office/drawing/2014/main" id="{E575C90E-2C74-43C0-9F95-089D4199CBB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61" name="Text Box 1">
          <a:extLst>
            <a:ext uri="{FF2B5EF4-FFF2-40B4-BE49-F238E27FC236}">
              <a16:creationId xmlns:a16="http://schemas.microsoft.com/office/drawing/2014/main" id="{2725939A-643F-47E9-B259-5236279FD3B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62" name="Text Box 1">
          <a:extLst>
            <a:ext uri="{FF2B5EF4-FFF2-40B4-BE49-F238E27FC236}">
              <a16:creationId xmlns:a16="http://schemas.microsoft.com/office/drawing/2014/main" id="{84B39870-9ECB-48C4-8C8A-853C5BB1021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63" name="Text Box 3">
          <a:extLst>
            <a:ext uri="{FF2B5EF4-FFF2-40B4-BE49-F238E27FC236}">
              <a16:creationId xmlns:a16="http://schemas.microsoft.com/office/drawing/2014/main" id="{9CE931DF-F232-40F6-B28F-D3197F5DFF2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64" name="Text Box 1">
          <a:extLst>
            <a:ext uri="{FF2B5EF4-FFF2-40B4-BE49-F238E27FC236}">
              <a16:creationId xmlns:a16="http://schemas.microsoft.com/office/drawing/2014/main" id="{F7AD1061-4A09-4193-A9EA-75183368704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65" name="Text Box 3">
          <a:extLst>
            <a:ext uri="{FF2B5EF4-FFF2-40B4-BE49-F238E27FC236}">
              <a16:creationId xmlns:a16="http://schemas.microsoft.com/office/drawing/2014/main" id="{ABA337F5-B656-49EB-A8AD-7985487316F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66" name="Text Box 1">
          <a:extLst>
            <a:ext uri="{FF2B5EF4-FFF2-40B4-BE49-F238E27FC236}">
              <a16:creationId xmlns:a16="http://schemas.microsoft.com/office/drawing/2014/main" id="{28C8AB7C-A706-4610-A7C3-473F5D13621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67" name="Text Box 1">
          <a:extLst>
            <a:ext uri="{FF2B5EF4-FFF2-40B4-BE49-F238E27FC236}">
              <a16:creationId xmlns:a16="http://schemas.microsoft.com/office/drawing/2014/main" id="{A516F15B-F8BC-4894-9613-DF5B2BFFC59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68" name="Text Box 3">
          <a:extLst>
            <a:ext uri="{FF2B5EF4-FFF2-40B4-BE49-F238E27FC236}">
              <a16:creationId xmlns:a16="http://schemas.microsoft.com/office/drawing/2014/main" id="{C79F3980-9A72-4158-92E6-6331D8AAB18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69" name="Text Box 1">
          <a:extLst>
            <a:ext uri="{FF2B5EF4-FFF2-40B4-BE49-F238E27FC236}">
              <a16:creationId xmlns:a16="http://schemas.microsoft.com/office/drawing/2014/main" id="{E5C068AD-1878-4D6F-A157-EA9841356C3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70" name="Text Box 3">
          <a:extLst>
            <a:ext uri="{FF2B5EF4-FFF2-40B4-BE49-F238E27FC236}">
              <a16:creationId xmlns:a16="http://schemas.microsoft.com/office/drawing/2014/main" id="{EA7474D1-B996-46B4-A472-7122F4FB17A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71" name="Text Box 1">
          <a:extLst>
            <a:ext uri="{FF2B5EF4-FFF2-40B4-BE49-F238E27FC236}">
              <a16:creationId xmlns:a16="http://schemas.microsoft.com/office/drawing/2014/main" id="{7A3DB847-5E72-4290-B632-C02189A821D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72" name="Text Box 1">
          <a:extLst>
            <a:ext uri="{FF2B5EF4-FFF2-40B4-BE49-F238E27FC236}">
              <a16:creationId xmlns:a16="http://schemas.microsoft.com/office/drawing/2014/main" id="{2A0184BD-8607-40F2-8364-199A8677A07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73" name="Text Box 3">
          <a:extLst>
            <a:ext uri="{FF2B5EF4-FFF2-40B4-BE49-F238E27FC236}">
              <a16:creationId xmlns:a16="http://schemas.microsoft.com/office/drawing/2014/main" id="{F215B201-9068-4DA8-9B35-51A7228EA1C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74" name="Text Box 1">
          <a:extLst>
            <a:ext uri="{FF2B5EF4-FFF2-40B4-BE49-F238E27FC236}">
              <a16:creationId xmlns:a16="http://schemas.microsoft.com/office/drawing/2014/main" id="{E0CB7163-D02C-4789-B6B4-0F964A2934B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75" name="Text Box 3">
          <a:extLst>
            <a:ext uri="{FF2B5EF4-FFF2-40B4-BE49-F238E27FC236}">
              <a16:creationId xmlns:a16="http://schemas.microsoft.com/office/drawing/2014/main" id="{52752166-3910-4137-9F2F-65B125B14CD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76" name="Text Box 1">
          <a:extLst>
            <a:ext uri="{FF2B5EF4-FFF2-40B4-BE49-F238E27FC236}">
              <a16:creationId xmlns:a16="http://schemas.microsoft.com/office/drawing/2014/main" id="{BDF543E7-E7C2-4FD3-B81E-DF5B5453C72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77" name="Text Box 1">
          <a:extLst>
            <a:ext uri="{FF2B5EF4-FFF2-40B4-BE49-F238E27FC236}">
              <a16:creationId xmlns:a16="http://schemas.microsoft.com/office/drawing/2014/main" id="{F67A185B-F413-487F-A380-427EF508E43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78" name="Text Box 3">
          <a:extLst>
            <a:ext uri="{FF2B5EF4-FFF2-40B4-BE49-F238E27FC236}">
              <a16:creationId xmlns:a16="http://schemas.microsoft.com/office/drawing/2014/main" id="{36899101-D5F7-48DE-B2D6-52A566EB72A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79" name="Text Box 1">
          <a:extLst>
            <a:ext uri="{FF2B5EF4-FFF2-40B4-BE49-F238E27FC236}">
              <a16:creationId xmlns:a16="http://schemas.microsoft.com/office/drawing/2014/main" id="{6FDEE4B0-1B55-4739-BC60-694000AB15C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80" name="Text Box 3">
          <a:extLst>
            <a:ext uri="{FF2B5EF4-FFF2-40B4-BE49-F238E27FC236}">
              <a16:creationId xmlns:a16="http://schemas.microsoft.com/office/drawing/2014/main" id="{CA3BE1E7-B859-4B5B-B651-0F309B32A79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81" name="Text Box 1">
          <a:extLst>
            <a:ext uri="{FF2B5EF4-FFF2-40B4-BE49-F238E27FC236}">
              <a16:creationId xmlns:a16="http://schemas.microsoft.com/office/drawing/2014/main" id="{CC3CE7DE-5C5A-4A1C-8018-3D7EE23993C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82" name="Text Box 1">
          <a:extLst>
            <a:ext uri="{FF2B5EF4-FFF2-40B4-BE49-F238E27FC236}">
              <a16:creationId xmlns:a16="http://schemas.microsoft.com/office/drawing/2014/main" id="{89F719C1-F138-41E6-B5D7-87E2FA391B9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83" name="Text Box 3">
          <a:extLst>
            <a:ext uri="{FF2B5EF4-FFF2-40B4-BE49-F238E27FC236}">
              <a16:creationId xmlns:a16="http://schemas.microsoft.com/office/drawing/2014/main" id="{74BC8C11-E0AE-44C5-B36D-22A25BAAD06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84" name="Text Box 1">
          <a:extLst>
            <a:ext uri="{FF2B5EF4-FFF2-40B4-BE49-F238E27FC236}">
              <a16:creationId xmlns:a16="http://schemas.microsoft.com/office/drawing/2014/main" id="{7648F9D7-6154-4E83-9F19-38F1002D745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85" name="Text Box 3">
          <a:extLst>
            <a:ext uri="{FF2B5EF4-FFF2-40B4-BE49-F238E27FC236}">
              <a16:creationId xmlns:a16="http://schemas.microsoft.com/office/drawing/2014/main" id="{773AAB12-68C5-4252-A95A-090BDB3EF83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86" name="Text Box 1">
          <a:extLst>
            <a:ext uri="{FF2B5EF4-FFF2-40B4-BE49-F238E27FC236}">
              <a16:creationId xmlns:a16="http://schemas.microsoft.com/office/drawing/2014/main" id="{DC1DEAEC-FA09-41DF-B4A0-0D7E3E78ACB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87" name="Text Box 1">
          <a:extLst>
            <a:ext uri="{FF2B5EF4-FFF2-40B4-BE49-F238E27FC236}">
              <a16:creationId xmlns:a16="http://schemas.microsoft.com/office/drawing/2014/main" id="{7A4BA6D6-F2B2-4E2B-AF89-F1A455220B8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88" name="Text Box 3">
          <a:extLst>
            <a:ext uri="{FF2B5EF4-FFF2-40B4-BE49-F238E27FC236}">
              <a16:creationId xmlns:a16="http://schemas.microsoft.com/office/drawing/2014/main" id="{52C3D4DD-BC6E-4F8D-8032-9394A6A9F40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89" name="Text Box 1">
          <a:extLst>
            <a:ext uri="{FF2B5EF4-FFF2-40B4-BE49-F238E27FC236}">
              <a16:creationId xmlns:a16="http://schemas.microsoft.com/office/drawing/2014/main" id="{05A405E1-3905-4194-A256-CDA5C4AA868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90" name="Text Box 3">
          <a:extLst>
            <a:ext uri="{FF2B5EF4-FFF2-40B4-BE49-F238E27FC236}">
              <a16:creationId xmlns:a16="http://schemas.microsoft.com/office/drawing/2014/main" id="{BECCF082-024A-4041-98CD-66AD97285B4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91" name="Text Box 1">
          <a:extLst>
            <a:ext uri="{FF2B5EF4-FFF2-40B4-BE49-F238E27FC236}">
              <a16:creationId xmlns:a16="http://schemas.microsoft.com/office/drawing/2014/main" id="{ED5FA23E-CA00-4825-BA58-22FA6A988B3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92" name="Text Box 1">
          <a:extLst>
            <a:ext uri="{FF2B5EF4-FFF2-40B4-BE49-F238E27FC236}">
              <a16:creationId xmlns:a16="http://schemas.microsoft.com/office/drawing/2014/main" id="{94DBD934-0DF5-4C48-9CB1-DCC84C43A07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93" name="Text Box 3">
          <a:extLst>
            <a:ext uri="{FF2B5EF4-FFF2-40B4-BE49-F238E27FC236}">
              <a16:creationId xmlns:a16="http://schemas.microsoft.com/office/drawing/2014/main" id="{50AB3476-4ED1-4162-947A-6016D99813A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94" name="Text Box 1">
          <a:extLst>
            <a:ext uri="{FF2B5EF4-FFF2-40B4-BE49-F238E27FC236}">
              <a16:creationId xmlns:a16="http://schemas.microsoft.com/office/drawing/2014/main" id="{6A114861-F070-49B3-A1EB-BB88B693C5F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95" name="Text Box 3">
          <a:extLst>
            <a:ext uri="{FF2B5EF4-FFF2-40B4-BE49-F238E27FC236}">
              <a16:creationId xmlns:a16="http://schemas.microsoft.com/office/drawing/2014/main" id="{E2683B08-EA2F-4A19-ABB4-4307ACD2065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96" name="Text Box 1">
          <a:extLst>
            <a:ext uri="{FF2B5EF4-FFF2-40B4-BE49-F238E27FC236}">
              <a16:creationId xmlns:a16="http://schemas.microsoft.com/office/drawing/2014/main" id="{8780A1A1-3B41-4940-A2A2-C024900A292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97" name="Text Box 1">
          <a:extLst>
            <a:ext uri="{FF2B5EF4-FFF2-40B4-BE49-F238E27FC236}">
              <a16:creationId xmlns:a16="http://schemas.microsoft.com/office/drawing/2014/main" id="{E6964EC7-C581-4636-920F-569C65214B9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98" name="Text Box 3">
          <a:extLst>
            <a:ext uri="{FF2B5EF4-FFF2-40B4-BE49-F238E27FC236}">
              <a16:creationId xmlns:a16="http://schemas.microsoft.com/office/drawing/2014/main" id="{CD405059-3586-4936-B3E8-3295207BF36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99" name="Text Box 1">
          <a:extLst>
            <a:ext uri="{FF2B5EF4-FFF2-40B4-BE49-F238E27FC236}">
              <a16:creationId xmlns:a16="http://schemas.microsoft.com/office/drawing/2014/main" id="{F6096CA1-BCFF-4830-A6A6-A60F6CB50E7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00" name="Text Box 3">
          <a:extLst>
            <a:ext uri="{FF2B5EF4-FFF2-40B4-BE49-F238E27FC236}">
              <a16:creationId xmlns:a16="http://schemas.microsoft.com/office/drawing/2014/main" id="{C0D7A09F-120B-4862-BB3F-2FF5E8A0EEC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01" name="Text Box 1">
          <a:extLst>
            <a:ext uri="{FF2B5EF4-FFF2-40B4-BE49-F238E27FC236}">
              <a16:creationId xmlns:a16="http://schemas.microsoft.com/office/drawing/2014/main" id="{F76E5DE8-5515-4CF0-80F6-36977B28B7F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02" name="Text Box 1">
          <a:extLst>
            <a:ext uri="{FF2B5EF4-FFF2-40B4-BE49-F238E27FC236}">
              <a16:creationId xmlns:a16="http://schemas.microsoft.com/office/drawing/2014/main" id="{8C6DC5D2-2153-4BBA-8B03-B2F8AA16B7B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03" name="Text Box 3">
          <a:extLst>
            <a:ext uri="{FF2B5EF4-FFF2-40B4-BE49-F238E27FC236}">
              <a16:creationId xmlns:a16="http://schemas.microsoft.com/office/drawing/2014/main" id="{E5319932-0E3A-40FB-AEE0-EF1EB230A3B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04" name="Text Box 1">
          <a:extLst>
            <a:ext uri="{FF2B5EF4-FFF2-40B4-BE49-F238E27FC236}">
              <a16:creationId xmlns:a16="http://schemas.microsoft.com/office/drawing/2014/main" id="{BBBF26A7-5E06-459E-9DC7-DE5B3EDA7B8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05" name="Text Box 3">
          <a:extLst>
            <a:ext uri="{FF2B5EF4-FFF2-40B4-BE49-F238E27FC236}">
              <a16:creationId xmlns:a16="http://schemas.microsoft.com/office/drawing/2014/main" id="{68C12EEF-B87D-495D-B745-3FDEA306ECD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06" name="Text Box 1">
          <a:extLst>
            <a:ext uri="{FF2B5EF4-FFF2-40B4-BE49-F238E27FC236}">
              <a16:creationId xmlns:a16="http://schemas.microsoft.com/office/drawing/2014/main" id="{989C9CCF-4A35-4B06-AC88-9A78AC8F0F9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07" name="Text Box 1">
          <a:extLst>
            <a:ext uri="{FF2B5EF4-FFF2-40B4-BE49-F238E27FC236}">
              <a16:creationId xmlns:a16="http://schemas.microsoft.com/office/drawing/2014/main" id="{4304F878-9856-4D2A-A1C5-A42BF01B182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08" name="Text Box 3">
          <a:extLst>
            <a:ext uri="{FF2B5EF4-FFF2-40B4-BE49-F238E27FC236}">
              <a16:creationId xmlns:a16="http://schemas.microsoft.com/office/drawing/2014/main" id="{6D5C23D3-5BE4-4098-9340-C2676AFEFDF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09" name="Text Box 1">
          <a:extLst>
            <a:ext uri="{FF2B5EF4-FFF2-40B4-BE49-F238E27FC236}">
              <a16:creationId xmlns:a16="http://schemas.microsoft.com/office/drawing/2014/main" id="{5C8DF98F-B260-4966-8413-6FF50A47B3F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10" name="Text Box 3">
          <a:extLst>
            <a:ext uri="{FF2B5EF4-FFF2-40B4-BE49-F238E27FC236}">
              <a16:creationId xmlns:a16="http://schemas.microsoft.com/office/drawing/2014/main" id="{15CA219F-9CD7-43AC-949C-C522E808570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11" name="Text Box 1">
          <a:extLst>
            <a:ext uri="{FF2B5EF4-FFF2-40B4-BE49-F238E27FC236}">
              <a16:creationId xmlns:a16="http://schemas.microsoft.com/office/drawing/2014/main" id="{3373F2B2-0F40-4367-B63A-A80B4900F70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12" name="Text Box 1">
          <a:extLst>
            <a:ext uri="{FF2B5EF4-FFF2-40B4-BE49-F238E27FC236}">
              <a16:creationId xmlns:a16="http://schemas.microsoft.com/office/drawing/2014/main" id="{AE78A697-120D-420A-B522-E55AFF8C0AD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13" name="Text Box 3">
          <a:extLst>
            <a:ext uri="{FF2B5EF4-FFF2-40B4-BE49-F238E27FC236}">
              <a16:creationId xmlns:a16="http://schemas.microsoft.com/office/drawing/2014/main" id="{5661DCB7-CE9D-4DD2-8037-C1660545AC8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14" name="Text Box 1">
          <a:extLst>
            <a:ext uri="{FF2B5EF4-FFF2-40B4-BE49-F238E27FC236}">
              <a16:creationId xmlns:a16="http://schemas.microsoft.com/office/drawing/2014/main" id="{B8922EB2-5F69-412E-AF05-68A98F03D9A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15" name="Text Box 3">
          <a:extLst>
            <a:ext uri="{FF2B5EF4-FFF2-40B4-BE49-F238E27FC236}">
              <a16:creationId xmlns:a16="http://schemas.microsoft.com/office/drawing/2014/main" id="{E81404BF-9F45-4FF5-AA0C-21138B85AED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16" name="Text Box 1">
          <a:extLst>
            <a:ext uri="{FF2B5EF4-FFF2-40B4-BE49-F238E27FC236}">
              <a16:creationId xmlns:a16="http://schemas.microsoft.com/office/drawing/2014/main" id="{551DC3D1-8EED-4290-9EC7-C6ABCFD60FF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17" name="Text Box 1">
          <a:extLst>
            <a:ext uri="{FF2B5EF4-FFF2-40B4-BE49-F238E27FC236}">
              <a16:creationId xmlns:a16="http://schemas.microsoft.com/office/drawing/2014/main" id="{8A0551D5-8DB7-423E-9B0F-138A06461CF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18" name="Text Box 3">
          <a:extLst>
            <a:ext uri="{FF2B5EF4-FFF2-40B4-BE49-F238E27FC236}">
              <a16:creationId xmlns:a16="http://schemas.microsoft.com/office/drawing/2014/main" id="{08FB8F05-6CBA-4577-9851-6988624F8D7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19" name="Text Box 1">
          <a:extLst>
            <a:ext uri="{FF2B5EF4-FFF2-40B4-BE49-F238E27FC236}">
              <a16:creationId xmlns:a16="http://schemas.microsoft.com/office/drawing/2014/main" id="{D14B2040-04FB-455F-B484-49209666C03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20" name="Text Box 3">
          <a:extLst>
            <a:ext uri="{FF2B5EF4-FFF2-40B4-BE49-F238E27FC236}">
              <a16:creationId xmlns:a16="http://schemas.microsoft.com/office/drawing/2014/main" id="{7E03C2F5-2E0B-4734-9D1B-B36C0AF9C5A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21" name="Text Box 1">
          <a:extLst>
            <a:ext uri="{FF2B5EF4-FFF2-40B4-BE49-F238E27FC236}">
              <a16:creationId xmlns:a16="http://schemas.microsoft.com/office/drawing/2014/main" id="{19624464-EEBC-4D92-9660-F4A7408DA15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22" name="Text Box 1">
          <a:extLst>
            <a:ext uri="{FF2B5EF4-FFF2-40B4-BE49-F238E27FC236}">
              <a16:creationId xmlns:a16="http://schemas.microsoft.com/office/drawing/2014/main" id="{D95A152F-1543-465E-9D31-531D8162C9C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23" name="Text Box 3">
          <a:extLst>
            <a:ext uri="{FF2B5EF4-FFF2-40B4-BE49-F238E27FC236}">
              <a16:creationId xmlns:a16="http://schemas.microsoft.com/office/drawing/2014/main" id="{223D3DF5-8D38-4CF0-99A6-0C66638E1C4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24" name="Text Box 1">
          <a:extLst>
            <a:ext uri="{FF2B5EF4-FFF2-40B4-BE49-F238E27FC236}">
              <a16:creationId xmlns:a16="http://schemas.microsoft.com/office/drawing/2014/main" id="{9F626B39-20A8-48FF-8F0E-1E6216E8E6E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25" name="Text Box 3">
          <a:extLst>
            <a:ext uri="{FF2B5EF4-FFF2-40B4-BE49-F238E27FC236}">
              <a16:creationId xmlns:a16="http://schemas.microsoft.com/office/drawing/2014/main" id="{D235DBDE-4D9C-4820-8125-18604DF32AC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26" name="Text Box 1">
          <a:extLst>
            <a:ext uri="{FF2B5EF4-FFF2-40B4-BE49-F238E27FC236}">
              <a16:creationId xmlns:a16="http://schemas.microsoft.com/office/drawing/2014/main" id="{5344F3AD-CFD3-44B8-A413-17B8D96BA7E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27" name="Text Box 1">
          <a:extLst>
            <a:ext uri="{FF2B5EF4-FFF2-40B4-BE49-F238E27FC236}">
              <a16:creationId xmlns:a16="http://schemas.microsoft.com/office/drawing/2014/main" id="{6CF4DE7E-3461-4D98-BA88-83DAB5B5550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28" name="Text Box 3">
          <a:extLst>
            <a:ext uri="{FF2B5EF4-FFF2-40B4-BE49-F238E27FC236}">
              <a16:creationId xmlns:a16="http://schemas.microsoft.com/office/drawing/2014/main" id="{759F0441-C72F-449A-97D8-7B6C7CD51A9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29" name="Text Box 1">
          <a:extLst>
            <a:ext uri="{FF2B5EF4-FFF2-40B4-BE49-F238E27FC236}">
              <a16:creationId xmlns:a16="http://schemas.microsoft.com/office/drawing/2014/main" id="{64A8EF47-1A53-45E1-A579-6D50035DD39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30" name="Text Box 3">
          <a:extLst>
            <a:ext uri="{FF2B5EF4-FFF2-40B4-BE49-F238E27FC236}">
              <a16:creationId xmlns:a16="http://schemas.microsoft.com/office/drawing/2014/main" id="{AE244934-A081-455E-8A12-163B414B4E0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31" name="Text Box 1">
          <a:extLst>
            <a:ext uri="{FF2B5EF4-FFF2-40B4-BE49-F238E27FC236}">
              <a16:creationId xmlns:a16="http://schemas.microsoft.com/office/drawing/2014/main" id="{F9AA29AF-ECEF-46D5-89C8-940CF448D01F}"/>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32" name="Text Box 3">
          <a:extLst>
            <a:ext uri="{FF2B5EF4-FFF2-40B4-BE49-F238E27FC236}">
              <a16:creationId xmlns:a16="http://schemas.microsoft.com/office/drawing/2014/main" id="{A16F78D8-3F1E-4EA9-A912-6F5FDBEDA26E}"/>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33" name="Text Box 1">
          <a:extLst>
            <a:ext uri="{FF2B5EF4-FFF2-40B4-BE49-F238E27FC236}">
              <a16:creationId xmlns:a16="http://schemas.microsoft.com/office/drawing/2014/main" id="{7958E7DF-B74D-4FC8-84AB-400001FF5F53}"/>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34" name="Text Box 3">
          <a:extLst>
            <a:ext uri="{FF2B5EF4-FFF2-40B4-BE49-F238E27FC236}">
              <a16:creationId xmlns:a16="http://schemas.microsoft.com/office/drawing/2014/main" id="{90C627D1-3101-4C09-8601-F784C3E6F6C1}"/>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35" name="Text Box 1">
          <a:extLst>
            <a:ext uri="{FF2B5EF4-FFF2-40B4-BE49-F238E27FC236}">
              <a16:creationId xmlns:a16="http://schemas.microsoft.com/office/drawing/2014/main" id="{4A7F6DA9-B438-4FA0-BE76-B3E466A3B542}"/>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36" name="Text Box 1">
          <a:extLst>
            <a:ext uri="{FF2B5EF4-FFF2-40B4-BE49-F238E27FC236}">
              <a16:creationId xmlns:a16="http://schemas.microsoft.com/office/drawing/2014/main" id="{111F5BDA-8DBB-423C-B089-068A68DE4FB9}"/>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37" name="Text Box 3">
          <a:extLst>
            <a:ext uri="{FF2B5EF4-FFF2-40B4-BE49-F238E27FC236}">
              <a16:creationId xmlns:a16="http://schemas.microsoft.com/office/drawing/2014/main" id="{C647325F-12E3-413A-A6DE-67C0B94A5DA9}"/>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38" name="Text Box 1">
          <a:extLst>
            <a:ext uri="{FF2B5EF4-FFF2-40B4-BE49-F238E27FC236}">
              <a16:creationId xmlns:a16="http://schemas.microsoft.com/office/drawing/2014/main" id="{2844FCB4-F621-4800-A8D0-ABA7BA870D07}"/>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39" name="Text Box 3">
          <a:extLst>
            <a:ext uri="{FF2B5EF4-FFF2-40B4-BE49-F238E27FC236}">
              <a16:creationId xmlns:a16="http://schemas.microsoft.com/office/drawing/2014/main" id="{0A5F40E3-E311-4099-AD67-F81E44A74BE7}"/>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40" name="Text Box 1">
          <a:extLst>
            <a:ext uri="{FF2B5EF4-FFF2-40B4-BE49-F238E27FC236}">
              <a16:creationId xmlns:a16="http://schemas.microsoft.com/office/drawing/2014/main" id="{0CC60748-E93B-4495-BED1-88C88167AA12}"/>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41" name="Text Box 1">
          <a:extLst>
            <a:ext uri="{FF2B5EF4-FFF2-40B4-BE49-F238E27FC236}">
              <a16:creationId xmlns:a16="http://schemas.microsoft.com/office/drawing/2014/main" id="{EDEDF538-01D8-4B93-9591-FEC7DB97879B}"/>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42" name="Text Box 3">
          <a:extLst>
            <a:ext uri="{FF2B5EF4-FFF2-40B4-BE49-F238E27FC236}">
              <a16:creationId xmlns:a16="http://schemas.microsoft.com/office/drawing/2014/main" id="{9D949977-4594-4363-A85C-E560938AEE53}"/>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43" name="Text Box 1">
          <a:extLst>
            <a:ext uri="{FF2B5EF4-FFF2-40B4-BE49-F238E27FC236}">
              <a16:creationId xmlns:a16="http://schemas.microsoft.com/office/drawing/2014/main" id="{255E93AA-409B-41B5-A9C2-07D39E7EF3CA}"/>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44" name="Text Box 1">
          <a:extLst>
            <a:ext uri="{FF2B5EF4-FFF2-40B4-BE49-F238E27FC236}">
              <a16:creationId xmlns:a16="http://schemas.microsoft.com/office/drawing/2014/main" id="{CEFDB391-C323-4ED8-A791-134CBC4799A8}"/>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45" name="Text Box 3">
          <a:extLst>
            <a:ext uri="{FF2B5EF4-FFF2-40B4-BE49-F238E27FC236}">
              <a16:creationId xmlns:a16="http://schemas.microsoft.com/office/drawing/2014/main" id="{E3C6409F-905E-40EE-BC67-0FBD233EEE9A}"/>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46" name="Text Box 1">
          <a:extLst>
            <a:ext uri="{FF2B5EF4-FFF2-40B4-BE49-F238E27FC236}">
              <a16:creationId xmlns:a16="http://schemas.microsoft.com/office/drawing/2014/main" id="{2F25DE19-D9A6-4D74-8E72-EA56F2D4E72E}"/>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47" name="Text Box 3">
          <a:extLst>
            <a:ext uri="{FF2B5EF4-FFF2-40B4-BE49-F238E27FC236}">
              <a16:creationId xmlns:a16="http://schemas.microsoft.com/office/drawing/2014/main" id="{A22E9C79-06C4-4067-AA8F-140608EAC153}"/>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48" name="Text Box 1">
          <a:extLst>
            <a:ext uri="{FF2B5EF4-FFF2-40B4-BE49-F238E27FC236}">
              <a16:creationId xmlns:a16="http://schemas.microsoft.com/office/drawing/2014/main" id="{672290F6-794B-4557-966F-7CD7AB4A68F8}"/>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49" name="Text Box 1">
          <a:extLst>
            <a:ext uri="{FF2B5EF4-FFF2-40B4-BE49-F238E27FC236}">
              <a16:creationId xmlns:a16="http://schemas.microsoft.com/office/drawing/2014/main" id="{C520DD32-19F4-409B-A4E9-F9B133014263}"/>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50" name="Text Box 3">
          <a:extLst>
            <a:ext uri="{FF2B5EF4-FFF2-40B4-BE49-F238E27FC236}">
              <a16:creationId xmlns:a16="http://schemas.microsoft.com/office/drawing/2014/main" id="{7AAB3864-AEFF-4115-BDB9-2923D7A28671}"/>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51" name="Text Box 1">
          <a:extLst>
            <a:ext uri="{FF2B5EF4-FFF2-40B4-BE49-F238E27FC236}">
              <a16:creationId xmlns:a16="http://schemas.microsoft.com/office/drawing/2014/main" id="{701634BA-3A85-43EA-821F-CE07C1A9677B}"/>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52" name="Text Box 3">
          <a:extLst>
            <a:ext uri="{FF2B5EF4-FFF2-40B4-BE49-F238E27FC236}">
              <a16:creationId xmlns:a16="http://schemas.microsoft.com/office/drawing/2014/main" id="{70CB5E5E-0546-4EF1-82CD-8808666785C3}"/>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53" name="Text Box 1">
          <a:extLst>
            <a:ext uri="{FF2B5EF4-FFF2-40B4-BE49-F238E27FC236}">
              <a16:creationId xmlns:a16="http://schemas.microsoft.com/office/drawing/2014/main" id="{7CDFF0E1-0C05-4CDD-B05C-D9EC05A27FF1}"/>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54" name="Text Box 1">
          <a:extLst>
            <a:ext uri="{FF2B5EF4-FFF2-40B4-BE49-F238E27FC236}">
              <a16:creationId xmlns:a16="http://schemas.microsoft.com/office/drawing/2014/main" id="{BD46099D-5878-448D-B52A-EDF8BF42D158}"/>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55" name="Text Box 3">
          <a:extLst>
            <a:ext uri="{FF2B5EF4-FFF2-40B4-BE49-F238E27FC236}">
              <a16:creationId xmlns:a16="http://schemas.microsoft.com/office/drawing/2014/main" id="{B6D22950-AE5F-45E8-B662-0E1EC4D1EEFA}"/>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56" name="Text Box 3">
          <a:extLst>
            <a:ext uri="{FF2B5EF4-FFF2-40B4-BE49-F238E27FC236}">
              <a16:creationId xmlns:a16="http://schemas.microsoft.com/office/drawing/2014/main" id="{1A67C9D0-C651-4E10-AC94-FEB2AEFF700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57" name="Text Box 1">
          <a:extLst>
            <a:ext uri="{FF2B5EF4-FFF2-40B4-BE49-F238E27FC236}">
              <a16:creationId xmlns:a16="http://schemas.microsoft.com/office/drawing/2014/main" id="{BE226737-7F62-40AA-B4AD-0D3BBEEF193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58" name="Text Box 3">
          <a:extLst>
            <a:ext uri="{FF2B5EF4-FFF2-40B4-BE49-F238E27FC236}">
              <a16:creationId xmlns:a16="http://schemas.microsoft.com/office/drawing/2014/main" id="{B145659C-AEB2-4FF8-98B6-51F7BDD6529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59" name="Text Box 1">
          <a:extLst>
            <a:ext uri="{FF2B5EF4-FFF2-40B4-BE49-F238E27FC236}">
              <a16:creationId xmlns:a16="http://schemas.microsoft.com/office/drawing/2014/main" id="{08EAFA32-68C2-412A-9CFD-FAE11FAE0CE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60" name="Text Box 1">
          <a:extLst>
            <a:ext uri="{FF2B5EF4-FFF2-40B4-BE49-F238E27FC236}">
              <a16:creationId xmlns:a16="http://schemas.microsoft.com/office/drawing/2014/main" id="{A119FD11-7C69-4EAB-92C5-12B2457995C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61" name="Text Box 3">
          <a:extLst>
            <a:ext uri="{FF2B5EF4-FFF2-40B4-BE49-F238E27FC236}">
              <a16:creationId xmlns:a16="http://schemas.microsoft.com/office/drawing/2014/main" id="{D911CE44-DA3F-452F-B32E-39EA5D0A12A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62" name="Text Box 1">
          <a:extLst>
            <a:ext uri="{FF2B5EF4-FFF2-40B4-BE49-F238E27FC236}">
              <a16:creationId xmlns:a16="http://schemas.microsoft.com/office/drawing/2014/main" id="{A067EBCE-49F4-47E5-9ECA-75297DB86E3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63" name="Text Box 3">
          <a:extLst>
            <a:ext uri="{FF2B5EF4-FFF2-40B4-BE49-F238E27FC236}">
              <a16:creationId xmlns:a16="http://schemas.microsoft.com/office/drawing/2014/main" id="{223F32DA-3650-415A-A98D-BC3408C1F08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64" name="Text Box 1">
          <a:extLst>
            <a:ext uri="{FF2B5EF4-FFF2-40B4-BE49-F238E27FC236}">
              <a16:creationId xmlns:a16="http://schemas.microsoft.com/office/drawing/2014/main" id="{660D8C1C-A511-47E7-8216-EED7C7E5B60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65" name="Text Box 1">
          <a:extLst>
            <a:ext uri="{FF2B5EF4-FFF2-40B4-BE49-F238E27FC236}">
              <a16:creationId xmlns:a16="http://schemas.microsoft.com/office/drawing/2014/main" id="{6081A1E2-CE38-4D3C-B095-23CF7BD703A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66" name="Text Box 3">
          <a:extLst>
            <a:ext uri="{FF2B5EF4-FFF2-40B4-BE49-F238E27FC236}">
              <a16:creationId xmlns:a16="http://schemas.microsoft.com/office/drawing/2014/main" id="{4F2ECEDA-A9A7-433B-8B95-0995B016AFB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67" name="Text Box 1">
          <a:extLst>
            <a:ext uri="{FF2B5EF4-FFF2-40B4-BE49-F238E27FC236}">
              <a16:creationId xmlns:a16="http://schemas.microsoft.com/office/drawing/2014/main" id="{352C78DB-E587-4C3F-941E-A15807431CE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68" name="Text Box 1">
          <a:extLst>
            <a:ext uri="{FF2B5EF4-FFF2-40B4-BE49-F238E27FC236}">
              <a16:creationId xmlns:a16="http://schemas.microsoft.com/office/drawing/2014/main" id="{7C7998A0-BE63-4D02-9554-6DA4555A7C2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69" name="Text Box 3">
          <a:extLst>
            <a:ext uri="{FF2B5EF4-FFF2-40B4-BE49-F238E27FC236}">
              <a16:creationId xmlns:a16="http://schemas.microsoft.com/office/drawing/2014/main" id="{60CFB7FB-484C-4F94-935C-6E723322EEC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70" name="Text Box 1">
          <a:extLst>
            <a:ext uri="{FF2B5EF4-FFF2-40B4-BE49-F238E27FC236}">
              <a16:creationId xmlns:a16="http://schemas.microsoft.com/office/drawing/2014/main" id="{84FFCBCF-4356-4876-AB18-2CD160497CD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71" name="Text Box 3">
          <a:extLst>
            <a:ext uri="{FF2B5EF4-FFF2-40B4-BE49-F238E27FC236}">
              <a16:creationId xmlns:a16="http://schemas.microsoft.com/office/drawing/2014/main" id="{BC7A37B4-4B87-4934-9AAE-C9DAB5CACD8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72" name="Text Box 1">
          <a:extLst>
            <a:ext uri="{FF2B5EF4-FFF2-40B4-BE49-F238E27FC236}">
              <a16:creationId xmlns:a16="http://schemas.microsoft.com/office/drawing/2014/main" id="{BC222485-303C-44BA-B6B9-9093BD8A625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73" name="Text Box 3">
          <a:extLst>
            <a:ext uri="{FF2B5EF4-FFF2-40B4-BE49-F238E27FC236}">
              <a16:creationId xmlns:a16="http://schemas.microsoft.com/office/drawing/2014/main" id="{12D88768-4C94-4C36-B4F7-DF2BFC95B49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74" name="Text Box 1">
          <a:extLst>
            <a:ext uri="{FF2B5EF4-FFF2-40B4-BE49-F238E27FC236}">
              <a16:creationId xmlns:a16="http://schemas.microsoft.com/office/drawing/2014/main" id="{82FD92B7-F2BF-4DA9-9EA5-74DC038AA8F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75" name="Text Box 3">
          <a:extLst>
            <a:ext uri="{FF2B5EF4-FFF2-40B4-BE49-F238E27FC236}">
              <a16:creationId xmlns:a16="http://schemas.microsoft.com/office/drawing/2014/main" id="{CE36AC9F-31D8-49C8-BED2-2B316A06CB8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76" name="Text Box 1">
          <a:extLst>
            <a:ext uri="{FF2B5EF4-FFF2-40B4-BE49-F238E27FC236}">
              <a16:creationId xmlns:a16="http://schemas.microsoft.com/office/drawing/2014/main" id="{0C31926F-5FC3-4C4E-B8B4-E5DE5701DAD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77" name="Text Box 1">
          <a:extLst>
            <a:ext uri="{FF2B5EF4-FFF2-40B4-BE49-F238E27FC236}">
              <a16:creationId xmlns:a16="http://schemas.microsoft.com/office/drawing/2014/main" id="{9D66CC53-CDFE-4829-B8CA-09559F78672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3978" name="Text Box 1">
          <a:extLst>
            <a:ext uri="{FF2B5EF4-FFF2-40B4-BE49-F238E27FC236}">
              <a16:creationId xmlns:a16="http://schemas.microsoft.com/office/drawing/2014/main" id="{193C20AF-E55A-4BDC-8DF1-E48D4FBF7BAE}"/>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79" name="Text Box 1">
          <a:extLst>
            <a:ext uri="{FF2B5EF4-FFF2-40B4-BE49-F238E27FC236}">
              <a16:creationId xmlns:a16="http://schemas.microsoft.com/office/drawing/2014/main" id="{812D7816-569D-455C-A11A-FB021788E24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80" name="Text Box 3">
          <a:extLst>
            <a:ext uri="{FF2B5EF4-FFF2-40B4-BE49-F238E27FC236}">
              <a16:creationId xmlns:a16="http://schemas.microsoft.com/office/drawing/2014/main" id="{21FFD89A-5244-47D9-B583-FD84C6FFDC1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81" name="Text Box 1">
          <a:extLst>
            <a:ext uri="{FF2B5EF4-FFF2-40B4-BE49-F238E27FC236}">
              <a16:creationId xmlns:a16="http://schemas.microsoft.com/office/drawing/2014/main" id="{3F821957-3797-4A95-A069-A36B433B3EC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82" name="Text Box 3">
          <a:extLst>
            <a:ext uri="{FF2B5EF4-FFF2-40B4-BE49-F238E27FC236}">
              <a16:creationId xmlns:a16="http://schemas.microsoft.com/office/drawing/2014/main" id="{A35F35FF-4CBD-4282-A1BD-8CF1B497728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83" name="Text Box 1">
          <a:extLst>
            <a:ext uri="{FF2B5EF4-FFF2-40B4-BE49-F238E27FC236}">
              <a16:creationId xmlns:a16="http://schemas.microsoft.com/office/drawing/2014/main" id="{1283CD23-BC39-46C4-8813-629085490AB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84" name="Text Box 1">
          <a:extLst>
            <a:ext uri="{FF2B5EF4-FFF2-40B4-BE49-F238E27FC236}">
              <a16:creationId xmlns:a16="http://schemas.microsoft.com/office/drawing/2014/main" id="{66A75FE1-66BE-421D-9466-7CDF52B6885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85" name="Text Box 3">
          <a:extLst>
            <a:ext uri="{FF2B5EF4-FFF2-40B4-BE49-F238E27FC236}">
              <a16:creationId xmlns:a16="http://schemas.microsoft.com/office/drawing/2014/main" id="{ABD1CABF-B5AA-4EBE-A402-46955D251A0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86" name="Text Box 1">
          <a:extLst>
            <a:ext uri="{FF2B5EF4-FFF2-40B4-BE49-F238E27FC236}">
              <a16:creationId xmlns:a16="http://schemas.microsoft.com/office/drawing/2014/main" id="{559B47EA-888D-4BD2-94E3-6A404FE974A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87" name="Text Box 3">
          <a:extLst>
            <a:ext uri="{FF2B5EF4-FFF2-40B4-BE49-F238E27FC236}">
              <a16:creationId xmlns:a16="http://schemas.microsoft.com/office/drawing/2014/main" id="{D49F8BDF-31FB-4276-9C89-D8A22F730F8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88" name="Text Box 1">
          <a:extLst>
            <a:ext uri="{FF2B5EF4-FFF2-40B4-BE49-F238E27FC236}">
              <a16:creationId xmlns:a16="http://schemas.microsoft.com/office/drawing/2014/main" id="{DE667A39-AA38-432E-8BD9-62FD77A819B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89" name="Text Box 1">
          <a:extLst>
            <a:ext uri="{FF2B5EF4-FFF2-40B4-BE49-F238E27FC236}">
              <a16:creationId xmlns:a16="http://schemas.microsoft.com/office/drawing/2014/main" id="{A10A3F1D-863C-40B5-BB49-DA86433F8FE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90" name="Text Box 3">
          <a:extLst>
            <a:ext uri="{FF2B5EF4-FFF2-40B4-BE49-F238E27FC236}">
              <a16:creationId xmlns:a16="http://schemas.microsoft.com/office/drawing/2014/main" id="{AFD0834E-FAE7-49F0-A43F-F139FD56E88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91" name="Text Box 1">
          <a:extLst>
            <a:ext uri="{FF2B5EF4-FFF2-40B4-BE49-F238E27FC236}">
              <a16:creationId xmlns:a16="http://schemas.microsoft.com/office/drawing/2014/main" id="{B8C8972B-E7E3-4F7B-9C40-5A652F113C4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92" name="Text Box 3">
          <a:extLst>
            <a:ext uri="{FF2B5EF4-FFF2-40B4-BE49-F238E27FC236}">
              <a16:creationId xmlns:a16="http://schemas.microsoft.com/office/drawing/2014/main" id="{8EAC4454-6E88-4308-93EE-70CF4E4694E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93" name="Text Box 1">
          <a:extLst>
            <a:ext uri="{FF2B5EF4-FFF2-40B4-BE49-F238E27FC236}">
              <a16:creationId xmlns:a16="http://schemas.microsoft.com/office/drawing/2014/main" id="{5A020629-011E-49AA-B35F-7754E799E05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94" name="Text Box 1">
          <a:extLst>
            <a:ext uri="{FF2B5EF4-FFF2-40B4-BE49-F238E27FC236}">
              <a16:creationId xmlns:a16="http://schemas.microsoft.com/office/drawing/2014/main" id="{C1166382-E290-42F7-BBAA-58B48351733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95" name="Text Box 3">
          <a:extLst>
            <a:ext uri="{FF2B5EF4-FFF2-40B4-BE49-F238E27FC236}">
              <a16:creationId xmlns:a16="http://schemas.microsoft.com/office/drawing/2014/main" id="{F9DB9BDD-5B51-48DB-A368-355C7EFDEE7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96" name="Text Box 1">
          <a:extLst>
            <a:ext uri="{FF2B5EF4-FFF2-40B4-BE49-F238E27FC236}">
              <a16:creationId xmlns:a16="http://schemas.microsoft.com/office/drawing/2014/main" id="{DDF8F1BE-ED4C-471B-A65E-7AAB6AA5639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97" name="Text Box 3">
          <a:extLst>
            <a:ext uri="{FF2B5EF4-FFF2-40B4-BE49-F238E27FC236}">
              <a16:creationId xmlns:a16="http://schemas.microsoft.com/office/drawing/2014/main" id="{1B838504-A591-483E-A0D5-554FC3E150C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98" name="Text Box 1">
          <a:extLst>
            <a:ext uri="{FF2B5EF4-FFF2-40B4-BE49-F238E27FC236}">
              <a16:creationId xmlns:a16="http://schemas.microsoft.com/office/drawing/2014/main" id="{5CB02506-0074-4C3E-9A69-3A6EACFD972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99" name="Text Box 1">
          <a:extLst>
            <a:ext uri="{FF2B5EF4-FFF2-40B4-BE49-F238E27FC236}">
              <a16:creationId xmlns:a16="http://schemas.microsoft.com/office/drawing/2014/main" id="{6A5232FF-BC42-4452-A63F-418099FA0BC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00" name="Text Box 3">
          <a:extLst>
            <a:ext uri="{FF2B5EF4-FFF2-40B4-BE49-F238E27FC236}">
              <a16:creationId xmlns:a16="http://schemas.microsoft.com/office/drawing/2014/main" id="{31E846F2-DD44-4DA5-A1F8-72173D2D6A7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01" name="Text Box 1">
          <a:extLst>
            <a:ext uri="{FF2B5EF4-FFF2-40B4-BE49-F238E27FC236}">
              <a16:creationId xmlns:a16="http://schemas.microsoft.com/office/drawing/2014/main" id="{17037BAE-8010-4E85-AA7A-ED421400A3D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02" name="Text Box 3">
          <a:extLst>
            <a:ext uri="{FF2B5EF4-FFF2-40B4-BE49-F238E27FC236}">
              <a16:creationId xmlns:a16="http://schemas.microsoft.com/office/drawing/2014/main" id="{63F4177F-6B77-4CED-BEF7-08C2B04D778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03" name="Text Box 1">
          <a:extLst>
            <a:ext uri="{FF2B5EF4-FFF2-40B4-BE49-F238E27FC236}">
              <a16:creationId xmlns:a16="http://schemas.microsoft.com/office/drawing/2014/main" id="{127BCE0B-A37F-4374-B139-D59D60FB1FB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04" name="Text Box 1">
          <a:extLst>
            <a:ext uri="{FF2B5EF4-FFF2-40B4-BE49-F238E27FC236}">
              <a16:creationId xmlns:a16="http://schemas.microsoft.com/office/drawing/2014/main" id="{D9A5EC90-5AC9-4911-9DD2-082D35E94D7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05" name="Text Box 3">
          <a:extLst>
            <a:ext uri="{FF2B5EF4-FFF2-40B4-BE49-F238E27FC236}">
              <a16:creationId xmlns:a16="http://schemas.microsoft.com/office/drawing/2014/main" id="{2E1C99B8-8EEA-462D-AE98-270CAEF1AB1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06" name="Text Box 1">
          <a:extLst>
            <a:ext uri="{FF2B5EF4-FFF2-40B4-BE49-F238E27FC236}">
              <a16:creationId xmlns:a16="http://schemas.microsoft.com/office/drawing/2014/main" id="{44FC3D73-F4C3-4DA9-862E-D6AD4C4E37D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07" name="Text Box 3">
          <a:extLst>
            <a:ext uri="{FF2B5EF4-FFF2-40B4-BE49-F238E27FC236}">
              <a16:creationId xmlns:a16="http://schemas.microsoft.com/office/drawing/2014/main" id="{52619A11-3291-4802-A95D-4592BFEFECA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08" name="Text Box 1">
          <a:extLst>
            <a:ext uri="{FF2B5EF4-FFF2-40B4-BE49-F238E27FC236}">
              <a16:creationId xmlns:a16="http://schemas.microsoft.com/office/drawing/2014/main" id="{F3A9FCF1-E59A-4608-A175-C6BF5B65E61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09" name="Text Box 1">
          <a:extLst>
            <a:ext uri="{FF2B5EF4-FFF2-40B4-BE49-F238E27FC236}">
              <a16:creationId xmlns:a16="http://schemas.microsoft.com/office/drawing/2014/main" id="{F508D233-6FB2-4FC2-A88D-215701CB50D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10" name="Text Box 3">
          <a:extLst>
            <a:ext uri="{FF2B5EF4-FFF2-40B4-BE49-F238E27FC236}">
              <a16:creationId xmlns:a16="http://schemas.microsoft.com/office/drawing/2014/main" id="{A84B0A17-B0FF-4DC8-A48D-687A0C42C29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11" name="Text Box 1">
          <a:extLst>
            <a:ext uri="{FF2B5EF4-FFF2-40B4-BE49-F238E27FC236}">
              <a16:creationId xmlns:a16="http://schemas.microsoft.com/office/drawing/2014/main" id="{C4D906D5-F263-4A11-82F1-9008784FBAD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12" name="Text Box 3">
          <a:extLst>
            <a:ext uri="{FF2B5EF4-FFF2-40B4-BE49-F238E27FC236}">
              <a16:creationId xmlns:a16="http://schemas.microsoft.com/office/drawing/2014/main" id="{4A1952FF-A1B4-4AB2-92F2-DB51679C734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13" name="Text Box 1">
          <a:extLst>
            <a:ext uri="{FF2B5EF4-FFF2-40B4-BE49-F238E27FC236}">
              <a16:creationId xmlns:a16="http://schemas.microsoft.com/office/drawing/2014/main" id="{9A7E81A0-B4D4-4ED4-B18C-FAA8986E9A8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14" name="Text Box 1">
          <a:extLst>
            <a:ext uri="{FF2B5EF4-FFF2-40B4-BE49-F238E27FC236}">
              <a16:creationId xmlns:a16="http://schemas.microsoft.com/office/drawing/2014/main" id="{9DE635BB-B043-4B82-A34D-5E45066E149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15" name="Text Box 3">
          <a:extLst>
            <a:ext uri="{FF2B5EF4-FFF2-40B4-BE49-F238E27FC236}">
              <a16:creationId xmlns:a16="http://schemas.microsoft.com/office/drawing/2014/main" id="{BE0B4BB4-45AE-4483-9AC0-1D522A15EB0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16" name="Text Box 1">
          <a:extLst>
            <a:ext uri="{FF2B5EF4-FFF2-40B4-BE49-F238E27FC236}">
              <a16:creationId xmlns:a16="http://schemas.microsoft.com/office/drawing/2014/main" id="{98650222-B3DA-4D45-8C13-6CD5191E776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17" name="Text Box 3">
          <a:extLst>
            <a:ext uri="{FF2B5EF4-FFF2-40B4-BE49-F238E27FC236}">
              <a16:creationId xmlns:a16="http://schemas.microsoft.com/office/drawing/2014/main" id="{586F3A32-AC47-4DAA-A4C9-CFB87F21A08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18" name="Text Box 1">
          <a:extLst>
            <a:ext uri="{FF2B5EF4-FFF2-40B4-BE49-F238E27FC236}">
              <a16:creationId xmlns:a16="http://schemas.microsoft.com/office/drawing/2014/main" id="{B99C7DA6-111B-42B1-B458-54F984D7C88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19" name="Text Box 1">
          <a:extLst>
            <a:ext uri="{FF2B5EF4-FFF2-40B4-BE49-F238E27FC236}">
              <a16:creationId xmlns:a16="http://schemas.microsoft.com/office/drawing/2014/main" id="{45EB5F2C-EC3B-4AE0-A842-8E5557F32CE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20" name="Text Box 3">
          <a:extLst>
            <a:ext uri="{FF2B5EF4-FFF2-40B4-BE49-F238E27FC236}">
              <a16:creationId xmlns:a16="http://schemas.microsoft.com/office/drawing/2014/main" id="{53D4AD5D-4EF5-41D3-AF51-AA683011600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21" name="Text Box 1">
          <a:extLst>
            <a:ext uri="{FF2B5EF4-FFF2-40B4-BE49-F238E27FC236}">
              <a16:creationId xmlns:a16="http://schemas.microsoft.com/office/drawing/2014/main" id="{EEC12B43-5E34-415E-9E12-31BC05D40BC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22" name="Text Box 3">
          <a:extLst>
            <a:ext uri="{FF2B5EF4-FFF2-40B4-BE49-F238E27FC236}">
              <a16:creationId xmlns:a16="http://schemas.microsoft.com/office/drawing/2014/main" id="{224D3F99-69F8-4EFD-87FE-B3C0B9BBA03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23" name="Text Box 1">
          <a:extLst>
            <a:ext uri="{FF2B5EF4-FFF2-40B4-BE49-F238E27FC236}">
              <a16:creationId xmlns:a16="http://schemas.microsoft.com/office/drawing/2014/main" id="{E187CEAC-C331-4711-9937-E76FA53C2C1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24" name="Text Box 1">
          <a:extLst>
            <a:ext uri="{FF2B5EF4-FFF2-40B4-BE49-F238E27FC236}">
              <a16:creationId xmlns:a16="http://schemas.microsoft.com/office/drawing/2014/main" id="{F6F13A20-8CC1-4EF1-BE16-173B97319F1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25" name="Text Box 3">
          <a:extLst>
            <a:ext uri="{FF2B5EF4-FFF2-40B4-BE49-F238E27FC236}">
              <a16:creationId xmlns:a16="http://schemas.microsoft.com/office/drawing/2014/main" id="{395C087D-D85F-4E90-B86A-63C2A5B7D31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26" name="Text Box 1">
          <a:extLst>
            <a:ext uri="{FF2B5EF4-FFF2-40B4-BE49-F238E27FC236}">
              <a16:creationId xmlns:a16="http://schemas.microsoft.com/office/drawing/2014/main" id="{DEFAEFB8-BD23-45D6-829B-E599B53F084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27" name="Text Box 3">
          <a:extLst>
            <a:ext uri="{FF2B5EF4-FFF2-40B4-BE49-F238E27FC236}">
              <a16:creationId xmlns:a16="http://schemas.microsoft.com/office/drawing/2014/main" id="{AD8DD7E6-337B-48D8-9E7D-EDD3FB904A4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28" name="Text Box 1">
          <a:extLst>
            <a:ext uri="{FF2B5EF4-FFF2-40B4-BE49-F238E27FC236}">
              <a16:creationId xmlns:a16="http://schemas.microsoft.com/office/drawing/2014/main" id="{600E980F-5968-4643-B4F6-DD21A86DFB8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29" name="Text Box 1">
          <a:extLst>
            <a:ext uri="{FF2B5EF4-FFF2-40B4-BE49-F238E27FC236}">
              <a16:creationId xmlns:a16="http://schemas.microsoft.com/office/drawing/2014/main" id="{9414036A-232B-4E84-BFEA-A794D6F02C9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30" name="Text Box 3">
          <a:extLst>
            <a:ext uri="{FF2B5EF4-FFF2-40B4-BE49-F238E27FC236}">
              <a16:creationId xmlns:a16="http://schemas.microsoft.com/office/drawing/2014/main" id="{B27BF05A-BEB0-43C0-B350-9EB603DE29E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31" name="Text Box 1">
          <a:extLst>
            <a:ext uri="{FF2B5EF4-FFF2-40B4-BE49-F238E27FC236}">
              <a16:creationId xmlns:a16="http://schemas.microsoft.com/office/drawing/2014/main" id="{4113897E-7FFA-45F8-9DE6-6A81816E1F0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32" name="Text Box 3">
          <a:extLst>
            <a:ext uri="{FF2B5EF4-FFF2-40B4-BE49-F238E27FC236}">
              <a16:creationId xmlns:a16="http://schemas.microsoft.com/office/drawing/2014/main" id="{61CC1BF6-626F-4822-B902-48473710EF6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33" name="Text Box 1">
          <a:extLst>
            <a:ext uri="{FF2B5EF4-FFF2-40B4-BE49-F238E27FC236}">
              <a16:creationId xmlns:a16="http://schemas.microsoft.com/office/drawing/2014/main" id="{B2C87109-FC8C-4AC5-9041-05FBA8B22F9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34" name="Text Box 1">
          <a:extLst>
            <a:ext uri="{FF2B5EF4-FFF2-40B4-BE49-F238E27FC236}">
              <a16:creationId xmlns:a16="http://schemas.microsoft.com/office/drawing/2014/main" id="{97B56DD2-E969-4BD9-8AEB-42FAAB13407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35" name="Text Box 3">
          <a:extLst>
            <a:ext uri="{FF2B5EF4-FFF2-40B4-BE49-F238E27FC236}">
              <a16:creationId xmlns:a16="http://schemas.microsoft.com/office/drawing/2014/main" id="{63E50787-B320-452A-A29D-8DAF72D7115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36" name="Text Box 1">
          <a:extLst>
            <a:ext uri="{FF2B5EF4-FFF2-40B4-BE49-F238E27FC236}">
              <a16:creationId xmlns:a16="http://schemas.microsoft.com/office/drawing/2014/main" id="{1325EBFC-5B46-4634-87B8-309EF2E590D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37" name="Text Box 3">
          <a:extLst>
            <a:ext uri="{FF2B5EF4-FFF2-40B4-BE49-F238E27FC236}">
              <a16:creationId xmlns:a16="http://schemas.microsoft.com/office/drawing/2014/main" id="{8E402695-ED7A-4AA2-9CB8-46E80AE4883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38" name="Text Box 1">
          <a:extLst>
            <a:ext uri="{FF2B5EF4-FFF2-40B4-BE49-F238E27FC236}">
              <a16:creationId xmlns:a16="http://schemas.microsoft.com/office/drawing/2014/main" id="{6491B7B3-BC04-488B-90E8-6975168F726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39" name="Text Box 1">
          <a:extLst>
            <a:ext uri="{FF2B5EF4-FFF2-40B4-BE49-F238E27FC236}">
              <a16:creationId xmlns:a16="http://schemas.microsoft.com/office/drawing/2014/main" id="{C5891E9E-5F0A-466D-8896-D38B93E4607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40" name="Text Box 3">
          <a:extLst>
            <a:ext uri="{FF2B5EF4-FFF2-40B4-BE49-F238E27FC236}">
              <a16:creationId xmlns:a16="http://schemas.microsoft.com/office/drawing/2014/main" id="{F76DAFC8-8C16-486A-B28B-5E2A8EDA3AF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41" name="Text Box 1">
          <a:extLst>
            <a:ext uri="{FF2B5EF4-FFF2-40B4-BE49-F238E27FC236}">
              <a16:creationId xmlns:a16="http://schemas.microsoft.com/office/drawing/2014/main" id="{88E05136-51CA-48D5-A0E9-BAE5589F8FB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42" name="Text Box 3">
          <a:extLst>
            <a:ext uri="{FF2B5EF4-FFF2-40B4-BE49-F238E27FC236}">
              <a16:creationId xmlns:a16="http://schemas.microsoft.com/office/drawing/2014/main" id="{8FC4690B-7378-44ED-A96A-0905FDF6DCF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43" name="Text Box 1">
          <a:extLst>
            <a:ext uri="{FF2B5EF4-FFF2-40B4-BE49-F238E27FC236}">
              <a16:creationId xmlns:a16="http://schemas.microsoft.com/office/drawing/2014/main" id="{D5D27974-F6D4-421F-A92E-138B49E302B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44" name="Text Box 1">
          <a:extLst>
            <a:ext uri="{FF2B5EF4-FFF2-40B4-BE49-F238E27FC236}">
              <a16:creationId xmlns:a16="http://schemas.microsoft.com/office/drawing/2014/main" id="{D9F5F785-6734-445E-8021-F1819CF9472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45" name="Text Box 3">
          <a:extLst>
            <a:ext uri="{FF2B5EF4-FFF2-40B4-BE49-F238E27FC236}">
              <a16:creationId xmlns:a16="http://schemas.microsoft.com/office/drawing/2014/main" id="{D557241D-5DFE-4D4A-AAB0-9F9446A0B9F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46" name="Text Box 1">
          <a:extLst>
            <a:ext uri="{FF2B5EF4-FFF2-40B4-BE49-F238E27FC236}">
              <a16:creationId xmlns:a16="http://schemas.microsoft.com/office/drawing/2014/main" id="{31853616-A2F8-41B6-A681-E1261CF07C7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47" name="Text Box 3">
          <a:extLst>
            <a:ext uri="{FF2B5EF4-FFF2-40B4-BE49-F238E27FC236}">
              <a16:creationId xmlns:a16="http://schemas.microsoft.com/office/drawing/2014/main" id="{2F34C132-58AA-45D0-80C0-4E027857ECB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48" name="Text Box 1">
          <a:extLst>
            <a:ext uri="{FF2B5EF4-FFF2-40B4-BE49-F238E27FC236}">
              <a16:creationId xmlns:a16="http://schemas.microsoft.com/office/drawing/2014/main" id="{25BF8F90-5988-4974-B21A-BA29BBDABD0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49" name="Text Box 1">
          <a:extLst>
            <a:ext uri="{FF2B5EF4-FFF2-40B4-BE49-F238E27FC236}">
              <a16:creationId xmlns:a16="http://schemas.microsoft.com/office/drawing/2014/main" id="{F3934729-DF0E-48B2-A88D-CE29C69ADB3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50" name="Text Box 3">
          <a:extLst>
            <a:ext uri="{FF2B5EF4-FFF2-40B4-BE49-F238E27FC236}">
              <a16:creationId xmlns:a16="http://schemas.microsoft.com/office/drawing/2014/main" id="{3C642D32-6689-48C9-BF93-89DDFCCFEC7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51" name="Text Box 1">
          <a:extLst>
            <a:ext uri="{FF2B5EF4-FFF2-40B4-BE49-F238E27FC236}">
              <a16:creationId xmlns:a16="http://schemas.microsoft.com/office/drawing/2014/main" id="{0A16D830-ABE9-4DCF-81A6-7FC16079148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52" name="Text Box 3">
          <a:extLst>
            <a:ext uri="{FF2B5EF4-FFF2-40B4-BE49-F238E27FC236}">
              <a16:creationId xmlns:a16="http://schemas.microsoft.com/office/drawing/2014/main" id="{31C3B7E1-6CC2-4B8E-8325-53AF7311F86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53" name="Text Box 1">
          <a:extLst>
            <a:ext uri="{FF2B5EF4-FFF2-40B4-BE49-F238E27FC236}">
              <a16:creationId xmlns:a16="http://schemas.microsoft.com/office/drawing/2014/main" id="{23E0DD74-3449-4EE9-95C9-6C562617F9B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54" name="Text Box 1">
          <a:extLst>
            <a:ext uri="{FF2B5EF4-FFF2-40B4-BE49-F238E27FC236}">
              <a16:creationId xmlns:a16="http://schemas.microsoft.com/office/drawing/2014/main" id="{DBD749E0-6AC9-41AD-AC92-FD8C5D383EE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55" name="Text Box 3">
          <a:extLst>
            <a:ext uri="{FF2B5EF4-FFF2-40B4-BE49-F238E27FC236}">
              <a16:creationId xmlns:a16="http://schemas.microsoft.com/office/drawing/2014/main" id="{DF2852FB-6C15-46A3-9315-BEB0C6B11BE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56" name="Text Box 1">
          <a:extLst>
            <a:ext uri="{FF2B5EF4-FFF2-40B4-BE49-F238E27FC236}">
              <a16:creationId xmlns:a16="http://schemas.microsoft.com/office/drawing/2014/main" id="{0E8C94F7-3A45-4C80-96D5-5C8A9B2E562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57" name="Text Box 3">
          <a:extLst>
            <a:ext uri="{FF2B5EF4-FFF2-40B4-BE49-F238E27FC236}">
              <a16:creationId xmlns:a16="http://schemas.microsoft.com/office/drawing/2014/main" id="{74EAFC77-7AED-46DE-BC47-2652030F113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58" name="Text Box 1">
          <a:extLst>
            <a:ext uri="{FF2B5EF4-FFF2-40B4-BE49-F238E27FC236}">
              <a16:creationId xmlns:a16="http://schemas.microsoft.com/office/drawing/2014/main" id="{96128FCE-F006-441E-9196-321E6F9CED8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59" name="Text Box 1">
          <a:extLst>
            <a:ext uri="{FF2B5EF4-FFF2-40B4-BE49-F238E27FC236}">
              <a16:creationId xmlns:a16="http://schemas.microsoft.com/office/drawing/2014/main" id="{A026CBD4-C446-4C44-A275-BD1D0551E4F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60" name="Text Box 3">
          <a:extLst>
            <a:ext uri="{FF2B5EF4-FFF2-40B4-BE49-F238E27FC236}">
              <a16:creationId xmlns:a16="http://schemas.microsoft.com/office/drawing/2014/main" id="{8012FC0D-3F83-4704-A7C6-D32085C8AFD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61" name="Text Box 1">
          <a:extLst>
            <a:ext uri="{FF2B5EF4-FFF2-40B4-BE49-F238E27FC236}">
              <a16:creationId xmlns:a16="http://schemas.microsoft.com/office/drawing/2014/main" id="{FFD98C25-AF83-4658-A066-7FDCD070593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62" name="Text Box 3">
          <a:extLst>
            <a:ext uri="{FF2B5EF4-FFF2-40B4-BE49-F238E27FC236}">
              <a16:creationId xmlns:a16="http://schemas.microsoft.com/office/drawing/2014/main" id="{4236373F-DD2F-4DFC-BEAD-919C79CD10D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63" name="Text Box 1">
          <a:extLst>
            <a:ext uri="{FF2B5EF4-FFF2-40B4-BE49-F238E27FC236}">
              <a16:creationId xmlns:a16="http://schemas.microsoft.com/office/drawing/2014/main" id="{948E9C7B-9372-4B33-8C11-856180527A6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64" name="Text Box 1">
          <a:extLst>
            <a:ext uri="{FF2B5EF4-FFF2-40B4-BE49-F238E27FC236}">
              <a16:creationId xmlns:a16="http://schemas.microsoft.com/office/drawing/2014/main" id="{41787857-FCF8-465A-AEEB-425666F6DAA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65" name="Text Box 3">
          <a:extLst>
            <a:ext uri="{FF2B5EF4-FFF2-40B4-BE49-F238E27FC236}">
              <a16:creationId xmlns:a16="http://schemas.microsoft.com/office/drawing/2014/main" id="{6D7CE8AA-1FB0-469F-9D1F-34D922F6E34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66" name="Text Box 1">
          <a:extLst>
            <a:ext uri="{FF2B5EF4-FFF2-40B4-BE49-F238E27FC236}">
              <a16:creationId xmlns:a16="http://schemas.microsoft.com/office/drawing/2014/main" id="{514FA5F2-9CEB-480E-8FF8-78350145A73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67" name="Text Box 3">
          <a:extLst>
            <a:ext uri="{FF2B5EF4-FFF2-40B4-BE49-F238E27FC236}">
              <a16:creationId xmlns:a16="http://schemas.microsoft.com/office/drawing/2014/main" id="{E81533AB-656D-4CF3-B6C8-7D0645BBF6E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68" name="Text Box 1">
          <a:extLst>
            <a:ext uri="{FF2B5EF4-FFF2-40B4-BE49-F238E27FC236}">
              <a16:creationId xmlns:a16="http://schemas.microsoft.com/office/drawing/2014/main" id="{8709B3A6-7182-457A-887D-E8F874DA8F6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69" name="Text Box 1">
          <a:extLst>
            <a:ext uri="{FF2B5EF4-FFF2-40B4-BE49-F238E27FC236}">
              <a16:creationId xmlns:a16="http://schemas.microsoft.com/office/drawing/2014/main" id="{62529C64-6535-4F01-B89B-A8912FF7CF5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70" name="Text Box 3">
          <a:extLst>
            <a:ext uri="{FF2B5EF4-FFF2-40B4-BE49-F238E27FC236}">
              <a16:creationId xmlns:a16="http://schemas.microsoft.com/office/drawing/2014/main" id="{0FAF480D-36D6-4DED-AD41-EF497989A52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71" name="Text Box 1">
          <a:extLst>
            <a:ext uri="{FF2B5EF4-FFF2-40B4-BE49-F238E27FC236}">
              <a16:creationId xmlns:a16="http://schemas.microsoft.com/office/drawing/2014/main" id="{451F2441-D4A2-41E3-AF7D-AD4529F5D68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72" name="Text Box 3">
          <a:extLst>
            <a:ext uri="{FF2B5EF4-FFF2-40B4-BE49-F238E27FC236}">
              <a16:creationId xmlns:a16="http://schemas.microsoft.com/office/drawing/2014/main" id="{D20AEBD6-A6C6-43C9-B190-F0EC2B69935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73" name="Text Box 1">
          <a:extLst>
            <a:ext uri="{FF2B5EF4-FFF2-40B4-BE49-F238E27FC236}">
              <a16:creationId xmlns:a16="http://schemas.microsoft.com/office/drawing/2014/main" id="{3A5FE341-7127-452B-9FCC-CE5D0DC9926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74" name="Text Box 1">
          <a:extLst>
            <a:ext uri="{FF2B5EF4-FFF2-40B4-BE49-F238E27FC236}">
              <a16:creationId xmlns:a16="http://schemas.microsoft.com/office/drawing/2014/main" id="{D9708EDF-3FB2-4ECD-8CCA-1D0EAFC508F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75" name="Text Box 3">
          <a:extLst>
            <a:ext uri="{FF2B5EF4-FFF2-40B4-BE49-F238E27FC236}">
              <a16:creationId xmlns:a16="http://schemas.microsoft.com/office/drawing/2014/main" id="{A5ECDE69-EF7E-494C-950D-948CB0E7570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76" name="Text Box 1">
          <a:extLst>
            <a:ext uri="{FF2B5EF4-FFF2-40B4-BE49-F238E27FC236}">
              <a16:creationId xmlns:a16="http://schemas.microsoft.com/office/drawing/2014/main" id="{E999FD6D-7DF7-4B28-BCC0-C096E6B8D81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77" name="Text Box 3">
          <a:extLst>
            <a:ext uri="{FF2B5EF4-FFF2-40B4-BE49-F238E27FC236}">
              <a16:creationId xmlns:a16="http://schemas.microsoft.com/office/drawing/2014/main" id="{9360FE05-DFD0-41C9-8B2D-82AD68C5C7E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78" name="Text Box 1">
          <a:extLst>
            <a:ext uri="{FF2B5EF4-FFF2-40B4-BE49-F238E27FC236}">
              <a16:creationId xmlns:a16="http://schemas.microsoft.com/office/drawing/2014/main" id="{86505CA7-C73E-46E7-9798-E8666587135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79" name="Text Box 1">
          <a:extLst>
            <a:ext uri="{FF2B5EF4-FFF2-40B4-BE49-F238E27FC236}">
              <a16:creationId xmlns:a16="http://schemas.microsoft.com/office/drawing/2014/main" id="{E5A2CE64-924C-460D-B97A-B842DCD5CFD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80" name="Text Box 3">
          <a:extLst>
            <a:ext uri="{FF2B5EF4-FFF2-40B4-BE49-F238E27FC236}">
              <a16:creationId xmlns:a16="http://schemas.microsoft.com/office/drawing/2014/main" id="{D62458A5-0F5E-40C0-A90C-976E4B9965E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81" name="Text Box 1">
          <a:extLst>
            <a:ext uri="{FF2B5EF4-FFF2-40B4-BE49-F238E27FC236}">
              <a16:creationId xmlns:a16="http://schemas.microsoft.com/office/drawing/2014/main" id="{FD2E88FC-0CA9-47E0-A2F0-7202BE5C90E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82" name="Text Box 3">
          <a:extLst>
            <a:ext uri="{FF2B5EF4-FFF2-40B4-BE49-F238E27FC236}">
              <a16:creationId xmlns:a16="http://schemas.microsoft.com/office/drawing/2014/main" id="{F17891CA-B491-4688-8EF5-61ADE0A3B85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83" name="Text Box 1">
          <a:extLst>
            <a:ext uri="{FF2B5EF4-FFF2-40B4-BE49-F238E27FC236}">
              <a16:creationId xmlns:a16="http://schemas.microsoft.com/office/drawing/2014/main" id="{D01A3C52-42A1-4578-88EB-02E6CC9B998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84" name="Text Box 1">
          <a:extLst>
            <a:ext uri="{FF2B5EF4-FFF2-40B4-BE49-F238E27FC236}">
              <a16:creationId xmlns:a16="http://schemas.microsoft.com/office/drawing/2014/main" id="{EC21C38A-45A5-4B8C-83EB-3A4BE44D7F8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85" name="Text Box 3">
          <a:extLst>
            <a:ext uri="{FF2B5EF4-FFF2-40B4-BE49-F238E27FC236}">
              <a16:creationId xmlns:a16="http://schemas.microsoft.com/office/drawing/2014/main" id="{8B405CDF-F38B-4D05-9B46-8C2086BF492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86" name="Text Box 1">
          <a:extLst>
            <a:ext uri="{FF2B5EF4-FFF2-40B4-BE49-F238E27FC236}">
              <a16:creationId xmlns:a16="http://schemas.microsoft.com/office/drawing/2014/main" id="{D432C451-2F94-4AEF-ACD1-02A029702E3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87" name="Text Box 3">
          <a:extLst>
            <a:ext uri="{FF2B5EF4-FFF2-40B4-BE49-F238E27FC236}">
              <a16:creationId xmlns:a16="http://schemas.microsoft.com/office/drawing/2014/main" id="{A19AFA8D-88D5-435D-908A-95A13B62CB1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88" name="Text Box 1">
          <a:extLst>
            <a:ext uri="{FF2B5EF4-FFF2-40B4-BE49-F238E27FC236}">
              <a16:creationId xmlns:a16="http://schemas.microsoft.com/office/drawing/2014/main" id="{648DB4F0-E6CA-4B97-BC77-97D41C2031D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89" name="Text Box 1">
          <a:extLst>
            <a:ext uri="{FF2B5EF4-FFF2-40B4-BE49-F238E27FC236}">
              <a16:creationId xmlns:a16="http://schemas.microsoft.com/office/drawing/2014/main" id="{154D8B70-5207-4840-AC89-1EAC2F17541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90" name="Text Box 3">
          <a:extLst>
            <a:ext uri="{FF2B5EF4-FFF2-40B4-BE49-F238E27FC236}">
              <a16:creationId xmlns:a16="http://schemas.microsoft.com/office/drawing/2014/main" id="{83855965-41FE-4EC9-9221-8CA1CA5F15A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91" name="Text Box 1">
          <a:extLst>
            <a:ext uri="{FF2B5EF4-FFF2-40B4-BE49-F238E27FC236}">
              <a16:creationId xmlns:a16="http://schemas.microsoft.com/office/drawing/2014/main" id="{1628E1AA-8E65-4CA0-B28B-54B3E106343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92" name="Text Box 3">
          <a:extLst>
            <a:ext uri="{FF2B5EF4-FFF2-40B4-BE49-F238E27FC236}">
              <a16:creationId xmlns:a16="http://schemas.microsoft.com/office/drawing/2014/main" id="{24CBEE3D-0B03-43B6-AAB8-3A027289669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93" name="Text Box 1">
          <a:extLst>
            <a:ext uri="{FF2B5EF4-FFF2-40B4-BE49-F238E27FC236}">
              <a16:creationId xmlns:a16="http://schemas.microsoft.com/office/drawing/2014/main" id="{D5CCC0D1-4D82-4C34-8CAD-16AD0FB822D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94" name="Text Box 1">
          <a:extLst>
            <a:ext uri="{FF2B5EF4-FFF2-40B4-BE49-F238E27FC236}">
              <a16:creationId xmlns:a16="http://schemas.microsoft.com/office/drawing/2014/main" id="{0F180AA9-FB43-442D-A24C-3D169E98CB3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95" name="Text Box 3">
          <a:extLst>
            <a:ext uri="{FF2B5EF4-FFF2-40B4-BE49-F238E27FC236}">
              <a16:creationId xmlns:a16="http://schemas.microsoft.com/office/drawing/2014/main" id="{0F40B2A1-9873-4197-AC71-09A2CEDB0DC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96" name="Text Box 1">
          <a:extLst>
            <a:ext uri="{FF2B5EF4-FFF2-40B4-BE49-F238E27FC236}">
              <a16:creationId xmlns:a16="http://schemas.microsoft.com/office/drawing/2014/main" id="{20CE7378-27F1-4EBE-9932-64ACA22D3B2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97" name="Text Box 3">
          <a:extLst>
            <a:ext uri="{FF2B5EF4-FFF2-40B4-BE49-F238E27FC236}">
              <a16:creationId xmlns:a16="http://schemas.microsoft.com/office/drawing/2014/main" id="{4D676B68-A8A5-4524-A292-84A809D933D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98" name="Text Box 1">
          <a:extLst>
            <a:ext uri="{FF2B5EF4-FFF2-40B4-BE49-F238E27FC236}">
              <a16:creationId xmlns:a16="http://schemas.microsoft.com/office/drawing/2014/main" id="{9F298BFC-3651-4A78-A1EC-2EA3B374BAE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99" name="Text Box 1">
          <a:extLst>
            <a:ext uri="{FF2B5EF4-FFF2-40B4-BE49-F238E27FC236}">
              <a16:creationId xmlns:a16="http://schemas.microsoft.com/office/drawing/2014/main" id="{EB2651AA-EC9D-4C66-AFE5-8FB3CABA9B6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00" name="Text Box 3">
          <a:extLst>
            <a:ext uri="{FF2B5EF4-FFF2-40B4-BE49-F238E27FC236}">
              <a16:creationId xmlns:a16="http://schemas.microsoft.com/office/drawing/2014/main" id="{02BE4E49-55A9-40F3-A783-E9F0374D99F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01" name="Text Box 1">
          <a:extLst>
            <a:ext uri="{FF2B5EF4-FFF2-40B4-BE49-F238E27FC236}">
              <a16:creationId xmlns:a16="http://schemas.microsoft.com/office/drawing/2014/main" id="{37A8F16B-CCAF-495A-B241-390E8EA96CA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02" name="Text Box 3">
          <a:extLst>
            <a:ext uri="{FF2B5EF4-FFF2-40B4-BE49-F238E27FC236}">
              <a16:creationId xmlns:a16="http://schemas.microsoft.com/office/drawing/2014/main" id="{D6177FF2-EA72-40EC-AA2C-3C881692325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03" name="Text Box 1">
          <a:extLst>
            <a:ext uri="{FF2B5EF4-FFF2-40B4-BE49-F238E27FC236}">
              <a16:creationId xmlns:a16="http://schemas.microsoft.com/office/drawing/2014/main" id="{BDF48BAC-EA8C-4284-B799-AF4E37D0C27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04" name="Text Box 1">
          <a:extLst>
            <a:ext uri="{FF2B5EF4-FFF2-40B4-BE49-F238E27FC236}">
              <a16:creationId xmlns:a16="http://schemas.microsoft.com/office/drawing/2014/main" id="{B57EA840-E5E1-4437-8998-3EE6F460CF2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05" name="Text Box 3">
          <a:extLst>
            <a:ext uri="{FF2B5EF4-FFF2-40B4-BE49-F238E27FC236}">
              <a16:creationId xmlns:a16="http://schemas.microsoft.com/office/drawing/2014/main" id="{32C4B92F-220E-4698-9718-545FAE1452E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06" name="Text Box 1">
          <a:extLst>
            <a:ext uri="{FF2B5EF4-FFF2-40B4-BE49-F238E27FC236}">
              <a16:creationId xmlns:a16="http://schemas.microsoft.com/office/drawing/2014/main" id="{F622B210-1637-4390-9574-BA4DBFDC09C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07" name="Text Box 3">
          <a:extLst>
            <a:ext uri="{FF2B5EF4-FFF2-40B4-BE49-F238E27FC236}">
              <a16:creationId xmlns:a16="http://schemas.microsoft.com/office/drawing/2014/main" id="{31A752D6-AC2A-403A-8CF2-3A5A23A71AB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08" name="Text Box 1">
          <a:extLst>
            <a:ext uri="{FF2B5EF4-FFF2-40B4-BE49-F238E27FC236}">
              <a16:creationId xmlns:a16="http://schemas.microsoft.com/office/drawing/2014/main" id="{E8C6ED36-F85B-4B69-9C4B-5DBD4EEC5BC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09" name="Text Box 1">
          <a:extLst>
            <a:ext uri="{FF2B5EF4-FFF2-40B4-BE49-F238E27FC236}">
              <a16:creationId xmlns:a16="http://schemas.microsoft.com/office/drawing/2014/main" id="{1416B991-71E3-495D-BFFC-2DFABBE1894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10" name="Text Box 3">
          <a:extLst>
            <a:ext uri="{FF2B5EF4-FFF2-40B4-BE49-F238E27FC236}">
              <a16:creationId xmlns:a16="http://schemas.microsoft.com/office/drawing/2014/main" id="{B77910A4-B502-49E1-83C0-6F9AC366080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11" name="Text Box 1">
          <a:extLst>
            <a:ext uri="{FF2B5EF4-FFF2-40B4-BE49-F238E27FC236}">
              <a16:creationId xmlns:a16="http://schemas.microsoft.com/office/drawing/2014/main" id="{4806AF69-E3C8-4D99-A546-0CC618737C9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12" name="Text Box 3">
          <a:extLst>
            <a:ext uri="{FF2B5EF4-FFF2-40B4-BE49-F238E27FC236}">
              <a16:creationId xmlns:a16="http://schemas.microsoft.com/office/drawing/2014/main" id="{F20DE033-F836-4172-9E90-714413C9CD1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13" name="Text Box 1">
          <a:extLst>
            <a:ext uri="{FF2B5EF4-FFF2-40B4-BE49-F238E27FC236}">
              <a16:creationId xmlns:a16="http://schemas.microsoft.com/office/drawing/2014/main" id="{FDC7AA7E-6D9F-4213-95D2-D278A7C02D1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14" name="Text Box 1">
          <a:extLst>
            <a:ext uri="{FF2B5EF4-FFF2-40B4-BE49-F238E27FC236}">
              <a16:creationId xmlns:a16="http://schemas.microsoft.com/office/drawing/2014/main" id="{C7F24928-E57D-408C-A2FB-FC719826E66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15" name="Text Box 3">
          <a:extLst>
            <a:ext uri="{FF2B5EF4-FFF2-40B4-BE49-F238E27FC236}">
              <a16:creationId xmlns:a16="http://schemas.microsoft.com/office/drawing/2014/main" id="{27D4408A-DC49-4C2B-B7B9-4C53AA29295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16" name="Text Box 1">
          <a:extLst>
            <a:ext uri="{FF2B5EF4-FFF2-40B4-BE49-F238E27FC236}">
              <a16:creationId xmlns:a16="http://schemas.microsoft.com/office/drawing/2014/main" id="{46BC45E4-0543-479B-B84D-D9BB14E62DF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17" name="Text Box 3">
          <a:extLst>
            <a:ext uri="{FF2B5EF4-FFF2-40B4-BE49-F238E27FC236}">
              <a16:creationId xmlns:a16="http://schemas.microsoft.com/office/drawing/2014/main" id="{73E3B6A6-4C01-4739-9FBC-9A84C71FD20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18" name="Text Box 1">
          <a:extLst>
            <a:ext uri="{FF2B5EF4-FFF2-40B4-BE49-F238E27FC236}">
              <a16:creationId xmlns:a16="http://schemas.microsoft.com/office/drawing/2014/main" id="{445FC698-414E-49B8-A36D-EE56623BBA2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19" name="Text Box 1">
          <a:extLst>
            <a:ext uri="{FF2B5EF4-FFF2-40B4-BE49-F238E27FC236}">
              <a16:creationId xmlns:a16="http://schemas.microsoft.com/office/drawing/2014/main" id="{1D0D4004-958C-4E8F-B959-CC1CE3E0196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20" name="Text Box 3">
          <a:extLst>
            <a:ext uri="{FF2B5EF4-FFF2-40B4-BE49-F238E27FC236}">
              <a16:creationId xmlns:a16="http://schemas.microsoft.com/office/drawing/2014/main" id="{FD32022D-764E-44A3-9B8D-7F1D31B9D9F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21" name="Text Box 1">
          <a:extLst>
            <a:ext uri="{FF2B5EF4-FFF2-40B4-BE49-F238E27FC236}">
              <a16:creationId xmlns:a16="http://schemas.microsoft.com/office/drawing/2014/main" id="{B1D5B7D0-54F2-4565-9C8F-451E8C29D4E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22" name="Text Box 3">
          <a:extLst>
            <a:ext uri="{FF2B5EF4-FFF2-40B4-BE49-F238E27FC236}">
              <a16:creationId xmlns:a16="http://schemas.microsoft.com/office/drawing/2014/main" id="{99ED997E-CD34-4E86-A2E4-EA77FA8CAE8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23" name="Text Box 1">
          <a:extLst>
            <a:ext uri="{FF2B5EF4-FFF2-40B4-BE49-F238E27FC236}">
              <a16:creationId xmlns:a16="http://schemas.microsoft.com/office/drawing/2014/main" id="{D927EF2F-089D-41CF-A813-F11B5116C05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24" name="Text Box 1">
          <a:extLst>
            <a:ext uri="{FF2B5EF4-FFF2-40B4-BE49-F238E27FC236}">
              <a16:creationId xmlns:a16="http://schemas.microsoft.com/office/drawing/2014/main" id="{08C2CFBC-111E-439A-B90E-F220BA447EA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25" name="Text Box 3">
          <a:extLst>
            <a:ext uri="{FF2B5EF4-FFF2-40B4-BE49-F238E27FC236}">
              <a16:creationId xmlns:a16="http://schemas.microsoft.com/office/drawing/2014/main" id="{F5CBEA5E-F14E-43C5-BBA7-22350297DF3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26" name="Text Box 1">
          <a:extLst>
            <a:ext uri="{FF2B5EF4-FFF2-40B4-BE49-F238E27FC236}">
              <a16:creationId xmlns:a16="http://schemas.microsoft.com/office/drawing/2014/main" id="{64B1799F-C93D-4BC2-8F86-78A2FAC4BD5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27" name="Text Box 3">
          <a:extLst>
            <a:ext uri="{FF2B5EF4-FFF2-40B4-BE49-F238E27FC236}">
              <a16:creationId xmlns:a16="http://schemas.microsoft.com/office/drawing/2014/main" id="{DCAAB197-0E1E-4BE8-B81F-75DFAA4AA02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28" name="Text Box 1">
          <a:extLst>
            <a:ext uri="{FF2B5EF4-FFF2-40B4-BE49-F238E27FC236}">
              <a16:creationId xmlns:a16="http://schemas.microsoft.com/office/drawing/2014/main" id="{532B5AA2-C815-4D3E-B08E-0CDCE8816F6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29" name="Text Box 1">
          <a:extLst>
            <a:ext uri="{FF2B5EF4-FFF2-40B4-BE49-F238E27FC236}">
              <a16:creationId xmlns:a16="http://schemas.microsoft.com/office/drawing/2014/main" id="{0EEB731F-D45E-4827-9CB5-CB32356E650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30" name="Text Box 3">
          <a:extLst>
            <a:ext uri="{FF2B5EF4-FFF2-40B4-BE49-F238E27FC236}">
              <a16:creationId xmlns:a16="http://schemas.microsoft.com/office/drawing/2014/main" id="{7D27F310-9D97-4D72-8BC8-E5AA9B01DD2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31" name="Text Box 1">
          <a:extLst>
            <a:ext uri="{FF2B5EF4-FFF2-40B4-BE49-F238E27FC236}">
              <a16:creationId xmlns:a16="http://schemas.microsoft.com/office/drawing/2014/main" id="{C1BCBAC6-23EC-46A9-B557-C22321D6454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32" name="Text Box 3">
          <a:extLst>
            <a:ext uri="{FF2B5EF4-FFF2-40B4-BE49-F238E27FC236}">
              <a16:creationId xmlns:a16="http://schemas.microsoft.com/office/drawing/2014/main" id="{D8365BA5-7C3D-46C7-974A-D949A312847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33" name="Text Box 1">
          <a:extLst>
            <a:ext uri="{FF2B5EF4-FFF2-40B4-BE49-F238E27FC236}">
              <a16:creationId xmlns:a16="http://schemas.microsoft.com/office/drawing/2014/main" id="{CD89B011-7AD2-4E14-8DA8-01B8C55432E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34" name="Text Box 1">
          <a:extLst>
            <a:ext uri="{FF2B5EF4-FFF2-40B4-BE49-F238E27FC236}">
              <a16:creationId xmlns:a16="http://schemas.microsoft.com/office/drawing/2014/main" id="{218E0A0D-AC4A-4C60-A6DB-47478E68C11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35" name="Text Box 3">
          <a:extLst>
            <a:ext uri="{FF2B5EF4-FFF2-40B4-BE49-F238E27FC236}">
              <a16:creationId xmlns:a16="http://schemas.microsoft.com/office/drawing/2014/main" id="{77E0C30B-76FE-4538-97D5-5BF4D1BEA81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36" name="Text Box 1">
          <a:extLst>
            <a:ext uri="{FF2B5EF4-FFF2-40B4-BE49-F238E27FC236}">
              <a16:creationId xmlns:a16="http://schemas.microsoft.com/office/drawing/2014/main" id="{06410EDE-7A5A-4536-8B97-AB8F2D1972D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37" name="Text Box 3">
          <a:extLst>
            <a:ext uri="{FF2B5EF4-FFF2-40B4-BE49-F238E27FC236}">
              <a16:creationId xmlns:a16="http://schemas.microsoft.com/office/drawing/2014/main" id="{448A4C00-51C1-4B43-B255-D8EEDFF3AFC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38" name="Text Box 1">
          <a:extLst>
            <a:ext uri="{FF2B5EF4-FFF2-40B4-BE49-F238E27FC236}">
              <a16:creationId xmlns:a16="http://schemas.microsoft.com/office/drawing/2014/main" id="{A771507E-495E-4BC9-A33B-FFD5BF8FFE4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39" name="Text Box 1">
          <a:extLst>
            <a:ext uri="{FF2B5EF4-FFF2-40B4-BE49-F238E27FC236}">
              <a16:creationId xmlns:a16="http://schemas.microsoft.com/office/drawing/2014/main" id="{D894AE07-9540-448B-A15E-D1641C5DDC9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40" name="Text Box 3">
          <a:extLst>
            <a:ext uri="{FF2B5EF4-FFF2-40B4-BE49-F238E27FC236}">
              <a16:creationId xmlns:a16="http://schemas.microsoft.com/office/drawing/2014/main" id="{3EA197F3-5205-4D76-8482-038A8E12500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41" name="Text Box 1">
          <a:extLst>
            <a:ext uri="{FF2B5EF4-FFF2-40B4-BE49-F238E27FC236}">
              <a16:creationId xmlns:a16="http://schemas.microsoft.com/office/drawing/2014/main" id="{CBBA92CC-5636-46E3-8B5E-38891892D1B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42" name="Text Box 3">
          <a:extLst>
            <a:ext uri="{FF2B5EF4-FFF2-40B4-BE49-F238E27FC236}">
              <a16:creationId xmlns:a16="http://schemas.microsoft.com/office/drawing/2014/main" id="{27DE6744-CCC2-4358-BF27-276B7CAC81A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43" name="Text Box 1">
          <a:extLst>
            <a:ext uri="{FF2B5EF4-FFF2-40B4-BE49-F238E27FC236}">
              <a16:creationId xmlns:a16="http://schemas.microsoft.com/office/drawing/2014/main" id="{EC86E0B8-A85C-4CED-B32A-7DB7DA4D5F0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44" name="Text Box 1">
          <a:extLst>
            <a:ext uri="{FF2B5EF4-FFF2-40B4-BE49-F238E27FC236}">
              <a16:creationId xmlns:a16="http://schemas.microsoft.com/office/drawing/2014/main" id="{99549307-B7D3-4193-B5E4-A66491A369F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45" name="Text Box 3">
          <a:extLst>
            <a:ext uri="{FF2B5EF4-FFF2-40B4-BE49-F238E27FC236}">
              <a16:creationId xmlns:a16="http://schemas.microsoft.com/office/drawing/2014/main" id="{1FC386B2-9B34-47DF-BCDD-7F0339B00D2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46" name="Text Box 1">
          <a:extLst>
            <a:ext uri="{FF2B5EF4-FFF2-40B4-BE49-F238E27FC236}">
              <a16:creationId xmlns:a16="http://schemas.microsoft.com/office/drawing/2014/main" id="{47A06D39-00E2-4FBA-99F5-CED37BC8F0E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47" name="Text Box 3">
          <a:extLst>
            <a:ext uri="{FF2B5EF4-FFF2-40B4-BE49-F238E27FC236}">
              <a16:creationId xmlns:a16="http://schemas.microsoft.com/office/drawing/2014/main" id="{4B25FDBF-A9CC-4B7C-BE5C-81338C6A7F1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48" name="Text Box 1">
          <a:extLst>
            <a:ext uri="{FF2B5EF4-FFF2-40B4-BE49-F238E27FC236}">
              <a16:creationId xmlns:a16="http://schemas.microsoft.com/office/drawing/2014/main" id="{B955A8A6-A45D-405A-A285-BDDB3468857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49" name="Text Box 1">
          <a:extLst>
            <a:ext uri="{FF2B5EF4-FFF2-40B4-BE49-F238E27FC236}">
              <a16:creationId xmlns:a16="http://schemas.microsoft.com/office/drawing/2014/main" id="{71459055-F58C-47B2-BB7C-C94985A4C2F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50" name="Text Box 3">
          <a:extLst>
            <a:ext uri="{FF2B5EF4-FFF2-40B4-BE49-F238E27FC236}">
              <a16:creationId xmlns:a16="http://schemas.microsoft.com/office/drawing/2014/main" id="{47B356B3-1780-4032-AC1F-05B660148E4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51" name="Text Box 1">
          <a:extLst>
            <a:ext uri="{FF2B5EF4-FFF2-40B4-BE49-F238E27FC236}">
              <a16:creationId xmlns:a16="http://schemas.microsoft.com/office/drawing/2014/main" id="{32D7C7CA-DD62-4235-87C0-BFA1D90C057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52" name="Text Box 3">
          <a:extLst>
            <a:ext uri="{FF2B5EF4-FFF2-40B4-BE49-F238E27FC236}">
              <a16:creationId xmlns:a16="http://schemas.microsoft.com/office/drawing/2014/main" id="{F9B1A5D8-6C56-448B-981A-E96F572F3BF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53" name="Text Box 1">
          <a:extLst>
            <a:ext uri="{FF2B5EF4-FFF2-40B4-BE49-F238E27FC236}">
              <a16:creationId xmlns:a16="http://schemas.microsoft.com/office/drawing/2014/main" id="{731FBF2C-4FD1-4069-93FA-B3ABFAD600B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54" name="Text Box 1">
          <a:extLst>
            <a:ext uri="{FF2B5EF4-FFF2-40B4-BE49-F238E27FC236}">
              <a16:creationId xmlns:a16="http://schemas.microsoft.com/office/drawing/2014/main" id="{A5887C23-9D04-4285-8563-04CD52B8E72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55" name="Text Box 3">
          <a:extLst>
            <a:ext uri="{FF2B5EF4-FFF2-40B4-BE49-F238E27FC236}">
              <a16:creationId xmlns:a16="http://schemas.microsoft.com/office/drawing/2014/main" id="{7FD17F60-D425-48E0-AA8F-3EB8C0D3FAF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56" name="Text Box 1">
          <a:extLst>
            <a:ext uri="{FF2B5EF4-FFF2-40B4-BE49-F238E27FC236}">
              <a16:creationId xmlns:a16="http://schemas.microsoft.com/office/drawing/2014/main" id="{0C8472FF-E793-44DC-A00D-8E8B077418B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57" name="Text Box 3">
          <a:extLst>
            <a:ext uri="{FF2B5EF4-FFF2-40B4-BE49-F238E27FC236}">
              <a16:creationId xmlns:a16="http://schemas.microsoft.com/office/drawing/2014/main" id="{845B2C25-F03A-430F-B01E-9572868EC15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58" name="Text Box 1">
          <a:extLst>
            <a:ext uri="{FF2B5EF4-FFF2-40B4-BE49-F238E27FC236}">
              <a16:creationId xmlns:a16="http://schemas.microsoft.com/office/drawing/2014/main" id="{AFBE9082-72AD-4857-9EEA-A57FA2BF614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59" name="Text Box 1">
          <a:extLst>
            <a:ext uri="{FF2B5EF4-FFF2-40B4-BE49-F238E27FC236}">
              <a16:creationId xmlns:a16="http://schemas.microsoft.com/office/drawing/2014/main" id="{333E97D6-013D-4575-9A45-40613B176B1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60" name="Text Box 3">
          <a:extLst>
            <a:ext uri="{FF2B5EF4-FFF2-40B4-BE49-F238E27FC236}">
              <a16:creationId xmlns:a16="http://schemas.microsoft.com/office/drawing/2014/main" id="{6F6BF2D9-7EA3-4AA9-A74F-8F453CADD18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61" name="Text Box 1">
          <a:extLst>
            <a:ext uri="{FF2B5EF4-FFF2-40B4-BE49-F238E27FC236}">
              <a16:creationId xmlns:a16="http://schemas.microsoft.com/office/drawing/2014/main" id="{B8F63B60-1073-47BA-B5B0-15661AA6D3F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62" name="Text Box 3">
          <a:extLst>
            <a:ext uri="{FF2B5EF4-FFF2-40B4-BE49-F238E27FC236}">
              <a16:creationId xmlns:a16="http://schemas.microsoft.com/office/drawing/2014/main" id="{613582B8-1F63-4402-81FC-F0B32A363A9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63" name="Text Box 1">
          <a:extLst>
            <a:ext uri="{FF2B5EF4-FFF2-40B4-BE49-F238E27FC236}">
              <a16:creationId xmlns:a16="http://schemas.microsoft.com/office/drawing/2014/main" id="{3CC01ED7-8ECE-4C2F-B355-DEE4B01B053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64" name="Text Box 1">
          <a:extLst>
            <a:ext uri="{FF2B5EF4-FFF2-40B4-BE49-F238E27FC236}">
              <a16:creationId xmlns:a16="http://schemas.microsoft.com/office/drawing/2014/main" id="{92917747-12EC-454D-BE33-ED2BC3E2F9B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65" name="Text Box 3">
          <a:extLst>
            <a:ext uri="{FF2B5EF4-FFF2-40B4-BE49-F238E27FC236}">
              <a16:creationId xmlns:a16="http://schemas.microsoft.com/office/drawing/2014/main" id="{5BD2B7E0-B5BF-4A4E-8A7D-5B6985872E3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66" name="Text Box 1">
          <a:extLst>
            <a:ext uri="{FF2B5EF4-FFF2-40B4-BE49-F238E27FC236}">
              <a16:creationId xmlns:a16="http://schemas.microsoft.com/office/drawing/2014/main" id="{506DB258-E608-439B-A5AB-5112AC88DE7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67" name="Text Box 3">
          <a:extLst>
            <a:ext uri="{FF2B5EF4-FFF2-40B4-BE49-F238E27FC236}">
              <a16:creationId xmlns:a16="http://schemas.microsoft.com/office/drawing/2014/main" id="{8E6D2992-90CD-468C-8D2B-C03C414D533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68" name="Text Box 1">
          <a:extLst>
            <a:ext uri="{FF2B5EF4-FFF2-40B4-BE49-F238E27FC236}">
              <a16:creationId xmlns:a16="http://schemas.microsoft.com/office/drawing/2014/main" id="{1761588C-1606-442E-A5F7-0377F2361F7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69" name="Text Box 1">
          <a:extLst>
            <a:ext uri="{FF2B5EF4-FFF2-40B4-BE49-F238E27FC236}">
              <a16:creationId xmlns:a16="http://schemas.microsoft.com/office/drawing/2014/main" id="{8967D01B-74CB-491E-8616-66786078DE8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70" name="Text Box 3">
          <a:extLst>
            <a:ext uri="{FF2B5EF4-FFF2-40B4-BE49-F238E27FC236}">
              <a16:creationId xmlns:a16="http://schemas.microsoft.com/office/drawing/2014/main" id="{E91CCBBF-C54C-4A3F-8A93-0A49D7297CC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71" name="Text Box 1">
          <a:extLst>
            <a:ext uri="{FF2B5EF4-FFF2-40B4-BE49-F238E27FC236}">
              <a16:creationId xmlns:a16="http://schemas.microsoft.com/office/drawing/2014/main" id="{BD0BEFA6-9509-4015-B8EB-F6711ADBFA0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72" name="Text Box 3">
          <a:extLst>
            <a:ext uri="{FF2B5EF4-FFF2-40B4-BE49-F238E27FC236}">
              <a16:creationId xmlns:a16="http://schemas.microsoft.com/office/drawing/2014/main" id="{C79526C7-EBDC-4E2E-9088-03CE7E74E80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73" name="Text Box 1">
          <a:extLst>
            <a:ext uri="{FF2B5EF4-FFF2-40B4-BE49-F238E27FC236}">
              <a16:creationId xmlns:a16="http://schemas.microsoft.com/office/drawing/2014/main" id="{8EC69DAF-2EE1-4C52-BD98-940C6C2E18F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74" name="Text Box 1">
          <a:extLst>
            <a:ext uri="{FF2B5EF4-FFF2-40B4-BE49-F238E27FC236}">
              <a16:creationId xmlns:a16="http://schemas.microsoft.com/office/drawing/2014/main" id="{27133938-1FEA-4CBC-9875-D768A726F29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75" name="Text Box 3">
          <a:extLst>
            <a:ext uri="{FF2B5EF4-FFF2-40B4-BE49-F238E27FC236}">
              <a16:creationId xmlns:a16="http://schemas.microsoft.com/office/drawing/2014/main" id="{0B8DB500-B763-49F8-86C0-45C2022ED3E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76" name="Text Box 1">
          <a:extLst>
            <a:ext uri="{FF2B5EF4-FFF2-40B4-BE49-F238E27FC236}">
              <a16:creationId xmlns:a16="http://schemas.microsoft.com/office/drawing/2014/main" id="{0AE1100A-5DEA-4B66-AB65-8EF21E4D89E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77" name="Text Box 3">
          <a:extLst>
            <a:ext uri="{FF2B5EF4-FFF2-40B4-BE49-F238E27FC236}">
              <a16:creationId xmlns:a16="http://schemas.microsoft.com/office/drawing/2014/main" id="{B62D8247-F8FD-4284-86F1-EA631E48AD8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78" name="Text Box 1">
          <a:extLst>
            <a:ext uri="{FF2B5EF4-FFF2-40B4-BE49-F238E27FC236}">
              <a16:creationId xmlns:a16="http://schemas.microsoft.com/office/drawing/2014/main" id="{BFBF7B7A-0B0C-4751-9397-E43B43900173}"/>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79" name="Text Box 3">
          <a:extLst>
            <a:ext uri="{FF2B5EF4-FFF2-40B4-BE49-F238E27FC236}">
              <a16:creationId xmlns:a16="http://schemas.microsoft.com/office/drawing/2014/main" id="{334572A8-14FC-4264-A239-37C15A064D90}"/>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80" name="Text Box 1">
          <a:extLst>
            <a:ext uri="{FF2B5EF4-FFF2-40B4-BE49-F238E27FC236}">
              <a16:creationId xmlns:a16="http://schemas.microsoft.com/office/drawing/2014/main" id="{896EB931-0989-4265-B69D-01290B20ADB0}"/>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81" name="Text Box 3">
          <a:extLst>
            <a:ext uri="{FF2B5EF4-FFF2-40B4-BE49-F238E27FC236}">
              <a16:creationId xmlns:a16="http://schemas.microsoft.com/office/drawing/2014/main" id="{26876BCF-A7AA-44E9-B2F3-143EC1D575DD}"/>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82" name="Text Box 1">
          <a:extLst>
            <a:ext uri="{FF2B5EF4-FFF2-40B4-BE49-F238E27FC236}">
              <a16:creationId xmlns:a16="http://schemas.microsoft.com/office/drawing/2014/main" id="{CEE92932-6904-4DA0-BBB1-6A3391EE9141}"/>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83" name="Text Box 1">
          <a:extLst>
            <a:ext uri="{FF2B5EF4-FFF2-40B4-BE49-F238E27FC236}">
              <a16:creationId xmlns:a16="http://schemas.microsoft.com/office/drawing/2014/main" id="{B8605FBF-D8DF-47B1-BC4F-213D7FD8AC30}"/>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84" name="Text Box 3">
          <a:extLst>
            <a:ext uri="{FF2B5EF4-FFF2-40B4-BE49-F238E27FC236}">
              <a16:creationId xmlns:a16="http://schemas.microsoft.com/office/drawing/2014/main" id="{DA222037-CDB3-477D-9967-FF0CBF178FB2}"/>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85" name="Text Box 1">
          <a:extLst>
            <a:ext uri="{FF2B5EF4-FFF2-40B4-BE49-F238E27FC236}">
              <a16:creationId xmlns:a16="http://schemas.microsoft.com/office/drawing/2014/main" id="{F82834AB-E008-4F6E-8D00-819FC7FDD158}"/>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86" name="Text Box 3">
          <a:extLst>
            <a:ext uri="{FF2B5EF4-FFF2-40B4-BE49-F238E27FC236}">
              <a16:creationId xmlns:a16="http://schemas.microsoft.com/office/drawing/2014/main" id="{6F8F066C-5FBC-4A9C-8105-B008490A772A}"/>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87" name="Text Box 1">
          <a:extLst>
            <a:ext uri="{FF2B5EF4-FFF2-40B4-BE49-F238E27FC236}">
              <a16:creationId xmlns:a16="http://schemas.microsoft.com/office/drawing/2014/main" id="{8FAA46FC-3C59-4D6F-AA31-2C0EDBE77389}"/>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88" name="Text Box 1">
          <a:extLst>
            <a:ext uri="{FF2B5EF4-FFF2-40B4-BE49-F238E27FC236}">
              <a16:creationId xmlns:a16="http://schemas.microsoft.com/office/drawing/2014/main" id="{659AE930-C091-4983-9DA5-39E77AF6AB7A}"/>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89" name="Text Box 3">
          <a:extLst>
            <a:ext uri="{FF2B5EF4-FFF2-40B4-BE49-F238E27FC236}">
              <a16:creationId xmlns:a16="http://schemas.microsoft.com/office/drawing/2014/main" id="{C3048433-C936-4B05-A8C2-E1F5ABACCA7F}"/>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90" name="Text Box 1">
          <a:extLst>
            <a:ext uri="{FF2B5EF4-FFF2-40B4-BE49-F238E27FC236}">
              <a16:creationId xmlns:a16="http://schemas.microsoft.com/office/drawing/2014/main" id="{F4F47191-C2A4-458D-AB87-A8015ADA2AAE}"/>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91" name="Text Box 1">
          <a:extLst>
            <a:ext uri="{FF2B5EF4-FFF2-40B4-BE49-F238E27FC236}">
              <a16:creationId xmlns:a16="http://schemas.microsoft.com/office/drawing/2014/main" id="{256099A5-4C4A-4ED3-8B34-54B24FCBCFEC}"/>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92" name="Text Box 3">
          <a:extLst>
            <a:ext uri="{FF2B5EF4-FFF2-40B4-BE49-F238E27FC236}">
              <a16:creationId xmlns:a16="http://schemas.microsoft.com/office/drawing/2014/main" id="{B05BA6C5-00FD-4674-88EC-0D28E8E4C33B}"/>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93" name="Text Box 1">
          <a:extLst>
            <a:ext uri="{FF2B5EF4-FFF2-40B4-BE49-F238E27FC236}">
              <a16:creationId xmlns:a16="http://schemas.microsoft.com/office/drawing/2014/main" id="{A3D1148A-4689-4FBF-BADD-0D1E15EB2882}"/>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94" name="Text Box 3">
          <a:extLst>
            <a:ext uri="{FF2B5EF4-FFF2-40B4-BE49-F238E27FC236}">
              <a16:creationId xmlns:a16="http://schemas.microsoft.com/office/drawing/2014/main" id="{80879260-31AE-4DDA-BD05-FF77F1DF2B7F}"/>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95" name="Text Box 1">
          <a:extLst>
            <a:ext uri="{FF2B5EF4-FFF2-40B4-BE49-F238E27FC236}">
              <a16:creationId xmlns:a16="http://schemas.microsoft.com/office/drawing/2014/main" id="{69CD1633-9552-44CD-A517-758D20D600EE}"/>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96" name="Text Box 1">
          <a:extLst>
            <a:ext uri="{FF2B5EF4-FFF2-40B4-BE49-F238E27FC236}">
              <a16:creationId xmlns:a16="http://schemas.microsoft.com/office/drawing/2014/main" id="{17DA822A-D515-435D-97DA-767C2D1B2978}"/>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97" name="Text Box 3">
          <a:extLst>
            <a:ext uri="{FF2B5EF4-FFF2-40B4-BE49-F238E27FC236}">
              <a16:creationId xmlns:a16="http://schemas.microsoft.com/office/drawing/2014/main" id="{D3D08089-2DBE-48D5-BFA1-3F6FA3971087}"/>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98" name="Text Box 1">
          <a:extLst>
            <a:ext uri="{FF2B5EF4-FFF2-40B4-BE49-F238E27FC236}">
              <a16:creationId xmlns:a16="http://schemas.microsoft.com/office/drawing/2014/main" id="{7F86E43D-9B6D-40CB-81D7-3C0D3B733B51}"/>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99" name="Text Box 3">
          <a:extLst>
            <a:ext uri="{FF2B5EF4-FFF2-40B4-BE49-F238E27FC236}">
              <a16:creationId xmlns:a16="http://schemas.microsoft.com/office/drawing/2014/main" id="{299B0757-53B5-482C-AF59-10E28A4C4C07}"/>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200" name="Text Box 1">
          <a:extLst>
            <a:ext uri="{FF2B5EF4-FFF2-40B4-BE49-F238E27FC236}">
              <a16:creationId xmlns:a16="http://schemas.microsoft.com/office/drawing/2014/main" id="{21C06980-7094-4A4B-B420-A94D9C3826CC}"/>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201" name="Text Box 1">
          <a:extLst>
            <a:ext uri="{FF2B5EF4-FFF2-40B4-BE49-F238E27FC236}">
              <a16:creationId xmlns:a16="http://schemas.microsoft.com/office/drawing/2014/main" id="{6DC0C3AF-896A-4875-A461-011E983F2761}"/>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202" name="Text Box 3">
          <a:extLst>
            <a:ext uri="{FF2B5EF4-FFF2-40B4-BE49-F238E27FC236}">
              <a16:creationId xmlns:a16="http://schemas.microsoft.com/office/drawing/2014/main" id="{AC3F2CF5-E1EA-4306-BEF6-2DFA9118CA85}"/>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03" name="Text Box 3">
          <a:extLst>
            <a:ext uri="{FF2B5EF4-FFF2-40B4-BE49-F238E27FC236}">
              <a16:creationId xmlns:a16="http://schemas.microsoft.com/office/drawing/2014/main" id="{F31B6C71-9732-40C0-AE89-C37E02E4960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04" name="Text Box 1">
          <a:extLst>
            <a:ext uri="{FF2B5EF4-FFF2-40B4-BE49-F238E27FC236}">
              <a16:creationId xmlns:a16="http://schemas.microsoft.com/office/drawing/2014/main" id="{1B986561-D252-48B8-B2BF-9E089F17217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05" name="Text Box 3">
          <a:extLst>
            <a:ext uri="{FF2B5EF4-FFF2-40B4-BE49-F238E27FC236}">
              <a16:creationId xmlns:a16="http://schemas.microsoft.com/office/drawing/2014/main" id="{4D9E2117-0E9E-493B-B3B1-32A16651962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06" name="Text Box 1">
          <a:extLst>
            <a:ext uri="{FF2B5EF4-FFF2-40B4-BE49-F238E27FC236}">
              <a16:creationId xmlns:a16="http://schemas.microsoft.com/office/drawing/2014/main" id="{EF4ADF15-8121-437E-8FD3-DD0D0EEFC9F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07" name="Text Box 1">
          <a:extLst>
            <a:ext uri="{FF2B5EF4-FFF2-40B4-BE49-F238E27FC236}">
              <a16:creationId xmlns:a16="http://schemas.microsoft.com/office/drawing/2014/main" id="{676EB6D8-56FA-47EA-8F76-74F375B512B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08" name="Text Box 3">
          <a:extLst>
            <a:ext uri="{FF2B5EF4-FFF2-40B4-BE49-F238E27FC236}">
              <a16:creationId xmlns:a16="http://schemas.microsoft.com/office/drawing/2014/main" id="{AC4D35B1-F22A-4436-AFB5-870094C75DD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09" name="Text Box 1">
          <a:extLst>
            <a:ext uri="{FF2B5EF4-FFF2-40B4-BE49-F238E27FC236}">
              <a16:creationId xmlns:a16="http://schemas.microsoft.com/office/drawing/2014/main" id="{732615B1-E58D-4FFD-8C7B-BDF3AF2C39B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10" name="Text Box 3">
          <a:extLst>
            <a:ext uri="{FF2B5EF4-FFF2-40B4-BE49-F238E27FC236}">
              <a16:creationId xmlns:a16="http://schemas.microsoft.com/office/drawing/2014/main" id="{351BF5F3-B966-4086-9257-7B3D1CC49D4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11" name="Text Box 1">
          <a:extLst>
            <a:ext uri="{FF2B5EF4-FFF2-40B4-BE49-F238E27FC236}">
              <a16:creationId xmlns:a16="http://schemas.microsoft.com/office/drawing/2014/main" id="{4D826486-69AB-4616-9034-DD812C9E91D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12" name="Text Box 1">
          <a:extLst>
            <a:ext uri="{FF2B5EF4-FFF2-40B4-BE49-F238E27FC236}">
              <a16:creationId xmlns:a16="http://schemas.microsoft.com/office/drawing/2014/main" id="{19060DD7-B1BD-403A-8EF6-AB1FFBB3798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13" name="Text Box 3">
          <a:extLst>
            <a:ext uri="{FF2B5EF4-FFF2-40B4-BE49-F238E27FC236}">
              <a16:creationId xmlns:a16="http://schemas.microsoft.com/office/drawing/2014/main" id="{010F6366-882F-4733-AB2A-E55458BF86F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14" name="Text Box 1">
          <a:extLst>
            <a:ext uri="{FF2B5EF4-FFF2-40B4-BE49-F238E27FC236}">
              <a16:creationId xmlns:a16="http://schemas.microsoft.com/office/drawing/2014/main" id="{01497A3C-AE7B-4982-B802-0ADAD634460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15" name="Text Box 1">
          <a:extLst>
            <a:ext uri="{FF2B5EF4-FFF2-40B4-BE49-F238E27FC236}">
              <a16:creationId xmlns:a16="http://schemas.microsoft.com/office/drawing/2014/main" id="{9BD64C4D-0D8E-4089-93C5-76355CE727E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16" name="Text Box 3">
          <a:extLst>
            <a:ext uri="{FF2B5EF4-FFF2-40B4-BE49-F238E27FC236}">
              <a16:creationId xmlns:a16="http://schemas.microsoft.com/office/drawing/2014/main" id="{AFFAF2F2-0669-487D-B54D-17C400ED9BC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17" name="Text Box 1">
          <a:extLst>
            <a:ext uri="{FF2B5EF4-FFF2-40B4-BE49-F238E27FC236}">
              <a16:creationId xmlns:a16="http://schemas.microsoft.com/office/drawing/2014/main" id="{B8C80DDC-557D-4283-948C-F27416E2399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18" name="Text Box 3">
          <a:extLst>
            <a:ext uri="{FF2B5EF4-FFF2-40B4-BE49-F238E27FC236}">
              <a16:creationId xmlns:a16="http://schemas.microsoft.com/office/drawing/2014/main" id="{57DB107A-E335-42A2-94AF-15E0BFB41F6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19" name="Text Box 1">
          <a:extLst>
            <a:ext uri="{FF2B5EF4-FFF2-40B4-BE49-F238E27FC236}">
              <a16:creationId xmlns:a16="http://schemas.microsoft.com/office/drawing/2014/main" id="{49BB00F4-6780-4B10-8D4B-2871CB31DB4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20" name="Text Box 3">
          <a:extLst>
            <a:ext uri="{FF2B5EF4-FFF2-40B4-BE49-F238E27FC236}">
              <a16:creationId xmlns:a16="http://schemas.microsoft.com/office/drawing/2014/main" id="{1A17615F-DDFC-4039-B644-FA4CEAFE21D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21" name="Text Box 1">
          <a:extLst>
            <a:ext uri="{FF2B5EF4-FFF2-40B4-BE49-F238E27FC236}">
              <a16:creationId xmlns:a16="http://schemas.microsoft.com/office/drawing/2014/main" id="{94C6C17B-506B-474C-994D-08ED57207FA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22" name="Text Box 3">
          <a:extLst>
            <a:ext uri="{FF2B5EF4-FFF2-40B4-BE49-F238E27FC236}">
              <a16:creationId xmlns:a16="http://schemas.microsoft.com/office/drawing/2014/main" id="{2B7F61C4-1449-4385-AF64-07FDFA27B82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23" name="Text Box 1">
          <a:extLst>
            <a:ext uri="{FF2B5EF4-FFF2-40B4-BE49-F238E27FC236}">
              <a16:creationId xmlns:a16="http://schemas.microsoft.com/office/drawing/2014/main" id="{4B3FAF1F-DE94-4689-86C4-683F2CE5ABC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24" name="Text Box 1">
          <a:extLst>
            <a:ext uri="{FF2B5EF4-FFF2-40B4-BE49-F238E27FC236}">
              <a16:creationId xmlns:a16="http://schemas.microsoft.com/office/drawing/2014/main" id="{8D65C987-04B6-4E99-B562-62ECA3D5A7B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25" name="Text Box 3">
          <a:extLst>
            <a:ext uri="{FF2B5EF4-FFF2-40B4-BE49-F238E27FC236}">
              <a16:creationId xmlns:a16="http://schemas.microsoft.com/office/drawing/2014/main" id="{B64040B8-C650-4DBB-B34E-F3CAD09A17C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26" name="Text Box 1">
          <a:extLst>
            <a:ext uri="{FF2B5EF4-FFF2-40B4-BE49-F238E27FC236}">
              <a16:creationId xmlns:a16="http://schemas.microsoft.com/office/drawing/2014/main" id="{0042096C-E008-4E45-A20C-E88DB68C374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227" name="Text Box 1">
          <a:extLst>
            <a:ext uri="{FF2B5EF4-FFF2-40B4-BE49-F238E27FC236}">
              <a16:creationId xmlns:a16="http://schemas.microsoft.com/office/drawing/2014/main" id="{54066BFD-9AAD-4508-97BE-2BA8459929C2}"/>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28" name="Text Box 1">
          <a:extLst>
            <a:ext uri="{FF2B5EF4-FFF2-40B4-BE49-F238E27FC236}">
              <a16:creationId xmlns:a16="http://schemas.microsoft.com/office/drawing/2014/main" id="{2746525A-44DB-490E-9372-FD7D88A645A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29" name="Text Box 3">
          <a:extLst>
            <a:ext uri="{FF2B5EF4-FFF2-40B4-BE49-F238E27FC236}">
              <a16:creationId xmlns:a16="http://schemas.microsoft.com/office/drawing/2014/main" id="{A58C27A9-5B8A-4C64-AC72-AA05D84978E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30" name="Text Box 1">
          <a:extLst>
            <a:ext uri="{FF2B5EF4-FFF2-40B4-BE49-F238E27FC236}">
              <a16:creationId xmlns:a16="http://schemas.microsoft.com/office/drawing/2014/main" id="{C0D9FE40-99E9-4E1F-85D6-02DE92BB65A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31" name="Text Box 3">
          <a:extLst>
            <a:ext uri="{FF2B5EF4-FFF2-40B4-BE49-F238E27FC236}">
              <a16:creationId xmlns:a16="http://schemas.microsoft.com/office/drawing/2014/main" id="{A16F32E9-A790-4F87-A9D5-DF62FAC0618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32" name="Text Box 1">
          <a:extLst>
            <a:ext uri="{FF2B5EF4-FFF2-40B4-BE49-F238E27FC236}">
              <a16:creationId xmlns:a16="http://schemas.microsoft.com/office/drawing/2014/main" id="{672D2EB1-4CAD-4C58-9686-AD379CAE5F2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33" name="Text Box 1">
          <a:extLst>
            <a:ext uri="{FF2B5EF4-FFF2-40B4-BE49-F238E27FC236}">
              <a16:creationId xmlns:a16="http://schemas.microsoft.com/office/drawing/2014/main" id="{92A06757-0067-4494-A248-54A6ACB1059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34" name="Text Box 3">
          <a:extLst>
            <a:ext uri="{FF2B5EF4-FFF2-40B4-BE49-F238E27FC236}">
              <a16:creationId xmlns:a16="http://schemas.microsoft.com/office/drawing/2014/main" id="{8EF547F9-0768-4B9E-994B-A3E4F3BF4E4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35" name="Text Box 1">
          <a:extLst>
            <a:ext uri="{FF2B5EF4-FFF2-40B4-BE49-F238E27FC236}">
              <a16:creationId xmlns:a16="http://schemas.microsoft.com/office/drawing/2014/main" id="{AA636910-18C9-4B05-B798-02E4347A6EA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36" name="Text Box 3">
          <a:extLst>
            <a:ext uri="{FF2B5EF4-FFF2-40B4-BE49-F238E27FC236}">
              <a16:creationId xmlns:a16="http://schemas.microsoft.com/office/drawing/2014/main" id="{915E2E6E-2F95-4EAB-BDB8-1C537C6B203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37" name="Text Box 1">
          <a:extLst>
            <a:ext uri="{FF2B5EF4-FFF2-40B4-BE49-F238E27FC236}">
              <a16:creationId xmlns:a16="http://schemas.microsoft.com/office/drawing/2014/main" id="{D07AE3A7-D35B-44F6-8743-A518FBFB446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38" name="Text Box 1">
          <a:extLst>
            <a:ext uri="{FF2B5EF4-FFF2-40B4-BE49-F238E27FC236}">
              <a16:creationId xmlns:a16="http://schemas.microsoft.com/office/drawing/2014/main" id="{2562EC7D-9D5E-4AF2-9E35-6A5FB69FD21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39" name="Text Box 3">
          <a:extLst>
            <a:ext uri="{FF2B5EF4-FFF2-40B4-BE49-F238E27FC236}">
              <a16:creationId xmlns:a16="http://schemas.microsoft.com/office/drawing/2014/main" id="{9B0B6308-6CF0-4B48-A2A6-92C288B168E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40" name="Text Box 1">
          <a:extLst>
            <a:ext uri="{FF2B5EF4-FFF2-40B4-BE49-F238E27FC236}">
              <a16:creationId xmlns:a16="http://schemas.microsoft.com/office/drawing/2014/main" id="{10C6872C-C427-4996-A73C-C7B510EA04D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41" name="Text Box 3">
          <a:extLst>
            <a:ext uri="{FF2B5EF4-FFF2-40B4-BE49-F238E27FC236}">
              <a16:creationId xmlns:a16="http://schemas.microsoft.com/office/drawing/2014/main" id="{579180DB-DE50-44E4-B8D6-B8DA64AA564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42" name="Text Box 1">
          <a:extLst>
            <a:ext uri="{FF2B5EF4-FFF2-40B4-BE49-F238E27FC236}">
              <a16:creationId xmlns:a16="http://schemas.microsoft.com/office/drawing/2014/main" id="{0BB8C0BB-F912-42FE-8E5F-792D6811129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43" name="Text Box 1">
          <a:extLst>
            <a:ext uri="{FF2B5EF4-FFF2-40B4-BE49-F238E27FC236}">
              <a16:creationId xmlns:a16="http://schemas.microsoft.com/office/drawing/2014/main" id="{EBFAE19A-5BF1-4709-8E4D-D03AC1BF69C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44" name="Text Box 3">
          <a:extLst>
            <a:ext uri="{FF2B5EF4-FFF2-40B4-BE49-F238E27FC236}">
              <a16:creationId xmlns:a16="http://schemas.microsoft.com/office/drawing/2014/main" id="{5D3CD0C6-4F7A-4701-B0E5-EC2820A881B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45" name="Text Box 1">
          <a:extLst>
            <a:ext uri="{FF2B5EF4-FFF2-40B4-BE49-F238E27FC236}">
              <a16:creationId xmlns:a16="http://schemas.microsoft.com/office/drawing/2014/main" id="{F766BF64-BB39-47F0-9A22-86362B8B76C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46" name="Text Box 3">
          <a:extLst>
            <a:ext uri="{FF2B5EF4-FFF2-40B4-BE49-F238E27FC236}">
              <a16:creationId xmlns:a16="http://schemas.microsoft.com/office/drawing/2014/main" id="{82011051-8A22-4309-A38E-387AB723372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47" name="Text Box 1">
          <a:extLst>
            <a:ext uri="{FF2B5EF4-FFF2-40B4-BE49-F238E27FC236}">
              <a16:creationId xmlns:a16="http://schemas.microsoft.com/office/drawing/2014/main" id="{DB615BD3-644D-4307-938B-158AC67F155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48" name="Text Box 1">
          <a:extLst>
            <a:ext uri="{FF2B5EF4-FFF2-40B4-BE49-F238E27FC236}">
              <a16:creationId xmlns:a16="http://schemas.microsoft.com/office/drawing/2014/main" id="{072BA5BA-F15B-4A46-BA81-2446FF282F5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49" name="Text Box 3">
          <a:extLst>
            <a:ext uri="{FF2B5EF4-FFF2-40B4-BE49-F238E27FC236}">
              <a16:creationId xmlns:a16="http://schemas.microsoft.com/office/drawing/2014/main" id="{61671B3A-D0D7-465C-BE10-87022CBF6C9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50" name="Text Box 1">
          <a:extLst>
            <a:ext uri="{FF2B5EF4-FFF2-40B4-BE49-F238E27FC236}">
              <a16:creationId xmlns:a16="http://schemas.microsoft.com/office/drawing/2014/main" id="{92C9DB07-BC6C-4D03-BD01-1B502720F2D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51" name="Text Box 3">
          <a:extLst>
            <a:ext uri="{FF2B5EF4-FFF2-40B4-BE49-F238E27FC236}">
              <a16:creationId xmlns:a16="http://schemas.microsoft.com/office/drawing/2014/main" id="{D94A3BEF-EDF8-4221-972F-55F5BA1BF39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52" name="Text Box 1">
          <a:extLst>
            <a:ext uri="{FF2B5EF4-FFF2-40B4-BE49-F238E27FC236}">
              <a16:creationId xmlns:a16="http://schemas.microsoft.com/office/drawing/2014/main" id="{CC2BEEFC-DD02-426C-A4F4-4E9F45D4D3C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53" name="Text Box 1">
          <a:extLst>
            <a:ext uri="{FF2B5EF4-FFF2-40B4-BE49-F238E27FC236}">
              <a16:creationId xmlns:a16="http://schemas.microsoft.com/office/drawing/2014/main" id="{C84ACC34-69A6-4C2D-B301-2A7DBA28B82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54" name="Text Box 3">
          <a:extLst>
            <a:ext uri="{FF2B5EF4-FFF2-40B4-BE49-F238E27FC236}">
              <a16:creationId xmlns:a16="http://schemas.microsoft.com/office/drawing/2014/main" id="{505C2C58-4A54-47C7-899E-AEC694A2DA8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55" name="Text Box 1">
          <a:extLst>
            <a:ext uri="{FF2B5EF4-FFF2-40B4-BE49-F238E27FC236}">
              <a16:creationId xmlns:a16="http://schemas.microsoft.com/office/drawing/2014/main" id="{6838DFF1-E62D-4532-8ECF-1B9B8C9B9EA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56" name="Text Box 3">
          <a:extLst>
            <a:ext uri="{FF2B5EF4-FFF2-40B4-BE49-F238E27FC236}">
              <a16:creationId xmlns:a16="http://schemas.microsoft.com/office/drawing/2014/main" id="{1492AA83-E482-40E0-AFE3-98932C2F4DD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57" name="Text Box 1">
          <a:extLst>
            <a:ext uri="{FF2B5EF4-FFF2-40B4-BE49-F238E27FC236}">
              <a16:creationId xmlns:a16="http://schemas.microsoft.com/office/drawing/2014/main" id="{963FBB76-02A1-4310-A319-F3F255E9226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58" name="Text Box 1">
          <a:extLst>
            <a:ext uri="{FF2B5EF4-FFF2-40B4-BE49-F238E27FC236}">
              <a16:creationId xmlns:a16="http://schemas.microsoft.com/office/drawing/2014/main" id="{29B44145-6F0E-4EF4-98D9-DBCDCD3B676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59" name="Text Box 3">
          <a:extLst>
            <a:ext uri="{FF2B5EF4-FFF2-40B4-BE49-F238E27FC236}">
              <a16:creationId xmlns:a16="http://schemas.microsoft.com/office/drawing/2014/main" id="{D96BE3D7-B659-443A-97F0-9FF23442C43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60" name="Text Box 1">
          <a:extLst>
            <a:ext uri="{FF2B5EF4-FFF2-40B4-BE49-F238E27FC236}">
              <a16:creationId xmlns:a16="http://schemas.microsoft.com/office/drawing/2014/main" id="{AE1AF63C-7828-4A00-9A13-3AF150510E5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61" name="Text Box 3">
          <a:extLst>
            <a:ext uri="{FF2B5EF4-FFF2-40B4-BE49-F238E27FC236}">
              <a16:creationId xmlns:a16="http://schemas.microsoft.com/office/drawing/2014/main" id="{8093928B-8EBC-47B1-9C3A-A761882299B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62" name="Text Box 1">
          <a:extLst>
            <a:ext uri="{FF2B5EF4-FFF2-40B4-BE49-F238E27FC236}">
              <a16:creationId xmlns:a16="http://schemas.microsoft.com/office/drawing/2014/main" id="{AA5AFCD1-F83E-4ED1-A6D5-FD0902A3C90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63" name="Text Box 1">
          <a:extLst>
            <a:ext uri="{FF2B5EF4-FFF2-40B4-BE49-F238E27FC236}">
              <a16:creationId xmlns:a16="http://schemas.microsoft.com/office/drawing/2014/main" id="{76B63BF0-0F02-436C-AB52-73A2B689C75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64" name="Text Box 3">
          <a:extLst>
            <a:ext uri="{FF2B5EF4-FFF2-40B4-BE49-F238E27FC236}">
              <a16:creationId xmlns:a16="http://schemas.microsoft.com/office/drawing/2014/main" id="{7DF5EC34-A9B2-47D0-8651-C0392A7F635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65" name="Text Box 1">
          <a:extLst>
            <a:ext uri="{FF2B5EF4-FFF2-40B4-BE49-F238E27FC236}">
              <a16:creationId xmlns:a16="http://schemas.microsoft.com/office/drawing/2014/main" id="{5B46E266-7668-4214-B069-64F583C069E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66" name="Text Box 3">
          <a:extLst>
            <a:ext uri="{FF2B5EF4-FFF2-40B4-BE49-F238E27FC236}">
              <a16:creationId xmlns:a16="http://schemas.microsoft.com/office/drawing/2014/main" id="{86387248-976B-4F3C-80A2-CCF8E841F5A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67" name="Text Box 1">
          <a:extLst>
            <a:ext uri="{FF2B5EF4-FFF2-40B4-BE49-F238E27FC236}">
              <a16:creationId xmlns:a16="http://schemas.microsoft.com/office/drawing/2014/main" id="{70A49CC8-9E20-4ABD-AF60-441D03B03B9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68" name="Text Box 1">
          <a:extLst>
            <a:ext uri="{FF2B5EF4-FFF2-40B4-BE49-F238E27FC236}">
              <a16:creationId xmlns:a16="http://schemas.microsoft.com/office/drawing/2014/main" id="{01086C62-CAA3-48EC-BC46-511514BF2CF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69" name="Text Box 3">
          <a:extLst>
            <a:ext uri="{FF2B5EF4-FFF2-40B4-BE49-F238E27FC236}">
              <a16:creationId xmlns:a16="http://schemas.microsoft.com/office/drawing/2014/main" id="{F584846E-1FA7-4208-8442-A0A49E24D4E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70" name="Text Box 1">
          <a:extLst>
            <a:ext uri="{FF2B5EF4-FFF2-40B4-BE49-F238E27FC236}">
              <a16:creationId xmlns:a16="http://schemas.microsoft.com/office/drawing/2014/main" id="{E1B050BE-EC21-4A45-A10B-F903E9A823E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71" name="Text Box 3">
          <a:extLst>
            <a:ext uri="{FF2B5EF4-FFF2-40B4-BE49-F238E27FC236}">
              <a16:creationId xmlns:a16="http://schemas.microsoft.com/office/drawing/2014/main" id="{52F9747F-6EE3-4C2C-AA5F-8D5E15AE34F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72" name="Text Box 1">
          <a:extLst>
            <a:ext uri="{FF2B5EF4-FFF2-40B4-BE49-F238E27FC236}">
              <a16:creationId xmlns:a16="http://schemas.microsoft.com/office/drawing/2014/main" id="{88DE83B8-E779-4726-8867-357794CCD13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73" name="Text Box 1">
          <a:extLst>
            <a:ext uri="{FF2B5EF4-FFF2-40B4-BE49-F238E27FC236}">
              <a16:creationId xmlns:a16="http://schemas.microsoft.com/office/drawing/2014/main" id="{E897FBFB-C190-4D5F-8505-7793F4AFBED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74" name="Text Box 3">
          <a:extLst>
            <a:ext uri="{FF2B5EF4-FFF2-40B4-BE49-F238E27FC236}">
              <a16:creationId xmlns:a16="http://schemas.microsoft.com/office/drawing/2014/main" id="{C147B3E9-D078-415C-89A0-27F678D990A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75" name="Text Box 1">
          <a:extLst>
            <a:ext uri="{FF2B5EF4-FFF2-40B4-BE49-F238E27FC236}">
              <a16:creationId xmlns:a16="http://schemas.microsoft.com/office/drawing/2014/main" id="{E3D3F32F-9E80-4FBE-BE0E-4ACB8CCF254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76" name="Text Box 3">
          <a:extLst>
            <a:ext uri="{FF2B5EF4-FFF2-40B4-BE49-F238E27FC236}">
              <a16:creationId xmlns:a16="http://schemas.microsoft.com/office/drawing/2014/main" id="{2942CB5B-01AC-410F-914D-5015D0DE4C4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77" name="Text Box 1">
          <a:extLst>
            <a:ext uri="{FF2B5EF4-FFF2-40B4-BE49-F238E27FC236}">
              <a16:creationId xmlns:a16="http://schemas.microsoft.com/office/drawing/2014/main" id="{1F40CF11-6514-4165-9FE4-C462C457A9C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78" name="Text Box 1">
          <a:extLst>
            <a:ext uri="{FF2B5EF4-FFF2-40B4-BE49-F238E27FC236}">
              <a16:creationId xmlns:a16="http://schemas.microsoft.com/office/drawing/2014/main" id="{2A2378F5-0841-4B82-AB0E-59A4DE25DCD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79" name="Text Box 3">
          <a:extLst>
            <a:ext uri="{FF2B5EF4-FFF2-40B4-BE49-F238E27FC236}">
              <a16:creationId xmlns:a16="http://schemas.microsoft.com/office/drawing/2014/main" id="{9A9BD325-FF37-4BCC-85EF-B4E5260619D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80" name="Text Box 1">
          <a:extLst>
            <a:ext uri="{FF2B5EF4-FFF2-40B4-BE49-F238E27FC236}">
              <a16:creationId xmlns:a16="http://schemas.microsoft.com/office/drawing/2014/main" id="{5BD189C6-AB92-46A7-8293-6BC691E0EA7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81" name="Text Box 3">
          <a:extLst>
            <a:ext uri="{FF2B5EF4-FFF2-40B4-BE49-F238E27FC236}">
              <a16:creationId xmlns:a16="http://schemas.microsoft.com/office/drawing/2014/main" id="{77E233FA-5C10-4638-9399-C91F3C75E3F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82" name="Text Box 1">
          <a:extLst>
            <a:ext uri="{FF2B5EF4-FFF2-40B4-BE49-F238E27FC236}">
              <a16:creationId xmlns:a16="http://schemas.microsoft.com/office/drawing/2014/main" id="{391F722E-BEBA-491F-9367-0C474C6E9D2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83" name="Text Box 1">
          <a:extLst>
            <a:ext uri="{FF2B5EF4-FFF2-40B4-BE49-F238E27FC236}">
              <a16:creationId xmlns:a16="http://schemas.microsoft.com/office/drawing/2014/main" id="{A5C46D45-7EDC-44A9-8FA4-6E5A8D2A488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84" name="Text Box 3">
          <a:extLst>
            <a:ext uri="{FF2B5EF4-FFF2-40B4-BE49-F238E27FC236}">
              <a16:creationId xmlns:a16="http://schemas.microsoft.com/office/drawing/2014/main" id="{BF0AA892-58FB-4785-A17C-B082E752DCF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85" name="Text Box 1">
          <a:extLst>
            <a:ext uri="{FF2B5EF4-FFF2-40B4-BE49-F238E27FC236}">
              <a16:creationId xmlns:a16="http://schemas.microsoft.com/office/drawing/2014/main" id="{08F606FC-AFEE-4F14-A627-05EEB91A808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86" name="Text Box 3">
          <a:extLst>
            <a:ext uri="{FF2B5EF4-FFF2-40B4-BE49-F238E27FC236}">
              <a16:creationId xmlns:a16="http://schemas.microsoft.com/office/drawing/2014/main" id="{018ADFDC-EB7F-4659-8E0C-653E25E4313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87" name="Text Box 1">
          <a:extLst>
            <a:ext uri="{FF2B5EF4-FFF2-40B4-BE49-F238E27FC236}">
              <a16:creationId xmlns:a16="http://schemas.microsoft.com/office/drawing/2014/main" id="{4CF054B8-9F3B-4BDA-A218-C8755E00641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88" name="Text Box 1">
          <a:extLst>
            <a:ext uri="{FF2B5EF4-FFF2-40B4-BE49-F238E27FC236}">
              <a16:creationId xmlns:a16="http://schemas.microsoft.com/office/drawing/2014/main" id="{1C28D8B6-212D-4BF6-A239-929B14F45C9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89" name="Text Box 3">
          <a:extLst>
            <a:ext uri="{FF2B5EF4-FFF2-40B4-BE49-F238E27FC236}">
              <a16:creationId xmlns:a16="http://schemas.microsoft.com/office/drawing/2014/main" id="{11F55D7C-A847-42E9-BC12-508BE2863B5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90" name="Text Box 1">
          <a:extLst>
            <a:ext uri="{FF2B5EF4-FFF2-40B4-BE49-F238E27FC236}">
              <a16:creationId xmlns:a16="http://schemas.microsoft.com/office/drawing/2014/main" id="{E1D2FDEB-A699-49F5-BB3D-C19832B1F49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91" name="Text Box 3">
          <a:extLst>
            <a:ext uri="{FF2B5EF4-FFF2-40B4-BE49-F238E27FC236}">
              <a16:creationId xmlns:a16="http://schemas.microsoft.com/office/drawing/2014/main" id="{9DA49DF6-308F-41A8-8174-6588AAED9E4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92" name="Text Box 1">
          <a:extLst>
            <a:ext uri="{FF2B5EF4-FFF2-40B4-BE49-F238E27FC236}">
              <a16:creationId xmlns:a16="http://schemas.microsoft.com/office/drawing/2014/main" id="{787E3783-6650-4161-894D-713C871090C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93" name="Text Box 1">
          <a:extLst>
            <a:ext uri="{FF2B5EF4-FFF2-40B4-BE49-F238E27FC236}">
              <a16:creationId xmlns:a16="http://schemas.microsoft.com/office/drawing/2014/main" id="{9C44E816-AED1-4EA7-8BFA-9F9A10822A0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94" name="Text Box 3">
          <a:extLst>
            <a:ext uri="{FF2B5EF4-FFF2-40B4-BE49-F238E27FC236}">
              <a16:creationId xmlns:a16="http://schemas.microsoft.com/office/drawing/2014/main" id="{E28A0728-D9C0-44BE-B9BF-8052312D5CC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95" name="Text Box 1">
          <a:extLst>
            <a:ext uri="{FF2B5EF4-FFF2-40B4-BE49-F238E27FC236}">
              <a16:creationId xmlns:a16="http://schemas.microsoft.com/office/drawing/2014/main" id="{F32D1987-E9B9-4598-BB0B-7B7B4A30BE2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96" name="Text Box 3">
          <a:extLst>
            <a:ext uri="{FF2B5EF4-FFF2-40B4-BE49-F238E27FC236}">
              <a16:creationId xmlns:a16="http://schemas.microsoft.com/office/drawing/2014/main" id="{E16075D2-AE15-429B-8E35-9F730184089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97" name="Text Box 1">
          <a:extLst>
            <a:ext uri="{FF2B5EF4-FFF2-40B4-BE49-F238E27FC236}">
              <a16:creationId xmlns:a16="http://schemas.microsoft.com/office/drawing/2014/main" id="{04549364-41E1-47F5-B6E0-4920AF0D612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98" name="Text Box 1">
          <a:extLst>
            <a:ext uri="{FF2B5EF4-FFF2-40B4-BE49-F238E27FC236}">
              <a16:creationId xmlns:a16="http://schemas.microsoft.com/office/drawing/2014/main" id="{18B55994-6597-4D21-9672-4B895DB50F4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99" name="Text Box 3">
          <a:extLst>
            <a:ext uri="{FF2B5EF4-FFF2-40B4-BE49-F238E27FC236}">
              <a16:creationId xmlns:a16="http://schemas.microsoft.com/office/drawing/2014/main" id="{F67D8A02-AAC0-4069-B067-EE7CE85FC77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00" name="Text Box 1">
          <a:extLst>
            <a:ext uri="{FF2B5EF4-FFF2-40B4-BE49-F238E27FC236}">
              <a16:creationId xmlns:a16="http://schemas.microsoft.com/office/drawing/2014/main" id="{67B935A9-1726-41EF-911D-6E301D8699B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01" name="Text Box 3">
          <a:extLst>
            <a:ext uri="{FF2B5EF4-FFF2-40B4-BE49-F238E27FC236}">
              <a16:creationId xmlns:a16="http://schemas.microsoft.com/office/drawing/2014/main" id="{1BF0FB94-9085-435A-A767-54F34E3894B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02" name="Text Box 1">
          <a:extLst>
            <a:ext uri="{FF2B5EF4-FFF2-40B4-BE49-F238E27FC236}">
              <a16:creationId xmlns:a16="http://schemas.microsoft.com/office/drawing/2014/main" id="{EE00F1B2-4FC8-4159-B6F1-1E8FD574FFF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03" name="Text Box 1">
          <a:extLst>
            <a:ext uri="{FF2B5EF4-FFF2-40B4-BE49-F238E27FC236}">
              <a16:creationId xmlns:a16="http://schemas.microsoft.com/office/drawing/2014/main" id="{68ED1D73-2B65-45F9-BCF4-51CB5BE404A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04" name="Text Box 3">
          <a:extLst>
            <a:ext uri="{FF2B5EF4-FFF2-40B4-BE49-F238E27FC236}">
              <a16:creationId xmlns:a16="http://schemas.microsoft.com/office/drawing/2014/main" id="{93B88E6C-0F9E-4574-BF55-570D209E526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05" name="Text Box 1">
          <a:extLst>
            <a:ext uri="{FF2B5EF4-FFF2-40B4-BE49-F238E27FC236}">
              <a16:creationId xmlns:a16="http://schemas.microsoft.com/office/drawing/2014/main" id="{033A7EC6-4E80-4159-B8CE-74B52C2D102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06" name="Text Box 3">
          <a:extLst>
            <a:ext uri="{FF2B5EF4-FFF2-40B4-BE49-F238E27FC236}">
              <a16:creationId xmlns:a16="http://schemas.microsoft.com/office/drawing/2014/main" id="{3D639AB5-C6AA-493E-B5BD-0E9DDEAAD87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07" name="Text Box 1">
          <a:extLst>
            <a:ext uri="{FF2B5EF4-FFF2-40B4-BE49-F238E27FC236}">
              <a16:creationId xmlns:a16="http://schemas.microsoft.com/office/drawing/2014/main" id="{A251B6C9-FE4D-4522-A655-2957FACEC75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08" name="Text Box 1">
          <a:extLst>
            <a:ext uri="{FF2B5EF4-FFF2-40B4-BE49-F238E27FC236}">
              <a16:creationId xmlns:a16="http://schemas.microsoft.com/office/drawing/2014/main" id="{0ED94FDC-AA82-4BEE-96B6-551A493EC1E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09" name="Text Box 3">
          <a:extLst>
            <a:ext uri="{FF2B5EF4-FFF2-40B4-BE49-F238E27FC236}">
              <a16:creationId xmlns:a16="http://schemas.microsoft.com/office/drawing/2014/main" id="{E10C70F0-9287-4921-AA99-764326A2BC6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10" name="Text Box 1">
          <a:extLst>
            <a:ext uri="{FF2B5EF4-FFF2-40B4-BE49-F238E27FC236}">
              <a16:creationId xmlns:a16="http://schemas.microsoft.com/office/drawing/2014/main" id="{5D2E2ECB-39EF-4FC7-B969-38D5EDFE849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11" name="Text Box 3">
          <a:extLst>
            <a:ext uri="{FF2B5EF4-FFF2-40B4-BE49-F238E27FC236}">
              <a16:creationId xmlns:a16="http://schemas.microsoft.com/office/drawing/2014/main" id="{51608F09-C117-4EFE-A120-7FCBCC07CD6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12" name="Text Box 1">
          <a:extLst>
            <a:ext uri="{FF2B5EF4-FFF2-40B4-BE49-F238E27FC236}">
              <a16:creationId xmlns:a16="http://schemas.microsoft.com/office/drawing/2014/main" id="{08A0DDCE-D680-4BF2-802B-10DB726423A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13" name="Text Box 1">
          <a:extLst>
            <a:ext uri="{FF2B5EF4-FFF2-40B4-BE49-F238E27FC236}">
              <a16:creationId xmlns:a16="http://schemas.microsoft.com/office/drawing/2014/main" id="{7FBB761F-AEC7-4BF5-B44D-7A68B859D59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14" name="Text Box 3">
          <a:extLst>
            <a:ext uri="{FF2B5EF4-FFF2-40B4-BE49-F238E27FC236}">
              <a16:creationId xmlns:a16="http://schemas.microsoft.com/office/drawing/2014/main" id="{A6EF9CAA-65A1-4951-B646-26420BCCD58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15" name="Text Box 1">
          <a:extLst>
            <a:ext uri="{FF2B5EF4-FFF2-40B4-BE49-F238E27FC236}">
              <a16:creationId xmlns:a16="http://schemas.microsoft.com/office/drawing/2014/main" id="{71D584F2-6C00-42E9-A618-D619743D925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16" name="Text Box 3">
          <a:extLst>
            <a:ext uri="{FF2B5EF4-FFF2-40B4-BE49-F238E27FC236}">
              <a16:creationId xmlns:a16="http://schemas.microsoft.com/office/drawing/2014/main" id="{45A227E6-61C9-44CC-9ABE-9BF7C8AB774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17" name="Text Box 1">
          <a:extLst>
            <a:ext uri="{FF2B5EF4-FFF2-40B4-BE49-F238E27FC236}">
              <a16:creationId xmlns:a16="http://schemas.microsoft.com/office/drawing/2014/main" id="{508B00DB-DEDB-4F8C-96BD-719E346BF35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18" name="Text Box 1">
          <a:extLst>
            <a:ext uri="{FF2B5EF4-FFF2-40B4-BE49-F238E27FC236}">
              <a16:creationId xmlns:a16="http://schemas.microsoft.com/office/drawing/2014/main" id="{ECA56345-6285-4910-953E-E761AC1644B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19" name="Text Box 3">
          <a:extLst>
            <a:ext uri="{FF2B5EF4-FFF2-40B4-BE49-F238E27FC236}">
              <a16:creationId xmlns:a16="http://schemas.microsoft.com/office/drawing/2014/main" id="{83F5F342-C95D-4757-A264-6FBF65E9628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20" name="Text Box 1">
          <a:extLst>
            <a:ext uri="{FF2B5EF4-FFF2-40B4-BE49-F238E27FC236}">
              <a16:creationId xmlns:a16="http://schemas.microsoft.com/office/drawing/2014/main" id="{65025722-1B91-49BC-8096-3F2854BE6AB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21" name="Text Box 3">
          <a:extLst>
            <a:ext uri="{FF2B5EF4-FFF2-40B4-BE49-F238E27FC236}">
              <a16:creationId xmlns:a16="http://schemas.microsoft.com/office/drawing/2014/main" id="{137833A2-1C52-44EE-B186-B5B53DE1DC1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22" name="Text Box 1">
          <a:extLst>
            <a:ext uri="{FF2B5EF4-FFF2-40B4-BE49-F238E27FC236}">
              <a16:creationId xmlns:a16="http://schemas.microsoft.com/office/drawing/2014/main" id="{621DF2B0-8684-41BE-B68B-C60173E706E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23" name="Text Box 1">
          <a:extLst>
            <a:ext uri="{FF2B5EF4-FFF2-40B4-BE49-F238E27FC236}">
              <a16:creationId xmlns:a16="http://schemas.microsoft.com/office/drawing/2014/main" id="{4451FD3D-A594-4ABB-A3C5-B7C49A4D035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24" name="Text Box 3">
          <a:extLst>
            <a:ext uri="{FF2B5EF4-FFF2-40B4-BE49-F238E27FC236}">
              <a16:creationId xmlns:a16="http://schemas.microsoft.com/office/drawing/2014/main" id="{E9A15315-1BA0-43A7-AECF-D57A48EB9B9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25" name="Text Box 1">
          <a:extLst>
            <a:ext uri="{FF2B5EF4-FFF2-40B4-BE49-F238E27FC236}">
              <a16:creationId xmlns:a16="http://schemas.microsoft.com/office/drawing/2014/main" id="{543C6105-94D0-4372-8811-886EF619099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26" name="Text Box 3">
          <a:extLst>
            <a:ext uri="{FF2B5EF4-FFF2-40B4-BE49-F238E27FC236}">
              <a16:creationId xmlns:a16="http://schemas.microsoft.com/office/drawing/2014/main" id="{18B87B45-44A7-47DF-97BC-2AFEFF936EA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27" name="Text Box 1">
          <a:extLst>
            <a:ext uri="{FF2B5EF4-FFF2-40B4-BE49-F238E27FC236}">
              <a16:creationId xmlns:a16="http://schemas.microsoft.com/office/drawing/2014/main" id="{82B7926B-4CF2-4B73-8A55-17629C267AE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28" name="Text Box 1">
          <a:extLst>
            <a:ext uri="{FF2B5EF4-FFF2-40B4-BE49-F238E27FC236}">
              <a16:creationId xmlns:a16="http://schemas.microsoft.com/office/drawing/2014/main" id="{3B425113-7B2D-4AEA-A6A3-56B321D92DD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29" name="Text Box 3">
          <a:extLst>
            <a:ext uri="{FF2B5EF4-FFF2-40B4-BE49-F238E27FC236}">
              <a16:creationId xmlns:a16="http://schemas.microsoft.com/office/drawing/2014/main" id="{5D8A5B3A-A4F3-4C72-A081-D554C6D5AC5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30" name="Text Box 1">
          <a:extLst>
            <a:ext uri="{FF2B5EF4-FFF2-40B4-BE49-F238E27FC236}">
              <a16:creationId xmlns:a16="http://schemas.microsoft.com/office/drawing/2014/main" id="{43CE00B9-5F02-4E7F-B93A-4E7E9470635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31" name="Text Box 3">
          <a:extLst>
            <a:ext uri="{FF2B5EF4-FFF2-40B4-BE49-F238E27FC236}">
              <a16:creationId xmlns:a16="http://schemas.microsoft.com/office/drawing/2014/main" id="{5AE2EE61-093D-4802-9EB6-1FA1913CD80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32" name="Text Box 1">
          <a:extLst>
            <a:ext uri="{FF2B5EF4-FFF2-40B4-BE49-F238E27FC236}">
              <a16:creationId xmlns:a16="http://schemas.microsoft.com/office/drawing/2014/main" id="{2B1969B4-EB1A-4C8F-B64F-C3D4C344749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33" name="Text Box 1">
          <a:extLst>
            <a:ext uri="{FF2B5EF4-FFF2-40B4-BE49-F238E27FC236}">
              <a16:creationId xmlns:a16="http://schemas.microsoft.com/office/drawing/2014/main" id="{DADA0F4D-AB4A-4879-AE4B-4F4418D6F2E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34" name="Text Box 3">
          <a:extLst>
            <a:ext uri="{FF2B5EF4-FFF2-40B4-BE49-F238E27FC236}">
              <a16:creationId xmlns:a16="http://schemas.microsoft.com/office/drawing/2014/main" id="{0D8A4D2E-DC0E-4DB2-AD07-01C0148E8BA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35" name="Text Box 1">
          <a:extLst>
            <a:ext uri="{FF2B5EF4-FFF2-40B4-BE49-F238E27FC236}">
              <a16:creationId xmlns:a16="http://schemas.microsoft.com/office/drawing/2014/main" id="{CF9EF505-55A3-417F-9812-2573E66E337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36" name="Text Box 3">
          <a:extLst>
            <a:ext uri="{FF2B5EF4-FFF2-40B4-BE49-F238E27FC236}">
              <a16:creationId xmlns:a16="http://schemas.microsoft.com/office/drawing/2014/main" id="{3A59C980-BDB1-4209-A166-1E4E1803243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37" name="Text Box 1">
          <a:extLst>
            <a:ext uri="{FF2B5EF4-FFF2-40B4-BE49-F238E27FC236}">
              <a16:creationId xmlns:a16="http://schemas.microsoft.com/office/drawing/2014/main" id="{5BFC42B4-6CAC-4965-9999-D3BF0F915B9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38" name="Text Box 1">
          <a:extLst>
            <a:ext uri="{FF2B5EF4-FFF2-40B4-BE49-F238E27FC236}">
              <a16:creationId xmlns:a16="http://schemas.microsoft.com/office/drawing/2014/main" id="{03C1B8FF-0D88-44EB-9168-13DDAF543F1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39" name="Text Box 3">
          <a:extLst>
            <a:ext uri="{FF2B5EF4-FFF2-40B4-BE49-F238E27FC236}">
              <a16:creationId xmlns:a16="http://schemas.microsoft.com/office/drawing/2014/main" id="{EC00EE5C-85C8-413D-8A4E-B9B820A2BB3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40" name="Text Box 1">
          <a:extLst>
            <a:ext uri="{FF2B5EF4-FFF2-40B4-BE49-F238E27FC236}">
              <a16:creationId xmlns:a16="http://schemas.microsoft.com/office/drawing/2014/main" id="{F60CAAAA-06CA-44B0-BFA3-2DF3CA8A0F6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41" name="Text Box 3">
          <a:extLst>
            <a:ext uri="{FF2B5EF4-FFF2-40B4-BE49-F238E27FC236}">
              <a16:creationId xmlns:a16="http://schemas.microsoft.com/office/drawing/2014/main" id="{2D5E40A5-80DA-4AE2-9190-E29C7B3317B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42" name="Text Box 1">
          <a:extLst>
            <a:ext uri="{FF2B5EF4-FFF2-40B4-BE49-F238E27FC236}">
              <a16:creationId xmlns:a16="http://schemas.microsoft.com/office/drawing/2014/main" id="{A09A9A87-6AE7-4AF0-B8EF-09E1E6E42C8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43" name="Text Box 1">
          <a:extLst>
            <a:ext uri="{FF2B5EF4-FFF2-40B4-BE49-F238E27FC236}">
              <a16:creationId xmlns:a16="http://schemas.microsoft.com/office/drawing/2014/main" id="{CE160347-5B15-4975-88EB-ED6740E1D74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44" name="Text Box 3">
          <a:extLst>
            <a:ext uri="{FF2B5EF4-FFF2-40B4-BE49-F238E27FC236}">
              <a16:creationId xmlns:a16="http://schemas.microsoft.com/office/drawing/2014/main" id="{8A2A7B3F-EA7C-455E-B220-D73AFF262B9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45" name="Text Box 1">
          <a:extLst>
            <a:ext uri="{FF2B5EF4-FFF2-40B4-BE49-F238E27FC236}">
              <a16:creationId xmlns:a16="http://schemas.microsoft.com/office/drawing/2014/main" id="{A339A152-23C9-4E14-9FF9-9C22D359DEA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46" name="Text Box 3">
          <a:extLst>
            <a:ext uri="{FF2B5EF4-FFF2-40B4-BE49-F238E27FC236}">
              <a16:creationId xmlns:a16="http://schemas.microsoft.com/office/drawing/2014/main" id="{6B40517F-4FF9-4B5A-9CDE-DF3A7DF5AD0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47" name="Text Box 1">
          <a:extLst>
            <a:ext uri="{FF2B5EF4-FFF2-40B4-BE49-F238E27FC236}">
              <a16:creationId xmlns:a16="http://schemas.microsoft.com/office/drawing/2014/main" id="{AAB63EE4-641C-4758-82DB-1F8048821D5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48" name="Text Box 1">
          <a:extLst>
            <a:ext uri="{FF2B5EF4-FFF2-40B4-BE49-F238E27FC236}">
              <a16:creationId xmlns:a16="http://schemas.microsoft.com/office/drawing/2014/main" id="{E98CFFC7-95C2-4E1B-8476-4EBE2DF22F6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49" name="Text Box 3">
          <a:extLst>
            <a:ext uri="{FF2B5EF4-FFF2-40B4-BE49-F238E27FC236}">
              <a16:creationId xmlns:a16="http://schemas.microsoft.com/office/drawing/2014/main" id="{3919A755-9099-4B1A-9D54-E49E6255AEA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50" name="Text Box 1">
          <a:extLst>
            <a:ext uri="{FF2B5EF4-FFF2-40B4-BE49-F238E27FC236}">
              <a16:creationId xmlns:a16="http://schemas.microsoft.com/office/drawing/2014/main" id="{CA99A7B5-D7FF-4B84-A13D-F53E9C840DE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51" name="Text Box 3">
          <a:extLst>
            <a:ext uri="{FF2B5EF4-FFF2-40B4-BE49-F238E27FC236}">
              <a16:creationId xmlns:a16="http://schemas.microsoft.com/office/drawing/2014/main" id="{D36CD785-DE7B-4F3B-B243-AC36844982A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52" name="Text Box 1">
          <a:extLst>
            <a:ext uri="{FF2B5EF4-FFF2-40B4-BE49-F238E27FC236}">
              <a16:creationId xmlns:a16="http://schemas.microsoft.com/office/drawing/2014/main" id="{5251F1FE-2100-4FA1-B393-0A1CBEA5EAE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53" name="Text Box 1">
          <a:extLst>
            <a:ext uri="{FF2B5EF4-FFF2-40B4-BE49-F238E27FC236}">
              <a16:creationId xmlns:a16="http://schemas.microsoft.com/office/drawing/2014/main" id="{C9908E4E-814E-4651-A1A6-B2C8A485C55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54" name="Text Box 3">
          <a:extLst>
            <a:ext uri="{FF2B5EF4-FFF2-40B4-BE49-F238E27FC236}">
              <a16:creationId xmlns:a16="http://schemas.microsoft.com/office/drawing/2014/main" id="{014CA8E5-DE78-4C3D-9C0D-7E2D5F5913C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55" name="Text Box 1">
          <a:extLst>
            <a:ext uri="{FF2B5EF4-FFF2-40B4-BE49-F238E27FC236}">
              <a16:creationId xmlns:a16="http://schemas.microsoft.com/office/drawing/2014/main" id="{ED801723-E88F-4F5D-80A4-CF98CF6295B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56" name="Text Box 3">
          <a:extLst>
            <a:ext uri="{FF2B5EF4-FFF2-40B4-BE49-F238E27FC236}">
              <a16:creationId xmlns:a16="http://schemas.microsoft.com/office/drawing/2014/main" id="{BAE47A24-895A-4E9C-8614-138B846383B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57" name="Text Box 1">
          <a:extLst>
            <a:ext uri="{FF2B5EF4-FFF2-40B4-BE49-F238E27FC236}">
              <a16:creationId xmlns:a16="http://schemas.microsoft.com/office/drawing/2014/main" id="{1BAA379F-8891-49E1-9BBB-AF43C8EE40B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58" name="Text Box 1">
          <a:extLst>
            <a:ext uri="{FF2B5EF4-FFF2-40B4-BE49-F238E27FC236}">
              <a16:creationId xmlns:a16="http://schemas.microsoft.com/office/drawing/2014/main" id="{BF02F568-CAC6-4072-8B47-236DCDACA57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59" name="Text Box 3">
          <a:extLst>
            <a:ext uri="{FF2B5EF4-FFF2-40B4-BE49-F238E27FC236}">
              <a16:creationId xmlns:a16="http://schemas.microsoft.com/office/drawing/2014/main" id="{16FF05DC-F6E0-4BD8-881C-8A16C1C9FAA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60" name="Text Box 1">
          <a:extLst>
            <a:ext uri="{FF2B5EF4-FFF2-40B4-BE49-F238E27FC236}">
              <a16:creationId xmlns:a16="http://schemas.microsoft.com/office/drawing/2014/main" id="{5FE21F1A-BE82-4925-B5B6-775FED75A11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61" name="Text Box 3">
          <a:extLst>
            <a:ext uri="{FF2B5EF4-FFF2-40B4-BE49-F238E27FC236}">
              <a16:creationId xmlns:a16="http://schemas.microsoft.com/office/drawing/2014/main" id="{EE3B81BB-6CBF-4BF5-94DB-AD9B331F3D4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62" name="Text Box 1">
          <a:extLst>
            <a:ext uri="{FF2B5EF4-FFF2-40B4-BE49-F238E27FC236}">
              <a16:creationId xmlns:a16="http://schemas.microsoft.com/office/drawing/2014/main" id="{EF9F64DD-38CF-4931-845D-F637D486AD6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63" name="Text Box 1">
          <a:extLst>
            <a:ext uri="{FF2B5EF4-FFF2-40B4-BE49-F238E27FC236}">
              <a16:creationId xmlns:a16="http://schemas.microsoft.com/office/drawing/2014/main" id="{80BF0D86-5D8A-4C42-9AB4-FF309AB4238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64" name="Text Box 3">
          <a:extLst>
            <a:ext uri="{FF2B5EF4-FFF2-40B4-BE49-F238E27FC236}">
              <a16:creationId xmlns:a16="http://schemas.microsoft.com/office/drawing/2014/main" id="{FD5305D9-BC6D-4437-9EF4-0907A3EB997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65" name="Text Box 1">
          <a:extLst>
            <a:ext uri="{FF2B5EF4-FFF2-40B4-BE49-F238E27FC236}">
              <a16:creationId xmlns:a16="http://schemas.microsoft.com/office/drawing/2014/main" id="{6E4E5674-682E-4551-8315-AC18D80C70D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66" name="Text Box 3">
          <a:extLst>
            <a:ext uri="{FF2B5EF4-FFF2-40B4-BE49-F238E27FC236}">
              <a16:creationId xmlns:a16="http://schemas.microsoft.com/office/drawing/2014/main" id="{9B4D8C0A-ED73-4F42-9F64-E5156DEAC22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67" name="Text Box 1">
          <a:extLst>
            <a:ext uri="{FF2B5EF4-FFF2-40B4-BE49-F238E27FC236}">
              <a16:creationId xmlns:a16="http://schemas.microsoft.com/office/drawing/2014/main" id="{7ADF4D37-A0E2-4AD4-B9A3-CFE01BEECE9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68" name="Text Box 1">
          <a:extLst>
            <a:ext uri="{FF2B5EF4-FFF2-40B4-BE49-F238E27FC236}">
              <a16:creationId xmlns:a16="http://schemas.microsoft.com/office/drawing/2014/main" id="{F0FD02A9-BC3A-4660-8D44-70EA9BF7912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69" name="Text Box 3">
          <a:extLst>
            <a:ext uri="{FF2B5EF4-FFF2-40B4-BE49-F238E27FC236}">
              <a16:creationId xmlns:a16="http://schemas.microsoft.com/office/drawing/2014/main" id="{314DA069-E818-4EA9-93FE-A862F6C2E2C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70" name="Text Box 1">
          <a:extLst>
            <a:ext uri="{FF2B5EF4-FFF2-40B4-BE49-F238E27FC236}">
              <a16:creationId xmlns:a16="http://schemas.microsoft.com/office/drawing/2014/main" id="{9F59D480-8BCB-447E-8616-1FDC3C004A7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71" name="Text Box 3">
          <a:extLst>
            <a:ext uri="{FF2B5EF4-FFF2-40B4-BE49-F238E27FC236}">
              <a16:creationId xmlns:a16="http://schemas.microsoft.com/office/drawing/2014/main" id="{9E244B23-DC94-4334-9779-825DEE1BC91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72" name="Text Box 1">
          <a:extLst>
            <a:ext uri="{FF2B5EF4-FFF2-40B4-BE49-F238E27FC236}">
              <a16:creationId xmlns:a16="http://schemas.microsoft.com/office/drawing/2014/main" id="{586DBA95-2CAB-4276-AD1E-7C7C76FB557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73" name="Text Box 1">
          <a:extLst>
            <a:ext uri="{FF2B5EF4-FFF2-40B4-BE49-F238E27FC236}">
              <a16:creationId xmlns:a16="http://schemas.microsoft.com/office/drawing/2014/main" id="{57E17975-5281-4961-9C09-68428683C9F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74" name="Text Box 3">
          <a:extLst>
            <a:ext uri="{FF2B5EF4-FFF2-40B4-BE49-F238E27FC236}">
              <a16:creationId xmlns:a16="http://schemas.microsoft.com/office/drawing/2014/main" id="{740C0364-6805-4E40-A8CC-EA4AA66F46B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75" name="Text Box 1">
          <a:extLst>
            <a:ext uri="{FF2B5EF4-FFF2-40B4-BE49-F238E27FC236}">
              <a16:creationId xmlns:a16="http://schemas.microsoft.com/office/drawing/2014/main" id="{4B6F2888-A928-4821-868A-FBA93332851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76" name="Text Box 3">
          <a:extLst>
            <a:ext uri="{FF2B5EF4-FFF2-40B4-BE49-F238E27FC236}">
              <a16:creationId xmlns:a16="http://schemas.microsoft.com/office/drawing/2014/main" id="{9DD1B9CC-19F0-4E80-B0D1-C915D30F7C8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77" name="Text Box 1">
          <a:extLst>
            <a:ext uri="{FF2B5EF4-FFF2-40B4-BE49-F238E27FC236}">
              <a16:creationId xmlns:a16="http://schemas.microsoft.com/office/drawing/2014/main" id="{F2C6E502-ECE7-4263-B477-463559E21B9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78" name="Text Box 1">
          <a:extLst>
            <a:ext uri="{FF2B5EF4-FFF2-40B4-BE49-F238E27FC236}">
              <a16:creationId xmlns:a16="http://schemas.microsoft.com/office/drawing/2014/main" id="{627CC071-CF15-4908-88F2-47BAC2564D8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79" name="Text Box 3">
          <a:extLst>
            <a:ext uri="{FF2B5EF4-FFF2-40B4-BE49-F238E27FC236}">
              <a16:creationId xmlns:a16="http://schemas.microsoft.com/office/drawing/2014/main" id="{E3FD9683-120B-4CD5-99DF-93581B9B251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80" name="Text Box 1">
          <a:extLst>
            <a:ext uri="{FF2B5EF4-FFF2-40B4-BE49-F238E27FC236}">
              <a16:creationId xmlns:a16="http://schemas.microsoft.com/office/drawing/2014/main" id="{B2289157-6342-4861-BCC9-CA9E36A5D7C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81" name="Text Box 3">
          <a:extLst>
            <a:ext uri="{FF2B5EF4-FFF2-40B4-BE49-F238E27FC236}">
              <a16:creationId xmlns:a16="http://schemas.microsoft.com/office/drawing/2014/main" id="{2470C5DD-CC3C-48B3-97C7-C6CD4FAA7B0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82" name="Text Box 1">
          <a:extLst>
            <a:ext uri="{FF2B5EF4-FFF2-40B4-BE49-F238E27FC236}">
              <a16:creationId xmlns:a16="http://schemas.microsoft.com/office/drawing/2014/main" id="{83275505-F932-4517-BA54-C7223AAD0D4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83" name="Text Box 1">
          <a:extLst>
            <a:ext uri="{FF2B5EF4-FFF2-40B4-BE49-F238E27FC236}">
              <a16:creationId xmlns:a16="http://schemas.microsoft.com/office/drawing/2014/main" id="{267B9711-6B9A-4FDF-B17D-3B2566F0042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84" name="Text Box 3">
          <a:extLst>
            <a:ext uri="{FF2B5EF4-FFF2-40B4-BE49-F238E27FC236}">
              <a16:creationId xmlns:a16="http://schemas.microsoft.com/office/drawing/2014/main" id="{C22375F1-6318-4E1F-BE27-0341ADC09C1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85" name="Text Box 1">
          <a:extLst>
            <a:ext uri="{FF2B5EF4-FFF2-40B4-BE49-F238E27FC236}">
              <a16:creationId xmlns:a16="http://schemas.microsoft.com/office/drawing/2014/main" id="{64BBE020-3627-41DE-8BC6-1EDB4EF61C7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86" name="Text Box 3">
          <a:extLst>
            <a:ext uri="{FF2B5EF4-FFF2-40B4-BE49-F238E27FC236}">
              <a16:creationId xmlns:a16="http://schemas.microsoft.com/office/drawing/2014/main" id="{296DB04F-E5E6-43D0-B276-C4B5104756F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87" name="Text Box 1">
          <a:extLst>
            <a:ext uri="{FF2B5EF4-FFF2-40B4-BE49-F238E27FC236}">
              <a16:creationId xmlns:a16="http://schemas.microsoft.com/office/drawing/2014/main" id="{55362434-F222-44F7-BA45-1B6F6526F19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88" name="Text Box 1">
          <a:extLst>
            <a:ext uri="{FF2B5EF4-FFF2-40B4-BE49-F238E27FC236}">
              <a16:creationId xmlns:a16="http://schemas.microsoft.com/office/drawing/2014/main" id="{E7CA8BFD-2108-4334-9D26-D630A5B3DDA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89" name="Text Box 3">
          <a:extLst>
            <a:ext uri="{FF2B5EF4-FFF2-40B4-BE49-F238E27FC236}">
              <a16:creationId xmlns:a16="http://schemas.microsoft.com/office/drawing/2014/main" id="{1E9E88DE-1E51-4064-9B5E-ECF6CCDD8DE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90" name="Text Box 1">
          <a:extLst>
            <a:ext uri="{FF2B5EF4-FFF2-40B4-BE49-F238E27FC236}">
              <a16:creationId xmlns:a16="http://schemas.microsoft.com/office/drawing/2014/main" id="{43B727E7-E689-432D-A5AC-7A68D1428FF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91" name="Text Box 3">
          <a:extLst>
            <a:ext uri="{FF2B5EF4-FFF2-40B4-BE49-F238E27FC236}">
              <a16:creationId xmlns:a16="http://schemas.microsoft.com/office/drawing/2014/main" id="{6586429F-0CB8-411A-BF38-E711A978F08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92" name="Text Box 1">
          <a:extLst>
            <a:ext uri="{FF2B5EF4-FFF2-40B4-BE49-F238E27FC236}">
              <a16:creationId xmlns:a16="http://schemas.microsoft.com/office/drawing/2014/main" id="{12E4C7CD-F2B2-4563-98C6-F55840BD831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93" name="Text Box 1">
          <a:extLst>
            <a:ext uri="{FF2B5EF4-FFF2-40B4-BE49-F238E27FC236}">
              <a16:creationId xmlns:a16="http://schemas.microsoft.com/office/drawing/2014/main" id="{13CE46CC-A680-44A4-B2FC-06F5B3839DF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94" name="Text Box 3">
          <a:extLst>
            <a:ext uri="{FF2B5EF4-FFF2-40B4-BE49-F238E27FC236}">
              <a16:creationId xmlns:a16="http://schemas.microsoft.com/office/drawing/2014/main" id="{9C9CC620-EC50-441D-95A0-2320167345C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95" name="Text Box 1">
          <a:extLst>
            <a:ext uri="{FF2B5EF4-FFF2-40B4-BE49-F238E27FC236}">
              <a16:creationId xmlns:a16="http://schemas.microsoft.com/office/drawing/2014/main" id="{D5956524-0A6C-47C2-8A6B-DB8CC85AC29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96" name="Text Box 3">
          <a:extLst>
            <a:ext uri="{FF2B5EF4-FFF2-40B4-BE49-F238E27FC236}">
              <a16:creationId xmlns:a16="http://schemas.microsoft.com/office/drawing/2014/main" id="{6FDA74C7-ED56-4DEE-9170-D82633D01E7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97" name="Text Box 1">
          <a:extLst>
            <a:ext uri="{FF2B5EF4-FFF2-40B4-BE49-F238E27FC236}">
              <a16:creationId xmlns:a16="http://schemas.microsoft.com/office/drawing/2014/main" id="{98023A23-53D6-44A7-BEC9-F53001A22FF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98" name="Text Box 1">
          <a:extLst>
            <a:ext uri="{FF2B5EF4-FFF2-40B4-BE49-F238E27FC236}">
              <a16:creationId xmlns:a16="http://schemas.microsoft.com/office/drawing/2014/main" id="{8783F646-C562-4B72-8D5A-8ED7C47C40F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99" name="Text Box 3">
          <a:extLst>
            <a:ext uri="{FF2B5EF4-FFF2-40B4-BE49-F238E27FC236}">
              <a16:creationId xmlns:a16="http://schemas.microsoft.com/office/drawing/2014/main" id="{AA764603-075D-40CD-92CE-AB123487C90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00" name="Text Box 1">
          <a:extLst>
            <a:ext uri="{FF2B5EF4-FFF2-40B4-BE49-F238E27FC236}">
              <a16:creationId xmlns:a16="http://schemas.microsoft.com/office/drawing/2014/main" id="{4A04D75F-F259-45DA-BA5C-4FE18891660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01" name="Text Box 3">
          <a:extLst>
            <a:ext uri="{FF2B5EF4-FFF2-40B4-BE49-F238E27FC236}">
              <a16:creationId xmlns:a16="http://schemas.microsoft.com/office/drawing/2014/main" id="{CE7C3539-31FA-4CD1-8AE2-5F315CCDF70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02" name="Text Box 1">
          <a:extLst>
            <a:ext uri="{FF2B5EF4-FFF2-40B4-BE49-F238E27FC236}">
              <a16:creationId xmlns:a16="http://schemas.microsoft.com/office/drawing/2014/main" id="{997D542D-B1EA-43FF-93C0-4D6A573968C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03" name="Text Box 1">
          <a:extLst>
            <a:ext uri="{FF2B5EF4-FFF2-40B4-BE49-F238E27FC236}">
              <a16:creationId xmlns:a16="http://schemas.microsoft.com/office/drawing/2014/main" id="{3F5B57DE-4892-4510-9CB0-5A9B8A1BDE0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04" name="Text Box 3">
          <a:extLst>
            <a:ext uri="{FF2B5EF4-FFF2-40B4-BE49-F238E27FC236}">
              <a16:creationId xmlns:a16="http://schemas.microsoft.com/office/drawing/2014/main" id="{CD1E9B8F-B24A-4DE5-8FB9-3DDD23331CD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05" name="Text Box 1">
          <a:extLst>
            <a:ext uri="{FF2B5EF4-FFF2-40B4-BE49-F238E27FC236}">
              <a16:creationId xmlns:a16="http://schemas.microsoft.com/office/drawing/2014/main" id="{F25C2628-FE83-4A39-9E65-27AB88F5131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06" name="Text Box 3">
          <a:extLst>
            <a:ext uri="{FF2B5EF4-FFF2-40B4-BE49-F238E27FC236}">
              <a16:creationId xmlns:a16="http://schemas.microsoft.com/office/drawing/2014/main" id="{F30F1370-C4A8-48F0-964F-F080709D863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07" name="Text Box 1">
          <a:extLst>
            <a:ext uri="{FF2B5EF4-FFF2-40B4-BE49-F238E27FC236}">
              <a16:creationId xmlns:a16="http://schemas.microsoft.com/office/drawing/2014/main" id="{19E70E1A-7469-494A-980D-BE086DD7D2E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08" name="Text Box 1">
          <a:extLst>
            <a:ext uri="{FF2B5EF4-FFF2-40B4-BE49-F238E27FC236}">
              <a16:creationId xmlns:a16="http://schemas.microsoft.com/office/drawing/2014/main" id="{95988EDC-C8B3-4095-B3D7-3E72A26657A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09" name="Text Box 3">
          <a:extLst>
            <a:ext uri="{FF2B5EF4-FFF2-40B4-BE49-F238E27FC236}">
              <a16:creationId xmlns:a16="http://schemas.microsoft.com/office/drawing/2014/main" id="{A16FCB50-35CD-4B70-875B-40C52AC5462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10" name="Text Box 1">
          <a:extLst>
            <a:ext uri="{FF2B5EF4-FFF2-40B4-BE49-F238E27FC236}">
              <a16:creationId xmlns:a16="http://schemas.microsoft.com/office/drawing/2014/main" id="{D73BCEAF-9BB7-450A-897D-06F96FF68DA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11" name="Text Box 3">
          <a:extLst>
            <a:ext uri="{FF2B5EF4-FFF2-40B4-BE49-F238E27FC236}">
              <a16:creationId xmlns:a16="http://schemas.microsoft.com/office/drawing/2014/main" id="{E20B8CFB-4F6A-41A2-8C36-8AE765035A9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12" name="Text Box 1">
          <a:extLst>
            <a:ext uri="{FF2B5EF4-FFF2-40B4-BE49-F238E27FC236}">
              <a16:creationId xmlns:a16="http://schemas.microsoft.com/office/drawing/2014/main" id="{C8499284-B834-4F16-99C0-49F1BBC7347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13" name="Text Box 1">
          <a:extLst>
            <a:ext uri="{FF2B5EF4-FFF2-40B4-BE49-F238E27FC236}">
              <a16:creationId xmlns:a16="http://schemas.microsoft.com/office/drawing/2014/main" id="{0EA112A1-50C2-4954-BE9E-09CA0CE785A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14" name="Text Box 3">
          <a:extLst>
            <a:ext uri="{FF2B5EF4-FFF2-40B4-BE49-F238E27FC236}">
              <a16:creationId xmlns:a16="http://schemas.microsoft.com/office/drawing/2014/main" id="{3A7DF30A-65DA-4AAD-AA85-C5FB19E008E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15" name="Text Box 1">
          <a:extLst>
            <a:ext uri="{FF2B5EF4-FFF2-40B4-BE49-F238E27FC236}">
              <a16:creationId xmlns:a16="http://schemas.microsoft.com/office/drawing/2014/main" id="{4C2D8D07-112C-4F30-8252-48981E5159B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16" name="Text Box 3">
          <a:extLst>
            <a:ext uri="{FF2B5EF4-FFF2-40B4-BE49-F238E27FC236}">
              <a16:creationId xmlns:a16="http://schemas.microsoft.com/office/drawing/2014/main" id="{77C032BB-E8A4-4754-A74C-0A485376A37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17" name="Text Box 1">
          <a:extLst>
            <a:ext uri="{FF2B5EF4-FFF2-40B4-BE49-F238E27FC236}">
              <a16:creationId xmlns:a16="http://schemas.microsoft.com/office/drawing/2014/main" id="{6ADFD67F-7944-41EC-A2DA-B5C9B2DA732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18" name="Text Box 1">
          <a:extLst>
            <a:ext uri="{FF2B5EF4-FFF2-40B4-BE49-F238E27FC236}">
              <a16:creationId xmlns:a16="http://schemas.microsoft.com/office/drawing/2014/main" id="{511FACCC-ED72-4889-B8D0-4CC7CDB4CE6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19" name="Text Box 3">
          <a:extLst>
            <a:ext uri="{FF2B5EF4-FFF2-40B4-BE49-F238E27FC236}">
              <a16:creationId xmlns:a16="http://schemas.microsoft.com/office/drawing/2014/main" id="{12160E0D-C85E-49F0-8BC0-2BBF966622E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20" name="Text Box 1">
          <a:extLst>
            <a:ext uri="{FF2B5EF4-FFF2-40B4-BE49-F238E27FC236}">
              <a16:creationId xmlns:a16="http://schemas.microsoft.com/office/drawing/2014/main" id="{5E1FB5A1-B68F-424F-A570-98F9BE12072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21" name="Text Box 3">
          <a:extLst>
            <a:ext uri="{FF2B5EF4-FFF2-40B4-BE49-F238E27FC236}">
              <a16:creationId xmlns:a16="http://schemas.microsoft.com/office/drawing/2014/main" id="{6A9A8493-2F49-46BD-84D6-9A904815A7E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22" name="Text Box 1">
          <a:extLst>
            <a:ext uri="{FF2B5EF4-FFF2-40B4-BE49-F238E27FC236}">
              <a16:creationId xmlns:a16="http://schemas.microsoft.com/office/drawing/2014/main" id="{5282D4DE-E41A-42DB-93C0-EE0704CF58D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23" name="Text Box 1">
          <a:extLst>
            <a:ext uri="{FF2B5EF4-FFF2-40B4-BE49-F238E27FC236}">
              <a16:creationId xmlns:a16="http://schemas.microsoft.com/office/drawing/2014/main" id="{6DF22DDA-4C3B-4D57-86E5-E1833F99F31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24" name="Text Box 3">
          <a:extLst>
            <a:ext uri="{FF2B5EF4-FFF2-40B4-BE49-F238E27FC236}">
              <a16:creationId xmlns:a16="http://schemas.microsoft.com/office/drawing/2014/main" id="{88099B87-8391-4BC6-94B5-E5B7D73F361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25" name="Text Box 1">
          <a:extLst>
            <a:ext uri="{FF2B5EF4-FFF2-40B4-BE49-F238E27FC236}">
              <a16:creationId xmlns:a16="http://schemas.microsoft.com/office/drawing/2014/main" id="{7662D1D9-1BC4-4002-93DA-924B4012BE9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26" name="Text Box 3">
          <a:extLst>
            <a:ext uri="{FF2B5EF4-FFF2-40B4-BE49-F238E27FC236}">
              <a16:creationId xmlns:a16="http://schemas.microsoft.com/office/drawing/2014/main" id="{779270EF-4FB7-458F-B1FA-43E8578BBFB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27" name="Text Box 1">
          <a:extLst>
            <a:ext uri="{FF2B5EF4-FFF2-40B4-BE49-F238E27FC236}">
              <a16:creationId xmlns:a16="http://schemas.microsoft.com/office/drawing/2014/main" id="{B3679E7B-A6AE-4F14-9A2B-D1F8FBC9F61D}"/>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28" name="Text Box 3">
          <a:extLst>
            <a:ext uri="{FF2B5EF4-FFF2-40B4-BE49-F238E27FC236}">
              <a16:creationId xmlns:a16="http://schemas.microsoft.com/office/drawing/2014/main" id="{EABEEACF-B80E-4C9E-A5CF-5679BEDD0F63}"/>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29" name="Text Box 1">
          <a:extLst>
            <a:ext uri="{FF2B5EF4-FFF2-40B4-BE49-F238E27FC236}">
              <a16:creationId xmlns:a16="http://schemas.microsoft.com/office/drawing/2014/main" id="{9E284F83-0E55-4996-960D-94FD64E10D87}"/>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30" name="Text Box 3">
          <a:extLst>
            <a:ext uri="{FF2B5EF4-FFF2-40B4-BE49-F238E27FC236}">
              <a16:creationId xmlns:a16="http://schemas.microsoft.com/office/drawing/2014/main" id="{9E3A27A0-6792-4F46-A2E2-223792BEE510}"/>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31" name="Text Box 1">
          <a:extLst>
            <a:ext uri="{FF2B5EF4-FFF2-40B4-BE49-F238E27FC236}">
              <a16:creationId xmlns:a16="http://schemas.microsoft.com/office/drawing/2014/main" id="{98864A50-B751-49CB-BB61-4C83235E2717}"/>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32" name="Text Box 1">
          <a:extLst>
            <a:ext uri="{FF2B5EF4-FFF2-40B4-BE49-F238E27FC236}">
              <a16:creationId xmlns:a16="http://schemas.microsoft.com/office/drawing/2014/main" id="{99E5EFA3-4DBC-4ECC-B38F-6C63A6E4C2BE}"/>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33" name="Text Box 3">
          <a:extLst>
            <a:ext uri="{FF2B5EF4-FFF2-40B4-BE49-F238E27FC236}">
              <a16:creationId xmlns:a16="http://schemas.microsoft.com/office/drawing/2014/main" id="{165792EE-1524-4370-89A1-73F630C881D8}"/>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34" name="Text Box 1">
          <a:extLst>
            <a:ext uri="{FF2B5EF4-FFF2-40B4-BE49-F238E27FC236}">
              <a16:creationId xmlns:a16="http://schemas.microsoft.com/office/drawing/2014/main" id="{7957D446-C117-4ED2-B2B3-3DDEF8DDD310}"/>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35" name="Text Box 3">
          <a:extLst>
            <a:ext uri="{FF2B5EF4-FFF2-40B4-BE49-F238E27FC236}">
              <a16:creationId xmlns:a16="http://schemas.microsoft.com/office/drawing/2014/main" id="{C44B601F-7567-4E70-8806-CB9C3FB78A9F}"/>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36" name="Text Box 1">
          <a:extLst>
            <a:ext uri="{FF2B5EF4-FFF2-40B4-BE49-F238E27FC236}">
              <a16:creationId xmlns:a16="http://schemas.microsoft.com/office/drawing/2014/main" id="{AD9250A4-E98F-45A2-99D4-7BD2D7EAF442}"/>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37" name="Text Box 1">
          <a:extLst>
            <a:ext uri="{FF2B5EF4-FFF2-40B4-BE49-F238E27FC236}">
              <a16:creationId xmlns:a16="http://schemas.microsoft.com/office/drawing/2014/main" id="{5679C900-0FE8-46C5-BA71-9D781F34A2DA}"/>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38" name="Text Box 3">
          <a:extLst>
            <a:ext uri="{FF2B5EF4-FFF2-40B4-BE49-F238E27FC236}">
              <a16:creationId xmlns:a16="http://schemas.microsoft.com/office/drawing/2014/main" id="{6BF2F607-B17C-48BA-896F-77F7120941B5}"/>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39" name="Text Box 1">
          <a:extLst>
            <a:ext uri="{FF2B5EF4-FFF2-40B4-BE49-F238E27FC236}">
              <a16:creationId xmlns:a16="http://schemas.microsoft.com/office/drawing/2014/main" id="{4D451ADC-BE7B-4238-982D-6DA000119C70}"/>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40" name="Text Box 1">
          <a:extLst>
            <a:ext uri="{FF2B5EF4-FFF2-40B4-BE49-F238E27FC236}">
              <a16:creationId xmlns:a16="http://schemas.microsoft.com/office/drawing/2014/main" id="{D93D8948-080C-42F3-8FD1-BEA19EFF2B6E}"/>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41" name="Text Box 3">
          <a:extLst>
            <a:ext uri="{FF2B5EF4-FFF2-40B4-BE49-F238E27FC236}">
              <a16:creationId xmlns:a16="http://schemas.microsoft.com/office/drawing/2014/main" id="{C2442D35-25FD-4AA4-801A-1F9235B197EE}"/>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42" name="Text Box 1">
          <a:extLst>
            <a:ext uri="{FF2B5EF4-FFF2-40B4-BE49-F238E27FC236}">
              <a16:creationId xmlns:a16="http://schemas.microsoft.com/office/drawing/2014/main" id="{FF2CCCE2-C622-4071-9098-92045A2C10E9}"/>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43" name="Text Box 3">
          <a:extLst>
            <a:ext uri="{FF2B5EF4-FFF2-40B4-BE49-F238E27FC236}">
              <a16:creationId xmlns:a16="http://schemas.microsoft.com/office/drawing/2014/main" id="{430F3209-211D-4DBC-9DF1-CCA9C340FEF9}"/>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44" name="Text Box 1">
          <a:extLst>
            <a:ext uri="{FF2B5EF4-FFF2-40B4-BE49-F238E27FC236}">
              <a16:creationId xmlns:a16="http://schemas.microsoft.com/office/drawing/2014/main" id="{B5D37BE6-0DAC-4BA2-A399-53DBA77D55AF}"/>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45" name="Text Box 1">
          <a:extLst>
            <a:ext uri="{FF2B5EF4-FFF2-40B4-BE49-F238E27FC236}">
              <a16:creationId xmlns:a16="http://schemas.microsoft.com/office/drawing/2014/main" id="{C5CB60DE-B0C3-4C56-9B3F-C830FEA93713}"/>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46" name="Text Box 3">
          <a:extLst>
            <a:ext uri="{FF2B5EF4-FFF2-40B4-BE49-F238E27FC236}">
              <a16:creationId xmlns:a16="http://schemas.microsoft.com/office/drawing/2014/main" id="{122154B9-6C29-43E4-A415-E0885F3F5231}"/>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47" name="Text Box 1">
          <a:extLst>
            <a:ext uri="{FF2B5EF4-FFF2-40B4-BE49-F238E27FC236}">
              <a16:creationId xmlns:a16="http://schemas.microsoft.com/office/drawing/2014/main" id="{5BA7A53C-E653-425D-917C-888E1EC6AE1E}"/>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48" name="Text Box 3">
          <a:extLst>
            <a:ext uri="{FF2B5EF4-FFF2-40B4-BE49-F238E27FC236}">
              <a16:creationId xmlns:a16="http://schemas.microsoft.com/office/drawing/2014/main" id="{45B8D1E5-305D-47A2-A7FD-FCEB1963F702}"/>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49" name="Text Box 1">
          <a:extLst>
            <a:ext uri="{FF2B5EF4-FFF2-40B4-BE49-F238E27FC236}">
              <a16:creationId xmlns:a16="http://schemas.microsoft.com/office/drawing/2014/main" id="{1CA5C49B-194F-4CC9-AA38-5F4B05D42A84}"/>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50" name="Text Box 1">
          <a:extLst>
            <a:ext uri="{FF2B5EF4-FFF2-40B4-BE49-F238E27FC236}">
              <a16:creationId xmlns:a16="http://schemas.microsoft.com/office/drawing/2014/main" id="{3458F36C-DBBF-44A9-A50C-17562141BCEB}"/>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51" name="Text Box 3">
          <a:extLst>
            <a:ext uri="{FF2B5EF4-FFF2-40B4-BE49-F238E27FC236}">
              <a16:creationId xmlns:a16="http://schemas.microsoft.com/office/drawing/2014/main" id="{1F8CEE70-ED2B-44AF-89D3-3C47362C54A1}"/>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52" name="Text Box 3">
          <a:extLst>
            <a:ext uri="{FF2B5EF4-FFF2-40B4-BE49-F238E27FC236}">
              <a16:creationId xmlns:a16="http://schemas.microsoft.com/office/drawing/2014/main" id="{B1D2E84B-7B51-42B1-947C-98788761627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53" name="Text Box 1">
          <a:extLst>
            <a:ext uri="{FF2B5EF4-FFF2-40B4-BE49-F238E27FC236}">
              <a16:creationId xmlns:a16="http://schemas.microsoft.com/office/drawing/2014/main" id="{6AAA902E-E226-4F53-A005-AB81B2F6917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54" name="Text Box 3">
          <a:extLst>
            <a:ext uri="{FF2B5EF4-FFF2-40B4-BE49-F238E27FC236}">
              <a16:creationId xmlns:a16="http://schemas.microsoft.com/office/drawing/2014/main" id="{7AD7D13D-6849-4F26-A81A-7187680C02B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55" name="Text Box 1">
          <a:extLst>
            <a:ext uri="{FF2B5EF4-FFF2-40B4-BE49-F238E27FC236}">
              <a16:creationId xmlns:a16="http://schemas.microsoft.com/office/drawing/2014/main" id="{8FFB9862-5C71-4090-B1DC-EEDAED142EE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56" name="Text Box 1">
          <a:extLst>
            <a:ext uri="{FF2B5EF4-FFF2-40B4-BE49-F238E27FC236}">
              <a16:creationId xmlns:a16="http://schemas.microsoft.com/office/drawing/2014/main" id="{510EE815-399F-4588-8204-D6CC21A2F94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57" name="Text Box 3">
          <a:extLst>
            <a:ext uri="{FF2B5EF4-FFF2-40B4-BE49-F238E27FC236}">
              <a16:creationId xmlns:a16="http://schemas.microsoft.com/office/drawing/2014/main" id="{B94E7EAA-8C9E-4776-B4E8-69A2A726267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58" name="Text Box 1">
          <a:extLst>
            <a:ext uri="{FF2B5EF4-FFF2-40B4-BE49-F238E27FC236}">
              <a16:creationId xmlns:a16="http://schemas.microsoft.com/office/drawing/2014/main" id="{0617A866-B73F-4CD9-8DE2-54CEFAD1524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59" name="Text Box 3">
          <a:extLst>
            <a:ext uri="{FF2B5EF4-FFF2-40B4-BE49-F238E27FC236}">
              <a16:creationId xmlns:a16="http://schemas.microsoft.com/office/drawing/2014/main" id="{83D30904-4FF8-4AFF-BE6D-313E954AC09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60" name="Text Box 1">
          <a:extLst>
            <a:ext uri="{FF2B5EF4-FFF2-40B4-BE49-F238E27FC236}">
              <a16:creationId xmlns:a16="http://schemas.microsoft.com/office/drawing/2014/main" id="{C498E2E5-252B-4395-B9DF-6D7EA97809C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61" name="Text Box 1">
          <a:extLst>
            <a:ext uri="{FF2B5EF4-FFF2-40B4-BE49-F238E27FC236}">
              <a16:creationId xmlns:a16="http://schemas.microsoft.com/office/drawing/2014/main" id="{BB327B64-593E-427F-8235-977D325EDDC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62" name="Text Box 3">
          <a:extLst>
            <a:ext uri="{FF2B5EF4-FFF2-40B4-BE49-F238E27FC236}">
              <a16:creationId xmlns:a16="http://schemas.microsoft.com/office/drawing/2014/main" id="{A0E17B6D-0967-4F23-83BF-B836D6E0832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63" name="Text Box 1">
          <a:extLst>
            <a:ext uri="{FF2B5EF4-FFF2-40B4-BE49-F238E27FC236}">
              <a16:creationId xmlns:a16="http://schemas.microsoft.com/office/drawing/2014/main" id="{E501341B-54FF-47F3-B7CF-4E21C477E16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64" name="Text Box 1">
          <a:extLst>
            <a:ext uri="{FF2B5EF4-FFF2-40B4-BE49-F238E27FC236}">
              <a16:creationId xmlns:a16="http://schemas.microsoft.com/office/drawing/2014/main" id="{62AC07B4-44E3-4049-9C01-A24FF00B7BB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65" name="Text Box 3">
          <a:extLst>
            <a:ext uri="{FF2B5EF4-FFF2-40B4-BE49-F238E27FC236}">
              <a16:creationId xmlns:a16="http://schemas.microsoft.com/office/drawing/2014/main" id="{01888A8E-65F1-4C10-ABE4-8E3406A8037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66" name="Text Box 1">
          <a:extLst>
            <a:ext uri="{FF2B5EF4-FFF2-40B4-BE49-F238E27FC236}">
              <a16:creationId xmlns:a16="http://schemas.microsoft.com/office/drawing/2014/main" id="{E38B4F9F-0E16-4C19-9EF4-2EB5AD3E0FA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67" name="Text Box 3">
          <a:extLst>
            <a:ext uri="{FF2B5EF4-FFF2-40B4-BE49-F238E27FC236}">
              <a16:creationId xmlns:a16="http://schemas.microsoft.com/office/drawing/2014/main" id="{7C7EAB67-0FF9-4E8C-97F6-6863272D780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68" name="Text Box 1">
          <a:extLst>
            <a:ext uri="{FF2B5EF4-FFF2-40B4-BE49-F238E27FC236}">
              <a16:creationId xmlns:a16="http://schemas.microsoft.com/office/drawing/2014/main" id="{FBD55DFE-0C0C-4D4D-A4E7-5B7A641E789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69" name="Text Box 3">
          <a:extLst>
            <a:ext uri="{FF2B5EF4-FFF2-40B4-BE49-F238E27FC236}">
              <a16:creationId xmlns:a16="http://schemas.microsoft.com/office/drawing/2014/main" id="{9CD75A19-3ABE-4680-96D8-7361B93AC4A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70" name="Text Box 1">
          <a:extLst>
            <a:ext uri="{FF2B5EF4-FFF2-40B4-BE49-F238E27FC236}">
              <a16:creationId xmlns:a16="http://schemas.microsoft.com/office/drawing/2014/main" id="{9B2BEB5A-44CC-4221-A35B-9C44FE5AFDA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71" name="Text Box 3">
          <a:extLst>
            <a:ext uri="{FF2B5EF4-FFF2-40B4-BE49-F238E27FC236}">
              <a16:creationId xmlns:a16="http://schemas.microsoft.com/office/drawing/2014/main" id="{5FCC2291-A0AB-459C-8CA2-A3D5C7ECDFE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72" name="Text Box 1">
          <a:extLst>
            <a:ext uri="{FF2B5EF4-FFF2-40B4-BE49-F238E27FC236}">
              <a16:creationId xmlns:a16="http://schemas.microsoft.com/office/drawing/2014/main" id="{FB3E2B22-38CD-4160-A241-4CDD932D971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73" name="Text Box 1">
          <a:extLst>
            <a:ext uri="{FF2B5EF4-FFF2-40B4-BE49-F238E27FC236}">
              <a16:creationId xmlns:a16="http://schemas.microsoft.com/office/drawing/2014/main" id="{28E7D348-C311-43E5-9194-6BCBD662DA0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74" name="Text Box 3">
          <a:extLst>
            <a:ext uri="{FF2B5EF4-FFF2-40B4-BE49-F238E27FC236}">
              <a16:creationId xmlns:a16="http://schemas.microsoft.com/office/drawing/2014/main" id="{C3B13527-6425-4BA6-9E8B-77809485432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75" name="Text Box 1">
          <a:extLst>
            <a:ext uri="{FF2B5EF4-FFF2-40B4-BE49-F238E27FC236}">
              <a16:creationId xmlns:a16="http://schemas.microsoft.com/office/drawing/2014/main" id="{1016A3FF-55F1-43FD-AB80-CB49AE1A72C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76" name="Text Box 1">
          <a:extLst>
            <a:ext uri="{FF2B5EF4-FFF2-40B4-BE49-F238E27FC236}">
              <a16:creationId xmlns:a16="http://schemas.microsoft.com/office/drawing/2014/main" id="{1E787ABC-0DDB-4946-AD4B-E2438A9CFAEA}"/>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77" name="Text Box 1">
          <a:extLst>
            <a:ext uri="{FF2B5EF4-FFF2-40B4-BE49-F238E27FC236}">
              <a16:creationId xmlns:a16="http://schemas.microsoft.com/office/drawing/2014/main" id="{27EE8BC0-EFC8-456C-9512-F87AB5D93A1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78" name="Text Box 3">
          <a:extLst>
            <a:ext uri="{FF2B5EF4-FFF2-40B4-BE49-F238E27FC236}">
              <a16:creationId xmlns:a16="http://schemas.microsoft.com/office/drawing/2014/main" id="{3BDDEDBD-969C-480C-9866-CE35702248A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79" name="Text Box 1">
          <a:extLst>
            <a:ext uri="{FF2B5EF4-FFF2-40B4-BE49-F238E27FC236}">
              <a16:creationId xmlns:a16="http://schemas.microsoft.com/office/drawing/2014/main" id="{6F30E19F-1AEC-44F9-A89A-19A340CD319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80" name="Text Box 3">
          <a:extLst>
            <a:ext uri="{FF2B5EF4-FFF2-40B4-BE49-F238E27FC236}">
              <a16:creationId xmlns:a16="http://schemas.microsoft.com/office/drawing/2014/main" id="{C3DC9A15-F310-45D9-B643-2DFBF8C66B0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81" name="Text Box 1">
          <a:extLst>
            <a:ext uri="{FF2B5EF4-FFF2-40B4-BE49-F238E27FC236}">
              <a16:creationId xmlns:a16="http://schemas.microsoft.com/office/drawing/2014/main" id="{D9F45617-C87A-4D7D-B4D2-34AEB368BBA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82" name="Text Box 1">
          <a:extLst>
            <a:ext uri="{FF2B5EF4-FFF2-40B4-BE49-F238E27FC236}">
              <a16:creationId xmlns:a16="http://schemas.microsoft.com/office/drawing/2014/main" id="{62DE72DB-E002-421B-871D-1369EC78AAE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83" name="Text Box 3">
          <a:extLst>
            <a:ext uri="{FF2B5EF4-FFF2-40B4-BE49-F238E27FC236}">
              <a16:creationId xmlns:a16="http://schemas.microsoft.com/office/drawing/2014/main" id="{253C9151-91E4-4974-8361-8C93A926D63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84" name="Text Box 1">
          <a:extLst>
            <a:ext uri="{FF2B5EF4-FFF2-40B4-BE49-F238E27FC236}">
              <a16:creationId xmlns:a16="http://schemas.microsoft.com/office/drawing/2014/main" id="{9C2E65A9-21B4-40F3-84DD-AE21ED7688A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85" name="Text Box 3">
          <a:extLst>
            <a:ext uri="{FF2B5EF4-FFF2-40B4-BE49-F238E27FC236}">
              <a16:creationId xmlns:a16="http://schemas.microsoft.com/office/drawing/2014/main" id="{DB052730-1EEA-44EB-B8B8-F838B19D4FC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86" name="Text Box 1">
          <a:extLst>
            <a:ext uri="{FF2B5EF4-FFF2-40B4-BE49-F238E27FC236}">
              <a16:creationId xmlns:a16="http://schemas.microsoft.com/office/drawing/2014/main" id="{1F6F5E62-AE2F-4325-B211-4BE78D3EAD7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87" name="Text Box 1">
          <a:extLst>
            <a:ext uri="{FF2B5EF4-FFF2-40B4-BE49-F238E27FC236}">
              <a16:creationId xmlns:a16="http://schemas.microsoft.com/office/drawing/2014/main" id="{10B947E9-1C4C-48C8-8FCE-E47D71DBF48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88" name="Text Box 3">
          <a:extLst>
            <a:ext uri="{FF2B5EF4-FFF2-40B4-BE49-F238E27FC236}">
              <a16:creationId xmlns:a16="http://schemas.microsoft.com/office/drawing/2014/main" id="{24A7B8A7-177E-43CB-BA02-770C08878EB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89" name="Text Box 1">
          <a:extLst>
            <a:ext uri="{FF2B5EF4-FFF2-40B4-BE49-F238E27FC236}">
              <a16:creationId xmlns:a16="http://schemas.microsoft.com/office/drawing/2014/main" id="{935EA13E-BBDB-4EAB-ABA0-FC366ACF13D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90" name="Text Box 3">
          <a:extLst>
            <a:ext uri="{FF2B5EF4-FFF2-40B4-BE49-F238E27FC236}">
              <a16:creationId xmlns:a16="http://schemas.microsoft.com/office/drawing/2014/main" id="{E1BD069D-8BEE-4304-BBA3-D54CCC4CB9E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91" name="Text Box 1">
          <a:extLst>
            <a:ext uri="{FF2B5EF4-FFF2-40B4-BE49-F238E27FC236}">
              <a16:creationId xmlns:a16="http://schemas.microsoft.com/office/drawing/2014/main" id="{071EAB91-8A53-4F90-8A96-B5D43F56E7B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92" name="Text Box 1">
          <a:extLst>
            <a:ext uri="{FF2B5EF4-FFF2-40B4-BE49-F238E27FC236}">
              <a16:creationId xmlns:a16="http://schemas.microsoft.com/office/drawing/2014/main" id="{5DAA5977-A702-4362-8616-075D1B922BD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93" name="Text Box 3">
          <a:extLst>
            <a:ext uri="{FF2B5EF4-FFF2-40B4-BE49-F238E27FC236}">
              <a16:creationId xmlns:a16="http://schemas.microsoft.com/office/drawing/2014/main" id="{3D4D014D-2B71-49A5-81FB-C83B10F53D8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94" name="Text Box 1">
          <a:extLst>
            <a:ext uri="{FF2B5EF4-FFF2-40B4-BE49-F238E27FC236}">
              <a16:creationId xmlns:a16="http://schemas.microsoft.com/office/drawing/2014/main" id="{0E04F7A4-45C6-42FE-A3DF-4B32EFD6F37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95" name="Text Box 3">
          <a:extLst>
            <a:ext uri="{FF2B5EF4-FFF2-40B4-BE49-F238E27FC236}">
              <a16:creationId xmlns:a16="http://schemas.microsoft.com/office/drawing/2014/main" id="{344CB3B7-4D64-4B5E-81D4-4C18EFC43A2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96" name="Text Box 1">
          <a:extLst>
            <a:ext uri="{FF2B5EF4-FFF2-40B4-BE49-F238E27FC236}">
              <a16:creationId xmlns:a16="http://schemas.microsoft.com/office/drawing/2014/main" id="{95430970-6174-45FA-83E7-9488DF0B5FD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97" name="Text Box 1">
          <a:extLst>
            <a:ext uri="{FF2B5EF4-FFF2-40B4-BE49-F238E27FC236}">
              <a16:creationId xmlns:a16="http://schemas.microsoft.com/office/drawing/2014/main" id="{FAC10F77-DB77-48E5-8C78-68F4364F14E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98" name="Text Box 3">
          <a:extLst>
            <a:ext uri="{FF2B5EF4-FFF2-40B4-BE49-F238E27FC236}">
              <a16:creationId xmlns:a16="http://schemas.microsoft.com/office/drawing/2014/main" id="{539CC67D-1898-4709-9670-AB43E141636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99" name="Text Box 1">
          <a:extLst>
            <a:ext uri="{FF2B5EF4-FFF2-40B4-BE49-F238E27FC236}">
              <a16:creationId xmlns:a16="http://schemas.microsoft.com/office/drawing/2014/main" id="{71204E5C-1FCF-4680-B1AB-79825ABC184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00" name="Text Box 3">
          <a:extLst>
            <a:ext uri="{FF2B5EF4-FFF2-40B4-BE49-F238E27FC236}">
              <a16:creationId xmlns:a16="http://schemas.microsoft.com/office/drawing/2014/main" id="{FAD11C36-6FA4-4D6B-88FC-0D2A78EF5CD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01" name="Text Box 1">
          <a:extLst>
            <a:ext uri="{FF2B5EF4-FFF2-40B4-BE49-F238E27FC236}">
              <a16:creationId xmlns:a16="http://schemas.microsoft.com/office/drawing/2014/main" id="{F9C10428-C5E4-4CE0-9D15-FCFAE872200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02" name="Text Box 1">
          <a:extLst>
            <a:ext uri="{FF2B5EF4-FFF2-40B4-BE49-F238E27FC236}">
              <a16:creationId xmlns:a16="http://schemas.microsoft.com/office/drawing/2014/main" id="{9B4E1046-419A-4C39-9B08-FAB288D6075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03" name="Text Box 3">
          <a:extLst>
            <a:ext uri="{FF2B5EF4-FFF2-40B4-BE49-F238E27FC236}">
              <a16:creationId xmlns:a16="http://schemas.microsoft.com/office/drawing/2014/main" id="{89EFAD56-D2BD-4C88-9076-F9A42039AF9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04" name="Text Box 1">
          <a:extLst>
            <a:ext uri="{FF2B5EF4-FFF2-40B4-BE49-F238E27FC236}">
              <a16:creationId xmlns:a16="http://schemas.microsoft.com/office/drawing/2014/main" id="{711C1302-0263-45E3-8EEA-8663C086A3D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05" name="Text Box 3">
          <a:extLst>
            <a:ext uri="{FF2B5EF4-FFF2-40B4-BE49-F238E27FC236}">
              <a16:creationId xmlns:a16="http://schemas.microsoft.com/office/drawing/2014/main" id="{83D6462D-FF66-4A6C-A83F-3AB44D9CD11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06" name="Text Box 1">
          <a:extLst>
            <a:ext uri="{FF2B5EF4-FFF2-40B4-BE49-F238E27FC236}">
              <a16:creationId xmlns:a16="http://schemas.microsoft.com/office/drawing/2014/main" id="{44415E07-D43C-44E6-B471-A72B5E14B54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07" name="Text Box 1">
          <a:extLst>
            <a:ext uri="{FF2B5EF4-FFF2-40B4-BE49-F238E27FC236}">
              <a16:creationId xmlns:a16="http://schemas.microsoft.com/office/drawing/2014/main" id="{97656C0C-4B5D-406B-800C-ADDEA890FF7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08" name="Text Box 3">
          <a:extLst>
            <a:ext uri="{FF2B5EF4-FFF2-40B4-BE49-F238E27FC236}">
              <a16:creationId xmlns:a16="http://schemas.microsoft.com/office/drawing/2014/main" id="{7188FE4E-CEDB-41EB-89AD-B04F11992A1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09" name="Text Box 1">
          <a:extLst>
            <a:ext uri="{FF2B5EF4-FFF2-40B4-BE49-F238E27FC236}">
              <a16:creationId xmlns:a16="http://schemas.microsoft.com/office/drawing/2014/main" id="{C649FACB-302D-4014-8056-2422466999D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10" name="Text Box 3">
          <a:extLst>
            <a:ext uri="{FF2B5EF4-FFF2-40B4-BE49-F238E27FC236}">
              <a16:creationId xmlns:a16="http://schemas.microsoft.com/office/drawing/2014/main" id="{C7E02535-5A74-4E08-8440-D1737476CE7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11" name="Text Box 1">
          <a:extLst>
            <a:ext uri="{FF2B5EF4-FFF2-40B4-BE49-F238E27FC236}">
              <a16:creationId xmlns:a16="http://schemas.microsoft.com/office/drawing/2014/main" id="{AFE726E5-9730-429F-85AB-FEF351E793C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12" name="Text Box 1">
          <a:extLst>
            <a:ext uri="{FF2B5EF4-FFF2-40B4-BE49-F238E27FC236}">
              <a16:creationId xmlns:a16="http://schemas.microsoft.com/office/drawing/2014/main" id="{2FDE43C8-045A-4254-A587-97747C4A4FE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13" name="Text Box 3">
          <a:extLst>
            <a:ext uri="{FF2B5EF4-FFF2-40B4-BE49-F238E27FC236}">
              <a16:creationId xmlns:a16="http://schemas.microsoft.com/office/drawing/2014/main" id="{FFDEB8DB-6D3A-4643-9711-414BB84B287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14" name="Text Box 1">
          <a:extLst>
            <a:ext uri="{FF2B5EF4-FFF2-40B4-BE49-F238E27FC236}">
              <a16:creationId xmlns:a16="http://schemas.microsoft.com/office/drawing/2014/main" id="{7A92DDEC-E14D-4644-BBBD-A25A7AB90EE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15" name="Text Box 3">
          <a:extLst>
            <a:ext uri="{FF2B5EF4-FFF2-40B4-BE49-F238E27FC236}">
              <a16:creationId xmlns:a16="http://schemas.microsoft.com/office/drawing/2014/main" id="{7761C557-F753-41BA-84F5-1D67393D3B1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16" name="Text Box 1">
          <a:extLst>
            <a:ext uri="{FF2B5EF4-FFF2-40B4-BE49-F238E27FC236}">
              <a16:creationId xmlns:a16="http://schemas.microsoft.com/office/drawing/2014/main" id="{145E90D8-39D2-430A-9738-23267927D11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17" name="Text Box 1">
          <a:extLst>
            <a:ext uri="{FF2B5EF4-FFF2-40B4-BE49-F238E27FC236}">
              <a16:creationId xmlns:a16="http://schemas.microsoft.com/office/drawing/2014/main" id="{FCFCD446-9BD3-47C7-BCBD-9B4B4AF5C56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18" name="Text Box 3">
          <a:extLst>
            <a:ext uri="{FF2B5EF4-FFF2-40B4-BE49-F238E27FC236}">
              <a16:creationId xmlns:a16="http://schemas.microsoft.com/office/drawing/2014/main" id="{9DDEAC16-05C8-4694-AC9D-94035A6862B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19" name="Text Box 1">
          <a:extLst>
            <a:ext uri="{FF2B5EF4-FFF2-40B4-BE49-F238E27FC236}">
              <a16:creationId xmlns:a16="http://schemas.microsoft.com/office/drawing/2014/main" id="{C9681119-7C4D-464D-8172-2EB20A086A1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20" name="Text Box 3">
          <a:extLst>
            <a:ext uri="{FF2B5EF4-FFF2-40B4-BE49-F238E27FC236}">
              <a16:creationId xmlns:a16="http://schemas.microsoft.com/office/drawing/2014/main" id="{40EFF554-DE58-46E6-B544-F86CBB4670C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21" name="Text Box 1">
          <a:extLst>
            <a:ext uri="{FF2B5EF4-FFF2-40B4-BE49-F238E27FC236}">
              <a16:creationId xmlns:a16="http://schemas.microsoft.com/office/drawing/2014/main" id="{226D5EC0-5E00-4BCF-ACEA-98095014FB6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22" name="Text Box 1">
          <a:extLst>
            <a:ext uri="{FF2B5EF4-FFF2-40B4-BE49-F238E27FC236}">
              <a16:creationId xmlns:a16="http://schemas.microsoft.com/office/drawing/2014/main" id="{35397EA4-2292-4863-B825-3005A8AA5F5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23" name="Text Box 3">
          <a:extLst>
            <a:ext uri="{FF2B5EF4-FFF2-40B4-BE49-F238E27FC236}">
              <a16:creationId xmlns:a16="http://schemas.microsoft.com/office/drawing/2014/main" id="{D7384B55-E28B-48D1-85CD-A8FF4DB6989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24" name="Text Box 1">
          <a:extLst>
            <a:ext uri="{FF2B5EF4-FFF2-40B4-BE49-F238E27FC236}">
              <a16:creationId xmlns:a16="http://schemas.microsoft.com/office/drawing/2014/main" id="{01DE35E5-4EDF-48FD-96EE-E904E3BC333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25" name="Text Box 3">
          <a:extLst>
            <a:ext uri="{FF2B5EF4-FFF2-40B4-BE49-F238E27FC236}">
              <a16:creationId xmlns:a16="http://schemas.microsoft.com/office/drawing/2014/main" id="{72878542-18F7-40D2-B495-A476F57C40C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26" name="Text Box 1">
          <a:extLst>
            <a:ext uri="{FF2B5EF4-FFF2-40B4-BE49-F238E27FC236}">
              <a16:creationId xmlns:a16="http://schemas.microsoft.com/office/drawing/2014/main" id="{B03B2F88-857F-4E4C-A64E-7FC1C106B35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27" name="Text Box 1">
          <a:extLst>
            <a:ext uri="{FF2B5EF4-FFF2-40B4-BE49-F238E27FC236}">
              <a16:creationId xmlns:a16="http://schemas.microsoft.com/office/drawing/2014/main" id="{EF031B62-D79D-4609-BA4F-BB47BE9383A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28" name="Text Box 3">
          <a:extLst>
            <a:ext uri="{FF2B5EF4-FFF2-40B4-BE49-F238E27FC236}">
              <a16:creationId xmlns:a16="http://schemas.microsoft.com/office/drawing/2014/main" id="{2B9F440B-C6E1-47C3-B7A1-BA53A234678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29" name="Text Box 1">
          <a:extLst>
            <a:ext uri="{FF2B5EF4-FFF2-40B4-BE49-F238E27FC236}">
              <a16:creationId xmlns:a16="http://schemas.microsoft.com/office/drawing/2014/main" id="{FEB5B6D0-83E5-474A-986F-D53DDF09275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30" name="Text Box 3">
          <a:extLst>
            <a:ext uri="{FF2B5EF4-FFF2-40B4-BE49-F238E27FC236}">
              <a16:creationId xmlns:a16="http://schemas.microsoft.com/office/drawing/2014/main" id="{6E8747B3-B499-49C8-92A2-D1B5B15E744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31" name="Text Box 1">
          <a:extLst>
            <a:ext uri="{FF2B5EF4-FFF2-40B4-BE49-F238E27FC236}">
              <a16:creationId xmlns:a16="http://schemas.microsoft.com/office/drawing/2014/main" id="{8347CBA4-BC4A-4B29-AE3E-CCAB5244094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32" name="Text Box 1">
          <a:extLst>
            <a:ext uri="{FF2B5EF4-FFF2-40B4-BE49-F238E27FC236}">
              <a16:creationId xmlns:a16="http://schemas.microsoft.com/office/drawing/2014/main" id="{16AF4166-DFF3-4997-B6CC-F39573BC6D8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33" name="Text Box 3">
          <a:extLst>
            <a:ext uri="{FF2B5EF4-FFF2-40B4-BE49-F238E27FC236}">
              <a16:creationId xmlns:a16="http://schemas.microsoft.com/office/drawing/2014/main" id="{0AB09D9B-0FB1-4812-A884-E7E6697F936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34" name="Text Box 1">
          <a:extLst>
            <a:ext uri="{FF2B5EF4-FFF2-40B4-BE49-F238E27FC236}">
              <a16:creationId xmlns:a16="http://schemas.microsoft.com/office/drawing/2014/main" id="{A720518B-FE68-4B53-BFEB-2FFCFEBB20B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35" name="Text Box 3">
          <a:extLst>
            <a:ext uri="{FF2B5EF4-FFF2-40B4-BE49-F238E27FC236}">
              <a16:creationId xmlns:a16="http://schemas.microsoft.com/office/drawing/2014/main" id="{5D99B873-2032-4E3D-98C2-CED37F7EED3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36" name="Text Box 1">
          <a:extLst>
            <a:ext uri="{FF2B5EF4-FFF2-40B4-BE49-F238E27FC236}">
              <a16:creationId xmlns:a16="http://schemas.microsoft.com/office/drawing/2014/main" id="{41DBBBC8-47A3-4170-B51F-874D0212EBF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37" name="Text Box 1">
          <a:extLst>
            <a:ext uri="{FF2B5EF4-FFF2-40B4-BE49-F238E27FC236}">
              <a16:creationId xmlns:a16="http://schemas.microsoft.com/office/drawing/2014/main" id="{4C27D4B1-B8E5-41B0-812E-1EEE5AA1DEA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38" name="Text Box 3">
          <a:extLst>
            <a:ext uri="{FF2B5EF4-FFF2-40B4-BE49-F238E27FC236}">
              <a16:creationId xmlns:a16="http://schemas.microsoft.com/office/drawing/2014/main" id="{A2AE4C66-AF3F-4D98-8328-D47CF2BC3C9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39" name="Text Box 1">
          <a:extLst>
            <a:ext uri="{FF2B5EF4-FFF2-40B4-BE49-F238E27FC236}">
              <a16:creationId xmlns:a16="http://schemas.microsoft.com/office/drawing/2014/main" id="{8D8FBDE3-2724-47E7-8471-326F462417A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40" name="Text Box 3">
          <a:extLst>
            <a:ext uri="{FF2B5EF4-FFF2-40B4-BE49-F238E27FC236}">
              <a16:creationId xmlns:a16="http://schemas.microsoft.com/office/drawing/2014/main" id="{0940787E-10E9-4DF7-8EF8-D100DCA96CA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41" name="Text Box 1">
          <a:extLst>
            <a:ext uri="{FF2B5EF4-FFF2-40B4-BE49-F238E27FC236}">
              <a16:creationId xmlns:a16="http://schemas.microsoft.com/office/drawing/2014/main" id="{251364C5-E9E6-4F2C-8EA4-04DCDDA4C99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42" name="Text Box 1">
          <a:extLst>
            <a:ext uri="{FF2B5EF4-FFF2-40B4-BE49-F238E27FC236}">
              <a16:creationId xmlns:a16="http://schemas.microsoft.com/office/drawing/2014/main" id="{C33F61C4-7E90-4072-A1BD-FF32920B0F7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43" name="Text Box 3">
          <a:extLst>
            <a:ext uri="{FF2B5EF4-FFF2-40B4-BE49-F238E27FC236}">
              <a16:creationId xmlns:a16="http://schemas.microsoft.com/office/drawing/2014/main" id="{9F14B9AF-D11D-4517-BB6C-DD688334957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44" name="Text Box 1">
          <a:extLst>
            <a:ext uri="{FF2B5EF4-FFF2-40B4-BE49-F238E27FC236}">
              <a16:creationId xmlns:a16="http://schemas.microsoft.com/office/drawing/2014/main" id="{7445A070-3BB3-4CCF-95D2-DF5A8A604AF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45" name="Text Box 3">
          <a:extLst>
            <a:ext uri="{FF2B5EF4-FFF2-40B4-BE49-F238E27FC236}">
              <a16:creationId xmlns:a16="http://schemas.microsoft.com/office/drawing/2014/main" id="{108B99B0-A7D1-4253-80C0-B60E62B40D2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46" name="Text Box 1">
          <a:extLst>
            <a:ext uri="{FF2B5EF4-FFF2-40B4-BE49-F238E27FC236}">
              <a16:creationId xmlns:a16="http://schemas.microsoft.com/office/drawing/2014/main" id="{15BD876C-2A5D-4BB4-BEDD-8E6B07AB9BF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47" name="Text Box 1">
          <a:extLst>
            <a:ext uri="{FF2B5EF4-FFF2-40B4-BE49-F238E27FC236}">
              <a16:creationId xmlns:a16="http://schemas.microsoft.com/office/drawing/2014/main" id="{B702F3A7-198B-46A8-9680-6564813A97A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48" name="Text Box 3">
          <a:extLst>
            <a:ext uri="{FF2B5EF4-FFF2-40B4-BE49-F238E27FC236}">
              <a16:creationId xmlns:a16="http://schemas.microsoft.com/office/drawing/2014/main" id="{A707C186-5113-4030-AD50-CF45FFD55C1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49" name="Text Box 1">
          <a:extLst>
            <a:ext uri="{FF2B5EF4-FFF2-40B4-BE49-F238E27FC236}">
              <a16:creationId xmlns:a16="http://schemas.microsoft.com/office/drawing/2014/main" id="{25ADB0A5-D011-4C56-A2E3-0A2BDDFA723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50" name="Text Box 3">
          <a:extLst>
            <a:ext uri="{FF2B5EF4-FFF2-40B4-BE49-F238E27FC236}">
              <a16:creationId xmlns:a16="http://schemas.microsoft.com/office/drawing/2014/main" id="{11E8A75C-074D-48CE-92CC-873D489ABE3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51" name="Text Box 1">
          <a:extLst>
            <a:ext uri="{FF2B5EF4-FFF2-40B4-BE49-F238E27FC236}">
              <a16:creationId xmlns:a16="http://schemas.microsoft.com/office/drawing/2014/main" id="{7FA1B738-7BE0-4355-8C38-9D957EA8A17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52" name="Text Box 1">
          <a:extLst>
            <a:ext uri="{FF2B5EF4-FFF2-40B4-BE49-F238E27FC236}">
              <a16:creationId xmlns:a16="http://schemas.microsoft.com/office/drawing/2014/main" id="{F94F08EF-97D4-4A3E-A92F-E61DE896A8A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53" name="Text Box 3">
          <a:extLst>
            <a:ext uri="{FF2B5EF4-FFF2-40B4-BE49-F238E27FC236}">
              <a16:creationId xmlns:a16="http://schemas.microsoft.com/office/drawing/2014/main" id="{8DEDFB10-1324-42A3-B332-EBB4CDE52C7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54" name="Text Box 1">
          <a:extLst>
            <a:ext uri="{FF2B5EF4-FFF2-40B4-BE49-F238E27FC236}">
              <a16:creationId xmlns:a16="http://schemas.microsoft.com/office/drawing/2014/main" id="{120F0044-723A-48D6-83B1-EABD475711C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55" name="Text Box 3">
          <a:extLst>
            <a:ext uri="{FF2B5EF4-FFF2-40B4-BE49-F238E27FC236}">
              <a16:creationId xmlns:a16="http://schemas.microsoft.com/office/drawing/2014/main" id="{BD894BD1-280B-4110-9D96-7FBE0B51F33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56" name="Text Box 1">
          <a:extLst>
            <a:ext uri="{FF2B5EF4-FFF2-40B4-BE49-F238E27FC236}">
              <a16:creationId xmlns:a16="http://schemas.microsoft.com/office/drawing/2014/main" id="{69F8A063-2F63-4665-8F78-7113D5400F3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57" name="Text Box 1">
          <a:extLst>
            <a:ext uri="{FF2B5EF4-FFF2-40B4-BE49-F238E27FC236}">
              <a16:creationId xmlns:a16="http://schemas.microsoft.com/office/drawing/2014/main" id="{C0B663F2-94D9-4526-BAA5-937F0ACE354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58" name="Text Box 3">
          <a:extLst>
            <a:ext uri="{FF2B5EF4-FFF2-40B4-BE49-F238E27FC236}">
              <a16:creationId xmlns:a16="http://schemas.microsoft.com/office/drawing/2014/main" id="{781A3B45-0B90-4884-8228-DD600421551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59" name="Text Box 1">
          <a:extLst>
            <a:ext uri="{FF2B5EF4-FFF2-40B4-BE49-F238E27FC236}">
              <a16:creationId xmlns:a16="http://schemas.microsoft.com/office/drawing/2014/main" id="{FE572A3B-C1DD-4722-A727-69C0D989380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60" name="Text Box 3">
          <a:extLst>
            <a:ext uri="{FF2B5EF4-FFF2-40B4-BE49-F238E27FC236}">
              <a16:creationId xmlns:a16="http://schemas.microsoft.com/office/drawing/2014/main" id="{B690240D-FCE4-423B-9FF0-821E654948E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61" name="Text Box 1">
          <a:extLst>
            <a:ext uri="{FF2B5EF4-FFF2-40B4-BE49-F238E27FC236}">
              <a16:creationId xmlns:a16="http://schemas.microsoft.com/office/drawing/2014/main" id="{2417F92E-3659-4144-9298-5624B6E908D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62" name="Text Box 1">
          <a:extLst>
            <a:ext uri="{FF2B5EF4-FFF2-40B4-BE49-F238E27FC236}">
              <a16:creationId xmlns:a16="http://schemas.microsoft.com/office/drawing/2014/main" id="{95D505C3-84FC-4D1A-ABA9-4144DEC52F7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63" name="Text Box 3">
          <a:extLst>
            <a:ext uri="{FF2B5EF4-FFF2-40B4-BE49-F238E27FC236}">
              <a16:creationId xmlns:a16="http://schemas.microsoft.com/office/drawing/2014/main" id="{250E12BC-E4A6-4316-B347-EC5283E4C01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64" name="Text Box 1">
          <a:extLst>
            <a:ext uri="{FF2B5EF4-FFF2-40B4-BE49-F238E27FC236}">
              <a16:creationId xmlns:a16="http://schemas.microsoft.com/office/drawing/2014/main" id="{AA20CD3D-350D-4834-AD06-1E7CD99DAC4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65" name="Text Box 3">
          <a:extLst>
            <a:ext uri="{FF2B5EF4-FFF2-40B4-BE49-F238E27FC236}">
              <a16:creationId xmlns:a16="http://schemas.microsoft.com/office/drawing/2014/main" id="{952EEF11-7582-4A9B-9C4A-66ABD1647DB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66" name="Text Box 1">
          <a:extLst>
            <a:ext uri="{FF2B5EF4-FFF2-40B4-BE49-F238E27FC236}">
              <a16:creationId xmlns:a16="http://schemas.microsoft.com/office/drawing/2014/main" id="{3F50812B-277A-4265-91A3-29920E5D1D0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67" name="Text Box 1">
          <a:extLst>
            <a:ext uri="{FF2B5EF4-FFF2-40B4-BE49-F238E27FC236}">
              <a16:creationId xmlns:a16="http://schemas.microsoft.com/office/drawing/2014/main" id="{FE92B257-A498-4C9F-BB54-D2B04007BB1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68" name="Text Box 3">
          <a:extLst>
            <a:ext uri="{FF2B5EF4-FFF2-40B4-BE49-F238E27FC236}">
              <a16:creationId xmlns:a16="http://schemas.microsoft.com/office/drawing/2014/main" id="{2581A91B-6684-4F24-9A7B-08462C97714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69" name="Text Box 1">
          <a:extLst>
            <a:ext uri="{FF2B5EF4-FFF2-40B4-BE49-F238E27FC236}">
              <a16:creationId xmlns:a16="http://schemas.microsoft.com/office/drawing/2014/main" id="{98EE9B90-CD1B-4A8A-BBE7-BF0925037BC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70" name="Text Box 3">
          <a:extLst>
            <a:ext uri="{FF2B5EF4-FFF2-40B4-BE49-F238E27FC236}">
              <a16:creationId xmlns:a16="http://schemas.microsoft.com/office/drawing/2014/main" id="{818B55B2-00AA-4B68-BAF4-CDBF49BE7F6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71" name="Text Box 1">
          <a:extLst>
            <a:ext uri="{FF2B5EF4-FFF2-40B4-BE49-F238E27FC236}">
              <a16:creationId xmlns:a16="http://schemas.microsoft.com/office/drawing/2014/main" id="{57C2E6F9-00FE-4F78-9C60-0EC9A671597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72" name="Text Box 1">
          <a:extLst>
            <a:ext uri="{FF2B5EF4-FFF2-40B4-BE49-F238E27FC236}">
              <a16:creationId xmlns:a16="http://schemas.microsoft.com/office/drawing/2014/main" id="{85B56BF4-2196-4AEF-A70B-FD34E190326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73" name="Text Box 3">
          <a:extLst>
            <a:ext uri="{FF2B5EF4-FFF2-40B4-BE49-F238E27FC236}">
              <a16:creationId xmlns:a16="http://schemas.microsoft.com/office/drawing/2014/main" id="{A036EAF1-F527-44AC-8121-67B036BB9F2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74" name="Text Box 1">
          <a:extLst>
            <a:ext uri="{FF2B5EF4-FFF2-40B4-BE49-F238E27FC236}">
              <a16:creationId xmlns:a16="http://schemas.microsoft.com/office/drawing/2014/main" id="{CD2ED063-E478-4B84-8FAD-FE6753F13E1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75" name="Text Box 3">
          <a:extLst>
            <a:ext uri="{FF2B5EF4-FFF2-40B4-BE49-F238E27FC236}">
              <a16:creationId xmlns:a16="http://schemas.microsoft.com/office/drawing/2014/main" id="{2D915390-81A3-487A-9D7D-2F72D32AD62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76" name="Text Box 1">
          <a:extLst>
            <a:ext uri="{FF2B5EF4-FFF2-40B4-BE49-F238E27FC236}">
              <a16:creationId xmlns:a16="http://schemas.microsoft.com/office/drawing/2014/main" id="{B096E435-6D1F-4D24-8B0A-863B963A9DC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77" name="Text Box 1">
          <a:extLst>
            <a:ext uri="{FF2B5EF4-FFF2-40B4-BE49-F238E27FC236}">
              <a16:creationId xmlns:a16="http://schemas.microsoft.com/office/drawing/2014/main" id="{07E1E5CF-459F-49C6-A962-011E3423F56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78" name="Text Box 3">
          <a:extLst>
            <a:ext uri="{FF2B5EF4-FFF2-40B4-BE49-F238E27FC236}">
              <a16:creationId xmlns:a16="http://schemas.microsoft.com/office/drawing/2014/main" id="{7348C744-DE02-420A-BE13-AE2FBA8A987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79" name="Text Box 1">
          <a:extLst>
            <a:ext uri="{FF2B5EF4-FFF2-40B4-BE49-F238E27FC236}">
              <a16:creationId xmlns:a16="http://schemas.microsoft.com/office/drawing/2014/main" id="{46454BFE-33F0-4C82-A051-C55A2E7A4CC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80" name="Text Box 3">
          <a:extLst>
            <a:ext uri="{FF2B5EF4-FFF2-40B4-BE49-F238E27FC236}">
              <a16:creationId xmlns:a16="http://schemas.microsoft.com/office/drawing/2014/main" id="{ADC8DB91-E833-48DD-9645-2A433D4BA93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81" name="Text Box 1">
          <a:extLst>
            <a:ext uri="{FF2B5EF4-FFF2-40B4-BE49-F238E27FC236}">
              <a16:creationId xmlns:a16="http://schemas.microsoft.com/office/drawing/2014/main" id="{83C44B30-21D0-49F5-8B5E-B3CE28228F1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82" name="Text Box 1">
          <a:extLst>
            <a:ext uri="{FF2B5EF4-FFF2-40B4-BE49-F238E27FC236}">
              <a16:creationId xmlns:a16="http://schemas.microsoft.com/office/drawing/2014/main" id="{5C215F42-F2B8-42FC-974E-F900A892303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83" name="Text Box 3">
          <a:extLst>
            <a:ext uri="{FF2B5EF4-FFF2-40B4-BE49-F238E27FC236}">
              <a16:creationId xmlns:a16="http://schemas.microsoft.com/office/drawing/2014/main" id="{7DD180B0-ECDD-4B39-9CB3-1CA17D884DA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84" name="Text Box 1">
          <a:extLst>
            <a:ext uri="{FF2B5EF4-FFF2-40B4-BE49-F238E27FC236}">
              <a16:creationId xmlns:a16="http://schemas.microsoft.com/office/drawing/2014/main" id="{6F2DB3B6-F682-4A1C-A408-3F665D246E9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85" name="Text Box 3">
          <a:extLst>
            <a:ext uri="{FF2B5EF4-FFF2-40B4-BE49-F238E27FC236}">
              <a16:creationId xmlns:a16="http://schemas.microsoft.com/office/drawing/2014/main" id="{87C942F2-28F5-4AB4-B080-64BCE50F3A2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86" name="Text Box 1">
          <a:extLst>
            <a:ext uri="{FF2B5EF4-FFF2-40B4-BE49-F238E27FC236}">
              <a16:creationId xmlns:a16="http://schemas.microsoft.com/office/drawing/2014/main" id="{14EAF1BD-AA3D-4C22-8AE9-3EC2E57B50A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87" name="Text Box 1">
          <a:extLst>
            <a:ext uri="{FF2B5EF4-FFF2-40B4-BE49-F238E27FC236}">
              <a16:creationId xmlns:a16="http://schemas.microsoft.com/office/drawing/2014/main" id="{87E27A0A-AA41-44C1-8298-CFC0B420D4A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88" name="Text Box 3">
          <a:extLst>
            <a:ext uri="{FF2B5EF4-FFF2-40B4-BE49-F238E27FC236}">
              <a16:creationId xmlns:a16="http://schemas.microsoft.com/office/drawing/2014/main" id="{4AFC68B7-19D4-478B-942D-9AEC85DD226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89" name="Text Box 1">
          <a:extLst>
            <a:ext uri="{FF2B5EF4-FFF2-40B4-BE49-F238E27FC236}">
              <a16:creationId xmlns:a16="http://schemas.microsoft.com/office/drawing/2014/main" id="{4AA5DAB4-D14C-4E8D-9DF5-5E098117946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90" name="Text Box 3">
          <a:extLst>
            <a:ext uri="{FF2B5EF4-FFF2-40B4-BE49-F238E27FC236}">
              <a16:creationId xmlns:a16="http://schemas.microsoft.com/office/drawing/2014/main" id="{75DC4040-CCE8-4056-82B2-7D6437A8F8D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91" name="Text Box 1">
          <a:extLst>
            <a:ext uri="{FF2B5EF4-FFF2-40B4-BE49-F238E27FC236}">
              <a16:creationId xmlns:a16="http://schemas.microsoft.com/office/drawing/2014/main" id="{8DE364BE-DE75-47A8-BCFB-8A9A57CDE12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92" name="Text Box 1">
          <a:extLst>
            <a:ext uri="{FF2B5EF4-FFF2-40B4-BE49-F238E27FC236}">
              <a16:creationId xmlns:a16="http://schemas.microsoft.com/office/drawing/2014/main" id="{EC460B94-A11F-4462-B33E-2AB186073F0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93" name="Text Box 3">
          <a:extLst>
            <a:ext uri="{FF2B5EF4-FFF2-40B4-BE49-F238E27FC236}">
              <a16:creationId xmlns:a16="http://schemas.microsoft.com/office/drawing/2014/main" id="{F2C9E28F-3FB2-456A-948E-E471C3AB4C5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94" name="Text Box 1">
          <a:extLst>
            <a:ext uri="{FF2B5EF4-FFF2-40B4-BE49-F238E27FC236}">
              <a16:creationId xmlns:a16="http://schemas.microsoft.com/office/drawing/2014/main" id="{C019A2E0-D5A8-487A-A391-26EE4ABD16E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95" name="Text Box 3">
          <a:extLst>
            <a:ext uri="{FF2B5EF4-FFF2-40B4-BE49-F238E27FC236}">
              <a16:creationId xmlns:a16="http://schemas.microsoft.com/office/drawing/2014/main" id="{0AC1DDF1-E871-4644-94F1-07FE2D7C6FA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96" name="Text Box 1">
          <a:extLst>
            <a:ext uri="{FF2B5EF4-FFF2-40B4-BE49-F238E27FC236}">
              <a16:creationId xmlns:a16="http://schemas.microsoft.com/office/drawing/2014/main" id="{AE44F972-6041-407F-8BCC-4CE8790F764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97" name="Text Box 1">
          <a:extLst>
            <a:ext uri="{FF2B5EF4-FFF2-40B4-BE49-F238E27FC236}">
              <a16:creationId xmlns:a16="http://schemas.microsoft.com/office/drawing/2014/main" id="{8F326B4D-8712-4E63-AE42-EA671CCCE1A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98" name="Text Box 3">
          <a:extLst>
            <a:ext uri="{FF2B5EF4-FFF2-40B4-BE49-F238E27FC236}">
              <a16:creationId xmlns:a16="http://schemas.microsoft.com/office/drawing/2014/main" id="{8AA0B906-84E7-4D28-9F36-BD368D2F174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99" name="Text Box 1">
          <a:extLst>
            <a:ext uri="{FF2B5EF4-FFF2-40B4-BE49-F238E27FC236}">
              <a16:creationId xmlns:a16="http://schemas.microsoft.com/office/drawing/2014/main" id="{521F828E-E411-4830-8C94-D6EE0CFD648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00" name="Text Box 3">
          <a:extLst>
            <a:ext uri="{FF2B5EF4-FFF2-40B4-BE49-F238E27FC236}">
              <a16:creationId xmlns:a16="http://schemas.microsoft.com/office/drawing/2014/main" id="{F77885AF-F384-4A21-A64C-16F6A843341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01" name="Text Box 1">
          <a:extLst>
            <a:ext uri="{FF2B5EF4-FFF2-40B4-BE49-F238E27FC236}">
              <a16:creationId xmlns:a16="http://schemas.microsoft.com/office/drawing/2014/main" id="{CE8DC6A8-8233-41AC-B9D6-603A0382C10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02" name="Text Box 1">
          <a:extLst>
            <a:ext uri="{FF2B5EF4-FFF2-40B4-BE49-F238E27FC236}">
              <a16:creationId xmlns:a16="http://schemas.microsoft.com/office/drawing/2014/main" id="{3C029795-5DD9-4B94-80D2-E50E1C9FAF8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03" name="Text Box 3">
          <a:extLst>
            <a:ext uri="{FF2B5EF4-FFF2-40B4-BE49-F238E27FC236}">
              <a16:creationId xmlns:a16="http://schemas.microsoft.com/office/drawing/2014/main" id="{6125B34E-468A-4136-9618-732CF7887A0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04" name="Text Box 1">
          <a:extLst>
            <a:ext uri="{FF2B5EF4-FFF2-40B4-BE49-F238E27FC236}">
              <a16:creationId xmlns:a16="http://schemas.microsoft.com/office/drawing/2014/main" id="{42AA9AD1-2F9C-4476-869B-1074C17698F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05" name="Text Box 3">
          <a:extLst>
            <a:ext uri="{FF2B5EF4-FFF2-40B4-BE49-F238E27FC236}">
              <a16:creationId xmlns:a16="http://schemas.microsoft.com/office/drawing/2014/main" id="{A497B892-C63E-4723-B021-53A246A20A8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06" name="Text Box 1">
          <a:extLst>
            <a:ext uri="{FF2B5EF4-FFF2-40B4-BE49-F238E27FC236}">
              <a16:creationId xmlns:a16="http://schemas.microsoft.com/office/drawing/2014/main" id="{058F51CF-03EE-4EF4-BE82-BD9F15326B5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07" name="Text Box 1">
          <a:extLst>
            <a:ext uri="{FF2B5EF4-FFF2-40B4-BE49-F238E27FC236}">
              <a16:creationId xmlns:a16="http://schemas.microsoft.com/office/drawing/2014/main" id="{050DEB20-B67C-42FA-8684-B1ACAB45A89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08" name="Text Box 3">
          <a:extLst>
            <a:ext uri="{FF2B5EF4-FFF2-40B4-BE49-F238E27FC236}">
              <a16:creationId xmlns:a16="http://schemas.microsoft.com/office/drawing/2014/main" id="{E0A219A3-A43A-419E-B2FC-5FF372C1971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09" name="Text Box 1">
          <a:extLst>
            <a:ext uri="{FF2B5EF4-FFF2-40B4-BE49-F238E27FC236}">
              <a16:creationId xmlns:a16="http://schemas.microsoft.com/office/drawing/2014/main" id="{3F0241D8-5107-4FB1-8764-D90E8E86F38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10" name="Text Box 3">
          <a:extLst>
            <a:ext uri="{FF2B5EF4-FFF2-40B4-BE49-F238E27FC236}">
              <a16:creationId xmlns:a16="http://schemas.microsoft.com/office/drawing/2014/main" id="{B661330C-317A-404F-B295-4A6A89B8DD4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11" name="Text Box 1">
          <a:extLst>
            <a:ext uri="{FF2B5EF4-FFF2-40B4-BE49-F238E27FC236}">
              <a16:creationId xmlns:a16="http://schemas.microsoft.com/office/drawing/2014/main" id="{23B78BA2-B220-4D8B-873F-5FDC34FA387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12" name="Text Box 1">
          <a:extLst>
            <a:ext uri="{FF2B5EF4-FFF2-40B4-BE49-F238E27FC236}">
              <a16:creationId xmlns:a16="http://schemas.microsoft.com/office/drawing/2014/main" id="{79A6865E-4441-4318-B2AE-D7104828106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13" name="Text Box 3">
          <a:extLst>
            <a:ext uri="{FF2B5EF4-FFF2-40B4-BE49-F238E27FC236}">
              <a16:creationId xmlns:a16="http://schemas.microsoft.com/office/drawing/2014/main" id="{E6940D25-A83B-4A55-A87B-0EC7880D337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14" name="Text Box 1">
          <a:extLst>
            <a:ext uri="{FF2B5EF4-FFF2-40B4-BE49-F238E27FC236}">
              <a16:creationId xmlns:a16="http://schemas.microsoft.com/office/drawing/2014/main" id="{B9DD50EA-EC44-4B74-9A01-5FA99C204B7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15" name="Text Box 3">
          <a:extLst>
            <a:ext uri="{FF2B5EF4-FFF2-40B4-BE49-F238E27FC236}">
              <a16:creationId xmlns:a16="http://schemas.microsoft.com/office/drawing/2014/main" id="{9BA30E19-8F78-4255-9054-63092016881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16" name="Text Box 1">
          <a:extLst>
            <a:ext uri="{FF2B5EF4-FFF2-40B4-BE49-F238E27FC236}">
              <a16:creationId xmlns:a16="http://schemas.microsoft.com/office/drawing/2014/main" id="{32D584C5-36E7-48C0-8C7B-9EE554A0A2C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17" name="Text Box 1">
          <a:extLst>
            <a:ext uri="{FF2B5EF4-FFF2-40B4-BE49-F238E27FC236}">
              <a16:creationId xmlns:a16="http://schemas.microsoft.com/office/drawing/2014/main" id="{DB2A4631-B535-47EE-A7A8-73E6B85287D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18" name="Text Box 3">
          <a:extLst>
            <a:ext uri="{FF2B5EF4-FFF2-40B4-BE49-F238E27FC236}">
              <a16:creationId xmlns:a16="http://schemas.microsoft.com/office/drawing/2014/main" id="{744B77A9-E146-461E-9251-2EC7289F25E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19" name="Text Box 1">
          <a:extLst>
            <a:ext uri="{FF2B5EF4-FFF2-40B4-BE49-F238E27FC236}">
              <a16:creationId xmlns:a16="http://schemas.microsoft.com/office/drawing/2014/main" id="{CBB7048E-1092-4BDD-AE7C-9A161D6E3BF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20" name="Text Box 3">
          <a:extLst>
            <a:ext uri="{FF2B5EF4-FFF2-40B4-BE49-F238E27FC236}">
              <a16:creationId xmlns:a16="http://schemas.microsoft.com/office/drawing/2014/main" id="{48158008-E04C-4D28-8918-CA025B23928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21" name="Text Box 1">
          <a:extLst>
            <a:ext uri="{FF2B5EF4-FFF2-40B4-BE49-F238E27FC236}">
              <a16:creationId xmlns:a16="http://schemas.microsoft.com/office/drawing/2014/main" id="{5DD6E8F6-A623-40ED-86D8-5FEAACA0871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22" name="Text Box 1">
          <a:extLst>
            <a:ext uri="{FF2B5EF4-FFF2-40B4-BE49-F238E27FC236}">
              <a16:creationId xmlns:a16="http://schemas.microsoft.com/office/drawing/2014/main" id="{A612A22C-031C-40C0-B52A-104954B4434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23" name="Text Box 3">
          <a:extLst>
            <a:ext uri="{FF2B5EF4-FFF2-40B4-BE49-F238E27FC236}">
              <a16:creationId xmlns:a16="http://schemas.microsoft.com/office/drawing/2014/main" id="{8A9B5C03-9489-47A7-9F54-1C85045A72C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24" name="Text Box 1">
          <a:extLst>
            <a:ext uri="{FF2B5EF4-FFF2-40B4-BE49-F238E27FC236}">
              <a16:creationId xmlns:a16="http://schemas.microsoft.com/office/drawing/2014/main" id="{D705FDBB-0912-4F74-83A8-047B51F6D04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25" name="Text Box 3">
          <a:extLst>
            <a:ext uri="{FF2B5EF4-FFF2-40B4-BE49-F238E27FC236}">
              <a16:creationId xmlns:a16="http://schemas.microsoft.com/office/drawing/2014/main" id="{215BAB3C-9214-4454-ADAB-59A98844186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26" name="Text Box 1">
          <a:extLst>
            <a:ext uri="{FF2B5EF4-FFF2-40B4-BE49-F238E27FC236}">
              <a16:creationId xmlns:a16="http://schemas.microsoft.com/office/drawing/2014/main" id="{C40EBCEA-2E73-4825-9BE4-A93CAE70220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27" name="Text Box 1">
          <a:extLst>
            <a:ext uri="{FF2B5EF4-FFF2-40B4-BE49-F238E27FC236}">
              <a16:creationId xmlns:a16="http://schemas.microsoft.com/office/drawing/2014/main" id="{699B0776-5E86-45BF-B999-59C35CE167F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28" name="Text Box 3">
          <a:extLst>
            <a:ext uri="{FF2B5EF4-FFF2-40B4-BE49-F238E27FC236}">
              <a16:creationId xmlns:a16="http://schemas.microsoft.com/office/drawing/2014/main" id="{47F99DC9-B3CB-467C-9173-C76EC03CA52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29" name="Text Box 1">
          <a:extLst>
            <a:ext uri="{FF2B5EF4-FFF2-40B4-BE49-F238E27FC236}">
              <a16:creationId xmlns:a16="http://schemas.microsoft.com/office/drawing/2014/main" id="{8BC89055-6E7D-4887-956E-E78A4D1516E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30" name="Text Box 3">
          <a:extLst>
            <a:ext uri="{FF2B5EF4-FFF2-40B4-BE49-F238E27FC236}">
              <a16:creationId xmlns:a16="http://schemas.microsoft.com/office/drawing/2014/main" id="{17F7067F-E10C-4299-A6DE-52B27866CA9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31" name="Text Box 1">
          <a:extLst>
            <a:ext uri="{FF2B5EF4-FFF2-40B4-BE49-F238E27FC236}">
              <a16:creationId xmlns:a16="http://schemas.microsoft.com/office/drawing/2014/main" id="{6753C74D-4E3B-4550-9856-A0637773F9F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32" name="Text Box 1">
          <a:extLst>
            <a:ext uri="{FF2B5EF4-FFF2-40B4-BE49-F238E27FC236}">
              <a16:creationId xmlns:a16="http://schemas.microsoft.com/office/drawing/2014/main" id="{6CEE1CC1-3F2D-407B-9470-6DB46BCBF52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33" name="Text Box 3">
          <a:extLst>
            <a:ext uri="{FF2B5EF4-FFF2-40B4-BE49-F238E27FC236}">
              <a16:creationId xmlns:a16="http://schemas.microsoft.com/office/drawing/2014/main" id="{B379A1DC-C679-4166-B22B-12011BFFE35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34" name="Text Box 1">
          <a:extLst>
            <a:ext uri="{FF2B5EF4-FFF2-40B4-BE49-F238E27FC236}">
              <a16:creationId xmlns:a16="http://schemas.microsoft.com/office/drawing/2014/main" id="{FA3F5C8F-76DE-48D7-92EF-330216EA183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35" name="Text Box 3">
          <a:extLst>
            <a:ext uri="{FF2B5EF4-FFF2-40B4-BE49-F238E27FC236}">
              <a16:creationId xmlns:a16="http://schemas.microsoft.com/office/drawing/2014/main" id="{A4561059-211F-4A5E-8AB0-CDE6DBA1485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36" name="Text Box 1">
          <a:extLst>
            <a:ext uri="{FF2B5EF4-FFF2-40B4-BE49-F238E27FC236}">
              <a16:creationId xmlns:a16="http://schemas.microsoft.com/office/drawing/2014/main" id="{354E8453-0EE1-424E-9ACF-C64E003DEF5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37" name="Text Box 1">
          <a:extLst>
            <a:ext uri="{FF2B5EF4-FFF2-40B4-BE49-F238E27FC236}">
              <a16:creationId xmlns:a16="http://schemas.microsoft.com/office/drawing/2014/main" id="{27F27F33-1FA9-4F1F-9E83-06AAD16D885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38" name="Text Box 3">
          <a:extLst>
            <a:ext uri="{FF2B5EF4-FFF2-40B4-BE49-F238E27FC236}">
              <a16:creationId xmlns:a16="http://schemas.microsoft.com/office/drawing/2014/main" id="{B6CEEBD4-43EF-484A-BB28-0CC21C02EB0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39" name="Text Box 1">
          <a:extLst>
            <a:ext uri="{FF2B5EF4-FFF2-40B4-BE49-F238E27FC236}">
              <a16:creationId xmlns:a16="http://schemas.microsoft.com/office/drawing/2014/main" id="{A6BB3AA3-266B-49CD-AC3D-677B9A9BA50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40" name="Text Box 3">
          <a:extLst>
            <a:ext uri="{FF2B5EF4-FFF2-40B4-BE49-F238E27FC236}">
              <a16:creationId xmlns:a16="http://schemas.microsoft.com/office/drawing/2014/main" id="{91BE5FD3-335B-41E8-979A-CB2AAD2B8AE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41" name="Text Box 1">
          <a:extLst>
            <a:ext uri="{FF2B5EF4-FFF2-40B4-BE49-F238E27FC236}">
              <a16:creationId xmlns:a16="http://schemas.microsoft.com/office/drawing/2014/main" id="{FBD5927A-9DB0-42E1-8624-DC4D386695A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42" name="Text Box 1">
          <a:extLst>
            <a:ext uri="{FF2B5EF4-FFF2-40B4-BE49-F238E27FC236}">
              <a16:creationId xmlns:a16="http://schemas.microsoft.com/office/drawing/2014/main" id="{C9CC4830-E326-4236-84EC-13A7635BAC1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43" name="Text Box 3">
          <a:extLst>
            <a:ext uri="{FF2B5EF4-FFF2-40B4-BE49-F238E27FC236}">
              <a16:creationId xmlns:a16="http://schemas.microsoft.com/office/drawing/2014/main" id="{AC729FBD-836E-45DE-92E5-615940A1C26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44" name="Text Box 1">
          <a:extLst>
            <a:ext uri="{FF2B5EF4-FFF2-40B4-BE49-F238E27FC236}">
              <a16:creationId xmlns:a16="http://schemas.microsoft.com/office/drawing/2014/main" id="{B7CCA405-9AE4-45AC-8030-B213ABEC5FD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45" name="Text Box 3">
          <a:extLst>
            <a:ext uri="{FF2B5EF4-FFF2-40B4-BE49-F238E27FC236}">
              <a16:creationId xmlns:a16="http://schemas.microsoft.com/office/drawing/2014/main" id="{8F78B83E-E65D-4A04-A042-F2752FD122F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46" name="Text Box 1">
          <a:extLst>
            <a:ext uri="{FF2B5EF4-FFF2-40B4-BE49-F238E27FC236}">
              <a16:creationId xmlns:a16="http://schemas.microsoft.com/office/drawing/2014/main" id="{8BCB0D69-5D8B-411A-82ED-95156B7299D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47" name="Text Box 1">
          <a:extLst>
            <a:ext uri="{FF2B5EF4-FFF2-40B4-BE49-F238E27FC236}">
              <a16:creationId xmlns:a16="http://schemas.microsoft.com/office/drawing/2014/main" id="{04E38551-1D33-4541-8A55-01C536B1B2A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48" name="Text Box 3">
          <a:extLst>
            <a:ext uri="{FF2B5EF4-FFF2-40B4-BE49-F238E27FC236}">
              <a16:creationId xmlns:a16="http://schemas.microsoft.com/office/drawing/2014/main" id="{0F38FC60-689B-4790-9FF6-205E9B86E36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49" name="Text Box 1">
          <a:extLst>
            <a:ext uri="{FF2B5EF4-FFF2-40B4-BE49-F238E27FC236}">
              <a16:creationId xmlns:a16="http://schemas.microsoft.com/office/drawing/2014/main" id="{9B9EAAFC-7CF9-47A1-8087-EF9F71B0B7A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50" name="Text Box 3">
          <a:extLst>
            <a:ext uri="{FF2B5EF4-FFF2-40B4-BE49-F238E27FC236}">
              <a16:creationId xmlns:a16="http://schemas.microsoft.com/office/drawing/2014/main" id="{7AC0BC7A-A023-4B55-884B-DB2B7BBB820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51" name="Text Box 1">
          <a:extLst>
            <a:ext uri="{FF2B5EF4-FFF2-40B4-BE49-F238E27FC236}">
              <a16:creationId xmlns:a16="http://schemas.microsoft.com/office/drawing/2014/main" id="{C1D6216C-6CFA-4AC0-94CE-225C1130B1D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52" name="Text Box 1">
          <a:extLst>
            <a:ext uri="{FF2B5EF4-FFF2-40B4-BE49-F238E27FC236}">
              <a16:creationId xmlns:a16="http://schemas.microsoft.com/office/drawing/2014/main" id="{58C5675D-D76E-41EF-8DB0-247E3629B63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53" name="Text Box 3">
          <a:extLst>
            <a:ext uri="{FF2B5EF4-FFF2-40B4-BE49-F238E27FC236}">
              <a16:creationId xmlns:a16="http://schemas.microsoft.com/office/drawing/2014/main" id="{36D702DF-86D4-4179-B86A-0A6A903BD9B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54" name="Text Box 1">
          <a:extLst>
            <a:ext uri="{FF2B5EF4-FFF2-40B4-BE49-F238E27FC236}">
              <a16:creationId xmlns:a16="http://schemas.microsoft.com/office/drawing/2014/main" id="{0EC57D66-95A1-4181-9258-10E423B9BD0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55" name="Text Box 3">
          <a:extLst>
            <a:ext uri="{FF2B5EF4-FFF2-40B4-BE49-F238E27FC236}">
              <a16:creationId xmlns:a16="http://schemas.microsoft.com/office/drawing/2014/main" id="{365E9047-6C8C-409C-9FE2-DB481E1978B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56" name="Text Box 1">
          <a:extLst>
            <a:ext uri="{FF2B5EF4-FFF2-40B4-BE49-F238E27FC236}">
              <a16:creationId xmlns:a16="http://schemas.microsoft.com/office/drawing/2014/main" id="{7F850E82-377D-450C-A58B-80D5CA13460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57" name="Text Box 1">
          <a:extLst>
            <a:ext uri="{FF2B5EF4-FFF2-40B4-BE49-F238E27FC236}">
              <a16:creationId xmlns:a16="http://schemas.microsoft.com/office/drawing/2014/main" id="{729870B5-4679-4C8E-8A8E-9898584CA0D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58" name="Text Box 3">
          <a:extLst>
            <a:ext uri="{FF2B5EF4-FFF2-40B4-BE49-F238E27FC236}">
              <a16:creationId xmlns:a16="http://schemas.microsoft.com/office/drawing/2014/main" id="{EC1A2888-C19F-4283-8A90-02A316D0B88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59" name="Text Box 1">
          <a:extLst>
            <a:ext uri="{FF2B5EF4-FFF2-40B4-BE49-F238E27FC236}">
              <a16:creationId xmlns:a16="http://schemas.microsoft.com/office/drawing/2014/main" id="{E4E5E2C7-C3AB-4725-A92B-1EF66BE79C2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60" name="Text Box 3">
          <a:extLst>
            <a:ext uri="{FF2B5EF4-FFF2-40B4-BE49-F238E27FC236}">
              <a16:creationId xmlns:a16="http://schemas.microsoft.com/office/drawing/2014/main" id="{EFC6DC7E-966D-424D-8C33-BF94C191A2F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61" name="Text Box 1">
          <a:extLst>
            <a:ext uri="{FF2B5EF4-FFF2-40B4-BE49-F238E27FC236}">
              <a16:creationId xmlns:a16="http://schemas.microsoft.com/office/drawing/2014/main" id="{DE324C35-3D46-415B-8B35-1AA04214CB0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62" name="Text Box 1">
          <a:extLst>
            <a:ext uri="{FF2B5EF4-FFF2-40B4-BE49-F238E27FC236}">
              <a16:creationId xmlns:a16="http://schemas.microsoft.com/office/drawing/2014/main" id="{C53BE52F-FBB7-4876-8E47-AC91ACFBFA6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63" name="Text Box 3">
          <a:extLst>
            <a:ext uri="{FF2B5EF4-FFF2-40B4-BE49-F238E27FC236}">
              <a16:creationId xmlns:a16="http://schemas.microsoft.com/office/drawing/2014/main" id="{DD757453-0919-4F3C-825E-6340D816C6C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64" name="Text Box 1">
          <a:extLst>
            <a:ext uri="{FF2B5EF4-FFF2-40B4-BE49-F238E27FC236}">
              <a16:creationId xmlns:a16="http://schemas.microsoft.com/office/drawing/2014/main" id="{A760C09A-7B68-43EE-BD1F-1EC4C2CE326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65" name="Text Box 3">
          <a:extLst>
            <a:ext uri="{FF2B5EF4-FFF2-40B4-BE49-F238E27FC236}">
              <a16:creationId xmlns:a16="http://schemas.microsoft.com/office/drawing/2014/main" id="{D20001EB-1283-4FA3-9DE9-B4912AE569D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66" name="Text Box 1">
          <a:extLst>
            <a:ext uri="{FF2B5EF4-FFF2-40B4-BE49-F238E27FC236}">
              <a16:creationId xmlns:a16="http://schemas.microsoft.com/office/drawing/2014/main" id="{319B8D4B-7BE4-46A1-90BA-917293E910E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67" name="Text Box 1">
          <a:extLst>
            <a:ext uri="{FF2B5EF4-FFF2-40B4-BE49-F238E27FC236}">
              <a16:creationId xmlns:a16="http://schemas.microsoft.com/office/drawing/2014/main" id="{89F68017-A25B-442B-8F70-DC5EB4E4905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68" name="Text Box 3">
          <a:extLst>
            <a:ext uri="{FF2B5EF4-FFF2-40B4-BE49-F238E27FC236}">
              <a16:creationId xmlns:a16="http://schemas.microsoft.com/office/drawing/2014/main" id="{FDB09F6B-D4B2-44B7-886F-E8202509D0D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69" name="Text Box 1">
          <a:extLst>
            <a:ext uri="{FF2B5EF4-FFF2-40B4-BE49-F238E27FC236}">
              <a16:creationId xmlns:a16="http://schemas.microsoft.com/office/drawing/2014/main" id="{4E86C1FB-C46D-46CF-8317-7766D272255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70" name="Text Box 3">
          <a:extLst>
            <a:ext uri="{FF2B5EF4-FFF2-40B4-BE49-F238E27FC236}">
              <a16:creationId xmlns:a16="http://schemas.microsoft.com/office/drawing/2014/main" id="{1CD1FD3F-95E3-48DC-B7B3-65007327F08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71" name="Text Box 1">
          <a:extLst>
            <a:ext uri="{FF2B5EF4-FFF2-40B4-BE49-F238E27FC236}">
              <a16:creationId xmlns:a16="http://schemas.microsoft.com/office/drawing/2014/main" id="{9AFB8BFE-7B1C-4056-940A-A9D76AB10EF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72" name="Text Box 1">
          <a:extLst>
            <a:ext uri="{FF2B5EF4-FFF2-40B4-BE49-F238E27FC236}">
              <a16:creationId xmlns:a16="http://schemas.microsoft.com/office/drawing/2014/main" id="{14AD9343-31D3-48A4-B8E6-CA18D590E9A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73" name="Text Box 3">
          <a:extLst>
            <a:ext uri="{FF2B5EF4-FFF2-40B4-BE49-F238E27FC236}">
              <a16:creationId xmlns:a16="http://schemas.microsoft.com/office/drawing/2014/main" id="{BDAAC4CB-CE47-49F3-B422-8C889693A7A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74" name="Text Box 1">
          <a:extLst>
            <a:ext uri="{FF2B5EF4-FFF2-40B4-BE49-F238E27FC236}">
              <a16:creationId xmlns:a16="http://schemas.microsoft.com/office/drawing/2014/main" id="{B1BCC49C-F882-452D-91B0-BFF63863400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75" name="Text Box 3">
          <a:extLst>
            <a:ext uri="{FF2B5EF4-FFF2-40B4-BE49-F238E27FC236}">
              <a16:creationId xmlns:a16="http://schemas.microsoft.com/office/drawing/2014/main" id="{5A136FA4-F66E-4D79-90D2-7AFA4DA3AA7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76" name="Text Box 1">
          <a:extLst>
            <a:ext uri="{FF2B5EF4-FFF2-40B4-BE49-F238E27FC236}">
              <a16:creationId xmlns:a16="http://schemas.microsoft.com/office/drawing/2014/main" id="{E319C301-80CF-4157-9E05-29D6EECA9E39}"/>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77" name="Text Box 3">
          <a:extLst>
            <a:ext uri="{FF2B5EF4-FFF2-40B4-BE49-F238E27FC236}">
              <a16:creationId xmlns:a16="http://schemas.microsoft.com/office/drawing/2014/main" id="{71D0031F-DEB5-43DD-8112-5AEF7388D529}"/>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78" name="Text Box 1">
          <a:extLst>
            <a:ext uri="{FF2B5EF4-FFF2-40B4-BE49-F238E27FC236}">
              <a16:creationId xmlns:a16="http://schemas.microsoft.com/office/drawing/2014/main" id="{1E04C026-1B8F-45D3-8AC3-10CC4BB4185F}"/>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79" name="Text Box 3">
          <a:extLst>
            <a:ext uri="{FF2B5EF4-FFF2-40B4-BE49-F238E27FC236}">
              <a16:creationId xmlns:a16="http://schemas.microsoft.com/office/drawing/2014/main" id="{CF5E7FC3-C4F4-4E9D-821F-8DEC34566251}"/>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80" name="Text Box 1">
          <a:extLst>
            <a:ext uri="{FF2B5EF4-FFF2-40B4-BE49-F238E27FC236}">
              <a16:creationId xmlns:a16="http://schemas.microsoft.com/office/drawing/2014/main" id="{8C738268-AFC1-431D-9D43-D2E3D6C8BF4F}"/>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81" name="Text Box 1">
          <a:extLst>
            <a:ext uri="{FF2B5EF4-FFF2-40B4-BE49-F238E27FC236}">
              <a16:creationId xmlns:a16="http://schemas.microsoft.com/office/drawing/2014/main" id="{8A3E2F26-23C0-4098-A54C-0681F8053E16}"/>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82" name="Text Box 3">
          <a:extLst>
            <a:ext uri="{FF2B5EF4-FFF2-40B4-BE49-F238E27FC236}">
              <a16:creationId xmlns:a16="http://schemas.microsoft.com/office/drawing/2014/main" id="{C6645CF3-E138-457F-B6EB-DFD1DDE27926}"/>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83" name="Text Box 1">
          <a:extLst>
            <a:ext uri="{FF2B5EF4-FFF2-40B4-BE49-F238E27FC236}">
              <a16:creationId xmlns:a16="http://schemas.microsoft.com/office/drawing/2014/main" id="{D8794602-0581-436B-B50C-390D35B9229B}"/>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84" name="Text Box 3">
          <a:extLst>
            <a:ext uri="{FF2B5EF4-FFF2-40B4-BE49-F238E27FC236}">
              <a16:creationId xmlns:a16="http://schemas.microsoft.com/office/drawing/2014/main" id="{9665C679-879A-45AE-9633-FB4B09CED77F}"/>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85" name="Text Box 1">
          <a:extLst>
            <a:ext uri="{FF2B5EF4-FFF2-40B4-BE49-F238E27FC236}">
              <a16:creationId xmlns:a16="http://schemas.microsoft.com/office/drawing/2014/main" id="{CA617FD6-B033-4A2D-B83A-6FCE162F4A95}"/>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86" name="Text Box 1">
          <a:extLst>
            <a:ext uri="{FF2B5EF4-FFF2-40B4-BE49-F238E27FC236}">
              <a16:creationId xmlns:a16="http://schemas.microsoft.com/office/drawing/2014/main" id="{F9B9C281-91A2-40D8-BE6B-96A72EC40805}"/>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87" name="Text Box 3">
          <a:extLst>
            <a:ext uri="{FF2B5EF4-FFF2-40B4-BE49-F238E27FC236}">
              <a16:creationId xmlns:a16="http://schemas.microsoft.com/office/drawing/2014/main" id="{D644AFA6-4EE2-4D86-B2E4-8E7464289688}"/>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88" name="Text Box 1">
          <a:extLst>
            <a:ext uri="{FF2B5EF4-FFF2-40B4-BE49-F238E27FC236}">
              <a16:creationId xmlns:a16="http://schemas.microsoft.com/office/drawing/2014/main" id="{AD97C091-7572-4334-A284-7033423FE714}"/>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89" name="Text Box 1">
          <a:extLst>
            <a:ext uri="{FF2B5EF4-FFF2-40B4-BE49-F238E27FC236}">
              <a16:creationId xmlns:a16="http://schemas.microsoft.com/office/drawing/2014/main" id="{9272CFFF-5EB5-45F3-9F4C-A2D04172DA23}"/>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90" name="Text Box 3">
          <a:extLst>
            <a:ext uri="{FF2B5EF4-FFF2-40B4-BE49-F238E27FC236}">
              <a16:creationId xmlns:a16="http://schemas.microsoft.com/office/drawing/2014/main" id="{F805A6D4-93E6-41FA-AE6D-05E194EB4AD3}"/>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91" name="Text Box 1">
          <a:extLst>
            <a:ext uri="{FF2B5EF4-FFF2-40B4-BE49-F238E27FC236}">
              <a16:creationId xmlns:a16="http://schemas.microsoft.com/office/drawing/2014/main" id="{295E45F2-8911-4845-BDFC-FFDDF956EC28}"/>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92" name="Text Box 3">
          <a:extLst>
            <a:ext uri="{FF2B5EF4-FFF2-40B4-BE49-F238E27FC236}">
              <a16:creationId xmlns:a16="http://schemas.microsoft.com/office/drawing/2014/main" id="{F57A916F-A687-4B83-9AC4-416B9C4DCF53}"/>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93" name="Text Box 1">
          <a:extLst>
            <a:ext uri="{FF2B5EF4-FFF2-40B4-BE49-F238E27FC236}">
              <a16:creationId xmlns:a16="http://schemas.microsoft.com/office/drawing/2014/main" id="{5DE72DE6-E6CB-4AAE-9EDF-E15995603263}"/>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94" name="Text Box 1">
          <a:extLst>
            <a:ext uri="{FF2B5EF4-FFF2-40B4-BE49-F238E27FC236}">
              <a16:creationId xmlns:a16="http://schemas.microsoft.com/office/drawing/2014/main" id="{5E5640B9-5E4D-4CC7-B208-8B397E895DCB}"/>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95" name="Text Box 3">
          <a:extLst>
            <a:ext uri="{FF2B5EF4-FFF2-40B4-BE49-F238E27FC236}">
              <a16:creationId xmlns:a16="http://schemas.microsoft.com/office/drawing/2014/main" id="{668F6A83-923F-4E63-A7E2-A666DDFB1649}"/>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96" name="Text Box 1">
          <a:extLst>
            <a:ext uri="{FF2B5EF4-FFF2-40B4-BE49-F238E27FC236}">
              <a16:creationId xmlns:a16="http://schemas.microsoft.com/office/drawing/2014/main" id="{7E3BA2C1-CCA0-41A9-AADE-C892C103F3A4}"/>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97" name="Text Box 3">
          <a:extLst>
            <a:ext uri="{FF2B5EF4-FFF2-40B4-BE49-F238E27FC236}">
              <a16:creationId xmlns:a16="http://schemas.microsoft.com/office/drawing/2014/main" id="{2DD66035-9F3A-4759-9316-7F846CBE296B}"/>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98" name="Text Box 1">
          <a:extLst>
            <a:ext uri="{FF2B5EF4-FFF2-40B4-BE49-F238E27FC236}">
              <a16:creationId xmlns:a16="http://schemas.microsoft.com/office/drawing/2014/main" id="{7F3AFEB7-B05D-45B7-B899-ECD613FCFB78}"/>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99" name="Text Box 1">
          <a:extLst>
            <a:ext uri="{FF2B5EF4-FFF2-40B4-BE49-F238E27FC236}">
              <a16:creationId xmlns:a16="http://schemas.microsoft.com/office/drawing/2014/main" id="{F1AC232E-5CC6-4C0E-BA04-20C92C843F87}"/>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700" name="Text Box 3">
          <a:extLst>
            <a:ext uri="{FF2B5EF4-FFF2-40B4-BE49-F238E27FC236}">
              <a16:creationId xmlns:a16="http://schemas.microsoft.com/office/drawing/2014/main" id="{5F5C2568-C658-4D13-A252-DCA378FBEB71}"/>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01" name="Text Box 3">
          <a:extLst>
            <a:ext uri="{FF2B5EF4-FFF2-40B4-BE49-F238E27FC236}">
              <a16:creationId xmlns:a16="http://schemas.microsoft.com/office/drawing/2014/main" id="{0D0AF45D-66CA-4DD8-A615-FA2BEEDD68B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02" name="Text Box 1">
          <a:extLst>
            <a:ext uri="{FF2B5EF4-FFF2-40B4-BE49-F238E27FC236}">
              <a16:creationId xmlns:a16="http://schemas.microsoft.com/office/drawing/2014/main" id="{6EB27C39-C505-4A7C-9D26-F9409C4C20B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03" name="Text Box 3">
          <a:extLst>
            <a:ext uri="{FF2B5EF4-FFF2-40B4-BE49-F238E27FC236}">
              <a16:creationId xmlns:a16="http://schemas.microsoft.com/office/drawing/2014/main" id="{EFDA10EF-617E-4EF8-9FED-8833961794F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04" name="Text Box 1">
          <a:extLst>
            <a:ext uri="{FF2B5EF4-FFF2-40B4-BE49-F238E27FC236}">
              <a16:creationId xmlns:a16="http://schemas.microsoft.com/office/drawing/2014/main" id="{D0D09B29-8EB8-429B-994F-56A02F8ED37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05" name="Text Box 1">
          <a:extLst>
            <a:ext uri="{FF2B5EF4-FFF2-40B4-BE49-F238E27FC236}">
              <a16:creationId xmlns:a16="http://schemas.microsoft.com/office/drawing/2014/main" id="{5776A0DC-2B14-4442-828C-9582CFA8B60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06" name="Text Box 3">
          <a:extLst>
            <a:ext uri="{FF2B5EF4-FFF2-40B4-BE49-F238E27FC236}">
              <a16:creationId xmlns:a16="http://schemas.microsoft.com/office/drawing/2014/main" id="{F2A2758A-25D4-4432-A1C6-C2B1FFBCD27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07" name="Text Box 1">
          <a:extLst>
            <a:ext uri="{FF2B5EF4-FFF2-40B4-BE49-F238E27FC236}">
              <a16:creationId xmlns:a16="http://schemas.microsoft.com/office/drawing/2014/main" id="{EC7914CE-38F6-4DE7-B61D-132D4542181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08" name="Text Box 3">
          <a:extLst>
            <a:ext uri="{FF2B5EF4-FFF2-40B4-BE49-F238E27FC236}">
              <a16:creationId xmlns:a16="http://schemas.microsoft.com/office/drawing/2014/main" id="{C87CBE8E-2664-4286-9D60-552C423170B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09" name="Text Box 1">
          <a:extLst>
            <a:ext uri="{FF2B5EF4-FFF2-40B4-BE49-F238E27FC236}">
              <a16:creationId xmlns:a16="http://schemas.microsoft.com/office/drawing/2014/main" id="{DC02DB7A-E838-45FD-9BE5-F1B9CA1BE52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10" name="Text Box 1">
          <a:extLst>
            <a:ext uri="{FF2B5EF4-FFF2-40B4-BE49-F238E27FC236}">
              <a16:creationId xmlns:a16="http://schemas.microsoft.com/office/drawing/2014/main" id="{40340371-D586-4D23-8E73-DE3AC46A44B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11" name="Text Box 3">
          <a:extLst>
            <a:ext uri="{FF2B5EF4-FFF2-40B4-BE49-F238E27FC236}">
              <a16:creationId xmlns:a16="http://schemas.microsoft.com/office/drawing/2014/main" id="{60C3F553-023F-4549-A9BB-46B048BDFB1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12" name="Text Box 1">
          <a:extLst>
            <a:ext uri="{FF2B5EF4-FFF2-40B4-BE49-F238E27FC236}">
              <a16:creationId xmlns:a16="http://schemas.microsoft.com/office/drawing/2014/main" id="{E79F72C2-0615-4FA8-BF65-4E4E05E0521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13" name="Text Box 1">
          <a:extLst>
            <a:ext uri="{FF2B5EF4-FFF2-40B4-BE49-F238E27FC236}">
              <a16:creationId xmlns:a16="http://schemas.microsoft.com/office/drawing/2014/main" id="{D144E2B7-E08A-4359-94CA-6EE8EFA6D4D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14" name="Text Box 3">
          <a:extLst>
            <a:ext uri="{FF2B5EF4-FFF2-40B4-BE49-F238E27FC236}">
              <a16:creationId xmlns:a16="http://schemas.microsoft.com/office/drawing/2014/main" id="{5F6BA179-74E3-425F-952A-D3BDADFED21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15" name="Text Box 1">
          <a:extLst>
            <a:ext uri="{FF2B5EF4-FFF2-40B4-BE49-F238E27FC236}">
              <a16:creationId xmlns:a16="http://schemas.microsoft.com/office/drawing/2014/main" id="{E373B782-3125-44C3-AD57-26E842C7A30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16" name="Text Box 3">
          <a:extLst>
            <a:ext uri="{FF2B5EF4-FFF2-40B4-BE49-F238E27FC236}">
              <a16:creationId xmlns:a16="http://schemas.microsoft.com/office/drawing/2014/main" id="{BD325D2D-21EA-4352-B5EC-63B54F6220C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17" name="Text Box 1">
          <a:extLst>
            <a:ext uri="{FF2B5EF4-FFF2-40B4-BE49-F238E27FC236}">
              <a16:creationId xmlns:a16="http://schemas.microsoft.com/office/drawing/2014/main" id="{6A9024ED-D2C5-4163-A2D6-148F5D66ABD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18" name="Text Box 3">
          <a:extLst>
            <a:ext uri="{FF2B5EF4-FFF2-40B4-BE49-F238E27FC236}">
              <a16:creationId xmlns:a16="http://schemas.microsoft.com/office/drawing/2014/main" id="{6703517E-821B-4212-86F2-4FA40195223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19" name="Text Box 1">
          <a:extLst>
            <a:ext uri="{FF2B5EF4-FFF2-40B4-BE49-F238E27FC236}">
              <a16:creationId xmlns:a16="http://schemas.microsoft.com/office/drawing/2014/main" id="{3BD82C1D-57BF-419B-9433-F885980DB39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20" name="Text Box 3">
          <a:extLst>
            <a:ext uri="{FF2B5EF4-FFF2-40B4-BE49-F238E27FC236}">
              <a16:creationId xmlns:a16="http://schemas.microsoft.com/office/drawing/2014/main" id="{EFBA3CD4-B4D8-4A18-BC5B-5A1EE0FE0CB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21" name="Text Box 1">
          <a:extLst>
            <a:ext uri="{FF2B5EF4-FFF2-40B4-BE49-F238E27FC236}">
              <a16:creationId xmlns:a16="http://schemas.microsoft.com/office/drawing/2014/main" id="{7ACBEC55-FA28-4057-88A7-033BA8F6F20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22" name="Text Box 1">
          <a:extLst>
            <a:ext uri="{FF2B5EF4-FFF2-40B4-BE49-F238E27FC236}">
              <a16:creationId xmlns:a16="http://schemas.microsoft.com/office/drawing/2014/main" id="{18AC6D90-C39F-4DB1-A731-BF698EC104F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23" name="Text Box 3">
          <a:extLst>
            <a:ext uri="{FF2B5EF4-FFF2-40B4-BE49-F238E27FC236}">
              <a16:creationId xmlns:a16="http://schemas.microsoft.com/office/drawing/2014/main" id="{86AEB3B4-2827-4316-A586-11FEE1DF216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24" name="Text Box 1">
          <a:extLst>
            <a:ext uri="{FF2B5EF4-FFF2-40B4-BE49-F238E27FC236}">
              <a16:creationId xmlns:a16="http://schemas.microsoft.com/office/drawing/2014/main" id="{C3F5DF95-EFA5-43C4-B4F8-6B43E8BCCC1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725" name="Text Box 1">
          <a:extLst>
            <a:ext uri="{FF2B5EF4-FFF2-40B4-BE49-F238E27FC236}">
              <a16:creationId xmlns:a16="http://schemas.microsoft.com/office/drawing/2014/main" id="{3E1DA53B-C74D-4F56-AF09-A5EEF8C396D7}"/>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26" name="Text Box 1">
          <a:extLst>
            <a:ext uri="{FF2B5EF4-FFF2-40B4-BE49-F238E27FC236}">
              <a16:creationId xmlns:a16="http://schemas.microsoft.com/office/drawing/2014/main" id="{E85071A0-5E5A-45B1-B515-89597C59510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27" name="Text Box 3">
          <a:extLst>
            <a:ext uri="{FF2B5EF4-FFF2-40B4-BE49-F238E27FC236}">
              <a16:creationId xmlns:a16="http://schemas.microsoft.com/office/drawing/2014/main" id="{B096478A-6C1E-4E0B-9B6B-E9E7B3891F2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28" name="Text Box 1">
          <a:extLst>
            <a:ext uri="{FF2B5EF4-FFF2-40B4-BE49-F238E27FC236}">
              <a16:creationId xmlns:a16="http://schemas.microsoft.com/office/drawing/2014/main" id="{5E34D959-C8C1-4ADC-B406-B256FA0E9A9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29" name="Text Box 3">
          <a:extLst>
            <a:ext uri="{FF2B5EF4-FFF2-40B4-BE49-F238E27FC236}">
              <a16:creationId xmlns:a16="http://schemas.microsoft.com/office/drawing/2014/main" id="{8383B4DF-5B7D-4589-82E5-BB773B86570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30" name="Text Box 1">
          <a:extLst>
            <a:ext uri="{FF2B5EF4-FFF2-40B4-BE49-F238E27FC236}">
              <a16:creationId xmlns:a16="http://schemas.microsoft.com/office/drawing/2014/main" id="{E58ADA7B-CEC8-4573-ABD7-52370CA90BE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31" name="Text Box 1">
          <a:extLst>
            <a:ext uri="{FF2B5EF4-FFF2-40B4-BE49-F238E27FC236}">
              <a16:creationId xmlns:a16="http://schemas.microsoft.com/office/drawing/2014/main" id="{34DB407D-F925-4DDF-8200-18C60B0EF39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32" name="Text Box 3">
          <a:extLst>
            <a:ext uri="{FF2B5EF4-FFF2-40B4-BE49-F238E27FC236}">
              <a16:creationId xmlns:a16="http://schemas.microsoft.com/office/drawing/2014/main" id="{0E48BDD6-0283-4639-AF14-7D60F217C65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33" name="Text Box 1">
          <a:extLst>
            <a:ext uri="{FF2B5EF4-FFF2-40B4-BE49-F238E27FC236}">
              <a16:creationId xmlns:a16="http://schemas.microsoft.com/office/drawing/2014/main" id="{8937863B-4C65-4CF4-982F-46CFA90400D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34" name="Text Box 3">
          <a:extLst>
            <a:ext uri="{FF2B5EF4-FFF2-40B4-BE49-F238E27FC236}">
              <a16:creationId xmlns:a16="http://schemas.microsoft.com/office/drawing/2014/main" id="{D267AD1A-A7C2-4A35-9774-0E680B21655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35" name="Text Box 1">
          <a:extLst>
            <a:ext uri="{FF2B5EF4-FFF2-40B4-BE49-F238E27FC236}">
              <a16:creationId xmlns:a16="http://schemas.microsoft.com/office/drawing/2014/main" id="{AEAB5DE9-AE71-4B57-98F6-A4F11696379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36" name="Text Box 1">
          <a:extLst>
            <a:ext uri="{FF2B5EF4-FFF2-40B4-BE49-F238E27FC236}">
              <a16:creationId xmlns:a16="http://schemas.microsoft.com/office/drawing/2014/main" id="{43941AFE-6A97-4E4D-92DE-9B2B47AC2C0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37" name="Text Box 3">
          <a:extLst>
            <a:ext uri="{FF2B5EF4-FFF2-40B4-BE49-F238E27FC236}">
              <a16:creationId xmlns:a16="http://schemas.microsoft.com/office/drawing/2014/main" id="{DDAEDFE7-B46C-4671-8B21-BA4C3C01828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38" name="Text Box 1">
          <a:extLst>
            <a:ext uri="{FF2B5EF4-FFF2-40B4-BE49-F238E27FC236}">
              <a16:creationId xmlns:a16="http://schemas.microsoft.com/office/drawing/2014/main" id="{5FB414BA-D22C-4AC5-A3D1-EEC280E1C62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39" name="Text Box 3">
          <a:extLst>
            <a:ext uri="{FF2B5EF4-FFF2-40B4-BE49-F238E27FC236}">
              <a16:creationId xmlns:a16="http://schemas.microsoft.com/office/drawing/2014/main" id="{BA0D52A2-4CEB-4D19-877A-1DBC32929DA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40" name="Text Box 1">
          <a:extLst>
            <a:ext uri="{FF2B5EF4-FFF2-40B4-BE49-F238E27FC236}">
              <a16:creationId xmlns:a16="http://schemas.microsoft.com/office/drawing/2014/main" id="{80DCE1A1-8127-4A4E-9999-4B6B6A02E96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41" name="Text Box 1">
          <a:extLst>
            <a:ext uri="{FF2B5EF4-FFF2-40B4-BE49-F238E27FC236}">
              <a16:creationId xmlns:a16="http://schemas.microsoft.com/office/drawing/2014/main" id="{F48FE20E-2074-4635-82A2-537AFC46A8B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42" name="Text Box 3">
          <a:extLst>
            <a:ext uri="{FF2B5EF4-FFF2-40B4-BE49-F238E27FC236}">
              <a16:creationId xmlns:a16="http://schemas.microsoft.com/office/drawing/2014/main" id="{93B7927E-AF9D-4FF5-B878-BA881A2C764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43" name="Text Box 1">
          <a:extLst>
            <a:ext uri="{FF2B5EF4-FFF2-40B4-BE49-F238E27FC236}">
              <a16:creationId xmlns:a16="http://schemas.microsoft.com/office/drawing/2014/main" id="{2E0ADDAD-B95F-4B5D-9BB8-BB912FC3A90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44" name="Text Box 3">
          <a:extLst>
            <a:ext uri="{FF2B5EF4-FFF2-40B4-BE49-F238E27FC236}">
              <a16:creationId xmlns:a16="http://schemas.microsoft.com/office/drawing/2014/main" id="{3B7F67F8-7FD5-4765-81F5-7A4F57913FF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45" name="Text Box 1">
          <a:extLst>
            <a:ext uri="{FF2B5EF4-FFF2-40B4-BE49-F238E27FC236}">
              <a16:creationId xmlns:a16="http://schemas.microsoft.com/office/drawing/2014/main" id="{613A8BCB-065D-4EE6-8A8E-B9E70B87956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46" name="Text Box 1">
          <a:extLst>
            <a:ext uri="{FF2B5EF4-FFF2-40B4-BE49-F238E27FC236}">
              <a16:creationId xmlns:a16="http://schemas.microsoft.com/office/drawing/2014/main" id="{553A91C1-94BA-4336-BA34-A5D0D246FF4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47" name="Text Box 3">
          <a:extLst>
            <a:ext uri="{FF2B5EF4-FFF2-40B4-BE49-F238E27FC236}">
              <a16:creationId xmlns:a16="http://schemas.microsoft.com/office/drawing/2014/main" id="{3B614E85-C2AD-4754-9848-739ACAA16CE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48" name="Text Box 1">
          <a:extLst>
            <a:ext uri="{FF2B5EF4-FFF2-40B4-BE49-F238E27FC236}">
              <a16:creationId xmlns:a16="http://schemas.microsoft.com/office/drawing/2014/main" id="{09C65BF1-E9A7-46C8-B3F4-688E527E4F1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49" name="Text Box 3">
          <a:extLst>
            <a:ext uri="{FF2B5EF4-FFF2-40B4-BE49-F238E27FC236}">
              <a16:creationId xmlns:a16="http://schemas.microsoft.com/office/drawing/2014/main" id="{1F6B5907-3B30-4819-93FF-4A43F38CCCF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50" name="Text Box 1">
          <a:extLst>
            <a:ext uri="{FF2B5EF4-FFF2-40B4-BE49-F238E27FC236}">
              <a16:creationId xmlns:a16="http://schemas.microsoft.com/office/drawing/2014/main" id="{8480BD2B-C0C7-44C3-A733-469CDCEA5B9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51" name="Text Box 1">
          <a:extLst>
            <a:ext uri="{FF2B5EF4-FFF2-40B4-BE49-F238E27FC236}">
              <a16:creationId xmlns:a16="http://schemas.microsoft.com/office/drawing/2014/main" id="{A962CC25-E153-4807-AE04-A4D1629A1DC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52" name="Text Box 3">
          <a:extLst>
            <a:ext uri="{FF2B5EF4-FFF2-40B4-BE49-F238E27FC236}">
              <a16:creationId xmlns:a16="http://schemas.microsoft.com/office/drawing/2014/main" id="{D67F85E0-621B-479D-A0D8-C4BA798125C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53" name="Text Box 1">
          <a:extLst>
            <a:ext uri="{FF2B5EF4-FFF2-40B4-BE49-F238E27FC236}">
              <a16:creationId xmlns:a16="http://schemas.microsoft.com/office/drawing/2014/main" id="{C181A38F-A781-44FD-B031-11DD5245302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54" name="Text Box 3">
          <a:extLst>
            <a:ext uri="{FF2B5EF4-FFF2-40B4-BE49-F238E27FC236}">
              <a16:creationId xmlns:a16="http://schemas.microsoft.com/office/drawing/2014/main" id="{890FABB7-73DA-47C7-943E-539C3B74384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55" name="Text Box 1">
          <a:extLst>
            <a:ext uri="{FF2B5EF4-FFF2-40B4-BE49-F238E27FC236}">
              <a16:creationId xmlns:a16="http://schemas.microsoft.com/office/drawing/2014/main" id="{D4F74710-DF72-49BB-92CD-D2B37F12244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56" name="Text Box 1">
          <a:extLst>
            <a:ext uri="{FF2B5EF4-FFF2-40B4-BE49-F238E27FC236}">
              <a16:creationId xmlns:a16="http://schemas.microsoft.com/office/drawing/2014/main" id="{76DA0696-96EC-4239-A56E-FB54C8F3801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57" name="Text Box 3">
          <a:extLst>
            <a:ext uri="{FF2B5EF4-FFF2-40B4-BE49-F238E27FC236}">
              <a16:creationId xmlns:a16="http://schemas.microsoft.com/office/drawing/2014/main" id="{FC9B34B3-4C45-41AE-8182-A2B1863639F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58" name="Text Box 1">
          <a:extLst>
            <a:ext uri="{FF2B5EF4-FFF2-40B4-BE49-F238E27FC236}">
              <a16:creationId xmlns:a16="http://schemas.microsoft.com/office/drawing/2014/main" id="{5A7EDE72-43F9-41CC-8954-250C620C9EF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59" name="Text Box 3">
          <a:extLst>
            <a:ext uri="{FF2B5EF4-FFF2-40B4-BE49-F238E27FC236}">
              <a16:creationId xmlns:a16="http://schemas.microsoft.com/office/drawing/2014/main" id="{F71D163E-4463-4BBB-9AED-0A0F55311C7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60" name="Text Box 1">
          <a:extLst>
            <a:ext uri="{FF2B5EF4-FFF2-40B4-BE49-F238E27FC236}">
              <a16:creationId xmlns:a16="http://schemas.microsoft.com/office/drawing/2014/main" id="{06CE4830-FDC6-42EB-A776-4412F1E1C64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61" name="Text Box 1">
          <a:extLst>
            <a:ext uri="{FF2B5EF4-FFF2-40B4-BE49-F238E27FC236}">
              <a16:creationId xmlns:a16="http://schemas.microsoft.com/office/drawing/2014/main" id="{589308DA-659C-48F5-BACA-F297BF4EC15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62" name="Text Box 3">
          <a:extLst>
            <a:ext uri="{FF2B5EF4-FFF2-40B4-BE49-F238E27FC236}">
              <a16:creationId xmlns:a16="http://schemas.microsoft.com/office/drawing/2014/main" id="{435D82A0-FB5C-4DC1-874E-3D2FA87F45C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63" name="Text Box 1">
          <a:extLst>
            <a:ext uri="{FF2B5EF4-FFF2-40B4-BE49-F238E27FC236}">
              <a16:creationId xmlns:a16="http://schemas.microsoft.com/office/drawing/2014/main" id="{57F153E3-7AEC-4119-BB6E-34D8BBC9DF3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64" name="Text Box 3">
          <a:extLst>
            <a:ext uri="{FF2B5EF4-FFF2-40B4-BE49-F238E27FC236}">
              <a16:creationId xmlns:a16="http://schemas.microsoft.com/office/drawing/2014/main" id="{F7F51C89-128B-42FA-959B-451D614EC94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65" name="Text Box 1">
          <a:extLst>
            <a:ext uri="{FF2B5EF4-FFF2-40B4-BE49-F238E27FC236}">
              <a16:creationId xmlns:a16="http://schemas.microsoft.com/office/drawing/2014/main" id="{B20203F0-A85B-406E-898E-92E75103DC6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66" name="Text Box 1">
          <a:extLst>
            <a:ext uri="{FF2B5EF4-FFF2-40B4-BE49-F238E27FC236}">
              <a16:creationId xmlns:a16="http://schemas.microsoft.com/office/drawing/2014/main" id="{57DDCC78-5062-4ABF-BDF7-DAC509B3867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67" name="Text Box 3">
          <a:extLst>
            <a:ext uri="{FF2B5EF4-FFF2-40B4-BE49-F238E27FC236}">
              <a16:creationId xmlns:a16="http://schemas.microsoft.com/office/drawing/2014/main" id="{CAAD279E-64DC-46FA-96EE-175D9DDA4E5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68" name="Text Box 1">
          <a:extLst>
            <a:ext uri="{FF2B5EF4-FFF2-40B4-BE49-F238E27FC236}">
              <a16:creationId xmlns:a16="http://schemas.microsoft.com/office/drawing/2014/main" id="{0C3E3125-AD38-422F-A4AC-F527C3418D8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69" name="Text Box 3">
          <a:extLst>
            <a:ext uri="{FF2B5EF4-FFF2-40B4-BE49-F238E27FC236}">
              <a16:creationId xmlns:a16="http://schemas.microsoft.com/office/drawing/2014/main" id="{626F72DA-C89C-41B4-8A10-2E4689F7FE9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70" name="Text Box 1">
          <a:extLst>
            <a:ext uri="{FF2B5EF4-FFF2-40B4-BE49-F238E27FC236}">
              <a16:creationId xmlns:a16="http://schemas.microsoft.com/office/drawing/2014/main" id="{F51E9EED-B55B-4509-BABA-DD8DC341FEC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71" name="Text Box 1">
          <a:extLst>
            <a:ext uri="{FF2B5EF4-FFF2-40B4-BE49-F238E27FC236}">
              <a16:creationId xmlns:a16="http://schemas.microsoft.com/office/drawing/2014/main" id="{30C27FF7-185E-43A9-8F1C-0C6D7E49B95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72" name="Text Box 3">
          <a:extLst>
            <a:ext uri="{FF2B5EF4-FFF2-40B4-BE49-F238E27FC236}">
              <a16:creationId xmlns:a16="http://schemas.microsoft.com/office/drawing/2014/main" id="{0AEE4746-2C22-48B3-B513-1B55629878C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73" name="Text Box 1">
          <a:extLst>
            <a:ext uri="{FF2B5EF4-FFF2-40B4-BE49-F238E27FC236}">
              <a16:creationId xmlns:a16="http://schemas.microsoft.com/office/drawing/2014/main" id="{2192B4A2-4409-48F3-A6D9-26EA1DA2B43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74" name="Text Box 3">
          <a:extLst>
            <a:ext uri="{FF2B5EF4-FFF2-40B4-BE49-F238E27FC236}">
              <a16:creationId xmlns:a16="http://schemas.microsoft.com/office/drawing/2014/main" id="{5459BB49-2DE4-465B-A5A8-B1E70FBC457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75" name="Text Box 1">
          <a:extLst>
            <a:ext uri="{FF2B5EF4-FFF2-40B4-BE49-F238E27FC236}">
              <a16:creationId xmlns:a16="http://schemas.microsoft.com/office/drawing/2014/main" id="{E4BC3A11-74B2-4D17-BA23-9D9BEE91A80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76" name="Text Box 1">
          <a:extLst>
            <a:ext uri="{FF2B5EF4-FFF2-40B4-BE49-F238E27FC236}">
              <a16:creationId xmlns:a16="http://schemas.microsoft.com/office/drawing/2014/main" id="{655BDB9D-95A9-431A-9FED-1D296B68247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77" name="Text Box 3">
          <a:extLst>
            <a:ext uri="{FF2B5EF4-FFF2-40B4-BE49-F238E27FC236}">
              <a16:creationId xmlns:a16="http://schemas.microsoft.com/office/drawing/2014/main" id="{1A941DB3-70D0-4DC5-92BC-757F7DE6A6F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78" name="Text Box 1">
          <a:extLst>
            <a:ext uri="{FF2B5EF4-FFF2-40B4-BE49-F238E27FC236}">
              <a16:creationId xmlns:a16="http://schemas.microsoft.com/office/drawing/2014/main" id="{BF10B3B3-A392-49E9-8D1C-B32D23E343A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79" name="Text Box 3">
          <a:extLst>
            <a:ext uri="{FF2B5EF4-FFF2-40B4-BE49-F238E27FC236}">
              <a16:creationId xmlns:a16="http://schemas.microsoft.com/office/drawing/2014/main" id="{F837D50B-E2AB-48CB-B8F4-ACEF7A454A9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80" name="Text Box 1">
          <a:extLst>
            <a:ext uri="{FF2B5EF4-FFF2-40B4-BE49-F238E27FC236}">
              <a16:creationId xmlns:a16="http://schemas.microsoft.com/office/drawing/2014/main" id="{2D6BFFF0-B3F5-417A-89AA-E1450A0F9C1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81" name="Text Box 1">
          <a:extLst>
            <a:ext uri="{FF2B5EF4-FFF2-40B4-BE49-F238E27FC236}">
              <a16:creationId xmlns:a16="http://schemas.microsoft.com/office/drawing/2014/main" id="{BA6CF3A3-FDA0-452C-94D0-08C5A8F40E0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82" name="Text Box 3">
          <a:extLst>
            <a:ext uri="{FF2B5EF4-FFF2-40B4-BE49-F238E27FC236}">
              <a16:creationId xmlns:a16="http://schemas.microsoft.com/office/drawing/2014/main" id="{7751DE82-7064-41E8-89BA-C2A4F509D2E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83" name="Text Box 1">
          <a:extLst>
            <a:ext uri="{FF2B5EF4-FFF2-40B4-BE49-F238E27FC236}">
              <a16:creationId xmlns:a16="http://schemas.microsoft.com/office/drawing/2014/main" id="{EAE2D0DF-924B-41C7-A832-05786DD9576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84" name="Text Box 3">
          <a:extLst>
            <a:ext uri="{FF2B5EF4-FFF2-40B4-BE49-F238E27FC236}">
              <a16:creationId xmlns:a16="http://schemas.microsoft.com/office/drawing/2014/main" id="{F1FAEC67-F14F-40AE-AB76-A4FABBC26EA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85" name="Text Box 1">
          <a:extLst>
            <a:ext uri="{FF2B5EF4-FFF2-40B4-BE49-F238E27FC236}">
              <a16:creationId xmlns:a16="http://schemas.microsoft.com/office/drawing/2014/main" id="{08A6DC32-B403-456A-A42B-29663866AB3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86" name="Text Box 1">
          <a:extLst>
            <a:ext uri="{FF2B5EF4-FFF2-40B4-BE49-F238E27FC236}">
              <a16:creationId xmlns:a16="http://schemas.microsoft.com/office/drawing/2014/main" id="{46094CC5-D2E2-4640-AF3C-9BFD0428BE9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87" name="Text Box 3">
          <a:extLst>
            <a:ext uri="{FF2B5EF4-FFF2-40B4-BE49-F238E27FC236}">
              <a16:creationId xmlns:a16="http://schemas.microsoft.com/office/drawing/2014/main" id="{B611C3C3-1AB6-4ACA-8398-002660AB1AE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88" name="Text Box 1">
          <a:extLst>
            <a:ext uri="{FF2B5EF4-FFF2-40B4-BE49-F238E27FC236}">
              <a16:creationId xmlns:a16="http://schemas.microsoft.com/office/drawing/2014/main" id="{A36FFCD4-4B4B-4E48-9FD5-DBBB69CB908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89" name="Text Box 3">
          <a:extLst>
            <a:ext uri="{FF2B5EF4-FFF2-40B4-BE49-F238E27FC236}">
              <a16:creationId xmlns:a16="http://schemas.microsoft.com/office/drawing/2014/main" id="{199EF800-1A3E-4E82-96D9-392F239A06E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90" name="Text Box 1">
          <a:extLst>
            <a:ext uri="{FF2B5EF4-FFF2-40B4-BE49-F238E27FC236}">
              <a16:creationId xmlns:a16="http://schemas.microsoft.com/office/drawing/2014/main" id="{37F2B185-D62D-4CDF-9A58-8743E01E8AA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91" name="Text Box 1">
          <a:extLst>
            <a:ext uri="{FF2B5EF4-FFF2-40B4-BE49-F238E27FC236}">
              <a16:creationId xmlns:a16="http://schemas.microsoft.com/office/drawing/2014/main" id="{7D48DAE4-250C-4F77-9B89-7EAF97AE4E6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92" name="Text Box 3">
          <a:extLst>
            <a:ext uri="{FF2B5EF4-FFF2-40B4-BE49-F238E27FC236}">
              <a16:creationId xmlns:a16="http://schemas.microsoft.com/office/drawing/2014/main" id="{992BB3C6-73DB-4EFF-AED9-059E03924B9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93" name="Text Box 1">
          <a:extLst>
            <a:ext uri="{FF2B5EF4-FFF2-40B4-BE49-F238E27FC236}">
              <a16:creationId xmlns:a16="http://schemas.microsoft.com/office/drawing/2014/main" id="{AEEE5529-5999-48EA-A1D9-AA689421C65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94" name="Text Box 3">
          <a:extLst>
            <a:ext uri="{FF2B5EF4-FFF2-40B4-BE49-F238E27FC236}">
              <a16:creationId xmlns:a16="http://schemas.microsoft.com/office/drawing/2014/main" id="{7E8561D8-D373-439E-AE35-D8D10100380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95" name="Text Box 1">
          <a:extLst>
            <a:ext uri="{FF2B5EF4-FFF2-40B4-BE49-F238E27FC236}">
              <a16:creationId xmlns:a16="http://schemas.microsoft.com/office/drawing/2014/main" id="{55BD4735-7B64-42BA-9F89-28F684A8974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96" name="Text Box 1">
          <a:extLst>
            <a:ext uri="{FF2B5EF4-FFF2-40B4-BE49-F238E27FC236}">
              <a16:creationId xmlns:a16="http://schemas.microsoft.com/office/drawing/2014/main" id="{2AAA28FB-A90A-4CBD-BC73-61A5FAD2292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97" name="Text Box 3">
          <a:extLst>
            <a:ext uri="{FF2B5EF4-FFF2-40B4-BE49-F238E27FC236}">
              <a16:creationId xmlns:a16="http://schemas.microsoft.com/office/drawing/2014/main" id="{223A2EE2-C23B-4734-991F-4D675328C4C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98" name="Text Box 1">
          <a:extLst>
            <a:ext uri="{FF2B5EF4-FFF2-40B4-BE49-F238E27FC236}">
              <a16:creationId xmlns:a16="http://schemas.microsoft.com/office/drawing/2014/main" id="{1B2F52AF-9705-41DC-8936-75FB15F8C4C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99" name="Text Box 3">
          <a:extLst>
            <a:ext uri="{FF2B5EF4-FFF2-40B4-BE49-F238E27FC236}">
              <a16:creationId xmlns:a16="http://schemas.microsoft.com/office/drawing/2014/main" id="{1BF0A3E1-9329-4F36-A44E-10EAEEA7A3A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00" name="Text Box 1">
          <a:extLst>
            <a:ext uri="{FF2B5EF4-FFF2-40B4-BE49-F238E27FC236}">
              <a16:creationId xmlns:a16="http://schemas.microsoft.com/office/drawing/2014/main" id="{194EB6D1-59D1-4B26-971C-E62664E3C4C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01" name="Text Box 1">
          <a:extLst>
            <a:ext uri="{FF2B5EF4-FFF2-40B4-BE49-F238E27FC236}">
              <a16:creationId xmlns:a16="http://schemas.microsoft.com/office/drawing/2014/main" id="{F0DEA937-12FF-4F64-B6FF-F9F5F7378F8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02" name="Text Box 3">
          <a:extLst>
            <a:ext uri="{FF2B5EF4-FFF2-40B4-BE49-F238E27FC236}">
              <a16:creationId xmlns:a16="http://schemas.microsoft.com/office/drawing/2014/main" id="{67F27DF2-7596-40BA-8DA7-E70E96A2214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03" name="Text Box 1">
          <a:extLst>
            <a:ext uri="{FF2B5EF4-FFF2-40B4-BE49-F238E27FC236}">
              <a16:creationId xmlns:a16="http://schemas.microsoft.com/office/drawing/2014/main" id="{37A970CD-6250-4EAC-B700-FA7758785D5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04" name="Text Box 3">
          <a:extLst>
            <a:ext uri="{FF2B5EF4-FFF2-40B4-BE49-F238E27FC236}">
              <a16:creationId xmlns:a16="http://schemas.microsoft.com/office/drawing/2014/main" id="{61526B30-F923-4DF9-867A-9EB47AB8B01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05" name="Text Box 1">
          <a:extLst>
            <a:ext uri="{FF2B5EF4-FFF2-40B4-BE49-F238E27FC236}">
              <a16:creationId xmlns:a16="http://schemas.microsoft.com/office/drawing/2014/main" id="{590282B2-D750-41B8-B2DE-525A84D85A9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06" name="Text Box 1">
          <a:extLst>
            <a:ext uri="{FF2B5EF4-FFF2-40B4-BE49-F238E27FC236}">
              <a16:creationId xmlns:a16="http://schemas.microsoft.com/office/drawing/2014/main" id="{1243730E-2385-4CC3-9A47-D0B27642670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07" name="Text Box 3">
          <a:extLst>
            <a:ext uri="{FF2B5EF4-FFF2-40B4-BE49-F238E27FC236}">
              <a16:creationId xmlns:a16="http://schemas.microsoft.com/office/drawing/2014/main" id="{C6487F3B-2E19-4869-90ED-8E11473987B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08" name="Text Box 1">
          <a:extLst>
            <a:ext uri="{FF2B5EF4-FFF2-40B4-BE49-F238E27FC236}">
              <a16:creationId xmlns:a16="http://schemas.microsoft.com/office/drawing/2014/main" id="{97C4B712-54B9-49D8-A740-9AE824998DF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09" name="Text Box 3">
          <a:extLst>
            <a:ext uri="{FF2B5EF4-FFF2-40B4-BE49-F238E27FC236}">
              <a16:creationId xmlns:a16="http://schemas.microsoft.com/office/drawing/2014/main" id="{A7799239-F672-47D7-827C-E82F6DA54AD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10" name="Text Box 1">
          <a:extLst>
            <a:ext uri="{FF2B5EF4-FFF2-40B4-BE49-F238E27FC236}">
              <a16:creationId xmlns:a16="http://schemas.microsoft.com/office/drawing/2014/main" id="{5DC3BEFB-4E35-47AA-95B2-6287AAD8F98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11" name="Text Box 1">
          <a:extLst>
            <a:ext uri="{FF2B5EF4-FFF2-40B4-BE49-F238E27FC236}">
              <a16:creationId xmlns:a16="http://schemas.microsoft.com/office/drawing/2014/main" id="{17135D53-789A-4F8A-9533-478A0EA48A3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12" name="Text Box 3">
          <a:extLst>
            <a:ext uri="{FF2B5EF4-FFF2-40B4-BE49-F238E27FC236}">
              <a16:creationId xmlns:a16="http://schemas.microsoft.com/office/drawing/2014/main" id="{B7C1C395-D8F3-412D-8728-F02AFE8993C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13" name="Text Box 1">
          <a:extLst>
            <a:ext uri="{FF2B5EF4-FFF2-40B4-BE49-F238E27FC236}">
              <a16:creationId xmlns:a16="http://schemas.microsoft.com/office/drawing/2014/main" id="{C9880324-22A4-492D-98A6-7316E6209DF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14" name="Text Box 3">
          <a:extLst>
            <a:ext uri="{FF2B5EF4-FFF2-40B4-BE49-F238E27FC236}">
              <a16:creationId xmlns:a16="http://schemas.microsoft.com/office/drawing/2014/main" id="{8177D84E-F31F-445B-B3F3-AB1F915EECF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15" name="Text Box 1">
          <a:extLst>
            <a:ext uri="{FF2B5EF4-FFF2-40B4-BE49-F238E27FC236}">
              <a16:creationId xmlns:a16="http://schemas.microsoft.com/office/drawing/2014/main" id="{94173FFA-43D0-4FEB-9895-688475805CB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16" name="Text Box 1">
          <a:extLst>
            <a:ext uri="{FF2B5EF4-FFF2-40B4-BE49-F238E27FC236}">
              <a16:creationId xmlns:a16="http://schemas.microsoft.com/office/drawing/2014/main" id="{58F98371-B204-449B-B079-D23758C0E78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17" name="Text Box 3">
          <a:extLst>
            <a:ext uri="{FF2B5EF4-FFF2-40B4-BE49-F238E27FC236}">
              <a16:creationId xmlns:a16="http://schemas.microsoft.com/office/drawing/2014/main" id="{43FA6440-D77C-4A32-8144-BB7AE8EFFBB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18" name="Text Box 1">
          <a:extLst>
            <a:ext uri="{FF2B5EF4-FFF2-40B4-BE49-F238E27FC236}">
              <a16:creationId xmlns:a16="http://schemas.microsoft.com/office/drawing/2014/main" id="{7AFD4440-1DDC-4EEB-8867-159A1C015B5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19" name="Text Box 3">
          <a:extLst>
            <a:ext uri="{FF2B5EF4-FFF2-40B4-BE49-F238E27FC236}">
              <a16:creationId xmlns:a16="http://schemas.microsoft.com/office/drawing/2014/main" id="{072AA956-D1EB-4A84-81B6-95EB8AF2304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20" name="Text Box 1">
          <a:extLst>
            <a:ext uri="{FF2B5EF4-FFF2-40B4-BE49-F238E27FC236}">
              <a16:creationId xmlns:a16="http://schemas.microsoft.com/office/drawing/2014/main" id="{EEDA3DC3-0678-4C54-8642-8DCFB93B280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21" name="Text Box 1">
          <a:extLst>
            <a:ext uri="{FF2B5EF4-FFF2-40B4-BE49-F238E27FC236}">
              <a16:creationId xmlns:a16="http://schemas.microsoft.com/office/drawing/2014/main" id="{ADC6C824-2ECA-43AD-B29A-E9A114D1987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22" name="Text Box 3">
          <a:extLst>
            <a:ext uri="{FF2B5EF4-FFF2-40B4-BE49-F238E27FC236}">
              <a16:creationId xmlns:a16="http://schemas.microsoft.com/office/drawing/2014/main" id="{42AC5F98-6F08-4E6E-8DA4-44D949E43B3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23" name="Text Box 1">
          <a:extLst>
            <a:ext uri="{FF2B5EF4-FFF2-40B4-BE49-F238E27FC236}">
              <a16:creationId xmlns:a16="http://schemas.microsoft.com/office/drawing/2014/main" id="{B2400A7E-3868-4C28-86B8-DD0F3E959E6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24" name="Text Box 3">
          <a:extLst>
            <a:ext uri="{FF2B5EF4-FFF2-40B4-BE49-F238E27FC236}">
              <a16:creationId xmlns:a16="http://schemas.microsoft.com/office/drawing/2014/main" id="{60F365D4-D397-4A38-95EA-E49E2112083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25" name="Text Box 1">
          <a:extLst>
            <a:ext uri="{FF2B5EF4-FFF2-40B4-BE49-F238E27FC236}">
              <a16:creationId xmlns:a16="http://schemas.microsoft.com/office/drawing/2014/main" id="{AC4320E1-6D08-401E-86A7-0B3DCC4B1AA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26" name="Text Box 1">
          <a:extLst>
            <a:ext uri="{FF2B5EF4-FFF2-40B4-BE49-F238E27FC236}">
              <a16:creationId xmlns:a16="http://schemas.microsoft.com/office/drawing/2014/main" id="{652F1179-3C4E-4D57-B52C-8042A7CB456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27" name="Text Box 3">
          <a:extLst>
            <a:ext uri="{FF2B5EF4-FFF2-40B4-BE49-F238E27FC236}">
              <a16:creationId xmlns:a16="http://schemas.microsoft.com/office/drawing/2014/main" id="{E69E751D-57E4-4A91-B1CE-502DDB83C6F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28" name="Text Box 1">
          <a:extLst>
            <a:ext uri="{FF2B5EF4-FFF2-40B4-BE49-F238E27FC236}">
              <a16:creationId xmlns:a16="http://schemas.microsoft.com/office/drawing/2014/main" id="{0A12C6AB-91F7-4459-9C99-75E4006D851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29" name="Text Box 3">
          <a:extLst>
            <a:ext uri="{FF2B5EF4-FFF2-40B4-BE49-F238E27FC236}">
              <a16:creationId xmlns:a16="http://schemas.microsoft.com/office/drawing/2014/main" id="{477F3DC9-DA22-4D1B-8387-A80E5BA3158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30" name="Text Box 1">
          <a:extLst>
            <a:ext uri="{FF2B5EF4-FFF2-40B4-BE49-F238E27FC236}">
              <a16:creationId xmlns:a16="http://schemas.microsoft.com/office/drawing/2014/main" id="{2CD65EAE-214A-4CDA-8D81-1D3CD6920A8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31" name="Text Box 1">
          <a:extLst>
            <a:ext uri="{FF2B5EF4-FFF2-40B4-BE49-F238E27FC236}">
              <a16:creationId xmlns:a16="http://schemas.microsoft.com/office/drawing/2014/main" id="{04C9AE07-5A22-46B4-9D63-D30ED0E6426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32" name="Text Box 3">
          <a:extLst>
            <a:ext uri="{FF2B5EF4-FFF2-40B4-BE49-F238E27FC236}">
              <a16:creationId xmlns:a16="http://schemas.microsoft.com/office/drawing/2014/main" id="{C37238CF-1548-4503-B5CD-600DFAC57D9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33" name="Text Box 1">
          <a:extLst>
            <a:ext uri="{FF2B5EF4-FFF2-40B4-BE49-F238E27FC236}">
              <a16:creationId xmlns:a16="http://schemas.microsoft.com/office/drawing/2014/main" id="{F6218B0B-EB34-4CCE-9046-0E44B0A19C6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34" name="Text Box 3">
          <a:extLst>
            <a:ext uri="{FF2B5EF4-FFF2-40B4-BE49-F238E27FC236}">
              <a16:creationId xmlns:a16="http://schemas.microsoft.com/office/drawing/2014/main" id="{9EBA1275-4502-48ED-9E14-EF44054213A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35" name="Text Box 1">
          <a:extLst>
            <a:ext uri="{FF2B5EF4-FFF2-40B4-BE49-F238E27FC236}">
              <a16:creationId xmlns:a16="http://schemas.microsoft.com/office/drawing/2014/main" id="{3D682926-0F9D-4C50-9885-1A520C5237C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36" name="Text Box 1">
          <a:extLst>
            <a:ext uri="{FF2B5EF4-FFF2-40B4-BE49-F238E27FC236}">
              <a16:creationId xmlns:a16="http://schemas.microsoft.com/office/drawing/2014/main" id="{A3764AD5-3680-4173-9FBF-D6C9A74A00B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37" name="Text Box 3">
          <a:extLst>
            <a:ext uri="{FF2B5EF4-FFF2-40B4-BE49-F238E27FC236}">
              <a16:creationId xmlns:a16="http://schemas.microsoft.com/office/drawing/2014/main" id="{F6BAC06C-5012-4585-9395-0B7437AFDE2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38" name="Text Box 1">
          <a:extLst>
            <a:ext uri="{FF2B5EF4-FFF2-40B4-BE49-F238E27FC236}">
              <a16:creationId xmlns:a16="http://schemas.microsoft.com/office/drawing/2014/main" id="{DDD67443-222C-4218-875C-8F395EA2B65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39" name="Text Box 3">
          <a:extLst>
            <a:ext uri="{FF2B5EF4-FFF2-40B4-BE49-F238E27FC236}">
              <a16:creationId xmlns:a16="http://schemas.microsoft.com/office/drawing/2014/main" id="{7C4D2948-2B50-41AA-BBAA-F773EBB6294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40" name="Text Box 1">
          <a:extLst>
            <a:ext uri="{FF2B5EF4-FFF2-40B4-BE49-F238E27FC236}">
              <a16:creationId xmlns:a16="http://schemas.microsoft.com/office/drawing/2014/main" id="{1ADD88A0-4599-461F-9C5E-7E05A026299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41" name="Text Box 1">
          <a:extLst>
            <a:ext uri="{FF2B5EF4-FFF2-40B4-BE49-F238E27FC236}">
              <a16:creationId xmlns:a16="http://schemas.microsoft.com/office/drawing/2014/main" id="{CEA955F5-9C78-49C2-A2C6-E305788B09B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42" name="Text Box 3">
          <a:extLst>
            <a:ext uri="{FF2B5EF4-FFF2-40B4-BE49-F238E27FC236}">
              <a16:creationId xmlns:a16="http://schemas.microsoft.com/office/drawing/2014/main" id="{79FDACBD-0913-42C9-8AA4-64A29007CF6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43" name="Text Box 1">
          <a:extLst>
            <a:ext uri="{FF2B5EF4-FFF2-40B4-BE49-F238E27FC236}">
              <a16:creationId xmlns:a16="http://schemas.microsoft.com/office/drawing/2014/main" id="{5B87CE7D-94DD-42DE-9D7A-074B7344C48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44" name="Text Box 3">
          <a:extLst>
            <a:ext uri="{FF2B5EF4-FFF2-40B4-BE49-F238E27FC236}">
              <a16:creationId xmlns:a16="http://schemas.microsoft.com/office/drawing/2014/main" id="{06F2DA45-F227-46AB-A177-B1C510D4085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45" name="Text Box 1">
          <a:extLst>
            <a:ext uri="{FF2B5EF4-FFF2-40B4-BE49-F238E27FC236}">
              <a16:creationId xmlns:a16="http://schemas.microsoft.com/office/drawing/2014/main" id="{0265C2D8-F1BC-48FF-8A3F-9916FC525E9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46" name="Text Box 1">
          <a:extLst>
            <a:ext uri="{FF2B5EF4-FFF2-40B4-BE49-F238E27FC236}">
              <a16:creationId xmlns:a16="http://schemas.microsoft.com/office/drawing/2014/main" id="{929C971B-FF49-404F-9681-A1B62C816B8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47" name="Text Box 3">
          <a:extLst>
            <a:ext uri="{FF2B5EF4-FFF2-40B4-BE49-F238E27FC236}">
              <a16:creationId xmlns:a16="http://schemas.microsoft.com/office/drawing/2014/main" id="{E6506C46-6BDD-4B21-887E-6E3188BAB74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48" name="Text Box 1">
          <a:extLst>
            <a:ext uri="{FF2B5EF4-FFF2-40B4-BE49-F238E27FC236}">
              <a16:creationId xmlns:a16="http://schemas.microsoft.com/office/drawing/2014/main" id="{15D827A1-C319-4CF7-96F4-732E96A5DB6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49" name="Text Box 3">
          <a:extLst>
            <a:ext uri="{FF2B5EF4-FFF2-40B4-BE49-F238E27FC236}">
              <a16:creationId xmlns:a16="http://schemas.microsoft.com/office/drawing/2014/main" id="{6BC37EC0-5B49-4B6A-B8F9-5E1CD500032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50" name="Text Box 1">
          <a:extLst>
            <a:ext uri="{FF2B5EF4-FFF2-40B4-BE49-F238E27FC236}">
              <a16:creationId xmlns:a16="http://schemas.microsoft.com/office/drawing/2014/main" id="{ECFEE3E5-4BEE-453C-BB14-33C8B00DFA9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51" name="Text Box 1">
          <a:extLst>
            <a:ext uri="{FF2B5EF4-FFF2-40B4-BE49-F238E27FC236}">
              <a16:creationId xmlns:a16="http://schemas.microsoft.com/office/drawing/2014/main" id="{78B1A696-1E3F-4B45-BC0C-42C496AB823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52" name="Text Box 3">
          <a:extLst>
            <a:ext uri="{FF2B5EF4-FFF2-40B4-BE49-F238E27FC236}">
              <a16:creationId xmlns:a16="http://schemas.microsoft.com/office/drawing/2014/main" id="{089D460E-240A-4F06-B6EC-CE27CC858B5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53" name="Text Box 1">
          <a:extLst>
            <a:ext uri="{FF2B5EF4-FFF2-40B4-BE49-F238E27FC236}">
              <a16:creationId xmlns:a16="http://schemas.microsoft.com/office/drawing/2014/main" id="{40994CD8-6CA8-4F1A-9E3B-F4C0CB58C00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54" name="Text Box 3">
          <a:extLst>
            <a:ext uri="{FF2B5EF4-FFF2-40B4-BE49-F238E27FC236}">
              <a16:creationId xmlns:a16="http://schemas.microsoft.com/office/drawing/2014/main" id="{9DAB8234-79DE-4FBB-9F4B-B92E1C1E821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55" name="Text Box 1">
          <a:extLst>
            <a:ext uri="{FF2B5EF4-FFF2-40B4-BE49-F238E27FC236}">
              <a16:creationId xmlns:a16="http://schemas.microsoft.com/office/drawing/2014/main" id="{FBECAEC6-8FE9-4E91-A0F8-93130E42AE5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56" name="Text Box 1">
          <a:extLst>
            <a:ext uri="{FF2B5EF4-FFF2-40B4-BE49-F238E27FC236}">
              <a16:creationId xmlns:a16="http://schemas.microsoft.com/office/drawing/2014/main" id="{61005B3F-07F4-483C-B869-061710FB3DE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57" name="Text Box 3">
          <a:extLst>
            <a:ext uri="{FF2B5EF4-FFF2-40B4-BE49-F238E27FC236}">
              <a16:creationId xmlns:a16="http://schemas.microsoft.com/office/drawing/2014/main" id="{4BE05114-E633-4226-BD74-45E426EA2F0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58" name="Text Box 1">
          <a:extLst>
            <a:ext uri="{FF2B5EF4-FFF2-40B4-BE49-F238E27FC236}">
              <a16:creationId xmlns:a16="http://schemas.microsoft.com/office/drawing/2014/main" id="{069BE66E-4165-4B01-8B09-88AE28A6ECF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59" name="Text Box 3">
          <a:extLst>
            <a:ext uri="{FF2B5EF4-FFF2-40B4-BE49-F238E27FC236}">
              <a16:creationId xmlns:a16="http://schemas.microsoft.com/office/drawing/2014/main" id="{5847293E-5565-4E09-B037-FABC1068DDD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60" name="Text Box 1">
          <a:extLst>
            <a:ext uri="{FF2B5EF4-FFF2-40B4-BE49-F238E27FC236}">
              <a16:creationId xmlns:a16="http://schemas.microsoft.com/office/drawing/2014/main" id="{8D52C527-F96C-4DB0-9D5B-13820FEFBB7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61" name="Text Box 1">
          <a:extLst>
            <a:ext uri="{FF2B5EF4-FFF2-40B4-BE49-F238E27FC236}">
              <a16:creationId xmlns:a16="http://schemas.microsoft.com/office/drawing/2014/main" id="{FFB02067-0D95-4EF0-83DE-E0F1EC81A39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62" name="Text Box 3">
          <a:extLst>
            <a:ext uri="{FF2B5EF4-FFF2-40B4-BE49-F238E27FC236}">
              <a16:creationId xmlns:a16="http://schemas.microsoft.com/office/drawing/2014/main" id="{AA906EB0-0702-4FA6-9BC1-EA16468B70B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63" name="Text Box 1">
          <a:extLst>
            <a:ext uri="{FF2B5EF4-FFF2-40B4-BE49-F238E27FC236}">
              <a16:creationId xmlns:a16="http://schemas.microsoft.com/office/drawing/2014/main" id="{668FE0AB-EB42-430C-8539-53EA3D95E91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64" name="Text Box 3">
          <a:extLst>
            <a:ext uri="{FF2B5EF4-FFF2-40B4-BE49-F238E27FC236}">
              <a16:creationId xmlns:a16="http://schemas.microsoft.com/office/drawing/2014/main" id="{B0466398-B6C3-47F3-91F8-9AA4ADBE9A0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65" name="Text Box 1">
          <a:extLst>
            <a:ext uri="{FF2B5EF4-FFF2-40B4-BE49-F238E27FC236}">
              <a16:creationId xmlns:a16="http://schemas.microsoft.com/office/drawing/2014/main" id="{40E4EE5F-D7E9-4F7F-8359-AD6B71F4DA1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66" name="Text Box 1">
          <a:extLst>
            <a:ext uri="{FF2B5EF4-FFF2-40B4-BE49-F238E27FC236}">
              <a16:creationId xmlns:a16="http://schemas.microsoft.com/office/drawing/2014/main" id="{CA2106F1-FBBA-474A-AF28-8A7DCF993EF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67" name="Text Box 3">
          <a:extLst>
            <a:ext uri="{FF2B5EF4-FFF2-40B4-BE49-F238E27FC236}">
              <a16:creationId xmlns:a16="http://schemas.microsoft.com/office/drawing/2014/main" id="{557B4CE5-23B5-4AE4-B089-AAAFD715C1A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68" name="Text Box 1">
          <a:extLst>
            <a:ext uri="{FF2B5EF4-FFF2-40B4-BE49-F238E27FC236}">
              <a16:creationId xmlns:a16="http://schemas.microsoft.com/office/drawing/2014/main" id="{DA95AE2E-E00C-4412-B7C4-3E87B0D6438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69" name="Text Box 3">
          <a:extLst>
            <a:ext uri="{FF2B5EF4-FFF2-40B4-BE49-F238E27FC236}">
              <a16:creationId xmlns:a16="http://schemas.microsoft.com/office/drawing/2014/main" id="{4E0394A7-A095-4EBC-B9AB-3974A64F939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70" name="Text Box 1">
          <a:extLst>
            <a:ext uri="{FF2B5EF4-FFF2-40B4-BE49-F238E27FC236}">
              <a16:creationId xmlns:a16="http://schemas.microsoft.com/office/drawing/2014/main" id="{8D6072FF-3ECE-464A-8556-B02A1EDAECC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71" name="Text Box 1">
          <a:extLst>
            <a:ext uri="{FF2B5EF4-FFF2-40B4-BE49-F238E27FC236}">
              <a16:creationId xmlns:a16="http://schemas.microsoft.com/office/drawing/2014/main" id="{DE7B900F-856F-44ED-A9C0-BBCC01B540E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72" name="Text Box 3">
          <a:extLst>
            <a:ext uri="{FF2B5EF4-FFF2-40B4-BE49-F238E27FC236}">
              <a16:creationId xmlns:a16="http://schemas.microsoft.com/office/drawing/2014/main" id="{AA9E3EFF-9CB6-48D0-AE49-89B9D0521AC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73" name="Text Box 1">
          <a:extLst>
            <a:ext uri="{FF2B5EF4-FFF2-40B4-BE49-F238E27FC236}">
              <a16:creationId xmlns:a16="http://schemas.microsoft.com/office/drawing/2014/main" id="{2625850A-C7AC-4427-89ED-A57338CCA81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74" name="Text Box 3">
          <a:extLst>
            <a:ext uri="{FF2B5EF4-FFF2-40B4-BE49-F238E27FC236}">
              <a16:creationId xmlns:a16="http://schemas.microsoft.com/office/drawing/2014/main" id="{E7CFB50D-5687-4744-B761-24BCDD2C64E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75" name="Text Box 1">
          <a:extLst>
            <a:ext uri="{FF2B5EF4-FFF2-40B4-BE49-F238E27FC236}">
              <a16:creationId xmlns:a16="http://schemas.microsoft.com/office/drawing/2014/main" id="{441574DD-E69E-4ED4-9A29-1FD131543CB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76" name="Text Box 1">
          <a:extLst>
            <a:ext uri="{FF2B5EF4-FFF2-40B4-BE49-F238E27FC236}">
              <a16:creationId xmlns:a16="http://schemas.microsoft.com/office/drawing/2014/main" id="{C3DA561B-878B-4BB1-9E1B-B4DC21D5171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77" name="Text Box 3">
          <a:extLst>
            <a:ext uri="{FF2B5EF4-FFF2-40B4-BE49-F238E27FC236}">
              <a16:creationId xmlns:a16="http://schemas.microsoft.com/office/drawing/2014/main" id="{661CDBAA-FCB3-45E7-86C5-16C5E7D5B34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78" name="Text Box 1">
          <a:extLst>
            <a:ext uri="{FF2B5EF4-FFF2-40B4-BE49-F238E27FC236}">
              <a16:creationId xmlns:a16="http://schemas.microsoft.com/office/drawing/2014/main" id="{DAF70B3D-729A-4293-A731-6BD9E4F1158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79" name="Text Box 3">
          <a:extLst>
            <a:ext uri="{FF2B5EF4-FFF2-40B4-BE49-F238E27FC236}">
              <a16:creationId xmlns:a16="http://schemas.microsoft.com/office/drawing/2014/main" id="{670FE92D-17D9-41B0-8F20-528A5D0B45D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80" name="Text Box 1">
          <a:extLst>
            <a:ext uri="{FF2B5EF4-FFF2-40B4-BE49-F238E27FC236}">
              <a16:creationId xmlns:a16="http://schemas.microsoft.com/office/drawing/2014/main" id="{4E995C85-8ACB-4917-82AA-7EAF23485D0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81" name="Text Box 1">
          <a:extLst>
            <a:ext uri="{FF2B5EF4-FFF2-40B4-BE49-F238E27FC236}">
              <a16:creationId xmlns:a16="http://schemas.microsoft.com/office/drawing/2014/main" id="{086CA2F0-34F0-45A9-98AA-76EF16F1D87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82" name="Text Box 3">
          <a:extLst>
            <a:ext uri="{FF2B5EF4-FFF2-40B4-BE49-F238E27FC236}">
              <a16:creationId xmlns:a16="http://schemas.microsoft.com/office/drawing/2014/main" id="{0BB81107-538E-491E-8710-87ECAC99F20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83" name="Text Box 1">
          <a:extLst>
            <a:ext uri="{FF2B5EF4-FFF2-40B4-BE49-F238E27FC236}">
              <a16:creationId xmlns:a16="http://schemas.microsoft.com/office/drawing/2014/main" id="{32044EFE-F11D-4EF1-8A01-45EFB2CF547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84" name="Text Box 3">
          <a:extLst>
            <a:ext uri="{FF2B5EF4-FFF2-40B4-BE49-F238E27FC236}">
              <a16:creationId xmlns:a16="http://schemas.microsoft.com/office/drawing/2014/main" id="{A9794875-A587-4745-8734-2334E6C5DB2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85" name="Text Box 1">
          <a:extLst>
            <a:ext uri="{FF2B5EF4-FFF2-40B4-BE49-F238E27FC236}">
              <a16:creationId xmlns:a16="http://schemas.microsoft.com/office/drawing/2014/main" id="{E55F5B5F-F6ED-47EE-90A3-BFB29A59025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86" name="Text Box 1">
          <a:extLst>
            <a:ext uri="{FF2B5EF4-FFF2-40B4-BE49-F238E27FC236}">
              <a16:creationId xmlns:a16="http://schemas.microsoft.com/office/drawing/2014/main" id="{E5C00A56-6CEF-4B6C-BC81-30A4279CE7F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87" name="Text Box 3">
          <a:extLst>
            <a:ext uri="{FF2B5EF4-FFF2-40B4-BE49-F238E27FC236}">
              <a16:creationId xmlns:a16="http://schemas.microsoft.com/office/drawing/2014/main" id="{E815CCE2-1AA9-4EF4-9F26-C8C33EBD63F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88" name="Text Box 1">
          <a:extLst>
            <a:ext uri="{FF2B5EF4-FFF2-40B4-BE49-F238E27FC236}">
              <a16:creationId xmlns:a16="http://schemas.microsoft.com/office/drawing/2014/main" id="{C835E6FD-12D6-4FDD-B784-ADD43FAEA6F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89" name="Text Box 3">
          <a:extLst>
            <a:ext uri="{FF2B5EF4-FFF2-40B4-BE49-F238E27FC236}">
              <a16:creationId xmlns:a16="http://schemas.microsoft.com/office/drawing/2014/main" id="{E8E9F187-3E94-42D1-806F-F93D4C9263F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90" name="Text Box 1">
          <a:extLst>
            <a:ext uri="{FF2B5EF4-FFF2-40B4-BE49-F238E27FC236}">
              <a16:creationId xmlns:a16="http://schemas.microsoft.com/office/drawing/2014/main" id="{CD580D09-3DD8-49FC-9CD3-B0B8EE35067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91" name="Text Box 1">
          <a:extLst>
            <a:ext uri="{FF2B5EF4-FFF2-40B4-BE49-F238E27FC236}">
              <a16:creationId xmlns:a16="http://schemas.microsoft.com/office/drawing/2014/main" id="{ED7E0F3D-60EB-4967-992F-B18AFB5E885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92" name="Text Box 3">
          <a:extLst>
            <a:ext uri="{FF2B5EF4-FFF2-40B4-BE49-F238E27FC236}">
              <a16:creationId xmlns:a16="http://schemas.microsoft.com/office/drawing/2014/main" id="{7AB79DDA-9C32-479B-B884-E0F3BB32410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93" name="Text Box 1">
          <a:extLst>
            <a:ext uri="{FF2B5EF4-FFF2-40B4-BE49-F238E27FC236}">
              <a16:creationId xmlns:a16="http://schemas.microsoft.com/office/drawing/2014/main" id="{19AF422B-CC00-4F1A-936A-4EA0CCEEC03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94" name="Text Box 3">
          <a:extLst>
            <a:ext uri="{FF2B5EF4-FFF2-40B4-BE49-F238E27FC236}">
              <a16:creationId xmlns:a16="http://schemas.microsoft.com/office/drawing/2014/main" id="{DA314A72-1036-4274-8F83-1E8DE3B8D36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95" name="Text Box 1">
          <a:extLst>
            <a:ext uri="{FF2B5EF4-FFF2-40B4-BE49-F238E27FC236}">
              <a16:creationId xmlns:a16="http://schemas.microsoft.com/office/drawing/2014/main" id="{EA1F5FCE-092D-404E-BCBA-7480CDA84FC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96" name="Text Box 1">
          <a:extLst>
            <a:ext uri="{FF2B5EF4-FFF2-40B4-BE49-F238E27FC236}">
              <a16:creationId xmlns:a16="http://schemas.microsoft.com/office/drawing/2014/main" id="{C329E030-B2AF-4450-A2C3-B1FFE155FC2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97" name="Text Box 3">
          <a:extLst>
            <a:ext uri="{FF2B5EF4-FFF2-40B4-BE49-F238E27FC236}">
              <a16:creationId xmlns:a16="http://schemas.microsoft.com/office/drawing/2014/main" id="{8BC04009-0343-4AE0-86FA-407D15209CD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98" name="Text Box 1">
          <a:extLst>
            <a:ext uri="{FF2B5EF4-FFF2-40B4-BE49-F238E27FC236}">
              <a16:creationId xmlns:a16="http://schemas.microsoft.com/office/drawing/2014/main" id="{6BE33EBF-2BEA-4664-927C-DBD6A68A897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99" name="Text Box 3">
          <a:extLst>
            <a:ext uri="{FF2B5EF4-FFF2-40B4-BE49-F238E27FC236}">
              <a16:creationId xmlns:a16="http://schemas.microsoft.com/office/drawing/2014/main" id="{654B844D-DA46-406C-89CF-BDC7C7FF1D9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00" name="Text Box 1">
          <a:extLst>
            <a:ext uri="{FF2B5EF4-FFF2-40B4-BE49-F238E27FC236}">
              <a16:creationId xmlns:a16="http://schemas.microsoft.com/office/drawing/2014/main" id="{6B1D0ECC-DD58-4698-AEA5-0CBB08B6CFF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01" name="Text Box 1">
          <a:extLst>
            <a:ext uri="{FF2B5EF4-FFF2-40B4-BE49-F238E27FC236}">
              <a16:creationId xmlns:a16="http://schemas.microsoft.com/office/drawing/2014/main" id="{DB5DC030-303D-438F-9A5D-2A42BA77E3A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02" name="Text Box 3">
          <a:extLst>
            <a:ext uri="{FF2B5EF4-FFF2-40B4-BE49-F238E27FC236}">
              <a16:creationId xmlns:a16="http://schemas.microsoft.com/office/drawing/2014/main" id="{F9388E94-24E0-42A2-A87D-6DA8C347FFB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03" name="Text Box 1">
          <a:extLst>
            <a:ext uri="{FF2B5EF4-FFF2-40B4-BE49-F238E27FC236}">
              <a16:creationId xmlns:a16="http://schemas.microsoft.com/office/drawing/2014/main" id="{E18A946E-DD1A-4315-B8C0-8F7E68A8C94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04" name="Text Box 3">
          <a:extLst>
            <a:ext uri="{FF2B5EF4-FFF2-40B4-BE49-F238E27FC236}">
              <a16:creationId xmlns:a16="http://schemas.microsoft.com/office/drawing/2014/main" id="{4B1702E7-F5DB-45B9-8B7B-C8BCEF023E7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05" name="Text Box 1">
          <a:extLst>
            <a:ext uri="{FF2B5EF4-FFF2-40B4-BE49-F238E27FC236}">
              <a16:creationId xmlns:a16="http://schemas.microsoft.com/office/drawing/2014/main" id="{03DCBDCA-AE3F-4A88-B686-C7938146548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06" name="Text Box 1">
          <a:extLst>
            <a:ext uri="{FF2B5EF4-FFF2-40B4-BE49-F238E27FC236}">
              <a16:creationId xmlns:a16="http://schemas.microsoft.com/office/drawing/2014/main" id="{E7AC8D3D-C349-49D2-9E7B-4E43D42AB59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07" name="Text Box 3">
          <a:extLst>
            <a:ext uri="{FF2B5EF4-FFF2-40B4-BE49-F238E27FC236}">
              <a16:creationId xmlns:a16="http://schemas.microsoft.com/office/drawing/2014/main" id="{8FF72BDB-B0FA-4700-B887-666CE8F7D48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08" name="Text Box 1">
          <a:extLst>
            <a:ext uri="{FF2B5EF4-FFF2-40B4-BE49-F238E27FC236}">
              <a16:creationId xmlns:a16="http://schemas.microsoft.com/office/drawing/2014/main" id="{4CCE24B0-C013-43E6-A0D9-34AC5F93849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09" name="Text Box 3">
          <a:extLst>
            <a:ext uri="{FF2B5EF4-FFF2-40B4-BE49-F238E27FC236}">
              <a16:creationId xmlns:a16="http://schemas.microsoft.com/office/drawing/2014/main" id="{02283812-C9F6-4257-9611-3E06E6DD77A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10" name="Text Box 1">
          <a:extLst>
            <a:ext uri="{FF2B5EF4-FFF2-40B4-BE49-F238E27FC236}">
              <a16:creationId xmlns:a16="http://schemas.microsoft.com/office/drawing/2014/main" id="{855B5991-4E90-4087-8ABC-8249D301DB1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11" name="Text Box 1">
          <a:extLst>
            <a:ext uri="{FF2B5EF4-FFF2-40B4-BE49-F238E27FC236}">
              <a16:creationId xmlns:a16="http://schemas.microsoft.com/office/drawing/2014/main" id="{77506482-EBE8-467D-A934-75BBECA508E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12" name="Text Box 3">
          <a:extLst>
            <a:ext uri="{FF2B5EF4-FFF2-40B4-BE49-F238E27FC236}">
              <a16:creationId xmlns:a16="http://schemas.microsoft.com/office/drawing/2014/main" id="{83FF8D7A-BEB7-49A3-84ED-FE332C92562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13" name="Text Box 1">
          <a:extLst>
            <a:ext uri="{FF2B5EF4-FFF2-40B4-BE49-F238E27FC236}">
              <a16:creationId xmlns:a16="http://schemas.microsoft.com/office/drawing/2014/main" id="{56C2AEE5-4FD4-4863-B7BF-E51902A4DAD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14" name="Text Box 3">
          <a:extLst>
            <a:ext uri="{FF2B5EF4-FFF2-40B4-BE49-F238E27FC236}">
              <a16:creationId xmlns:a16="http://schemas.microsoft.com/office/drawing/2014/main" id="{575DECFD-B48C-458B-BDB9-EEEAB792B4A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15" name="Text Box 1">
          <a:extLst>
            <a:ext uri="{FF2B5EF4-FFF2-40B4-BE49-F238E27FC236}">
              <a16:creationId xmlns:a16="http://schemas.microsoft.com/office/drawing/2014/main" id="{86C8C93A-65C0-4444-ACD0-2E28CA766C6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16" name="Text Box 1">
          <a:extLst>
            <a:ext uri="{FF2B5EF4-FFF2-40B4-BE49-F238E27FC236}">
              <a16:creationId xmlns:a16="http://schemas.microsoft.com/office/drawing/2014/main" id="{C653A60F-A0C6-496B-9A5B-7C801835F59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17" name="Text Box 3">
          <a:extLst>
            <a:ext uri="{FF2B5EF4-FFF2-40B4-BE49-F238E27FC236}">
              <a16:creationId xmlns:a16="http://schemas.microsoft.com/office/drawing/2014/main" id="{28CAB9E7-0CD5-4F14-88B3-0D1AA5C5764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18" name="Text Box 1">
          <a:extLst>
            <a:ext uri="{FF2B5EF4-FFF2-40B4-BE49-F238E27FC236}">
              <a16:creationId xmlns:a16="http://schemas.microsoft.com/office/drawing/2014/main" id="{C1A148E6-C330-402F-B3E3-9FEBFC8AC3C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19" name="Text Box 3">
          <a:extLst>
            <a:ext uri="{FF2B5EF4-FFF2-40B4-BE49-F238E27FC236}">
              <a16:creationId xmlns:a16="http://schemas.microsoft.com/office/drawing/2014/main" id="{9CFE9765-EB04-4BF7-9A69-C7B7500DA4E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20" name="Text Box 1">
          <a:extLst>
            <a:ext uri="{FF2B5EF4-FFF2-40B4-BE49-F238E27FC236}">
              <a16:creationId xmlns:a16="http://schemas.microsoft.com/office/drawing/2014/main" id="{FA89350E-CDC2-4CA2-83A2-95F5C1505E8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21" name="Text Box 1">
          <a:extLst>
            <a:ext uri="{FF2B5EF4-FFF2-40B4-BE49-F238E27FC236}">
              <a16:creationId xmlns:a16="http://schemas.microsoft.com/office/drawing/2014/main" id="{7CA32689-92EC-41E6-AEBB-F8D14F577B8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22" name="Text Box 3">
          <a:extLst>
            <a:ext uri="{FF2B5EF4-FFF2-40B4-BE49-F238E27FC236}">
              <a16:creationId xmlns:a16="http://schemas.microsoft.com/office/drawing/2014/main" id="{E123EBA8-BCAC-4AFC-BC41-A2B694C7CED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23" name="Text Box 1">
          <a:extLst>
            <a:ext uri="{FF2B5EF4-FFF2-40B4-BE49-F238E27FC236}">
              <a16:creationId xmlns:a16="http://schemas.microsoft.com/office/drawing/2014/main" id="{9BB9D2B8-61DC-4F51-B7ED-1D315DB3C95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24" name="Text Box 3">
          <a:extLst>
            <a:ext uri="{FF2B5EF4-FFF2-40B4-BE49-F238E27FC236}">
              <a16:creationId xmlns:a16="http://schemas.microsoft.com/office/drawing/2014/main" id="{C959D209-9B13-4708-8314-0A502D44549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25" name="Text Box 1">
          <a:extLst>
            <a:ext uri="{FF2B5EF4-FFF2-40B4-BE49-F238E27FC236}">
              <a16:creationId xmlns:a16="http://schemas.microsoft.com/office/drawing/2014/main" id="{FC26854D-CADE-47F8-9D82-596014981807}"/>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26" name="Text Box 3">
          <a:extLst>
            <a:ext uri="{FF2B5EF4-FFF2-40B4-BE49-F238E27FC236}">
              <a16:creationId xmlns:a16="http://schemas.microsoft.com/office/drawing/2014/main" id="{D33A35A8-7E0F-4FFC-8155-D6800804A72A}"/>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27" name="Text Box 1">
          <a:extLst>
            <a:ext uri="{FF2B5EF4-FFF2-40B4-BE49-F238E27FC236}">
              <a16:creationId xmlns:a16="http://schemas.microsoft.com/office/drawing/2014/main" id="{54E8EA58-D789-410C-A0B9-7AC24398EBA2}"/>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28" name="Text Box 3">
          <a:extLst>
            <a:ext uri="{FF2B5EF4-FFF2-40B4-BE49-F238E27FC236}">
              <a16:creationId xmlns:a16="http://schemas.microsoft.com/office/drawing/2014/main" id="{DBD92922-2A11-459E-913F-70DD129920E3}"/>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29" name="Text Box 1">
          <a:extLst>
            <a:ext uri="{FF2B5EF4-FFF2-40B4-BE49-F238E27FC236}">
              <a16:creationId xmlns:a16="http://schemas.microsoft.com/office/drawing/2014/main" id="{476E1937-1EAD-49CA-B882-065F821933B7}"/>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30" name="Text Box 1">
          <a:extLst>
            <a:ext uri="{FF2B5EF4-FFF2-40B4-BE49-F238E27FC236}">
              <a16:creationId xmlns:a16="http://schemas.microsoft.com/office/drawing/2014/main" id="{DF58A421-31E1-4CC5-AD5E-AA490E3E035C}"/>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31" name="Text Box 3">
          <a:extLst>
            <a:ext uri="{FF2B5EF4-FFF2-40B4-BE49-F238E27FC236}">
              <a16:creationId xmlns:a16="http://schemas.microsoft.com/office/drawing/2014/main" id="{B70C5F3B-59D6-439C-8282-8D32A1DD86F5}"/>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32" name="Text Box 1">
          <a:extLst>
            <a:ext uri="{FF2B5EF4-FFF2-40B4-BE49-F238E27FC236}">
              <a16:creationId xmlns:a16="http://schemas.microsoft.com/office/drawing/2014/main" id="{D2DC1AA4-7BF5-4CF8-953A-8E871DE31C5E}"/>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33" name="Text Box 3">
          <a:extLst>
            <a:ext uri="{FF2B5EF4-FFF2-40B4-BE49-F238E27FC236}">
              <a16:creationId xmlns:a16="http://schemas.microsoft.com/office/drawing/2014/main" id="{690F22C2-7F5E-47E8-A52A-5FAE1538BE0B}"/>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34" name="Text Box 1">
          <a:extLst>
            <a:ext uri="{FF2B5EF4-FFF2-40B4-BE49-F238E27FC236}">
              <a16:creationId xmlns:a16="http://schemas.microsoft.com/office/drawing/2014/main" id="{B217565D-0484-4BE5-83B2-C5BD2F4D064E}"/>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35" name="Text Box 1">
          <a:extLst>
            <a:ext uri="{FF2B5EF4-FFF2-40B4-BE49-F238E27FC236}">
              <a16:creationId xmlns:a16="http://schemas.microsoft.com/office/drawing/2014/main" id="{C03B9B2B-86CD-484F-A614-FE8A33F43A8F}"/>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36" name="Text Box 3">
          <a:extLst>
            <a:ext uri="{FF2B5EF4-FFF2-40B4-BE49-F238E27FC236}">
              <a16:creationId xmlns:a16="http://schemas.microsoft.com/office/drawing/2014/main" id="{2EBFB1B4-6710-4EAD-AF5D-1B115616518E}"/>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37" name="Text Box 1">
          <a:extLst>
            <a:ext uri="{FF2B5EF4-FFF2-40B4-BE49-F238E27FC236}">
              <a16:creationId xmlns:a16="http://schemas.microsoft.com/office/drawing/2014/main" id="{DFBBDFF9-1CDD-4952-B229-D38BBBC95129}"/>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38" name="Text Box 1">
          <a:extLst>
            <a:ext uri="{FF2B5EF4-FFF2-40B4-BE49-F238E27FC236}">
              <a16:creationId xmlns:a16="http://schemas.microsoft.com/office/drawing/2014/main" id="{2BC53D02-04D8-4A7C-AC76-BD29D83E9E1B}"/>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39" name="Text Box 3">
          <a:extLst>
            <a:ext uri="{FF2B5EF4-FFF2-40B4-BE49-F238E27FC236}">
              <a16:creationId xmlns:a16="http://schemas.microsoft.com/office/drawing/2014/main" id="{30BBDB95-DA3C-4229-932C-005C4CE544B9}"/>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40" name="Text Box 1">
          <a:extLst>
            <a:ext uri="{FF2B5EF4-FFF2-40B4-BE49-F238E27FC236}">
              <a16:creationId xmlns:a16="http://schemas.microsoft.com/office/drawing/2014/main" id="{D4234CEF-8A54-4578-A480-3F6B7587DB46}"/>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41" name="Text Box 3">
          <a:extLst>
            <a:ext uri="{FF2B5EF4-FFF2-40B4-BE49-F238E27FC236}">
              <a16:creationId xmlns:a16="http://schemas.microsoft.com/office/drawing/2014/main" id="{3499A958-149B-402C-9017-610465765E97}"/>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42" name="Text Box 1">
          <a:extLst>
            <a:ext uri="{FF2B5EF4-FFF2-40B4-BE49-F238E27FC236}">
              <a16:creationId xmlns:a16="http://schemas.microsoft.com/office/drawing/2014/main" id="{2ED989C4-6793-4992-A8DF-46EF306906CA}"/>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43" name="Text Box 1">
          <a:extLst>
            <a:ext uri="{FF2B5EF4-FFF2-40B4-BE49-F238E27FC236}">
              <a16:creationId xmlns:a16="http://schemas.microsoft.com/office/drawing/2014/main" id="{F0386874-33E4-411F-B8B1-8A70C3314CB6}"/>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44" name="Text Box 3">
          <a:extLst>
            <a:ext uri="{FF2B5EF4-FFF2-40B4-BE49-F238E27FC236}">
              <a16:creationId xmlns:a16="http://schemas.microsoft.com/office/drawing/2014/main" id="{3A0E069D-8862-4537-8D0D-D9744E356201}"/>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45" name="Text Box 1">
          <a:extLst>
            <a:ext uri="{FF2B5EF4-FFF2-40B4-BE49-F238E27FC236}">
              <a16:creationId xmlns:a16="http://schemas.microsoft.com/office/drawing/2014/main" id="{881A35DB-D5F5-457E-8519-C13506F1ADC3}"/>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46" name="Text Box 3">
          <a:extLst>
            <a:ext uri="{FF2B5EF4-FFF2-40B4-BE49-F238E27FC236}">
              <a16:creationId xmlns:a16="http://schemas.microsoft.com/office/drawing/2014/main" id="{EBF47F24-64B8-4916-A2B8-F2C376EE8EA7}"/>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47" name="Text Box 1">
          <a:extLst>
            <a:ext uri="{FF2B5EF4-FFF2-40B4-BE49-F238E27FC236}">
              <a16:creationId xmlns:a16="http://schemas.microsoft.com/office/drawing/2014/main" id="{2DA194F2-949E-44B5-9DB6-1727E3CB55AF}"/>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48" name="Text Box 1">
          <a:extLst>
            <a:ext uri="{FF2B5EF4-FFF2-40B4-BE49-F238E27FC236}">
              <a16:creationId xmlns:a16="http://schemas.microsoft.com/office/drawing/2014/main" id="{EDB7BAE0-016A-4D1F-AF4D-3A4870873F86}"/>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49" name="Text Box 3">
          <a:extLst>
            <a:ext uri="{FF2B5EF4-FFF2-40B4-BE49-F238E27FC236}">
              <a16:creationId xmlns:a16="http://schemas.microsoft.com/office/drawing/2014/main" id="{E89E1F7A-AAFC-477D-8699-33F5F93A05F7}"/>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50" name="Text Box 3">
          <a:extLst>
            <a:ext uri="{FF2B5EF4-FFF2-40B4-BE49-F238E27FC236}">
              <a16:creationId xmlns:a16="http://schemas.microsoft.com/office/drawing/2014/main" id="{645A3FE1-9557-460B-92E5-CF04988FE6F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51" name="Text Box 1">
          <a:extLst>
            <a:ext uri="{FF2B5EF4-FFF2-40B4-BE49-F238E27FC236}">
              <a16:creationId xmlns:a16="http://schemas.microsoft.com/office/drawing/2014/main" id="{1E09D4A9-F971-48C8-81B1-A86EA245A32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52" name="Text Box 3">
          <a:extLst>
            <a:ext uri="{FF2B5EF4-FFF2-40B4-BE49-F238E27FC236}">
              <a16:creationId xmlns:a16="http://schemas.microsoft.com/office/drawing/2014/main" id="{7FFC2AD9-AC79-4FE8-8FDF-13754C3BB02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53" name="Text Box 1">
          <a:extLst>
            <a:ext uri="{FF2B5EF4-FFF2-40B4-BE49-F238E27FC236}">
              <a16:creationId xmlns:a16="http://schemas.microsoft.com/office/drawing/2014/main" id="{A309AB56-E242-4FF1-8ECF-B12B0EE216F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54" name="Text Box 1">
          <a:extLst>
            <a:ext uri="{FF2B5EF4-FFF2-40B4-BE49-F238E27FC236}">
              <a16:creationId xmlns:a16="http://schemas.microsoft.com/office/drawing/2014/main" id="{29538E80-A249-4528-9F86-A2EF8364839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55" name="Text Box 3">
          <a:extLst>
            <a:ext uri="{FF2B5EF4-FFF2-40B4-BE49-F238E27FC236}">
              <a16:creationId xmlns:a16="http://schemas.microsoft.com/office/drawing/2014/main" id="{83ED70F7-93E4-4755-AF41-CE456A5C9E5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56" name="Text Box 1">
          <a:extLst>
            <a:ext uri="{FF2B5EF4-FFF2-40B4-BE49-F238E27FC236}">
              <a16:creationId xmlns:a16="http://schemas.microsoft.com/office/drawing/2014/main" id="{8022191A-F2A5-4D6D-8353-C768057F905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57" name="Text Box 3">
          <a:extLst>
            <a:ext uri="{FF2B5EF4-FFF2-40B4-BE49-F238E27FC236}">
              <a16:creationId xmlns:a16="http://schemas.microsoft.com/office/drawing/2014/main" id="{3317FB8E-238F-4138-8357-831B4FF2DFA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58" name="Text Box 1">
          <a:extLst>
            <a:ext uri="{FF2B5EF4-FFF2-40B4-BE49-F238E27FC236}">
              <a16:creationId xmlns:a16="http://schemas.microsoft.com/office/drawing/2014/main" id="{4499B6F7-49FF-4EE1-B78E-178FE98DD9C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59" name="Text Box 1">
          <a:extLst>
            <a:ext uri="{FF2B5EF4-FFF2-40B4-BE49-F238E27FC236}">
              <a16:creationId xmlns:a16="http://schemas.microsoft.com/office/drawing/2014/main" id="{9998510D-062B-4D53-9D22-A9F34FABB6B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60" name="Text Box 3">
          <a:extLst>
            <a:ext uri="{FF2B5EF4-FFF2-40B4-BE49-F238E27FC236}">
              <a16:creationId xmlns:a16="http://schemas.microsoft.com/office/drawing/2014/main" id="{57F7B57A-ADB4-4C89-8C3D-0EDBCB3CD7E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61" name="Text Box 1">
          <a:extLst>
            <a:ext uri="{FF2B5EF4-FFF2-40B4-BE49-F238E27FC236}">
              <a16:creationId xmlns:a16="http://schemas.microsoft.com/office/drawing/2014/main" id="{413BF08A-766B-430F-98F2-340570FCB4A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62" name="Text Box 1">
          <a:extLst>
            <a:ext uri="{FF2B5EF4-FFF2-40B4-BE49-F238E27FC236}">
              <a16:creationId xmlns:a16="http://schemas.microsoft.com/office/drawing/2014/main" id="{2C704099-C17C-4BD6-8DA0-41487AAA2D8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63" name="Text Box 3">
          <a:extLst>
            <a:ext uri="{FF2B5EF4-FFF2-40B4-BE49-F238E27FC236}">
              <a16:creationId xmlns:a16="http://schemas.microsoft.com/office/drawing/2014/main" id="{8819AE13-5D9E-400B-9052-026B612DFE3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64" name="Text Box 1">
          <a:extLst>
            <a:ext uri="{FF2B5EF4-FFF2-40B4-BE49-F238E27FC236}">
              <a16:creationId xmlns:a16="http://schemas.microsoft.com/office/drawing/2014/main" id="{633F97F4-0822-4D31-B08D-E726D5EC4BE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65" name="Text Box 3">
          <a:extLst>
            <a:ext uri="{FF2B5EF4-FFF2-40B4-BE49-F238E27FC236}">
              <a16:creationId xmlns:a16="http://schemas.microsoft.com/office/drawing/2014/main" id="{895CA39D-0D38-4693-ADE4-5802ADD276A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66" name="Text Box 1">
          <a:extLst>
            <a:ext uri="{FF2B5EF4-FFF2-40B4-BE49-F238E27FC236}">
              <a16:creationId xmlns:a16="http://schemas.microsoft.com/office/drawing/2014/main" id="{F2A0EBC7-4769-4EDA-A380-62F5D70AD51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67" name="Text Box 3">
          <a:extLst>
            <a:ext uri="{FF2B5EF4-FFF2-40B4-BE49-F238E27FC236}">
              <a16:creationId xmlns:a16="http://schemas.microsoft.com/office/drawing/2014/main" id="{95EC8D9C-2B0C-45A5-933A-D7F6BE4635C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68" name="Text Box 1">
          <a:extLst>
            <a:ext uri="{FF2B5EF4-FFF2-40B4-BE49-F238E27FC236}">
              <a16:creationId xmlns:a16="http://schemas.microsoft.com/office/drawing/2014/main" id="{DEBDD024-1775-4DDA-896A-67CE5FF9230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69" name="Text Box 3">
          <a:extLst>
            <a:ext uri="{FF2B5EF4-FFF2-40B4-BE49-F238E27FC236}">
              <a16:creationId xmlns:a16="http://schemas.microsoft.com/office/drawing/2014/main" id="{8E9DD4F3-DDB5-4218-98C7-7153E30AC41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70" name="Text Box 1">
          <a:extLst>
            <a:ext uri="{FF2B5EF4-FFF2-40B4-BE49-F238E27FC236}">
              <a16:creationId xmlns:a16="http://schemas.microsoft.com/office/drawing/2014/main" id="{58C2CA77-42EB-4962-B4A6-CCF644E2183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71" name="Text Box 1">
          <a:extLst>
            <a:ext uri="{FF2B5EF4-FFF2-40B4-BE49-F238E27FC236}">
              <a16:creationId xmlns:a16="http://schemas.microsoft.com/office/drawing/2014/main" id="{8214CAC8-7956-4A72-98B5-189E3368561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4972" name="Text Box 1">
          <a:extLst>
            <a:ext uri="{FF2B5EF4-FFF2-40B4-BE49-F238E27FC236}">
              <a16:creationId xmlns:a16="http://schemas.microsoft.com/office/drawing/2014/main" id="{31EDF305-DAF4-47A2-A858-744572027457}"/>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73" name="Text Box 1">
          <a:extLst>
            <a:ext uri="{FF2B5EF4-FFF2-40B4-BE49-F238E27FC236}">
              <a16:creationId xmlns:a16="http://schemas.microsoft.com/office/drawing/2014/main" id="{5370EFC5-3070-450E-A3B0-774F71D21DC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74" name="Text Box 3">
          <a:extLst>
            <a:ext uri="{FF2B5EF4-FFF2-40B4-BE49-F238E27FC236}">
              <a16:creationId xmlns:a16="http://schemas.microsoft.com/office/drawing/2014/main" id="{D05B8789-891E-4D7E-B132-38EA5A8BD78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75" name="Text Box 1">
          <a:extLst>
            <a:ext uri="{FF2B5EF4-FFF2-40B4-BE49-F238E27FC236}">
              <a16:creationId xmlns:a16="http://schemas.microsoft.com/office/drawing/2014/main" id="{1BC9B77F-5B91-4862-89A7-E5B97577910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76" name="Text Box 3">
          <a:extLst>
            <a:ext uri="{FF2B5EF4-FFF2-40B4-BE49-F238E27FC236}">
              <a16:creationId xmlns:a16="http://schemas.microsoft.com/office/drawing/2014/main" id="{D105E094-2E23-4B34-9C9B-0A20D8072F2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77" name="Text Box 1">
          <a:extLst>
            <a:ext uri="{FF2B5EF4-FFF2-40B4-BE49-F238E27FC236}">
              <a16:creationId xmlns:a16="http://schemas.microsoft.com/office/drawing/2014/main" id="{B4AD26E8-2D5C-40D4-964A-9587898B85C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78" name="Text Box 1">
          <a:extLst>
            <a:ext uri="{FF2B5EF4-FFF2-40B4-BE49-F238E27FC236}">
              <a16:creationId xmlns:a16="http://schemas.microsoft.com/office/drawing/2014/main" id="{ED07F8D0-7798-4934-92A2-261868FC87E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79" name="Text Box 3">
          <a:extLst>
            <a:ext uri="{FF2B5EF4-FFF2-40B4-BE49-F238E27FC236}">
              <a16:creationId xmlns:a16="http://schemas.microsoft.com/office/drawing/2014/main" id="{17160C47-2588-4C00-B07C-D07BF5D6773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80" name="Text Box 1">
          <a:extLst>
            <a:ext uri="{FF2B5EF4-FFF2-40B4-BE49-F238E27FC236}">
              <a16:creationId xmlns:a16="http://schemas.microsoft.com/office/drawing/2014/main" id="{66219334-BCD5-4881-801E-CC10309D426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81" name="Text Box 3">
          <a:extLst>
            <a:ext uri="{FF2B5EF4-FFF2-40B4-BE49-F238E27FC236}">
              <a16:creationId xmlns:a16="http://schemas.microsoft.com/office/drawing/2014/main" id="{6F5381F6-22F9-4CBB-BB85-9C1BDD55EE8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82" name="Text Box 1">
          <a:extLst>
            <a:ext uri="{FF2B5EF4-FFF2-40B4-BE49-F238E27FC236}">
              <a16:creationId xmlns:a16="http://schemas.microsoft.com/office/drawing/2014/main" id="{8156604D-4A33-441A-9974-61BA4B8F776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83" name="Text Box 1">
          <a:extLst>
            <a:ext uri="{FF2B5EF4-FFF2-40B4-BE49-F238E27FC236}">
              <a16:creationId xmlns:a16="http://schemas.microsoft.com/office/drawing/2014/main" id="{DD3752EB-56E5-4E7D-9174-1A4B7CD3CC0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84" name="Text Box 3">
          <a:extLst>
            <a:ext uri="{FF2B5EF4-FFF2-40B4-BE49-F238E27FC236}">
              <a16:creationId xmlns:a16="http://schemas.microsoft.com/office/drawing/2014/main" id="{0EDB00FA-2787-4095-9667-43D80B6B441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85" name="Text Box 1">
          <a:extLst>
            <a:ext uri="{FF2B5EF4-FFF2-40B4-BE49-F238E27FC236}">
              <a16:creationId xmlns:a16="http://schemas.microsoft.com/office/drawing/2014/main" id="{5D6E9933-DC8B-4A0F-BA0E-726133D2F65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86" name="Text Box 3">
          <a:extLst>
            <a:ext uri="{FF2B5EF4-FFF2-40B4-BE49-F238E27FC236}">
              <a16:creationId xmlns:a16="http://schemas.microsoft.com/office/drawing/2014/main" id="{DF273073-1390-4016-9F56-268A083076C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87" name="Text Box 1">
          <a:extLst>
            <a:ext uri="{FF2B5EF4-FFF2-40B4-BE49-F238E27FC236}">
              <a16:creationId xmlns:a16="http://schemas.microsoft.com/office/drawing/2014/main" id="{9FD545C9-6EB5-45DB-A022-E6C7FDB9620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88" name="Text Box 1">
          <a:extLst>
            <a:ext uri="{FF2B5EF4-FFF2-40B4-BE49-F238E27FC236}">
              <a16:creationId xmlns:a16="http://schemas.microsoft.com/office/drawing/2014/main" id="{F61EF334-CD65-47F1-92E2-6CD62613E80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89" name="Text Box 3">
          <a:extLst>
            <a:ext uri="{FF2B5EF4-FFF2-40B4-BE49-F238E27FC236}">
              <a16:creationId xmlns:a16="http://schemas.microsoft.com/office/drawing/2014/main" id="{6AC16F8A-60C4-41FF-861E-8E7768CBB53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90" name="Text Box 1">
          <a:extLst>
            <a:ext uri="{FF2B5EF4-FFF2-40B4-BE49-F238E27FC236}">
              <a16:creationId xmlns:a16="http://schemas.microsoft.com/office/drawing/2014/main" id="{9F785362-507A-4C52-92D4-FB2255F18B4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91" name="Text Box 3">
          <a:extLst>
            <a:ext uri="{FF2B5EF4-FFF2-40B4-BE49-F238E27FC236}">
              <a16:creationId xmlns:a16="http://schemas.microsoft.com/office/drawing/2014/main" id="{01DC878A-7227-4FC6-9902-9D376E1A42D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92" name="Text Box 1">
          <a:extLst>
            <a:ext uri="{FF2B5EF4-FFF2-40B4-BE49-F238E27FC236}">
              <a16:creationId xmlns:a16="http://schemas.microsoft.com/office/drawing/2014/main" id="{6B43EE79-30A5-49B4-8C99-91BF3029E67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93" name="Text Box 1">
          <a:extLst>
            <a:ext uri="{FF2B5EF4-FFF2-40B4-BE49-F238E27FC236}">
              <a16:creationId xmlns:a16="http://schemas.microsoft.com/office/drawing/2014/main" id="{F95A92D2-A979-4132-BFBA-929A4DF7A7F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94" name="Text Box 3">
          <a:extLst>
            <a:ext uri="{FF2B5EF4-FFF2-40B4-BE49-F238E27FC236}">
              <a16:creationId xmlns:a16="http://schemas.microsoft.com/office/drawing/2014/main" id="{FD0D5762-01D3-42DB-92EC-DF1B7072BA9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95" name="Text Box 1">
          <a:extLst>
            <a:ext uri="{FF2B5EF4-FFF2-40B4-BE49-F238E27FC236}">
              <a16:creationId xmlns:a16="http://schemas.microsoft.com/office/drawing/2014/main" id="{58FF6F13-EBAF-422F-ACA6-D6F15F22BCC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96" name="Text Box 3">
          <a:extLst>
            <a:ext uri="{FF2B5EF4-FFF2-40B4-BE49-F238E27FC236}">
              <a16:creationId xmlns:a16="http://schemas.microsoft.com/office/drawing/2014/main" id="{D0EFD0E3-3076-4764-9E0B-A3E6CF5E1AB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97" name="Text Box 1">
          <a:extLst>
            <a:ext uri="{FF2B5EF4-FFF2-40B4-BE49-F238E27FC236}">
              <a16:creationId xmlns:a16="http://schemas.microsoft.com/office/drawing/2014/main" id="{3DB6984D-8D35-441E-A927-E70CE344652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98" name="Text Box 1">
          <a:extLst>
            <a:ext uri="{FF2B5EF4-FFF2-40B4-BE49-F238E27FC236}">
              <a16:creationId xmlns:a16="http://schemas.microsoft.com/office/drawing/2014/main" id="{06AA490D-45E1-461D-AEBD-3C7B60C1845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99" name="Text Box 3">
          <a:extLst>
            <a:ext uri="{FF2B5EF4-FFF2-40B4-BE49-F238E27FC236}">
              <a16:creationId xmlns:a16="http://schemas.microsoft.com/office/drawing/2014/main" id="{55DC1DAD-E322-4638-BB12-56B16530E4F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00" name="Text Box 1">
          <a:extLst>
            <a:ext uri="{FF2B5EF4-FFF2-40B4-BE49-F238E27FC236}">
              <a16:creationId xmlns:a16="http://schemas.microsoft.com/office/drawing/2014/main" id="{53196DF5-350B-4DAD-BD01-9912DFED2DA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01" name="Text Box 3">
          <a:extLst>
            <a:ext uri="{FF2B5EF4-FFF2-40B4-BE49-F238E27FC236}">
              <a16:creationId xmlns:a16="http://schemas.microsoft.com/office/drawing/2014/main" id="{561B407E-DE56-4239-BAF5-3840AF363EC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02" name="Text Box 1">
          <a:extLst>
            <a:ext uri="{FF2B5EF4-FFF2-40B4-BE49-F238E27FC236}">
              <a16:creationId xmlns:a16="http://schemas.microsoft.com/office/drawing/2014/main" id="{1C6D6535-05DC-4D07-801D-3D3BCB5419B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03" name="Text Box 1">
          <a:extLst>
            <a:ext uri="{FF2B5EF4-FFF2-40B4-BE49-F238E27FC236}">
              <a16:creationId xmlns:a16="http://schemas.microsoft.com/office/drawing/2014/main" id="{602B6BA7-DA3C-4A7C-9E4C-9FCC3C260C6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04" name="Text Box 3">
          <a:extLst>
            <a:ext uri="{FF2B5EF4-FFF2-40B4-BE49-F238E27FC236}">
              <a16:creationId xmlns:a16="http://schemas.microsoft.com/office/drawing/2014/main" id="{BB2899F9-08BB-46B7-A21F-50128C51AEA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05" name="Text Box 1">
          <a:extLst>
            <a:ext uri="{FF2B5EF4-FFF2-40B4-BE49-F238E27FC236}">
              <a16:creationId xmlns:a16="http://schemas.microsoft.com/office/drawing/2014/main" id="{AB8A1096-32D2-4430-95A6-016D8E5B700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06" name="Text Box 3">
          <a:extLst>
            <a:ext uri="{FF2B5EF4-FFF2-40B4-BE49-F238E27FC236}">
              <a16:creationId xmlns:a16="http://schemas.microsoft.com/office/drawing/2014/main" id="{43632CAE-5893-4BE4-B7CD-08D47E15481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07" name="Text Box 1">
          <a:extLst>
            <a:ext uri="{FF2B5EF4-FFF2-40B4-BE49-F238E27FC236}">
              <a16:creationId xmlns:a16="http://schemas.microsoft.com/office/drawing/2014/main" id="{61615C9B-CFA0-40B8-BDFE-56D8603482B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08" name="Text Box 1">
          <a:extLst>
            <a:ext uri="{FF2B5EF4-FFF2-40B4-BE49-F238E27FC236}">
              <a16:creationId xmlns:a16="http://schemas.microsoft.com/office/drawing/2014/main" id="{DE86F293-EDB2-40CC-983E-23E73E93FEA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09" name="Text Box 3">
          <a:extLst>
            <a:ext uri="{FF2B5EF4-FFF2-40B4-BE49-F238E27FC236}">
              <a16:creationId xmlns:a16="http://schemas.microsoft.com/office/drawing/2014/main" id="{7A449A35-0BDF-4331-B5DD-4F2EE082C81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10" name="Text Box 1">
          <a:extLst>
            <a:ext uri="{FF2B5EF4-FFF2-40B4-BE49-F238E27FC236}">
              <a16:creationId xmlns:a16="http://schemas.microsoft.com/office/drawing/2014/main" id="{4E3844B6-F00D-4AE5-A28D-31D01DA208E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11" name="Text Box 3">
          <a:extLst>
            <a:ext uri="{FF2B5EF4-FFF2-40B4-BE49-F238E27FC236}">
              <a16:creationId xmlns:a16="http://schemas.microsoft.com/office/drawing/2014/main" id="{CB9ADD98-89E9-4F3D-B91B-EB891438B62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12" name="Text Box 1">
          <a:extLst>
            <a:ext uri="{FF2B5EF4-FFF2-40B4-BE49-F238E27FC236}">
              <a16:creationId xmlns:a16="http://schemas.microsoft.com/office/drawing/2014/main" id="{788BDB08-D059-484E-9BDB-7BB64F05904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13" name="Text Box 1">
          <a:extLst>
            <a:ext uri="{FF2B5EF4-FFF2-40B4-BE49-F238E27FC236}">
              <a16:creationId xmlns:a16="http://schemas.microsoft.com/office/drawing/2014/main" id="{86C8D4FC-93C5-42D6-8F4B-3FB9576EAB3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14" name="Text Box 3">
          <a:extLst>
            <a:ext uri="{FF2B5EF4-FFF2-40B4-BE49-F238E27FC236}">
              <a16:creationId xmlns:a16="http://schemas.microsoft.com/office/drawing/2014/main" id="{B761E0A3-0F51-4DD9-84F6-C8F9286E3D9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15" name="Text Box 1">
          <a:extLst>
            <a:ext uri="{FF2B5EF4-FFF2-40B4-BE49-F238E27FC236}">
              <a16:creationId xmlns:a16="http://schemas.microsoft.com/office/drawing/2014/main" id="{A368B887-4CE6-4916-AEE3-49645CE6012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16" name="Text Box 3">
          <a:extLst>
            <a:ext uri="{FF2B5EF4-FFF2-40B4-BE49-F238E27FC236}">
              <a16:creationId xmlns:a16="http://schemas.microsoft.com/office/drawing/2014/main" id="{DB7F1949-3681-4A82-BAF6-0A50D21238B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17" name="Text Box 1">
          <a:extLst>
            <a:ext uri="{FF2B5EF4-FFF2-40B4-BE49-F238E27FC236}">
              <a16:creationId xmlns:a16="http://schemas.microsoft.com/office/drawing/2014/main" id="{BA34A2B9-822F-4FCD-812E-9CCA29F424B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18" name="Text Box 1">
          <a:extLst>
            <a:ext uri="{FF2B5EF4-FFF2-40B4-BE49-F238E27FC236}">
              <a16:creationId xmlns:a16="http://schemas.microsoft.com/office/drawing/2014/main" id="{FC56BF2E-1114-46C8-B063-6F95C909BB5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19" name="Text Box 3">
          <a:extLst>
            <a:ext uri="{FF2B5EF4-FFF2-40B4-BE49-F238E27FC236}">
              <a16:creationId xmlns:a16="http://schemas.microsoft.com/office/drawing/2014/main" id="{436B884D-23B1-4937-89C3-7B6029CDA12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20" name="Text Box 1">
          <a:extLst>
            <a:ext uri="{FF2B5EF4-FFF2-40B4-BE49-F238E27FC236}">
              <a16:creationId xmlns:a16="http://schemas.microsoft.com/office/drawing/2014/main" id="{FF6FFDE7-2ABF-43DD-8932-4A188DBF243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21" name="Text Box 3">
          <a:extLst>
            <a:ext uri="{FF2B5EF4-FFF2-40B4-BE49-F238E27FC236}">
              <a16:creationId xmlns:a16="http://schemas.microsoft.com/office/drawing/2014/main" id="{66F53520-8014-4C33-84B7-45A117C1BF0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22" name="Text Box 1">
          <a:extLst>
            <a:ext uri="{FF2B5EF4-FFF2-40B4-BE49-F238E27FC236}">
              <a16:creationId xmlns:a16="http://schemas.microsoft.com/office/drawing/2014/main" id="{5C8774B2-B012-491B-8E5D-F47DFF9ADB8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23" name="Text Box 1">
          <a:extLst>
            <a:ext uri="{FF2B5EF4-FFF2-40B4-BE49-F238E27FC236}">
              <a16:creationId xmlns:a16="http://schemas.microsoft.com/office/drawing/2014/main" id="{CC4D0E74-47DC-48EC-96D9-4FB1AC3375F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24" name="Text Box 3">
          <a:extLst>
            <a:ext uri="{FF2B5EF4-FFF2-40B4-BE49-F238E27FC236}">
              <a16:creationId xmlns:a16="http://schemas.microsoft.com/office/drawing/2014/main" id="{ECEA389E-415F-4F8F-883C-377EDED2E26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25" name="Text Box 1">
          <a:extLst>
            <a:ext uri="{FF2B5EF4-FFF2-40B4-BE49-F238E27FC236}">
              <a16:creationId xmlns:a16="http://schemas.microsoft.com/office/drawing/2014/main" id="{3EA8BAD2-0CF8-4BFA-9674-BB00B03473B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26" name="Text Box 3">
          <a:extLst>
            <a:ext uri="{FF2B5EF4-FFF2-40B4-BE49-F238E27FC236}">
              <a16:creationId xmlns:a16="http://schemas.microsoft.com/office/drawing/2014/main" id="{E889B6A7-CBF1-41D8-A4D7-2AAC0CCCBF5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27" name="Text Box 1">
          <a:extLst>
            <a:ext uri="{FF2B5EF4-FFF2-40B4-BE49-F238E27FC236}">
              <a16:creationId xmlns:a16="http://schemas.microsoft.com/office/drawing/2014/main" id="{763CC099-20AD-423B-8AA7-ECE4E07C7C7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28" name="Text Box 1">
          <a:extLst>
            <a:ext uri="{FF2B5EF4-FFF2-40B4-BE49-F238E27FC236}">
              <a16:creationId xmlns:a16="http://schemas.microsoft.com/office/drawing/2014/main" id="{13B67025-690C-4843-859E-3D429861C87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29" name="Text Box 3">
          <a:extLst>
            <a:ext uri="{FF2B5EF4-FFF2-40B4-BE49-F238E27FC236}">
              <a16:creationId xmlns:a16="http://schemas.microsoft.com/office/drawing/2014/main" id="{63577D3D-AA5D-4D2F-8296-6A3A8E40387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30" name="Text Box 1">
          <a:extLst>
            <a:ext uri="{FF2B5EF4-FFF2-40B4-BE49-F238E27FC236}">
              <a16:creationId xmlns:a16="http://schemas.microsoft.com/office/drawing/2014/main" id="{11E067BD-80F7-4F21-9BA7-D240C3FF3EF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31" name="Text Box 3">
          <a:extLst>
            <a:ext uri="{FF2B5EF4-FFF2-40B4-BE49-F238E27FC236}">
              <a16:creationId xmlns:a16="http://schemas.microsoft.com/office/drawing/2014/main" id="{750B4F3A-28B4-4234-9DB0-A8E22CA0553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32" name="Text Box 1">
          <a:extLst>
            <a:ext uri="{FF2B5EF4-FFF2-40B4-BE49-F238E27FC236}">
              <a16:creationId xmlns:a16="http://schemas.microsoft.com/office/drawing/2014/main" id="{8F19F732-0CCA-45B6-97F4-D6CC07A5A1E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33" name="Text Box 1">
          <a:extLst>
            <a:ext uri="{FF2B5EF4-FFF2-40B4-BE49-F238E27FC236}">
              <a16:creationId xmlns:a16="http://schemas.microsoft.com/office/drawing/2014/main" id="{B28B8CB2-5F47-44AC-A608-C448B4EBF9F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34" name="Text Box 3">
          <a:extLst>
            <a:ext uri="{FF2B5EF4-FFF2-40B4-BE49-F238E27FC236}">
              <a16:creationId xmlns:a16="http://schemas.microsoft.com/office/drawing/2014/main" id="{439E3BAA-497F-43DE-A9F4-9D2DA998020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35" name="Text Box 1">
          <a:extLst>
            <a:ext uri="{FF2B5EF4-FFF2-40B4-BE49-F238E27FC236}">
              <a16:creationId xmlns:a16="http://schemas.microsoft.com/office/drawing/2014/main" id="{EB3EEE40-0E9E-49EB-869C-B6AC4FDD604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36" name="Text Box 3">
          <a:extLst>
            <a:ext uri="{FF2B5EF4-FFF2-40B4-BE49-F238E27FC236}">
              <a16:creationId xmlns:a16="http://schemas.microsoft.com/office/drawing/2014/main" id="{A8CBCC7C-140E-425B-8F06-959330D9E12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37" name="Text Box 1">
          <a:extLst>
            <a:ext uri="{FF2B5EF4-FFF2-40B4-BE49-F238E27FC236}">
              <a16:creationId xmlns:a16="http://schemas.microsoft.com/office/drawing/2014/main" id="{6DFC98EB-17DD-4860-B1A8-5793FFBC58C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38" name="Text Box 1">
          <a:extLst>
            <a:ext uri="{FF2B5EF4-FFF2-40B4-BE49-F238E27FC236}">
              <a16:creationId xmlns:a16="http://schemas.microsoft.com/office/drawing/2014/main" id="{01ED8F67-ACBB-4006-83A7-707921CB864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39" name="Text Box 3">
          <a:extLst>
            <a:ext uri="{FF2B5EF4-FFF2-40B4-BE49-F238E27FC236}">
              <a16:creationId xmlns:a16="http://schemas.microsoft.com/office/drawing/2014/main" id="{3B95627A-8F00-4BAF-AD58-EDA622C84E7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40" name="Text Box 1">
          <a:extLst>
            <a:ext uri="{FF2B5EF4-FFF2-40B4-BE49-F238E27FC236}">
              <a16:creationId xmlns:a16="http://schemas.microsoft.com/office/drawing/2014/main" id="{1891E7ED-5347-4FA3-BC63-A24B0003136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41" name="Text Box 3">
          <a:extLst>
            <a:ext uri="{FF2B5EF4-FFF2-40B4-BE49-F238E27FC236}">
              <a16:creationId xmlns:a16="http://schemas.microsoft.com/office/drawing/2014/main" id="{BC97A40C-A13A-42EF-8362-39425F2836D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42" name="Text Box 1">
          <a:extLst>
            <a:ext uri="{FF2B5EF4-FFF2-40B4-BE49-F238E27FC236}">
              <a16:creationId xmlns:a16="http://schemas.microsoft.com/office/drawing/2014/main" id="{77A822EE-C073-4F14-A358-71F7F05917F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43" name="Text Box 1">
          <a:extLst>
            <a:ext uri="{FF2B5EF4-FFF2-40B4-BE49-F238E27FC236}">
              <a16:creationId xmlns:a16="http://schemas.microsoft.com/office/drawing/2014/main" id="{8933DDFA-8CA2-475D-874A-24689683596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44" name="Text Box 3">
          <a:extLst>
            <a:ext uri="{FF2B5EF4-FFF2-40B4-BE49-F238E27FC236}">
              <a16:creationId xmlns:a16="http://schemas.microsoft.com/office/drawing/2014/main" id="{4A24690E-72A3-463D-B76A-C5AA592F626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45" name="Text Box 1">
          <a:extLst>
            <a:ext uri="{FF2B5EF4-FFF2-40B4-BE49-F238E27FC236}">
              <a16:creationId xmlns:a16="http://schemas.microsoft.com/office/drawing/2014/main" id="{786F95DC-B0C0-4419-A44F-4153143BA19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46" name="Text Box 3">
          <a:extLst>
            <a:ext uri="{FF2B5EF4-FFF2-40B4-BE49-F238E27FC236}">
              <a16:creationId xmlns:a16="http://schemas.microsoft.com/office/drawing/2014/main" id="{B4D32F97-1E3A-4D97-9D79-BED69B500D8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47" name="Text Box 1">
          <a:extLst>
            <a:ext uri="{FF2B5EF4-FFF2-40B4-BE49-F238E27FC236}">
              <a16:creationId xmlns:a16="http://schemas.microsoft.com/office/drawing/2014/main" id="{87AC40CA-B86A-4B5C-8C88-532CE58E7A1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48" name="Text Box 1">
          <a:extLst>
            <a:ext uri="{FF2B5EF4-FFF2-40B4-BE49-F238E27FC236}">
              <a16:creationId xmlns:a16="http://schemas.microsoft.com/office/drawing/2014/main" id="{FC4085DA-7774-4B69-92A9-9AEAAA3707E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49" name="Text Box 3">
          <a:extLst>
            <a:ext uri="{FF2B5EF4-FFF2-40B4-BE49-F238E27FC236}">
              <a16:creationId xmlns:a16="http://schemas.microsoft.com/office/drawing/2014/main" id="{41FF78A0-1330-41E2-A025-12848B3BBD8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50" name="Text Box 1">
          <a:extLst>
            <a:ext uri="{FF2B5EF4-FFF2-40B4-BE49-F238E27FC236}">
              <a16:creationId xmlns:a16="http://schemas.microsoft.com/office/drawing/2014/main" id="{2E2F7A9B-C39A-455B-BBED-CFB7A5B2A6C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51" name="Text Box 3">
          <a:extLst>
            <a:ext uri="{FF2B5EF4-FFF2-40B4-BE49-F238E27FC236}">
              <a16:creationId xmlns:a16="http://schemas.microsoft.com/office/drawing/2014/main" id="{B8335661-07EC-4246-A6D3-54ED83B6C34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52" name="Text Box 1">
          <a:extLst>
            <a:ext uri="{FF2B5EF4-FFF2-40B4-BE49-F238E27FC236}">
              <a16:creationId xmlns:a16="http://schemas.microsoft.com/office/drawing/2014/main" id="{EE86986F-C436-45F9-90F2-DE6CB7922E2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53" name="Text Box 1">
          <a:extLst>
            <a:ext uri="{FF2B5EF4-FFF2-40B4-BE49-F238E27FC236}">
              <a16:creationId xmlns:a16="http://schemas.microsoft.com/office/drawing/2014/main" id="{F2F93B6D-C862-4DA7-8258-01A20F666E9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54" name="Text Box 3">
          <a:extLst>
            <a:ext uri="{FF2B5EF4-FFF2-40B4-BE49-F238E27FC236}">
              <a16:creationId xmlns:a16="http://schemas.microsoft.com/office/drawing/2014/main" id="{B8692ADF-CC31-46AC-9BC0-12EF901F1C8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55" name="Text Box 1">
          <a:extLst>
            <a:ext uri="{FF2B5EF4-FFF2-40B4-BE49-F238E27FC236}">
              <a16:creationId xmlns:a16="http://schemas.microsoft.com/office/drawing/2014/main" id="{6563D498-271A-4C77-979B-C7A5839B9E1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56" name="Text Box 3">
          <a:extLst>
            <a:ext uri="{FF2B5EF4-FFF2-40B4-BE49-F238E27FC236}">
              <a16:creationId xmlns:a16="http://schemas.microsoft.com/office/drawing/2014/main" id="{928BFC8D-791D-4661-B100-7CA597CF411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57" name="Text Box 1">
          <a:extLst>
            <a:ext uri="{FF2B5EF4-FFF2-40B4-BE49-F238E27FC236}">
              <a16:creationId xmlns:a16="http://schemas.microsoft.com/office/drawing/2014/main" id="{912A0237-25E6-4EF8-925A-431B23D5463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58" name="Text Box 1">
          <a:extLst>
            <a:ext uri="{FF2B5EF4-FFF2-40B4-BE49-F238E27FC236}">
              <a16:creationId xmlns:a16="http://schemas.microsoft.com/office/drawing/2014/main" id="{F2A1F526-BFB5-4D0C-B5F7-9E427B24EB5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59" name="Text Box 3">
          <a:extLst>
            <a:ext uri="{FF2B5EF4-FFF2-40B4-BE49-F238E27FC236}">
              <a16:creationId xmlns:a16="http://schemas.microsoft.com/office/drawing/2014/main" id="{467A08A8-DDE3-45FB-8999-CAA9E63E7DC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60" name="Text Box 1">
          <a:extLst>
            <a:ext uri="{FF2B5EF4-FFF2-40B4-BE49-F238E27FC236}">
              <a16:creationId xmlns:a16="http://schemas.microsoft.com/office/drawing/2014/main" id="{9A2C3585-1B62-4A67-A4B4-FDB878C7AAC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61" name="Text Box 3">
          <a:extLst>
            <a:ext uri="{FF2B5EF4-FFF2-40B4-BE49-F238E27FC236}">
              <a16:creationId xmlns:a16="http://schemas.microsoft.com/office/drawing/2014/main" id="{ECA143F6-96B7-4F89-AB23-CD768645E8C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62" name="Text Box 1">
          <a:extLst>
            <a:ext uri="{FF2B5EF4-FFF2-40B4-BE49-F238E27FC236}">
              <a16:creationId xmlns:a16="http://schemas.microsoft.com/office/drawing/2014/main" id="{968F84A2-263F-4C9D-BC08-4B392984717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63" name="Text Box 1">
          <a:extLst>
            <a:ext uri="{FF2B5EF4-FFF2-40B4-BE49-F238E27FC236}">
              <a16:creationId xmlns:a16="http://schemas.microsoft.com/office/drawing/2014/main" id="{E723E3EF-0634-4E75-94BE-CE70B3EEF68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64" name="Text Box 3">
          <a:extLst>
            <a:ext uri="{FF2B5EF4-FFF2-40B4-BE49-F238E27FC236}">
              <a16:creationId xmlns:a16="http://schemas.microsoft.com/office/drawing/2014/main" id="{3DF07008-2E9E-4954-A09C-9006CFCE649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65" name="Text Box 1">
          <a:extLst>
            <a:ext uri="{FF2B5EF4-FFF2-40B4-BE49-F238E27FC236}">
              <a16:creationId xmlns:a16="http://schemas.microsoft.com/office/drawing/2014/main" id="{36ECA0D4-97A5-4578-AF8E-07E46CD250A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66" name="Text Box 3">
          <a:extLst>
            <a:ext uri="{FF2B5EF4-FFF2-40B4-BE49-F238E27FC236}">
              <a16:creationId xmlns:a16="http://schemas.microsoft.com/office/drawing/2014/main" id="{2C85A1D8-1029-4B38-BA0D-796D81D4E24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67" name="Text Box 1">
          <a:extLst>
            <a:ext uri="{FF2B5EF4-FFF2-40B4-BE49-F238E27FC236}">
              <a16:creationId xmlns:a16="http://schemas.microsoft.com/office/drawing/2014/main" id="{969B5AD6-A255-4E66-B9FE-27736515E38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68" name="Text Box 1">
          <a:extLst>
            <a:ext uri="{FF2B5EF4-FFF2-40B4-BE49-F238E27FC236}">
              <a16:creationId xmlns:a16="http://schemas.microsoft.com/office/drawing/2014/main" id="{143E29D6-36FC-441D-A329-EF596C10B05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69" name="Text Box 3">
          <a:extLst>
            <a:ext uri="{FF2B5EF4-FFF2-40B4-BE49-F238E27FC236}">
              <a16:creationId xmlns:a16="http://schemas.microsoft.com/office/drawing/2014/main" id="{E19DE51D-CBFC-440E-A9CF-9D30BACDAF7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70" name="Text Box 1">
          <a:extLst>
            <a:ext uri="{FF2B5EF4-FFF2-40B4-BE49-F238E27FC236}">
              <a16:creationId xmlns:a16="http://schemas.microsoft.com/office/drawing/2014/main" id="{CE63D847-ED67-40E2-AD94-17E31271B00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71" name="Text Box 3">
          <a:extLst>
            <a:ext uri="{FF2B5EF4-FFF2-40B4-BE49-F238E27FC236}">
              <a16:creationId xmlns:a16="http://schemas.microsoft.com/office/drawing/2014/main" id="{D8DAFAFF-2DFD-45F0-BF7D-46A7D82C32B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72" name="Text Box 1">
          <a:extLst>
            <a:ext uri="{FF2B5EF4-FFF2-40B4-BE49-F238E27FC236}">
              <a16:creationId xmlns:a16="http://schemas.microsoft.com/office/drawing/2014/main" id="{9FE7E22C-D9D2-48C9-B338-57CBC3F1B3D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73" name="Text Box 1">
          <a:extLst>
            <a:ext uri="{FF2B5EF4-FFF2-40B4-BE49-F238E27FC236}">
              <a16:creationId xmlns:a16="http://schemas.microsoft.com/office/drawing/2014/main" id="{3C77669C-AEBE-4B59-8855-B8EA9ED6A35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74" name="Text Box 3">
          <a:extLst>
            <a:ext uri="{FF2B5EF4-FFF2-40B4-BE49-F238E27FC236}">
              <a16:creationId xmlns:a16="http://schemas.microsoft.com/office/drawing/2014/main" id="{FC493E22-AE4B-4591-9D1B-48DFE6A744C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75" name="Text Box 1">
          <a:extLst>
            <a:ext uri="{FF2B5EF4-FFF2-40B4-BE49-F238E27FC236}">
              <a16:creationId xmlns:a16="http://schemas.microsoft.com/office/drawing/2014/main" id="{2C36B6E6-EB5F-4BFF-89B4-B42807ADD0F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76" name="Text Box 3">
          <a:extLst>
            <a:ext uri="{FF2B5EF4-FFF2-40B4-BE49-F238E27FC236}">
              <a16:creationId xmlns:a16="http://schemas.microsoft.com/office/drawing/2014/main" id="{9D9DFE17-9353-4DFB-AAEF-D587DB22AFA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77" name="Text Box 1">
          <a:extLst>
            <a:ext uri="{FF2B5EF4-FFF2-40B4-BE49-F238E27FC236}">
              <a16:creationId xmlns:a16="http://schemas.microsoft.com/office/drawing/2014/main" id="{8E1622FE-3335-452F-A3AD-B84737FFF20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78" name="Text Box 1">
          <a:extLst>
            <a:ext uri="{FF2B5EF4-FFF2-40B4-BE49-F238E27FC236}">
              <a16:creationId xmlns:a16="http://schemas.microsoft.com/office/drawing/2014/main" id="{12B9A07E-3674-40A0-B71C-51E87E3DE74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79" name="Text Box 3">
          <a:extLst>
            <a:ext uri="{FF2B5EF4-FFF2-40B4-BE49-F238E27FC236}">
              <a16:creationId xmlns:a16="http://schemas.microsoft.com/office/drawing/2014/main" id="{97D445B0-9FD5-4342-9CF3-43ED2A3DF35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80" name="Text Box 1">
          <a:extLst>
            <a:ext uri="{FF2B5EF4-FFF2-40B4-BE49-F238E27FC236}">
              <a16:creationId xmlns:a16="http://schemas.microsoft.com/office/drawing/2014/main" id="{D2B8F8B8-6D20-45A8-89A5-795642208A6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81" name="Text Box 3">
          <a:extLst>
            <a:ext uri="{FF2B5EF4-FFF2-40B4-BE49-F238E27FC236}">
              <a16:creationId xmlns:a16="http://schemas.microsoft.com/office/drawing/2014/main" id="{4C79AD30-23DC-492F-BB12-FEC388D774B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82" name="Text Box 1">
          <a:extLst>
            <a:ext uri="{FF2B5EF4-FFF2-40B4-BE49-F238E27FC236}">
              <a16:creationId xmlns:a16="http://schemas.microsoft.com/office/drawing/2014/main" id="{DB07769F-B296-4F7D-A8B7-4415FBFD420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83" name="Text Box 1">
          <a:extLst>
            <a:ext uri="{FF2B5EF4-FFF2-40B4-BE49-F238E27FC236}">
              <a16:creationId xmlns:a16="http://schemas.microsoft.com/office/drawing/2014/main" id="{BDFFD3F8-E7F4-4937-973C-8682DEAB965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84" name="Text Box 3">
          <a:extLst>
            <a:ext uri="{FF2B5EF4-FFF2-40B4-BE49-F238E27FC236}">
              <a16:creationId xmlns:a16="http://schemas.microsoft.com/office/drawing/2014/main" id="{2C18D1D7-BCAD-4B42-8930-1750796BA3C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85" name="Text Box 1">
          <a:extLst>
            <a:ext uri="{FF2B5EF4-FFF2-40B4-BE49-F238E27FC236}">
              <a16:creationId xmlns:a16="http://schemas.microsoft.com/office/drawing/2014/main" id="{468D1A32-A86E-43B5-B05A-BCAB7E43200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86" name="Text Box 3">
          <a:extLst>
            <a:ext uri="{FF2B5EF4-FFF2-40B4-BE49-F238E27FC236}">
              <a16:creationId xmlns:a16="http://schemas.microsoft.com/office/drawing/2014/main" id="{C2152A1E-07F5-4386-AB1B-991E6036075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87" name="Text Box 1">
          <a:extLst>
            <a:ext uri="{FF2B5EF4-FFF2-40B4-BE49-F238E27FC236}">
              <a16:creationId xmlns:a16="http://schemas.microsoft.com/office/drawing/2014/main" id="{4634BF4C-4D30-449B-B5D5-A04A9B3E7A7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88" name="Text Box 1">
          <a:extLst>
            <a:ext uri="{FF2B5EF4-FFF2-40B4-BE49-F238E27FC236}">
              <a16:creationId xmlns:a16="http://schemas.microsoft.com/office/drawing/2014/main" id="{A011E8F3-174E-47BF-96A9-3B854B18789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89" name="Text Box 3">
          <a:extLst>
            <a:ext uri="{FF2B5EF4-FFF2-40B4-BE49-F238E27FC236}">
              <a16:creationId xmlns:a16="http://schemas.microsoft.com/office/drawing/2014/main" id="{B188EF2C-8D5E-4006-9E65-1AEA8675FF5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90" name="Text Box 1">
          <a:extLst>
            <a:ext uri="{FF2B5EF4-FFF2-40B4-BE49-F238E27FC236}">
              <a16:creationId xmlns:a16="http://schemas.microsoft.com/office/drawing/2014/main" id="{4677CF56-5A71-4CAB-BF2E-EF8B240CED6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91" name="Text Box 3">
          <a:extLst>
            <a:ext uri="{FF2B5EF4-FFF2-40B4-BE49-F238E27FC236}">
              <a16:creationId xmlns:a16="http://schemas.microsoft.com/office/drawing/2014/main" id="{EC5D7D62-FA3A-4CAD-80BB-ECE86305B0A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92" name="Text Box 1">
          <a:extLst>
            <a:ext uri="{FF2B5EF4-FFF2-40B4-BE49-F238E27FC236}">
              <a16:creationId xmlns:a16="http://schemas.microsoft.com/office/drawing/2014/main" id="{36CE2F8A-6B0F-4E47-B413-788FDF4F5C9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93" name="Text Box 1">
          <a:extLst>
            <a:ext uri="{FF2B5EF4-FFF2-40B4-BE49-F238E27FC236}">
              <a16:creationId xmlns:a16="http://schemas.microsoft.com/office/drawing/2014/main" id="{51F54828-D677-4A35-92BA-6B8E0F72B03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94" name="Text Box 3">
          <a:extLst>
            <a:ext uri="{FF2B5EF4-FFF2-40B4-BE49-F238E27FC236}">
              <a16:creationId xmlns:a16="http://schemas.microsoft.com/office/drawing/2014/main" id="{7EE039A3-35EA-4658-B9A7-CBE6CA08AEA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95" name="Text Box 1">
          <a:extLst>
            <a:ext uri="{FF2B5EF4-FFF2-40B4-BE49-F238E27FC236}">
              <a16:creationId xmlns:a16="http://schemas.microsoft.com/office/drawing/2014/main" id="{BAFA4589-A54E-4C38-A5BE-B99DAF47384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96" name="Text Box 3">
          <a:extLst>
            <a:ext uri="{FF2B5EF4-FFF2-40B4-BE49-F238E27FC236}">
              <a16:creationId xmlns:a16="http://schemas.microsoft.com/office/drawing/2014/main" id="{9E8087FD-724A-45EA-9015-D96EF18A0BA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97" name="Text Box 1">
          <a:extLst>
            <a:ext uri="{FF2B5EF4-FFF2-40B4-BE49-F238E27FC236}">
              <a16:creationId xmlns:a16="http://schemas.microsoft.com/office/drawing/2014/main" id="{1BEF86AE-D3F6-4DD1-8AE1-42A98734536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98" name="Text Box 1">
          <a:extLst>
            <a:ext uri="{FF2B5EF4-FFF2-40B4-BE49-F238E27FC236}">
              <a16:creationId xmlns:a16="http://schemas.microsoft.com/office/drawing/2014/main" id="{854B169D-58C2-4DEC-AC9A-5D1DD46475D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99" name="Text Box 3">
          <a:extLst>
            <a:ext uri="{FF2B5EF4-FFF2-40B4-BE49-F238E27FC236}">
              <a16:creationId xmlns:a16="http://schemas.microsoft.com/office/drawing/2014/main" id="{38478BF8-A499-4941-8424-87AEBD4EEBE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00" name="Text Box 1">
          <a:extLst>
            <a:ext uri="{FF2B5EF4-FFF2-40B4-BE49-F238E27FC236}">
              <a16:creationId xmlns:a16="http://schemas.microsoft.com/office/drawing/2014/main" id="{E64B0CAF-7724-49BC-A533-82A505944B4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01" name="Text Box 3">
          <a:extLst>
            <a:ext uri="{FF2B5EF4-FFF2-40B4-BE49-F238E27FC236}">
              <a16:creationId xmlns:a16="http://schemas.microsoft.com/office/drawing/2014/main" id="{4A0E8C57-1A74-4070-9622-EF86DCD8AF6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02" name="Text Box 1">
          <a:extLst>
            <a:ext uri="{FF2B5EF4-FFF2-40B4-BE49-F238E27FC236}">
              <a16:creationId xmlns:a16="http://schemas.microsoft.com/office/drawing/2014/main" id="{74452E59-3B08-4573-9C2A-DAE204646A2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03" name="Text Box 1">
          <a:extLst>
            <a:ext uri="{FF2B5EF4-FFF2-40B4-BE49-F238E27FC236}">
              <a16:creationId xmlns:a16="http://schemas.microsoft.com/office/drawing/2014/main" id="{5ABDBA5A-F487-43BD-B5E2-EB99424B234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04" name="Text Box 3">
          <a:extLst>
            <a:ext uri="{FF2B5EF4-FFF2-40B4-BE49-F238E27FC236}">
              <a16:creationId xmlns:a16="http://schemas.microsoft.com/office/drawing/2014/main" id="{123A074C-E7FC-4709-B5A3-7E09AAD09FD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05" name="Text Box 1">
          <a:extLst>
            <a:ext uri="{FF2B5EF4-FFF2-40B4-BE49-F238E27FC236}">
              <a16:creationId xmlns:a16="http://schemas.microsoft.com/office/drawing/2014/main" id="{F2682731-7089-4359-A71C-7EBCA3F148F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06" name="Text Box 3">
          <a:extLst>
            <a:ext uri="{FF2B5EF4-FFF2-40B4-BE49-F238E27FC236}">
              <a16:creationId xmlns:a16="http://schemas.microsoft.com/office/drawing/2014/main" id="{BFCADA34-D3EA-4C67-9E00-EAAF1589E3A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07" name="Text Box 1">
          <a:extLst>
            <a:ext uri="{FF2B5EF4-FFF2-40B4-BE49-F238E27FC236}">
              <a16:creationId xmlns:a16="http://schemas.microsoft.com/office/drawing/2014/main" id="{364A74E3-8CB9-4F5A-9817-6A79FB9F993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08" name="Text Box 1">
          <a:extLst>
            <a:ext uri="{FF2B5EF4-FFF2-40B4-BE49-F238E27FC236}">
              <a16:creationId xmlns:a16="http://schemas.microsoft.com/office/drawing/2014/main" id="{CE2921EF-2751-4E88-B65D-F213842CA7C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09" name="Text Box 3">
          <a:extLst>
            <a:ext uri="{FF2B5EF4-FFF2-40B4-BE49-F238E27FC236}">
              <a16:creationId xmlns:a16="http://schemas.microsoft.com/office/drawing/2014/main" id="{2D1DDE55-E581-4915-BA8A-E89E4B1697E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10" name="Text Box 1">
          <a:extLst>
            <a:ext uri="{FF2B5EF4-FFF2-40B4-BE49-F238E27FC236}">
              <a16:creationId xmlns:a16="http://schemas.microsoft.com/office/drawing/2014/main" id="{2E43C7A0-5288-4994-9492-2D09262444F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11" name="Text Box 3">
          <a:extLst>
            <a:ext uri="{FF2B5EF4-FFF2-40B4-BE49-F238E27FC236}">
              <a16:creationId xmlns:a16="http://schemas.microsoft.com/office/drawing/2014/main" id="{CAAC62FF-9927-409F-92D7-EECBCCC3788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12" name="Text Box 1">
          <a:extLst>
            <a:ext uri="{FF2B5EF4-FFF2-40B4-BE49-F238E27FC236}">
              <a16:creationId xmlns:a16="http://schemas.microsoft.com/office/drawing/2014/main" id="{50C2860C-BE9D-4C39-8D56-6F056E4D479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13" name="Text Box 1">
          <a:extLst>
            <a:ext uri="{FF2B5EF4-FFF2-40B4-BE49-F238E27FC236}">
              <a16:creationId xmlns:a16="http://schemas.microsoft.com/office/drawing/2014/main" id="{D3A444CF-CDB4-46DA-A971-BEFB0F643B6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14" name="Text Box 3">
          <a:extLst>
            <a:ext uri="{FF2B5EF4-FFF2-40B4-BE49-F238E27FC236}">
              <a16:creationId xmlns:a16="http://schemas.microsoft.com/office/drawing/2014/main" id="{D163C91A-8D05-453D-BF74-E54CE3ABD39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15" name="Text Box 1">
          <a:extLst>
            <a:ext uri="{FF2B5EF4-FFF2-40B4-BE49-F238E27FC236}">
              <a16:creationId xmlns:a16="http://schemas.microsoft.com/office/drawing/2014/main" id="{24FEE265-ADB4-4CB8-8D21-3F824344C80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16" name="Text Box 3">
          <a:extLst>
            <a:ext uri="{FF2B5EF4-FFF2-40B4-BE49-F238E27FC236}">
              <a16:creationId xmlns:a16="http://schemas.microsoft.com/office/drawing/2014/main" id="{0C939569-BE5D-4636-ACBD-29BA6FC66E0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17" name="Text Box 1">
          <a:extLst>
            <a:ext uri="{FF2B5EF4-FFF2-40B4-BE49-F238E27FC236}">
              <a16:creationId xmlns:a16="http://schemas.microsoft.com/office/drawing/2014/main" id="{FE0CD9E4-ED77-49DD-924C-DC2876AE45F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18" name="Text Box 1">
          <a:extLst>
            <a:ext uri="{FF2B5EF4-FFF2-40B4-BE49-F238E27FC236}">
              <a16:creationId xmlns:a16="http://schemas.microsoft.com/office/drawing/2014/main" id="{3C9041EE-AA54-44CD-819A-4B3266F1D8A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19" name="Text Box 3">
          <a:extLst>
            <a:ext uri="{FF2B5EF4-FFF2-40B4-BE49-F238E27FC236}">
              <a16:creationId xmlns:a16="http://schemas.microsoft.com/office/drawing/2014/main" id="{4426BF43-8435-4E99-A047-572DD00DF8A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20" name="Text Box 1">
          <a:extLst>
            <a:ext uri="{FF2B5EF4-FFF2-40B4-BE49-F238E27FC236}">
              <a16:creationId xmlns:a16="http://schemas.microsoft.com/office/drawing/2014/main" id="{82E5ABBD-54C6-4820-9FC4-B8600D0EF63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21" name="Text Box 3">
          <a:extLst>
            <a:ext uri="{FF2B5EF4-FFF2-40B4-BE49-F238E27FC236}">
              <a16:creationId xmlns:a16="http://schemas.microsoft.com/office/drawing/2014/main" id="{E1787A2E-0C36-4C49-881B-35CD23DE58C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22" name="Text Box 1">
          <a:extLst>
            <a:ext uri="{FF2B5EF4-FFF2-40B4-BE49-F238E27FC236}">
              <a16:creationId xmlns:a16="http://schemas.microsoft.com/office/drawing/2014/main" id="{F59A4661-6F76-46E9-BDB9-BB8332ED51E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23" name="Text Box 1">
          <a:extLst>
            <a:ext uri="{FF2B5EF4-FFF2-40B4-BE49-F238E27FC236}">
              <a16:creationId xmlns:a16="http://schemas.microsoft.com/office/drawing/2014/main" id="{3896594A-F3E5-47E4-AB9C-DC972F77C07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24" name="Text Box 3">
          <a:extLst>
            <a:ext uri="{FF2B5EF4-FFF2-40B4-BE49-F238E27FC236}">
              <a16:creationId xmlns:a16="http://schemas.microsoft.com/office/drawing/2014/main" id="{9D49C2D2-5E2A-4F72-A613-979D573CB2E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25" name="Text Box 1">
          <a:extLst>
            <a:ext uri="{FF2B5EF4-FFF2-40B4-BE49-F238E27FC236}">
              <a16:creationId xmlns:a16="http://schemas.microsoft.com/office/drawing/2014/main" id="{645177CD-A788-4143-A0AF-B1BFF5DAF41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26" name="Text Box 3">
          <a:extLst>
            <a:ext uri="{FF2B5EF4-FFF2-40B4-BE49-F238E27FC236}">
              <a16:creationId xmlns:a16="http://schemas.microsoft.com/office/drawing/2014/main" id="{C59E1282-D0D6-447A-9DD8-30002C34D51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27" name="Text Box 1">
          <a:extLst>
            <a:ext uri="{FF2B5EF4-FFF2-40B4-BE49-F238E27FC236}">
              <a16:creationId xmlns:a16="http://schemas.microsoft.com/office/drawing/2014/main" id="{F552475C-68CC-41CF-9A24-3FCAF584C0B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28" name="Text Box 1">
          <a:extLst>
            <a:ext uri="{FF2B5EF4-FFF2-40B4-BE49-F238E27FC236}">
              <a16:creationId xmlns:a16="http://schemas.microsoft.com/office/drawing/2014/main" id="{6BAB2076-B39C-4245-B2E5-6BEA72FF3AC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29" name="Text Box 3">
          <a:extLst>
            <a:ext uri="{FF2B5EF4-FFF2-40B4-BE49-F238E27FC236}">
              <a16:creationId xmlns:a16="http://schemas.microsoft.com/office/drawing/2014/main" id="{07AA1162-C3E8-4EF3-91CC-29C65841F90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30" name="Text Box 1">
          <a:extLst>
            <a:ext uri="{FF2B5EF4-FFF2-40B4-BE49-F238E27FC236}">
              <a16:creationId xmlns:a16="http://schemas.microsoft.com/office/drawing/2014/main" id="{5D5B8CB7-9654-4D67-BD96-EA0EB688AFC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31" name="Text Box 3">
          <a:extLst>
            <a:ext uri="{FF2B5EF4-FFF2-40B4-BE49-F238E27FC236}">
              <a16:creationId xmlns:a16="http://schemas.microsoft.com/office/drawing/2014/main" id="{7C5A7F9E-821D-4538-92F3-2D012829086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32" name="Text Box 1">
          <a:extLst>
            <a:ext uri="{FF2B5EF4-FFF2-40B4-BE49-F238E27FC236}">
              <a16:creationId xmlns:a16="http://schemas.microsoft.com/office/drawing/2014/main" id="{C5C9EF8C-66DA-41FE-9102-82A75E519E0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33" name="Text Box 1">
          <a:extLst>
            <a:ext uri="{FF2B5EF4-FFF2-40B4-BE49-F238E27FC236}">
              <a16:creationId xmlns:a16="http://schemas.microsoft.com/office/drawing/2014/main" id="{800C0A0E-3F65-4520-B3D6-2A1E52BDF50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34" name="Text Box 3">
          <a:extLst>
            <a:ext uri="{FF2B5EF4-FFF2-40B4-BE49-F238E27FC236}">
              <a16:creationId xmlns:a16="http://schemas.microsoft.com/office/drawing/2014/main" id="{BEFE5CEB-57E2-42D1-80A8-7C502A51A25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35" name="Text Box 1">
          <a:extLst>
            <a:ext uri="{FF2B5EF4-FFF2-40B4-BE49-F238E27FC236}">
              <a16:creationId xmlns:a16="http://schemas.microsoft.com/office/drawing/2014/main" id="{7C227C46-2570-4793-BBA1-DDD60BB83D7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36" name="Text Box 3">
          <a:extLst>
            <a:ext uri="{FF2B5EF4-FFF2-40B4-BE49-F238E27FC236}">
              <a16:creationId xmlns:a16="http://schemas.microsoft.com/office/drawing/2014/main" id="{8FBADC73-3FB9-4397-BD8E-3E68D75E357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37" name="Text Box 1">
          <a:extLst>
            <a:ext uri="{FF2B5EF4-FFF2-40B4-BE49-F238E27FC236}">
              <a16:creationId xmlns:a16="http://schemas.microsoft.com/office/drawing/2014/main" id="{2D184396-7ADC-4E62-BB58-64A5A085F11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38" name="Text Box 1">
          <a:extLst>
            <a:ext uri="{FF2B5EF4-FFF2-40B4-BE49-F238E27FC236}">
              <a16:creationId xmlns:a16="http://schemas.microsoft.com/office/drawing/2014/main" id="{C548061C-7CC9-4FFA-AAEB-CDA86351192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39" name="Text Box 3">
          <a:extLst>
            <a:ext uri="{FF2B5EF4-FFF2-40B4-BE49-F238E27FC236}">
              <a16:creationId xmlns:a16="http://schemas.microsoft.com/office/drawing/2014/main" id="{F478344F-1350-4BC3-AA3B-DFA7AC0CF80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40" name="Text Box 1">
          <a:extLst>
            <a:ext uri="{FF2B5EF4-FFF2-40B4-BE49-F238E27FC236}">
              <a16:creationId xmlns:a16="http://schemas.microsoft.com/office/drawing/2014/main" id="{03CACB12-372E-46C5-B2DC-C2142D90993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41" name="Text Box 3">
          <a:extLst>
            <a:ext uri="{FF2B5EF4-FFF2-40B4-BE49-F238E27FC236}">
              <a16:creationId xmlns:a16="http://schemas.microsoft.com/office/drawing/2014/main" id="{1AFBEEDF-1754-473A-A151-726A31876B7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42" name="Text Box 1">
          <a:extLst>
            <a:ext uri="{FF2B5EF4-FFF2-40B4-BE49-F238E27FC236}">
              <a16:creationId xmlns:a16="http://schemas.microsoft.com/office/drawing/2014/main" id="{87B52D76-17FF-4C21-9D1B-4FF0700CF0A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43" name="Text Box 1">
          <a:extLst>
            <a:ext uri="{FF2B5EF4-FFF2-40B4-BE49-F238E27FC236}">
              <a16:creationId xmlns:a16="http://schemas.microsoft.com/office/drawing/2014/main" id="{1C7E0C5A-453A-4A2A-A5A4-8057562CB4B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44" name="Text Box 3">
          <a:extLst>
            <a:ext uri="{FF2B5EF4-FFF2-40B4-BE49-F238E27FC236}">
              <a16:creationId xmlns:a16="http://schemas.microsoft.com/office/drawing/2014/main" id="{BACF192B-7380-452D-8D1D-713DC577FE7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45" name="Text Box 1">
          <a:extLst>
            <a:ext uri="{FF2B5EF4-FFF2-40B4-BE49-F238E27FC236}">
              <a16:creationId xmlns:a16="http://schemas.microsoft.com/office/drawing/2014/main" id="{1A1FF371-5839-4D28-8453-3801D0C5157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46" name="Text Box 3">
          <a:extLst>
            <a:ext uri="{FF2B5EF4-FFF2-40B4-BE49-F238E27FC236}">
              <a16:creationId xmlns:a16="http://schemas.microsoft.com/office/drawing/2014/main" id="{0E381E23-FCA3-4A1F-854D-4F846A32CA7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47" name="Text Box 1">
          <a:extLst>
            <a:ext uri="{FF2B5EF4-FFF2-40B4-BE49-F238E27FC236}">
              <a16:creationId xmlns:a16="http://schemas.microsoft.com/office/drawing/2014/main" id="{7277C11B-08B2-49F2-9E7A-746B27BCDB6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48" name="Text Box 1">
          <a:extLst>
            <a:ext uri="{FF2B5EF4-FFF2-40B4-BE49-F238E27FC236}">
              <a16:creationId xmlns:a16="http://schemas.microsoft.com/office/drawing/2014/main" id="{F84719FC-0454-4E41-AB31-0DC243D3A9F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49" name="Text Box 3">
          <a:extLst>
            <a:ext uri="{FF2B5EF4-FFF2-40B4-BE49-F238E27FC236}">
              <a16:creationId xmlns:a16="http://schemas.microsoft.com/office/drawing/2014/main" id="{A3713163-9B23-4843-8E5E-59D10CCAFFC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50" name="Text Box 1">
          <a:extLst>
            <a:ext uri="{FF2B5EF4-FFF2-40B4-BE49-F238E27FC236}">
              <a16:creationId xmlns:a16="http://schemas.microsoft.com/office/drawing/2014/main" id="{8B6BAA49-ED50-4505-B26B-216E95C3CEE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51" name="Text Box 3">
          <a:extLst>
            <a:ext uri="{FF2B5EF4-FFF2-40B4-BE49-F238E27FC236}">
              <a16:creationId xmlns:a16="http://schemas.microsoft.com/office/drawing/2014/main" id="{57D16CA6-2471-4A82-AFEF-AF09DB0D93F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52" name="Text Box 1">
          <a:extLst>
            <a:ext uri="{FF2B5EF4-FFF2-40B4-BE49-F238E27FC236}">
              <a16:creationId xmlns:a16="http://schemas.microsoft.com/office/drawing/2014/main" id="{55376028-563A-4149-8003-0ADD5359406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53" name="Text Box 1">
          <a:extLst>
            <a:ext uri="{FF2B5EF4-FFF2-40B4-BE49-F238E27FC236}">
              <a16:creationId xmlns:a16="http://schemas.microsoft.com/office/drawing/2014/main" id="{766152FD-98A9-4E40-9388-21A2C532138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54" name="Text Box 3">
          <a:extLst>
            <a:ext uri="{FF2B5EF4-FFF2-40B4-BE49-F238E27FC236}">
              <a16:creationId xmlns:a16="http://schemas.microsoft.com/office/drawing/2014/main" id="{A71B0509-CBE0-49CD-86ED-20F26F42AB4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55" name="Text Box 1">
          <a:extLst>
            <a:ext uri="{FF2B5EF4-FFF2-40B4-BE49-F238E27FC236}">
              <a16:creationId xmlns:a16="http://schemas.microsoft.com/office/drawing/2014/main" id="{797C28BE-235D-4847-9E79-D7084DE2005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56" name="Text Box 3">
          <a:extLst>
            <a:ext uri="{FF2B5EF4-FFF2-40B4-BE49-F238E27FC236}">
              <a16:creationId xmlns:a16="http://schemas.microsoft.com/office/drawing/2014/main" id="{F1EE73FE-CF40-42F2-BCE6-4C6A478050D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57" name="Text Box 1">
          <a:extLst>
            <a:ext uri="{FF2B5EF4-FFF2-40B4-BE49-F238E27FC236}">
              <a16:creationId xmlns:a16="http://schemas.microsoft.com/office/drawing/2014/main" id="{B9077D68-25C4-4518-A8B1-617EBB30B4B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58" name="Text Box 1">
          <a:extLst>
            <a:ext uri="{FF2B5EF4-FFF2-40B4-BE49-F238E27FC236}">
              <a16:creationId xmlns:a16="http://schemas.microsoft.com/office/drawing/2014/main" id="{374947C3-5934-44DB-A49C-C960651712A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59" name="Text Box 3">
          <a:extLst>
            <a:ext uri="{FF2B5EF4-FFF2-40B4-BE49-F238E27FC236}">
              <a16:creationId xmlns:a16="http://schemas.microsoft.com/office/drawing/2014/main" id="{3A46ED25-951A-4966-B589-A8D3ECA9E2E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60" name="Text Box 1">
          <a:extLst>
            <a:ext uri="{FF2B5EF4-FFF2-40B4-BE49-F238E27FC236}">
              <a16:creationId xmlns:a16="http://schemas.microsoft.com/office/drawing/2014/main" id="{8A862546-CD10-4916-9BDC-FF9DA6EBEE0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61" name="Text Box 3">
          <a:extLst>
            <a:ext uri="{FF2B5EF4-FFF2-40B4-BE49-F238E27FC236}">
              <a16:creationId xmlns:a16="http://schemas.microsoft.com/office/drawing/2014/main" id="{7F76F220-3AF8-4A7A-A1F1-8A27588A6FD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62" name="Text Box 1">
          <a:extLst>
            <a:ext uri="{FF2B5EF4-FFF2-40B4-BE49-F238E27FC236}">
              <a16:creationId xmlns:a16="http://schemas.microsoft.com/office/drawing/2014/main" id="{85610CDF-D306-49D1-B7C0-8CA0B014A2B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63" name="Text Box 1">
          <a:extLst>
            <a:ext uri="{FF2B5EF4-FFF2-40B4-BE49-F238E27FC236}">
              <a16:creationId xmlns:a16="http://schemas.microsoft.com/office/drawing/2014/main" id="{BD3F536F-03EC-4164-AF8D-3E12A9D2DA7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64" name="Text Box 3">
          <a:extLst>
            <a:ext uri="{FF2B5EF4-FFF2-40B4-BE49-F238E27FC236}">
              <a16:creationId xmlns:a16="http://schemas.microsoft.com/office/drawing/2014/main" id="{75D3B81F-7372-4EBC-A1FC-B136AA277E3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65" name="Text Box 1">
          <a:extLst>
            <a:ext uri="{FF2B5EF4-FFF2-40B4-BE49-F238E27FC236}">
              <a16:creationId xmlns:a16="http://schemas.microsoft.com/office/drawing/2014/main" id="{61F18BA8-734B-4F9C-9069-FB6327A22F8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66" name="Text Box 3">
          <a:extLst>
            <a:ext uri="{FF2B5EF4-FFF2-40B4-BE49-F238E27FC236}">
              <a16:creationId xmlns:a16="http://schemas.microsoft.com/office/drawing/2014/main" id="{149DEDE0-6382-417D-B7CD-7DEBF4ADB53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67" name="Text Box 1">
          <a:extLst>
            <a:ext uri="{FF2B5EF4-FFF2-40B4-BE49-F238E27FC236}">
              <a16:creationId xmlns:a16="http://schemas.microsoft.com/office/drawing/2014/main" id="{F3A38088-E76E-45DB-8319-ACE1AC2DFC2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68" name="Text Box 1">
          <a:extLst>
            <a:ext uri="{FF2B5EF4-FFF2-40B4-BE49-F238E27FC236}">
              <a16:creationId xmlns:a16="http://schemas.microsoft.com/office/drawing/2014/main" id="{5FA7BA6B-F413-433F-AA14-D29E4C0DBA7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69" name="Text Box 3">
          <a:extLst>
            <a:ext uri="{FF2B5EF4-FFF2-40B4-BE49-F238E27FC236}">
              <a16:creationId xmlns:a16="http://schemas.microsoft.com/office/drawing/2014/main" id="{CB37B92E-78E2-47C2-B2DD-5BF47DE482F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70" name="Text Box 1">
          <a:extLst>
            <a:ext uri="{FF2B5EF4-FFF2-40B4-BE49-F238E27FC236}">
              <a16:creationId xmlns:a16="http://schemas.microsoft.com/office/drawing/2014/main" id="{BAD09CD4-7448-41D8-BF9F-3F0928F673E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71" name="Text Box 3">
          <a:extLst>
            <a:ext uri="{FF2B5EF4-FFF2-40B4-BE49-F238E27FC236}">
              <a16:creationId xmlns:a16="http://schemas.microsoft.com/office/drawing/2014/main" id="{AF9FE2E8-6891-405D-AF8A-2FCB65ED27B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72" name="Text Box 1">
          <a:extLst>
            <a:ext uri="{FF2B5EF4-FFF2-40B4-BE49-F238E27FC236}">
              <a16:creationId xmlns:a16="http://schemas.microsoft.com/office/drawing/2014/main" id="{697915D4-8567-4CA2-8DD1-C8F66D0C4A9C}"/>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73" name="Text Box 3">
          <a:extLst>
            <a:ext uri="{FF2B5EF4-FFF2-40B4-BE49-F238E27FC236}">
              <a16:creationId xmlns:a16="http://schemas.microsoft.com/office/drawing/2014/main" id="{5011C003-FD3E-42A5-9CFA-F88DB2F5B6D6}"/>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74" name="Text Box 1">
          <a:extLst>
            <a:ext uri="{FF2B5EF4-FFF2-40B4-BE49-F238E27FC236}">
              <a16:creationId xmlns:a16="http://schemas.microsoft.com/office/drawing/2014/main" id="{0B68B65E-92F1-4C1A-B45E-E1647B27BA2F}"/>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75" name="Text Box 3">
          <a:extLst>
            <a:ext uri="{FF2B5EF4-FFF2-40B4-BE49-F238E27FC236}">
              <a16:creationId xmlns:a16="http://schemas.microsoft.com/office/drawing/2014/main" id="{03F830FD-E0BE-4EE2-B070-2B1363D9AB86}"/>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76" name="Text Box 1">
          <a:extLst>
            <a:ext uri="{FF2B5EF4-FFF2-40B4-BE49-F238E27FC236}">
              <a16:creationId xmlns:a16="http://schemas.microsoft.com/office/drawing/2014/main" id="{7B13318D-5767-4259-82C3-6FD2C700878C}"/>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77" name="Text Box 1">
          <a:extLst>
            <a:ext uri="{FF2B5EF4-FFF2-40B4-BE49-F238E27FC236}">
              <a16:creationId xmlns:a16="http://schemas.microsoft.com/office/drawing/2014/main" id="{6815189C-27B8-4696-BD74-19089D97E5CB}"/>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78" name="Text Box 3">
          <a:extLst>
            <a:ext uri="{FF2B5EF4-FFF2-40B4-BE49-F238E27FC236}">
              <a16:creationId xmlns:a16="http://schemas.microsoft.com/office/drawing/2014/main" id="{18CAEF51-407E-4257-88BB-A89B8323683D}"/>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79" name="Text Box 1">
          <a:extLst>
            <a:ext uri="{FF2B5EF4-FFF2-40B4-BE49-F238E27FC236}">
              <a16:creationId xmlns:a16="http://schemas.microsoft.com/office/drawing/2014/main" id="{75983027-5EBB-4285-BF29-BE29CF7E7E3F}"/>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80" name="Text Box 3">
          <a:extLst>
            <a:ext uri="{FF2B5EF4-FFF2-40B4-BE49-F238E27FC236}">
              <a16:creationId xmlns:a16="http://schemas.microsoft.com/office/drawing/2014/main" id="{54A27381-C81C-46B6-B3DE-7C06ACB10EFB}"/>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81" name="Text Box 1">
          <a:extLst>
            <a:ext uri="{FF2B5EF4-FFF2-40B4-BE49-F238E27FC236}">
              <a16:creationId xmlns:a16="http://schemas.microsoft.com/office/drawing/2014/main" id="{F1611F01-5136-45B7-B359-4162D88420E9}"/>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82" name="Text Box 1">
          <a:extLst>
            <a:ext uri="{FF2B5EF4-FFF2-40B4-BE49-F238E27FC236}">
              <a16:creationId xmlns:a16="http://schemas.microsoft.com/office/drawing/2014/main" id="{CFBE4735-A942-4AF5-9128-438D070597D1}"/>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83" name="Text Box 3">
          <a:extLst>
            <a:ext uri="{FF2B5EF4-FFF2-40B4-BE49-F238E27FC236}">
              <a16:creationId xmlns:a16="http://schemas.microsoft.com/office/drawing/2014/main" id="{FA55CC93-DE5C-473D-8AE3-A011EFDBFF2F}"/>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84" name="Text Box 1">
          <a:extLst>
            <a:ext uri="{FF2B5EF4-FFF2-40B4-BE49-F238E27FC236}">
              <a16:creationId xmlns:a16="http://schemas.microsoft.com/office/drawing/2014/main" id="{63FF5FF8-763E-46F1-A6CF-45E3FEAD9994}"/>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85" name="Text Box 1">
          <a:extLst>
            <a:ext uri="{FF2B5EF4-FFF2-40B4-BE49-F238E27FC236}">
              <a16:creationId xmlns:a16="http://schemas.microsoft.com/office/drawing/2014/main" id="{CC26B3A7-AEA9-4927-B127-B342AB0737A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86" name="Text Box 3">
          <a:extLst>
            <a:ext uri="{FF2B5EF4-FFF2-40B4-BE49-F238E27FC236}">
              <a16:creationId xmlns:a16="http://schemas.microsoft.com/office/drawing/2014/main" id="{16A90F56-B843-4A87-A27E-6215EBAD60EA}"/>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87" name="Text Box 1">
          <a:extLst>
            <a:ext uri="{FF2B5EF4-FFF2-40B4-BE49-F238E27FC236}">
              <a16:creationId xmlns:a16="http://schemas.microsoft.com/office/drawing/2014/main" id="{6C158ADC-3C4E-4AA3-9403-215E98B0BB54}"/>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88" name="Text Box 3">
          <a:extLst>
            <a:ext uri="{FF2B5EF4-FFF2-40B4-BE49-F238E27FC236}">
              <a16:creationId xmlns:a16="http://schemas.microsoft.com/office/drawing/2014/main" id="{A52C99E8-E94D-494B-9D42-9F3AC85106F6}"/>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89" name="Text Box 1">
          <a:extLst>
            <a:ext uri="{FF2B5EF4-FFF2-40B4-BE49-F238E27FC236}">
              <a16:creationId xmlns:a16="http://schemas.microsoft.com/office/drawing/2014/main" id="{0875152E-1478-437A-904A-9D9B7850DC1E}"/>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90" name="Text Box 1">
          <a:extLst>
            <a:ext uri="{FF2B5EF4-FFF2-40B4-BE49-F238E27FC236}">
              <a16:creationId xmlns:a16="http://schemas.microsoft.com/office/drawing/2014/main" id="{8E12F9EE-2655-4A14-9182-EAE3D663EA6C}"/>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91" name="Text Box 3">
          <a:extLst>
            <a:ext uri="{FF2B5EF4-FFF2-40B4-BE49-F238E27FC236}">
              <a16:creationId xmlns:a16="http://schemas.microsoft.com/office/drawing/2014/main" id="{6E91EF79-F75B-4F1A-9309-979988EC218F}"/>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92" name="Text Box 1">
          <a:extLst>
            <a:ext uri="{FF2B5EF4-FFF2-40B4-BE49-F238E27FC236}">
              <a16:creationId xmlns:a16="http://schemas.microsoft.com/office/drawing/2014/main" id="{B1B6469F-EFDA-46C5-8226-C326976813F6}"/>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93" name="Text Box 3">
          <a:extLst>
            <a:ext uri="{FF2B5EF4-FFF2-40B4-BE49-F238E27FC236}">
              <a16:creationId xmlns:a16="http://schemas.microsoft.com/office/drawing/2014/main" id="{982EFD8E-49BD-440A-B013-0B8A2AF37EDE}"/>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94" name="Text Box 1">
          <a:extLst>
            <a:ext uri="{FF2B5EF4-FFF2-40B4-BE49-F238E27FC236}">
              <a16:creationId xmlns:a16="http://schemas.microsoft.com/office/drawing/2014/main" id="{8FFEA6DF-E3A0-4D63-8172-00CC4B159FEE}"/>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95" name="Text Box 1">
          <a:extLst>
            <a:ext uri="{FF2B5EF4-FFF2-40B4-BE49-F238E27FC236}">
              <a16:creationId xmlns:a16="http://schemas.microsoft.com/office/drawing/2014/main" id="{D6BC98A7-5890-494B-936D-597BC3D7066B}"/>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96" name="Text Box 3">
          <a:extLst>
            <a:ext uri="{FF2B5EF4-FFF2-40B4-BE49-F238E27FC236}">
              <a16:creationId xmlns:a16="http://schemas.microsoft.com/office/drawing/2014/main" id="{C8D47332-EDBA-424C-8066-7AE39726D8E8}"/>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97" name="Text Box 3">
          <a:extLst>
            <a:ext uri="{FF2B5EF4-FFF2-40B4-BE49-F238E27FC236}">
              <a16:creationId xmlns:a16="http://schemas.microsoft.com/office/drawing/2014/main" id="{0043CC64-6FDA-44E2-9D1F-062237DE3CF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98" name="Text Box 1">
          <a:extLst>
            <a:ext uri="{FF2B5EF4-FFF2-40B4-BE49-F238E27FC236}">
              <a16:creationId xmlns:a16="http://schemas.microsoft.com/office/drawing/2014/main" id="{CEA8E4EE-EA25-44A2-BFCC-48740139B80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99" name="Text Box 3">
          <a:extLst>
            <a:ext uri="{FF2B5EF4-FFF2-40B4-BE49-F238E27FC236}">
              <a16:creationId xmlns:a16="http://schemas.microsoft.com/office/drawing/2014/main" id="{9C3332F5-7C0B-4241-991F-4786B4810BB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00" name="Text Box 1">
          <a:extLst>
            <a:ext uri="{FF2B5EF4-FFF2-40B4-BE49-F238E27FC236}">
              <a16:creationId xmlns:a16="http://schemas.microsoft.com/office/drawing/2014/main" id="{CAD624BF-94B5-4ABB-89DA-645246CBC8D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01" name="Text Box 1">
          <a:extLst>
            <a:ext uri="{FF2B5EF4-FFF2-40B4-BE49-F238E27FC236}">
              <a16:creationId xmlns:a16="http://schemas.microsoft.com/office/drawing/2014/main" id="{805FA12B-902D-4499-BD7E-A038BE62F8D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02" name="Text Box 3">
          <a:extLst>
            <a:ext uri="{FF2B5EF4-FFF2-40B4-BE49-F238E27FC236}">
              <a16:creationId xmlns:a16="http://schemas.microsoft.com/office/drawing/2014/main" id="{FC95550C-A04F-4318-8642-562EA2B6722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03" name="Text Box 1">
          <a:extLst>
            <a:ext uri="{FF2B5EF4-FFF2-40B4-BE49-F238E27FC236}">
              <a16:creationId xmlns:a16="http://schemas.microsoft.com/office/drawing/2014/main" id="{DFC993EB-A94A-411A-92ED-CDBDA7FCBEE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04" name="Text Box 3">
          <a:extLst>
            <a:ext uri="{FF2B5EF4-FFF2-40B4-BE49-F238E27FC236}">
              <a16:creationId xmlns:a16="http://schemas.microsoft.com/office/drawing/2014/main" id="{24BAEFCC-993F-4186-8F4C-BA0A2D98222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05" name="Text Box 1">
          <a:extLst>
            <a:ext uri="{FF2B5EF4-FFF2-40B4-BE49-F238E27FC236}">
              <a16:creationId xmlns:a16="http://schemas.microsoft.com/office/drawing/2014/main" id="{0D9E7E70-C5E5-411D-9DDF-EC1B038AFD2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06" name="Text Box 1">
          <a:extLst>
            <a:ext uri="{FF2B5EF4-FFF2-40B4-BE49-F238E27FC236}">
              <a16:creationId xmlns:a16="http://schemas.microsoft.com/office/drawing/2014/main" id="{F63807C2-373F-4993-9A8B-83A6BC88838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07" name="Text Box 3">
          <a:extLst>
            <a:ext uri="{FF2B5EF4-FFF2-40B4-BE49-F238E27FC236}">
              <a16:creationId xmlns:a16="http://schemas.microsoft.com/office/drawing/2014/main" id="{A1427FF8-9F4F-4AF9-95CF-BC3A0336C13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08" name="Text Box 1">
          <a:extLst>
            <a:ext uri="{FF2B5EF4-FFF2-40B4-BE49-F238E27FC236}">
              <a16:creationId xmlns:a16="http://schemas.microsoft.com/office/drawing/2014/main" id="{0BA9AE74-0D72-45ED-83EA-47AE8F0CA04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09" name="Text Box 1">
          <a:extLst>
            <a:ext uri="{FF2B5EF4-FFF2-40B4-BE49-F238E27FC236}">
              <a16:creationId xmlns:a16="http://schemas.microsoft.com/office/drawing/2014/main" id="{BB4A2E18-D964-4049-9511-B48BF75D5DD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10" name="Text Box 3">
          <a:extLst>
            <a:ext uri="{FF2B5EF4-FFF2-40B4-BE49-F238E27FC236}">
              <a16:creationId xmlns:a16="http://schemas.microsoft.com/office/drawing/2014/main" id="{A8E16866-4D6E-46C6-BA5C-6AD0BE61BF4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11" name="Text Box 1">
          <a:extLst>
            <a:ext uri="{FF2B5EF4-FFF2-40B4-BE49-F238E27FC236}">
              <a16:creationId xmlns:a16="http://schemas.microsoft.com/office/drawing/2014/main" id="{BD42A23E-0B7D-42F2-A004-777E9A60DD6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12" name="Text Box 3">
          <a:extLst>
            <a:ext uri="{FF2B5EF4-FFF2-40B4-BE49-F238E27FC236}">
              <a16:creationId xmlns:a16="http://schemas.microsoft.com/office/drawing/2014/main" id="{005E7E65-57AA-4AD3-8629-77BD6656A43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13" name="Text Box 1">
          <a:extLst>
            <a:ext uri="{FF2B5EF4-FFF2-40B4-BE49-F238E27FC236}">
              <a16:creationId xmlns:a16="http://schemas.microsoft.com/office/drawing/2014/main" id="{B09A08D5-3D05-4FA3-A139-6CCFAC46841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14" name="Text Box 3">
          <a:extLst>
            <a:ext uri="{FF2B5EF4-FFF2-40B4-BE49-F238E27FC236}">
              <a16:creationId xmlns:a16="http://schemas.microsoft.com/office/drawing/2014/main" id="{F0C44700-1D23-425C-96B5-D1BDC8A2EB3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15" name="Text Box 1">
          <a:extLst>
            <a:ext uri="{FF2B5EF4-FFF2-40B4-BE49-F238E27FC236}">
              <a16:creationId xmlns:a16="http://schemas.microsoft.com/office/drawing/2014/main" id="{F783CF11-C5BC-4E7F-9572-4EFF8E9705E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16" name="Text Box 3">
          <a:extLst>
            <a:ext uri="{FF2B5EF4-FFF2-40B4-BE49-F238E27FC236}">
              <a16:creationId xmlns:a16="http://schemas.microsoft.com/office/drawing/2014/main" id="{1E4E7A43-7286-41BE-897E-3D8F6CEC419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17" name="Text Box 1">
          <a:extLst>
            <a:ext uri="{FF2B5EF4-FFF2-40B4-BE49-F238E27FC236}">
              <a16:creationId xmlns:a16="http://schemas.microsoft.com/office/drawing/2014/main" id="{31D61E0C-3089-4EAB-83C0-97660178932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18" name="Text Box 1">
          <a:extLst>
            <a:ext uri="{FF2B5EF4-FFF2-40B4-BE49-F238E27FC236}">
              <a16:creationId xmlns:a16="http://schemas.microsoft.com/office/drawing/2014/main" id="{1D5680CB-CA3F-43A1-AED6-B64ED388AA5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19" name="Text Box 3">
          <a:extLst>
            <a:ext uri="{FF2B5EF4-FFF2-40B4-BE49-F238E27FC236}">
              <a16:creationId xmlns:a16="http://schemas.microsoft.com/office/drawing/2014/main" id="{00DF1F27-53D6-473C-9A84-8F34B4535BD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20" name="Text Box 1">
          <a:extLst>
            <a:ext uri="{FF2B5EF4-FFF2-40B4-BE49-F238E27FC236}">
              <a16:creationId xmlns:a16="http://schemas.microsoft.com/office/drawing/2014/main" id="{8EE2356A-2941-4E8F-8A54-4FAD2C06A37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221" name="Text Box 1">
          <a:extLst>
            <a:ext uri="{FF2B5EF4-FFF2-40B4-BE49-F238E27FC236}">
              <a16:creationId xmlns:a16="http://schemas.microsoft.com/office/drawing/2014/main" id="{C0572542-6013-4975-8E7F-C5E8ED500F4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22" name="Text Box 1">
          <a:extLst>
            <a:ext uri="{FF2B5EF4-FFF2-40B4-BE49-F238E27FC236}">
              <a16:creationId xmlns:a16="http://schemas.microsoft.com/office/drawing/2014/main" id="{F5163D02-2EB9-4C5C-806B-7130270B838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23" name="Text Box 3">
          <a:extLst>
            <a:ext uri="{FF2B5EF4-FFF2-40B4-BE49-F238E27FC236}">
              <a16:creationId xmlns:a16="http://schemas.microsoft.com/office/drawing/2014/main" id="{DA5764D4-15A7-426D-8928-3C247EDCA07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24" name="Text Box 1">
          <a:extLst>
            <a:ext uri="{FF2B5EF4-FFF2-40B4-BE49-F238E27FC236}">
              <a16:creationId xmlns:a16="http://schemas.microsoft.com/office/drawing/2014/main" id="{D4A22A1C-4BA6-482C-BCC4-3D077DE851D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25" name="Text Box 3">
          <a:extLst>
            <a:ext uri="{FF2B5EF4-FFF2-40B4-BE49-F238E27FC236}">
              <a16:creationId xmlns:a16="http://schemas.microsoft.com/office/drawing/2014/main" id="{2D647D06-9FC0-4861-A3E2-32D335CF116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26" name="Text Box 1">
          <a:extLst>
            <a:ext uri="{FF2B5EF4-FFF2-40B4-BE49-F238E27FC236}">
              <a16:creationId xmlns:a16="http://schemas.microsoft.com/office/drawing/2014/main" id="{3E3A50DE-7F4F-46CE-90E9-09127322AD5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27" name="Text Box 1">
          <a:extLst>
            <a:ext uri="{FF2B5EF4-FFF2-40B4-BE49-F238E27FC236}">
              <a16:creationId xmlns:a16="http://schemas.microsoft.com/office/drawing/2014/main" id="{868C7C56-36A3-4A90-9D17-5ABECC31B35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28" name="Text Box 3">
          <a:extLst>
            <a:ext uri="{FF2B5EF4-FFF2-40B4-BE49-F238E27FC236}">
              <a16:creationId xmlns:a16="http://schemas.microsoft.com/office/drawing/2014/main" id="{1F6A6E0E-A3E4-430F-B516-1B5C37D3D99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29" name="Text Box 1">
          <a:extLst>
            <a:ext uri="{FF2B5EF4-FFF2-40B4-BE49-F238E27FC236}">
              <a16:creationId xmlns:a16="http://schemas.microsoft.com/office/drawing/2014/main" id="{29AEF953-CA89-416D-9B06-E91DCBF614C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30" name="Text Box 3">
          <a:extLst>
            <a:ext uri="{FF2B5EF4-FFF2-40B4-BE49-F238E27FC236}">
              <a16:creationId xmlns:a16="http://schemas.microsoft.com/office/drawing/2014/main" id="{E9DF8E22-F73E-4260-BBE1-FCD63A3BCE1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31" name="Text Box 1">
          <a:extLst>
            <a:ext uri="{FF2B5EF4-FFF2-40B4-BE49-F238E27FC236}">
              <a16:creationId xmlns:a16="http://schemas.microsoft.com/office/drawing/2014/main" id="{7D3137D7-7D33-44C6-BC3F-7F9424A4605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32" name="Text Box 1">
          <a:extLst>
            <a:ext uri="{FF2B5EF4-FFF2-40B4-BE49-F238E27FC236}">
              <a16:creationId xmlns:a16="http://schemas.microsoft.com/office/drawing/2014/main" id="{A56BA165-5E6E-415A-9A34-630EDC96FE1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33" name="Text Box 3">
          <a:extLst>
            <a:ext uri="{FF2B5EF4-FFF2-40B4-BE49-F238E27FC236}">
              <a16:creationId xmlns:a16="http://schemas.microsoft.com/office/drawing/2014/main" id="{992A1B85-10CB-4FEC-B9AA-2C6E7F70576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34" name="Text Box 1">
          <a:extLst>
            <a:ext uri="{FF2B5EF4-FFF2-40B4-BE49-F238E27FC236}">
              <a16:creationId xmlns:a16="http://schemas.microsoft.com/office/drawing/2014/main" id="{F343ED6C-D613-4274-89C2-1CE68C68136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35" name="Text Box 3">
          <a:extLst>
            <a:ext uri="{FF2B5EF4-FFF2-40B4-BE49-F238E27FC236}">
              <a16:creationId xmlns:a16="http://schemas.microsoft.com/office/drawing/2014/main" id="{43A6FE20-5801-4139-A3B5-31432AFB64A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36" name="Text Box 1">
          <a:extLst>
            <a:ext uri="{FF2B5EF4-FFF2-40B4-BE49-F238E27FC236}">
              <a16:creationId xmlns:a16="http://schemas.microsoft.com/office/drawing/2014/main" id="{6437A917-4E74-46E2-B35F-1F6DC7F5039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37" name="Text Box 1">
          <a:extLst>
            <a:ext uri="{FF2B5EF4-FFF2-40B4-BE49-F238E27FC236}">
              <a16:creationId xmlns:a16="http://schemas.microsoft.com/office/drawing/2014/main" id="{B58092D4-D326-4462-827C-6F63C775E03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38" name="Text Box 3">
          <a:extLst>
            <a:ext uri="{FF2B5EF4-FFF2-40B4-BE49-F238E27FC236}">
              <a16:creationId xmlns:a16="http://schemas.microsoft.com/office/drawing/2014/main" id="{4844817B-13EA-4C47-832D-129EF753BC1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39" name="Text Box 1">
          <a:extLst>
            <a:ext uri="{FF2B5EF4-FFF2-40B4-BE49-F238E27FC236}">
              <a16:creationId xmlns:a16="http://schemas.microsoft.com/office/drawing/2014/main" id="{40FDDE0E-F416-4349-A312-046D25E70F2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40" name="Text Box 3">
          <a:extLst>
            <a:ext uri="{FF2B5EF4-FFF2-40B4-BE49-F238E27FC236}">
              <a16:creationId xmlns:a16="http://schemas.microsoft.com/office/drawing/2014/main" id="{A45182BF-8243-449A-804E-627B14F8F0D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41" name="Text Box 1">
          <a:extLst>
            <a:ext uri="{FF2B5EF4-FFF2-40B4-BE49-F238E27FC236}">
              <a16:creationId xmlns:a16="http://schemas.microsoft.com/office/drawing/2014/main" id="{B667AAE4-AC95-4E45-BC5C-930A59279BB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42" name="Text Box 1">
          <a:extLst>
            <a:ext uri="{FF2B5EF4-FFF2-40B4-BE49-F238E27FC236}">
              <a16:creationId xmlns:a16="http://schemas.microsoft.com/office/drawing/2014/main" id="{32C2A187-F8DE-4B69-B627-9385A624E21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43" name="Text Box 3">
          <a:extLst>
            <a:ext uri="{FF2B5EF4-FFF2-40B4-BE49-F238E27FC236}">
              <a16:creationId xmlns:a16="http://schemas.microsoft.com/office/drawing/2014/main" id="{2507550E-1778-4724-A68A-7E0EBF7B3E9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44" name="Text Box 1">
          <a:extLst>
            <a:ext uri="{FF2B5EF4-FFF2-40B4-BE49-F238E27FC236}">
              <a16:creationId xmlns:a16="http://schemas.microsoft.com/office/drawing/2014/main" id="{9F05ED99-7B86-4BCD-B40D-C4055042B1A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45" name="Text Box 3">
          <a:extLst>
            <a:ext uri="{FF2B5EF4-FFF2-40B4-BE49-F238E27FC236}">
              <a16:creationId xmlns:a16="http://schemas.microsoft.com/office/drawing/2014/main" id="{B0599AE3-AC30-4E32-8A8F-B0493D337FD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46" name="Text Box 1">
          <a:extLst>
            <a:ext uri="{FF2B5EF4-FFF2-40B4-BE49-F238E27FC236}">
              <a16:creationId xmlns:a16="http://schemas.microsoft.com/office/drawing/2014/main" id="{33DA2E8C-F287-4C9F-93AB-90941E3AD22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47" name="Text Box 1">
          <a:extLst>
            <a:ext uri="{FF2B5EF4-FFF2-40B4-BE49-F238E27FC236}">
              <a16:creationId xmlns:a16="http://schemas.microsoft.com/office/drawing/2014/main" id="{BDF48031-C663-4F2B-BD00-1129E79663A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48" name="Text Box 3">
          <a:extLst>
            <a:ext uri="{FF2B5EF4-FFF2-40B4-BE49-F238E27FC236}">
              <a16:creationId xmlns:a16="http://schemas.microsoft.com/office/drawing/2014/main" id="{09B39D94-78F7-4D20-B6A8-4A1E6F44587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49" name="Text Box 1">
          <a:extLst>
            <a:ext uri="{FF2B5EF4-FFF2-40B4-BE49-F238E27FC236}">
              <a16:creationId xmlns:a16="http://schemas.microsoft.com/office/drawing/2014/main" id="{44E3189A-ADB3-4FCA-94DB-FE4B9660485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50" name="Text Box 3">
          <a:extLst>
            <a:ext uri="{FF2B5EF4-FFF2-40B4-BE49-F238E27FC236}">
              <a16:creationId xmlns:a16="http://schemas.microsoft.com/office/drawing/2014/main" id="{7562E3C1-80F3-45D6-B3FB-73B848F04F0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51" name="Text Box 1">
          <a:extLst>
            <a:ext uri="{FF2B5EF4-FFF2-40B4-BE49-F238E27FC236}">
              <a16:creationId xmlns:a16="http://schemas.microsoft.com/office/drawing/2014/main" id="{20598DA6-BAC6-4DDF-BB5C-0E87176B8D6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52" name="Text Box 1">
          <a:extLst>
            <a:ext uri="{FF2B5EF4-FFF2-40B4-BE49-F238E27FC236}">
              <a16:creationId xmlns:a16="http://schemas.microsoft.com/office/drawing/2014/main" id="{BD29B0CF-FFC4-41D4-A4AB-F50A80E7269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53" name="Text Box 3">
          <a:extLst>
            <a:ext uri="{FF2B5EF4-FFF2-40B4-BE49-F238E27FC236}">
              <a16:creationId xmlns:a16="http://schemas.microsoft.com/office/drawing/2014/main" id="{ADA6015A-3222-412E-B055-712094AD86A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54" name="Text Box 1">
          <a:extLst>
            <a:ext uri="{FF2B5EF4-FFF2-40B4-BE49-F238E27FC236}">
              <a16:creationId xmlns:a16="http://schemas.microsoft.com/office/drawing/2014/main" id="{D8A68EA6-8AEB-451B-94BF-CA5DD378023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55" name="Text Box 3">
          <a:extLst>
            <a:ext uri="{FF2B5EF4-FFF2-40B4-BE49-F238E27FC236}">
              <a16:creationId xmlns:a16="http://schemas.microsoft.com/office/drawing/2014/main" id="{AEEE109E-9029-498E-8F2D-50CE044D971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56" name="Text Box 1">
          <a:extLst>
            <a:ext uri="{FF2B5EF4-FFF2-40B4-BE49-F238E27FC236}">
              <a16:creationId xmlns:a16="http://schemas.microsoft.com/office/drawing/2014/main" id="{098C2093-908C-4C62-9E28-7934A5B5EC0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57" name="Text Box 1">
          <a:extLst>
            <a:ext uri="{FF2B5EF4-FFF2-40B4-BE49-F238E27FC236}">
              <a16:creationId xmlns:a16="http://schemas.microsoft.com/office/drawing/2014/main" id="{D85FA3A2-7558-423D-94D1-E0E431B9A6B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58" name="Text Box 3">
          <a:extLst>
            <a:ext uri="{FF2B5EF4-FFF2-40B4-BE49-F238E27FC236}">
              <a16:creationId xmlns:a16="http://schemas.microsoft.com/office/drawing/2014/main" id="{C3B23E6B-64A0-407D-92AD-D150D60FBF4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59" name="Text Box 1">
          <a:extLst>
            <a:ext uri="{FF2B5EF4-FFF2-40B4-BE49-F238E27FC236}">
              <a16:creationId xmlns:a16="http://schemas.microsoft.com/office/drawing/2014/main" id="{BF925316-47B7-4CEB-8740-99EEA6E6E67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60" name="Text Box 3">
          <a:extLst>
            <a:ext uri="{FF2B5EF4-FFF2-40B4-BE49-F238E27FC236}">
              <a16:creationId xmlns:a16="http://schemas.microsoft.com/office/drawing/2014/main" id="{A2689684-58D4-41F0-B094-F88C9634B40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61" name="Text Box 1">
          <a:extLst>
            <a:ext uri="{FF2B5EF4-FFF2-40B4-BE49-F238E27FC236}">
              <a16:creationId xmlns:a16="http://schemas.microsoft.com/office/drawing/2014/main" id="{E3764133-3295-49EC-838B-55382A17ED1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62" name="Text Box 1">
          <a:extLst>
            <a:ext uri="{FF2B5EF4-FFF2-40B4-BE49-F238E27FC236}">
              <a16:creationId xmlns:a16="http://schemas.microsoft.com/office/drawing/2014/main" id="{3D84F32C-B6B6-4C44-A206-C5779E0CDC9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63" name="Text Box 3">
          <a:extLst>
            <a:ext uri="{FF2B5EF4-FFF2-40B4-BE49-F238E27FC236}">
              <a16:creationId xmlns:a16="http://schemas.microsoft.com/office/drawing/2014/main" id="{2214D939-290B-43B7-8794-E62C37F8D23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64" name="Text Box 1">
          <a:extLst>
            <a:ext uri="{FF2B5EF4-FFF2-40B4-BE49-F238E27FC236}">
              <a16:creationId xmlns:a16="http://schemas.microsoft.com/office/drawing/2014/main" id="{029E6165-AF03-43DB-9115-D847476670F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65" name="Text Box 3">
          <a:extLst>
            <a:ext uri="{FF2B5EF4-FFF2-40B4-BE49-F238E27FC236}">
              <a16:creationId xmlns:a16="http://schemas.microsoft.com/office/drawing/2014/main" id="{0027C214-11CA-40B7-A525-3FF2AB22B82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66" name="Text Box 1">
          <a:extLst>
            <a:ext uri="{FF2B5EF4-FFF2-40B4-BE49-F238E27FC236}">
              <a16:creationId xmlns:a16="http://schemas.microsoft.com/office/drawing/2014/main" id="{29259F8E-8D01-4BA6-BD80-D9EA5B22D99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67" name="Text Box 1">
          <a:extLst>
            <a:ext uri="{FF2B5EF4-FFF2-40B4-BE49-F238E27FC236}">
              <a16:creationId xmlns:a16="http://schemas.microsoft.com/office/drawing/2014/main" id="{B7971FBC-8A72-4C31-A148-3F95AFB2D57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68" name="Text Box 3">
          <a:extLst>
            <a:ext uri="{FF2B5EF4-FFF2-40B4-BE49-F238E27FC236}">
              <a16:creationId xmlns:a16="http://schemas.microsoft.com/office/drawing/2014/main" id="{470145C3-8C43-4678-B6F4-4D378F8FE83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69" name="Text Box 1">
          <a:extLst>
            <a:ext uri="{FF2B5EF4-FFF2-40B4-BE49-F238E27FC236}">
              <a16:creationId xmlns:a16="http://schemas.microsoft.com/office/drawing/2014/main" id="{62A2F3B1-1323-4BDE-939C-1ED65E049EB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70" name="Text Box 3">
          <a:extLst>
            <a:ext uri="{FF2B5EF4-FFF2-40B4-BE49-F238E27FC236}">
              <a16:creationId xmlns:a16="http://schemas.microsoft.com/office/drawing/2014/main" id="{EB1B51E5-D6BD-4186-8C2F-C3B048B2D77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71" name="Text Box 1">
          <a:extLst>
            <a:ext uri="{FF2B5EF4-FFF2-40B4-BE49-F238E27FC236}">
              <a16:creationId xmlns:a16="http://schemas.microsoft.com/office/drawing/2014/main" id="{F025EF38-376F-4F45-A422-581C3A53D80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72" name="Text Box 1">
          <a:extLst>
            <a:ext uri="{FF2B5EF4-FFF2-40B4-BE49-F238E27FC236}">
              <a16:creationId xmlns:a16="http://schemas.microsoft.com/office/drawing/2014/main" id="{1B8FC9DE-68C6-40FF-B1DF-F4434709792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73" name="Text Box 3">
          <a:extLst>
            <a:ext uri="{FF2B5EF4-FFF2-40B4-BE49-F238E27FC236}">
              <a16:creationId xmlns:a16="http://schemas.microsoft.com/office/drawing/2014/main" id="{E2DDC421-3A6F-48DC-9C82-C2C488EE3BB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74" name="Text Box 1">
          <a:extLst>
            <a:ext uri="{FF2B5EF4-FFF2-40B4-BE49-F238E27FC236}">
              <a16:creationId xmlns:a16="http://schemas.microsoft.com/office/drawing/2014/main" id="{4E90A3A3-8228-4DBA-887D-4B022441222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75" name="Text Box 3">
          <a:extLst>
            <a:ext uri="{FF2B5EF4-FFF2-40B4-BE49-F238E27FC236}">
              <a16:creationId xmlns:a16="http://schemas.microsoft.com/office/drawing/2014/main" id="{7327256D-76D5-4704-99B4-49D66DA2A87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76" name="Text Box 1">
          <a:extLst>
            <a:ext uri="{FF2B5EF4-FFF2-40B4-BE49-F238E27FC236}">
              <a16:creationId xmlns:a16="http://schemas.microsoft.com/office/drawing/2014/main" id="{CB55FDEA-2B8D-4EA9-9B57-8A52C59630D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77" name="Text Box 1">
          <a:extLst>
            <a:ext uri="{FF2B5EF4-FFF2-40B4-BE49-F238E27FC236}">
              <a16:creationId xmlns:a16="http://schemas.microsoft.com/office/drawing/2014/main" id="{1777551D-9EA0-449C-B092-E535247EC5C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78" name="Text Box 3">
          <a:extLst>
            <a:ext uri="{FF2B5EF4-FFF2-40B4-BE49-F238E27FC236}">
              <a16:creationId xmlns:a16="http://schemas.microsoft.com/office/drawing/2014/main" id="{5D500D7D-6CE4-4CAB-AFE1-6342A7BA77E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79" name="Text Box 1">
          <a:extLst>
            <a:ext uri="{FF2B5EF4-FFF2-40B4-BE49-F238E27FC236}">
              <a16:creationId xmlns:a16="http://schemas.microsoft.com/office/drawing/2014/main" id="{CA8A6A40-4E37-4BEA-BF41-3BE0870E887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80" name="Text Box 3">
          <a:extLst>
            <a:ext uri="{FF2B5EF4-FFF2-40B4-BE49-F238E27FC236}">
              <a16:creationId xmlns:a16="http://schemas.microsoft.com/office/drawing/2014/main" id="{5B0153AE-38D9-4DBC-A788-83B8D6A8B97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81" name="Text Box 1">
          <a:extLst>
            <a:ext uri="{FF2B5EF4-FFF2-40B4-BE49-F238E27FC236}">
              <a16:creationId xmlns:a16="http://schemas.microsoft.com/office/drawing/2014/main" id="{7B46905B-0B7C-4303-8335-BA1DAE58177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82" name="Text Box 1">
          <a:extLst>
            <a:ext uri="{FF2B5EF4-FFF2-40B4-BE49-F238E27FC236}">
              <a16:creationId xmlns:a16="http://schemas.microsoft.com/office/drawing/2014/main" id="{7D7D97A4-8021-4DB7-BDAB-FFB0CEB4AB0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83" name="Text Box 3">
          <a:extLst>
            <a:ext uri="{FF2B5EF4-FFF2-40B4-BE49-F238E27FC236}">
              <a16:creationId xmlns:a16="http://schemas.microsoft.com/office/drawing/2014/main" id="{20A61502-9EF7-49D0-9366-9357AF784DF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84" name="Text Box 1">
          <a:extLst>
            <a:ext uri="{FF2B5EF4-FFF2-40B4-BE49-F238E27FC236}">
              <a16:creationId xmlns:a16="http://schemas.microsoft.com/office/drawing/2014/main" id="{FD1C53D6-F366-4089-8E10-17736A3D2A5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85" name="Text Box 3">
          <a:extLst>
            <a:ext uri="{FF2B5EF4-FFF2-40B4-BE49-F238E27FC236}">
              <a16:creationId xmlns:a16="http://schemas.microsoft.com/office/drawing/2014/main" id="{8722D25D-2DB3-4831-96F3-3FEEDEA2A29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86" name="Text Box 1">
          <a:extLst>
            <a:ext uri="{FF2B5EF4-FFF2-40B4-BE49-F238E27FC236}">
              <a16:creationId xmlns:a16="http://schemas.microsoft.com/office/drawing/2014/main" id="{821FFB09-A8F3-4E57-A2A9-7ECEBB75961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87" name="Text Box 1">
          <a:extLst>
            <a:ext uri="{FF2B5EF4-FFF2-40B4-BE49-F238E27FC236}">
              <a16:creationId xmlns:a16="http://schemas.microsoft.com/office/drawing/2014/main" id="{DDF57004-32B4-4BC9-A473-B8095A40B81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88" name="Text Box 3">
          <a:extLst>
            <a:ext uri="{FF2B5EF4-FFF2-40B4-BE49-F238E27FC236}">
              <a16:creationId xmlns:a16="http://schemas.microsoft.com/office/drawing/2014/main" id="{B6F3253E-1E90-4C4D-8477-A85B714858C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89" name="Text Box 1">
          <a:extLst>
            <a:ext uri="{FF2B5EF4-FFF2-40B4-BE49-F238E27FC236}">
              <a16:creationId xmlns:a16="http://schemas.microsoft.com/office/drawing/2014/main" id="{474394CD-4655-4904-97A7-FA4FA463C83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90" name="Text Box 3">
          <a:extLst>
            <a:ext uri="{FF2B5EF4-FFF2-40B4-BE49-F238E27FC236}">
              <a16:creationId xmlns:a16="http://schemas.microsoft.com/office/drawing/2014/main" id="{8DB8A615-D1EF-4F78-92E7-5E012C692C0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91" name="Text Box 1">
          <a:extLst>
            <a:ext uri="{FF2B5EF4-FFF2-40B4-BE49-F238E27FC236}">
              <a16:creationId xmlns:a16="http://schemas.microsoft.com/office/drawing/2014/main" id="{E4A47E36-A7FD-4A89-8F49-647F37205B1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92" name="Text Box 1">
          <a:extLst>
            <a:ext uri="{FF2B5EF4-FFF2-40B4-BE49-F238E27FC236}">
              <a16:creationId xmlns:a16="http://schemas.microsoft.com/office/drawing/2014/main" id="{5063C1A5-D920-485F-AF3C-D2C491EB722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93" name="Text Box 3">
          <a:extLst>
            <a:ext uri="{FF2B5EF4-FFF2-40B4-BE49-F238E27FC236}">
              <a16:creationId xmlns:a16="http://schemas.microsoft.com/office/drawing/2014/main" id="{85A2922D-9ABA-4DDF-B5C5-86E02078A70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94" name="Text Box 1">
          <a:extLst>
            <a:ext uri="{FF2B5EF4-FFF2-40B4-BE49-F238E27FC236}">
              <a16:creationId xmlns:a16="http://schemas.microsoft.com/office/drawing/2014/main" id="{5455B8C3-9C25-40B3-AAF9-BC83BB30F5D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95" name="Text Box 3">
          <a:extLst>
            <a:ext uri="{FF2B5EF4-FFF2-40B4-BE49-F238E27FC236}">
              <a16:creationId xmlns:a16="http://schemas.microsoft.com/office/drawing/2014/main" id="{64C7FFD0-0C2E-4DA5-A104-283D8C292AB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96" name="Text Box 1">
          <a:extLst>
            <a:ext uri="{FF2B5EF4-FFF2-40B4-BE49-F238E27FC236}">
              <a16:creationId xmlns:a16="http://schemas.microsoft.com/office/drawing/2014/main" id="{FED19F07-3E07-4AF5-9558-B562E08F967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97" name="Text Box 1">
          <a:extLst>
            <a:ext uri="{FF2B5EF4-FFF2-40B4-BE49-F238E27FC236}">
              <a16:creationId xmlns:a16="http://schemas.microsoft.com/office/drawing/2014/main" id="{4628AD7D-34AE-4DBF-968A-7C34C875687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98" name="Text Box 3">
          <a:extLst>
            <a:ext uri="{FF2B5EF4-FFF2-40B4-BE49-F238E27FC236}">
              <a16:creationId xmlns:a16="http://schemas.microsoft.com/office/drawing/2014/main" id="{9E87F731-5CD7-48B4-A8F3-683C738AC40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99" name="Text Box 1">
          <a:extLst>
            <a:ext uri="{FF2B5EF4-FFF2-40B4-BE49-F238E27FC236}">
              <a16:creationId xmlns:a16="http://schemas.microsoft.com/office/drawing/2014/main" id="{8D09DE2E-4F43-4CAC-A176-7F04FE46E48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00" name="Text Box 3">
          <a:extLst>
            <a:ext uri="{FF2B5EF4-FFF2-40B4-BE49-F238E27FC236}">
              <a16:creationId xmlns:a16="http://schemas.microsoft.com/office/drawing/2014/main" id="{A75E4857-4C78-4B68-BD17-66CA4F325DF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01" name="Text Box 1">
          <a:extLst>
            <a:ext uri="{FF2B5EF4-FFF2-40B4-BE49-F238E27FC236}">
              <a16:creationId xmlns:a16="http://schemas.microsoft.com/office/drawing/2014/main" id="{9B5B030F-DCD5-4F2E-9A13-113F0AEA292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02" name="Text Box 1">
          <a:extLst>
            <a:ext uri="{FF2B5EF4-FFF2-40B4-BE49-F238E27FC236}">
              <a16:creationId xmlns:a16="http://schemas.microsoft.com/office/drawing/2014/main" id="{EC164260-8619-41A3-A65F-F9FEB387071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03" name="Text Box 3">
          <a:extLst>
            <a:ext uri="{FF2B5EF4-FFF2-40B4-BE49-F238E27FC236}">
              <a16:creationId xmlns:a16="http://schemas.microsoft.com/office/drawing/2014/main" id="{F2D3F5CB-3017-429A-AE4B-B3463C905C2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04" name="Text Box 1">
          <a:extLst>
            <a:ext uri="{FF2B5EF4-FFF2-40B4-BE49-F238E27FC236}">
              <a16:creationId xmlns:a16="http://schemas.microsoft.com/office/drawing/2014/main" id="{E26D235F-6D2A-455D-AB1E-BBA91E4D33D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05" name="Text Box 3">
          <a:extLst>
            <a:ext uri="{FF2B5EF4-FFF2-40B4-BE49-F238E27FC236}">
              <a16:creationId xmlns:a16="http://schemas.microsoft.com/office/drawing/2014/main" id="{E306AE82-C929-480F-BF51-28EDEAA38FF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06" name="Text Box 1">
          <a:extLst>
            <a:ext uri="{FF2B5EF4-FFF2-40B4-BE49-F238E27FC236}">
              <a16:creationId xmlns:a16="http://schemas.microsoft.com/office/drawing/2014/main" id="{B7F8AD9E-094F-44A5-ABC4-A3883958B10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07" name="Text Box 1">
          <a:extLst>
            <a:ext uri="{FF2B5EF4-FFF2-40B4-BE49-F238E27FC236}">
              <a16:creationId xmlns:a16="http://schemas.microsoft.com/office/drawing/2014/main" id="{6E506C05-28DE-43D1-A56F-095FCF36FA3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08" name="Text Box 3">
          <a:extLst>
            <a:ext uri="{FF2B5EF4-FFF2-40B4-BE49-F238E27FC236}">
              <a16:creationId xmlns:a16="http://schemas.microsoft.com/office/drawing/2014/main" id="{C27E9DBF-619C-4E55-AF38-D401F9203E7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09" name="Text Box 1">
          <a:extLst>
            <a:ext uri="{FF2B5EF4-FFF2-40B4-BE49-F238E27FC236}">
              <a16:creationId xmlns:a16="http://schemas.microsoft.com/office/drawing/2014/main" id="{03EA4F58-5148-422E-AE42-500FD2DEC7B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10" name="Text Box 3">
          <a:extLst>
            <a:ext uri="{FF2B5EF4-FFF2-40B4-BE49-F238E27FC236}">
              <a16:creationId xmlns:a16="http://schemas.microsoft.com/office/drawing/2014/main" id="{1FDA3B97-14BA-4D20-8045-E7D939C8C23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11" name="Text Box 1">
          <a:extLst>
            <a:ext uri="{FF2B5EF4-FFF2-40B4-BE49-F238E27FC236}">
              <a16:creationId xmlns:a16="http://schemas.microsoft.com/office/drawing/2014/main" id="{160C7128-1A3F-4587-8256-FF107728A30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12" name="Text Box 1">
          <a:extLst>
            <a:ext uri="{FF2B5EF4-FFF2-40B4-BE49-F238E27FC236}">
              <a16:creationId xmlns:a16="http://schemas.microsoft.com/office/drawing/2014/main" id="{681576E5-9FFA-4ECA-845E-9FA3E11B20A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13" name="Text Box 3">
          <a:extLst>
            <a:ext uri="{FF2B5EF4-FFF2-40B4-BE49-F238E27FC236}">
              <a16:creationId xmlns:a16="http://schemas.microsoft.com/office/drawing/2014/main" id="{EFCFB378-E95B-42D9-984E-681ACC2CAA8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14" name="Text Box 1">
          <a:extLst>
            <a:ext uri="{FF2B5EF4-FFF2-40B4-BE49-F238E27FC236}">
              <a16:creationId xmlns:a16="http://schemas.microsoft.com/office/drawing/2014/main" id="{E76CDF14-FB90-44AC-A519-D4F3F04B972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15" name="Text Box 3">
          <a:extLst>
            <a:ext uri="{FF2B5EF4-FFF2-40B4-BE49-F238E27FC236}">
              <a16:creationId xmlns:a16="http://schemas.microsoft.com/office/drawing/2014/main" id="{00DC33FE-A10D-46E8-BF24-4BF95F17790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16" name="Text Box 1">
          <a:extLst>
            <a:ext uri="{FF2B5EF4-FFF2-40B4-BE49-F238E27FC236}">
              <a16:creationId xmlns:a16="http://schemas.microsoft.com/office/drawing/2014/main" id="{1CE923BF-F230-45C3-92E1-ACEA15C826C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17" name="Text Box 1">
          <a:extLst>
            <a:ext uri="{FF2B5EF4-FFF2-40B4-BE49-F238E27FC236}">
              <a16:creationId xmlns:a16="http://schemas.microsoft.com/office/drawing/2014/main" id="{C3AD7DFD-A511-4400-BA41-BB1E1071138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18" name="Text Box 3">
          <a:extLst>
            <a:ext uri="{FF2B5EF4-FFF2-40B4-BE49-F238E27FC236}">
              <a16:creationId xmlns:a16="http://schemas.microsoft.com/office/drawing/2014/main" id="{9EC422EC-EC08-40C8-A8C7-896403CB9D0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19" name="Text Box 1">
          <a:extLst>
            <a:ext uri="{FF2B5EF4-FFF2-40B4-BE49-F238E27FC236}">
              <a16:creationId xmlns:a16="http://schemas.microsoft.com/office/drawing/2014/main" id="{A58093AD-9A8D-48B2-8883-6B935AE7D53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20" name="Text Box 3">
          <a:extLst>
            <a:ext uri="{FF2B5EF4-FFF2-40B4-BE49-F238E27FC236}">
              <a16:creationId xmlns:a16="http://schemas.microsoft.com/office/drawing/2014/main" id="{F77F42CB-5B77-4B5F-90F8-683D10E3088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21" name="Text Box 1">
          <a:extLst>
            <a:ext uri="{FF2B5EF4-FFF2-40B4-BE49-F238E27FC236}">
              <a16:creationId xmlns:a16="http://schemas.microsoft.com/office/drawing/2014/main" id="{5F768004-5170-4CAE-8529-4D071DD0801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22" name="Text Box 1">
          <a:extLst>
            <a:ext uri="{FF2B5EF4-FFF2-40B4-BE49-F238E27FC236}">
              <a16:creationId xmlns:a16="http://schemas.microsoft.com/office/drawing/2014/main" id="{A2765DB8-EE11-4D5E-A839-808EEDDAA3B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23" name="Text Box 3">
          <a:extLst>
            <a:ext uri="{FF2B5EF4-FFF2-40B4-BE49-F238E27FC236}">
              <a16:creationId xmlns:a16="http://schemas.microsoft.com/office/drawing/2014/main" id="{5C94DE5E-8383-4101-B862-336FE578AAD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24" name="Text Box 1">
          <a:extLst>
            <a:ext uri="{FF2B5EF4-FFF2-40B4-BE49-F238E27FC236}">
              <a16:creationId xmlns:a16="http://schemas.microsoft.com/office/drawing/2014/main" id="{2AFCCBD1-2678-4D39-A6D4-48FEB9EB0BC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25" name="Text Box 3">
          <a:extLst>
            <a:ext uri="{FF2B5EF4-FFF2-40B4-BE49-F238E27FC236}">
              <a16:creationId xmlns:a16="http://schemas.microsoft.com/office/drawing/2014/main" id="{693B21B1-749E-48F9-9090-DCBBC47AA4B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26" name="Text Box 1">
          <a:extLst>
            <a:ext uri="{FF2B5EF4-FFF2-40B4-BE49-F238E27FC236}">
              <a16:creationId xmlns:a16="http://schemas.microsoft.com/office/drawing/2014/main" id="{0C1E01D8-BFCE-45D4-AFC4-33FF64F3603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27" name="Text Box 1">
          <a:extLst>
            <a:ext uri="{FF2B5EF4-FFF2-40B4-BE49-F238E27FC236}">
              <a16:creationId xmlns:a16="http://schemas.microsoft.com/office/drawing/2014/main" id="{4E18EF2F-441F-4237-816C-759BEC95752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28" name="Text Box 3">
          <a:extLst>
            <a:ext uri="{FF2B5EF4-FFF2-40B4-BE49-F238E27FC236}">
              <a16:creationId xmlns:a16="http://schemas.microsoft.com/office/drawing/2014/main" id="{FAD71914-3C6E-451E-8A32-3C64D75D907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29" name="Text Box 1">
          <a:extLst>
            <a:ext uri="{FF2B5EF4-FFF2-40B4-BE49-F238E27FC236}">
              <a16:creationId xmlns:a16="http://schemas.microsoft.com/office/drawing/2014/main" id="{B9D4F2D8-9612-4A74-A4E9-28AA8A720A3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30" name="Text Box 3">
          <a:extLst>
            <a:ext uri="{FF2B5EF4-FFF2-40B4-BE49-F238E27FC236}">
              <a16:creationId xmlns:a16="http://schemas.microsoft.com/office/drawing/2014/main" id="{F62BD891-AB0A-42ED-8812-25CA6B74998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31" name="Text Box 1">
          <a:extLst>
            <a:ext uri="{FF2B5EF4-FFF2-40B4-BE49-F238E27FC236}">
              <a16:creationId xmlns:a16="http://schemas.microsoft.com/office/drawing/2014/main" id="{B8D4051E-0920-49A1-9E1E-1504F947A4D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32" name="Text Box 1">
          <a:extLst>
            <a:ext uri="{FF2B5EF4-FFF2-40B4-BE49-F238E27FC236}">
              <a16:creationId xmlns:a16="http://schemas.microsoft.com/office/drawing/2014/main" id="{96770306-759B-4098-AC97-441D87F746E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33" name="Text Box 3">
          <a:extLst>
            <a:ext uri="{FF2B5EF4-FFF2-40B4-BE49-F238E27FC236}">
              <a16:creationId xmlns:a16="http://schemas.microsoft.com/office/drawing/2014/main" id="{7CB9B861-3214-4EBF-B83D-00CFBBE0D3B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34" name="Text Box 1">
          <a:extLst>
            <a:ext uri="{FF2B5EF4-FFF2-40B4-BE49-F238E27FC236}">
              <a16:creationId xmlns:a16="http://schemas.microsoft.com/office/drawing/2014/main" id="{02BA6C72-3FE6-4A24-BA48-1A08F6B5267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35" name="Text Box 3">
          <a:extLst>
            <a:ext uri="{FF2B5EF4-FFF2-40B4-BE49-F238E27FC236}">
              <a16:creationId xmlns:a16="http://schemas.microsoft.com/office/drawing/2014/main" id="{C3235F14-BD19-4B87-93BE-C2D54F8F45C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36" name="Text Box 1">
          <a:extLst>
            <a:ext uri="{FF2B5EF4-FFF2-40B4-BE49-F238E27FC236}">
              <a16:creationId xmlns:a16="http://schemas.microsoft.com/office/drawing/2014/main" id="{D8B0C031-FA59-47AD-8B4A-5F3B9B21176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37" name="Text Box 1">
          <a:extLst>
            <a:ext uri="{FF2B5EF4-FFF2-40B4-BE49-F238E27FC236}">
              <a16:creationId xmlns:a16="http://schemas.microsoft.com/office/drawing/2014/main" id="{38A897FC-51D3-4225-A3FC-0343589053B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38" name="Text Box 3">
          <a:extLst>
            <a:ext uri="{FF2B5EF4-FFF2-40B4-BE49-F238E27FC236}">
              <a16:creationId xmlns:a16="http://schemas.microsoft.com/office/drawing/2014/main" id="{30396C15-D205-4490-A044-D0DA39D7843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39" name="Text Box 1">
          <a:extLst>
            <a:ext uri="{FF2B5EF4-FFF2-40B4-BE49-F238E27FC236}">
              <a16:creationId xmlns:a16="http://schemas.microsoft.com/office/drawing/2014/main" id="{9B36CB86-C21B-44B5-A966-9E414F0635E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40" name="Text Box 3">
          <a:extLst>
            <a:ext uri="{FF2B5EF4-FFF2-40B4-BE49-F238E27FC236}">
              <a16:creationId xmlns:a16="http://schemas.microsoft.com/office/drawing/2014/main" id="{41E6B7A8-A125-4BDA-8888-61F547A7E1E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41" name="Text Box 1">
          <a:extLst>
            <a:ext uri="{FF2B5EF4-FFF2-40B4-BE49-F238E27FC236}">
              <a16:creationId xmlns:a16="http://schemas.microsoft.com/office/drawing/2014/main" id="{F20DD4E4-2AB8-48F3-8F5A-F31FDE107E3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42" name="Text Box 1">
          <a:extLst>
            <a:ext uri="{FF2B5EF4-FFF2-40B4-BE49-F238E27FC236}">
              <a16:creationId xmlns:a16="http://schemas.microsoft.com/office/drawing/2014/main" id="{4F5FD69E-5691-4828-920A-F4C695529B9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43" name="Text Box 3">
          <a:extLst>
            <a:ext uri="{FF2B5EF4-FFF2-40B4-BE49-F238E27FC236}">
              <a16:creationId xmlns:a16="http://schemas.microsoft.com/office/drawing/2014/main" id="{EE2542A1-B3C6-41C2-8052-59C8FCA0652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44" name="Text Box 1">
          <a:extLst>
            <a:ext uri="{FF2B5EF4-FFF2-40B4-BE49-F238E27FC236}">
              <a16:creationId xmlns:a16="http://schemas.microsoft.com/office/drawing/2014/main" id="{BA63E51E-2E02-4C08-855C-13219405D30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45" name="Text Box 3">
          <a:extLst>
            <a:ext uri="{FF2B5EF4-FFF2-40B4-BE49-F238E27FC236}">
              <a16:creationId xmlns:a16="http://schemas.microsoft.com/office/drawing/2014/main" id="{286B822B-096C-485D-862C-6B1C7B693C7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46" name="Text Box 1">
          <a:extLst>
            <a:ext uri="{FF2B5EF4-FFF2-40B4-BE49-F238E27FC236}">
              <a16:creationId xmlns:a16="http://schemas.microsoft.com/office/drawing/2014/main" id="{8F926076-4CB1-4AD3-916D-9360788925C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47" name="Text Box 1">
          <a:extLst>
            <a:ext uri="{FF2B5EF4-FFF2-40B4-BE49-F238E27FC236}">
              <a16:creationId xmlns:a16="http://schemas.microsoft.com/office/drawing/2014/main" id="{B47A12EC-D4D5-4314-93CD-9F6EB68299F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48" name="Text Box 3">
          <a:extLst>
            <a:ext uri="{FF2B5EF4-FFF2-40B4-BE49-F238E27FC236}">
              <a16:creationId xmlns:a16="http://schemas.microsoft.com/office/drawing/2014/main" id="{B2D2539F-59A2-4492-BA25-AB56A152C1B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49" name="Text Box 1">
          <a:extLst>
            <a:ext uri="{FF2B5EF4-FFF2-40B4-BE49-F238E27FC236}">
              <a16:creationId xmlns:a16="http://schemas.microsoft.com/office/drawing/2014/main" id="{3B9B77EC-8BA4-411F-B6BD-1D6D6432A87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50" name="Text Box 3">
          <a:extLst>
            <a:ext uri="{FF2B5EF4-FFF2-40B4-BE49-F238E27FC236}">
              <a16:creationId xmlns:a16="http://schemas.microsoft.com/office/drawing/2014/main" id="{E3D22801-B856-469B-9DB6-90AD0F0D528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51" name="Text Box 1">
          <a:extLst>
            <a:ext uri="{FF2B5EF4-FFF2-40B4-BE49-F238E27FC236}">
              <a16:creationId xmlns:a16="http://schemas.microsoft.com/office/drawing/2014/main" id="{87FFDA02-A7F5-4BDB-A020-7DF1FCE8E4C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52" name="Text Box 1">
          <a:extLst>
            <a:ext uri="{FF2B5EF4-FFF2-40B4-BE49-F238E27FC236}">
              <a16:creationId xmlns:a16="http://schemas.microsoft.com/office/drawing/2014/main" id="{BA45295F-95A2-46ED-9B07-CB57B5C121A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53" name="Text Box 3">
          <a:extLst>
            <a:ext uri="{FF2B5EF4-FFF2-40B4-BE49-F238E27FC236}">
              <a16:creationId xmlns:a16="http://schemas.microsoft.com/office/drawing/2014/main" id="{0CC9EB87-E328-4DAD-A10F-10A25D088D9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54" name="Text Box 1">
          <a:extLst>
            <a:ext uri="{FF2B5EF4-FFF2-40B4-BE49-F238E27FC236}">
              <a16:creationId xmlns:a16="http://schemas.microsoft.com/office/drawing/2014/main" id="{B7B2CF6A-419C-4131-9DFD-1A6F4C780CD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55" name="Text Box 3">
          <a:extLst>
            <a:ext uri="{FF2B5EF4-FFF2-40B4-BE49-F238E27FC236}">
              <a16:creationId xmlns:a16="http://schemas.microsoft.com/office/drawing/2014/main" id="{35CF415C-487A-4236-A8FB-415E0A8177B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56" name="Text Box 1">
          <a:extLst>
            <a:ext uri="{FF2B5EF4-FFF2-40B4-BE49-F238E27FC236}">
              <a16:creationId xmlns:a16="http://schemas.microsoft.com/office/drawing/2014/main" id="{ECA4C42C-4D45-4186-89B0-F0486440CEF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57" name="Text Box 1">
          <a:extLst>
            <a:ext uri="{FF2B5EF4-FFF2-40B4-BE49-F238E27FC236}">
              <a16:creationId xmlns:a16="http://schemas.microsoft.com/office/drawing/2014/main" id="{D09BBFF0-1C71-4F1E-A0DA-795049088F3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58" name="Text Box 3">
          <a:extLst>
            <a:ext uri="{FF2B5EF4-FFF2-40B4-BE49-F238E27FC236}">
              <a16:creationId xmlns:a16="http://schemas.microsoft.com/office/drawing/2014/main" id="{D5983B37-6EBC-459C-BDC9-2C68D467C55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59" name="Text Box 1">
          <a:extLst>
            <a:ext uri="{FF2B5EF4-FFF2-40B4-BE49-F238E27FC236}">
              <a16:creationId xmlns:a16="http://schemas.microsoft.com/office/drawing/2014/main" id="{37585777-00A4-4E9B-A082-4F618659782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60" name="Text Box 3">
          <a:extLst>
            <a:ext uri="{FF2B5EF4-FFF2-40B4-BE49-F238E27FC236}">
              <a16:creationId xmlns:a16="http://schemas.microsoft.com/office/drawing/2014/main" id="{573FEE78-4F16-4C44-B0AD-56BE21B9C8C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61" name="Text Box 1">
          <a:extLst>
            <a:ext uri="{FF2B5EF4-FFF2-40B4-BE49-F238E27FC236}">
              <a16:creationId xmlns:a16="http://schemas.microsoft.com/office/drawing/2014/main" id="{E0B6D7CD-0D93-473D-A888-9133DA7F594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62" name="Text Box 1">
          <a:extLst>
            <a:ext uri="{FF2B5EF4-FFF2-40B4-BE49-F238E27FC236}">
              <a16:creationId xmlns:a16="http://schemas.microsoft.com/office/drawing/2014/main" id="{E932DBDF-6CAE-4B86-B5C6-905FC2055BA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63" name="Text Box 3">
          <a:extLst>
            <a:ext uri="{FF2B5EF4-FFF2-40B4-BE49-F238E27FC236}">
              <a16:creationId xmlns:a16="http://schemas.microsoft.com/office/drawing/2014/main" id="{F94FA13F-5057-4F0B-A2DC-FE89C5AAB6F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64" name="Text Box 1">
          <a:extLst>
            <a:ext uri="{FF2B5EF4-FFF2-40B4-BE49-F238E27FC236}">
              <a16:creationId xmlns:a16="http://schemas.microsoft.com/office/drawing/2014/main" id="{6B60FDD8-0DD5-405F-90C1-B30DF5BD2A4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65" name="Text Box 3">
          <a:extLst>
            <a:ext uri="{FF2B5EF4-FFF2-40B4-BE49-F238E27FC236}">
              <a16:creationId xmlns:a16="http://schemas.microsoft.com/office/drawing/2014/main" id="{08647465-A484-4D0E-93EE-7865BE21D9E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66" name="Text Box 1">
          <a:extLst>
            <a:ext uri="{FF2B5EF4-FFF2-40B4-BE49-F238E27FC236}">
              <a16:creationId xmlns:a16="http://schemas.microsoft.com/office/drawing/2014/main" id="{9E44B626-D5B2-4405-85E0-806D3479F23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67" name="Text Box 1">
          <a:extLst>
            <a:ext uri="{FF2B5EF4-FFF2-40B4-BE49-F238E27FC236}">
              <a16:creationId xmlns:a16="http://schemas.microsoft.com/office/drawing/2014/main" id="{342AB0E2-6A74-4971-80C7-5B321D2FAAB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68" name="Text Box 3">
          <a:extLst>
            <a:ext uri="{FF2B5EF4-FFF2-40B4-BE49-F238E27FC236}">
              <a16:creationId xmlns:a16="http://schemas.microsoft.com/office/drawing/2014/main" id="{BDA90785-D19B-48F6-BF0A-86F88C5185B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69" name="Text Box 1">
          <a:extLst>
            <a:ext uri="{FF2B5EF4-FFF2-40B4-BE49-F238E27FC236}">
              <a16:creationId xmlns:a16="http://schemas.microsoft.com/office/drawing/2014/main" id="{56E0D14C-72D4-42D5-AA0B-6A0C0769A92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70" name="Text Box 3">
          <a:extLst>
            <a:ext uri="{FF2B5EF4-FFF2-40B4-BE49-F238E27FC236}">
              <a16:creationId xmlns:a16="http://schemas.microsoft.com/office/drawing/2014/main" id="{59FD312B-64A0-484A-B2EB-F1842E5FFD3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71" name="Text Box 1">
          <a:extLst>
            <a:ext uri="{FF2B5EF4-FFF2-40B4-BE49-F238E27FC236}">
              <a16:creationId xmlns:a16="http://schemas.microsoft.com/office/drawing/2014/main" id="{69A81883-1454-4428-A7B6-862ADC9C352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72" name="Text Box 1">
          <a:extLst>
            <a:ext uri="{FF2B5EF4-FFF2-40B4-BE49-F238E27FC236}">
              <a16:creationId xmlns:a16="http://schemas.microsoft.com/office/drawing/2014/main" id="{5234613F-82A3-4A52-8214-621EE0D91EA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73" name="Text Box 3">
          <a:extLst>
            <a:ext uri="{FF2B5EF4-FFF2-40B4-BE49-F238E27FC236}">
              <a16:creationId xmlns:a16="http://schemas.microsoft.com/office/drawing/2014/main" id="{B00669B6-26D8-4373-9AA2-8F79A1983C7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74" name="Text Box 1">
          <a:extLst>
            <a:ext uri="{FF2B5EF4-FFF2-40B4-BE49-F238E27FC236}">
              <a16:creationId xmlns:a16="http://schemas.microsoft.com/office/drawing/2014/main" id="{C11F1EA4-748F-496C-820E-9A22596FFB3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75" name="Text Box 3">
          <a:extLst>
            <a:ext uri="{FF2B5EF4-FFF2-40B4-BE49-F238E27FC236}">
              <a16:creationId xmlns:a16="http://schemas.microsoft.com/office/drawing/2014/main" id="{3034A282-96AB-4DD2-A3FD-EF19AB0B614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76" name="Text Box 1">
          <a:extLst>
            <a:ext uri="{FF2B5EF4-FFF2-40B4-BE49-F238E27FC236}">
              <a16:creationId xmlns:a16="http://schemas.microsoft.com/office/drawing/2014/main" id="{9D0E2604-CE26-4289-AA01-43E19FD59EE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77" name="Text Box 1">
          <a:extLst>
            <a:ext uri="{FF2B5EF4-FFF2-40B4-BE49-F238E27FC236}">
              <a16:creationId xmlns:a16="http://schemas.microsoft.com/office/drawing/2014/main" id="{A3027424-0FEF-4F71-ACFF-46DE19091A5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78" name="Text Box 3">
          <a:extLst>
            <a:ext uri="{FF2B5EF4-FFF2-40B4-BE49-F238E27FC236}">
              <a16:creationId xmlns:a16="http://schemas.microsoft.com/office/drawing/2014/main" id="{5F6A7DE3-A3A7-4E6E-B3FD-36415F2A475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79" name="Text Box 1">
          <a:extLst>
            <a:ext uri="{FF2B5EF4-FFF2-40B4-BE49-F238E27FC236}">
              <a16:creationId xmlns:a16="http://schemas.microsoft.com/office/drawing/2014/main" id="{D4615729-3260-4ADE-BB4C-C96BA84BDA8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80" name="Text Box 3">
          <a:extLst>
            <a:ext uri="{FF2B5EF4-FFF2-40B4-BE49-F238E27FC236}">
              <a16:creationId xmlns:a16="http://schemas.microsoft.com/office/drawing/2014/main" id="{A012C45B-439F-4E7F-AD53-50DF7341917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81" name="Text Box 1">
          <a:extLst>
            <a:ext uri="{FF2B5EF4-FFF2-40B4-BE49-F238E27FC236}">
              <a16:creationId xmlns:a16="http://schemas.microsoft.com/office/drawing/2014/main" id="{2C304A10-FBEB-49E7-834A-E89019A30A0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82" name="Text Box 1">
          <a:extLst>
            <a:ext uri="{FF2B5EF4-FFF2-40B4-BE49-F238E27FC236}">
              <a16:creationId xmlns:a16="http://schemas.microsoft.com/office/drawing/2014/main" id="{98F539A1-0A95-4FC8-824B-95A9439125A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83" name="Text Box 3">
          <a:extLst>
            <a:ext uri="{FF2B5EF4-FFF2-40B4-BE49-F238E27FC236}">
              <a16:creationId xmlns:a16="http://schemas.microsoft.com/office/drawing/2014/main" id="{F7685DAD-BE6A-4C3E-883B-7D5C3A289F6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84" name="Text Box 1">
          <a:extLst>
            <a:ext uri="{FF2B5EF4-FFF2-40B4-BE49-F238E27FC236}">
              <a16:creationId xmlns:a16="http://schemas.microsoft.com/office/drawing/2014/main" id="{91C26C6A-3212-4155-85BC-8C3D51232EB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85" name="Text Box 3">
          <a:extLst>
            <a:ext uri="{FF2B5EF4-FFF2-40B4-BE49-F238E27FC236}">
              <a16:creationId xmlns:a16="http://schemas.microsoft.com/office/drawing/2014/main" id="{7B7F82BE-55B3-4E9F-93EA-9AB292D9037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86" name="Text Box 1">
          <a:extLst>
            <a:ext uri="{FF2B5EF4-FFF2-40B4-BE49-F238E27FC236}">
              <a16:creationId xmlns:a16="http://schemas.microsoft.com/office/drawing/2014/main" id="{85515044-4986-47BB-8DA4-BD432380C81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87" name="Text Box 1">
          <a:extLst>
            <a:ext uri="{FF2B5EF4-FFF2-40B4-BE49-F238E27FC236}">
              <a16:creationId xmlns:a16="http://schemas.microsoft.com/office/drawing/2014/main" id="{34ED971D-3782-4401-AC23-029FD531BC6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88" name="Text Box 3">
          <a:extLst>
            <a:ext uri="{FF2B5EF4-FFF2-40B4-BE49-F238E27FC236}">
              <a16:creationId xmlns:a16="http://schemas.microsoft.com/office/drawing/2014/main" id="{A6E54330-8034-4041-8CF9-6F8A1A2BDC3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89" name="Text Box 1">
          <a:extLst>
            <a:ext uri="{FF2B5EF4-FFF2-40B4-BE49-F238E27FC236}">
              <a16:creationId xmlns:a16="http://schemas.microsoft.com/office/drawing/2014/main" id="{04D245F0-4BBC-4B9C-8629-63E4C03E184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90" name="Text Box 3">
          <a:extLst>
            <a:ext uri="{FF2B5EF4-FFF2-40B4-BE49-F238E27FC236}">
              <a16:creationId xmlns:a16="http://schemas.microsoft.com/office/drawing/2014/main" id="{95F7E2CD-1D5E-439B-A019-0D1202CAC32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91" name="Text Box 1">
          <a:extLst>
            <a:ext uri="{FF2B5EF4-FFF2-40B4-BE49-F238E27FC236}">
              <a16:creationId xmlns:a16="http://schemas.microsoft.com/office/drawing/2014/main" id="{6772413F-903E-4BB2-A297-052695A68F8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92" name="Text Box 1">
          <a:extLst>
            <a:ext uri="{FF2B5EF4-FFF2-40B4-BE49-F238E27FC236}">
              <a16:creationId xmlns:a16="http://schemas.microsoft.com/office/drawing/2014/main" id="{904430A7-FEA5-418F-908B-2E7D1680A49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93" name="Text Box 3">
          <a:extLst>
            <a:ext uri="{FF2B5EF4-FFF2-40B4-BE49-F238E27FC236}">
              <a16:creationId xmlns:a16="http://schemas.microsoft.com/office/drawing/2014/main" id="{868C8929-7977-41A3-8A2D-BAE1B8222AD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94" name="Text Box 1">
          <a:extLst>
            <a:ext uri="{FF2B5EF4-FFF2-40B4-BE49-F238E27FC236}">
              <a16:creationId xmlns:a16="http://schemas.microsoft.com/office/drawing/2014/main" id="{285A868D-265B-496B-9BFB-836761FEDBC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95" name="Text Box 3">
          <a:extLst>
            <a:ext uri="{FF2B5EF4-FFF2-40B4-BE49-F238E27FC236}">
              <a16:creationId xmlns:a16="http://schemas.microsoft.com/office/drawing/2014/main" id="{2E2E548B-B611-4CF5-9278-4654EA749A5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96" name="Text Box 1">
          <a:extLst>
            <a:ext uri="{FF2B5EF4-FFF2-40B4-BE49-F238E27FC236}">
              <a16:creationId xmlns:a16="http://schemas.microsoft.com/office/drawing/2014/main" id="{10786468-46E2-4896-A210-75268002B25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97" name="Text Box 1">
          <a:extLst>
            <a:ext uri="{FF2B5EF4-FFF2-40B4-BE49-F238E27FC236}">
              <a16:creationId xmlns:a16="http://schemas.microsoft.com/office/drawing/2014/main" id="{61E497D5-F069-4ECE-87CC-03ABC529EA8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98" name="Text Box 3">
          <a:extLst>
            <a:ext uri="{FF2B5EF4-FFF2-40B4-BE49-F238E27FC236}">
              <a16:creationId xmlns:a16="http://schemas.microsoft.com/office/drawing/2014/main" id="{12686BD8-298B-4475-8FB9-2A14B225749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99" name="Text Box 1">
          <a:extLst>
            <a:ext uri="{FF2B5EF4-FFF2-40B4-BE49-F238E27FC236}">
              <a16:creationId xmlns:a16="http://schemas.microsoft.com/office/drawing/2014/main" id="{0FED00C4-0146-4BF2-9696-0AE845D85D9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00" name="Text Box 3">
          <a:extLst>
            <a:ext uri="{FF2B5EF4-FFF2-40B4-BE49-F238E27FC236}">
              <a16:creationId xmlns:a16="http://schemas.microsoft.com/office/drawing/2014/main" id="{7949769F-070F-4F3B-9B17-E2FDCFD448A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01" name="Text Box 1">
          <a:extLst>
            <a:ext uri="{FF2B5EF4-FFF2-40B4-BE49-F238E27FC236}">
              <a16:creationId xmlns:a16="http://schemas.microsoft.com/office/drawing/2014/main" id="{779ADB80-2AE6-4E02-850B-5C192590D1C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02" name="Text Box 1">
          <a:extLst>
            <a:ext uri="{FF2B5EF4-FFF2-40B4-BE49-F238E27FC236}">
              <a16:creationId xmlns:a16="http://schemas.microsoft.com/office/drawing/2014/main" id="{D009ED45-ADC7-45CD-AE95-80E3BA8C1D6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03" name="Text Box 3">
          <a:extLst>
            <a:ext uri="{FF2B5EF4-FFF2-40B4-BE49-F238E27FC236}">
              <a16:creationId xmlns:a16="http://schemas.microsoft.com/office/drawing/2014/main" id="{BB3B0097-8DFA-4FF3-AB36-9603A404ABD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04" name="Text Box 1">
          <a:extLst>
            <a:ext uri="{FF2B5EF4-FFF2-40B4-BE49-F238E27FC236}">
              <a16:creationId xmlns:a16="http://schemas.microsoft.com/office/drawing/2014/main" id="{2851BC2E-AB7D-4E62-AF62-F0D03783D27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05" name="Text Box 3">
          <a:extLst>
            <a:ext uri="{FF2B5EF4-FFF2-40B4-BE49-F238E27FC236}">
              <a16:creationId xmlns:a16="http://schemas.microsoft.com/office/drawing/2014/main" id="{9E3C7984-1863-402D-9DA3-DF6B5CBC59F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06" name="Text Box 1">
          <a:extLst>
            <a:ext uri="{FF2B5EF4-FFF2-40B4-BE49-F238E27FC236}">
              <a16:creationId xmlns:a16="http://schemas.microsoft.com/office/drawing/2014/main" id="{86F4F121-2449-4C6F-AD7B-9A53928E1F1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07" name="Text Box 1">
          <a:extLst>
            <a:ext uri="{FF2B5EF4-FFF2-40B4-BE49-F238E27FC236}">
              <a16:creationId xmlns:a16="http://schemas.microsoft.com/office/drawing/2014/main" id="{27C89A02-2D61-437C-AFE6-B9AB4873C07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08" name="Text Box 3">
          <a:extLst>
            <a:ext uri="{FF2B5EF4-FFF2-40B4-BE49-F238E27FC236}">
              <a16:creationId xmlns:a16="http://schemas.microsoft.com/office/drawing/2014/main" id="{F219E61A-476D-4319-933C-0ECF44E9463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09" name="Text Box 1">
          <a:extLst>
            <a:ext uri="{FF2B5EF4-FFF2-40B4-BE49-F238E27FC236}">
              <a16:creationId xmlns:a16="http://schemas.microsoft.com/office/drawing/2014/main" id="{79F9BC87-BAEE-4EE6-9418-2C670CCB78C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10" name="Text Box 3">
          <a:extLst>
            <a:ext uri="{FF2B5EF4-FFF2-40B4-BE49-F238E27FC236}">
              <a16:creationId xmlns:a16="http://schemas.microsoft.com/office/drawing/2014/main" id="{3A31BB4C-3D71-4DBA-8566-24FEFF8CD4F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11" name="Text Box 1">
          <a:extLst>
            <a:ext uri="{FF2B5EF4-FFF2-40B4-BE49-F238E27FC236}">
              <a16:creationId xmlns:a16="http://schemas.microsoft.com/office/drawing/2014/main" id="{E13F7B48-EBBD-40DA-9F9F-E1FE2891D4B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12" name="Text Box 1">
          <a:extLst>
            <a:ext uri="{FF2B5EF4-FFF2-40B4-BE49-F238E27FC236}">
              <a16:creationId xmlns:a16="http://schemas.microsoft.com/office/drawing/2014/main" id="{A64E644C-3E0E-49C6-95EB-E2E8A3219F1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13" name="Text Box 3">
          <a:extLst>
            <a:ext uri="{FF2B5EF4-FFF2-40B4-BE49-F238E27FC236}">
              <a16:creationId xmlns:a16="http://schemas.microsoft.com/office/drawing/2014/main" id="{891DF481-2487-47A8-8334-F48237AC168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14" name="Text Box 1">
          <a:extLst>
            <a:ext uri="{FF2B5EF4-FFF2-40B4-BE49-F238E27FC236}">
              <a16:creationId xmlns:a16="http://schemas.microsoft.com/office/drawing/2014/main" id="{4F8AF7A3-AFEA-463B-9265-08737D40C5C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15" name="Text Box 3">
          <a:extLst>
            <a:ext uri="{FF2B5EF4-FFF2-40B4-BE49-F238E27FC236}">
              <a16:creationId xmlns:a16="http://schemas.microsoft.com/office/drawing/2014/main" id="{9D1F6C44-F449-4452-9DC2-233987B0FE4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16" name="Text Box 1">
          <a:extLst>
            <a:ext uri="{FF2B5EF4-FFF2-40B4-BE49-F238E27FC236}">
              <a16:creationId xmlns:a16="http://schemas.microsoft.com/office/drawing/2014/main" id="{87F4DB48-630B-45C7-90B6-D62D2ADDCB7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17" name="Text Box 1">
          <a:extLst>
            <a:ext uri="{FF2B5EF4-FFF2-40B4-BE49-F238E27FC236}">
              <a16:creationId xmlns:a16="http://schemas.microsoft.com/office/drawing/2014/main" id="{97BF263F-ED0B-4632-8929-27BBCACC4D9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18" name="Text Box 3">
          <a:extLst>
            <a:ext uri="{FF2B5EF4-FFF2-40B4-BE49-F238E27FC236}">
              <a16:creationId xmlns:a16="http://schemas.microsoft.com/office/drawing/2014/main" id="{1E940DC3-F06B-48BF-8738-CDD637D9F1F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19" name="Text Box 1">
          <a:extLst>
            <a:ext uri="{FF2B5EF4-FFF2-40B4-BE49-F238E27FC236}">
              <a16:creationId xmlns:a16="http://schemas.microsoft.com/office/drawing/2014/main" id="{E51144DB-0939-4DC8-B264-9E07EBA9A19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20" name="Text Box 3">
          <a:extLst>
            <a:ext uri="{FF2B5EF4-FFF2-40B4-BE49-F238E27FC236}">
              <a16:creationId xmlns:a16="http://schemas.microsoft.com/office/drawing/2014/main" id="{15012C9C-F696-4E51-8CCB-E5FE62F321D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21" name="Text Box 1">
          <a:extLst>
            <a:ext uri="{FF2B5EF4-FFF2-40B4-BE49-F238E27FC236}">
              <a16:creationId xmlns:a16="http://schemas.microsoft.com/office/drawing/2014/main" id="{0DB52556-D306-4AC6-89BC-034FB2AF9656}"/>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22" name="Text Box 3">
          <a:extLst>
            <a:ext uri="{FF2B5EF4-FFF2-40B4-BE49-F238E27FC236}">
              <a16:creationId xmlns:a16="http://schemas.microsoft.com/office/drawing/2014/main" id="{3315217C-FC30-4D21-906D-695A60548F34}"/>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23" name="Text Box 1">
          <a:extLst>
            <a:ext uri="{FF2B5EF4-FFF2-40B4-BE49-F238E27FC236}">
              <a16:creationId xmlns:a16="http://schemas.microsoft.com/office/drawing/2014/main" id="{BD6FF5DD-8295-4394-8A37-A00D1A02D670}"/>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24" name="Text Box 3">
          <a:extLst>
            <a:ext uri="{FF2B5EF4-FFF2-40B4-BE49-F238E27FC236}">
              <a16:creationId xmlns:a16="http://schemas.microsoft.com/office/drawing/2014/main" id="{C0D3D79E-31B8-433A-8842-989BDCB779AC}"/>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25" name="Text Box 1">
          <a:extLst>
            <a:ext uri="{FF2B5EF4-FFF2-40B4-BE49-F238E27FC236}">
              <a16:creationId xmlns:a16="http://schemas.microsoft.com/office/drawing/2014/main" id="{15D882DF-A79C-46D3-BBFB-E14483A7441A}"/>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26" name="Text Box 1">
          <a:extLst>
            <a:ext uri="{FF2B5EF4-FFF2-40B4-BE49-F238E27FC236}">
              <a16:creationId xmlns:a16="http://schemas.microsoft.com/office/drawing/2014/main" id="{81A9886A-B8B5-4532-8559-9614CC3DF617}"/>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27" name="Text Box 3">
          <a:extLst>
            <a:ext uri="{FF2B5EF4-FFF2-40B4-BE49-F238E27FC236}">
              <a16:creationId xmlns:a16="http://schemas.microsoft.com/office/drawing/2014/main" id="{972885D1-606D-4AB7-8CFB-C995755BCF30}"/>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28" name="Text Box 1">
          <a:extLst>
            <a:ext uri="{FF2B5EF4-FFF2-40B4-BE49-F238E27FC236}">
              <a16:creationId xmlns:a16="http://schemas.microsoft.com/office/drawing/2014/main" id="{B56358F2-090F-4E7E-9E28-C3120518C810}"/>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29" name="Text Box 3">
          <a:extLst>
            <a:ext uri="{FF2B5EF4-FFF2-40B4-BE49-F238E27FC236}">
              <a16:creationId xmlns:a16="http://schemas.microsoft.com/office/drawing/2014/main" id="{E5DFF7B5-FD38-4D20-8A78-E66DD08718DD}"/>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30" name="Text Box 1">
          <a:extLst>
            <a:ext uri="{FF2B5EF4-FFF2-40B4-BE49-F238E27FC236}">
              <a16:creationId xmlns:a16="http://schemas.microsoft.com/office/drawing/2014/main" id="{BAE0CEC0-3FDB-4819-9387-4DC037F0E9C9}"/>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31" name="Text Box 1">
          <a:extLst>
            <a:ext uri="{FF2B5EF4-FFF2-40B4-BE49-F238E27FC236}">
              <a16:creationId xmlns:a16="http://schemas.microsoft.com/office/drawing/2014/main" id="{CC8E8D18-ACC6-44BC-9D0A-56D33DE6D2F1}"/>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32" name="Text Box 3">
          <a:extLst>
            <a:ext uri="{FF2B5EF4-FFF2-40B4-BE49-F238E27FC236}">
              <a16:creationId xmlns:a16="http://schemas.microsoft.com/office/drawing/2014/main" id="{E69AC264-3E44-41E9-9B1F-0C4E7737C2E7}"/>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33" name="Text Box 1">
          <a:extLst>
            <a:ext uri="{FF2B5EF4-FFF2-40B4-BE49-F238E27FC236}">
              <a16:creationId xmlns:a16="http://schemas.microsoft.com/office/drawing/2014/main" id="{ADDB85B2-B2D8-4A19-AAF2-4CE60D14C46F}"/>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34" name="Text Box 1">
          <a:extLst>
            <a:ext uri="{FF2B5EF4-FFF2-40B4-BE49-F238E27FC236}">
              <a16:creationId xmlns:a16="http://schemas.microsoft.com/office/drawing/2014/main" id="{7AB2557C-1E07-4BA1-AFB2-44EC04986FBA}"/>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35" name="Text Box 3">
          <a:extLst>
            <a:ext uri="{FF2B5EF4-FFF2-40B4-BE49-F238E27FC236}">
              <a16:creationId xmlns:a16="http://schemas.microsoft.com/office/drawing/2014/main" id="{C70A73ED-0762-4F85-8377-EE5E44D52498}"/>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36" name="Text Box 1">
          <a:extLst>
            <a:ext uri="{FF2B5EF4-FFF2-40B4-BE49-F238E27FC236}">
              <a16:creationId xmlns:a16="http://schemas.microsoft.com/office/drawing/2014/main" id="{AE2440C7-AB33-47D7-9566-004A1E455EF4}"/>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37" name="Text Box 3">
          <a:extLst>
            <a:ext uri="{FF2B5EF4-FFF2-40B4-BE49-F238E27FC236}">
              <a16:creationId xmlns:a16="http://schemas.microsoft.com/office/drawing/2014/main" id="{4301A364-F744-44FC-BC80-AA981EF777C5}"/>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38" name="Text Box 1">
          <a:extLst>
            <a:ext uri="{FF2B5EF4-FFF2-40B4-BE49-F238E27FC236}">
              <a16:creationId xmlns:a16="http://schemas.microsoft.com/office/drawing/2014/main" id="{261C1F06-0791-4A34-9C0D-464A82650E51}"/>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39" name="Text Box 1">
          <a:extLst>
            <a:ext uri="{FF2B5EF4-FFF2-40B4-BE49-F238E27FC236}">
              <a16:creationId xmlns:a16="http://schemas.microsoft.com/office/drawing/2014/main" id="{474156A5-7837-47AE-95BC-C154827A1D6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40" name="Text Box 3">
          <a:extLst>
            <a:ext uri="{FF2B5EF4-FFF2-40B4-BE49-F238E27FC236}">
              <a16:creationId xmlns:a16="http://schemas.microsoft.com/office/drawing/2014/main" id="{F35B2CB3-449D-4B1A-908C-82DB9D8BD35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41" name="Text Box 1">
          <a:extLst>
            <a:ext uri="{FF2B5EF4-FFF2-40B4-BE49-F238E27FC236}">
              <a16:creationId xmlns:a16="http://schemas.microsoft.com/office/drawing/2014/main" id="{04FEC287-961F-420D-8F05-BAFD06481C0C}"/>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42" name="Text Box 3">
          <a:extLst>
            <a:ext uri="{FF2B5EF4-FFF2-40B4-BE49-F238E27FC236}">
              <a16:creationId xmlns:a16="http://schemas.microsoft.com/office/drawing/2014/main" id="{22B905CF-4AE9-4CB7-85BF-FA2725201263}"/>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43" name="Text Box 1">
          <a:extLst>
            <a:ext uri="{FF2B5EF4-FFF2-40B4-BE49-F238E27FC236}">
              <a16:creationId xmlns:a16="http://schemas.microsoft.com/office/drawing/2014/main" id="{BC63EAEE-4557-4150-AF9A-D4C98634BEFC}"/>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44" name="Text Box 1">
          <a:extLst>
            <a:ext uri="{FF2B5EF4-FFF2-40B4-BE49-F238E27FC236}">
              <a16:creationId xmlns:a16="http://schemas.microsoft.com/office/drawing/2014/main" id="{BD63D915-1FC5-4D90-926A-F636C4C8C64B}"/>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45" name="Text Box 3">
          <a:extLst>
            <a:ext uri="{FF2B5EF4-FFF2-40B4-BE49-F238E27FC236}">
              <a16:creationId xmlns:a16="http://schemas.microsoft.com/office/drawing/2014/main" id="{74546C89-490B-4E44-A598-FBAFA09F0991}"/>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46" name="Text Box 3">
          <a:extLst>
            <a:ext uri="{FF2B5EF4-FFF2-40B4-BE49-F238E27FC236}">
              <a16:creationId xmlns:a16="http://schemas.microsoft.com/office/drawing/2014/main" id="{A8655005-7550-4F2C-9593-623D8C84C4B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47" name="Text Box 1">
          <a:extLst>
            <a:ext uri="{FF2B5EF4-FFF2-40B4-BE49-F238E27FC236}">
              <a16:creationId xmlns:a16="http://schemas.microsoft.com/office/drawing/2014/main" id="{233221A5-FC1D-4A61-9834-0BAA9E5E149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48" name="Text Box 3">
          <a:extLst>
            <a:ext uri="{FF2B5EF4-FFF2-40B4-BE49-F238E27FC236}">
              <a16:creationId xmlns:a16="http://schemas.microsoft.com/office/drawing/2014/main" id="{AACA94F8-D1F7-44E3-9581-4F2E146C5B6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49" name="Text Box 1">
          <a:extLst>
            <a:ext uri="{FF2B5EF4-FFF2-40B4-BE49-F238E27FC236}">
              <a16:creationId xmlns:a16="http://schemas.microsoft.com/office/drawing/2014/main" id="{A9D01030-4B0C-41CE-BC61-B5831CA199D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50" name="Text Box 1">
          <a:extLst>
            <a:ext uri="{FF2B5EF4-FFF2-40B4-BE49-F238E27FC236}">
              <a16:creationId xmlns:a16="http://schemas.microsoft.com/office/drawing/2014/main" id="{142F6AF7-1CE5-4464-8230-A634B442C71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51" name="Text Box 3">
          <a:extLst>
            <a:ext uri="{FF2B5EF4-FFF2-40B4-BE49-F238E27FC236}">
              <a16:creationId xmlns:a16="http://schemas.microsoft.com/office/drawing/2014/main" id="{A815741C-6292-4D77-8EF8-143328CCEB9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52" name="Text Box 1">
          <a:extLst>
            <a:ext uri="{FF2B5EF4-FFF2-40B4-BE49-F238E27FC236}">
              <a16:creationId xmlns:a16="http://schemas.microsoft.com/office/drawing/2014/main" id="{44D0DECA-CE72-4E67-B5F7-55756CBFFD7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53" name="Text Box 3">
          <a:extLst>
            <a:ext uri="{FF2B5EF4-FFF2-40B4-BE49-F238E27FC236}">
              <a16:creationId xmlns:a16="http://schemas.microsoft.com/office/drawing/2014/main" id="{90E778AD-EE68-4822-896D-D3F7E73C1E1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54" name="Text Box 1">
          <a:extLst>
            <a:ext uri="{FF2B5EF4-FFF2-40B4-BE49-F238E27FC236}">
              <a16:creationId xmlns:a16="http://schemas.microsoft.com/office/drawing/2014/main" id="{2A7957C0-2A06-4445-97F5-7F95C17B3C3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55" name="Text Box 1">
          <a:extLst>
            <a:ext uri="{FF2B5EF4-FFF2-40B4-BE49-F238E27FC236}">
              <a16:creationId xmlns:a16="http://schemas.microsoft.com/office/drawing/2014/main" id="{3E68952F-5C19-41CE-B601-288164CB58B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56" name="Text Box 3">
          <a:extLst>
            <a:ext uri="{FF2B5EF4-FFF2-40B4-BE49-F238E27FC236}">
              <a16:creationId xmlns:a16="http://schemas.microsoft.com/office/drawing/2014/main" id="{6F206457-F030-424E-AE05-40D4ADC0694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57" name="Text Box 1">
          <a:extLst>
            <a:ext uri="{FF2B5EF4-FFF2-40B4-BE49-F238E27FC236}">
              <a16:creationId xmlns:a16="http://schemas.microsoft.com/office/drawing/2014/main" id="{EEB1761B-1A42-4D23-B8C0-CC5E2A59A71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58" name="Text Box 1">
          <a:extLst>
            <a:ext uri="{FF2B5EF4-FFF2-40B4-BE49-F238E27FC236}">
              <a16:creationId xmlns:a16="http://schemas.microsoft.com/office/drawing/2014/main" id="{803B889F-7BE6-42C9-A9A6-FD5E5449020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59" name="Text Box 3">
          <a:extLst>
            <a:ext uri="{FF2B5EF4-FFF2-40B4-BE49-F238E27FC236}">
              <a16:creationId xmlns:a16="http://schemas.microsoft.com/office/drawing/2014/main" id="{1DFD2969-8903-42A5-A58E-C97BC6F75EE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60" name="Text Box 1">
          <a:extLst>
            <a:ext uri="{FF2B5EF4-FFF2-40B4-BE49-F238E27FC236}">
              <a16:creationId xmlns:a16="http://schemas.microsoft.com/office/drawing/2014/main" id="{4DAEA997-3E52-4A1E-8805-D30767682D5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61" name="Text Box 3">
          <a:extLst>
            <a:ext uri="{FF2B5EF4-FFF2-40B4-BE49-F238E27FC236}">
              <a16:creationId xmlns:a16="http://schemas.microsoft.com/office/drawing/2014/main" id="{822672A9-BEB2-4824-AC7F-A596F35FA2C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62" name="Text Box 1">
          <a:extLst>
            <a:ext uri="{FF2B5EF4-FFF2-40B4-BE49-F238E27FC236}">
              <a16:creationId xmlns:a16="http://schemas.microsoft.com/office/drawing/2014/main" id="{5E7EA2C1-90BC-42DE-A8E4-DAA7B289F40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63" name="Text Box 3">
          <a:extLst>
            <a:ext uri="{FF2B5EF4-FFF2-40B4-BE49-F238E27FC236}">
              <a16:creationId xmlns:a16="http://schemas.microsoft.com/office/drawing/2014/main" id="{976AC512-D405-44E6-8231-44ED06A220F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64" name="Text Box 1">
          <a:extLst>
            <a:ext uri="{FF2B5EF4-FFF2-40B4-BE49-F238E27FC236}">
              <a16:creationId xmlns:a16="http://schemas.microsoft.com/office/drawing/2014/main" id="{0626D0DE-A836-456E-8F38-B79877481FD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65" name="Text Box 3">
          <a:extLst>
            <a:ext uri="{FF2B5EF4-FFF2-40B4-BE49-F238E27FC236}">
              <a16:creationId xmlns:a16="http://schemas.microsoft.com/office/drawing/2014/main" id="{9C4EFEB3-769E-46CE-AF34-DB251944E66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66" name="Text Box 1">
          <a:extLst>
            <a:ext uri="{FF2B5EF4-FFF2-40B4-BE49-F238E27FC236}">
              <a16:creationId xmlns:a16="http://schemas.microsoft.com/office/drawing/2014/main" id="{E8AFC40B-1DE9-4720-9A48-9D01EB64989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67" name="Text Box 1">
          <a:extLst>
            <a:ext uri="{FF2B5EF4-FFF2-40B4-BE49-F238E27FC236}">
              <a16:creationId xmlns:a16="http://schemas.microsoft.com/office/drawing/2014/main" id="{C7129E46-770E-419E-9F76-C3996E6D870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68" name="Text Box 3">
          <a:extLst>
            <a:ext uri="{FF2B5EF4-FFF2-40B4-BE49-F238E27FC236}">
              <a16:creationId xmlns:a16="http://schemas.microsoft.com/office/drawing/2014/main" id="{0973A7F2-7815-4D1B-8AD5-154F0CFBE7C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69" name="Text Box 1">
          <a:extLst>
            <a:ext uri="{FF2B5EF4-FFF2-40B4-BE49-F238E27FC236}">
              <a16:creationId xmlns:a16="http://schemas.microsoft.com/office/drawing/2014/main" id="{8D1AFF77-C955-40C8-8FAF-FAB67B45644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70" name="Text Box 1">
          <a:extLst>
            <a:ext uri="{FF2B5EF4-FFF2-40B4-BE49-F238E27FC236}">
              <a16:creationId xmlns:a16="http://schemas.microsoft.com/office/drawing/2014/main" id="{3C233536-4A60-4C61-81BA-18EBD5FE0427}"/>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71" name="Text Box 1">
          <a:extLst>
            <a:ext uri="{FF2B5EF4-FFF2-40B4-BE49-F238E27FC236}">
              <a16:creationId xmlns:a16="http://schemas.microsoft.com/office/drawing/2014/main" id="{A1CDE027-0065-463B-98CF-9F113E42B2C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72" name="Text Box 3">
          <a:extLst>
            <a:ext uri="{FF2B5EF4-FFF2-40B4-BE49-F238E27FC236}">
              <a16:creationId xmlns:a16="http://schemas.microsoft.com/office/drawing/2014/main" id="{56972574-4593-46BE-9CCC-D05176B9F6B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73" name="Text Box 1">
          <a:extLst>
            <a:ext uri="{FF2B5EF4-FFF2-40B4-BE49-F238E27FC236}">
              <a16:creationId xmlns:a16="http://schemas.microsoft.com/office/drawing/2014/main" id="{7831378D-EFEA-4871-AAAF-B68F787BFAF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74" name="Text Box 3">
          <a:extLst>
            <a:ext uri="{FF2B5EF4-FFF2-40B4-BE49-F238E27FC236}">
              <a16:creationId xmlns:a16="http://schemas.microsoft.com/office/drawing/2014/main" id="{9B579558-4C47-47C6-80D3-BCC733C5251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75" name="Text Box 1">
          <a:extLst>
            <a:ext uri="{FF2B5EF4-FFF2-40B4-BE49-F238E27FC236}">
              <a16:creationId xmlns:a16="http://schemas.microsoft.com/office/drawing/2014/main" id="{BF69B019-B624-4328-B066-644F24EA194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76" name="Text Box 1">
          <a:extLst>
            <a:ext uri="{FF2B5EF4-FFF2-40B4-BE49-F238E27FC236}">
              <a16:creationId xmlns:a16="http://schemas.microsoft.com/office/drawing/2014/main" id="{FAC14705-B9F3-49EE-9810-D862820C202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77" name="Text Box 3">
          <a:extLst>
            <a:ext uri="{FF2B5EF4-FFF2-40B4-BE49-F238E27FC236}">
              <a16:creationId xmlns:a16="http://schemas.microsoft.com/office/drawing/2014/main" id="{45296E93-ECEB-48B0-8830-735D4CCDE59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78" name="Text Box 1">
          <a:extLst>
            <a:ext uri="{FF2B5EF4-FFF2-40B4-BE49-F238E27FC236}">
              <a16:creationId xmlns:a16="http://schemas.microsoft.com/office/drawing/2014/main" id="{51AE66CA-A1EE-40F0-9E28-0D8DCCEF2DE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79" name="Text Box 3">
          <a:extLst>
            <a:ext uri="{FF2B5EF4-FFF2-40B4-BE49-F238E27FC236}">
              <a16:creationId xmlns:a16="http://schemas.microsoft.com/office/drawing/2014/main" id="{6FF79D7A-9F7E-4702-BBB6-F2216D73DC0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80" name="Text Box 1">
          <a:extLst>
            <a:ext uri="{FF2B5EF4-FFF2-40B4-BE49-F238E27FC236}">
              <a16:creationId xmlns:a16="http://schemas.microsoft.com/office/drawing/2014/main" id="{64F9ADA6-0052-462F-A027-0603C88F4B8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81" name="Text Box 1">
          <a:extLst>
            <a:ext uri="{FF2B5EF4-FFF2-40B4-BE49-F238E27FC236}">
              <a16:creationId xmlns:a16="http://schemas.microsoft.com/office/drawing/2014/main" id="{A3DA0CF0-9914-4F87-93F7-CC0D593FA39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82" name="Text Box 3">
          <a:extLst>
            <a:ext uri="{FF2B5EF4-FFF2-40B4-BE49-F238E27FC236}">
              <a16:creationId xmlns:a16="http://schemas.microsoft.com/office/drawing/2014/main" id="{19E04E2B-2D3A-4E88-874D-F9B54F78393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83" name="Text Box 1">
          <a:extLst>
            <a:ext uri="{FF2B5EF4-FFF2-40B4-BE49-F238E27FC236}">
              <a16:creationId xmlns:a16="http://schemas.microsoft.com/office/drawing/2014/main" id="{6DDA404D-EE1F-4C0D-BE88-CD3277C497A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84" name="Text Box 3">
          <a:extLst>
            <a:ext uri="{FF2B5EF4-FFF2-40B4-BE49-F238E27FC236}">
              <a16:creationId xmlns:a16="http://schemas.microsoft.com/office/drawing/2014/main" id="{EB52434D-2CAE-4D4E-8462-529AC088C68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85" name="Text Box 1">
          <a:extLst>
            <a:ext uri="{FF2B5EF4-FFF2-40B4-BE49-F238E27FC236}">
              <a16:creationId xmlns:a16="http://schemas.microsoft.com/office/drawing/2014/main" id="{EF8440C3-83CB-4788-B82A-8B2FFD33869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86" name="Text Box 1">
          <a:extLst>
            <a:ext uri="{FF2B5EF4-FFF2-40B4-BE49-F238E27FC236}">
              <a16:creationId xmlns:a16="http://schemas.microsoft.com/office/drawing/2014/main" id="{FA61C0B3-BD46-42AB-A70D-8D3BCCFDC5C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87" name="Text Box 3">
          <a:extLst>
            <a:ext uri="{FF2B5EF4-FFF2-40B4-BE49-F238E27FC236}">
              <a16:creationId xmlns:a16="http://schemas.microsoft.com/office/drawing/2014/main" id="{56F70AB5-71E0-4EDA-BD71-F59F3FCC98C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88" name="Text Box 1">
          <a:extLst>
            <a:ext uri="{FF2B5EF4-FFF2-40B4-BE49-F238E27FC236}">
              <a16:creationId xmlns:a16="http://schemas.microsoft.com/office/drawing/2014/main" id="{3BD995F2-C6E3-4EF6-BEA8-61E001F2CFE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89" name="Text Box 3">
          <a:extLst>
            <a:ext uri="{FF2B5EF4-FFF2-40B4-BE49-F238E27FC236}">
              <a16:creationId xmlns:a16="http://schemas.microsoft.com/office/drawing/2014/main" id="{73FE35B5-1572-4656-BED7-1A57ED2A0B7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90" name="Text Box 1">
          <a:extLst>
            <a:ext uri="{FF2B5EF4-FFF2-40B4-BE49-F238E27FC236}">
              <a16:creationId xmlns:a16="http://schemas.microsoft.com/office/drawing/2014/main" id="{5212709B-B7CE-4A5D-A0D2-ACFEE6B329F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91" name="Text Box 1">
          <a:extLst>
            <a:ext uri="{FF2B5EF4-FFF2-40B4-BE49-F238E27FC236}">
              <a16:creationId xmlns:a16="http://schemas.microsoft.com/office/drawing/2014/main" id="{94B8CEED-E5E8-4708-A860-BB2AA993720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92" name="Text Box 3">
          <a:extLst>
            <a:ext uri="{FF2B5EF4-FFF2-40B4-BE49-F238E27FC236}">
              <a16:creationId xmlns:a16="http://schemas.microsoft.com/office/drawing/2014/main" id="{2C8945A6-8FB5-4E37-9421-9C0837530E6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93" name="Text Box 1">
          <a:extLst>
            <a:ext uri="{FF2B5EF4-FFF2-40B4-BE49-F238E27FC236}">
              <a16:creationId xmlns:a16="http://schemas.microsoft.com/office/drawing/2014/main" id="{1FC25574-40FD-4458-AC83-88995629B51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94" name="Text Box 3">
          <a:extLst>
            <a:ext uri="{FF2B5EF4-FFF2-40B4-BE49-F238E27FC236}">
              <a16:creationId xmlns:a16="http://schemas.microsoft.com/office/drawing/2014/main" id="{12685B96-0AF8-4B70-9554-3803FA7E435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95" name="Text Box 1">
          <a:extLst>
            <a:ext uri="{FF2B5EF4-FFF2-40B4-BE49-F238E27FC236}">
              <a16:creationId xmlns:a16="http://schemas.microsoft.com/office/drawing/2014/main" id="{1F9FDD8A-FE43-4F58-8B41-0BAD0F50A34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96" name="Text Box 1">
          <a:extLst>
            <a:ext uri="{FF2B5EF4-FFF2-40B4-BE49-F238E27FC236}">
              <a16:creationId xmlns:a16="http://schemas.microsoft.com/office/drawing/2014/main" id="{7B47E98C-A258-4D64-97AF-395FC1780FE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97" name="Text Box 3">
          <a:extLst>
            <a:ext uri="{FF2B5EF4-FFF2-40B4-BE49-F238E27FC236}">
              <a16:creationId xmlns:a16="http://schemas.microsoft.com/office/drawing/2014/main" id="{6F8C452D-E91F-4102-9C21-8B2547A06E8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98" name="Text Box 1">
          <a:extLst>
            <a:ext uri="{FF2B5EF4-FFF2-40B4-BE49-F238E27FC236}">
              <a16:creationId xmlns:a16="http://schemas.microsoft.com/office/drawing/2014/main" id="{2283F07E-DABC-4471-AC36-0D38C016A7E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99" name="Text Box 3">
          <a:extLst>
            <a:ext uri="{FF2B5EF4-FFF2-40B4-BE49-F238E27FC236}">
              <a16:creationId xmlns:a16="http://schemas.microsoft.com/office/drawing/2014/main" id="{8A6F97F0-01CC-4F58-84C7-A293F401AB2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00" name="Text Box 1">
          <a:extLst>
            <a:ext uri="{FF2B5EF4-FFF2-40B4-BE49-F238E27FC236}">
              <a16:creationId xmlns:a16="http://schemas.microsoft.com/office/drawing/2014/main" id="{FB0B93E9-DDA6-4D25-AC19-DCB85774A4B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01" name="Text Box 1">
          <a:extLst>
            <a:ext uri="{FF2B5EF4-FFF2-40B4-BE49-F238E27FC236}">
              <a16:creationId xmlns:a16="http://schemas.microsoft.com/office/drawing/2014/main" id="{C5420058-C844-4A63-9750-1EF0D5B745D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02" name="Text Box 3">
          <a:extLst>
            <a:ext uri="{FF2B5EF4-FFF2-40B4-BE49-F238E27FC236}">
              <a16:creationId xmlns:a16="http://schemas.microsoft.com/office/drawing/2014/main" id="{0A4E1696-8204-4829-89FC-4A9A11F74CC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03" name="Text Box 1">
          <a:extLst>
            <a:ext uri="{FF2B5EF4-FFF2-40B4-BE49-F238E27FC236}">
              <a16:creationId xmlns:a16="http://schemas.microsoft.com/office/drawing/2014/main" id="{A1F8C462-E3E1-4A63-94BE-94DACE6EC8E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04" name="Text Box 3">
          <a:extLst>
            <a:ext uri="{FF2B5EF4-FFF2-40B4-BE49-F238E27FC236}">
              <a16:creationId xmlns:a16="http://schemas.microsoft.com/office/drawing/2014/main" id="{29C55F82-01BF-4552-B6E9-60BC9A6E9AD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05" name="Text Box 1">
          <a:extLst>
            <a:ext uri="{FF2B5EF4-FFF2-40B4-BE49-F238E27FC236}">
              <a16:creationId xmlns:a16="http://schemas.microsoft.com/office/drawing/2014/main" id="{FAD1333F-C6A6-4248-BE7E-D9B16444EE3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06" name="Text Box 1">
          <a:extLst>
            <a:ext uri="{FF2B5EF4-FFF2-40B4-BE49-F238E27FC236}">
              <a16:creationId xmlns:a16="http://schemas.microsoft.com/office/drawing/2014/main" id="{B8755B19-BF3E-4154-8061-A3BBF86D9B1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07" name="Text Box 3">
          <a:extLst>
            <a:ext uri="{FF2B5EF4-FFF2-40B4-BE49-F238E27FC236}">
              <a16:creationId xmlns:a16="http://schemas.microsoft.com/office/drawing/2014/main" id="{B00B27C7-89DC-4CA8-9595-4326224865F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08" name="Text Box 1">
          <a:extLst>
            <a:ext uri="{FF2B5EF4-FFF2-40B4-BE49-F238E27FC236}">
              <a16:creationId xmlns:a16="http://schemas.microsoft.com/office/drawing/2014/main" id="{C13211D3-256A-4D5C-B45A-B87129F2024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09" name="Text Box 3">
          <a:extLst>
            <a:ext uri="{FF2B5EF4-FFF2-40B4-BE49-F238E27FC236}">
              <a16:creationId xmlns:a16="http://schemas.microsoft.com/office/drawing/2014/main" id="{05E6D658-12D7-4CDF-B6C1-A78E484E811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10" name="Text Box 1">
          <a:extLst>
            <a:ext uri="{FF2B5EF4-FFF2-40B4-BE49-F238E27FC236}">
              <a16:creationId xmlns:a16="http://schemas.microsoft.com/office/drawing/2014/main" id="{92704398-6340-4472-B25D-2FCA6C6CDFB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11" name="Text Box 1">
          <a:extLst>
            <a:ext uri="{FF2B5EF4-FFF2-40B4-BE49-F238E27FC236}">
              <a16:creationId xmlns:a16="http://schemas.microsoft.com/office/drawing/2014/main" id="{EA05A159-4A2D-442C-9A83-8D2DFC1860D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12" name="Text Box 3">
          <a:extLst>
            <a:ext uri="{FF2B5EF4-FFF2-40B4-BE49-F238E27FC236}">
              <a16:creationId xmlns:a16="http://schemas.microsoft.com/office/drawing/2014/main" id="{B4188F12-73E1-4650-B381-2B814741576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13" name="Text Box 1">
          <a:extLst>
            <a:ext uri="{FF2B5EF4-FFF2-40B4-BE49-F238E27FC236}">
              <a16:creationId xmlns:a16="http://schemas.microsoft.com/office/drawing/2014/main" id="{A03D424A-CFF9-44CB-BE3B-51CE05949E9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14" name="Text Box 3">
          <a:extLst>
            <a:ext uri="{FF2B5EF4-FFF2-40B4-BE49-F238E27FC236}">
              <a16:creationId xmlns:a16="http://schemas.microsoft.com/office/drawing/2014/main" id="{E0697215-E2F9-4D55-A20C-8FF319A691A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15" name="Text Box 1">
          <a:extLst>
            <a:ext uri="{FF2B5EF4-FFF2-40B4-BE49-F238E27FC236}">
              <a16:creationId xmlns:a16="http://schemas.microsoft.com/office/drawing/2014/main" id="{D6785962-FE74-4DEC-865A-140E68A420D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16" name="Text Box 1">
          <a:extLst>
            <a:ext uri="{FF2B5EF4-FFF2-40B4-BE49-F238E27FC236}">
              <a16:creationId xmlns:a16="http://schemas.microsoft.com/office/drawing/2014/main" id="{CF71A233-E802-44A6-AF84-876F0EAB701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17" name="Text Box 3">
          <a:extLst>
            <a:ext uri="{FF2B5EF4-FFF2-40B4-BE49-F238E27FC236}">
              <a16:creationId xmlns:a16="http://schemas.microsoft.com/office/drawing/2014/main" id="{D9B377E1-6C29-4338-8486-F1A1058DDD1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18" name="Text Box 1">
          <a:extLst>
            <a:ext uri="{FF2B5EF4-FFF2-40B4-BE49-F238E27FC236}">
              <a16:creationId xmlns:a16="http://schemas.microsoft.com/office/drawing/2014/main" id="{06EFC526-0C04-4A9F-BDA3-BBB919AF6A2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19" name="Text Box 3">
          <a:extLst>
            <a:ext uri="{FF2B5EF4-FFF2-40B4-BE49-F238E27FC236}">
              <a16:creationId xmlns:a16="http://schemas.microsoft.com/office/drawing/2014/main" id="{079B44A2-4571-4D46-928E-E9D8AFD424E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20" name="Text Box 1">
          <a:extLst>
            <a:ext uri="{FF2B5EF4-FFF2-40B4-BE49-F238E27FC236}">
              <a16:creationId xmlns:a16="http://schemas.microsoft.com/office/drawing/2014/main" id="{DBF5AEE8-88BF-4692-A263-78B87C18FCD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21" name="Text Box 1">
          <a:extLst>
            <a:ext uri="{FF2B5EF4-FFF2-40B4-BE49-F238E27FC236}">
              <a16:creationId xmlns:a16="http://schemas.microsoft.com/office/drawing/2014/main" id="{65B15A31-5DFA-4D56-B37D-268B29EA86F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22" name="Text Box 3">
          <a:extLst>
            <a:ext uri="{FF2B5EF4-FFF2-40B4-BE49-F238E27FC236}">
              <a16:creationId xmlns:a16="http://schemas.microsoft.com/office/drawing/2014/main" id="{6B2800E2-A359-477E-A527-4BD45AB0DF6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23" name="Text Box 1">
          <a:extLst>
            <a:ext uri="{FF2B5EF4-FFF2-40B4-BE49-F238E27FC236}">
              <a16:creationId xmlns:a16="http://schemas.microsoft.com/office/drawing/2014/main" id="{9FDC18EB-8AEA-4648-9147-5EBCBC16CF9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24" name="Text Box 3">
          <a:extLst>
            <a:ext uri="{FF2B5EF4-FFF2-40B4-BE49-F238E27FC236}">
              <a16:creationId xmlns:a16="http://schemas.microsoft.com/office/drawing/2014/main" id="{3945C83B-DEF6-4161-9B2D-8AA464BE75E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25" name="Text Box 1">
          <a:extLst>
            <a:ext uri="{FF2B5EF4-FFF2-40B4-BE49-F238E27FC236}">
              <a16:creationId xmlns:a16="http://schemas.microsoft.com/office/drawing/2014/main" id="{740F746E-52EC-4B35-9014-F47EF551526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26" name="Text Box 1">
          <a:extLst>
            <a:ext uri="{FF2B5EF4-FFF2-40B4-BE49-F238E27FC236}">
              <a16:creationId xmlns:a16="http://schemas.microsoft.com/office/drawing/2014/main" id="{B3999EEC-DB47-4817-8CEC-0672EF85B84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27" name="Text Box 3">
          <a:extLst>
            <a:ext uri="{FF2B5EF4-FFF2-40B4-BE49-F238E27FC236}">
              <a16:creationId xmlns:a16="http://schemas.microsoft.com/office/drawing/2014/main" id="{3D8BF447-F5F7-4973-926D-59E2A36430C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28" name="Text Box 1">
          <a:extLst>
            <a:ext uri="{FF2B5EF4-FFF2-40B4-BE49-F238E27FC236}">
              <a16:creationId xmlns:a16="http://schemas.microsoft.com/office/drawing/2014/main" id="{3A5B9294-FD3B-4CB0-AD4D-A1940AF5239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29" name="Text Box 3">
          <a:extLst>
            <a:ext uri="{FF2B5EF4-FFF2-40B4-BE49-F238E27FC236}">
              <a16:creationId xmlns:a16="http://schemas.microsoft.com/office/drawing/2014/main" id="{5D6232E1-FB7A-45A8-977B-79471A49B5B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30" name="Text Box 1">
          <a:extLst>
            <a:ext uri="{FF2B5EF4-FFF2-40B4-BE49-F238E27FC236}">
              <a16:creationId xmlns:a16="http://schemas.microsoft.com/office/drawing/2014/main" id="{5E342164-CA09-45A7-80EF-7E004998534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31" name="Text Box 1">
          <a:extLst>
            <a:ext uri="{FF2B5EF4-FFF2-40B4-BE49-F238E27FC236}">
              <a16:creationId xmlns:a16="http://schemas.microsoft.com/office/drawing/2014/main" id="{AB7A0883-EEFC-43D9-9E12-E0F45F7F388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32" name="Text Box 3">
          <a:extLst>
            <a:ext uri="{FF2B5EF4-FFF2-40B4-BE49-F238E27FC236}">
              <a16:creationId xmlns:a16="http://schemas.microsoft.com/office/drawing/2014/main" id="{D95AF87A-8FCC-4F72-8732-D7F7D677921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33" name="Text Box 1">
          <a:extLst>
            <a:ext uri="{FF2B5EF4-FFF2-40B4-BE49-F238E27FC236}">
              <a16:creationId xmlns:a16="http://schemas.microsoft.com/office/drawing/2014/main" id="{5AF66CE8-61AA-41A0-AC20-28F216C3E13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34" name="Text Box 3">
          <a:extLst>
            <a:ext uri="{FF2B5EF4-FFF2-40B4-BE49-F238E27FC236}">
              <a16:creationId xmlns:a16="http://schemas.microsoft.com/office/drawing/2014/main" id="{DDBEDC00-64ED-483D-A9D9-C2AA0B83BF6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35" name="Text Box 1">
          <a:extLst>
            <a:ext uri="{FF2B5EF4-FFF2-40B4-BE49-F238E27FC236}">
              <a16:creationId xmlns:a16="http://schemas.microsoft.com/office/drawing/2014/main" id="{1F4A2F9A-B843-452C-923D-2C3F754CE37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36" name="Text Box 1">
          <a:extLst>
            <a:ext uri="{FF2B5EF4-FFF2-40B4-BE49-F238E27FC236}">
              <a16:creationId xmlns:a16="http://schemas.microsoft.com/office/drawing/2014/main" id="{9BDE98B2-D63B-4288-9CD5-AFF1BC31D3C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37" name="Text Box 3">
          <a:extLst>
            <a:ext uri="{FF2B5EF4-FFF2-40B4-BE49-F238E27FC236}">
              <a16:creationId xmlns:a16="http://schemas.microsoft.com/office/drawing/2014/main" id="{B275BCF8-2B96-4706-B53F-986BA50D629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38" name="Text Box 1">
          <a:extLst>
            <a:ext uri="{FF2B5EF4-FFF2-40B4-BE49-F238E27FC236}">
              <a16:creationId xmlns:a16="http://schemas.microsoft.com/office/drawing/2014/main" id="{DECF7DA3-E223-4561-8FF3-8FA9DE8E359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39" name="Text Box 3">
          <a:extLst>
            <a:ext uri="{FF2B5EF4-FFF2-40B4-BE49-F238E27FC236}">
              <a16:creationId xmlns:a16="http://schemas.microsoft.com/office/drawing/2014/main" id="{9458EA57-9DE6-4475-A976-F241266BE79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40" name="Text Box 1">
          <a:extLst>
            <a:ext uri="{FF2B5EF4-FFF2-40B4-BE49-F238E27FC236}">
              <a16:creationId xmlns:a16="http://schemas.microsoft.com/office/drawing/2014/main" id="{9317D036-F9AB-46D3-9376-1C9D8BE9FC7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41" name="Text Box 1">
          <a:extLst>
            <a:ext uri="{FF2B5EF4-FFF2-40B4-BE49-F238E27FC236}">
              <a16:creationId xmlns:a16="http://schemas.microsoft.com/office/drawing/2014/main" id="{4FD73E14-EF80-4F3C-8A44-ADB029B7AB6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42" name="Text Box 3">
          <a:extLst>
            <a:ext uri="{FF2B5EF4-FFF2-40B4-BE49-F238E27FC236}">
              <a16:creationId xmlns:a16="http://schemas.microsoft.com/office/drawing/2014/main" id="{FD7AF526-53DB-4CC1-964B-8EBCB67146F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43" name="Text Box 1">
          <a:extLst>
            <a:ext uri="{FF2B5EF4-FFF2-40B4-BE49-F238E27FC236}">
              <a16:creationId xmlns:a16="http://schemas.microsoft.com/office/drawing/2014/main" id="{86D9CB98-90AA-4393-8F4C-E999B06B676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44" name="Text Box 3">
          <a:extLst>
            <a:ext uri="{FF2B5EF4-FFF2-40B4-BE49-F238E27FC236}">
              <a16:creationId xmlns:a16="http://schemas.microsoft.com/office/drawing/2014/main" id="{583689B2-593C-43A6-A450-91F433FB7C5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45" name="Text Box 1">
          <a:extLst>
            <a:ext uri="{FF2B5EF4-FFF2-40B4-BE49-F238E27FC236}">
              <a16:creationId xmlns:a16="http://schemas.microsoft.com/office/drawing/2014/main" id="{3C139CEF-B4F6-4DCE-A49C-1DF9693951D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46" name="Text Box 1">
          <a:extLst>
            <a:ext uri="{FF2B5EF4-FFF2-40B4-BE49-F238E27FC236}">
              <a16:creationId xmlns:a16="http://schemas.microsoft.com/office/drawing/2014/main" id="{B1FE5EE3-F78D-4757-B581-B2E13E28F84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47" name="Text Box 3">
          <a:extLst>
            <a:ext uri="{FF2B5EF4-FFF2-40B4-BE49-F238E27FC236}">
              <a16:creationId xmlns:a16="http://schemas.microsoft.com/office/drawing/2014/main" id="{8252AC8E-64EE-41A4-BD73-0B693ABF3C6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48" name="Text Box 1">
          <a:extLst>
            <a:ext uri="{FF2B5EF4-FFF2-40B4-BE49-F238E27FC236}">
              <a16:creationId xmlns:a16="http://schemas.microsoft.com/office/drawing/2014/main" id="{55B74DDF-B0B6-484B-8EA6-2B11F6B2D5F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49" name="Text Box 3">
          <a:extLst>
            <a:ext uri="{FF2B5EF4-FFF2-40B4-BE49-F238E27FC236}">
              <a16:creationId xmlns:a16="http://schemas.microsoft.com/office/drawing/2014/main" id="{A0CFD972-1F37-4068-B758-91445A8998E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50" name="Text Box 1">
          <a:extLst>
            <a:ext uri="{FF2B5EF4-FFF2-40B4-BE49-F238E27FC236}">
              <a16:creationId xmlns:a16="http://schemas.microsoft.com/office/drawing/2014/main" id="{11AD98B6-FF6E-42B3-9469-DF9C5C56F50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51" name="Text Box 1">
          <a:extLst>
            <a:ext uri="{FF2B5EF4-FFF2-40B4-BE49-F238E27FC236}">
              <a16:creationId xmlns:a16="http://schemas.microsoft.com/office/drawing/2014/main" id="{24941355-8524-4648-94F2-6BAE9716B24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52" name="Text Box 3">
          <a:extLst>
            <a:ext uri="{FF2B5EF4-FFF2-40B4-BE49-F238E27FC236}">
              <a16:creationId xmlns:a16="http://schemas.microsoft.com/office/drawing/2014/main" id="{F6A45AB5-2116-45C8-8ED9-B3274955A2C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53" name="Text Box 1">
          <a:extLst>
            <a:ext uri="{FF2B5EF4-FFF2-40B4-BE49-F238E27FC236}">
              <a16:creationId xmlns:a16="http://schemas.microsoft.com/office/drawing/2014/main" id="{756C9D00-A347-4C74-A23A-F1611F51E9C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54" name="Text Box 3">
          <a:extLst>
            <a:ext uri="{FF2B5EF4-FFF2-40B4-BE49-F238E27FC236}">
              <a16:creationId xmlns:a16="http://schemas.microsoft.com/office/drawing/2014/main" id="{79A2FA59-95A9-434E-A235-1EA6CC01911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55" name="Text Box 1">
          <a:extLst>
            <a:ext uri="{FF2B5EF4-FFF2-40B4-BE49-F238E27FC236}">
              <a16:creationId xmlns:a16="http://schemas.microsoft.com/office/drawing/2014/main" id="{1BC13BE2-D4A7-46E3-BA93-83921C7AAEA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56" name="Text Box 1">
          <a:extLst>
            <a:ext uri="{FF2B5EF4-FFF2-40B4-BE49-F238E27FC236}">
              <a16:creationId xmlns:a16="http://schemas.microsoft.com/office/drawing/2014/main" id="{2CC73FB1-B539-4F58-AEBD-0DC927CB48E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57" name="Text Box 3">
          <a:extLst>
            <a:ext uri="{FF2B5EF4-FFF2-40B4-BE49-F238E27FC236}">
              <a16:creationId xmlns:a16="http://schemas.microsoft.com/office/drawing/2014/main" id="{C2A1F75B-ACED-4DC4-948D-45F735E81F2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58" name="Text Box 1">
          <a:extLst>
            <a:ext uri="{FF2B5EF4-FFF2-40B4-BE49-F238E27FC236}">
              <a16:creationId xmlns:a16="http://schemas.microsoft.com/office/drawing/2014/main" id="{50951A51-8FE4-46A1-AE3D-D931869A3A8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59" name="Text Box 3">
          <a:extLst>
            <a:ext uri="{FF2B5EF4-FFF2-40B4-BE49-F238E27FC236}">
              <a16:creationId xmlns:a16="http://schemas.microsoft.com/office/drawing/2014/main" id="{06542736-4413-40FD-ABC9-2FFAB4FF56D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60" name="Text Box 1">
          <a:extLst>
            <a:ext uri="{FF2B5EF4-FFF2-40B4-BE49-F238E27FC236}">
              <a16:creationId xmlns:a16="http://schemas.microsoft.com/office/drawing/2014/main" id="{F506177E-EDEB-4A5E-8D97-B5A31467E37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61" name="Text Box 1">
          <a:extLst>
            <a:ext uri="{FF2B5EF4-FFF2-40B4-BE49-F238E27FC236}">
              <a16:creationId xmlns:a16="http://schemas.microsoft.com/office/drawing/2014/main" id="{66AA39B0-0368-4A8E-8A0A-FFB519D08CE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62" name="Text Box 3">
          <a:extLst>
            <a:ext uri="{FF2B5EF4-FFF2-40B4-BE49-F238E27FC236}">
              <a16:creationId xmlns:a16="http://schemas.microsoft.com/office/drawing/2014/main" id="{A47463EE-FEAB-4DEE-99F5-A243F0087F5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63" name="Text Box 1">
          <a:extLst>
            <a:ext uri="{FF2B5EF4-FFF2-40B4-BE49-F238E27FC236}">
              <a16:creationId xmlns:a16="http://schemas.microsoft.com/office/drawing/2014/main" id="{27D8753E-0A3B-4FC4-8BA3-9713B9AE083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64" name="Text Box 3">
          <a:extLst>
            <a:ext uri="{FF2B5EF4-FFF2-40B4-BE49-F238E27FC236}">
              <a16:creationId xmlns:a16="http://schemas.microsoft.com/office/drawing/2014/main" id="{AD1CD636-7CD1-4C2F-8C43-E15206D28F8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65" name="Text Box 1">
          <a:extLst>
            <a:ext uri="{FF2B5EF4-FFF2-40B4-BE49-F238E27FC236}">
              <a16:creationId xmlns:a16="http://schemas.microsoft.com/office/drawing/2014/main" id="{FE642693-0878-4A4E-94C1-58215F9FE69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66" name="Text Box 1">
          <a:extLst>
            <a:ext uri="{FF2B5EF4-FFF2-40B4-BE49-F238E27FC236}">
              <a16:creationId xmlns:a16="http://schemas.microsoft.com/office/drawing/2014/main" id="{AFA93221-FFA0-4EB9-A790-DB412C32DE5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67" name="Text Box 3">
          <a:extLst>
            <a:ext uri="{FF2B5EF4-FFF2-40B4-BE49-F238E27FC236}">
              <a16:creationId xmlns:a16="http://schemas.microsoft.com/office/drawing/2014/main" id="{2B4200A4-D49E-475F-8D4E-8C477EF20AD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68" name="Text Box 1">
          <a:extLst>
            <a:ext uri="{FF2B5EF4-FFF2-40B4-BE49-F238E27FC236}">
              <a16:creationId xmlns:a16="http://schemas.microsoft.com/office/drawing/2014/main" id="{FCF7160D-F37B-4721-859E-E7EAEE0F0C0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69" name="Text Box 3">
          <a:extLst>
            <a:ext uri="{FF2B5EF4-FFF2-40B4-BE49-F238E27FC236}">
              <a16:creationId xmlns:a16="http://schemas.microsoft.com/office/drawing/2014/main" id="{B2375B7C-A37C-4CD7-95FB-586EFDCFB60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70" name="Text Box 1">
          <a:extLst>
            <a:ext uri="{FF2B5EF4-FFF2-40B4-BE49-F238E27FC236}">
              <a16:creationId xmlns:a16="http://schemas.microsoft.com/office/drawing/2014/main" id="{4E9C3D02-A29E-49CB-9805-5B3E8F04E7A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71" name="Text Box 1">
          <a:extLst>
            <a:ext uri="{FF2B5EF4-FFF2-40B4-BE49-F238E27FC236}">
              <a16:creationId xmlns:a16="http://schemas.microsoft.com/office/drawing/2014/main" id="{463E5FCA-A836-4DA9-AF74-D0E7F9798F2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72" name="Text Box 3">
          <a:extLst>
            <a:ext uri="{FF2B5EF4-FFF2-40B4-BE49-F238E27FC236}">
              <a16:creationId xmlns:a16="http://schemas.microsoft.com/office/drawing/2014/main" id="{08B98EAC-044B-41A2-853B-B473646C7EE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73" name="Text Box 1">
          <a:extLst>
            <a:ext uri="{FF2B5EF4-FFF2-40B4-BE49-F238E27FC236}">
              <a16:creationId xmlns:a16="http://schemas.microsoft.com/office/drawing/2014/main" id="{6EC3E025-3635-4C3A-AEC1-EA0FA3AFB23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74" name="Text Box 3">
          <a:extLst>
            <a:ext uri="{FF2B5EF4-FFF2-40B4-BE49-F238E27FC236}">
              <a16:creationId xmlns:a16="http://schemas.microsoft.com/office/drawing/2014/main" id="{2F3455B5-0100-428D-A7B2-740264260B4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75" name="Text Box 1">
          <a:extLst>
            <a:ext uri="{FF2B5EF4-FFF2-40B4-BE49-F238E27FC236}">
              <a16:creationId xmlns:a16="http://schemas.microsoft.com/office/drawing/2014/main" id="{4B7F4F77-8BBC-46E9-B2DF-07A596E007C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76" name="Text Box 1">
          <a:extLst>
            <a:ext uri="{FF2B5EF4-FFF2-40B4-BE49-F238E27FC236}">
              <a16:creationId xmlns:a16="http://schemas.microsoft.com/office/drawing/2014/main" id="{83A37E23-4417-4B0E-B4CC-05CEA489978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77" name="Text Box 3">
          <a:extLst>
            <a:ext uri="{FF2B5EF4-FFF2-40B4-BE49-F238E27FC236}">
              <a16:creationId xmlns:a16="http://schemas.microsoft.com/office/drawing/2014/main" id="{150677DE-3EF5-41DA-9D6D-27D6E623C3A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78" name="Text Box 1">
          <a:extLst>
            <a:ext uri="{FF2B5EF4-FFF2-40B4-BE49-F238E27FC236}">
              <a16:creationId xmlns:a16="http://schemas.microsoft.com/office/drawing/2014/main" id="{470D013B-C137-4C0B-8C95-C943EE0E293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79" name="Text Box 3">
          <a:extLst>
            <a:ext uri="{FF2B5EF4-FFF2-40B4-BE49-F238E27FC236}">
              <a16:creationId xmlns:a16="http://schemas.microsoft.com/office/drawing/2014/main" id="{999D0B7E-C861-4F72-8A81-5C384F164B8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80" name="Text Box 1">
          <a:extLst>
            <a:ext uri="{FF2B5EF4-FFF2-40B4-BE49-F238E27FC236}">
              <a16:creationId xmlns:a16="http://schemas.microsoft.com/office/drawing/2014/main" id="{04A31FC0-2027-4992-B2DF-74000C1F858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81" name="Text Box 1">
          <a:extLst>
            <a:ext uri="{FF2B5EF4-FFF2-40B4-BE49-F238E27FC236}">
              <a16:creationId xmlns:a16="http://schemas.microsoft.com/office/drawing/2014/main" id="{E1E4498F-1084-4A98-B48D-9C7BAD2DC7F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82" name="Text Box 3">
          <a:extLst>
            <a:ext uri="{FF2B5EF4-FFF2-40B4-BE49-F238E27FC236}">
              <a16:creationId xmlns:a16="http://schemas.microsoft.com/office/drawing/2014/main" id="{CB61885B-EA91-44B0-A7C1-038E5BC51BE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83" name="Text Box 1">
          <a:extLst>
            <a:ext uri="{FF2B5EF4-FFF2-40B4-BE49-F238E27FC236}">
              <a16:creationId xmlns:a16="http://schemas.microsoft.com/office/drawing/2014/main" id="{2D917B02-8F91-4888-9870-5C18B03B432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84" name="Text Box 3">
          <a:extLst>
            <a:ext uri="{FF2B5EF4-FFF2-40B4-BE49-F238E27FC236}">
              <a16:creationId xmlns:a16="http://schemas.microsoft.com/office/drawing/2014/main" id="{2D7008BE-D575-4F5F-9CAB-1CE7B3F4D55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85" name="Text Box 1">
          <a:extLst>
            <a:ext uri="{FF2B5EF4-FFF2-40B4-BE49-F238E27FC236}">
              <a16:creationId xmlns:a16="http://schemas.microsoft.com/office/drawing/2014/main" id="{802E2B69-4BC6-422A-A01E-FF38245B406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86" name="Text Box 1">
          <a:extLst>
            <a:ext uri="{FF2B5EF4-FFF2-40B4-BE49-F238E27FC236}">
              <a16:creationId xmlns:a16="http://schemas.microsoft.com/office/drawing/2014/main" id="{1F5DB5B0-C97A-48D3-9CF9-3C3D70915E1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87" name="Text Box 3">
          <a:extLst>
            <a:ext uri="{FF2B5EF4-FFF2-40B4-BE49-F238E27FC236}">
              <a16:creationId xmlns:a16="http://schemas.microsoft.com/office/drawing/2014/main" id="{E76A267E-7162-40F0-AEA9-A873062A179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88" name="Text Box 1">
          <a:extLst>
            <a:ext uri="{FF2B5EF4-FFF2-40B4-BE49-F238E27FC236}">
              <a16:creationId xmlns:a16="http://schemas.microsoft.com/office/drawing/2014/main" id="{717AA91E-FEC7-47A4-A268-CC230E0211E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89" name="Text Box 3">
          <a:extLst>
            <a:ext uri="{FF2B5EF4-FFF2-40B4-BE49-F238E27FC236}">
              <a16:creationId xmlns:a16="http://schemas.microsoft.com/office/drawing/2014/main" id="{2A084DBE-E8A6-4592-8361-0028782475C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90" name="Text Box 1">
          <a:extLst>
            <a:ext uri="{FF2B5EF4-FFF2-40B4-BE49-F238E27FC236}">
              <a16:creationId xmlns:a16="http://schemas.microsoft.com/office/drawing/2014/main" id="{8E0114D1-44D6-4C66-B420-6E07B53B1F8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91" name="Text Box 1">
          <a:extLst>
            <a:ext uri="{FF2B5EF4-FFF2-40B4-BE49-F238E27FC236}">
              <a16:creationId xmlns:a16="http://schemas.microsoft.com/office/drawing/2014/main" id="{78A4F0C7-54F0-42EA-BD65-80F35E2C364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92" name="Text Box 3">
          <a:extLst>
            <a:ext uri="{FF2B5EF4-FFF2-40B4-BE49-F238E27FC236}">
              <a16:creationId xmlns:a16="http://schemas.microsoft.com/office/drawing/2014/main" id="{DFC95279-06B3-4BDD-802F-F9B1A768399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93" name="Text Box 1">
          <a:extLst>
            <a:ext uri="{FF2B5EF4-FFF2-40B4-BE49-F238E27FC236}">
              <a16:creationId xmlns:a16="http://schemas.microsoft.com/office/drawing/2014/main" id="{DC3C31C0-AED5-4CA6-85EC-7B97786936A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94" name="Text Box 3">
          <a:extLst>
            <a:ext uri="{FF2B5EF4-FFF2-40B4-BE49-F238E27FC236}">
              <a16:creationId xmlns:a16="http://schemas.microsoft.com/office/drawing/2014/main" id="{B56CC21B-CA9C-4CE2-BC0D-172EDF6601D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95" name="Text Box 1">
          <a:extLst>
            <a:ext uri="{FF2B5EF4-FFF2-40B4-BE49-F238E27FC236}">
              <a16:creationId xmlns:a16="http://schemas.microsoft.com/office/drawing/2014/main" id="{ADF6E015-2A1A-491E-96DC-0683AEFE565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96" name="Text Box 1">
          <a:extLst>
            <a:ext uri="{FF2B5EF4-FFF2-40B4-BE49-F238E27FC236}">
              <a16:creationId xmlns:a16="http://schemas.microsoft.com/office/drawing/2014/main" id="{454FA065-947F-458B-8A2E-339E3521E41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97" name="Text Box 3">
          <a:extLst>
            <a:ext uri="{FF2B5EF4-FFF2-40B4-BE49-F238E27FC236}">
              <a16:creationId xmlns:a16="http://schemas.microsoft.com/office/drawing/2014/main" id="{2EFA8BD2-BB17-42FF-8ACF-9E209A6D60A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98" name="Text Box 1">
          <a:extLst>
            <a:ext uri="{FF2B5EF4-FFF2-40B4-BE49-F238E27FC236}">
              <a16:creationId xmlns:a16="http://schemas.microsoft.com/office/drawing/2014/main" id="{B087B61A-E702-4574-8CB4-E4611A43CB2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99" name="Text Box 3">
          <a:extLst>
            <a:ext uri="{FF2B5EF4-FFF2-40B4-BE49-F238E27FC236}">
              <a16:creationId xmlns:a16="http://schemas.microsoft.com/office/drawing/2014/main" id="{8628E7BC-78C9-4E17-A537-0FB285488E5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00" name="Text Box 1">
          <a:extLst>
            <a:ext uri="{FF2B5EF4-FFF2-40B4-BE49-F238E27FC236}">
              <a16:creationId xmlns:a16="http://schemas.microsoft.com/office/drawing/2014/main" id="{78C08E54-8026-44E5-95B5-450B5E769AE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01" name="Text Box 1">
          <a:extLst>
            <a:ext uri="{FF2B5EF4-FFF2-40B4-BE49-F238E27FC236}">
              <a16:creationId xmlns:a16="http://schemas.microsoft.com/office/drawing/2014/main" id="{FE6728A8-2853-4DDF-BA94-ACD4FD70266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02" name="Text Box 3">
          <a:extLst>
            <a:ext uri="{FF2B5EF4-FFF2-40B4-BE49-F238E27FC236}">
              <a16:creationId xmlns:a16="http://schemas.microsoft.com/office/drawing/2014/main" id="{D73EC273-BB1D-4E1F-8F10-31CA71B9D32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03" name="Text Box 1">
          <a:extLst>
            <a:ext uri="{FF2B5EF4-FFF2-40B4-BE49-F238E27FC236}">
              <a16:creationId xmlns:a16="http://schemas.microsoft.com/office/drawing/2014/main" id="{CA823A91-5AC0-4BCB-9D63-FD8A0B3A3DA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04" name="Text Box 3">
          <a:extLst>
            <a:ext uri="{FF2B5EF4-FFF2-40B4-BE49-F238E27FC236}">
              <a16:creationId xmlns:a16="http://schemas.microsoft.com/office/drawing/2014/main" id="{B1D74BC0-398F-4CA9-B70C-CD7754D4EDD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05" name="Text Box 1">
          <a:extLst>
            <a:ext uri="{FF2B5EF4-FFF2-40B4-BE49-F238E27FC236}">
              <a16:creationId xmlns:a16="http://schemas.microsoft.com/office/drawing/2014/main" id="{1F63FE8C-18E1-4BAA-9183-01035B3D94D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06" name="Text Box 1">
          <a:extLst>
            <a:ext uri="{FF2B5EF4-FFF2-40B4-BE49-F238E27FC236}">
              <a16:creationId xmlns:a16="http://schemas.microsoft.com/office/drawing/2014/main" id="{76C32DD4-E881-4DF1-9364-587749C93F6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07" name="Text Box 3">
          <a:extLst>
            <a:ext uri="{FF2B5EF4-FFF2-40B4-BE49-F238E27FC236}">
              <a16:creationId xmlns:a16="http://schemas.microsoft.com/office/drawing/2014/main" id="{304A95D1-990F-4826-BF9B-75E99FC057E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08" name="Text Box 1">
          <a:extLst>
            <a:ext uri="{FF2B5EF4-FFF2-40B4-BE49-F238E27FC236}">
              <a16:creationId xmlns:a16="http://schemas.microsoft.com/office/drawing/2014/main" id="{D199B7C4-4E59-4EF7-9177-9F750BBFED9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09" name="Text Box 3">
          <a:extLst>
            <a:ext uri="{FF2B5EF4-FFF2-40B4-BE49-F238E27FC236}">
              <a16:creationId xmlns:a16="http://schemas.microsoft.com/office/drawing/2014/main" id="{CBD89B12-0749-429E-BAEC-F98E0B451FE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10" name="Text Box 1">
          <a:extLst>
            <a:ext uri="{FF2B5EF4-FFF2-40B4-BE49-F238E27FC236}">
              <a16:creationId xmlns:a16="http://schemas.microsoft.com/office/drawing/2014/main" id="{6C482B0B-2DFE-4650-A113-E10822EC795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11" name="Text Box 1">
          <a:extLst>
            <a:ext uri="{FF2B5EF4-FFF2-40B4-BE49-F238E27FC236}">
              <a16:creationId xmlns:a16="http://schemas.microsoft.com/office/drawing/2014/main" id="{C8AD28D7-64F4-44CD-BEED-6C9346F4BD7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12" name="Text Box 3">
          <a:extLst>
            <a:ext uri="{FF2B5EF4-FFF2-40B4-BE49-F238E27FC236}">
              <a16:creationId xmlns:a16="http://schemas.microsoft.com/office/drawing/2014/main" id="{C1CC4BAC-39FE-41E1-9BF8-B52EBC06E23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13" name="Text Box 1">
          <a:extLst>
            <a:ext uri="{FF2B5EF4-FFF2-40B4-BE49-F238E27FC236}">
              <a16:creationId xmlns:a16="http://schemas.microsoft.com/office/drawing/2014/main" id="{A6282AC8-C296-4C19-B94B-EB5DC6E3DF5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14" name="Text Box 3">
          <a:extLst>
            <a:ext uri="{FF2B5EF4-FFF2-40B4-BE49-F238E27FC236}">
              <a16:creationId xmlns:a16="http://schemas.microsoft.com/office/drawing/2014/main" id="{602413FE-D2D8-4EF2-B30D-924D7DC38F9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15" name="Text Box 1">
          <a:extLst>
            <a:ext uri="{FF2B5EF4-FFF2-40B4-BE49-F238E27FC236}">
              <a16:creationId xmlns:a16="http://schemas.microsoft.com/office/drawing/2014/main" id="{5318812A-6050-4E62-9D20-BBA4B6AF4E9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16" name="Text Box 1">
          <a:extLst>
            <a:ext uri="{FF2B5EF4-FFF2-40B4-BE49-F238E27FC236}">
              <a16:creationId xmlns:a16="http://schemas.microsoft.com/office/drawing/2014/main" id="{E34DC926-C7C7-4160-A9FA-916F5C19440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17" name="Text Box 3">
          <a:extLst>
            <a:ext uri="{FF2B5EF4-FFF2-40B4-BE49-F238E27FC236}">
              <a16:creationId xmlns:a16="http://schemas.microsoft.com/office/drawing/2014/main" id="{BDD9DB4E-F12F-4D5C-BF7C-074635DA0C9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18" name="Text Box 1">
          <a:extLst>
            <a:ext uri="{FF2B5EF4-FFF2-40B4-BE49-F238E27FC236}">
              <a16:creationId xmlns:a16="http://schemas.microsoft.com/office/drawing/2014/main" id="{980F3D43-C3A4-4336-BD27-9ED8503C05E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19" name="Text Box 3">
          <a:extLst>
            <a:ext uri="{FF2B5EF4-FFF2-40B4-BE49-F238E27FC236}">
              <a16:creationId xmlns:a16="http://schemas.microsoft.com/office/drawing/2014/main" id="{7C53034F-531F-41C5-A207-E7656A5A503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20" name="Text Box 1">
          <a:extLst>
            <a:ext uri="{FF2B5EF4-FFF2-40B4-BE49-F238E27FC236}">
              <a16:creationId xmlns:a16="http://schemas.microsoft.com/office/drawing/2014/main" id="{E6DAF401-F4B4-469E-B547-69132167F37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21" name="Text Box 1">
          <a:extLst>
            <a:ext uri="{FF2B5EF4-FFF2-40B4-BE49-F238E27FC236}">
              <a16:creationId xmlns:a16="http://schemas.microsoft.com/office/drawing/2014/main" id="{D34CF101-2491-473B-B0E8-C6344A411EC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22" name="Text Box 3">
          <a:extLst>
            <a:ext uri="{FF2B5EF4-FFF2-40B4-BE49-F238E27FC236}">
              <a16:creationId xmlns:a16="http://schemas.microsoft.com/office/drawing/2014/main" id="{C1E4C525-056A-4D21-9D10-8F92E081724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23" name="Text Box 1">
          <a:extLst>
            <a:ext uri="{FF2B5EF4-FFF2-40B4-BE49-F238E27FC236}">
              <a16:creationId xmlns:a16="http://schemas.microsoft.com/office/drawing/2014/main" id="{98E0BB53-EE7E-40C3-9AD9-A59F414286C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24" name="Text Box 3">
          <a:extLst>
            <a:ext uri="{FF2B5EF4-FFF2-40B4-BE49-F238E27FC236}">
              <a16:creationId xmlns:a16="http://schemas.microsoft.com/office/drawing/2014/main" id="{DF4B19A1-1F79-409E-A3F2-1B0D3B51BC3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25" name="Text Box 1">
          <a:extLst>
            <a:ext uri="{FF2B5EF4-FFF2-40B4-BE49-F238E27FC236}">
              <a16:creationId xmlns:a16="http://schemas.microsoft.com/office/drawing/2014/main" id="{4E1ED292-0955-43DD-AB63-752E9744BAE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26" name="Text Box 1">
          <a:extLst>
            <a:ext uri="{FF2B5EF4-FFF2-40B4-BE49-F238E27FC236}">
              <a16:creationId xmlns:a16="http://schemas.microsoft.com/office/drawing/2014/main" id="{90234771-B5F0-4091-AEB4-1922E3BCC38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27" name="Text Box 3">
          <a:extLst>
            <a:ext uri="{FF2B5EF4-FFF2-40B4-BE49-F238E27FC236}">
              <a16:creationId xmlns:a16="http://schemas.microsoft.com/office/drawing/2014/main" id="{8D068B02-68DD-4B21-A842-B9DB3722A1B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28" name="Text Box 1">
          <a:extLst>
            <a:ext uri="{FF2B5EF4-FFF2-40B4-BE49-F238E27FC236}">
              <a16:creationId xmlns:a16="http://schemas.microsoft.com/office/drawing/2014/main" id="{F1854641-81D9-4D17-9E26-CD5BAD2088C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29" name="Text Box 3">
          <a:extLst>
            <a:ext uri="{FF2B5EF4-FFF2-40B4-BE49-F238E27FC236}">
              <a16:creationId xmlns:a16="http://schemas.microsoft.com/office/drawing/2014/main" id="{C808D686-0B4C-4639-AC85-624F54EEA86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30" name="Text Box 1">
          <a:extLst>
            <a:ext uri="{FF2B5EF4-FFF2-40B4-BE49-F238E27FC236}">
              <a16:creationId xmlns:a16="http://schemas.microsoft.com/office/drawing/2014/main" id="{C7D0232A-3A8D-452F-8801-61866DCDA83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31" name="Text Box 1">
          <a:extLst>
            <a:ext uri="{FF2B5EF4-FFF2-40B4-BE49-F238E27FC236}">
              <a16:creationId xmlns:a16="http://schemas.microsoft.com/office/drawing/2014/main" id="{E89DA806-B7DD-4BA5-B242-5CBA3551E29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32" name="Text Box 3">
          <a:extLst>
            <a:ext uri="{FF2B5EF4-FFF2-40B4-BE49-F238E27FC236}">
              <a16:creationId xmlns:a16="http://schemas.microsoft.com/office/drawing/2014/main" id="{D105A04C-E923-4921-A462-6AA751A662B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33" name="Text Box 1">
          <a:extLst>
            <a:ext uri="{FF2B5EF4-FFF2-40B4-BE49-F238E27FC236}">
              <a16:creationId xmlns:a16="http://schemas.microsoft.com/office/drawing/2014/main" id="{45B8C1A1-5489-4053-A066-EEE013F8CD9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34" name="Text Box 3">
          <a:extLst>
            <a:ext uri="{FF2B5EF4-FFF2-40B4-BE49-F238E27FC236}">
              <a16:creationId xmlns:a16="http://schemas.microsoft.com/office/drawing/2014/main" id="{A43E5251-F220-4650-9E78-2F89BEF1CD3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35" name="Text Box 1">
          <a:extLst>
            <a:ext uri="{FF2B5EF4-FFF2-40B4-BE49-F238E27FC236}">
              <a16:creationId xmlns:a16="http://schemas.microsoft.com/office/drawing/2014/main" id="{CE3FAC1B-FF51-4A11-B279-AD2FB3A68F9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36" name="Text Box 1">
          <a:extLst>
            <a:ext uri="{FF2B5EF4-FFF2-40B4-BE49-F238E27FC236}">
              <a16:creationId xmlns:a16="http://schemas.microsoft.com/office/drawing/2014/main" id="{11F02FD6-FB39-41D8-ADDD-00ED2A0AED7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37" name="Text Box 3">
          <a:extLst>
            <a:ext uri="{FF2B5EF4-FFF2-40B4-BE49-F238E27FC236}">
              <a16:creationId xmlns:a16="http://schemas.microsoft.com/office/drawing/2014/main" id="{91DE34ED-57AD-4589-88F9-D14588EC802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38" name="Text Box 1">
          <a:extLst>
            <a:ext uri="{FF2B5EF4-FFF2-40B4-BE49-F238E27FC236}">
              <a16:creationId xmlns:a16="http://schemas.microsoft.com/office/drawing/2014/main" id="{00E6E168-86BC-49D3-AF12-6A6192291B5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39" name="Text Box 3">
          <a:extLst>
            <a:ext uri="{FF2B5EF4-FFF2-40B4-BE49-F238E27FC236}">
              <a16:creationId xmlns:a16="http://schemas.microsoft.com/office/drawing/2014/main" id="{C6130717-2666-417A-8750-41F0B9F0DC1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40" name="Text Box 1">
          <a:extLst>
            <a:ext uri="{FF2B5EF4-FFF2-40B4-BE49-F238E27FC236}">
              <a16:creationId xmlns:a16="http://schemas.microsoft.com/office/drawing/2014/main" id="{C23929D7-7003-4689-9847-6F89278E2C8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41" name="Text Box 1">
          <a:extLst>
            <a:ext uri="{FF2B5EF4-FFF2-40B4-BE49-F238E27FC236}">
              <a16:creationId xmlns:a16="http://schemas.microsoft.com/office/drawing/2014/main" id="{59D6046D-451D-4A63-88BF-17DD8F79860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42" name="Text Box 3">
          <a:extLst>
            <a:ext uri="{FF2B5EF4-FFF2-40B4-BE49-F238E27FC236}">
              <a16:creationId xmlns:a16="http://schemas.microsoft.com/office/drawing/2014/main" id="{60504890-0869-4E40-A1FC-9F75E79626C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43" name="Text Box 1">
          <a:extLst>
            <a:ext uri="{FF2B5EF4-FFF2-40B4-BE49-F238E27FC236}">
              <a16:creationId xmlns:a16="http://schemas.microsoft.com/office/drawing/2014/main" id="{7E3312D4-9BC2-41D1-B046-3D9769CFF05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44" name="Text Box 3">
          <a:extLst>
            <a:ext uri="{FF2B5EF4-FFF2-40B4-BE49-F238E27FC236}">
              <a16:creationId xmlns:a16="http://schemas.microsoft.com/office/drawing/2014/main" id="{FFFE4A54-B9DE-4C52-8DB0-72068ED9B81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45" name="Text Box 1">
          <a:extLst>
            <a:ext uri="{FF2B5EF4-FFF2-40B4-BE49-F238E27FC236}">
              <a16:creationId xmlns:a16="http://schemas.microsoft.com/office/drawing/2014/main" id="{D23BE314-CC7F-4F8B-9375-2DC4D5F6EB8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46" name="Text Box 1">
          <a:extLst>
            <a:ext uri="{FF2B5EF4-FFF2-40B4-BE49-F238E27FC236}">
              <a16:creationId xmlns:a16="http://schemas.microsoft.com/office/drawing/2014/main" id="{660C4A91-4357-456C-8E29-4DABEE6E505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47" name="Text Box 3">
          <a:extLst>
            <a:ext uri="{FF2B5EF4-FFF2-40B4-BE49-F238E27FC236}">
              <a16:creationId xmlns:a16="http://schemas.microsoft.com/office/drawing/2014/main" id="{2F866AF8-70A8-4936-9C56-2BF9522DEF9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48" name="Text Box 1">
          <a:extLst>
            <a:ext uri="{FF2B5EF4-FFF2-40B4-BE49-F238E27FC236}">
              <a16:creationId xmlns:a16="http://schemas.microsoft.com/office/drawing/2014/main" id="{D6B644EC-5CA4-4566-B320-201D3280A61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49" name="Text Box 3">
          <a:extLst>
            <a:ext uri="{FF2B5EF4-FFF2-40B4-BE49-F238E27FC236}">
              <a16:creationId xmlns:a16="http://schemas.microsoft.com/office/drawing/2014/main" id="{BD074DD2-DC69-408D-A352-3B0068AF27C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50" name="Text Box 1">
          <a:extLst>
            <a:ext uri="{FF2B5EF4-FFF2-40B4-BE49-F238E27FC236}">
              <a16:creationId xmlns:a16="http://schemas.microsoft.com/office/drawing/2014/main" id="{9672AD82-A046-471C-A387-F264C438A3F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51" name="Text Box 1">
          <a:extLst>
            <a:ext uri="{FF2B5EF4-FFF2-40B4-BE49-F238E27FC236}">
              <a16:creationId xmlns:a16="http://schemas.microsoft.com/office/drawing/2014/main" id="{A61B0420-E59B-4DEB-B9FC-71852D502B4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52" name="Text Box 3">
          <a:extLst>
            <a:ext uri="{FF2B5EF4-FFF2-40B4-BE49-F238E27FC236}">
              <a16:creationId xmlns:a16="http://schemas.microsoft.com/office/drawing/2014/main" id="{35BAC144-72B7-4D28-96B1-E7E6CB7382D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53" name="Text Box 1">
          <a:extLst>
            <a:ext uri="{FF2B5EF4-FFF2-40B4-BE49-F238E27FC236}">
              <a16:creationId xmlns:a16="http://schemas.microsoft.com/office/drawing/2014/main" id="{3CD5A444-7E43-4D2B-A971-C24D0ABB807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54" name="Text Box 3">
          <a:extLst>
            <a:ext uri="{FF2B5EF4-FFF2-40B4-BE49-F238E27FC236}">
              <a16:creationId xmlns:a16="http://schemas.microsoft.com/office/drawing/2014/main" id="{A0E33ED8-28A0-4D4A-BB01-1E42BC5FE20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55" name="Text Box 1">
          <a:extLst>
            <a:ext uri="{FF2B5EF4-FFF2-40B4-BE49-F238E27FC236}">
              <a16:creationId xmlns:a16="http://schemas.microsoft.com/office/drawing/2014/main" id="{A2ECE242-E759-4B75-87F9-4D46169C368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56" name="Text Box 1">
          <a:extLst>
            <a:ext uri="{FF2B5EF4-FFF2-40B4-BE49-F238E27FC236}">
              <a16:creationId xmlns:a16="http://schemas.microsoft.com/office/drawing/2014/main" id="{29C9DD49-1BF7-49B8-AFEA-E5A5113193D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57" name="Text Box 3">
          <a:extLst>
            <a:ext uri="{FF2B5EF4-FFF2-40B4-BE49-F238E27FC236}">
              <a16:creationId xmlns:a16="http://schemas.microsoft.com/office/drawing/2014/main" id="{2865FEEF-1F60-4020-BB64-C927C31E2C2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58" name="Text Box 1">
          <a:extLst>
            <a:ext uri="{FF2B5EF4-FFF2-40B4-BE49-F238E27FC236}">
              <a16:creationId xmlns:a16="http://schemas.microsoft.com/office/drawing/2014/main" id="{B2E07EEB-A07F-4F4D-A94E-0D3EC09E470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59" name="Text Box 3">
          <a:extLst>
            <a:ext uri="{FF2B5EF4-FFF2-40B4-BE49-F238E27FC236}">
              <a16:creationId xmlns:a16="http://schemas.microsoft.com/office/drawing/2014/main" id="{0550FE4F-5448-4E20-B887-5E1AAD5B303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60" name="Text Box 1">
          <a:extLst>
            <a:ext uri="{FF2B5EF4-FFF2-40B4-BE49-F238E27FC236}">
              <a16:creationId xmlns:a16="http://schemas.microsoft.com/office/drawing/2014/main" id="{BE5B7E98-7461-4C36-A5C4-0327655EADB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61" name="Text Box 1">
          <a:extLst>
            <a:ext uri="{FF2B5EF4-FFF2-40B4-BE49-F238E27FC236}">
              <a16:creationId xmlns:a16="http://schemas.microsoft.com/office/drawing/2014/main" id="{1AF25451-92E3-4616-8EA8-8B101C0B4AB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62" name="Text Box 3">
          <a:extLst>
            <a:ext uri="{FF2B5EF4-FFF2-40B4-BE49-F238E27FC236}">
              <a16:creationId xmlns:a16="http://schemas.microsoft.com/office/drawing/2014/main" id="{494BFFA1-C027-440C-B7F9-A89E7620A91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63" name="Text Box 1">
          <a:extLst>
            <a:ext uri="{FF2B5EF4-FFF2-40B4-BE49-F238E27FC236}">
              <a16:creationId xmlns:a16="http://schemas.microsoft.com/office/drawing/2014/main" id="{2F4175EA-7A35-46B8-8854-26099E4742C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64" name="Text Box 3">
          <a:extLst>
            <a:ext uri="{FF2B5EF4-FFF2-40B4-BE49-F238E27FC236}">
              <a16:creationId xmlns:a16="http://schemas.microsoft.com/office/drawing/2014/main" id="{59D5DEAE-B396-41D6-9370-689CF09EB9E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65" name="Text Box 1">
          <a:extLst>
            <a:ext uri="{FF2B5EF4-FFF2-40B4-BE49-F238E27FC236}">
              <a16:creationId xmlns:a16="http://schemas.microsoft.com/office/drawing/2014/main" id="{D70B7F63-78A6-4AFE-934B-55A9E711341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66" name="Text Box 1">
          <a:extLst>
            <a:ext uri="{FF2B5EF4-FFF2-40B4-BE49-F238E27FC236}">
              <a16:creationId xmlns:a16="http://schemas.microsoft.com/office/drawing/2014/main" id="{49B28CA2-393B-4450-99BF-C7D019A1A36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67" name="Text Box 3">
          <a:extLst>
            <a:ext uri="{FF2B5EF4-FFF2-40B4-BE49-F238E27FC236}">
              <a16:creationId xmlns:a16="http://schemas.microsoft.com/office/drawing/2014/main" id="{144F9D2E-436D-4A53-AC7A-28100293CBE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68" name="Text Box 1">
          <a:extLst>
            <a:ext uri="{FF2B5EF4-FFF2-40B4-BE49-F238E27FC236}">
              <a16:creationId xmlns:a16="http://schemas.microsoft.com/office/drawing/2014/main" id="{F560DA0C-208D-4F0C-A45F-2846907A058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69" name="Text Box 3">
          <a:extLst>
            <a:ext uri="{FF2B5EF4-FFF2-40B4-BE49-F238E27FC236}">
              <a16:creationId xmlns:a16="http://schemas.microsoft.com/office/drawing/2014/main" id="{0136A2A8-5691-48CC-BC58-A4858D6DAAE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70" name="Text Box 1">
          <a:extLst>
            <a:ext uri="{FF2B5EF4-FFF2-40B4-BE49-F238E27FC236}">
              <a16:creationId xmlns:a16="http://schemas.microsoft.com/office/drawing/2014/main" id="{78237D01-2789-4DB9-BEE5-52F3FB9B986F}"/>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71" name="Text Box 3">
          <a:extLst>
            <a:ext uri="{FF2B5EF4-FFF2-40B4-BE49-F238E27FC236}">
              <a16:creationId xmlns:a16="http://schemas.microsoft.com/office/drawing/2014/main" id="{C9950D74-30E6-46E1-9677-30B65D080F48}"/>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72" name="Text Box 1">
          <a:extLst>
            <a:ext uri="{FF2B5EF4-FFF2-40B4-BE49-F238E27FC236}">
              <a16:creationId xmlns:a16="http://schemas.microsoft.com/office/drawing/2014/main" id="{EC3E1442-1AA0-40ED-95CC-35CAFFC164EF}"/>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73" name="Text Box 3">
          <a:extLst>
            <a:ext uri="{FF2B5EF4-FFF2-40B4-BE49-F238E27FC236}">
              <a16:creationId xmlns:a16="http://schemas.microsoft.com/office/drawing/2014/main" id="{6BCFC904-5B30-48AA-BE26-F7A2C702DBB5}"/>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74" name="Text Box 1">
          <a:extLst>
            <a:ext uri="{FF2B5EF4-FFF2-40B4-BE49-F238E27FC236}">
              <a16:creationId xmlns:a16="http://schemas.microsoft.com/office/drawing/2014/main" id="{84BE5B8C-341B-4500-BB77-B5EF3DBAEE25}"/>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75" name="Text Box 1">
          <a:extLst>
            <a:ext uri="{FF2B5EF4-FFF2-40B4-BE49-F238E27FC236}">
              <a16:creationId xmlns:a16="http://schemas.microsoft.com/office/drawing/2014/main" id="{237719DB-A18B-4FC2-9F00-90B3F190FFFE}"/>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76" name="Text Box 3">
          <a:extLst>
            <a:ext uri="{FF2B5EF4-FFF2-40B4-BE49-F238E27FC236}">
              <a16:creationId xmlns:a16="http://schemas.microsoft.com/office/drawing/2014/main" id="{C71EE53A-6285-4230-8DA3-9CF4FEE0EE15}"/>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77" name="Text Box 1">
          <a:extLst>
            <a:ext uri="{FF2B5EF4-FFF2-40B4-BE49-F238E27FC236}">
              <a16:creationId xmlns:a16="http://schemas.microsoft.com/office/drawing/2014/main" id="{06C016B2-8AAA-4B37-8344-5029C5A1B6E3}"/>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78" name="Text Box 3">
          <a:extLst>
            <a:ext uri="{FF2B5EF4-FFF2-40B4-BE49-F238E27FC236}">
              <a16:creationId xmlns:a16="http://schemas.microsoft.com/office/drawing/2014/main" id="{940C8B18-9D6F-4418-932C-C04639E01C6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79" name="Text Box 1">
          <a:extLst>
            <a:ext uri="{FF2B5EF4-FFF2-40B4-BE49-F238E27FC236}">
              <a16:creationId xmlns:a16="http://schemas.microsoft.com/office/drawing/2014/main" id="{90051725-5745-4FAC-B481-DE413781C6E3}"/>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80" name="Text Box 1">
          <a:extLst>
            <a:ext uri="{FF2B5EF4-FFF2-40B4-BE49-F238E27FC236}">
              <a16:creationId xmlns:a16="http://schemas.microsoft.com/office/drawing/2014/main" id="{7EF47F85-BD60-48BC-AD85-5CA55752D585}"/>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81" name="Text Box 3">
          <a:extLst>
            <a:ext uri="{FF2B5EF4-FFF2-40B4-BE49-F238E27FC236}">
              <a16:creationId xmlns:a16="http://schemas.microsoft.com/office/drawing/2014/main" id="{89B9A550-B85E-47BE-B61D-B584F7FDF7EC}"/>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82" name="Text Box 1">
          <a:extLst>
            <a:ext uri="{FF2B5EF4-FFF2-40B4-BE49-F238E27FC236}">
              <a16:creationId xmlns:a16="http://schemas.microsoft.com/office/drawing/2014/main" id="{AD600A5C-286A-402C-9720-CA460CBC1D86}"/>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83" name="Text Box 1">
          <a:extLst>
            <a:ext uri="{FF2B5EF4-FFF2-40B4-BE49-F238E27FC236}">
              <a16:creationId xmlns:a16="http://schemas.microsoft.com/office/drawing/2014/main" id="{C1806141-056E-4E5A-AA95-B877CA0C4731}"/>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84" name="Text Box 3">
          <a:extLst>
            <a:ext uri="{FF2B5EF4-FFF2-40B4-BE49-F238E27FC236}">
              <a16:creationId xmlns:a16="http://schemas.microsoft.com/office/drawing/2014/main" id="{562790B1-243B-484D-87A1-30633F25BBA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85" name="Text Box 1">
          <a:extLst>
            <a:ext uri="{FF2B5EF4-FFF2-40B4-BE49-F238E27FC236}">
              <a16:creationId xmlns:a16="http://schemas.microsoft.com/office/drawing/2014/main" id="{375DD1DA-4699-4EE6-A0E3-1CE911F76966}"/>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86" name="Text Box 3">
          <a:extLst>
            <a:ext uri="{FF2B5EF4-FFF2-40B4-BE49-F238E27FC236}">
              <a16:creationId xmlns:a16="http://schemas.microsoft.com/office/drawing/2014/main" id="{7F378202-26F7-42B7-A88F-B5D4D374031E}"/>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87" name="Text Box 1">
          <a:extLst>
            <a:ext uri="{FF2B5EF4-FFF2-40B4-BE49-F238E27FC236}">
              <a16:creationId xmlns:a16="http://schemas.microsoft.com/office/drawing/2014/main" id="{C9CA3A11-9C08-4D26-BEAD-B73EC4D3553D}"/>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88" name="Text Box 1">
          <a:extLst>
            <a:ext uri="{FF2B5EF4-FFF2-40B4-BE49-F238E27FC236}">
              <a16:creationId xmlns:a16="http://schemas.microsoft.com/office/drawing/2014/main" id="{6B6E24B8-34B5-4D72-8A6A-C3A2D9C7748C}"/>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89" name="Text Box 3">
          <a:extLst>
            <a:ext uri="{FF2B5EF4-FFF2-40B4-BE49-F238E27FC236}">
              <a16:creationId xmlns:a16="http://schemas.microsoft.com/office/drawing/2014/main" id="{DF2B01A3-C438-43FA-8F17-19CB63B2A62F}"/>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90" name="Text Box 1">
          <a:extLst>
            <a:ext uri="{FF2B5EF4-FFF2-40B4-BE49-F238E27FC236}">
              <a16:creationId xmlns:a16="http://schemas.microsoft.com/office/drawing/2014/main" id="{19072BA2-264B-462F-8A76-E6DA2033528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91" name="Text Box 3">
          <a:extLst>
            <a:ext uri="{FF2B5EF4-FFF2-40B4-BE49-F238E27FC236}">
              <a16:creationId xmlns:a16="http://schemas.microsoft.com/office/drawing/2014/main" id="{ACDB2C5E-C5AA-4C0D-B4CF-2753848DD998}"/>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92" name="Text Box 1">
          <a:extLst>
            <a:ext uri="{FF2B5EF4-FFF2-40B4-BE49-F238E27FC236}">
              <a16:creationId xmlns:a16="http://schemas.microsoft.com/office/drawing/2014/main" id="{3DC3BADA-8C00-4DF4-8652-613AAD88B41D}"/>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93" name="Text Box 1">
          <a:extLst>
            <a:ext uri="{FF2B5EF4-FFF2-40B4-BE49-F238E27FC236}">
              <a16:creationId xmlns:a16="http://schemas.microsoft.com/office/drawing/2014/main" id="{41F33A0F-2626-477C-AE6F-62FC71672B7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94" name="Text Box 3">
          <a:extLst>
            <a:ext uri="{FF2B5EF4-FFF2-40B4-BE49-F238E27FC236}">
              <a16:creationId xmlns:a16="http://schemas.microsoft.com/office/drawing/2014/main" id="{F8AE287F-4DC8-4864-8060-F4DFE631298D}"/>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95" name="Text Box 3">
          <a:extLst>
            <a:ext uri="{FF2B5EF4-FFF2-40B4-BE49-F238E27FC236}">
              <a16:creationId xmlns:a16="http://schemas.microsoft.com/office/drawing/2014/main" id="{A6BFCCD6-5284-4E3B-BE2E-6795C9E8C2C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96" name="Text Box 1">
          <a:extLst>
            <a:ext uri="{FF2B5EF4-FFF2-40B4-BE49-F238E27FC236}">
              <a16:creationId xmlns:a16="http://schemas.microsoft.com/office/drawing/2014/main" id="{05382E05-7663-405A-B604-B99A9035C50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97" name="Text Box 3">
          <a:extLst>
            <a:ext uri="{FF2B5EF4-FFF2-40B4-BE49-F238E27FC236}">
              <a16:creationId xmlns:a16="http://schemas.microsoft.com/office/drawing/2014/main" id="{AC719322-C0EF-4D20-B9A3-B89B5437BA3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98" name="Text Box 1">
          <a:extLst>
            <a:ext uri="{FF2B5EF4-FFF2-40B4-BE49-F238E27FC236}">
              <a16:creationId xmlns:a16="http://schemas.microsoft.com/office/drawing/2014/main" id="{32D63590-584E-4865-AF33-C13E347AF76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99" name="Text Box 1">
          <a:extLst>
            <a:ext uri="{FF2B5EF4-FFF2-40B4-BE49-F238E27FC236}">
              <a16:creationId xmlns:a16="http://schemas.microsoft.com/office/drawing/2014/main" id="{6BC935CA-A1C6-4530-B15B-D5DACEABF33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00" name="Text Box 3">
          <a:extLst>
            <a:ext uri="{FF2B5EF4-FFF2-40B4-BE49-F238E27FC236}">
              <a16:creationId xmlns:a16="http://schemas.microsoft.com/office/drawing/2014/main" id="{7873E907-CBFB-44F0-A7BA-9AE4A5D6284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01" name="Text Box 1">
          <a:extLst>
            <a:ext uri="{FF2B5EF4-FFF2-40B4-BE49-F238E27FC236}">
              <a16:creationId xmlns:a16="http://schemas.microsoft.com/office/drawing/2014/main" id="{442D5DEF-F0DD-47C3-A663-76251FB0D8A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02" name="Text Box 3">
          <a:extLst>
            <a:ext uri="{FF2B5EF4-FFF2-40B4-BE49-F238E27FC236}">
              <a16:creationId xmlns:a16="http://schemas.microsoft.com/office/drawing/2014/main" id="{418EA4B4-C13B-47D1-8274-AECB4D6DE5F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03" name="Text Box 1">
          <a:extLst>
            <a:ext uri="{FF2B5EF4-FFF2-40B4-BE49-F238E27FC236}">
              <a16:creationId xmlns:a16="http://schemas.microsoft.com/office/drawing/2014/main" id="{F0D575FA-54DB-48F5-8690-CEE19CC3603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04" name="Text Box 1">
          <a:extLst>
            <a:ext uri="{FF2B5EF4-FFF2-40B4-BE49-F238E27FC236}">
              <a16:creationId xmlns:a16="http://schemas.microsoft.com/office/drawing/2014/main" id="{1E0F229D-11C0-4F8D-9C2B-30EF76943E2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05" name="Text Box 3">
          <a:extLst>
            <a:ext uri="{FF2B5EF4-FFF2-40B4-BE49-F238E27FC236}">
              <a16:creationId xmlns:a16="http://schemas.microsoft.com/office/drawing/2014/main" id="{313FBE76-958F-4BAA-8E39-21A077F275C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06" name="Text Box 1">
          <a:extLst>
            <a:ext uri="{FF2B5EF4-FFF2-40B4-BE49-F238E27FC236}">
              <a16:creationId xmlns:a16="http://schemas.microsoft.com/office/drawing/2014/main" id="{437CA756-AF4F-47CD-A690-143E8FFE44A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07" name="Text Box 1">
          <a:extLst>
            <a:ext uri="{FF2B5EF4-FFF2-40B4-BE49-F238E27FC236}">
              <a16:creationId xmlns:a16="http://schemas.microsoft.com/office/drawing/2014/main" id="{390BBACC-DB88-4864-9E00-6F9D23708FE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08" name="Text Box 3">
          <a:extLst>
            <a:ext uri="{FF2B5EF4-FFF2-40B4-BE49-F238E27FC236}">
              <a16:creationId xmlns:a16="http://schemas.microsoft.com/office/drawing/2014/main" id="{81387915-C33B-4E39-9AC3-A503FA65CBA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09" name="Text Box 1">
          <a:extLst>
            <a:ext uri="{FF2B5EF4-FFF2-40B4-BE49-F238E27FC236}">
              <a16:creationId xmlns:a16="http://schemas.microsoft.com/office/drawing/2014/main" id="{8B4B9160-FD25-4022-A80A-04278564D28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10" name="Text Box 3">
          <a:extLst>
            <a:ext uri="{FF2B5EF4-FFF2-40B4-BE49-F238E27FC236}">
              <a16:creationId xmlns:a16="http://schemas.microsoft.com/office/drawing/2014/main" id="{4AA7E3F2-6953-4C1F-B10C-5BA909AE5E6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11" name="Text Box 1">
          <a:extLst>
            <a:ext uri="{FF2B5EF4-FFF2-40B4-BE49-F238E27FC236}">
              <a16:creationId xmlns:a16="http://schemas.microsoft.com/office/drawing/2014/main" id="{A3E9B529-FE7D-438D-B33F-8D780AB4806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12" name="Text Box 3">
          <a:extLst>
            <a:ext uri="{FF2B5EF4-FFF2-40B4-BE49-F238E27FC236}">
              <a16:creationId xmlns:a16="http://schemas.microsoft.com/office/drawing/2014/main" id="{A11A4CF4-6BBC-44EF-B64B-6F6895F2991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13" name="Text Box 1">
          <a:extLst>
            <a:ext uri="{FF2B5EF4-FFF2-40B4-BE49-F238E27FC236}">
              <a16:creationId xmlns:a16="http://schemas.microsoft.com/office/drawing/2014/main" id="{F74C8BAB-A608-4824-9448-0AF7CDAE225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14" name="Text Box 3">
          <a:extLst>
            <a:ext uri="{FF2B5EF4-FFF2-40B4-BE49-F238E27FC236}">
              <a16:creationId xmlns:a16="http://schemas.microsoft.com/office/drawing/2014/main" id="{AD1F5654-FD96-458A-9D75-CA2E9946869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15" name="Text Box 1">
          <a:extLst>
            <a:ext uri="{FF2B5EF4-FFF2-40B4-BE49-F238E27FC236}">
              <a16:creationId xmlns:a16="http://schemas.microsoft.com/office/drawing/2014/main" id="{090BB901-4900-4D60-B3A4-8312500F8D2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16" name="Text Box 1">
          <a:extLst>
            <a:ext uri="{FF2B5EF4-FFF2-40B4-BE49-F238E27FC236}">
              <a16:creationId xmlns:a16="http://schemas.microsoft.com/office/drawing/2014/main" id="{178C8FFD-FCDD-47C9-88FA-CC0F37E0CE1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17" name="Text Box 3">
          <a:extLst>
            <a:ext uri="{FF2B5EF4-FFF2-40B4-BE49-F238E27FC236}">
              <a16:creationId xmlns:a16="http://schemas.microsoft.com/office/drawing/2014/main" id="{9644D8C3-7E52-47F2-9DA0-2A92EBBE1D7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18" name="Text Box 1">
          <a:extLst>
            <a:ext uri="{FF2B5EF4-FFF2-40B4-BE49-F238E27FC236}">
              <a16:creationId xmlns:a16="http://schemas.microsoft.com/office/drawing/2014/main" id="{2D98F1BA-94F8-4857-82DD-42C5BF3FB74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719" name="Text Box 1">
          <a:extLst>
            <a:ext uri="{FF2B5EF4-FFF2-40B4-BE49-F238E27FC236}">
              <a16:creationId xmlns:a16="http://schemas.microsoft.com/office/drawing/2014/main" id="{21CDF29C-D1B5-4D0A-95E8-667A76B4730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20" name="Text Box 1">
          <a:extLst>
            <a:ext uri="{FF2B5EF4-FFF2-40B4-BE49-F238E27FC236}">
              <a16:creationId xmlns:a16="http://schemas.microsoft.com/office/drawing/2014/main" id="{970DA926-A4BF-4D0E-933A-DF4EA29858E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21" name="Text Box 3">
          <a:extLst>
            <a:ext uri="{FF2B5EF4-FFF2-40B4-BE49-F238E27FC236}">
              <a16:creationId xmlns:a16="http://schemas.microsoft.com/office/drawing/2014/main" id="{AEB4615B-1070-4905-8C5F-8FDAA5CBA9D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22" name="Text Box 1">
          <a:extLst>
            <a:ext uri="{FF2B5EF4-FFF2-40B4-BE49-F238E27FC236}">
              <a16:creationId xmlns:a16="http://schemas.microsoft.com/office/drawing/2014/main" id="{F683180C-B53F-411E-9B89-CFDFCF27864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23" name="Text Box 3">
          <a:extLst>
            <a:ext uri="{FF2B5EF4-FFF2-40B4-BE49-F238E27FC236}">
              <a16:creationId xmlns:a16="http://schemas.microsoft.com/office/drawing/2014/main" id="{30B6729A-9F28-4B91-B9E0-F8AB166288D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24" name="Text Box 1">
          <a:extLst>
            <a:ext uri="{FF2B5EF4-FFF2-40B4-BE49-F238E27FC236}">
              <a16:creationId xmlns:a16="http://schemas.microsoft.com/office/drawing/2014/main" id="{89380B4F-9BDB-4AF2-8251-4A345439D87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25" name="Text Box 1">
          <a:extLst>
            <a:ext uri="{FF2B5EF4-FFF2-40B4-BE49-F238E27FC236}">
              <a16:creationId xmlns:a16="http://schemas.microsoft.com/office/drawing/2014/main" id="{FF5E51C9-DA95-4048-8F78-0327C9CA67B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26" name="Text Box 3">
          <a:extLst>
            <a:ext uri="{FF2B5EF4-FFF2-40B4-BE49-F238E27FC236}">
              <a16:creationId xmlns:a16="http://schemas.microsoft.com/office/drawing/2014/main" id="{A9D4018F-4956-4DC5-B15B-45AB4A66041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27" name="Text Box 1">
          <a:extLst>
            <a:ext uri="{FF2B5EF4-FFF2-40B4-BE49-F238E27FC236}">
              <a16:creationId xmlns:a16="http://schemas.microsoft.com/office/drawing/2014/main" id="{4E26FD0D-0398-4874-BF38-025A6680784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28" name="Text Box 3">
          <a:extLst>
            <a:ext uri="{FF2B5EF4-FFF2-40B4-BE49-F238E27FC236}">
              <a16:creationId xmlns:a16="http://schemas.microsoft.com/office/drawing/2014/main" id="{FC1A17A2-C633-4705-ACAC-B2DD396E042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29" name="Text Box 1">
          <a:extLst>
            <a:ext uri="{FF2B5EF4-FFF2-40B4-BE49-F238E27FC236}">
              <a16:creationId xmlns:a16="http://schemas.microsoft.com/office/drawing/2014/main" id="{72166619-DA26-4772-87BF-CF5D75C64FF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30" name="Text Box 1">
          <a:extLst>
            <a:ext uri="{FF2B5EF4-FFF2-40B4-BE49-F238E27FC236}">
              <a16:creationId xmlns:a16="http://schemas.microsoft.com/office/drawing/2014/main" id="{E890D829-A66C-4D7E-90F3-3294D4227A7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31" name="Text Box 3">
          <a:extLst>
            <a:ext uri="{FF2B5EF4-FFF2-40B4-BE49-F238E27FC236}">
              <a16:creationId xmlns:a16="http://schemas.microsoft.com/office/drawing/2014/main" id="{E188D437-0882-4698-8ACC-7E70B1476F9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32" name="Text Box 1">
          <a:extLst>
            <a:ext uri="{FF2B5EF4-FFF2-40B4-BE49-F238E27FC236}">
              <a16:creationId xmlns:a16="http://schemas.microsoft.com/office/drawing/2014/main" id="{A3AC69D9-EE22-4D7B-8DF0-F5BF55660B6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33" name="Text Box 3">
          <a:extLst>
            <a:ext uri="{FF2B5EF4-FFF2-40B4-BE49-F238E27FC236}">
              <a16:creationId xmlns:a16="http://schemas.microsoft.com/office/drawing/2014/main" id="{15D2A20B-5273-4032-8E38-F7A2E81F479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34" name="Text Box 1">
          <a:extLst>
            <a:ext uri="{FF2B5EF4-FFF2-40B4-BE49-F238E27FC236}">
              <a16:creationId xmlns:a16="http://schemas.microsoft.com/office/drawing/2014/main" id="{E8D6E1F7-559C-4D33-BEA0-28012A6C2F5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35" name="Text Box 1">
          <a:extLst>
            <a:ext uri="{FF2B5EF4-FFF2-40B4-BE49-F238E27FC236}">
              <a16:creationId xmlns:a16="http://schemas.microsoft.com/office/drawing/2014/main" id="{784044B4-AFF6-45CE-807C-DCB4FAB0037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36" name="Text Box 3">
          <a:extLst>
            <a:ext uri="{FF2B5EF4-FFF2-40B4-BE49-F238E27FC236}">
              <a16:creationId xmlns:a16="http://schemas.microsoft.com/office/drawing/2014/main" id="{69A8DF54-FF50-41EC-9F6A-D3A8F23AB2B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37" name="Text Box 1">
          <a:extLst>
            <a:ext uri="{FF2B5EF4-FFF2-40B4-BE49-F238E27FC236}">
              <a16:creationId xmlns:a16="http://schemas.microsoft.com/office/drawing/2014/main" id="{1A91D90A-3107-425C-93EB-67F934884FD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38" name="Text Box 3">
          <a:extLst>
            <a:ext uri="{FF2B5EF4-FFF2-40B4-BE49-F238E27FC236}">
              <a16:creationId xmlns:a16="http://schemas.microsoft.com/office/drawing/2014/main" id="{A460E564-5D2E-46E4-A453-1F2250833F6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39" name="Text Box 1">
          <a:extLst>
            <a:ext uri="{FF2B5EF4-FFF2-40B4-BE49-F238E27FC236}">
              <a16:creationId xmlns:a16="http://schemas.microsoft.com/office/drawing/2014/main" id="{0E1C2A35-EFF2-4014-9D0D-EC02B0E3944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40" name="Text Box 1">
          <a:extLst>
            <a:ext uri="{FF2B5EF4-FFF2-40B4-BE49-F238E27FC236}">
              <a16:creationId xmlns:a16="http://schemas.microsoft.com/office/drawing/2014/main" id="{16DB135A-07DE-4C05-8784-D0B2D704DD1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41" name="Text Box 3">
          <a:extLst>
            <a:ext uri="{FF2B5EF4-FFF2-40B4-BE49-F238E27FC236}">
              <a16:creationId xmlns:a16="http://schemas.microsoft.com/office/drawing/2014/main" id="{4C40FEFF-9734-4B75-A8D5-5A9D5DED713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42" name="Text Box 1">
          <a:extLst>
            <a:ext uri="{FF2B5EF4-FFF2-40B4-BE49-F238E27FC236}">
              <a16:creationId xmlns:a16="http://schemas.microsoft.com/office/drawing/2014/main" id="{9DE72C84-7764-4D25-BF52-0A9582B2157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43" name="Text Box 3">
          <a:extLst>
            <a:ext uri="{FF2B5EF4-FFF2-40B4-BE49-F238E27FC236}">
              <a16:creationId xmlns:a16="http://schemas.microsoft.com/office/drawing/2014/main" id="{ADBB5126-DCB7-4627-8608-D4CDDA5D1FA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44" name="Text Box 1">
          <a:extLst>
            <a:ext uri="{FF2B5EF4-FFF2-40B4-BE49-F238E27FC236}">
              <a16:creationId xmlns:a16="http://schemas.microsoft.com/office/drawing/2014/main" id="{AFF97CC9-A057-4D0E-B036-BBF2F9EB583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45" name="Text Box 1">
          <a:extLst>
            <a:ext uri="{FF2B5EF4-FFF2-40B4-BE49-F238E27FC236}">
              <a16:creationId xmlns:a16="http://schemas.microsoft.com/office/drawing/2014/main" id="{DA1D10DC-E594-4354-9036-1B43B6881B5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46" name="Text Box 3">
          <a:extLst>
            <a:ext uri="{FF2B5EF4-FFF2-40B4-BE49-F238E27FC236}">
              <a16:creationId xmlns:a16="http://schemas.microsoft.com/office/drawing/2014/main" id="{344FF09B-5259-4D5F-9831-3EE4941DD0E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47" name="Text Box 1">
          <a:extLst>
            <a:ext uri="{FF2B5EF4-FFF2-40B4-BE49-F238E27FC236}">
              <a16:creationId xmlns:a16="http://schemas.microsoft.com/office/drawing/2014/main" id="{D20D0423-E2A6-4339-849C-3C41C972427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48" name="Text Box 3">
          <a:extLst>
            <a:ext uri="{FF2B5EF4-FFF2-40B4-BE49-F238E27FC236}">
              <a16:creationId xmlns:a16="http://schemas.microsoft.com/office/drawing/2014/main" id="{8635994A-7917-47B9-BE8C-7017EB75EDF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49" name="Text Box 1">
          <a:extLst>
            <a:ext uri="{FF2B5EF4-FFF2-40B4-BE49-F238E27FC236}">
              <a16:creationId xmlns:a16="http://schemas.microsoft.com/office/drawing/2014/main" id="{D78A5676-B852-41CE-AD6E-A510BE896E2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50" name="Text Box 1">
          <a:extLst>
            <a:ext uri="{FF2B5EF4-FFF2-40B4-BE49-F238E27FC236}">
              <a16:creationId xmlns:a16="http://schemas.microsoft.com/office/drawing/2014/main" id="{64D22817-9561-4EA7-84A7-7F8E2E55919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51" name="Text Box 3">
          <a:extLst>
            <a:ext uri="{FF2B5EF4-FFF2-40B4-BE49-F238E27FC236}">
              <a16:creationId xmlns:a16="http://schemas.microsoft.com/office/drawing/2014/main" id="{97ECCE0B-2043-4948-B922-C2925E6E81C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52" name="Text Box 1">
          <a:extLst>
            <a:ext uri="{FF2B5EF4-FFF2-40B4-BE49-F238E27FC236}">
              <a16:creationId xmlns:a16="http://schemas.microsoft.com/office/drawing/2014/main" id="{3A036FA1-7AAD-4456-9A72-B9837C16C99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53" name="Text Box 3">
          <a:extLst>
            <a:ext uri="{FF2B5EF4-FFF2-40B4-BE49-F238E27FC236}">
              <a16:creationId xmlns:a16="http://schemas.microsoft.com/office/drawing/2014/main" id="{B515F82C-6BFE-46AF-B75A-F222757CFCF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54" name="Text Box 1">
          <a:extLst>
            <a:ext uri="{FF2B5EF4-FFF2-40B4-BE49-F238E27FC236}">
              <a16:creationId xmlns:a16="http://schemas.microsoft.com/office/drawing/2014/main" id="{E8070643-511C-4FF8-9CBB-73B1C83E871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55" name="Text Box 1">
          <a:extLst>
            <a:ext uri="{FF2B5EF4-FFF2-40B4-BE49-F238E27FC236}">
              <a16:creationId xmlns:a16="http://schemas.microsoft.com/office/drawing/2014/main" id="{D4226299-B867-4997-8292-FC9B79E39C0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56" name="Text Box 3">
          <a:extLst>
            <a:ext uri="{FF2B5EF4-FFF2-40B4-BE49-F238E27FC236}">
              <a16:creationId xmlns:a16="http://schemas.microsoft.com/office/drawing/2014/main" id="{34F5E48C-1EB0-4191-BE28-D4A8F2ABC8A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57" name="Text Box 1">
          <a:extLst>
            <a:ext uri="{FF2B5EF4-FFF2-40B4-BE49-F238E27FC236}">
              <a16:creationId xmlns:a16="http://schemas.microsoft.com/office/drawing/2014/main" id="{AA55C01A-CD46-427C-8945-A5D099C39DB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58" name="Text Box 3">
          <a:extLst>
            <a:ext uri="{FF2B5EF4-FFF2-40B4-BE49-F238E27FC236}">
              <a16:creationId xmlns:a16="http://schemas.microsoft.com/office/drawing/2014/main" id="{7EE879DB-D8A0-472B-9BAF-7755CC4742E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59" name="Text Box 1">
          <a:extLst>
            <a:ext uri="{FF2B5EF4-FFF2-40B4-BE49-F238E27FC236}">
              <a16:creationId xmlns:a16="http://schemas.microsoft.com/office/drawing/2014/main" id="{B8C81C8B-FED1-4F2A-8A6A-2358F894A16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60" name="Text Box 1">
          <a:extLst>
            <a:ext uri="{FF2B5EF4-FFF2-40B4-BE49-F238E27FC236}">
              <a16:creationId xmlns:a16="http://schemas.microsoft.com/office/drawing/2014/main" id="{C4B3AD86-20AD-4C48-8930-37F206CD3B9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61" name="Text Box 3">
          <a:extLst>
            <a:ext uri="{FF2B5EF4-FFF2-40B4-BE49-F238E27FC236}">
              <a16:creationId xmlns:a16="http://schemas.microsoft.com/office/drawing/2014/main" id="{6BBE7027-E02A-4AC7-B8BF-268D2C16C9C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62" name="Text Box 1">
          <a:extLst>
            <a:ext uri="{FF2B5EF4-FFF2-40B4-BE49-F238E27FC236}">
              <a16:creationId xmlns:a16="http://schemas.microsoft.com/office/drawing/2014/main" id="{09F3782D-CC9B-46DF-B883-312906223B4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63" name="Text Box 3">
          <a:extLst>
            <a:ext uri="{FF2B5EF4-FFF2-40B4-BE49-F238E27FC236}">
              <a16:creationId xmlns:a16="http://schemas.microsoft.com/office/drawing/2014/main" id="{66E89E84-F3A9-4DEF-BE76-F568F0B4F93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64" name="Text Box 1">
          <a:extLst>
            <a:ext uri="{FF2B5EF4-FFF2-40B4-BE49-F238E27FC236}">
              <a16:creationId xmlns:a16="http://schemas.microsoft.com/office/drawing/2014/main" id="{E20E0CD2-3FFF-4B3D-9D3E-AA7F9AB6081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65" name="Text Box 1">
          <a:extLst>
            <a:ext uri="{FF2B5EF4-FFF2-40B4-BE49-F238E27FC236}">
              <a16:creationId xmlns:a16="http://schemas.microsoft.com/office/drawing/2014/main" id="{1C65722D-5AA4-4D15-A8EE-D95D1D8117A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66" name="Text Box 3">
          <a:extLst>
            <a:ext uri="{FF2B5EF4-FFF2-40B4-BE49-F238E27FC236}">
              <a16:creationId xmlns:a16="http://schemas.microsoft.com/office/drawing/2014/main" id="{C864FDED-8285-4C31-8904-DE313AB784A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67" name="Text Box 1">
          <a:extLst>
            <a:ext uri="{FF2B5EF4-FFF2-40B4-BE49-F238E27FC236}">
              <a16:creationId xmlns:a16="http://schemas.microsoft.com/office/drawing/2014/main" id="{6BCD0B71-3A0D-49F2-A4AE-9A3F6D7E2A1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68" name="Text Box 3">
          <a:extLst>
            <a:ext uri="{FF2B5EF4-FFF2-40B4-BE49-F238E27FC236}">
              <a16:creationId xmlns:a16="http://schemas.microsoft.com/office/drawing/2014/main" id="{7AAD078C-4200-4C35-B506-A3C23723E73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69" name="Text Box 1">
          <a:extLst>
            <a:ext uri="{FF2B5EF4-FFF2-40B4-BE49-F238E27FC236}">
              <a16:creationId xmlns:a16="http://schemas.microsoft.com/office/drawing/2014/main" id="{CD728944-F0F6-434B-967E-86FBCC1B546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70" name="Text Box 1">
          <a:extLst>
            <a:ext uri="{FF2B5EF4-FFF2-40B4-BE49-F238E27FC236}">
              <a16:creationId xmlns:a16="http://schemas.microsoft.com/office/drawing/2014/main" id="{426D295D-53C9-4C27-8168-D586803D200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71" name="Text Box 3">
          <a:extLst>
            <a:ext uri="{FF2B5EF4-FFF2-40B4-BE49-F238E27FC236}">
              <a16:creationId xmlns:a16="http://schemas.microsoft.com/office/drawing/2014/main" id="{3F4F0CDF-66B9-43EE-8308-64A561FA882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72" name="Text Box 1">
          <a:extLst>
            <a:ext uri="{FF2B5EF4-FFF2-40B4-BE49-F238E27FC236}">
              <a16:creationId xmlns:a16="http://schemas.microsoft.com/office/drawing/2014/main" id="{0CDA642D-693E-4515-A325-E9E88A1132C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73" name="Text Box 3">
          <a:extLst>
            <a:ext uri="{FF2B5EF4-FFF2-40B4-BE49-F238E27FC236}">
              <a16:creationId xmlns:a16="http://schemas.microsoft.com/office/drawing/2014/main" id="{A02EA60E-4A28-433B-8219-C2AD0EE08BB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74" name="Text Box 1">
          <a:extLst>
            <a:ext uri="{FF2B5EF4-FFF2-40B4-BE49-F238E27FC236}">
              <a16:creationId xmlns:a16="http://schemas.microsoft.com/office/drawing/2014/main" id="{5DFE6CDD-24ED-4408-B130-81A3F98B925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75" name="Text Box 1">
          <a:extLst>
            <a:ext uri="{FF2B5EF4-FFF2-40B4-BE49-F238E27FC236}">
              <a16:creationId xmlns:a16="http://schemas.microsoft.com/office/drawing/2014/main" id="{84DAC0E0-950B-4BBE-ACC2-AB837241F68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76" name="Text Box 3">
          <a:extLst>
            <a:ext uri="{FF2B5EF4-FFF2-40B4-BE49-F238E27FC236}">
              <a16:creationId xmlns:a16="http://schemas.microsoft.com/office/drawing/2014/main" id="{04099D84-DD2B-490D-90DD-5DA1E0E2EE8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77" name="Text Box 1">
          <a:extLst>
            <a:ext uri="{FF2B5EF4-FFF2-40B4-BE49-F238E27FC236}">
              <a16:creationId xmlns:a16="http://schemas.microsoft.com/office/drawing/2014/main" id="{B5412A27-9627-4C84-A1C7-728D2F6ADAD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78" name="Text Box 3">
          <a:extLst>
            <a:ext uri="{FF2B5EF4-FFF2-40B4-BE49-F238E27FC236}">
              <a16:creationId xmlns:a16="http://schemas.microsoft.com/office/drawing/2014/main" id="{83AE5FF7-F3B4-4A79-94B6-00CF41B8B01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79" name="Text Box 1">
          <a:extLst>
            <a:ext uri="{FF2B5EF4-FFF2-40B4-BE49-F238E27FC236}">
              <a16:creationId xmlns:a16="http://schemas.microsoft.com/office/drawing/2014/main" id="{680F3BC4-E67F-48F7-B478-6B8C342E02E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80" name="Text Box 1">
          <a:extLst>
            <a:ext uri="{FF2B5EF4-FFF2-40B4-BE49-F238E27FC236}">
              <a16:creationId xmlns:a16="http://schemas.microsoft.com/office/drawing/2014/main" id="{ED7E2CD4-A9A0-457D-BB5C-448D5031E35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81" name="Text Box 3">
          <a:extLst>
            <a:ext uri="{FF2B5EF4-FFF2-40B4-BE49-F238E27FC236}">
              <a16:creationId xmlns:a16="http://schemas.microsoft.com/office/drawing/2014/main" id="{CAF60173-5593-4DF1-9954-FA404D6F4EE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82" name="Text Box 1">
          <a:extLst>
            <a:ext uri="{FF2B5EF4-FFF2-40B4-BE49-F238E27FC236}">
              <a16:creationId xmlns:a16="http://schemas.microsoft.com/office/drawing/2014/main" id="{6A967ACE-6DCA-4455-B604-D7E869A8CBE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83" name="Text Box 3">
          <a:extLst>
            <a:ext uri="{FF2B5EF4-FFF2-40B4-BE49-F238E27FC236}">
              <a16:creationId xmlns:a16="http://schemas.microsoft.com/office/drawing/2014/main" id="{5FCB0602-DF21-48E5-B9AA-E8EA73BC0A7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84" name="Text Box 1">
          <a:extLst>
            <a:ext uri="{FF2B5EF4-FFF2-40B4-BE49-F238E27FC236}">
              <a16:creationId xmlns:a16="http://schemas.microsoft.com/office/drawing/2014/main" id="{984024CE-C419-443D-B0E7-80D1B3DAF06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85" name="Text Box 1">
          <a:extLst>
            <a:ext uri="{FF2B5EF4-FFF2-40B4-BE49-F238E27FC236}">
              <a16:creationId xmlns:a16="http://schemas.microsoft.com/office/drawing/2014/main" id="{2BF1BC09-6181-477E-9A5D-E6650CC0981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86" name="Text Box 3">
          <a:extLst>
            <a:ext uri="{FF2B5EF4-FFF2-40B4-BE49-F238E27FC236}">
              <a16:creationId xmlns:a16="http://schemas.microsoft.com/office/drawing/2014/main" id="{B8416BE2-43C6-47B6-A1A6-E82C153D23B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87" name="Text Box 1">
          <a:extLst>
            <a:ext uri="{FF2B5EF4-FFF2-40B4-BE49-F238E27FC236}">
              <a16:creationId xmlns:a16="http://schemas.microsoft.com/office/drawing/2014/main" id="{45776685-E896-4D8F-9A4C-F25EBB52875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88" name="Text Box 3">
          <a:extLst>
            <a:ext uri="{FF2B5EF4-FFF2-40B4-BE49-F238E27FC236}">
              <a16:creationId xmlns:a16="http://schemas.microsoft.com/office/drawing/2014/main" id="{BABAE051-FB5F-4212-9143-DE399454931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89" name="Text Box 1">
          <a:extLst>
            <a:ext uri="{FF2B5EF4-FFF2-40B4-BE49-F238E27FC236}">
              <a16:creationId xmlns:a16="http://schemas.microsoft.com/office/drawing/2014/main" id="{109D5752-278D-4B92-A7B4-0E29E84AB9E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90" name="Text Box 1">
          <a:extLst>
            <a:ext uri="{FF2B5EF4-FFF2-40B4-BE49-F238E27FC236}">
              <a16:creationId xmlns:a16="http://schemas.microsoft.com/office/drawing/2014/main" id="{52C2ED26-FE9F-48E9-829B-86A926F0DF6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91" name="Text Box 3">
          <a:extLst>
            <a:ext uri="{FF2B5EF4-FFF2-40B4-BE49-F238E27FC236}">
              <a16:creationId xmlns:a16="http://schemas.microsoft.com/office/drawing/2014/main" id="{6B0C2308-0DD1-45AC-BE99-07F69B7C984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92" name="Text Box 1">
          <a:extLst>
            <a:ext uri="{FF2B5EF4-FFF2-40B4-BE49-F238E27FC236}">
              <a16:creationId xmlns:a16="http://schemas.microsoft.com/office/drawing/2014/main" id="{3517D38B-CE7E-4235-AC9C-5670903D9F0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93" name="Text Box 3">
          <a:extLst>
            <a:ext uri="{FF2B5EF4-FFF2-40B4-BE49-F238E27FC236}">
              <a16:creationId xmlns:a16="http://schemas.microsoft.com/office/drawing/2014/main" id="{14B004C9-AA65-4920-BD83-D0AE630C2DC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94" name="Text Box 1">
          <a:extLst>
            <a:ext uri="{FF2B5EF4-FFF2-40B4-BE49-F238E27FC236}">
              <a16:creationId xmlns:a16="http://schemas.microsoft.com/office/drawing/2014/main" id="{71FF097C-D8F9-489A-AD89-9AE4705D54A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95" name="Text Box 1">
          <a:extLst>
            <a:ext uri="{FF2B5EF4-FFF2-40B4-BE49-F238E27FC236}">
              <a16:creationId xmlns:a16="http://schemas.microsoft.com/office/drawing/2014/main" id="{0CA11C28-C8D7-4B0E-8E7E-5A66770CAC6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96" name="Text Box 3">
          <a:extLst>
            <a:ext uri="{FF2B5EF4-FFF2-40B4-BE49-F238E27FC236}">
              <a16:creationId xmlns:a16="http://schemas.microsoft.com/office/drawing/2014/main" id="{7C2900A2-B301-4A98-8607-33A47EB6C59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97" name="Text Box 1">
          <a:extLst>
            <a:ext uri="{FF2B5EF4-FFF2-40B4-BE49-F238E27FC236}">
              <a16:creationId xmlns:a16="http://schemas.microsoft.com/office/drawing/2014/main" id="{7FDD0AA3-9CEA-43F4-87F1-433697ECE18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98" name="Text Box 3">
          <a:extLst>
            <a:ext uri="{FF2B5EF4-FFF2-40B4-BE49-F238E27FC236}">
              <a16:creationId xmlns:a16="http://schemas.microsoft.com/office/drawing/2014/main" id="{997477BB-A009-4688-B2F8-A82BAE8B4D8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99" name="Text Box 1">
          <a:extLst>
            <a:ext uri="{FF2B5EF4-FFF2-40B4-BE49-F238E27FC236}">
              <a16:creationId xmlns:a16="http://schemas.microsoft.com/office/drawing/2014/main" id="{8AA9024C-F13D-4D77-B55E-1897C09608B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00" name="Text Box 1">
          <a:extLst>
            <a:ext uri="{FF2B5EF4-FFF2-40B4-BE49-F238E27FC236}">
              <a16:creationId xmlns:a16="http://schemas.microsoft.com/office/drawing/2014/main" id="{A0D76EF4-9E3D-4EBA-B497-2E02120389A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01" name="Text Box 3">
          <a:extLst>
            <a:ext uri="{FF2B5EF4-FFF2-40B4-BE49-F238E27FC236}">
              <a16:creationId xmlns:a16="http://schemas.microsoft.com/office/drawing/2014/main" id="{7F07A4A2-9536-4AA7-8ED2-AEA7EE267CC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02" name="Text Box 1">
          <a:extLst>
            <a:ext uri="{FF2B5EF4-FFF2-40B4-BE49-F238E27FC236}">
              <a16:creationId xmlns:a16="http://schemas.microsoft.com/office/drawing/2014/main" id="{9A6CA497-BA53-413D-B244-8158DCC805A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03" name="Text Box 3">
          <a:extLst>
            <a:ext uri="{FF2B5EF4-FFF2-40B4-BE49-F238E27FC236}">
              <a16:creationId xmlns:a16="http://schemas.microsoft.com/office/drawing/2014/main" id="{2A8DA398-CCE8-403C-A2F7-DA2975683B1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04" name="Text Box 1">
          <a:extLst>
            <a:ext uri="{FF2B5EF4-FFF2-40B4-BE49-F238E27FC236}">
              <a16:creationId xmlns:a16="http://schemas.microsoft.com/office/drawing/2014/main" id="{63CDCB5E-F6D1-4549-9E23-61089454A84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05" name="Text Box 1">
          <a:extLst>
            <a:ext uri="{FF2B5EF4-FFF2-40B4-BE49-F238E27FC236}">
              <a16:creationId xmlns:a16="http://schemas.microsoft.com/office/drawing/2014/main" id="{CCD2D34E-7F30-4E26-9813-A5EC22349E4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06" name="Text Box 3">
          <a:extLst>
            <a:ext uri="{FF2B5EF4-FFF2-40B4-BE49-F238E27FC236}">
              <a16:creationId xmlns:a16="http://schemas.microsoft.com/office/drawing/2014/main" id="{1CA890B2-703F-4256-BBA0-811397EEFF0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07" name="Text Box 1">
          <a:extLst>
            <a:ext uri="{FF2B5EF4-FFF2-40B4-BE49-F238E27FC236}">
              <a16:creationId xmlns:a16="http://schemas.microsoft.com/office/drawing/2014/main" id="{7751694F-5DBD-4B5F-906F-0F1D872DE51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08" name="Text Box 3">
          <a:extLst>
            <a:ext uri="{FF2B5EF4-FFF2-40B4-BE49-F238E27FC236}">
              <a16:creationId xmlns:a16="http://schemas.microsoft.com/office/drawing/2014/main" id="{FD28740D-0356-41E9-A994-DF240825756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09" name="Text Box 1">
          <a:extLst>
            <a:ext uri="{FF2B5EF4-FFF2-40B4-BE49-F238E27FC236}">
              <a16:creationId xmlns:a16="http://schemas.microsoft.com/office/drawing/2014/main" id="{7C649901-B091-439F-81D4-77872A2D463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10" name="Text Box 1">
          <a:extLst>
            <a:ext uri="{FF2B5EF4-FFF2-40B4-BE49-F238E27FC236}">
              <a16:creationId xmlns:a16="http://schemas.microsoft.com/office/drawing/2014/main" id="{1F7403E9-527B-4855-8807-A74496F456B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11" name="Text Box 3">
          <a:extLst>
            <a:ext uri="{FF2B5EF4-FFF2-40B4-BE49-F238E27FC236}">
              <a16:creationId xmlns:a16="http://schemas.microsoft.com/office/drawing/2014/main" id="{52C9C73E-7428-4673-93D3-B721A24D4F5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12" name="Text Box 1">
          <a:extLst>
            <a:ext uri="{FF2B5EF4-FFF2-40B4-BE49-F238E27FC236}">
              <a16:creationId xmlns:a16="http://schemas.microsoft.com/office/drawing/2014/main" id="{334D01BB-6E79-48C0-853B-1FA64C75C9A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13" name="Text Box 3">
          <a:extLst>
            <a:ext uri="{FF2B5EF4-FFF2-40B4-BE49-F238E27FC236}">
              <a16:creationId xmlns:a16="http://schemas.microsoft.com/office/drawing/2014/main" id="{F1F3769B-5064-4091-BC3E-255F1EA5747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14" name="Text Box 1">
          <a:extLst>
            <a:ext uri="{FF2B5EF4-FFF2-40B4-BE49-F238E27FC236}">
              <a16:creationId xmlns:a16="http://schemas.microsoft.com/office/drawing/2014/main" id="{1CC4128B-A60D-45E3-830D-0B44F4AD494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15" name="Text Box 1">
          <a:extLst>
            <a:ext uri="{FF2B5EF4-FFF2-40B4-BE49-F238E27FC236}">
              <a16:creationId xmlns:a16="http://schemas.microsoft.com/office/drawing/2014/main" id="{69E07B97-4949-4FC3-80C1-2EBA35DC252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16" name="Text Box 3">
          <a:extLst>
            <a:ext uri="{FF2B5EF4-FFF2-40B4-BE49-F238E27FC236}">
              <a16:creationId xmlns:a16="http://schemas.microsoft.com/office/drawing/2014/main" id="{73E3B2B2-3228-47CB-9F80-F657A51A1EE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17" name="Text Box 1">
          <a:extLst>
            <a:ext uri="{FF2B5EF4-FFF2-40B4-BE49-F238E27FC236}">
              <a16:creationId xmlns:a16="http://schemas.microsoft.com/office/drawing/2014/main" id="{B391025E-0470-4D59-B7C1-CAED402BFD6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18" name="Text Box 3">
          <a:extLst>
            <a:ext uri="{FF2B5EF4-FFF2-40B4-BE49-F238E27FC236}">
              <a16:creationId xmlns:a16="http://schemas.microsoft.com/office/drawing/2014/main" id="{0C512F98-FF93-4424-B16D-9F8402B0F51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19" name="Text Box 1">
          <a:extLst>
            <a:ext uri="{FF2B5EF4-FFF2-40B4-BE49-F238E27FC236}">
              <a16:creationId xmlns:a16="http://schemas.microsoft.com/office/drawing/2014/main" id="{7ABF754C-42AD-4232-9D8D-C0E2C56F950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20" name="Text Box 1">
          <a:extLst>
            <a:ext uri="{FF2B5EF4-FFF2-40B4-BE49-F238E27FC236}">
              <a16:creationId xmlns:a16="http://schemas.microsoft.com/office/drawing/2014/main" id="{2EDCE389-57E4-49EB-A2AE-7F412425F4F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21" name="Text Box 3">
          <a:extLst>
            <a:ext uri="{FF2B5EF4-FFF2-40B4-BE49-F238E27FC236}">
              <a16:creationId xmlns:a16="http://schemas.microsoft.com/office/drawing/2014/main" id="{738DD0D0-7F36-4B46-B9E3-077CB8C2742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22" name="Text Box 1">
          <a:extLst>
            <a:ext uri="{FF2B5EF4-FFF2-40B4-BE49-F238E27FC236}">
              <a16:creationId xmlns:a16="http://schemas.microsoft.com/office/drawing/2014/main" id="{D197DF55-677C-49E6-BFF4-BD3EE538C21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23" name="Text Box 3">
          <a:extLst>
            <a:ext uri="{FF2B5EF4-FFF2-40B4-BE49-F238E27FC236}">
              <a16:creationId xmlns:a16="http://schemas.microsoft.com/office/drawing/2014/main" id="{908CA758-F8D7-4914-BEBD-0F2A7DA6D56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24" name="Text Box 1">
          <a:extLst>
            <a:ext uri="{FF2B5EF4-FFF2-40B4-BE49-F238E27FC236}">
              <a16:creationId xmlns:a16="http://schemas.microsoft.com/office/drawing/2014/main" id="{20FFAD09-384F-4FA1-AB01-30796350586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25" name="Text Box 1">
          <a:extLst>
            <a:ext uri="{FF2B5EF4-FFF2-40B4-BE49-F238E27FC236}">
              <a16:creationId xmlns:a16="http://schemas.microsoft.com/office/drawing/2014/main" id="{196FF4F0-709C-43C5-B22F-3E5F48BA051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26" name="Text Box 3">
          <a:extLst>
            <a:ext uri="{FF2B5EF4-FFF2-40B4-BE49-F238E27FC236}">
              <a16:creationId xmlns:a16="http://schemas.microsoft.com/office/drawing/2014/main" id="{EFC8C8E4-C6A7-4117-B434-983BF827C39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27" name="Text Box 1">
          <a:extLst>
            <a:ext uri="{FF2B5EF4-FFF2-40B4-BE49-F238E27FC236}">
              <a16:creationId xmlns:a16="http://schemas.microsoft.com/office/drawing/2014/main" id="{8C0DD712-B729-41DF-AF6E-B01D4A8F1B5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28" name="Text Box 3">
          <a:extLst>
            <a:ext uri="{FF2B5EF4-FFF2-40B4-BE49-F238E27FC236}">
              <a16:creationId xmlns:a16="http://schemas.microsoft.com/office/drawing/2014/main" id="{A98A5839-9270-4767-8D77-40BB657B7A8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29" name="Text Box 1">
          <a:extLst>
            <a:ext uri="{FF2B5EF4-FFF2-40B4-BE49-F238E27FC236}">
              <a16:creationId xmlns:a16="http://schemas.microsoft.com/office/drawing/2014/main" id="{175B5D26-3F40-4EBE-9DE1-3197A66CB92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30" name="Text Box 1">
          <a:extLst>
            <a:ext uri="{FF2B5EF4-FFF2-40B4-BE49-F238E27FC236}">
              <a16:creationId xmlns:a16="http://schemas.microsoft.com/office/drawing/2014/main" id="{E9CF3AD5-95FD-4F09-B4BA-7015C285C0A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31" name="Text Box 3">
          <a:extLst>
            <a:ext uri="{FF2B5EF4-FFF2-40B4-BE49-F238E27FC236}">
              <a16:creationId xmlns:a16="http://schemas.microsoft.com/office/drawing/2014/main" id="{7A3E21C7-FC35-48CD-8535-669FF826A19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32" name="Text Box 1">
          <a:extLst>
            <a:ext uri="{FF2B5EF4-FFF2-40B4-BE49-F238E27FC236}">
              <a16:creationId xmlns:a16="http://schemas.microsoft.com/office/drawing/2014/main" id="{0FFBB06E-D843-4DD2-8D97-6C6724EA089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33" name="Text Box 3">
          <a:extLst>
            <a:ext uri="{FF2B5EF4-FFF2-40B4-BE49-F238E27FC236}">
              <a16:creationId xmlns:a16="http://schemas.microsoft.com/office/drawing/2014/main" id="{D3C54745-0697-4033-A3B9-14D3B132631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34" name="Text Box 1">
          <a:extLst>
            <a:ext uri="{FF2B5EF4-FFF2-40B4-BE49-F238E27FC236}">
              <a16:creationId xmlns:a16="http://schemas.microsoft.com/office/drawing/2014/main" id="{0872515B-F916-4A83-84B4-490B0DF2029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35" name="Text Box 1">
          <a:extLst>
            <a:ext uri="{FF2B5EF4-FFF2-40B4-BE49-F238E27FC236}">
              <a16:creationId xmlns:a16="http://schemas.microsoft.com/office/drawing/2014/main" id="{6EC4C6E2-B1B5-468B-BBE2-EE958434D11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36" name="Text Box 3">
          <a:extLst>
            <a:ext uri="{FF2B5EF4-FFF2-40B4-BE49-F238E27FC236}">
              <a16:creationId xmlns:a16="http://schemas.microsoft.com/office/drawing/2014/main" id="{9B7C88ED-D3A0-4D91-80EB-5F752588F97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37" name="Text Box 1">
          <a:extLst>
            <a:ext uri="{FF2B5EF4-FFF2-40B4-BE49-F238E27FC236}">
              <a16:creationId xmlns:a16="http://schemas.microsoft.com/office/drawing/2014/main" id="{18FC9CA4-295F-4D21-BD8D-11D0AD8AAF5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38" name="Text Box 3">
          <a:extLst>
            <a:ext uri="{FF2B5EF4-FFF2-40B4-BE49-F238E27FC236}">
              <a16:creationId xmlns:a16="http://schemas.microsoft.com/office/drawing/2014/main" id="{B1F91EFA-50B9-4D97-88E8-78D7DBDAA37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39" name="Text Box 1">
          <a:extLst>
            <a:ext uri="{FF2B5EF4-FFF2-40B4-BE49-F238E27FC236}">
              <a16:creationId xmlns:a16="http://schemas.microsoft.com/office/drawing/2014/main" id="{C76D6258-0328-4457-A59F-9093DB5E787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40" name="Text Box 1">
          <a:extLst>
            <a:ext uri="{FF2B5EF4-FFF2-40B4-BE49-F238E27FC236}">
              <a16:creationId xmlns:a16="http://schemas.microsoft.com/office/drawing/2014/main" id="{6AD2FB35-189D-4ED0-8DE0-173A395AED9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41" name="Text Box 3">
          <a:extLst>
            <a:ext uri="{FF2B5EF4-FFF2-40B4-BE49-F238E27FC236}">
              <a16:creationId xmlns:a16="http://schemas.microsoft.com/office/drawing/2014/main" id="{79DD29DD-CC2E-490E-97DC-3D0837A3181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42" name="Text Box 1">
          <a:extLst>
            <a:ext uri="{FF2B5EF4-FFF2-40B4-BE49-F238E27FC236}">
              <a16:creationId xmlns:a16="http://schemas.microsoft.com/office/drawing/2014/main" id="{6910F26F-19D8-4249-97D5-CC61D5AF071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43" name="Text Box 3">
          <a:extLst>
            <a:ext uri="{FF2B5EF4-FFF2-40B4-BE49-F238E27FC236}">
              <a16:creationId xmlns:a16="http://schemas.microsoft.com/office/drawing/2014/main" id="{695492DA-0F9C-48AD-A332-41337C315B3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44" name="Text Box 1">
          <a:extLst>
            <a:ext uri="{FF2B5EF4-FFF2-40B4-BE49-F238E27FC236}">
              <a16:creationId xmlns:a16="http://schemas.microsoft.com/office/drawing/2014/main" id="{C31ED99D-DA2D-47D7-B378-E450D258801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45" name="Text Box 1">
          <a:extLst>
            <a:ext uri="{FF2B5EF4-FFF2-40B4-BE49-F238E27FC236}">
              <a16:creationId xmlns:a16="http://schemas.microsoft.com/office/drawing/2014/main" id="{0F7D9241-C0F7-4968-AAEB-CD57DFC4967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46" name="Text Box 3">
          <a:extLst>
            <a:ext uri="{FF2B5EF4-FFF2-40B4-BE49-F238E27FC236}">
              <a16:creationId xmlns:a16="http://schemas.microsoft.com/office/drawing/2014/main" id="{84F8D062-7E78-488A-B4EC-562C8DAA17C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47" name="Text Box 1">
          <a:extLst>
            <a:ext uri="{FF2B5EF4-FFF2-40B4-BE49-F238E27FC236}">
              <a16:creationId xmlns:a16="http://schemas.microsoft.com/office/drawing/2014/main" id="{64C63ADB-14A4-4BD0-8480-96A6B5C1DF0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48" name="Text Box 3">
          <a:extLst>
            <a:ext uri="{FF2B5EF4-FFF2-40B4-BE49-F238E27FC236}">
              <a16:creationId xmlns:a16="http://schemas.microsoft.com/office/drawing/2014/main" id="{CD4EEB37-AF1E-47F9-BB08-A7E4CBF17DF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49" name="Text Box 1">
          <a:extLst>
            <a:ext uri="{FF2B5EF4-FFF2-40B4-BE49-F238E27FC236}">
              <a16:creationId xmlns:a16="http://schemas.microsoft.com/office/drawing/2014/main" id="{85BD8DA3-E24F-4FE1-90BB-735007A3E75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50" name="Text Box 1">
          <a:extLst>
            <a:ext uri="{FF2B5EF4-FFF2-40B4-BE49-F238E27FC236}">
              <a16:creationId xmlns:a16="http://schemas.microsoft.com/office/drawing/2014/main" id="{638EB6C4-19CF-4A9A-BDD0-CDE957E5C29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51" name="Text Box 3">
          <a:extLst>
            <a:ext uri="{FF2B5EF4-FFF2-40B4-BE49-F238E27FC236}">
              <a16:creationId xmlns:a16="http://schemas.microsoft.com/office/drawing/2014/main" id="{8F201EC5-4D00-4BAC-8B32-CDFDDD2E89E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52" name="Text Box 1">
          <a:extLst>
            <a:ext uri="{FF2B5EF4-FFF2-40B4-BE49-F238E27FC236}">
              <a16:creationId xmlns:a16="http://schemas.microsoft.com/office/drawing/2014/main" id="{801384A3-06DA-45B4-809D-E3760233763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53" name="Text Box 3">
          <a:extLst>
            <a:ext uri="{FF2B5EF4-FFF2-40B4-BE49-F238E27FC236}">
              <a16:creationId xmlns:a16="http://schemas.microsoft.com/office/drawing/2014/main" id="{E6EC1F4B-70DA-45B0-AED2-D400B4C9218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54" name="Text Box 1">
          <a:extLst>
            <a:ext uri="{FF2B5EF4-FFF2-40B4-BE49-F238E27FC236}">
              <a16:creationId xmlns:a16="http://schemas.microsoft.com/office/drawing/2014/main" id="{9D9C2172-AC3B-4481-8D16-7EAC055DAEF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55" name="Text Box 1">
          <a:extLst>
            <a:ext uri="{FF2B5EF4-FFF2-40B4-BE49-F238E27FC236}">
              <a16:creationId xmlns:a16="http://schemas.microsoft.com/office/drawing/2014/main" id="{0AB63694-0605-4097-912E-52F7FC8A7ED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56" name="Text Box 3">
          <a:extLst>
            <a:ext uri="{FF2B5EF4-FFF2-40B4-BE49-F238E27FC236}">
              <a16:creationId xmlns:a16="http://schemas.microsoft.com/office/drawing/2014/main" id="{7A75212E-995D-40B5-8D58-83E5ED96DBB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57" name="Text Box 1">
          <a:extLst>
            <a:ext uri="{FF2B5EF4-FFF2-40B4-BE49-F238E27FC236}">
              <a16:creationId xmlns:a16="http://schemas.microsoft.com/office/drawing/2014/main" id="{172DBAAE-C8E9-4526-8464-43935478051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58" name="Text Box 3">
          <a:extLst>
            <a:ext uri="{FF2B5EF4-FFF2-40B4-BE49-F238E27FC236}">
              <a16:creationId xmlns:a16="http://schemas.microsoft.com/office/drawing/2014/main" id="{69B17BEB-0F7B-432C-9899-B59B5A19C83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59" name="Text Box 1">
          <a:extLst>
            <a:ext uri="{FF2B5EF4-FFF2-40B4-BE49-F238E27FC236}">
              <a16:creationId xmlns:a16="http://schemas.microsoft.com/office/drawing/2014/main" id="{1B748A8B-BB50-4490-8CB2-4D73493C29B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60" name="Text Box 1">
          <a:extLst>
            <a:ext uri="{FF2B5EF4-FFF2-40B4-BE49-F238E27FC236}">
              <a16:creationId xmlns:a16="http://schemas.microsoft.com/office/drawing/2014/main" id="{D742A103-A184-44F2-AFA6-A3F9B163E0E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61" name="Text Box 3">
          <a:extLst>
            <a:ext uri="{FF2B5EF4-FFF2-40B4-BE49-F238E27FC236}">
              <a16:creationId xmlns:a16="http://schemas.microsoft.com/office/drawing/2014/main" id="{82F66B6E-2988-4345-BCEA-2465FBD1D93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62" name="Text Box 1">
          <a:extLst>
            <a:ext uri="{FF2B5EF4-FFF2-40B4-BE49-F238E27FC236}">
              <a16:creationId xmlns:a16="http://schemas.microsoft.com/office/drawing/2014/main" id="{9EB789BC-7158-4B4F-97FC-B360CA3D73E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63" name="Text Box 3">
          <a:extLst>
            <a:ext uri="{FF2B5EF4-FFF2-40B4-BE49-F238E27FC236}">
              <a16:creationId xmlns:a16="http://schemas.microsoft.com/office/drawing/2014/main" id="{046CF171-45F0-4A69-A3C5-DD0CA6D34F8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64" name="Text Box 1">
          <a:extLst>
            <a:ext uri="{FF2B5EF4-FFF2-40B4-BE49-F238E27FC236}">
              <a16:creationId xmlns:a16="http://schemas.microsoft.com/office/drawing/2014/main" id="{F03D4603-D800-4B5B-B6F1-B38042FAA80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65" name="Text Box 1">
          <a:extLst>
            <a:ext uri="{FF2B5EF4-FFF2-40B4-BE49-F238E27FC236}">
              <a16:creationId xmlns:a16="http://schemas.microsoft.com/office/drawing/2014/main" id="{09390FD9-3415-4C7D-BF6E-C7FEA12D75A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66" name="Text Box 3">
          <a:extLst>
            <a:ext uri="{FF2B5EF4-FFF2-40B4-BE49-F238E27FC236}">
              <a16:creationId xmlns:a16="http://schemas.microsoft.com/office/drawing/2014/main" id="{8EF548D7-3F6F-42DC-9217-2A5B8508287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67" name="Text Box 1">
          <a:extLst>
            <a:ext uri="{FF2B5EF4-FFF2-40B4-BE49-F238E27FC236}">
              <a16:creationId xmlns:a16="http://schemas.microsoft.com/office/drawing/2014/main" id="{BDF602F2-C391-4592-9F69-E7775955651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68" name="Text Box 3">
          <a:extLst>
            <a:ext uri="{FF2B5EF4-FFF2-40B4-BE49-F238E27FC236}">
              <a16:creationId xmlns:a16="http://schemas.microsoft.com/office/drawing/2014/main" id="{C17D376F-978F-4888-8504-0FAE88B4ED5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69" name="Text Box 1">
          <a:extLst>
            <a:ext uri="{FF2B5EF4-FFF2-40B4-BE49-F238E27FC236}">
              <a16:creationId xmlns:a16="http://schemas.microsoft.com/office/drawing/2014/main" id="{5775AA53-9EDB-48CE-AAE4-FFA44429E2D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70" name="Text Box 1">
          <a:extLst>
            <a:ext uri="{FF2B5EF4-FFF2-40B4-BE49-F238E27FC236}">
              <a16:creationId xmlns:a16="http://schemas.microsoft.com/office/drawing/2014/main" id="{FA402FAA-8E39-43A2-A1FB-ECFE00ED6A2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71" name="Text Box 3">
          <a:extLst>
            <a:ext uri="{FF2B5EF4-FFF2-40B4-BE49-F238E27FC236}">
              <a16:creationId xmlns:a16="http://schemas.microsoft.com/office/drawing/2014/main" id="{6980D48F-FAC5-4976-8165-B52C83554A4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72" name="Text Box 1">
          <a:extLst>
            <a:ext uri="{FF2B5EF4-FFF2-40B4-BE49-F238E27FC236}">
              <a16:creationId xmlns:a16="http://schemas.microsoft.com/office/drawing/2014/main" id="{1A521C4E-EAB8-48ED-A52C-279EC52F427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73" name="Text Box 3">
          <a:extLst>
            <a:ext uri="{FF2B5EF4-FFF2-40B4-BE49-F238E27FC236}">
              <a16:creationId xmlns:a16="http://schemas.microsoft.com/office/drawing/2014/main" id="{B235C6A9-38CF-4133-87D8-0FB95BC29B5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74" name="Text Box 1">
          <a:extLst>
            <a:ext uri="{FF2B5EF4-FFF2-40B4-BE49-F238E27FC236}">
              <a16:creationId xmlns:a16="http://schemas.microsoft.com/office/drawing/2014/main" id="{34F55A50-4D6E-481D-9561-DE2A6288F66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75" name="Text Box 1">
          <a:extLst>
            <a:ext uri="{FF2B5EF4-FFF2-40B4-BE49-F238E27FC236}">
              <a16:creationId xmlns:a16="http://schemas.microsoft.com/office/drawing/2014/main" id="{31DD5414-8EF8-4A76-984C-A2D53D0AFCD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76" name="Text Box 3">
          <a:extLst>
            <a:ext uri="{FF2B5EF4-FFF2-40B4-BE49-F238E27FC236}">
              <a16:creationId xmlns:a16="http://schemas.microsoft.com/office/drawing/2014/main" id="{D23A2C16-A129-4CB0-B695-A5774D1B2DC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77" name="Text Box 1">
          <a:extLst>
            <a:ext uri="{FF2B5EF4-FFF2-40B4-BE49-F238E27FC236}">
              <a16:creationId xmlns:a16="http://schemas.microsoft.com/office/drawing/2014/main" id="{6ECCDFAA-5D76-4C54-9423-6011D1B7E21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78" name="Text Box 3">
          <a:extLst>
            <a:ext uri="{FF2B5EF4-FFF2-40B4-BE49-F238E27FC236}">
              <a16:creationId xmlns:a16="http://schemas.microsoft.com/office/drawing/2014/main" id="{B6F0C4CD-5040-4634-A545-9211894313A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79" name="Text Box 1">
          <a:extLst>
            <a:ext uri="{FF2B5EF4-FFF2-40B4-BE49-F238E27FC236}">
              <a16:creationId xmlns:a16="http://schemas.microsoft.com/office/drawing/2014/main" id="{E193B3C0-D75D-4719-98C9-E86C8DC55D2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80" name="Text Box 1">
          <a:extLst>
            <a:ext uri="{FF2B5EF4-FFF2-40B4-BE49-F238E27FC236}">
              <a16:creationId xmlns:a16="http://schemas.microsoft.com/office/drawing/2014/main" id="{6CB21CF0-0F39-4612-B711-D15FE41B919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81" name="Text Box 3">
          <a:extLst>
            <a:ext uri="{FF2B5EF4-FFF2-40B4-BE49-F238E27FC236}">
              <a16:creationId xmlns:a16="http://schemas.microsoft.com/office/drawing/2014/main" id="{2C362AC5-0AE1-45A2-B592-C1C84C21AB0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82" name="Text Box 1">
          <a:extLst>
            <a:ext uri="{FF2B5EF4-FFF2-40B4-BE49-F238E27FC236}">
              <a16:creationId xmlns:a16="http://schemas.microsoft.com/office/drawing/2014/main" id="{E6CB5C82-08EF-4B7A-A32A-4AF0B7BDFC9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83" name="Text Box 3">
          <a:extLst>
            <a:ext uri="{FF2B5EF4-FFF2-40B4-BE49-F238E27FC236}">
              <a16:creationId xmlns:a16="http://schemas.microsoft.com/office/drawing/2014/main" id="{37AE02ED-AA9D-4794-9208-603ECAA57CB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84" name="Text Box 1">
          <a:extLst>
            <a:ext uri="{FF2B5EF4-FFF2-40B4-BE49-F238E27FC236}">
              <a16:creationId xmlns:a16="http://schemas.microsoft.com/office/drawing/2014/main" id="{9DE91732-897F-4813-8514-3913793AAF3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85" name="Text Box 1">
          <a:extLst>
            <a:ext uri="{FF2B5EF4-FFF2-40B4-BE49-F238E27FC236}">
              <a16:creationId xmlns:a16="http://schemas.microsoft.com/office/drawing/2014/main" id="{557F692E-90F7-4730-9633-46AC81DCB58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86" name="Text Box 3">
          <a:extLst>
            <a:ext uri="{FF2B5EF4-FFF2-40B4-BE49-F238E27FC236}">
              <a16:creationId xmlns:a16="http://schemas.microsoft.com/office/drawing/2014/main" id="{9F70D708-F062-4543-BB2C-2EE47BF7D95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87" name="Text Box 1">
          <a:extLst>
            <a:ext uri="{FF2B5EF4-FFF2-40B4-BE49-F238E27FC236}">
              <a16:creationId xmlns:a16="http://schemas.microsoft.com/office/drawing/2014/main" id="{8FA30338-2753-4114-80E2-A4F7342A59E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88" name="Text Box 3">
          <a:extLst>
            <a:ext uri="{FF2B5EF4-FFF2-40B4-BE49-F238E27FC236}">
              <a16:creationId xmlns:a16="http://schemas.microsoft.com/office/drawing/2014/main" id="{2F9C5B19-5F50-4939-A21E-903B53074A7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89" name="Text Box 1">
          <a:extLst>
            <a:ext uri="{FF2B5EF4-FFF2-40B4-BE49-F238E27FC236}">
              <a16:creationId xmlns:a16="http://schemas.microsoft.com/office/drawing/2014/main" id="{E759BCD0-DB05-4D43-8C65-6330117214D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90" name="Text Box 1">
          <a:extLst>
            <a:ext uri="{FF2B5EF4-FFF2-40B4-BE49-F238E27FC236}">
              <a16:creationId xmlns:a16="http://schemas.microsoft.com/office/drawing/2014/main" id="{1CAD7D76-FBD2-4D34-B6FF-753741C3AD0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91" name="Text Box 3">
          <a:extLst>
            <a:ext uri="{FF2B5EF4-FFF2-40B4-BE49-F238E27FC236}">
              <a16:creationId xmlns:a16="http://schemas.microsoft.com/office/drawing/2014/main" id="{C50EA2FC-CBAE-4DB6-99DC-306ADA07F93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92" name="Text Box 1">
          <a:extLst>
            <a:ext uri="{FF2B5EF4-FFF2-40B4-BE49-F238E27FC236}">
              <a16:creationId xmlns:a16="http://schemas.microsoft.com/office/drawing/2014/main" id="{0907C67F-3F19-4919-8CFA-E0346084449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93" name="Text Box 3">
          <a:extLst>
            <a:ext uri="{FF2B5EF4-FFF2-40B4-BE49-F238E27FC236}">
              <a16:creationId xmlns:a16="http://schemas.microsoft.com/office/drawing/2014/main" id="{E7AF9BC5-4139-44FC-8ED7-04381A4E5B9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94" name="Text Box 1">
          <a:extLst>
            <a:ext uri="{FF2B5EF4-FFF2-40B4-BE49-F238E27FC236}">
              <a16:creationId xmlns:a16="http://schemas.microsoft.com/office/drawing/2014/main" id="{8970083C-BAEC-49AF-9198-EFB07F6F80D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95" name="Text Box 1">
          <a:extLst>
            <a:ext uri="{FF2B5EF4-FFF2-40B4-BE49-F238E27FC236}">
              <a16:creationId xmlns:a16="http://schemas.microsoft.com/office/drawing/2014/main" id="{8D7E58B3-E7CE-4E7D-A596-A48613836FE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96" name="Text Box 3">
          <a:extLst>
            <a:ext uri="{FF2B5EF4-FFF2-40B4-BE49-F238E27FC236}">
              <a16:creationId xmlns:a16="http://schemas.microsoft.com/office/drawing/2014/main" id="{BEC33476-1168-4EF5-91CA-E5B921E5EB9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97" name="Text Box 1">
          <a:extLst>
            <a:ext uri="{FF2B5EF4-FFF2-40B4-BE49-F238E27FC236}">
              <a16:creationId xmlns:a16="http://schemas.microsoft.com/office/drawing/2014/main" id="{90519684-3867-42AC-B6AB-C895718B4C1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98" name="Text Box 3">
          <a:extLst>
            <a:ext uri="{FF2B5EF4-FFF2-40B4-BE49-F238E27FC236}">
              <a16:creationId xmlns:a16="http://schemas.microsoft.com/office/drawing/2014/main" id="{FE121E69-295A-41CA-9061-69A85B2CA69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99" name="Text Box 1">
          <a:extLst>
            <a:ext uri="{FF2B5EF4-FFF2-40B4-BE49-F238E27FC236}">
              <a16:creationId xmlns:a16="http://schemas.microsoft.com/office/drawing/2014/main" id="{C91DCA4E-D60C-49D3-88AB-4D4915B2B8D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00" name="Text Box 1">
          <a:extLst>
            <a:ext uri="{FF2B5EF4-FFF2-40B4-BE49-F238E27FC236}">
              <a16:creationId xmlns:a16="http://schemas.microsoft.com/office/drawing/2014/main" id="{4BAD72EC-5164-4069-9900-13C6341FF46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01" name="Text Box 3">
          <a:extLst>
            <a:ext uri="{FF2B5EF4-FFF2-40B4-BE49-F238E27FC236}">
              <a16:creationId xmlns:a16="http://schemas.microsoft.com/office/drawing/2014/main" id="{72F866DF-5A33-4844-A33B-752FA257983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02" name="Text Box 1">
          <a:extLst>
            <a:ext uri="{FF2B5EF4-FFF2-40B4-BE49-F238E27FC236}">
              <a16:creationId xmlns:a16="http://schemas.microsoft.com/office/drawing/2014/main" id="{F839518E-9319-46B2-8C9B-E98D8A880BE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03" name="Text Box 3">
          <a:extLst>
            <a:ext uri="{FF2B5EF4-FFF2-40B4-BE49-F238E27FC236}">
              <a16:creationId xmlns:a16="http://schemas.microsoft.com/office/drawing/2014/main" id="{44CBE434-DBCB-440B-B6B3-42242747874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04" name="Text Box 1">
          <a:extLst>
            <a:ext uri="{FF2B5EF4-FFF2-40B4-BE49-F238E27FC236}">
              <a16:creationId xmlns:a16="http://schemas.microsoft.com/office/drawing/2014/main" id="{55392795-B022-4AE2-9220-CCCA8D3FD9B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05" name="Text Box 1">
          <a:extLst>
            <a:ext uri="{FF2B5EF4-FFF2-40B4-BE49-F238E27FC236}">
              <a16:creationId xmlns:a16="http://schemas.microsoft.com/office/drawing/2014/main" id="{570933B7-4CEC-4EB2-B9D9-8225E19C9E5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06" name="Text Box 3">
          <a:extLst>
            <a:ext uri="{FF2B5EF4-FFF2-40B4-BE49-F238E27FC236}">
              <a16:creationId xmlns:a16="http://schemas.microsoft.com/office/drawing/2014/main" id="{7E044CBB-81D7-4020-A13E-B685227CCC0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07" name="Text Box 1">
          <a:extLst>
            <a:ext uri="{FF2B5EF4-FFF2-40B4-BE49-F238E27FC236}">
              <a16:creationId xmlns:a16="http://schemas.microsoft.com/office/drawing/2014/main" id="{D9CB424F-B9CF-4929-BEB4-6FACFB851C7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08" name="Text Box 3">
          <a:extLst>
            <a:ext uri="{FF2B5EF4-FFF2-40B4-BE49-F238E27FC236}">
              <a16:creationId xmlns:a16="http://schemas.microsoft.com/office/drawing/2014/main" id="{BAB4A567-83A0-4502-9F5F-84C73C1C9B4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09" name="Text Box 1">
          <a:extLst>
            <a:ext uri="{FF2B5EF4-FFF2-40B4-BE49-F238E27FC236}">
              <a16:creationId xmlns:a16="http://schemas.microsoft.com/office/drawing/2014/main" id="{446C5F34-9631-44C1-B82B-A3C35C7F71F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10" name="Text Box 1">
          <a:extLst>
            <a:ext uri="{FF2B5EF4-FFF2-40B4-BE49-F238E27FC236}">
              <a16:creationId xmlns:a16="http://schemas.microsoft.com/office/drawing/2014/main" id="{B8A23505-819D-4835-828C-9E698A6AC81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11" name="Text Box 3">
          <a:extLst>
            <a:ext uri="{FF2B5EF4-FFF2-40B4-BE49-F238E27FC236}">
              <a16:creationId xmlns:a16="http://schemas.microsoft.com/office/drawing/2014/main" id="{BB1A70AE-502C-4CB3-A41B-1239B4C7C23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12" name="Text Box 1">
          <a:extLst>
            <a:ext uri="{FF2B5EF4-FFF2-40B4-BE49-F238E27FC236}">
              <a16:creationId xmlns:a16="http://schemas.microsoft.com/office/drawing/2014/main" id="{493D8E51-C9ED-4B11-A619-9C618D2F7C5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13" name="Text Box 3">
          <a:extLst>
            <a:ext uri="{FF2B5EF4-FFF2-40B4-BE49-F238E27FC236}">
              <a16:creationId xmlns:a16="http://schemas.microsoft.com/office/drawing/2014/main" id="{3455D1FB-ED93-4051-9A28-E2CDC631BD8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14" name="Text Box 1">
          <a:extLst>
            <a:ext uri="{FF2B5EF4-FFF2-40B4-BE49-F238E27FC236}">
              <a16:creationId xmlns:a16="http://schemas.microsoft.com/office/drawing/2014/main" id="{45940264-A8B0-46B9-9DA2-E4756907D06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15" name="Text Box 1">
          <a:extLst>
            <a:ext uri="{FF2B5EF4-FFF2-40B4-BE49-F238E27FC236}">
              <a16:creationId xmlns:a16="http://schemas.microsoft.com/office/drawing/2014/main" id="{E914E335-03EE-4925-8F55-89C718F48A9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16" name="Text Box 3">
          <a:extLst>
            <a:ext uri="{FF2B5EF4-FFF2-40B4-BE49-F238E27FC236}">
              <a16:creationId xmlns:a16="http://schemas.microsoft.com/office/drawing/2014/main" id="{E680917A-184B-4ED5-9A46-32CAB4D7C22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17" name="Text Box 1">
          <a:extLst>
            <a:ext uri="{FF2B5EF4-FFF2-40B4-BE49-F238E27FC236}">
              <a16:creationId xmlns:a16="http://schemas.microsoft.com/office/drawing/2014/main" id="{C29FB7C2-FB08-4DB4-94A3-2F9E5CF4703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18" name="Text Box 3">
          <a:extLst>
            <a:ext uri="{FF2B5EF4-FFF2-40B4-BE49-F238E27FC236}">
              <a16:creationId xmlns:a16="http://schemas.microsoft.com/office/drawing/2014/main" id="{0D98D3BB-D729-4ECC-BF9B-4C135B59A96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19" name="Text Box 1">
          <a:extLst>
            <a:ext uri="{FF2B5EF4-FFF2-40B4-BE49-F238E27FC236}">
              <a16:creationId xmlns:a16="http://schemas.microsoft.com/office/drawing/2014/main" id="{2B1C1630-47E1-4519-81C6-653238E0B423}"/>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20" name="Text Box 3">
          <a:extLst>
            <a:ext uri="{FF2B5EF4-FFF2-40B4-BE49-F238E27FC236}">
              <a16:creationId xmlns:a16="http://schemas.microsoft.com/office/drawing/2014/main" id="{B1234832-6308-4A88-880B-EF8BA8D62D73}"/>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21" name="Text Box 1">
          <a:extLst>
            <a:ext uri="{FF2B5EF4-FFF2-40B4-BE49-F238E27FC236}">
              <a16:creationId xmlns:a16="http://schemas.microsoft.com/office/drawing/2014/main" id="{56707869-AC21-4F74-A2EA-A4AFDC5C7CC3}"/>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22" name="Text Box 3">
          <a:extLst>
            <a:ext uri="{FF2B5EF4-FFF2-40B4-BE49-F238E27FC236}">
              <a16:creationId xmlns:a16="http://schemas.microsoft.com/office/drawing/2014/main" id="{225B1F82-CB7F-46C9-B6A5-F657A88D1848}"/>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23" name="Text Box 1">
          <a:extLst>
            <a:ext uri="{FF2B5EF4-FFF2-40B4-BE49-F238E27FC236}">
              <a16:creationId xmlns:a16="http://schemas.microsoft.com/office/drawing/2014/main" id="{AC409341-0530-4B87-8255-8F8EC651D36D}"/>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24" name="Text Box 1">
          <a:extLst>
            <a:ext uri="{FF2B5EF4-FFF2-40B4-BE49-F238E27FC236}">
              <a16:creationId xmlns:a16="http://schemas.microsoft.com/office/drawing/2014/main" id="{C1D7F167-44E8-4E68-A733-FAC5F80DC421}"/>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25" name="Text Box 3">
          <a:extLst>
            <a:ext uri="{FF2B5EF4-FFF2-40B4-BE49-F238E27FC236}">
              <a16:creationId xmlns:a16="http://schemas.microsoft.com/office/drawing/2014/main" id="{76171DDA-F3BF-476D-ADC5-B8E0DD5CEBA6}"/>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26" name="Text Box 1">
          <a:extLst>
            <a:ext uri="{FF2B5EF4-FFF2-40B4-BE49-F238E27FC236}">
              <a16:creationId xmlns:a16="http://schemas.microsoft.com/office/drawing/2014/main" id="{AB20DB96-AE04-479F-818A-85714608A0BB}"/>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27" name="Text Box 3">
          <a:extLst>
            <a:ext uri="{FF2B5EF4-FFF2-40B4-BE49-F238E27FC236}">
              <a16:creationId xmlns:a16="http://schemas.microsoft.com/office/drawing/2014/main" id="{BCCCAE5C-0338-4557-A5AB-FB312CFFEBBA}"/>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28" name="Text Box 1">
          <a:extLst>
            <a:ext uri="{FF2B5EF4-FFF2-40B4-BE49-F238E27FC236}">
              <a16:creationId xmlns:a16="http://schemas.microsoft.com/office/drawing/2014/main" id="{78993E2A-583C-434C-AC00-AA596C3E924B}"/>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29" name="Text Box 1">
          <a:extLst>
            <a:ext uri="{FF2B5EF4-FFF2-40B4-BE49-F238E27FC236}">
              <a16:creationId xmlns:a16="http://schemas.microsoft.com/office/drawing/2014/main" id="{3DF9BC38-476C-41DF-A7C2-A153D280623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30" name="Text Box 3">
          <a:extLst>
            <a:ext uri="{FF2B5EF4-FFF2-40B4-BE49-F238E27FC236}">
              <a16:creationId xmlns:a16="http://schemas.microsoft.com/office/drawing/2014/main" id="{4E9D4E03-1B0F-4FCC-A6CD-9CA3BA6D8CC9}"/>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31" name="Text Box 1">
          <a:extLst>
            <a:ext uri="{FF2B5EF4-FFF2-40B4-BE49-F238E27FC236}">
              <a16:creationId xmlns:a16="http://schemas.microsoft.com/office/drawing/2014/main" id="{5EDF3550-F498-4904-8027-5CD2985DCDB1}"/>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32" name="Text Box 1">
          <a:extLst>
            <a:ext uri="{FF2B5EF4-FFF2-40B4-BE49-F238E27FC236}">
              <a16:creationId xmlns:a16="http://schemas.microsoft.com/office/drawing/2014/main" id="{C73908AD-97EB-400D-B0E6-9BB6954C23F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33" name="Text Box 3">
          <a:extLst>
            <a:ext uri="{FF2B5EF4-FFF2-40B4-BE49-F238E27FC236}">
              <a16:creationId xmlns:a16="http://schemas.microsoft.com/office/drawing/2014/main" id="{C38D78C0-E57D-4FB7-A21A-6AA92C63D000}"/>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34" name="Text Box 1">
          <a:extLst>
            <a:ext uri="{FF2B5EF4-FFF2-40B4-BE49-F238E27FC236}">
              <a16:creationId xmlns:a16="http://schemas.microsoft.com/office/drawing/2014/main" id="{514D1E4E-57F9-4C9C-B238-5F2569F70A7E}"/>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35" name="Text Box 3">
          <a:extLst>
            <a:ext uri="{FF2B5EF4-FFF2-40B4-BE49-F238E27FC236}">
              <a16:creationId xmlns:a16="http://schemas.microsoft.com/office/drawing/2014/main" id="{19A78DD1-FEDC-4625-9B25-77C3907BCFB8}"/>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36" name="Text Box 1">
          <a:extLst>
            <a:ext uri="{FF2B5EF4-FFF2-40B4-BE49-F238E27FC236}">
              <a16:creationId xmlns:a16="http://schemas.microsoft.com/office/drawing/2014/main" id="{6B11B142-8776-49CE-ABED-B61BA8D9962A}"/>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37" name="Text Box 1">
          <a:extLst>
            <a:ext uri="{FF2B5EF4-FFF2-40B4-BE49-F238E27FC236}">
              <a16:creationId xmlns:a16="http://schemas.microsoft.com/office/drawing/2014/main" id="{67BADC5C-01A0-4B12-B8F5-83860FB6C0A7}"/>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38" name="Text Box 3">
          <a:extLst>
            <a:ext uri="{FF2B5EF4-FFF2-40B4-BE49-F238E27FC236}">
              <a16:creationId xmlns:a16="http://schemas.microsoft.com/office/drawing/2014/main" id="{28B1CD13-36D8-4E83-A241-824013CB85DF}"/>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39" name="Text Box 1">
          <a:extLst>
            <a:ext uri="{FF2B5EF4-FFF2-40B4-BE49-F238E27FC236}">
              <a16:creationId xmlns:a16="http://schemas.microsoft.com/office/drawing/2014/main" id="{237877D4-0AC5-44D4-AF1A-C072FF0CFDE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40" name="Text Box 3">
          <a:extLst>
            <a:ext uri="{FF2B5EF4-FFF2-40B4-BE49-F238E27FC236}">
              <a16:creationId xmlns:a16="http://schemas.microsoft.com/office/drawing/2014/main" id="{24095976-F963-471D-8359-09B2CDF4FEE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41" name="Text Box 1">
          <a:extLst>
            <a:ext uri="{FF2B5EF4-FFF2-40B4-BE49-F238E27FC236}">
              <a16:creationId xmlns:a16="http://schemas.microsoft.com/office/drawing/2014/main" id="{C21ADFF8-0226-4C65-AF1C-E40FDD454B5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42" name="Text Box 1">
          <a:extLst>
            <a:ext uri="{FF2B5EF4-FFF2-40B4-BE49-F238E27FC236}">
              <a16:creationId xmlns:a16="http://schemas.microsoft.com/office/drawing/2014/main" id="{BB5E500B-5515-46FE-B309-178F428F43CE}"/>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43" name="Text Box 3">
          <a:extLst>
            <a:ext uri="{FF2B5EF4-FFF2-40B4-BE49-F238E27FC236}">
              <a16:creationId xmlns:a16="http://schemas.microsoft.com/office/drawing/2014/main" id="{696136B6-FDB5-413D-94D2-31E48515EF9A}"/>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44" name="Text Box 3">
          <a:extLst>
            <a:ext uri="{FF2B5EF4-FFF2-40B4-BE49-F238E27FC236}">
              <a16:creationId xmlns:a16="http://schemas.microsoft.com/office/drawing/2014/main" id="{7774162C-063C-46E8-A52E-0390BA5C35E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45" name="Text Box 1">
          <a:extLst>
            <a:ext uri="{FF2B5EF4-FFF2-40B4-BE49-F238E27FC236}">
              <a16:creationId xmlns:a16="http://schemas.microsoft.com/office/drawing/2014/main" id="{5C27B87F-F0E4-49B5-99B3-DE2717C6D2E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46" name="Text Box 3">
          <a:extLst>
            <a:ext uri="{FF2B5EF4-FFF2-40B4-BE49-F238E27FC236}">
              <a16:creationId xmlns:a16="http://schemas.microsoft.com/office/drawing/2014/main" id="{1C8EC3BC-078F-40CB-B7FC-7EDB354F450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47" name="Text Box 1">
          <a:extLst>
            <a:ext uri="{FF2B5EF4-FFF2-40B4-BE49-F238E27FC236}">
              <a16:creationId xmlns:a16="http://schemas.microsoft.com/office/drawing/2014/main" id="{2F4B848D-C591-45BE-901F-AD1D186A99E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48" name="Text Box 1">
          <a:extLst>
            <a:ext uri="{FF2B5EF4-FFF2-40B4-BE49-F238E27FC236}">
              <a16:creationId xmlns:a16="http://schemas.microsoft.com/office/drawing/2014/main" id="{7A99142B-78B0-4962-AAFC-912AA49DB1F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49" name="Text Box 3">
          <a:extLst>
            <a:ext uri="{FF2B5EF4-FFF2-40B4-BE49-F238E27FC236}">
              <a16:creationId xmlns:a16="http://schemas.microsoft.com/office/drawing/2014/main" id="{861BB6F3-2BD8-4D25-B423-CAE0F8C1B27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50" name="Text Box 1">
          <a:extLst>
            <a:ext uri="{FF2B5EF4-FFF2-40B4-BE49-F238E27FC236}">
              <a16:creationId xmlns:a16="http://schemas.microsoft.com/office/drawing/2014/main" id="{A15C1A97-4E03-45DB-9466-035EDCF6A12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51" name="Text Box 3">
          <a:extLst>
            <a:ext uri="{FF2B5EF4-FFF2-40B4-BE49-F238E27FC236}">
              <a16:creationId xmlns:a16="http://schemas.microsoft.com/office/drawing/2014/main" id="{27AE06BA-4A5C-4E15-8A5D-0D9153C7E2C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52" name="Text Box 1">
          <a:extLst>
            <a:ext uri="{FF2B5EF4-FFF2-40B4-BE49-F238E27FC236}">
              <a16:creationId xmlns:a16="http://schemas.microsoft.com/office/drawing/2014/main" id="{D61F074E-76AB-43F8-B0EB-9D03A15DA32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53" name="Text Box 1">
          <a:extLst>
            <a:ext uri="{FF2B5EF4-FFF2-40B4-BE49-F238E27FC236}">
              <a16:creationId xmlns:a16="http://schemas.microsoft.com/office/drawing/2014/main" id="{D2770045-926D-48BA-88DD-E31C937BB12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54" name="Text Box 3">
          <a:extLst>
            <a:ext uri="{FF2B5EF4-FFF2-40B4-BE49-F238E27FC236}">
              <a16:creationId xmlns:a16="http://schemas.microsoft.com/office/drawing/2014/main" id="{33F53994-4F9F-45E0-8FE4-EAAD197FAB8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55" name="Text Box 1">
          <a:extLst>
            <a:ext uri="{FF2B5EF4-FFF2-40B4-BE49-F238E27FC236}">
              <a16:creationId xmlns:a16="http://schemas.microsoft.com/office/drawing/2014/main" id="{382070C9-1FD4-4C93-BBC1-6D7977CF63A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56" name="Text Box 1">
          <a:extLst>
            <a:ext uri="{FF2B5EF4-FFF2-40B4-BE49-F238E27FC236}">
              <a16:creationId xmlns:a16="http://schemas.microsoft.com/office/drawing/2014/main" id="{C89068E4-1AB3-47E7-AF5E-49A94269B64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57" name="Text Box 3">
          <a:extLst>
            <a:ext uri="{FF2B5EF4-FFF2-40B4-BE49-F238E27FC236}">
              <a16:creationId xmlns:a16="http://schemas.microsoft.com/office/drawing/2014/main" id="{5E26EBC4-EF15-40AE-8C62-DE03AAB9056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58" name="Text Box 1">
          <a:extLst>
            <a:ext uri="{FF2B5EF4-FFF2-40B4-BE49-F238E27FC236}">
              <a16:creationId xmlns:a16="http://schemas.microsoft.com/office/drawing/2014/main" id="{A36C5DBA-C85F-473E-8EA4-43F6EF35EBA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59" name="Text Box 3">
          <a:extLst>
            <a:ext uri="{FF2B5EF4-FFF2-40B4-BE49-F238E27FC236}">
              <a16:creationId xmlns:a16="http://schemas.microsoft.com/office/drawing/2014/main" id="{9AC555F2-E9C5-4581-8B88-D0388E7D109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60" name="Text Box 1">
          <a:extLst>
            <a:ext uri="{FF2B5EF4-FFF2-40B4-BE49-F238E27FC236}">
              <a16:creationId xmlns:a16="http://schemas.microsoft.com/office/drawing/2014/main" id="{28FF0812-649B-4168-B07E-CB2AAFA60C2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61" name="Text Box 3">
          <a:extLst>
            <a:ext uri="{FF2B5EF4-FFF2-40B4-BE49-F238E27FC236}">
              <a16:creationId xmlns:a16="http://schemas.microsoft.com/office/drawing/2014/main" id="{CED65B99-0E4D-4F05-A988-3F7826AC41B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62" name="Text Box 1">
          <a:extLst>
            <a:ext uri="{FF2B5EF4-FFF2-40B4-BE49-F238E27FC236}">
              <a16:creationId xmlns:a16="http://schemas.microsoft.com/office/drawing/2014/main" id="{B3A4EA22-9873-42B3-BA26-D3E18527C22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63" name="Text Box 3">
          <a:extLst>
            <a:ext uri="{FF2B5EF4-FFF2-40B4-BE49-F238E27FC236}">
              <a16:creationId xmlns:a16="http://schemas.microsoft.com/office/drawing/2014/main" id="{66E6357E-5EF1-4120-B59A-E15B054839A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64" name="Text Box 1">
          <a:extLst>
            <a:ext uri="{FF2B5EF4-FFF2-40B4-BE49-F238E27FC236}">
              <a16:creationId xmlns:a16="http://schemas.microsoft.com/office/drawing/2014/main" id="{D37521E0-C8DA-4E6F-B6FD-778DF835FDF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65" name="Text Box 1">
          <a:extLst>
            <a:ext uri="{FF2B5EF4-FFF2-40B4-BE49-F238E27FC236}">
              <a16:creationId xmlns:a16="http://schemas.microsoft.com/office/drawing/2014/main" id="{6F7DF256-509E-4119-806B-92BF31C180F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0DATA%20D/1%20STC/STC-DU%20TOAN/DU%20TOAN%20CAC%20NAM/SO%20DIA%20PHUONG/12%20TONG%20HOP%20NOI%20DUNG%20DU%20TOAN%202023/QLNS%20BAO%20CAO%20BAN%20HANH%20NQ/NGAY%2012-12-2022/Phu%20luc%20phe%20chuan%20du%20toan%20NSNN%202023%20kem%20theo%20NQ.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1%20DATA%20D/1%20STC/STC-QLNS%202023/1.%20SOAN%20VAN%20BAN/04.%20THU%20CHI%2031-12-2022/Thu%20chi%20va%20DBT%20(31-12-2022)%206-1-2022.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14.%20DANH%20GIA%20NGAN%20SACH%203%20NAM%20TRINH%20TINH%20UY/CUC%20THUE%20BAO%20CAO/Giau%20sua%20Bieu%20ty%20trong%205%20nam%202026%20-%202030%20.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14.%20DANH%20GIA%20NGAN%20SACH%203%20NAM%20TRINH%20TINH%20UY/Chi%20XSKT,%20TSDD,%20XDCB%20TT%202019-202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14.%20DANH%20GIA%20NGAN%20SACH%203%20NAM%20TRINH%20TINH%20UY/Ke%20hoach%20tai%20chinh%20ngan%20sach%205%20nam%202021-2025%20ngay%2027102021%20(Autosaved).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14.%20DANH%20GIA%20NGAN%20SACH%203%20NAM%20TRINH%20TINH%20UY/Thu%20chi%20va%20DBT%20(31-12-2020)%20kx%2031-01-2021%20qt%202020.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1%20DATA%20D/1%20STC/STC-QLNS%202022/4%20QLNS%20SOAN%20THAO/11.%20THONG%20BAO%20THU%202021%20CAC%20HUYEN/Thu%20chi%20va%20DBT%20(31-12-2021)%20kx%2010-02-2022%20gop%20y.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14.%20DANH%20GIA%20NGAN%20SACH%203%20NAM%20TRINH%20TINH%20UY/Ke%20hoach%20tai%20chinh%20ngan%20sach%205%20nam%202021-2025%20ngay%2009-10-2020.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1%20DATA%20D/1%20STC/STC-DU%20TOAN/DU%20TOAN%202024/1361%20THEO%20DOI%20CAC%20KHOAN%20CHI%20DA%20GIAO%20LINH%20VUC%20CHI%20NHUNG%20CHUA%20PHAN%20BO%20NAM%202023%20(1).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1%20DATA%20D/1%20STC/STC-QLNS%202023/1.%20SOAN%20VAN%20BAN/26.%20CV%20GUI%20SKHDT%20DANH%20GIA%20GIUA%20NHIEM%20KY%202021-2025/58%20CV%20255%20ngay%2005_12_2019%20Bao%20cao%20ke%20hoach%20tai%20chinh%205%20giai%20doan%20nam%202021-2025.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1%20DATA%20D/1%20STC/STC-DU%20TOAN/DU%20TOAN%202024/TAI%20LIEU%20DIA%20PHUONG/Tong%20hop%20KHV%20trung%20han%2021-25%20(QLN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THUE%20GUI%20MAIL/Bieu%20ty%20trong%205%20nam%202026%20-%202030%20C%2007%203%2023%20.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1%20DATA%20D/1%20STC/STC-DU%20TOAN/DU%20TOAN%202024/TAI%20LIEU%20DIA%20PHUONG/Tonghopthuchi2022%2031072023%20(DC%20Du%20toan%20theo%20170%20HDND).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1%20DATA%20D/1%20STC/STC-DU%20TOAN/DU%20TOAN%202024/TAI%20LIEU%20DIA%20PHUONG/STC%20-%20PL%20UTH2023-KH2024-THUE%20NGAY%205-10%20-%20XAY%20DUNG%20PL1-2-3%20ngay%20SO%20DU%20THAO%20CUA%20BTC.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Users\pc\Desktop\Thu%20chi%20va%20DBT%2031-10-2023%20tam.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1%20DATA%20D/1%20STC/STC-DU%20TOAN/SO%20THUC%20THU%20CHI%206%20THANG%20DAU%20NAM%202019-2022/CV%20DU%20THAO%20BAO%20CAO%20DANH%20GIA%206%20THANG%202023/Phu%20luc%20phe%20chuan%20du%20toan%20NSNN%202023%20kem%20theo%20NQ.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1%20DATA%20D/1%20STC/STC-QLNS%202022/12%20TONG%20HOP%20NOI%20DUNG%20DU%20TOAN%202023/BAO%20CAO%20BTC/NGAY%2001-8-2022/Ke%20hoach%20tai%20chinh%20NSNN%2003%20nam%202023-2025.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DU%20LIEU%20KIEU/14.%20CONG%20KHAI%20NSNN/N&#258;M%202023/TRINH%20UBND%20CONG%20KHAI%20DU%20TOAN%202024/Bieu%20phu%20luc%20va%20tai%20lieu%20dinh%20kem%20-%20SO%20KE%20HOACH%20GOI%20LAN%202/Phu%20luc%20(39,%2045,%2052,%2058)%20kem%20theo%20-%202.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1%20DATA%20D/1%20STC/STC-DU%20TOAN/DU%20TOAN%202024/DU%20TOAN%20BAO%20CAO%20BTC/LUONG%206%20THANG%201.800.000%20LINH%20GUI%2010-7-2023.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Users\pc\Desktop\D.TONG%20HOP%20DU%20TOAN%202024%20(13.10)-%20DUNG%20HCSN%20GUI%20NGAY%2013-10.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1%20DATA%20D/1%20STC/STC-DU%20TOAN/DU%20TOAN%202024/TAI%20LIEU%20DIA%20PHUONG/D.TONG%20HOP%20DU%20TOAN%202024%20LUONG%20(DUNG%2018.10).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1%20DATA%20D/1%20STC/STC-DU%20TOAN/DU%20TOAN%202024/TAI%20LIEU%20DIA%20PHUONG/Bang%20ke%20du%20toan%20VPTU%20nam%202024%2010%2010%202023%20LOA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pc\Desktop\WPS%20Office\22.%20BC%2045%20PHU%20LUC%20TONG%20HOP%20-%20205-chart-2018-2022-2025-2030%20(BD%2014-3-2022).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1%20DATA%20D/1%20STC/STC-DU%20TOAN/DU%20TOAN%20CAC%20NAM/SO%20DIA%20PHUONG/12%20TONG%20HOP%20NOI%20DUNG%20DU%20TOAN%202023/BAO%20CAO%20BTC/NGAY%2001-8-2022/Ke%20hoach%20tai%20chinh%20NSNN%2003%20nam%202023-2025.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1%20DATA%20D/1%20STC/STC-DU%20TOAN/DU%20TOAN%202024/TAI%20LIEU%20DIA%20PHUONG/STC-phu%20luc%20dinh%20kem%20tham%20dinh%20luong%20dp-25-9-2023.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G/Nam%202022/Du%20toan%20NSNN%202022/Bao%20cao%206%20thang%20dau%20nam%20va%20UTH%206%20thang%20cuoi%20nam%202022/FILE_20220507_161932_THEO%20DOI%20NGUON%20CCTL%2031-3-2022%20GUI%20AQUANG.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Users\pc\Desktop\data\56.%20CV%201515%20NGAY%2026-5-2022%20UTH%206%20THANG%20DAU%20VA%20DT%206%20THANG%20CUOI%20NAM%202022%2025-5%20P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0DATA%20D/1%20STC/STC-DU%20TOAN/DU%20TOAN%202024/DU%20TOAN%20BAO%20CAO%20BTC/Thu%20chi%20va%20DBT%20nam%202022%20KX%201402202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pc\Documents\Zalo%20Received%20Files\Thu%20chi%20va%20DBT%20nam%202022%20KX%201402202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1%20DATA%20D/1%20STC/STC-OLD%20DATA/STC-QLNS%202016/11.%20LAY%20LAI%20T&#217;%20DRIVE/BAO%20CAO%20LAI%20DU%20TOAN%20CHI%20THUONG%20XUYEN%202011-2015/AQ/AQ/Nam%202006/Bang%20tinh/QuyetToan2005/QTTHU20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1%20DATA%20D/1%20STC/STC-OLD%20DATA/STC-QLNS%202017/9%20Du%20toan%202018/Uth%20thu-chi%202017-%20dt%20thu-chi%202018%20-%203%20nam%202018-2020%20ngay%2026%20thang%2010%20nam%202017%2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1%20DATA%20D/1%20STC/STC-DU%20TOAN/DU%20TOAN%202024/DU%20TOAN%202024%20TAI%20LIEU%20NGAY%2022-8-2023/22.%20BC%2045%20PHU%20LUC%20TONG%20HOP%20-%20205-chart-2018-2022-2025-2030%20(BD%2014-3-2022).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1%20DATA%20D/1%20STC/STC-QLNS%202022/4%20QLNS%20SOAN%20THAO/112.%20CV%20BAO%20CAO%20KIEM%20KE%20NGUON%20LUC%20NAM%202022%20TINH%20DONG%20THAP/112.%20CV%20CAC%20BIEU%20SO%20LIEU%20DONG%20THAP%20-%20KEM%20THEO%20BC%20NGUON%20LUC%20NAM%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2"/>
      <sheetName val="Vay-Trả nợ 2023-Biểu số 1"/>
      <sheetName val="KH vay và trả nợ 2023-2025"/>
      <sheetName val="KTXH 2023-2025"/>
      <sheetName val="KTXH 2021-2025"/>
      <sheetName val="Quỹ TC ngoài NS 2022-2023"/>
      <sheetName val="Định hướng CĐNSĐP 2023 của TW"/>
      <sheetName val="Nguồn CĐCS chuyển sang 2022"/>
      <sheetName val="KHTC 2021-2025"/>
      <sheetName val="Nhu cầu TLCS năm 2023"/>
      <sheetName val="Can doi 2022-2023"/>
      <sheetName val="SS TW với ĐP 2023"/>
      <sheetName val="So sánh Định mức 2022-2017"/>
      <sheetName val="Xác định lại dự toán 2022-ĐP"/>
      <sheetName val="Xác định lại dự toán 2022-TW"/>
      <sheetName val="Thu NSNN 2015-2025 (2)"/>
      <sheetName val="Định mức chi TX 2022"/>
      <sheetName val="Thu NSNN 2022-2023"/>
      <sheetName val="Thu NSNN 2010-2025"/>
      <sheetName val="Chi NSĐP 2010-2025"/>
      <sheetName val="CĐ NSĐP 2022-2025"/>
      <sheetName val="Thu NSNN 2022-2025"/>
      <sheetName val="Chi NSDP 2022-2025"/>
      <sheetName val="Can doi NSDP 2022-2025"/>
      <sheetName val="Phụ lục số 1- HĐND"/>
      <sheetName val="Phụ lục số 2- HĐND"/>
      <sheetName val="Phụ lục số 2"/>
      <sheetName val="Phụ lục số 3-thu bs"/>
      <sheetName val="Phụ lục số 3"/>
      <sheetName val="Phụ lục số 4"/>
      <sheetName val="Phụ lục số 1"/>
      <sheetName val="Phụ lục số 5"/>
      <sheetName val="Phụ lục số 6"/>
      <sheetName val="Phụ lục số 7"/>
      <sheetName val="Phụ lục số 8"/>
      <sheetName val="Bố trí"/>
      <sheetName val="Thu NSH"/>
      <sheetName val="Chi NSH"/>
      <sheetName val="10%TK năm 2023"/>
      <sheetName val="Cân đối NSH 2023"/>
      <sheetName val="CCTL nam 2022- 2023"/>
      <sheetName val="XSKT 2022-2023"/>
      <sheetName val="Miễn giảm học phí"/>
      <sheetName val="Chính sách 2022-2023-Biểu số 2"/>
      <sheetName val="Chính sách chế độ 2022-2023"/>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Biểu số 34-CK-NSNN"/>
      <sheetName val="Biểu số 35-CK-NSNN"/>
      <sheetName val="Biểu số 36-CK-NSNN"/>
      <sheetName val="Biểu số 37-CK-NSNN"/>
      <sheetName val="Biểu số 38-CK-NSNN"/>
      <sheetName val="Biểu số 40-CK-NSNN"/>
      <sheetName val="Biếu số 41-CK-NSNN"/>
      <sheetName val="Biếu số 42-CK-NSNN"/>
      <sheetName val="Biếu số 43-CK-NSNN"/>
      <sheetName val="Biếu số 44-CK-NSNN"/>
      <sheetName val="Phụ lục số 1-KQPB"/>
      <sheetName val="Phụ lục số 2- KQPB"/>
      <sheetName val="Phụ lục số 3- KQPB"/>
      <sheetName val="Phụ lục số 4-KQPB"/>
      <sheetName val="Phụ lục số 5-KQPB"/>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ếu bổ sung"/>
      <sheetName val="Biểu số 33-CK-NSNN"/>
      <sheetName val="Sheet1"/>
    </sheetNames>
    <sheetDataSet>
      <sheetData sheetId="0">
        <row r="8">
          <cell r="C8">
            <v>379873</v>
          </cell>
          <cell r="D8">
            <v>517484</v>
          </cell>
          <cell r="E8">
            <v>686112</v>
          </cell>
          <cell r="F8">
            <v>774055</v>
          </cell>
          <cell r="G8">
            <v>531512</v>
          </cell>
          <cell r="H8">
            <v>533832</v>
          </cell>
          <cell r="I8">
            <v>3042995</v>
          </cell>
          <cell r="L8">
            <v>760850</v>
          </cell>
          <cell r="M8">
            <v>741859</v>
          </cell>
          <cell r="N8">
            <v>1818286</v>
          </cell>
          <cell r="O8">
            <v>888037</v>
          </cell>
          <cell r="U8">
            <v>1213473</v>
          </cell>
          <cell r="V8">
            <v>1213473</v>
          </cell>
          <cell r="W8">
            <v>2597007</v>
          </cell>
          <cell r="X8">
            <v>3118036</v>
          </cell>
          <cell r="Y8">
            <v>3751036</v>
          </cell>
        </row>
        <row r="9">
          <cell r="L9">
            <v>53674</v>
          </cell>
          <cell r="M9">
            <v>158319</v>
          </cell>
          <cell r="N9">
            <v>158489</v>
          </cell>
          <cell r="O9">
            <v>374600</v>
          </cell>
          <cell r="P9">
            <v>0</v>
          </cell>
          <cell r="U9">
            <v>0</v>
          </cell>
          <cell r="V9">
            <v>0</v>
          </cell>
          <cell r="W9">
            <v>0</v>
          </cell>
          <cell r="X9">
            <v>0</v>
          </cell>
          <cell r="Y9">
            <v>0</v>
          </cell>
        </row>
        <row r="10">
          <cell r="L10">
            <v>707176</v>
          </cell>
          <cell r="M10">
            <v>583540</v>
          </cell>
          <cell r="N10">
            <v>1659797</v>
          </cell>
          <cell r="O10">
            <v>513437</v>
          </cell>
          <cell r="P10">
            <v>1213473</v>
          </cell>
          <cell r="U10">
            <v>1213473</v>
          </cell>
          <cell r="V10">
            <v>1213473</v>
          </cell>
          <cell r="W10">
            <v>2597007</v>
          </cell>
          <cell r="X10">
            <v>3118036</v>
          </cell>
          <cell r="Y10">
            <v>3751036</v>
          </cell>
        </row>
        <row r="13">
          <cell r="R13">
            <v>0.21537776836454103</v>
          </cell>
        </row>
      </sheetData>
      <sheetData sheetId="1"/>
      <sheetData sheetId="2"/>
      <sheetData sheetId="3"/>
      <sheetData sheetId="4"/>
      <sheetData sheetId="5">
        <row r="5">
          <cell r="H5">
            <v>75875880</v>
          </cell>
          <cell r="I5">
            <v>82283000</v>
          </cell>
          <cell r="J5">
            <v>86575000</v>
          </cell>
          <cell r="L5">
            <v>96711681.430000007</v>
          </cell>
          <cell r="M5">
            <v>103481499.13010001</v>
          </cell>
          <cell r="N5">
            <v>110725204.06920701</v>
          </cell>
          <cell r="O5">
            <v>118475968.35405152</v>
          </cell>
          <cell r="P5">
            <v>519779101.98335856</v>
          </cell>
        </row>
      </sheetData>
      <sheetData sheetId="6"/>
      <sheetData sheetId="7"/>
      <sheetData sheetId="8"/>
      <sheetData sheetId="9"/>
      <sheetData sheetId="10"/>
      <sheetData sheetId="11"/>
      <sheetData sheetId="12"/>
      <sheetData sheetId="13"/>
      <sheetData sheetId="14">
        <row r="22">
          <cell r="C22">
            <v>27026</v>
          </cell>
        </row>
      </sheetData>
      <sheetData sheetId="15">
        <row r="7">
          <cell r="C7">
            <v>8593985.0258779023</v>
          </cell>
        </row>
        <row r="8">
          <cell r="C8">
            <v>3753146.2370739989</v>
          </cell>
        </row>
      </sheetData>
      <sheetData sheetId="16"/>
      <sheetData sheetId="17">
        <row r="44">
          <cell r="E44">
            <v>1600575</v>
          </cell>
        </row>
      </sheetData>
      <sheetData sheetId="18"/>
      <sheetData sheetId="19">
        <row r="10">
          <cell r="T10">
            <v>183101</v>
          </cell>
        </row>
        <row r="31">
          <cell r="H31">
            <v>41703000</v>
          </cell>
          <cell r="I31">
            <v>44027000</v>
          </cell>
          <cell r="J31">
            <v>48316000</v>
          </cell>
          <cell r="K31">
            <v>53472000</v>
          </cell>
          <cell r="L31">
            <v>57208361</v>
          </cell>
          <cell r="P31">
            <v>62221079</v>
          </cell>
          <cell r="Q31">
            <v>68288574</v>
          </cell>
          <cell r="R31">
            <v>75875880</v>
          </cell>
          <cell r="S31">
            <v>82283000</v>
          </cell>
          <cell r="Z31">
            <v>96711681.430000007</v>
          </cell>
          <cell r="AA31">
            <v>103481499.13010001</v>
          </cell>
          <cell r="AB31">
            <v>110725204.06920701</v>
          </cell>
          <cell r="AC31">
            <v>118475968.35405152</v>
          </cell>
          <cell r="AD31">
            <v>519779101.98335856</v>
          </cell>
        </row>
        <row r="137">
          <cell r="H137">
            <v>5517507.1199670006</v>
          </cell>
          <cell r="I137">
            <v>6676916.2436260004</v>
          </cell>
          <cell r="J137">
            <v>7325261.5757369995</v>
          </cell>
          <cell r="K137">
            <v>8159969.5781439999</v>
          </cell>
          <cell r="L137">
            <v>8838258.6639019996</v>
          </cell>
          <cell r="M137">
            <v>36517913.181375995</v>
          </cell>
          <cell r="P137">
            <v>9435660.1446360014</v>
          </cell>
          <cell r="Q137">
            <v>10825317.768979</v>
          </cell>
          <cell r="R137">
            <v>12245988.776128</v>
          </cell>
          <cell r="S137">
            <v>11315739.776128</v>
          </cell>
          <cell r="T137" t="e">
            <v>#REF!</v>
          </cell>
          <cell r="Z137" t="e">
            <v>#REF!</v>
          </cell>
          <cell r="AA137" t="e">
            <v>#REF!</v>
          </cell>
          <cell r="AB137" t="e">
            <v>#REF!</v>
          </cell>
          <cell r="AC137" t="e">
            <v>#REF!</v>
          </cell>
          <cell r="AD137" t="e">
            <v>#REF!</v>
          </cell>
        </row>
        <row r="139">
          <cell r="G139">
            <v>3650184.1362620001</v>
          </cell>
          <cell r="H139">
            <v>3769768.1199670001</v>
          </cell>
          <cell r="I139">
            <v>4084137.2436260004</v>
          </cell>
          <cell r="J139">
            <v>4073220.5757369995</v>
          </cell>
          <cell r="K139">
            <v>3875972.5781439999</v>
          </cell>
          <cell r="L139">
            <v>4846821.6639019996</v>
          </cell>
          <cell r="P139">
            <v>6154918.1446360005</v>
          </cell>
          <cell r="Q139">
            <v>5390332.7689789999</v>
          </cell>
          <cell r="R139">
            <v>5734576.7761279996</v>
          </cell>
          <cell r="S139">
            <v>5734576.7761279996</v>
          </cell>
          <cell r="T139">
            <v>5809777</v>
          </cell>
          <cell r="Z139">
            <v>6704000</v>
          </cell>
          <cell r="AA139">
            <v>7153000</v>
          </cell>
          <cell r="AB139">
            <v>7655000</v>
          </cell>
          <cell r="AC139" t="e">
            <v>#REF!</v>
          </cell>
          <cell r="AD139" t="e">
            <v>#REF!</v>
          </cell>
        </row>
      </sheetData>
      <sheetData sheetId="20">
        <row r="10">
          <cell r="C10">
            <v>4308494.4799180003</v>
          </cell>
          <cell r="D10">
            <v>5000022.8434038907</v>
          </cell>
          <cell r="E10">
            <v>5990803.5707400003</v>
          </cell>
          <cell r="F10">
            <v>6551207.428568</v>
          </cell>
          <cell r="G10">
            <v>7628457.570863001</v>
          </cell>
          <cell r="H10">
            <v>8304427.1655269992</v>
          </cell>
          <cell r="L10">
            <v>8674809.6461590007</v>
          </cell>
          <cell r="M10">
            <v>10083459.322280001</v>
          </cell>
          <cell r="N10">
            <v>10427702.832636001</v>
          </cell>
          <cell r="O10">
            <v>10316102</v>
          </cell>
          <cell r="P10">
            <v>13771903</v>
          </cell>
          <cell r="T10">
            <v>0.59145948854774799</v>
          </cell>
          <cell r="U10">
            <v>13771903</v>
          </cell>
          <cell r="V10">
            <v>13771903</v>
          </cell>
          <cell r="W10">
            <v>13191488</v>
          </cell>
          <cell r="X10">
            <v>13640488</v>
          </cell>
          <cell r="Y10">
            <v>14142488</v>
          </cell>
        </row>
        <row r="11">
          <cell r="C11">
            <v>881389.27447200008</v>
          </cell>
          <cell r="D11">
            <v>1296865.3711568909</v>
          </cell>
          <cell r="E11">
            <v>1283487.4238549999</v>
          </cell>
          <cell r="F11">
            <v>1221622.2457999999</v>
          </cell>
          <cell r="G11">
            <v>1952654.9714940002</v>
          </cell>
          <cell r="H11">
            <v>1868861</v>
          </cell>
          <cell r="L11">
            <v>2029265</v>
          </cell>
        </row>
        <row r="128">
          <cell r="C128">
            <v>379873</v>
          </cell>
          <cell r="D128">
            <v>517484</v>
          </cell>
          <cell r="E128">
            <v>686112</v>
          </cell>
          <cell r="F128">
            <v>774055</v>
          </cell>
          <cell r="G128">
            <v>531512</v>
          </cell>
          <cell r="H128">
            <v>533832</v>
          </cell>
          <cell r="L128">
            <v>760850</v>
          </cell>
        </row>
      </sheetData>
      <sheetData sheetId="21"/>
      <sheetData sheetId="22"/>
      <sheetData sheetId="23">
        <row r="8">
          <cell r="K8">
            <v>13191488</v>
          </cell>
        </row>
      </sheetData>
      <sheetData sheetId="24"/>
      <sheetData sheetId="25">
        <row r="16">
          <cell r="C16">
            <v>3374730</v>
          </cell>
        </row>
      </sheetData>
      <sheetData sheetId="26"/>
      <sheetData sheetId="27">
        <row r="9">
          <cell r="K9">
            <v>3561000</v>
          </cell>
        </row>
        <row r="10">
          <cell r="F10">
            <v>1036180</v>
          </cell>
          <cell r="K10">
            <v>1061000</v>
          </cell>
          <cell r="P10">
            <v>1085000</v>
          </cell>
          <cell r="U10">
            <v>1111000</v>
          </cell>
        </row>
        <row r="11">
          <cell r="F11">
            <v>970000</v>
          </cell>
          <cell r="K11">
            <v>900000</v>
          </cell>
          <cell r="P11">
            <v>900000</v>
          </cell>
          <cell r="U11">
            <v>900000</v>
          </cell>
        </row>
        <row r="12">
          <cell r="F12">
            <v>1704000</v>
          </cell>
          <cell r="K12">
            <v>1600000</v>
          </cell>
          <cell r="P12">
            <v>1600000</v>
          </cell>
          <cell r="U12">
            <v>1600000</v>
          </cell>
        </row>
        <row r="13">
          <cell r="F13">
            <v>38777</v>
          </cell>
          <cell r="K13">
            <v>0</v>
          </cell>
          <cell r="P13">
            <v>0</v>
          </cell>
          <cell r="U13">
            <v>0</v>
          </cell>
        </row>
        <row r="15">
          <cell r="F15">
            <v>1779657</v>
          </cell>
          <cell r="K15">
            <v>1793642</v>
          </cell>
          <cell r="P15">
            <v>1831000</v>
          </cell>
          <cell r="U15">
            <v>1872000</v>
          </cell>
        </row>
        <row r="16">
          <cell r="F16">
            <v>133115</v>
          </cell>
          <cell r="K16">
            <v>136670</v>
          </cell>
          <cell r="P16">
            <v>140000</v>
          </cell>
          <cell r="U16">
            <v>144000</v>
          </cell>
        </row>
        <row r="18">
          <cell r="E18">
            <v>0</v>
          </cell>
          <cell r="F18">
            <v>31000</v>
          </cell>
          <cell r="J18">
            <v>0</v>
          </cell>
          <cell r="K18">
            <v>31000</v>
          </cell>
          <cell r="O18">
            <v>0</v>
          </cell>
          <cell r="P18">
            <v>32000</v>
          </cell>
          <cell r="T18">
            <v>0</v>
          </cell>
          <cell r="U18">
            <v>33000</v>
          </cell>
          <cell r="Y18">
            <v>0</v>
          </cell>
        </row>
        <row r="19">
          <cell r="F19">
            <v>4090257</v>
          </cell>
          <cell r="K19">
            <v>4179745</v>
          </cell>
          <cell r="P19">
            <v>4266000</v>
          </cell>
          <cell r="U19">
            <v>4361000</v>
          </cell>
        </row>
        <row r="20">
          <cell r="F20">
            <v>770000</v>
          </cell>
          <cell r="K20">
            <v>750000</v>
          </cell>
          <cell r="P20">
            <v>770000</v>
          </cell>
          <cell r="U20">
            <v>791000</v>
          </cell>
        </row>
        <row r="21">
          <cell r="F21">
            <v>77843</v>
          </cell>
          <cell r="K21">
            <v>78978</v>
          </cell>
          <cell r="P21">
            <v>81000</v>
          </cell>
          <cell r="U21">
            <v>83000</v>
          </cell>
        </row>
        <row r="22">
          <cell r="F22">
            <v>41920</v>
          </cell>
          <cell r="K22">
            <v>42757</v>
          </cell>
          <cell r="P22">
            <v>43000</v>
          </cell>
          <cell r="U22">
            <v>44000</v>
          </cell>
        </row>
        <row r="23">
          <cell r="F23">
            <v>37960</v>
          </cell>
          <cell r="K23">
            <v>38378</v>
          </cell>
          <cell r="P23">
            <v>40000</v>
          </cell>
          <cell r="U23">
            <v>41000</v>
          </cell>
        </row>
        <row r="24">
          <cell r="F24">
            <v>734512</v>
          </cell>
          <cell r="K24">
            <v>539140</v>
          </cell>
          <cell r="P24">
            <v>550000</v>
          </cell>
          <cell r="U24">
            <v>562000</v>
          </cell>
        </row>
        <row r="25">
          <cell r="F25">
            <v>1386350</v>
          </cell>
          <cell r="K25">
            <v>1388540</v>
          </cell>
          <cell r="P25">
            <v>1418000</v>
          </cell>
          <cell r="U25">
            <v>1450000</v>
          </cell>
        </row>
        <row r="26">
          <cell r="F26">
            <v>317623</v>
          </cell>
          <cell r="K26">
            <v>326504</v>
          </cell>
          <cell r="P26">
            <v>334000</v>
          </cell>
          <cell r="U26">
            <v>342000</v>
          </cell>
        </row>
        <row r="27">
          <cell r="F27">
            <v>58295</v>
          </cell>
          <cell r="K27">
            <v>48511</v>
          </cell>
          <cell r="P27">
            <v>50000</v>
          </cell>
          <cell r="U27">
            <v>52000</v>
          </cell>
        </row>
        <row r="28">
          <cell r="F28">
            <v>2000</v>
          </cell>
          <cell r="K28">
            <v>2000</v>
          </cell>
          <cell r="P28">
            <v>2000</v>
          </cell>
          <cell r="U28">
            <v>2000</v>
          </cell>
        </row>
        <row r="29">
          <cell r="F29">
            <v>0</v>
          </cell>
          <cell r="K29">
            <v>274623</v>
          </cell>
          <cell r="P29">
            <v>281000</v>
          </cell>
          <cell r="U29">
            <v>288000</v>
          </cell>
        </row>
        <row r="30">
          <cell r="D30">
            <v>0</v>
          </cell>
          <cell r="E30">
            <v>0</v>
          </cell>
          <cell r="F30">
            <v>560414</v>
          </cell>
          <cell r="K30">
            <v>0</v>
          </cell>
          <cell r="P30">
            <v>217488</v>
          </cell>
          <cell r="U30">
            <v>466488</v>
          </cell>
        </row>
        <row r="31">
          <cell r="F31">
            <v>2000</v>
          </cell>
          <cell r="K31">
            <v>0</v>
          </cell>
          <cell r="P31">
            <v>0</v>
          </cell>
          <cell r="U31">
            <v>0</v>
          </cell>
        </row>
        <row r="35">
          <cell r="E35">
            <v>0</v>
          </cell>
          <cell r="F35">
            <v>48300</v>
          </cell>
          <cell r="J35">
            <v>0</v>
          </cell>
          <cell r="K35">
            <v>31500</v>
          </cell>
          <cell r="O35">
            <v>0</v>
          </cell>
          <cell r="P35">
            <v>19694</v>
          </cell>
          <cell r="T35">
            <v>0</v>
          </cell>
          <cell r="U35">
            <v>0</v>
          </cell>
        </row>
      </sheetData>
      <sheetData sheetId="28">
        <row r="8">
          <cell r="C8">
            <v>5809777</v>
          </cell>
          <cell r="I8">
            <v>6704000</v>
          </cell>
          <cell r="K8">
            <v>2897350</v>
          </cell>
          <cell r="L8">
            <v>7153000</v>
          </cell>
          <cell r="O8">
            <v>7655000</v>
          </cell>
          <cell r="AD8">
            <v>502000</v>
          </cell>
        </row>
        <row r="9">
          <cell r="C9">
            <v>800000</v>
          </cell>
          <cell r="I9">
            <v>900000</v>
          </cell>
        </row>
        <row r="10">
          <cell r="C10">
            <v>1500000</v>
          </cell>
          <cell r="I10">
            <v>1600000</v>
          </cell>
        </row>
        <row r="14">
          <cell r="D14">
            <v>6803512</v>
          </cell>
          <cell r="J14">
            <v>6487488</v>
          </cell>
          <cell r="K14">
            <v>4430923</v>
          </cell>
          <cell r="L14">
            <v>10918411</v>
          </cell>
          <cell r="M14">
            <v>6487488</v>
          </cell>
          <cell r="N14">
            <v>4430923</v>
          </cell>
          <cell r="P14">
            <v>6487488</v>
          </cell>
        </row>
        <row r="15">
          <cell r="K15">
            <v>317798</v>
          </cell>
        </row>
        <row r="16">
          <cell r="C16">
            <v>179391</v>
          </cell>
          <cell r="I16">
            <v>0</v>
          </cell>
          <cell r="L16">
            <v>0</v>
          </cell>
          <cell r="O16">
            <v>0</v>
          </cell>
        </row>
        <row r="21">
          <cell r="C21">
            <v>1036180</v>
          </cell>
        </row>
        <row r="22">
          <cell r="C22">
            <v>800000</v>
          </cell>
          <cell r="I22">
            <v>900000</v>
          </cell>
        </row>
        <row r="23">
          <cell r="C23">
            <v>1500000</v>
          </cell>
          <cell r="I23">
            <v>1600000</v>
          </cell>
        </row>
        <row r="24">
          <cell r="I24">
            <v>0</v>
          </cell>
        </row>
        <row r="25">
          <cell r="C25">
            <v>9140657</v>
          </cell>
        </row>
        <row r="26">
          <cell r="C26">
            <v>4090257</v>
          </cell>
        </row>
        <row r="27">
          <cell r="C27">
            <v>31000</v>
          </cell>
        </row>
        <row r="29">
          <cell r="C29">
            <v>0</v>
          </cell>
          <cell r="I29">
            <v>0</v>
          </cell>
        </row>
        <row r="30">
          <cell r="C30">
            <v>2000</v>
          </cell>
        </row>
        <row r="31">
          <cell r="C31">
            <v>273066</v>
          </cell>
          <cell r="Y31">
            <v>1.0047879424816806</v>
          </cell>
          <cell r="Z31">
            <v>1.0127502007166578</v>
          </cell>
          <cell r="AB31">
            <v>1.0267006153038798</v>
          </cell>
          <cell r="AC31">
            <v>1.0186611374861316</v>
          </cell>
          <cell r="AE31">
            <v>1.0278959515568287</v>
          </cell>
          <cell r="AF31">
            <v>1.0203782588786079</v>
          </cell>
        </row>
        <row r="32">
          <cell r="F32">
            <v>2000</v>
          </cell>
        </row>
      </sheetData>
      <sheetData sheetId="29">
        <row r="14">
          <cell r="C14">
            <v>6803512</v>
          </cell>
        </row>
        <row r="21">
          <cell r="I21">
            <v>1061000</v>
          </cell>
        </row>
        <row r="25">
          <cell r="I25">
            <v>9353865</v>
          </cell>
        </row>
        <row r="26">
          <cell r="I26">
            <v>4179745</v>
          </cell>
        </row>
        <row r="27">
          <cell r="I27">
            <v>31000</v>
          </cell>
        </row>
        <row r="30">
          <cell r="I30">
            <v>2000</v>
          </cell>
        </row>
        <row r="31">
          <cell r="I31">
            <v>274623</v>
          </cell>
        </row>
        <row r="32">
          <cell r="I32">
            <v>0</v>
          </cell>
        </row>
      </sheetData>
      <sheetData sheetId="30">
        <row r="9">
          <cell r="C9">
            <v>12922645</v>
          </cell>
        </row>
      </sheetData>
      <sheetData sheetId="31">
        <row r="8">
          <cell r="Q8">
            <v>6704000</v>
          </cell>
        </row>
        <row r="11">
          <cell r="H11">
            <v>237000</v>
          </cell>
          <cell r="N11">
            <v>250000</v>
          </cell>
          <cell r="T11">
            <v>275000</v>
          </cell>
          <cell r="Z11">
            <v>303000</v>
          </cell>
        </row>
        <row r="17">
          <cell r="H17">
            <v>410000</v>
          </cell>
          <cell r="N17">
            <v>350000</v>
          </cell>
          <cell r="T17">
            <v>385000</v>
          </cell>
          <cell r="Z17">
            <v>423000</v>
          </cell>
        </row>
        <row r="23">
          <cell r="H23">
            <v>74000</v>
          </cell>
          <cell r="N23">
            <v>70000</v>
          </cell>
          <cell r="T23">
            <v>77000</v>
          </cell>
          <cell r="Z23">
            <v>85000</v>
          </cell>
        </row>
        <row r="28">
          <cell r="H28">
            <v>1215000</v>
          </cell>
          <cell r="N28">
            <v>1265000</v>
          </cell>
          <cell r="T28">
            <v>1455000</v>
          </cell>
          <cell r="Z28">
            <v>1674000</v>
          </cell>
        </row>
        <row r="34">
          <cell r="H34">
            <v>370000</v>
          </cell>
          <cell r="N34">
            <v>295000</v>
          </cell>
          <cell r="T34">
            <v>310000</v>
          </cell>
          <cell r="Z34">
            <v>326000</v>
          </cell>
        </row>
        <row r="35">
          <cell r="H35">
            <v>300</v>
          </cell>
          <cell r="N35">
            <v>0</v>
          </cell>
          <cell r="T35">
            <v>0</v>
          </cell>
          <cell r="Z35">
            <v>0</v>
          </cell>
        </row>
        <row r="36">
          <cell r="H36">
            <v>17000</v>
          </cell>
          <cell r="N36">
            <v>10000</v>
          </cell>
          <cell r="T36">
            <v>10000</v>
          </cell>
          <cell r="Z36">
            <v>10000</v>
          </cell>
        </row>
        <row r="37">
          <cell r="H37">
            <v>710000</v>
          </cell>
          <cell r="N37">
            <v>600000</v>
          </cell>
          <cell r="T37">
            <v>660000</v>
          </cell>
          <cell r="Z37">
            <v>726000</v>
          </cell>
        </row>
        <row r="38">
          <cell r="E38">
            <v>733000</v>
          </cell>
          <cell r="H38">
            <v>925000</v>
          </cell>
          <cell r="N38">
            <v>1500000</v>
          </cell>
          <cell r="T38">
            <v>1650000</v>
          </cell>
          <cell r="Z38">
            <v>1815000</v>
          </cell>
        </row>
        <row r="39">
          <cell r="H39">
            <v>170000</v>
          </cell>
          <cell r="N39">
            <v>160000</v>
          </cell>
          <cell r="T39">
            <v>168000</v>
          </cell>
          <cell r="Z39">
            <v>176000</v>
          </cell>
        </row>
        <row r="40">
          <cell r="H40">
            <v>970000</v>
          </cell>
          <cell r="N40">
            <v>900000</v>
          </cell>
          <cell r="T40">
            <v>900000</v>
          </cell>
          <cell r="Z40">
            <v>900000</v>
          </cell>
        </row>
        <row r="41">
          <cell r="H41">
            <v>230000</v>
          </cell>
          <cell r="N41">
            <v>115000</v>
          </cell>
          <cell r="T41">
            <v>127000</v>
          </cell>
          <cell r="Z41">
            <v>140000</v>
          </cell>
        </row>
        <row r="42">
          <cell r="H42">
            <v>80</v>
          </cell>
          <cell r="N42">
            <v>0</v>
          </cell>
          <cell r="T42">
            <v>0</v>
          </cell>
          <cell r="Z42">
            <v>0</v>
          </cell>
        </row>
        <row r="43">
          <cell r="H43">
            <v>265000</v>
          </cell>
          <cell r="N43">
            <v>250000</v>
          </cell>
          <cell r="T43">
            <v>263000</v>
          </cell>
          <cell r="Z43">
            <v>276000</v>
          </cell>
        </row>
        <row r="44">
          <cell r="H44">
            <v>25823</v>
          </cell>
          <cell r="N44">
            <v>22000</v>
          </cell>
          <cell r="T44">
            <v>23000</v>
          </cell>
          <cell r="Z44">
            <v>24000</v>
          </cell>
        </row>
        <row r="45">
          <cell r="H45">
            <v>74797</v>
          </cell>
          <cell r="N45">
            <v>50000</v>
          </cell>
          <cell r="T45">
            <v>50000</v>
          </cell>
          <cell r="Z45">
            <v>50000</v>
          </cell>
        </row>
        <row r="47">
          <cell r="H47">
            <v>2000</v>
          </cell>
          <cell r="N47">
            <v>3000</v>
          </cell>
          <cell r="T47">
            <v>3000</v>
          </cell>
          <cell r="Z47">
            <v>3000</v>
          </cell>
        </row>
        <row r="48">
          <cell r="H48">
            <v>1704000</v>
          </cell>
          <cell r="N48">
            <v>1600000</v>
          </cell>
          <cell r="T48">
            <v>1600000</v>
          </cell>
          <cell r="Z48">
            <v>1600000</v>
          </cell>
        </row>
        <row r="49">
          <cell r="H49">
            <v>140000</v>
          </cell>
          <cell r="N49">
            <v>150000</v>
          </cell>
          <cell r="T49">
            <v>120000</v>
          </cell>
          <cell r="Z49">
            <v>125000</v>
          </cell>
        </row>
        <row r="51">
          <cell r="C51">
            <v>70000</v>
          </cell>
          <cell r="E51">
            <v>0</v>
          </cell>
          <cell r="H51">
            <v>102500</v>
          </cell>
          <cell r="K51">
            <v>0</v>
          </cell>
          <cell r="Q51">
            <v>0</v>
          </cell>
        </row>
        <row r="53">
          <cell r="N53">
            <v>6487488</v>
          </cell>
        </row>
        <row r="57">
          <cell r="N57">
            <v>0</v>
          </cell>
        </row>
        <row r="58">
          <cell r="E58">
            <v>48300</v>
          </cell>
          <cell r="H58">
            <v>48300</v>
          </cell>
          <cell r="N58">
            <v>31500</v>
          </cell>
          <cell r="T58">
            <v>19694</v>
          </cell>
          <cell r="Z58">
            <v>0</v>
          </cell>
        </row>
      </sheetData>
      <sheetData sheetId="32">
        <row r="5">
          <cell r="F5">
            <v>136750</v>
          </cell>
        </row>
      </sheetData>
      <sheetData sheetId="33">
        <row r="4">
          <cell r="D4">
            <v>564217</v>
          </cell>
        </row>
      </sheetData>
      <sheetData sheetId="34"/>
      <sheetData sheetId="35"/>
      <sheetData sheetId="36"/>
      <sheetData sheetId="37">
        <row r="40">
          <cell r="T40">
            <v>39881</v>
          </cell>
        </row>
      </sheetData>
      <sheetData sheetId="38">
        <row r="8">
          <cell r="N8">
            <v>131450</v>
          </cell>
          <cell r="V8">
            <v>269200</v>
          </cell>
          <cell r="AD8">
            <v>61250</v>
          </cell>
          <cell r="AL8">
            <v>97100</v>
          </cell>
          <cell r="AT8">
            <v>166650</v>
          </cell>
          <cell r="BB8">
            <v>801200</v>
          </cell>
          <cell r="BJ8">
            <v>185760</v>
          </cell>
          <cell r="BR8">
            <v>211460</v>
          </cell>
          <cell r="BZ8">
            <v>185900</v>
          </cell>
          <cell r="CH8">
            <v>141600</v>
          </cell>
          <cell r="CP8">
            <v>471300</v>
          </cell>
          <cell r="CX8">
            <v>174480</v>
          </cell>
        </row>
        <row r="10">
          <cell r="N10">
            <v>413967</v>
          </cell>
          <cell r="V10">
            <v>225665</v>
          </cell>
          <cell r="AD10">
            <v>391207</v>
          </cell>
          <cell r="AL10">
            <v>388772</v>
          </cell>
          <cell r="AT10">
            <v>449761</v>
          </cell>
          <cell r="BB10">
            <v>37354</v>
          </cell>
          <cell r="BJ10">
            <v>566422</v>
          </cell>
          <cell r="BR10">
            <v>441700</v>
          </cell>
          <cell r="BZ10">
            <v>470689</v>
          </cell>
          <cell r="CH10">
            <v>440874</v>
          </cell>
          <cell r="CP10">
            <v>224584</v>
          </cell>
          <cell r="CX10">
            <v>379928</v>
          </cell>
        </row>
        <row r="11">
          <cell r="N11">
            <v>18800</v>
          </cell>
          <cell r="V11">
            <v>13300</v>
          </cell>
          <cell r="AD11">
            <v>34100</v>
          </cell>
          <cell r="AL11">
            <v>45900</v>
          </cell>
          <cell r="AT11">
            <v>32298</v>
          </cell>
          <cell r="BB11">
            <v>8000</v>
          </cell>
          <cell r="BJ11">
            <v>47400</v>
          </cell>
          <cell r="BR11">
            <v>61600</v>
          </cell>
          <cell r="BZ11">
            <v>15900</v>
          </cell>
          <cell r="CH11">
            <v>18300</v>
          </cell>
          <cell r="CP11">
            <v>4500</v>
          </cell>
          <cell r="CX11">
            <v>17700</v>
          </cell>
        </row>
        <row r="15">
          <cell r="P15">
            <v>564217</v>
          </cell>
          <cell r="X15">
            <v>508165</v>
          </cell>
          <cell r="AF15">
            <v>486557</v>
          </cell>
          <cell r="AN15">
            <v>531772</v>
          </cell>
          <cell r="AV15">
            <v>648709</v>
          </cell>
          <cell r="BD15">
            <v>846554</v>
          </cell>
          <cell r="BL15">
            <v>799582</v>
          </cell>
          <cell r="BT15">
            <v>714760</v>
          </cell>
          <cell r="CB15">
            <v>672489</v>
          </cell>
          <cell r="CJ15">
            <v>600774</v>
          </cell>
          <cell r="CR15">
            <v>700384</v>
          </cell>
          <cell r="CZ15">
            <v>572108</v>
          </cell>
        </row>
      </sheetData>
      <sheetData sheetId="39">
        <row r="8">
          <cell r="F8">
            <v>400</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ow r="22">
          <cell r="D22">
            <v>247800</v>
          </cell>
        </row>
      </sheetData>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ow r="22">
          <cell r="D22">
            <v>247800</v>
          </cell>
        </row>
      </sheetData>
      <sheetData sheetId="90">
        <row r="29">
          <cell r="C29">
            <v>23400</v>
          </cell>
        </row>
      </sheetData>
      <sheetData sheetId="9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1-TH Thu"/>
      <sheetName val="B2-02"/>
      <sheetName val="CackhoanLoaitru"/>
      <sheetName val="Kangatang"/>
      <sheetName val="Kangatang_2"/>
      <sheetName val="Kangatang_3"/>
      <sheetName val="Kangatang_4"/>
      <sheetName val="Kangatang_5"/>
      <sheetName val="Kangatang_6"/>
      <sheetName val="Kangatang_7"/>
      <sheetName val="Kangatang_8"/>
      <sheetName val="Kangatang_9"/>
      <sheetName val="Kangatang_10"/>
      <sheetName val="Kangatang_11"/>
      <sheetName val="Kangatang_12"/>
      <sheetName val="thu noi dia(BTC)"/>
      <sheetName val="SoSanhThucHienThu (2)"/>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59 CD quy"/>
      <sheetName val="mau 60 Thu quy"/>
      <sheetName val="mau 66 QT chi NS tinh"/>
      <sheetName val="mau 61 Chi quy"/>
      <sheetName val="thu noi dia(HĐND)(btc)"/>
      <sheetName val="thu noi dia(HĐND)"/>
      <sheetName val="ve bieu do cung ky thang truoc"/>
      <sheetName val="Thu 2022"/>
      <sheetName val="Thu 31-12-2022"/>
      <sheetName val="0105-TH chi"/>
      <sheetName val="B5-01 (NST)"/>
      <sheetName val="B5-01(NSH)"/>
      <sheetName val="B5-01 (xa)"/>
      <sheetName val="B5-03 (tinh)"/>
      <sheetName val="B5-03 (huyen)"/>
      <sheetName val="B5-03(xa)"/>
      <sheetName val="CT MTQG"/>
      <sheetName val="Chi"/>
      <sheetName val="Chi (HĐND)"/>
      <sheetName val="Chi 2022"/>
      <sheetName val="Chi 31-12-2022"/>
      <sheetName val="thu"/>
      <sheetName val="Bao cao (Qmoi)"/>
      <sheetName val="Bao cao (1)"/>
      <sheetName val="Bao cao"/>
      <sheetName val="Thu huyen 31-10-2022"/>
      <sheetName val="Chi (HĐND) (ko ke chuyen nguon)"/>
      <sheetName val="Chi (A-B-C)"/>
      <sheetName val="Chi (A-B-C) ko ke chi DTPT khac"/>
      <sheetName val="Chi huyen 31-3-2022"/>
      <sheetName val="ve bieu do nam (huyen NSN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3">
          <cell r="I13">
            <v>227900.049615</v>
          </cell>
        </row>
      </sheetData>
      <sheetData sheetId="16">
        <row r="11">
          <cell r="I11">
            <v>3646187.9516190002</v>
          </cell>
          <cell r="J11">
            <v>3220107.329657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15">
          <cell r="I15">
            <v>227900.049615</v>
          </cell>
        </row>
      </sheetData>
      <sheetData sheetId="36"/>
      <sheetData sheetId="37">
        <row r="109">
          <cell r="K109">
            <v>38572518377</v>
          </cell>
        </row>
      </sheetData>
      <sheetData sheetId="38">
        <row r="183">
          <cell r="L183">
            <v>6803512000000</v>
          </cell>
        </row>
        <row r="184">
          <cell r="L184">
            <v>1191268339852</v>
          </cell>
        </row>
      </sheetData>
      <sheetData sheetId="39"/>
      <sheetData sheetId="40"/>
      <sheetData sheetId="41"/>
      <sheetData sheetId="42"/>
      <sheetData sheetId="43"/>
      <sheetData sheetId="44"/>
      <sheetData sheetId="45"/>
      <sheetData sheetId="46"/>
      <sheetData sheetId="47"/>
      <sheetData sheetId="48">
        <row r="13">
          <cell r="F13">
            <v>3260550.5345359999</v>
          </cell>
        </row>
        <row r="49">
          <cell r="F49">
            <v>0</v>
          </cell>
        </row>
        <row r="53">
          <cell r="F53">
            <v>1774.8968809999999</v>
          </cell>
        </row>
        <row r="56">
          <cell r="F56">
            <v>1567739.8360000001</v>
          </cell>
        </row>
        <row r="63">
          <cell r="F63">
            <v>0</v>
          </cell>
        </row>
      </sheetData>
      <sheetData sheetId="49"/>
      <sheetData sheetId="50"/>
      <sheetData sheetId="51"/>
      <sheetData sheetId="52"/>
      <sheetData sheetId="53">
        <row r="64">
          <cell r="H64">
            <v>66411.331999999995</v>
          </cell>
        </row>
      </sheetData>
      <sheetData sheetId="54"/>
      <sheetData sheetId="55"/>
      <sheetData sheetId="56"/>
      <sheetData sheetId="57"/>
      <sheetData sheetId="58"/>
      <sheetData sheetId="59"/>
      <sheetData sheetId="6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DT3-5N"/>
      <sheetName val="DT4-7T R"/>
      <sheetName val="DT5-TT R "/>
      <sheetName val="BC3 T7 2022"/>
      <sheetName val="DT31-KH3N"/>
      <sheetName val="DT32-KH5N"/>
      <sheetName val="DT10-SXTĐ K "/>
      <sheetName val="DT13-TRĐ K "/>
      <sheetName val="DT25-DTH (K)"/>
      <sheetName val="DT26-PDTH (K)"/>
      <sheetName val="DT27-KTN (K)"/>
      <sheetName val="DT28-PKTN (K)"/>
      <sheetName val="DT33-THĐK (K)"/>
      <sheetName val="DT34-CTĐK (K)"/>
      <sheetName val="DT35-CCTĐK (K) "/>
      <sheetName val="DT36-GCTPD (K)"/>
      <sheetName val="DT37-CCTPĐ (K) "/>
      <sheetName val="DT38-QUY(K)"/>
      <sheetName val="DT39-ĐGT (K)"/>
      <sheetName val="DT40-HTN"/>
      <sheetName val="DT41-HXK"/>
      <sheetName val="DT42-HDA"/>
      <sheetName val="DT43-HT3N"/>
      <sheetName val="DT44-HT5N"/>
      <sheetName val="5 NAM"/>
      <sheetName val="5 năm 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4">
          <cell r="F14">
            <v>7483830</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ngatang"/>
      <sheetName val="Sheet1"/>
    </sheetNames>
    <sheetDataSet>
      <sheetData sheetId="0"/>
      <sheetData sheetId="1">
        <row r="9">
          <cell r="C9">
            <v>853859.37400000007</v>
          </cell>
          <cell r="F9">
            <v>1006681.451</v>
          </cell>
          <cell r="I9">
            <v>839196.836075</v>
          </cell>
        </row>
        <row r="10">
          <cell r="C10">
            <v>306246</v>
          </cell>
          <cell r="F10">
            <v>557722.85500600003</v>
          </cell>
          <cell r="I10">
            <v>461660.39653100003</v>
          </cell>
        </row>
        <row r="11">
          <cell r="C11">
            <v>1422019.854876</v>
          </cell>
          <cell r="F11">
            <v>1360127.8934820001</v>
          </cell>
          <cell r="I11">
            <v>731759.17074700003</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1"/>
      <sheetName val="KH vay và trả nợ 2022-2024"/>
      <sheetName val="KTXH 2022-2024"/>
      <sheetName val="KTXH 2021-2025"/>
      <sheetName val="Quỹ TC ngoài NS 2021-2022"/>
      <sheetName val="Định hướng CĐNSĐP 2022 của TW"/>
      <sheetName val="Nguồn CĐCS chuyển sang 2022"/>
      <sheetName val="KHTC 2021-2025"/>
      <sheetName val="Nhu cầu TLCS năm 2022"/>
      <sheetName val="10%TK tăng thêm so với năm 2022"/>
      <sheetName val="Can doi 2021-2022"/>
      <sheetName val="SS TW với ĐP 2022"/>
      <sheetName val="Chi NSĐP 2010-2025"/>
      <sheetName val="Thu NSNN 2010-2025"/>
      <sheetName val="Thu NSNN 2021-2022"/>
      <sheetName val="CĐ NSĐP 2021-2025"/>
      <sheetName val="So sánh Định mức 2022-2017"/>
      <sheetName val="Xác định lại dự toán 2021-ĐP"/>
      <sheetName val="Xác định lại dự toán 2021-TW"/>
      <sheetName val="Thu NSNN 2015-2025 (2)"/>
      <sheetName val="Bố trí"/>
      <sheetName val="Định mức chi TX 2022"/>
      <sheetName val="Phụ lục số 1"/>
      <sheetName val="Phụ lục số 2"/>
      <sheetName val="Phụ lục số 4"/>
      <sheetName val="Phụ lục số 3"/>
      <sheetName val="Phụ lục số 3-thu bs"/>
      <sheetName val="Phụ lục số 5"/>
      <sheetName val="Phụ lục số 6"/>
      <sheetName val="Phụ lục số 7"/>
      <sheetName val="Phụ lục số 8"/>
      <sheetName val="Thu NSH"/>
      <sheetName val="Chi NSH"/>
      <sheetName val="CCTL nam 2021- 2022"/>
      <sheetName val="XSKT"/>
      <sheetName val="Chính sách chế độ 2021-2022"/>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Phụ lục số 1-KQPB"/>
      <sheetName val="Phụ lục số 2- KQPB"/>
      <sheetName val="Phụ lục số 3- KQPB"/>
      <sheetName val="Phụ lục số 4-KQPB"/>
      <sheetName val="Phụ lục số 5-KQPB"/>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Biếu bổ su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2">
          <cell r="C12">
            <v>3336400</v>
          </cell>
        </row>
        <row r="14">
          <cell r="C14">
            <v>4883126</v>
          </cell>
        </row>
      </sheetData>
      <sheetData sheetId="17"/>
      <sheetData sheetId="18"/>
      <sheetData sheetId="19"/>
      <sheetData sheetId="20"/>
      <sheetData sheetId="21"/>
      <sheetData sheetId="22"/>
      <sheetData sheetId="23"/>
      <sheetData sheetId="24">
        <row r="10">
          <cell r="C10">
            <v>1131485</v>
          </cell>
        </row>
        <row r="11">
          <cell r="C11">
            <v>750000</v>
          </cell>
        </row>
        <row r="12">
          <cell r="C12">
            <v>1500000</v>
          </cell>
        </row>
        <row r="15">
          <cell r="C15">
            <v>1604001</v>
          </cell>
        </row>
        <row r="16">
          <cell r="C16">
            <v>143470</v>
          </cell>
        </row>
        <row r="18">
          <cell r="C18">
            <v>31000</v>
          </cell>
        </row>
        <row r="19">
          <cell r="C19">
            <v>3653191</v>
          </cell>
        </row>
        <row r="20">
          <cell r="C20">
            <v>770000</v>
          </cell>
        </row>
        <row r="21">
          <cell r="C21">
            <v>77733</v>
          </cell>
        </row>
        <row r="22">
          <cell r="C22">
            <v>36574</v>
          </cell>
        </row>
        <row r="23">
          <cell r="C23">
            <v>34237</v>
          </cell>
        </row>
        <row r="24">
          <cell r="C24">
            <v>427859</v>
          </cell>
        </row>
        <row r="25">
          <cell r="C25">
            <v>1351525</v>
          </cell>
        </row>
        <row r="26">
          <cell r="C26">
            <v>271557</v>
          </cell>
        </row>
        <row r="27">
          <cell r="C27">
            <v>64674</v>
          </cell>
        </row>
        <row r="28">
          <cell r="C28">
            <v>2000</v>
          </cell>
        </row>
        <row r="29">
          <cell r="C29">
            <v>233960</v>
          </cell>
        </row>
        <row r="30">
          <cell r="C30">
            <v>606749</v>
          </cell>
        </row>
        <row r="31">
          <cell r="C31">
            <v>2100</v>
          </cell>
        </row>
        <row r="33">
          <cell r="C33">
            <v>1263824</v>
          </cell>
        </row>
        <row r="34">
          <cell r="C34">
            <v>106970</v>
          </cell>
        </row>
        <row r="35">
          <cell r="C35">
            <v>61200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1-TH Thu"/>
      <sheetName val="B2-02"/>
      <sheetName val="CackhoanLoaitru"/>
      <sheetName val="thu noi dia(BTC)"/>
      <sheetName val="SoSanhThucHienThu (2)"/>
      <sheetName val="SoSanhThucHienThu"/>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59 CD quy"/>
      <sheetName val="mau 60 Thu quy"/>
      <sheetName val="mau 66 QT chi NS tinh"/>
      <sheetName val="mau 61 Chi quy"/>
      <sheetName val="thu"/>
      <sheetName val="thu noi dia(HĐND)(btc)"/>
      <sheetName val="thu noi dia(HĐND)"/>
      <sheetName val="Thu 2020"/>
      <sheetName val="Thu 31-12-2020"/>
      <sheetName val="0105-TH chi"/>
      <sheetName val="B5-01 (NST)"/>
      <sheetName val="B5-01(NSH)"/>
      <sheetName val="B5-01 (xa)"/>
      <sheetName val="B5-03 (tinh)"/>
      <sheetName val="B5-03 (huyen)"/>
      <sheetName val="B5-03(xa)"/>
      <sheetName val="CT MTQG"/>
      <sheetName val="Chi"/>
      <sheetName val="Chi (HĐND)"/>
      <sheetName val="Chi 2020"/>
      <sheetName val="Chi 31-12-2020"/>
      <sheetName val="Bao cao"/>
      <sheetName val="Thu huyen 31-12-2020"/>
      <sheetName val="Chi (HĐND) (ko ke chuyen nguon)"/>
      <sheetName val="Chi (A-B-C)"/>
      <sheetName val="Chi (A-B-C) ko ke chi DTPT khac"/>
      <sheetName val="Chi huyen 31-7-2018"/>
      <sheetName val="ve bieu do nam (huyen NSNN)"/>
      <sheetName val="ve bieu do cung ky thang truoc"/>
      <sheetName val="ve bieu do nam(ns huyen huo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74">
          <cell r="F74">
            <v>578053.55000000005</v>
          </cell>
        </row>
        <row r="75">
          <cell r="F75">
            <v>787322.09596199996</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1-TH Thu"/>
      <sheetName val="B2-02"/>
      <sheetName val="CackhoanLoaitru"/>
      <sheetName val="thu noi dia(BTC) (STC)"/>
      <sheetName val="thu noi dia(BTC)"/>
      <sheetName val="thu"/>
      <sheetName val="SoSanhThucHienThu (2)"/>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59 CD quy"/>
      <sheetName val="mau 60 Thu quy"/>
      <sheetName val="mau 66 QT chi NS tinh"/>
      <sheetName val="mau 61 Chi quy"/>
      <sheetName val="thu noi dia(HĐND)(btc)"/>
      <sheetName val="thu noi dia(HĐND)"/>
      <sheetName val="Thu 2021"/>
      <sheetName val="Thu 31-12-2021"/>
      <sheetName val="0105-TH chi"/>
      <sheetName val="B5-01 (NST)"/>
      <sheetName val="B5-01(NSH)"/>
      <sheetName val="B5-01 (xa)"/>
      <sheetName val="B5-03 (tinh)"/>
      <sheetName val="B5-03 (huyen)"/>
      <sheetName val="B5-03(xa)"/>
      <sheetName val="CT MTQG"/>
      <sheetName val="Chi"/>
      <sheetName val="Chi (HĐND)"/>
      <sheetName val="Chi 2021"/>
      <sheetName val="Chi 31-12-2021"/>
      <sheetName val="Bao cao (Qmoi)"/>
      <sheetName val="Bao cao"/>
      <sheetName val="Thu huyen 14-12-2021"/>
      <sheetName val="Chi (HĐND) (ko ke chuyen nguon)"/>
      <sheetName val="Chi (A-B-C)"/>
      <sheetName val="Chi (A-B-C) ko ke chi DTPT khac"/>
      <sheetName val="Chi huyen 31-3-2021"/>
      <sheetName val="ve bieu do nam (huyen NSNN)"/>
      <sheetName val="ve bieu do cung ky thang truoc"/>
      <sheetName val="ve bieu do nam(ns huyen huo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67">
          <cell r="J67">
            <v>545944</v>
          </cell>
        </row>
      </sheetData>
      <sheetData sheetId="42"/>
      <sheetData sheetId="43"/>
      <sheetData sheetId="44"/>
      <sheetData sheetId="45"/>
      <sheetData sheetId="46"/>
      <sheetData sheetId="47"/>
      <sheetData sheetId="48"/>
      <sheetData sheetId="49"/>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 NSNN 2020-2021"/>
      <sheetName val="Chi NSĐP 2010-2025"/>
      <sheetName val="Thu NSNN 2010-2025"/>
      <sheetName val="Thu NSNN 2010-2025 (2)"/>
      <sheetName val="CĐ NSĐP 2020-2025"/>
      <sheetName val="Chi từ NSTW bổ sung 2010-2025"/>
      <sheetName val="DP&amp;DT"/>
      <sheetName val="KH vay và trả nợ 2021-2023"/>
      <sheetName val="KTXH 2020-2025"/>
      <sheetName val="KTXH 2021-2025"/>
      <sheetName val="Quỹ TC ngoài NS 2020-2021"/>
      <sheetName val="Định hướng CĐNSĐP 2020 của TW"/>
      <sheetName val="Nguồn CĐCS chuyển sang 2020"/>
      <sheetName val="KHTC 2021-2025"/>
      <sheetName val="Thu NSNN 2015-2025 (2)"/>
      <sheetName val="Chính sách chế độ 2020-2021"/>
      <sheetName val="Nhu cầu TLCS năm 2020"/>
      <sheetName val="10%TK tăng thêm so với năm 2020"/>
      <sheetName val="Phụ lục số 1"/>
      <sheetName val="Phụ lục số 3-thu bs"/>
      <sheetName val="Phụ lục số 2"/>
      <sheetName val="Phụ lục số 3"/>
      <sheetName val="Phụ lục số 4"/>
      <sheetName val="Can doi 2020-2021"/>
      <sheetName val="Phụ lục số 5"/>
      <sheetName val="Phụ lục số 6"/>
      <sheetName val="Phụ lục số 7"/>
      <sheetName val="Phụ lục số 8"/>
      <sheetName val="Thu NSH"/>
      <sheetName val="Chi NSH"/>
      <sheetName val="CCTL nam 2020- 2021"/>
      <sheetName val="Phụ lục số 5 (2)"/>
      <sheetName val="Chi NSH (2)"/>
      <sheetName val="XSKT"/>
      <sheetName val="Phụ lục số 1- HĐND"/>
      <sheetName val="Phụ lục số 2- HĐND"/>
      <sheetName val="Phụ lục số 3- HĐND"/>
      <sheetName val="Phụ lục số 4- HĐND"/>
      <sheetName val="Phụ lục số 1-KQPB"/>
      <sheetName val="Phụ lục số 2- KQPB"/>
      <sheetName val="Phụ lục số 3- KQPB"/>
      <sheetName val="Phụ lục số 4-KQPB"/>
      <sheetName val="Phụ lục số 5-KQPB"/>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ố trí"/>
    </sheetNames>
    <sheetDataSet>
      <sheetData sheetId="0"/>
      <sheetData sheetId="1"/>
      <sheetData sheetId="2"/>
      <sheetData sheetId="3"/>
      <sheetData sheetId="4">
        <row r="30">
          <cell r="C30">
            <v>1474513</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eo doi nguon nam 2023"/>
      <sheetName val="theo QĐ 1361 tổng dieu chinh"/>
      <sheetName val="theo QĐ 1361 tổng"/>
      <sheetName val="theo QĐ 1361 dieu chinh"/>
      <sheetName val="theo QĐ 1361"/>
      <sheetName val="Sheet1"/>
      <sheetName val="quy du tru tai chinh dang trinh"/>
      <sheetName val="tu nguon ton quy+khac nam 2023"/>
      <sheetName val="theo doi ung von nam 2023"/>
      <sheetName val="quy du tru tai chinh TabmisT1"/>
      <sheetName val="quy du tru tai chinh TabmisT2"/>
      <sheetName val="quy du tru tai chinh TabmisT3"/>
      <sheetName val="quy du tru tai chinh TabmisT4"/>
      <sheetName val="quy du tru tai chinh TabmisT5"/>
      <sheetName val="quy du tru tai chinh TabmisT6"/>
    </sheetNames>
    <sheetDataSet>
      <sheetData sheetId="0"/>
      <sheetData sheetId="1"/>
      <sheetData sheetId="2"/>
      <sheetData sheetId="3"/>
      <sheetData sheetId="4"/>
      <sheetData sheetId="5"/>
      <sheetData sheetId="6"/>
      <sheetData sheetId="7"/>
      <sheetData sheetId="8"/>
      <sheetData sheetId="9">
        <row r="12">
          <cell r="B12">
            <v>266529765271</v>
          </cell>
        </row>
        <row r="13">
          <cell r="B13">
            <v>181071165</v>
          </cell>
        </row>
      </sheetData>
      <sheetData sheetId="10">
        <row r="13">
          <cell r="B13">
            <v>181197382</v>
          </cell>
        </row>
      </sheetData>
      <sheetData sheetId="11">
        <row r="13">
          <cell r="B13">
            <v>163779361</v>
          </cell>
        </row>
      </sheetData>
      <sheetData sheetId="12">
        <row r="13">
          <cell r="B13">
            <v>2181444442</v>
          </cell>
        </row>
      </sheetData>
      <sheetData sheetId="13">
        <row r="13">
          <cell r="B13">
            <v>114724095</v>
          </cell>
        </row>
      </sheetData>
      <sheetData sheetId="14">
        <row r="13">
          <cell r="B13">
            <v>114369776</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TXH 2020-2025"/>
      <sheetName val="Thu NSNN 2015-2025 (2)"/>
      <sheetName val="Thu NSNN 2019-2020"/>
      <sheetName val="KTXH 2021-2025"/>
      <sheetName val="KHTC 2021-2025"/>
      <sheetName val="Quỹ TC ngoài NS 2019-2020"/>
      <sheetName val="Thu NSNN 2010-2025"/>
      <sheetName val="Chi NSĐP 2010-2025"/>
      <sheetName val="Chi từ NSTW bổ sung 2010-2025"/>
      <sheetName val="CĐ NSĐP 2019-2025"/>
      <sheetName val="Can doi 2019-2020"/>
      <sheetName val="Định hướng CĐNSĐP 2020 của TW"/>
      <sheetName val="Phụ lục số 1"/>
      <sheetName val="Phụ lục số 2"/>
      <sheetName val="Phụ lục số 3-thu bs"/>
      <sheetName val="Phụ lục số 3"/>
      <sheetName val="Phụ lục số 4"/>
      <sheetName val="Phụ lục số 5"/>
      <sheetName val="Phụ lục số 6"/>
      <sheetName val="Phụ lục số 7"/>
      <sheetName val="DP&amp;DT"/>
      <sheetName val="XSKT"/>
      <sheetName val="TLTT nam 2019- 2020"/>
      <sheetName val="10%TK tăng thêm so với năm 2019"/>
      <sheetName val="Chính sách chế độ 2018-2020"/>
      <sheetName val="Nhu cầu TLCS năm 2020"/>
      <sheetName val="KH vay và trả nợ"/>
      <sheetName val="Phụ lục số 8"/>
      <sheetName val="Phụ lục số 1- HĐND"/>
      <sheetName val="Phụ lục số 2- HĐND"/>
      <sheetName val="Phụ lục số 3- HĐND"/>
      <sheetName val="Phụ lục số 4- HĐND"/>
      <sheetName val="Phụ lục số 1-KQPB"/>
      <sheetName val="Phụ lục số 2- KQPB"/>
      <sheetName val="Phụ lục số 3- KQPB"/>
      <sheetName val="Phụ lục số 4-KQPB"/>
      <sheetName val="Phụ lục số 5-KQPB"/>
      <sheetName val="Thu NSH"/>
      <sheetName val="Chi NSH"/>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Nguồn CĐCS chuyển sang 2020"/>
      <sheetName val="Bố trí"/>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4">
          <cell r="S14">
            <v>651329</v>
          </cell>
          <cell r="Y14">
            <v>508000</v>
          </cell>
        </row>
        <row r="15">
          <cell r="S15">
            <v>118000</v>
          </cell>
          <cell r="T15">
            <v>500000</v>
          </cell>
        </row>
        <row r="16">
          <cell r="S16">
            <v>1475000</v>
          </cell>
        </row>
        <row r="38">
          <cell r="P38">
            <v>602000</v>
          </cell>
          <cell r="U38">
            <v>849000</v>
          </cell>
          <cell r="Z38">
            <v>1198000</v>
          </cell>
          <cell r="AE38">
            <v>1690000</v>
          </cell>
          <cell r="AJ38">
            <v>2385000</v>
          </cell>
        </row>
        <row r="39">
          <cell r="S39">
            <v>1070000</v>
          </cell>
          <cell r="U39">
            <v>1263000</v>
          </cell>
          <cell r="Z39">
            <v>1491000</v>
          </cell>
          <cell r="AE39">
            <v>1760000</v>
          </cell>
          <cell r="AJ39">
            <v>2077000</v>
          </cell>
        </row>
        <row r="40">
          <cell r="P40">
            <v>141338</v>
          </cell>
          <cell r="U40">
            <v>141338</v>
          </cell>
          <cell r="Z40">
            <v>141338</v>
          </cell>
          <cell r="AE40">
            <v>141338</v>
          </cell>
          <cell r="AJ40">
            <v>141338</v>
          </cell>
        </row>
        <row r="41">
          <cell r="P41">
            <v>30000</v>
          </cell>
          <cell r="U41">
            <v>96096</v>
          </cell>
          <cell r="Z41">
            <v>0</v>
          </cell>
          <cell r="AE41">
            <v>0</v>
          </cell>
        </row>
      </sheetData>
      <sheetData sheetId="14">
        <row r="20">
          <cell r="P20">
            <v>745084</v>
          </cell>
          <cell r="Q20">
            <v>508000</v>
          </cell>
          <cell r="S20">
            <v>805034</v>
          </cell>
          <cell r="T20">
            <v>518000</v>
          </cell>
          <cell r="V20">
            <v>869034</v>
          </cell>
          <cell r="W20">
            <v>537000</v>
          </cell>
          <cell r="Y20">
            <v>938884</v>
          </cell>
          <cell r="Z20">
            <v>557000</v>
          </cell>
        </row>
        <row r="21">
          <cell r="P21">
            <v>137000</v>
          </cell>
          <cell r="Q21">
            <v>500000</v>
          </cell>
          <cell r="S21">
            <v>156000</v>
          </cell>
          <cell r="T21">
            <v>500000</v>
          </cell>
          <cell r="V21">
            <v>176000</v>
          </cell>
          <cell r="W21">
            <v>500000</v>
          </cell>
          <cell r="Y21">
            <v>200000</v>
          </cell>
          <cell r="Z21">
            <v>500000</v>
          </cell>
        </row>
        <row r="22">
          <cell r="P22">
            <v>1490000</v>
          </cell>
          <cell r="S22">
            <v>1505000</v>
          </cell>
          <cell r="V22">
            <v>1520000</v>
          </cell>
          <cell r="Y22">
            <v>1535000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1 (2)"/>
      <sheetName val="Sheet2"/>
      <sheetName val="Sheet3"/>
    </sheetNames>
    <sheetDataSet>
      <sheetData sheetId="0">
        <row r="11">
          <cell r="C11">
            <v>4009000</v>
          </cell>
          <cell r="D11">
            <v>3100421</v>
          </cell>
          <cell r="E11">
            <v>620372</v>
          </cell>
          <cell r="F11">
            <v>4009000</v>
          </cell>
          <cell r="G11">
            <v>4009000</v>
          </cell>
          <cell r="H11">
            <v>4009000</v>
          </cell>
          <cell r="I11">
            <v>4009000</v>
          </cell>
          <cell r="J11">
            <v>4009000</v>
          </cell>
          <cell r="L11">
            <v>626239</v>
          </cell>
          <cell r="M11">
            <v>530934</v>
          </cell>
          <cell r="N11">
            <v>540000</v>
          </cell>
          <cell r="O11">
            <v>562186</v>
          </cell>
        </row>
        <row r="12">
          <cell r="C12">
            <v>2628000</v>
          </cell>
          <cell r="D12">
            <v>2628000</v>
          </cell>
          <cell r="E12">
            <v>0</v>
          </cell>
          <cell r="F12">
            <v>2628000</v>
          </cell>
          <cell r="G12">
            <v>2628000</v>
          </cell>
          <cell r="H12">
            <v>2628000</v>
          </cell>
          <cell r="I12">
            <v>2628000</v>
          </cell>
          <cell r="J12">
            <v>2628000</v>
          </cell>
          <cell r="L12">
            <v>505246</v>
          </cell>
          <cell r="M12">
            <v>505246</v>
          </cell>
          <cell r="N12">
            <v>521000</v>
          </cell>
          <cell r="O12">
            <v>581000</v>
          </cell>
        </row>
        <row r="14">
          <cell r="C14">
            <v>500000</v>
          </cell>
          <cell r="D14">
            <v>500000</v>
          </cell>
          <cell r="E14">
            <v>0</v>
          </cell>
          <cell r="F14">
            <v>500000</v>
          </cell>
          <cell r="G14">
            <v>500000</v>
          </cell>
          <cell r="H14">
            <v>500000</v>
          </cell>
          <cell r="I14">
            <v>500000</v>
          </cell>
          <cell r="J14">
            <v>500000</v>
          </cell>
          <cell r="L14">
            <v>100000</v>
          </cell>
          <cell r="M14">
            <v>100000</v>
          </cell>
          <cell r="N14">
            <v>100000</v>
          </cell>
          <cell r="O14">
            <v>627000</v>
          </cell>
        </row>
        <row r="15">
          <cell r="C15">
            <v>2787000</v>
          </cell>
          <cell r="D15">
            <v>2787000</v>
          </cell>
          <cell r="E15">
            <v>0</v>
          </cell>
          <cell r="F15">
            <v>2787000</v>
          </cell>
          <cell r="G15">
            <v>2787000</v>
          </cell>
          <cell r="H15">
            <v>2787000</v>
          </cell>
          <cell r="I15">
            <v>2787000</v>
          </cell>
          <cell r="J15">
            <v>2787000</v>
          </cell>
          <cell r="L15">
            <v>650000</v>
          </cell>
          <cell r="M15">
            <v>700000</v>
          </cell>
          <cell r="N15">
            <v>800000</v>
          </cell>
          <cell r="O15">
            <v>1143000</v>
          </cell>
        </row>
        <row r="16">
          <cell r="C16">
            <v>7525000</v>
          </cell>
          <cell r="D16">
            <v>6564785</v>
          </cell>
          <cell r="E16">
            <v>411493</v>
          </cell>
          <cell r="F16">
            <v>7525000</v>
          </cell>
          <cell r="G16">
            <v>7525000</v>
          </cell>
          <cell r="H16">
            <v>7525000</v>
          </cell>
          <cell r="I16">
            <v>7525000</v>
          </cell>
          <cell r="J16">
            <v>7525000</v>
          </cell>
          <cell r="L16">
            <v>1500000</v>
          </cell>
          <cell r="M16">
            <v>1500000</v>
          </cell>
          <cell r="N16">
            <v>1600000</v>
          </cell>
          <cell r="O16">
            <v>1850000</v>
          </cell>
        </row>
        <row r="20">
          <cell r="F20">
            <v>70000</v>
          </cell>
        </row>
        <row r="21">
          <cell r="F21">
            <v>480565</v>
          </cell>
        </row>
        <row r="22">
          <cell r="F22">
            <v>38777</v>
          </cell>
          <cell r="M22">
            <v>38777</v>
          </cell>
          <cell r="N22">
            <v>0</v>
          </cell>
          <cell r="O22">
            <v>500000</v>
          </cell>
        </row>
        <row r="23">
          <cell r="O23">
            <v>60000</v>
          </cell>
        </row>
      </sheetData>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DT3-5N"/>
      <sheetName val="DT4-7T R"/>
      <sheetName val="DT5-TT R "/>
      <sheetName val="BC3 T7 2022"/>
      <sheetName val="DT31-KH3N"/>
      <sheetName val="DT32-KH5N"/>
      <sheetName val="DT10-SXTĐ K "/>
      <sheetName val="DT13-TRĐ K "/>
      <sheetName val="DT25-DTH (K)"/>
      <sheetName val="DT26-PDTH (K)"/>
      <sheetName val="DT27-KTN (K)"/>
      <sheetName val="DT28-PKTN (K)"/>
      <sheetName val="DT33-THĐK (K)"/>
      <sheetName val="DT34-CTĐK (K)"/>
      <sheetName val="DT35-CCTĐK (K) "/>
      <sheetName val="DT36-GCTPD (K)"/>
      <sheetName val="DT37-CCTPĐ (K) "/>
      <sheetName val="DT38-QUY(K)"/>
      <sheetName val="DT39-ĐGT (K)"/>
      <sheetName val="DT40-HTN"/>
      <sheetName val="DT41-HXK"/>
      <sheetName val="DT42-HDA"/>
      <sheetName val="DT43-HT3N"/>
      <sheetName val="DT44-HT5N"/>
      <sheetName val="5 NAM"/>
      <sheetName val="5 năm 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21">
          <cell r="Q21">
            <v>268000</v>
          </cell>
          <cell r="R21">
            <v>292000</v>
          </cell>
          <cell r="S21">
            <v>325000</v>
          </cell>
          <cell r="T21">
            <v>362000</v>
          </cell>
          <cell r="U21">
            <v>406000</v>
          </cell>
        </row>
        <row r="22">
          <cell r="R22">
            <v>62000</v>
          </cell>
          <cell r="S22">
            <v>68000</v>
          </cell>
          <cell r="T22">
            <v>74000</v>
          </cell>
          <cell r="U22">
            <v>83000</v>
          </cell>
        </row>
        <row r="23">
          <cell r="R23">
            <v>16000</v>
          </cell>
          <cell r="S23">
            <v>17000</v>
          </cell>
          <cell r="T23">
            <v>19000</v>
          </cell>
          <cell r="U23">
            <v>21000</v>
          </cell>
        </row>
        <row r="28">
          <cell r="R28">
            <v>291000</v>
          </cell>
          <cell r="S28">
            <v>325000</v>
          </cell>
          <cell r="T28">
            <v>364000</v>
          </cell>
          <cell r="U28">
            <v>407000</v>
          </cell>
        </row>
        <row r="30">
          <cell r="R30">
            <v>122000</v>
          </cell>
          <cell r="S30">
            <v>135000</v>
          </cell>
          <cell r="T30">
            <v>149000</v>
          </cell>
          <cell r="U30">
            <v>166000</v>
          </cell>
        </row>
        <row r="31">
          <cell r="R31">
            <v>147000</v>
          </cell>
          <cell r="S31">
            <v>160000</v>
          </cell>
          <cell r="T31">
            <v>177000</v>
          </cell>
          <cell r="U31">
            <v>197000</v>
          </cell>
        </row>
        <row r="35">
          <cell r="R35">
            <v>26000</v>
          </cell>
          <cell r="S35">
            <v>28000</v>
          </cell>
          <cell r="T35">
            <v>32000</v>
          </cell>
          <cell r="U35">
            <v>35500</v>
          </cell>
        </row>
        <row r="37">
          <cell r="R37">
            <v>94000</v>
          </cell>
          <cell r="S37">
            <v>102000</v>
          </cell>
          <cell r="T37">
            <v>108000</v>
          </cell>
          <cell r="U37">
            <v>117500</v>
          </cell>
        </row>
        <row r="42">
          <cell r="R42">
            <v>1113000</v>
          </cell>
          <cell r="S42">
            <v>1238000</v>
          </cell>
          <cell r="T42">
            <v>1373000</v>
          </cell>
          <cell r="U42">
            <v>1547000</v>
          </cell>
        </row>
        <row r="43">
          <cell r="R43">
            <v>134000</v>
          </cell>
          <cell r="S43">
            <v>147000</v>
          </cell>
          <cell r="T43">
            <v>163000</v>
          </cell>
          <cell r="U43">
            <v>187000</v>
          </cell>
        </row>
        <row r="44">
          <cell r="R44">
            <v>724000</v>
          </cell>
          <cell r="S44">
            <v>796000</v>
          </cell>
          <cell r="T44">
            <v>884000</v>
          </cell>
          <cell r="U44">
            <v>985000</v>
          </cell>
        </row>
        <row r="45">
          <cell r="R45">
            <v>9000</v>
          </cell>
          <cell r="S45">
            <v>9000</v>
          </cell>
          <cell r="T45">
            <v>10000</v>
          </cell>
          <cell r="U45">
            <v>11000</v>
          </cell>
        </row>
        <row r="60">
          <cell r="R60">
            <v>1040000</v>
          </cell>
          <cell r="S60">
            <v>1150000</v>
          </cell>
          <cell r="T60">
            <v>1270000</v>
          </cell>
          <cell r="U60">
            <v>1420000</v>
          </cell>
        </row>
        <row r="61">
          <cell r="R61">
            <v>2100000</v>
          </cell>
          <cell r="S61">
            <v>2300000</v>
          </cell>
          <cell r="T61">
            <v>2500000</v>
          </cell>
          <cell r="U61">
            <v>2670000</v>
          </cell>
        </row>
        <row r="62">
          <cell r="R62">
            <v>528000</v>
          </cell>
          <cell r="S62">
            <v>585000</v>
          </cell>
          <cell r="T62">
            <v>650000</v>
          </cell>
          <cell r="U62">
            <v>730000</v>
          </cell>
        </row>
        <row r="63">
          <cell r="R63">
            <v>245000</v>
          </cell>
          <cell r="S63">
            <v>270000</v>
          </cell>
          <cell r="T63">
            <v>300000</v>
          </cell>
          <cell r="U63">
            <v>340000</v>
          </cell>
        </row>
        <row r="65">
          <cell r="R65">
            <v>14000</v>
          </cell>
          <cell r="S65">
            <v>15000</v>
          </cell>
          <cell r="T65">
            <v>16000</v>
          </cell>
          <cell r="U65">
            <v>17000</v>
          </cell>
        </row>
        <row r="66">
          <cell r="R66">
            <v>300000</v>
          </cell>
          <cell r="S66">
            <v>365000</v>
          </cell>
          <cell r="T66">
            <v>480000</v>
          </cell>
          <cell r="U66">
            <v>600000</v>
          </cell>
        </row>
        <row r="67">
          <cell r="R67">
            <v>1300000</v>
          </cell>
          <cell r="S67">
            <v>1350000</v>
          </cell>
          <cell r="T67">
            <v>1400000</v>
          </cell>
          <cell r="U67">
            <v>1450000</v>
          </cell>
        </row>
        <row r="69">
          <cell r="R69">
            <v>2600000</v>
          </cell>
          <cell r="S69">
            <v>2660000</v>
          </cell>
          <cell r="T69">
            <v>2710000</v>
          </cell>
          <cell r="U69">
            <v>2810000</v>
          </cell>
        </row>
        <row r="70">
          <cell r="R70">
            <v>30000</v>
          </cell>
          <cell r="S70">
            <v>32000</v>
          </cell>
          <cell r="T70">
            <v>35000</v>
          </cell>
          <cell r="U70">
            <v>37000</v>
          </cell>
        </row>
        <row r="72">
          <cell r="R72">
            <v>440000</v>
          </cell>
          <cell r="S72">
            <v>490000</v>
          </cell>
          <cell r="T72">
            <v>541000</v>
          </cell>
          <cell r="U72">
            <v>600000</v>
          </cell>
        </row>
        <row r="73">
          <cell r="R73">
            <v>3000</v>
          </cell>
          <cell r="S73">
            <v>3000</v>
          </cell>
          <cell r="T73">
            <v>3000</v>
          </cell>
          <cell r="U73">
            <v>3000</v>
          </cell>
        </row>
        <row r="74">
          <cell r="R74">
            <v>130000</v>
          </cell>
          <cell r="S74">
            <v>140000</v>
          </cell>
          <cell r="T74">
            <v>150000</v>
          </cell>
          <cell r="U74">
            <v>160000</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CandoiMB60-342"/>
      <sheetName val="MB61.1-342thu"/>
      <sheetName val="MB62.1-342chi BTC"/>
      <sheetName val="MB61.1 (ko ke cac CapNS)"/>
      <sheetName val="MB62.1(ko ke chuyen giao)"/>
      <sheetName val="CandoiMB60-342 (đ)"/>
      <sheetName val="MB61.1 (ko ke cac Cap (đ)"/>
      <sheetName val="MB62.1(ko ke cac capNS (đ)"/>
      <sheetName val="MB63(ThuMLNS)-342"/>
      <sheetName val="MB64(ChiMLNS)-342"/>
      <sheetName val="BM65-342(chuongtrinh)"/>
      <sheetName val="B3-01"/>
      <sheetName val="B2-01"/>
      <sheetName val="B2-01-Tabmis"/>
      <sheetName val="MB66-342(HCSN-Huyen)"/>
      <sheetName val="MB68-342 Loan huyen dautu"/>
      <sheetName val="MB67-342(DT-Huyen- hcsn NEU CO)"/>
      <sheetName val="MB69-342"/>
      <sheetName val="MB70-342"/>
      <sheetName val="Thue mat dat mat nuoc"/>
      <sheetName val="62CK-343"/>
      <sheetName val="XDCBTT-XSKT-TSDD"/>
      <sheetName val="CTMTQG (A CONG)"/>
      <sheetName val="BS48-ND3=62CK-343"/>
      <sheetName val="BS49-ND31"/>
      <sheetName val="Sheet1"/>
      <sheetName val="BS50-ND31=63CK-343"/>
      <sheetName val="BS51-ND31"/>
      <sheetName val="BS52-ND31"/>
      <sheetName val="BS53-ND31"/>
      <sheetName val="BS54-ND31=66CK(loan-ut-Dung )"/>
      <sheetName val="BS55-ND31 (DT-NS Loan)"/>
      <sheetName val="BS56-ND31(HCSN-NS)"/>
      <sheetName val="BS57-ND31(HCSN-NS)"/>
      <sheetName val="BS58-ND31 huyen"/>
      <sheetName val="BS59-ND31(huyen)"/>
      <sheetName val="BS60-ND31(huyen)"/>
      <sheetName val="BS61-ND31(NS-Ut-HCSN) (2)"/>
      <sheetName val="BS62-ND31 (DT)"/>
      <sheetName val="BS63-ND31 (Diep)"/>
      <sheetName val="BS64-ND31 (HCSN Loan)"/>
      <sheetName val="63CK-343"/>
      <sheetName val="64CK-343"/>
      <sheetName val="65CK-343=52ND31"/>
      <sheetName val="66CK-343 tinh -huyen "/>
      <sheetName val="67-CK-343"/>
      <sheetName val="68CK-343"/>
      <sheetName val="BC theo yeu cau BTC 10536"/>
    </sheetNames>
    <sheetDataSet>
      <sheetData sheetId="0"/>
      <sheetData sheetId="1"/>
      <sheetData sheetId="2">
        <row r="13">
          <cell r="F13">
            <v>227901.09784099998</v>
          </cell>
        </row>
        <row r="20">
          <cell r="F20">
            <v>391146.90633100003</v>
          </cell>
        </row>
        <row r="27">
          <cell r="F27">
            <v>74729.223614999995</v>
          </cell>
        </row>
        <row r="33">
          <cell r="F33">
            <v>1184280.3315290001</v>
          </cell>
        </row>
        <row r="40">
          <cell r="F40">
            <v>368283.784782</v>
          </cell>
        </row>
        <row r="41">
          <cell r="F41">
            <v>280.44446699999997</v>
          </cell>
        </row>
        <row r="42">
          <cell r="F42">
            <v>17902.636366999999</v>
          </cell>
        </row>
        <row r="43">
          <cell r="F43">
            <v>712064.59420399996</v>
          </cell>
        </row>
        <row r="44">
          <cell r="F44">
            <v>926612.70443099993</v>
          </cell>
        </row>
        <row r="47">
          <cell r="F47">
            <v>174907.15649200001</v>
          </cell>
        </row>
        <row r="48">
          <cell r="F48">
            <v>1029252.96595</v>
          </cell>
        </row>
        <row r="49">
          <cell r="F49">
            <v>237121.31138199999</v>
          </cell>
        </row>
        <row r="53">
          <cell r="F53">
            <v>79.078599999999994</v>
          </cell>
        </row>
        <row r="54">
          <cell r="F54">
            <v>285395.57643899997</v>
          </cell>
        </row>
        <row r="55">
          <cell r="F55">
            <v>35466.300600000002</v>
          </cell>
        </row>
        <row r="56">
          <cell r="F56">
            <v>2047.6675579999999</v>
          </cell>
        </row>
        <row r="57">
          <cell r="F57">
            <v>76161.542220000003</v>
          </cell>
        </row>
        <row r="58">
          <cell r="F58">
            <v>1743740.631786</v>
          </cell>
        </row>
        <row r="60">
          <cell r="F60">
            <v>389783.37025500002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ễu mẩu số 01-KTXH"/>
      <sheetName val="Biểu mẫu số 01-KTXH.1"/>
      <sheetName val="PL1.1"/>
      <sheetName val="PL2.1"/>
      <sheetName val="PL-TổngThu21-25"/>
      <sheetName val="PL-TổngChi21-25"/>
      <sheetName val="PL-CĐ21-25"/>
      <sheetName val="PL-NSTWBSGĐ"/>
      <sheetName val="PL-DP DU TRU"/>
      <sheetName val="PL QUYTCNGOAINS"/>
      <sheetName val="PL-CĐNAMTHEOTW"/>
      <sheetName val="PL-VAY TRA NO"/>
      <sheetName val="Biểu mẫu số 3"/>
      <sheetName val="Biểu mẫu số 04"/>
      <sheetName val="Biểu mẫu số 05"/>
      <sheetName val="PL-NSTWBSTRONGNAM"/>
      <sheetName val="PL-KHTC5NAM"/>
      <sheetName val="NC Tiền lương"/>
      <sheetName val="Dự toán TW-ĐP"/>
      <sheetName val="PL-SosanhĐM"/>
      <sheetName val="PL-ĐP Xác định lại ĐM"/>
      <sheetName val="PL-TW Xác định lại ĐM"/>
      <sheetName val="PL-Định mức chi TX"/>
      <sheetName val="UTH2023-DT2024"/>
      <sheetName val="ThuNSNN2010-2025"/>
      <sheetName val="ChiNSĐP2010-2025"/>
      <sheetName val="CĐNS2023-2024"/>
      <sheetName val="List danh mục"/>
      <sheetName val="CĐ03nam"/>
      <sheetName val="Thu03nam"/>
      <sheetName val="ChiNSĐP03nam"/>
      <sheetName val="CĐNSĐP03namBS"/>
      <sheetName val="CĐNSĐP03nam-BS"/>
      <sheetName val="Biểu số 57-CK-NSNN"/>
      <sheetName val="Biểu số 56-CK-NSNN"/>
      <sheetName val="Biểu số 55-CK-NSNN"/>
      <sheetName val="Biểu số 41-CK-NSNN"/>
      <sheetName val="Biểu số 54-CK-NSNN "/>
      <sheetName val="Biểu số 53-CK-NSNN"/>
      <sheetName val="Biểu số 52-CK-NSNN"/>
      <sheetName val="Biểu số 51-CK-NSNN"/>
      <sheetName val="Biểu số 50-CK-NSNN "/>
      <sheetName val="Biểu số 49-CK-NSNN"/>
      <sheetName val="Biểu số 48-CK-NSNN"/>
      <sheetName val="Biểu số 47-CK-NSNN"/>
      <sheetName val="Biểu số 46-CK-NSNN"/>
      <sheetName val="Biểu số 45-CK-NSNN"/>
      <sheetName val="Biểu số 44-CK-NSNN "/>
      <sheetName val="Biểu số 43-CK-NSNN"/>
      <sheetName val="Biểu số 42-CK-NSNN"/>
      <sheetName val="Phụ lục 40-CK-NSNN"/>
      <sheetName val="Biểu số 39-CK-NSNN"/>
      <sheetName val="Biểu số 37-CK-NSNN"/>
      <sheetName val="Phụ lục 38-CK-NSNN"/>
      <sheetName val="Phụ lục 36-CK-NSNN"/>
      <sheetName val="Biểu số 35-CK-NSNN"/>
      <sheetName val="Biểu số 34-CK-NSNN"/>
      <sheetName val="Biểu số 33-CK-NSNN"/>
      <sheetName val="Phụ lục 1-CKNS"/>
      <sheetName val="Phụ lục số 1"/>
      <sheetName val="Phụ lục số 2"/>
      <sheetName val="PL1-Thu6T"/>
      <sheetName val="PL2-Chi6T"/>
      <sheetName val="PL3-CĐ6Thang"/>
      <sheetName val="PL3-CĐ6Thang-KBS"/>
      <sheetName val="Phụ lục số 3"/>
      <sheetName val="Phụ lục số 3.1"/>
      <sheetName val="Phụ lục số 3.2"/>
      <sheetName val="Phụ lục số 4"/>
      <sheetName val="Phụ lục số 5"/>
      <sheetName val="Phụ lục số 6"/>
      <sheetName val="Phụ lục số 7"/>
      <sheetName val="Phụ lục số 8"/>
      <sheetName val="Phụ lục số 5.1 Thu"/>
      <sheetName val="Phụ lục 6.1 Chi"/>
      <sheetName val="Phụ lục 7.1-CĐH"/>
      <sheetName val="Phụ lục 7.2-CCTL"/>
      <sheetName val="Phụ lục 7.3-CĐCS"/>
      <sheetName val="Phụ lục 7.4 - 10%TK"/>
      <sheetName val="Phụ lục 3.3-XSKT"/>
      <sheetName val="Phụ lục 2-CKNS"/>
      <sheetName val="Phụ lục 3-CKNS"/>
      <sheetName val="Phụ lục 4-CKNS"/>
      <sheetName val="Phụ lục 5-CKNS"/>
      <sheetName val="Phụ lục 6-CKNS"/>
      <sheetName val="Phụ lục 7-CKNS"/>
      <sheetName val="Phụ lục 8-CKNS"/>
      <sheetName val="Phụ lục 9-CKNS"/>
      <sheetName val="Phụ lục 10-CKNS"/>
      <sheetName val="Phụ lục 1-KQPB"/>
      <sheetName val="Phụ lục 2-KQPB"/>
      <sheetName val="Phụ lục 3-KQPB"/>
      <sheetName val="Phụ lục 4-KQPB"/>
      <sheetName val="Phụ lục 5-KQPB"/>
      <sheetName val="Phụ lục 1-HĐND"/>
      <sheetName val="Phụ lục 2-HĐND"/>
      <sheetName val="Phụ lục 3-HĐND"/>
      <sheetName val="Phụ lục 4-HĐND"/>
      <sheetName val="Phụ lục 5-HĐND"/>
      <sheetName val="Phụ lục 6-HĐND"/>
      <sheetName val="Phụ lục 7-HĐND"/>
      <sheetName val="Phụ lục 8-HĐND"/>
      <sheetName val="Phụ lục 9-HĐND"/>
      <sheetName val="TỔNG CỘNG"/>
      <sheetName val="H. HỒNG NGỰ"/>
      <sheetName val="TP. HỒNG NGỰ"/>
      <sheetName val="H. TÂN HỒNG"/>
      <sheetName val="H. TAM NÔNG"/>
      <sheetName val="H. THANH BÌNH"/>
      <sheetName val="TP. CAO LÃNH"/>
      <sheetName val="H. CAO LÃNH"/>
      <sheetName val="H. THÁP MƯỜI"/>
      <sheetName val="H. LẤP VÒ"/>
      <sheetName val="H. LAI VUNG"/>
      <sheetName val="TP. SA ĐÉC"/>
      <sheetName val="H. CHÂU THÀNH"/>
      <sheetName val="PL-Theo dõi ĐA-ĐU Địa phương"/>
      <sheetName val="PL-Theo dõi nguồn chưa P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ow r="28">
          <cell r="AI28">
            <v>77900</v>
          </cell>
          <cell r="AJ28">
            <v>1574100</v>
          </cell>
        </row>
        <row r="34">
          <cell r="AJ34">
            <v>350000</v>
          </cell>
        </row>
      </sheetData>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1-TH Thu"/>
      <sheetName val="B2-02"/>
      <sheetName val="CackhoanLoaitru"/>
      <sheetName val="Kangatang"/>
      <sheetName val="Kangatang_2"/>
      <sheetName val="Kangatang_3"/>
      <sheetName val="Kangatang_4"/>
      <sheetName val="Kangatang_5"/>
      <sheetName val="Kangatang_6"/>
      <sheetName val="Kangatang_7"/>
      <sheetName val="Kangatang_8"/>
      <sheetName val="Kangatang_9"/>
      <sheetName val="Kangatang_10"/>
      <sheetName val="Kangatang_11"/>
      <sheetName val="Kangatang_12"/>
      <sheetName val="Kangatang_13"/>
      <sheetName val="Kangatang_14"/>
      <sheetName val="Kangatang_15"/>
      <sheetName val="Kangatang_16"/>
      <sheetName val="Kangatang_17"/>
      <sheetName val="Kangatang_18"/>
      <sheetName val="Kangatang_19"/>
      <sheetName val="Kangatang_20"/>
      <sheetName val="Kangatang_21"/>
      <sheetName val="Kangatang_22"/>
      <sheetName val="Kangatang_23"/>
      <sheetName val="Kangatang_24"/>
      <sheetName val="Kangatang_25"/>
      <sheetName val="Kangatang_26"/>
      <sheetName val="Kangatang_27"/>
      <sheetName val="Kangatang_28"/>
      <sheetName val="Kangatang_29"/>
      <sheetName val="Kangatang_30"/>
      <sheetName val="Kangatang_31"/>
      <sheetName val="Kangatang_32"/>
      <sheetName val="Kangatang_33"/>
      <sheetName val="Kangatang_34"/>
      <sheetName val="Kangatang_35"/>
      <sheetName val="Kangatang_36"/>
      <sheetName val="Kangatang_37"/>
      <sheetName val="Kangatang_38"/>
      <sheetName val="Kangatang_39"/>
      <sheetName val="Kangatang_40"/>
      <sheetName val="Kangatang_41"/>
      <sheetName val="Kangatang_42"/>
      <sheetName val="Kangatang_43"/>
      <sheetName val="Kangatang_44"/>
      <sheetName val="Kangatang_45"/>
      <sheetName val="Kangatang_46"/>
      <sheetName val="Kangatang_47"/>
      <sheetName val="Kangatang_48"/>
      <sheetName val="Kangatang_49"/>
      <sheetName val="Kangatang_50"/>
      <sheetName val="Kangatang_51"/>
      <sheetName val="Kangatang_52"/>
      <sheetName val="Kangatang_53"/>
      <sheetName val="Kangatang_54"/>
      <sheetName val="Kangatang_55"/>
      <sheetName val="Kangatang_56"/>
      <sheetName val="Kangatang_57"/>
      <sheetName val="Kangatang_58"/>
      <sheetName val="Kangatang_59"/>
      <sheetName val="Kangatang_60"/>
      <sheetName val="Kangatang_61"/>
      <sheetName val="Kangatang_62"/>
      <sheetName val="Kangatang_63"/>
      <sheetName val="Kangatang_64"/>
      <sheetName val="Kangatang_65"/>
      <sheetName val="Kangatang_66"/>
      <sheetName val="Kangatang_67"/>
      <sheetName val="Kangatang_68"/>
      <sheetName val="Kangatang_69"/>
      <sheetName val="Kangatang_70"/>
      <sheetName val="Kangatang_71"/>
      <sheetName val="Kangatang_72"/>
      <sheetName val="Kangatang_73"/>
      <sheetName val="Kangatang_74"/>
      <sheetName val="Kangatang_75"/>
      <sheetName val="Kangatang_76"/>
      <sheetName val="Kangatang_77"/>
      <sheetName val="Kangatang_78"/>
      <sheetName val="Kangatang_79"/>
      <sheetName val="Kangatang_80"/>
      <sheetName val="Kangatang_81"/>
      <sheetName val="Kangatang_82"/>
      <sheetName val="Kangatang_83"/>
      <sheetName val="Kangatang_84"/>
      <sheetName val="Kangatang_85"/>
      <sheetName val="Kangatang_86"/>
      <sheetName val="Kangatang_87"/>
      <sheetName val="Kangatang_88"/>
      <sheetName val="Kangatang_89"/>
      <sheetName val="Kangatang_90"/>
      <sheetName val="Kangatang_91"/>
      <sheetName val="Kangatang_92"/>
      <sheetName val="Kangatang_93"/>
      <sheetName val="Kangatang_94"/>
      <sheetName val="Kangatang_95"/>
      <sheetName val="Kangatang_96"/>
      <sheetName val="Kangatang_97"/>
      <sheetName val="Kangatang_98"/>
      <sheetName val="Kangatang_99"/>
      <sheetName val="Kangatang_100"/>
      <sheetName val="Kangatang_101"/>
      <sheetName val="Kangatang_102"/>
      <sheetName val="Kangatang_103"/>
      <sheetName val="Kangatang_104"/>
      <sheetName val="Kangatang_105"/>
      <sheetName val="Kangatang_106"/>
      <sheetName val="Kangatang_107"/>
      <sheetName val="Kangatang_108"/>
      <sheetName val="Kangatang_109"/>
      <sheetName val="Kangatang_110"/>
      <sheetName val="Kangatang_111"/>
      <sheetName val="Kangatang_112"/>
      <sheetName val="Kangatang_113"/>
      <sheetName val="Kangatang_114"/>
      <sheetName val="Kangatang_115"/>
      <sheetName val="Kangatang_116"/>
      <sheetName val="Kangatang_117"/>
      <sheetName val="Kangatang_118"/>
      <sheetName val="Kangatang_119"/>
      <sheetName val="Kangatang_120"/>
      <sheetName val="Kangatang_121"/>
      <sheetName val="Kangatang_122"/>
      <sheetName val="Kangatang_123"/>
      <sheetName val="Kangatang_124"/>
      <sheetName val="Kangatang_125"/>
      <sheetName val="Kangatang_126"/>
      <sheetName val="Kangatang_127"/>
      <sheetName val="Kangatang_128"/>
      <sheetName val="Kangatang_129"/>
      <sheetName val="Kangatang_130"/>
      <sheetName val="Kangatang_131"/>
      <sheetName val="Kangatang_132"/>
      <sheetName val="Kangatang_133"/>
      <sheetName val="Kangatang_134"/>
      <sheetName val="Kangatang_135"/>
      <sheetName val="Kangatang_136"/>
      <sheetName val="Kangatang_137"/>
      <sheetName val="Kangatang_138"/>
      <sheetName val="Kangatang_139"/>
      <sheetName val="Kangatang_140"/>
      <sheetName val="Kangatang_141"/>
      <sheetName val="Kangatang_142"/>
      <sheetName val="Kangatang_143"/>
      <sheetName val="Kangatang_144"/>
      <sheetName val="Kangatang_145"/>
      <sheetName val="Kangatang_146"/>
      <sheetName val="Kangatang_147"/>
      <sheetName val="Kangatang_148"/>
      <sheetName val="Kangatang_149"/>
      <sheetName val="Kangatang_150"/>
      <sheetName val="Kangatang_151"/>
      <sheetName val="Kangatang_152"/>
      <sheetName val="Kangatang_153"/>
      <sheetName val="Kangatang_154"/>
      <sheetName val="Kangatang_155"/>
      <sheetName val="Kangatang_156"/>
      <sheetName val="Kangatang_157"/>
      <sheetName val="Kangatang_158"/>
      <sheetName val="Kangatang_159"/>
      <sheetName val="Kangatang_160"/>
      <sheetName val="Kangatang_161"/>
      <sheetName val="Kangatang_162"/>
      <sheetName val="Kangatang_163"/>
      <sheetName val="Kangatang_164"/>
      <sheetName val="Kangatang_165"/>
      <sheetName val="Kangatang_166"/>
      <sheetName val="Kangatang_167"/>
      <sheetName val="Kangatang_168"/>
      <sheetName val="Kangatang_169"/>
      <sheetName val="Kangatang_170"/>
      <sheetName val="Kangatang_171"/>
      <sheetName val="Kangatang_172"/>
      <sheetName val="Kangatang_173"/>
      <sheetName val="Kangatang_174"/>
      <sheetName val="Kangatang_175"/>
      <sheetName val="Kangatang_176"/>
      <sheetName val="Kangatang_177"/>
      <sheetName val="Kangatang_178"/>
      <sheetName val="Kangatang_179"/>
      <sheetName val="Kangatang_180"/>
      <sheetName val="Kangatang_181"/>
      <sheetName val="Kangatang_182"/>
      <sheetName val="Kangatang_183"/>
      <sheetName val="Kangatang_184"/>
      <sheetName val="Kangatang_185"/>
      <sheetName val="Kangatang_186"/>
      <sheetName val="Kangatang_187"/>
      <sheetName val="Kangatang_188"/>
      <sheetName val="Kangatang_189"/>
      <sheetName val="Kangatang_190"/>
      <sheetName val="Kangatang_191"/>
      <sheetName val="Kangatang_192"/>
      <sheetName val="Kangatang_193"/>
      <sheetName val="Kangatang_194"/>
      <sheetName val="Kangatang_195"/>
      <sheetName val="Kangatang_196"/>
      <sheetName val="Kangatang_197"/>
      <sheetName val="Kangatang_198"/>
      <sheetName val="Kangatang_200"/>
      <sheetName val="Kangatang_201"/>
      <sheetName val="Kangatang_202"/>
      <sheetName val="Kangatang_203"/>
      <sheetName val="Kangatang_204"/>
      <sheetName val="Kangatang_206"/>
      <sheetName val="Kangatang_207"/>
      <sheetName val="Kangatang_209"/>
      <sheetName val="Kangatang_210"/>
      <sheetName val="Kangatang_211"/>
      <sheetName val="Kangatang_212"/>
      <sheetName val="Kangatang_213"/>
      <sheetName val="Kangatang_214"/>
      <sheetName val="Kangatang_215"/>
      <sheetName val="Kangatang_216"/>
      <sheetName val="Kangatang_217"/>
      <sheetName val="Kangatang_218"/>
      <sheetName val="Kangatang_219"/>
      <sheetName val="Kangatang_220"/>
      <sheetName val="Kangatang_221"/>
      <sheetName val="Kangatang_222"/>
      <sheetName val="Kangatang_223"/>
      <sheetName val="Kangatang_224"/>
      <sheetName val="Kangatang_225"/>
      <sheetName val="Kangatang_226"/>
      <sheetName val="Kangatang_227"/>
      <sheetName val="Kangatang_229"/>
      <sheetName val="Kangatang_232"/>
      <sheetName val="Kangatang_233"/>
      <sheetName val="Kangatang_235"/>
      <sheetName val="Kangatang_236"/>
      <sheetName val="Kangatang_237"/>
      <sheetName val="Kangatang_238"/>
      <sheetName val="Kangatang_199"/>
      <sheetName val="Kangatang_205"/>
      <sheetName val="Kangatang_208"/>
      <sheetName val="Kangatang_228"/>
      <sheetName val="Kangatang_230"/>
      <sheetName val="Kangatang_231"/>
      <sheetName val="Kangatang_234"/>
      <sheetName val="Kangatang_239"/>
      <sheetName val="Kangatang_240"/>
      <sheetName val="Kangatang_241"/>
      <sheetName val="Kangatang_242"/>
      <sheetName val="Kangatang_243"/>
      <sheetName val="Kangatang_244"/>
      <sheetName val="Kangatang_245"/>
      <sheetName val="Kangatang_246"/>
      <sheetName val="Kangatang_247"/>
      <sheetName val="Kangatang_248"/>
      <sheetName val="Kangatang_249"/>
      <sheetName val="Kangatang_250"/>
      <sheetName val="Kangatang_251"/>
      <sheetName val="Kangatang_252"/>
      <sheetName val="Kangatang_253"/>
      <sheetName val="Kangatang_254"/>
      <sheetName val="Kangatang_255"/>
      <sheetName val="Kangatang_256"/>
      <sheetName val="Kangatang_257"/>
      <sheetName val="Kangatang_258"/>
      <sheetName val="Kangatang_259"/>
      <sheetName val="Kangatang_260"/>
      <sheetName val="Kangatang_261"/>
      <sheetName val="Kangatang_262"/>
      <sheetName val="Kangatang_263"/>
      <sheetName val="Kangatang_264"/>
      <sheetName val="Kangatang_265"/>
      <sheetName val="Kangatang_266"/>
      <sheetName val="Kangatang_267"/>
      <sheetName val="Kangatang_268"/>
      <sheetName val="Kangatang_269"/>
      <sheetName val="Kangatang_270"/>
      <sheetName val="Kangatang_271"/>
      <sheetName val="Kangatang_272"/>
      <sheetName val="Kangatang_273"/>
      <sheetName val="Kangatang_274"/>
      <sheetName val="Kangatang_275"/>
      <sheetName val="Kangatang_276"/>
      <sheetName val="Kangatang_277"/>
      <sheetName val="Kangatang_278"/>
      <sheetName val="Kangatang_279"/>
      <sheetName val="Kangatang_280"/>
      <sheetName val="Kangatang_281"/>
      <sheetName val="Kangatang_282"/>
      <sheetName val="Kangatang_283"/>
      <sheetName val="Kangatang_284"/>
      <sheetName val="Kangatang_285"/>
      <sheetName val="Kangatang_286"/>
      <sheetName val="Kangatang_287"/>
      <sheetName val="Kangatang_288"/>
      <sheetName val="Kangatang_289"/>
      <sheetName val="Kangatang_290"/>
      <sheetName val="Kangatang_291"/>
      <sheetName val="Kangatang_292"/>
      <sheetName val="Kangatang_293"/>
      <sheetName val="Kangatang_294"/>
      <sheetName val="Kangatang_295"/>
      <sheetName val="Kangatang_296"/>
      <sheetName val="Kangatang_297"/>
      <sheetName val="Kangatang_298"/>
      <sheetName val="Kangatang_299"/>
      <sheetName val="Kangatang_300"/>
      <sheetName val="Kangatang_301"/>
      <sheetName val="Kangatang_302"/>
      <sheetName val="Kangatang_303"/>
      <sheetName val="Kangatang_304"/>
      <sheetName val="Kangatang_305"/>
      <sheetName val="Kangatang_306"/>
      <sheetName val="Kangatang_307"/>
      <sheetName val="Kangatang_308"/>
      <sheetName val="Kangatang_309"/>
      <sheetName val="Kangatang_310"/>
      <sheetName val="Kangatang_311"/>
      <sheetName val="Kangatang_312"/>
      <sheetName val="Kangatang_313"/>
      <sheetName val="Kangatang_314"/>
      <sheetName val="Kangatang_315"/>
      <sheetName val="Kangatang_316"/>
      <sheetName val="Kangatang_317"/>
      <sheetName val="Kangatang_318"/>
      <sheetName val="Kangatang_319"/>
      <sheetName val="Kangatang_320"/>
      <sheetName val="Kangatang_321"/>
      <sheetName val="Kangatang_322"/>
      <sheetName val="Kangatang_323"/>
      <sheetName val="Kangatang_324"/>
      <sheetName val="Kangatang_325"/>
      <sheetName val="Kangatang_326"/>
      <sheetName val="Kangatang_327"/>
      <sheetName val="Kangatang_328"/>
      <sheetName val="Kangatang_329"/>
      <sheetName val="Kangatang_330"/>
      <sheetName val="Kangatang_331"/>
      <sheetName val="Kangatang_332"/>
      <sheetName val="Kangatang_333"/>
      <sheetName val="Kangatang_334"/>
      <sheetName val="Kangatang_335"/>
      <sheetName val="Kangatang_336"/>
      <sheetName val="Kangatang_337"/>
      <sheetName val="Kangatang_338"/>
      <sheetName val="Kangatang_339"/>
      <sheetName val="Kangatang_340"/>
      <sheetName val="Kangatang_341"/>
      <sheetName val="Kangatang_342"/>
      <sheetName val="Kangatang_343"/>
      <sheetName val="Kangatang_344"/>
      <sheetName val="Kangatang_345"/>
      <sheetName val="Kangatang_346"/>
      <sheetName val="Kangatang_347"/>
      <sheetName val="Kangatang_348"/>
      <sheetName val="Kangatang_349"/>
      <sheetName val="Kangatang_350"/>
      <sheetName val="Kangatang_351"/>
      <sheetName val="Kangatang_352"/>
      <sheetName val="Kangatang_353"/>
      <sheetName val="Kangatang_354"/>
      <sheetName val="Kangatang_355"/>
      <sheetName val="Kangatang_356"/>
      <sheetName val="Kangatang_357"/>
      <sheetName val="Kangatang_358"/>
      <sheetName val="Kangatang_359"/>
      <sheetName val="Kangatang_360"/>
      <sheetName val="Kangatang_361"/>
      <sheetName val="Kangatang_362"/>
      <sheetName val="Kangatang_363"/>
      <sheetName val="Kangatang_364"/>
      <sheetName val="Kangatang_365"/>
      <sheetName val="Kangatang_366"/>
      <sheetName val="Kangatang_367"/>
      <sheetName val="Kangatang_368"/>
      <sheetName val="Kangatang_369"/>
      <sheetName val="Kangatang_370"/>
      <sheetName val="Kangatang_371"/>
      <sheetName val="Kangatang_372"/>
      <sheetName val="Kangatang_373"/>
      <sheetName val="Kangatang_374"/>
      <sheetName val="Kangatang_375"/>
      <sheetName val="Kangatang_376"/>
      <sheetName val="Kangatang_377"/>
      <sheetName val="Kangatang_378"/>
      <sheetName val="Kangatang_379"/>
      <sheetName val="Kangatang_380"/>
      <sheetName val="Kangatang_381"/>
      <sheetName val="Kangatang_382"/>
      <sheetName val="Kangatang_383"/>
      <sheetName val="Kangatang_384"/>
      <sheetName val="Kangatang_385"/>
      <sheetName val="Kangatang_386"/>
      <sheetName val="Kangatang_387"/>
      <sheetName val="Kangatang_388"/>
      <sheetName val="Kangatang_389"/>
      <sheetName val="Kangatang_390"/>
      <sheetName val="Kangatang_391"/>
      <sheetName val="Kangatang_392"/>
      <sheetName val="Kangatang_393"/>
      <sheetName val="Kangatang_394"/>
      <sheetName val="Kangatang_395"/>
      <sheetName val="Kangatang_396"/>
      <sheetName val="Kangatang_397"/>
      <sheetName val="Kangatang_398"/>
      <sheetName val="Kangatang_399"/>
      <sheetName val="Kangatang_400"/>
      <sheetName val="Kangatang_401"/>
      <sheetName val="Kangatang_402"/>
      <sheetName val="Kangatang_403"/>
      <sheetName val="Kangatang_404"/>
      <sheetName val="Kangatang_405"/>
      <sheetName val="Kangatang_406"/>
      <sheetName val="Kangatang_407"/>
      <sheetName val="Kangatang_408"/>
      <sheetName val="Kangatang_409"/>
      <sheetName val="Kangatang_410"/>
      <sheetName val="Kangatang_411"/>
      <sheetName val="Kangatang_412"/>
      <sheetName val="Kangatang_413"/>
      <sheetName val="Kangatang_414"/>
      <sheetName val="Kangatang_415"/>
      <sheetName val="Kangatang_416"/>
      <sheetName val="Kangatang_417"/>
      <sheetName val="Kangatang_418"/>
      <sheetName val="Kangatang_419"/>
      <sheetName val="Kangatang_420"/>
      <sheetName val="Kangatang_421"/>
      <sheetName val="Kangatang_422"/>
      <sheetName val="Kangatang_423"/>
      <sheetName val="Kangatang_424"/>
      <sheetName val="Kangatang_425"/>
      <sheetName val="Kangatang_426"/>
      <sheetName val="Kangatang_427"/>
      <sheetName val="Kangatang_428"/>
      <sheetName val="Kangatang_429"/>
      <sheetName val="Kangatang_430"/>
      <sheetName val="Kangatang_431"/>
      <sheetName val="Kangatang_432"/>
      <sheetName val="Kangatang_433"/>
      <sheetName val="Kangatang_434"/>
      <sheetName val="Kangatang_435"/>
      <sheetName val="Kangatang_436"/>
      <sheetName val="Kangatang_437"/>
      <sheetName val="Kangatang_438"/>
      <sheetName val="Kangatang_439"/>
      <sheetName val="Kangatang_440"/>
      <sheetName val="Kangatang_441"/>
      <sheetName val="Kangatang_442"/>
      <sheetName val="Kangatang_443"/>
      <sheetName val="Kangatang_444"/>
      <sheetName val="Kangatang_445"/>
      <sheetName val="Kangatang_446"/>
      <sheetName val="Kangatang_447"/>
      <sheetName val="Kangatang_448"/>
      <sheetName val="Kangatang_449"/>
      <sheetName val="Kangatang_450"/>
      <sheetName val="Kangatang_451"/>
      <sheetName val="Kangatang_452"/>
      <sheetName val="Kangatang_453"/>
      <sheetName val="Kangatang_454"/>
      <sheetName val="Kangatang_455"/>
      <sheetName val="Kangatang_456"/>
      <sheetName val="Kangatang_457"/>
      <sheetName val="Kangatang_458"/>
      <sheetName val="Kangatang_459"/>
      <sheetName val="Kangatang_460"/>
      <sheetName val="Kangatang_461"/>
      <sheetName val="Kangatang_462"/>
      <sheetName val="Kangatang_463"/>
      <sheetName val="Kangatang_464"/>
      <sheetName val="Kangatang_465"/>
      <sheetName val="Kangatang_466"/>
      <sheetName val="Kangatang_467"/>
      <sheetName val="Kangatang_468"/>
      <sheetName val="Kangatang_469"/>
      <sheetName val="Kangatang_470"/>
      <sheetName val="Kangatang_471"/>
      <sheetName val="Kangatang_472"/>
      <sheetName val="Kangatang_473"/>
      <sheetName val="Kangatang_474"/>
      <sheetName val="Kangatang_475"/>
      <sheetName val="Kangatang_476"/>
      <sheetName val="Kangatang_477"/>
      <sheetName val="Kangatang_478"/>
      <sheetName val="Kangatang_479"/>
      <sheetName val="Kangatang_480"/>
      <sheetName val="Kangatang_481"/>
      <sheetName val="Kangatang_482"/>
      <sheetName val="Kangatang_483"/>
      <sheetName val="Kangatang_484"/>
      <sheetName val="Kangatang_485"/>
      <sheetName val="Kangatang_486"/>
      <sheetName val="Kangatang_487"/>
      <sheetName val="Kangatang_488"/>
      <sheetName val="Kangatang_489"/>
      <sheetName val="Kangatang_490"/>
      <sheetName val="Kangatang_491"/>
      <sheetName val="Kangatang_492"/>
      <sheetName val="Kangatang_493"/>
      <sheetName val="Kangatang_494"/>
      <sheetName val="Kangatang_495"/>
      <sheetName val="Kangatang_496"/>
      <sheetName val="Kangatang_497"/>
      <sheetName val="Kangatang_498"/>
      <sheetName val="Kangatang_499"/>
      <sheetName val="Kangatang_500"/>
      <sheetName val="Kangatang_501"/>
      <sheetName val="Kangatang_502"/>
      <sheetName val="Kangatang_503"/>
      <sheetName val="Kangatang_504"/>
      <sheetName val="Kangatang_505"/>
      <sheetName val="Kangatang_506"/>
      <sheetName val="Kangatang_507"/>
      <sheetName val="Kangatang_508"/>
      <sheetName val="Kangatang_509"/>
      <sheetName val="Kangatang_510"/>
      <sheetName val="Kangatang_511"/>
      <sheetName val="Kangatang_512"/>
      <sheetName val="Kangatang_513"/>
      <sheetName val="Kangatang_514"/>
      <sheetName val="Kangatang_515"/>
      <sheetName val="Kangatang_516"/>
      <sheetName val="Kangatang_517"/>
      <sheetName val="thu noi dia(BTC)"/>
      <sheetName val="SoSanhThucHienThu (2)"/>
      <sheetName val="mau 59 CD quy "/>
      <sheetName val="mau 60 Thu quy"/>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66 QT chi NS tinh"/>
      <sheetName val="mau 61 Chi quy"/>
      <sheetName val="thu noi dia(HĐND)(btc)"/>
      <sheetName val="thu noi dia(HĐND)"/>
      <sheetName val="ve bieu do cung ky thang truoc"/>
      <sheetName val="Thu 2023"/>
      <sheetName val="Thu 31-10-2023"/>
      <sheetName val="0105-TH chi"/>
      <sheetName val="B5-01 (NST)"/>
      <sheetName val="B5-01(NSH)"/>
      <sheetName val="B5-01 (xa)"/>
      <sheetName val="B5-03 (tinh)"/>
      <sheetName val="B5-03 (huyen)"/>
      <sheetName val="B5-03(xa)"/>
      <sheetName val="CT MTQG"/>
      <sheetName val="Chi"/>
      <sheetName val="Chi (HĐND)"/>
      <sheetName val="Chi 2023"/>
      <sheetName val="Chi 31-10-2023"/>
      <sheetName val="thu"/>
      <sheetName val="Bao cao (Qmoi)"/>
      <sheetName val="Bao cao (1)"/>
      <sheetName val="Phan tich"/>
      <sheetName val="Bao cao"/>
      <sheetName val="Thu huyen 31-10-2022"/>
      <sheetName val="Chi (HĐND) (ko ke chuyen nguon)"/>
      <sheetName val="Chi (A-B-C)"/>
      <sheetName val="Chi (A-B-C) ko ke chi DTPT khac"/>
      <sheetName val="Chi huyen 31-3-2022"/>
      <sheetName val="ve bieu do nam (huyen NSN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row r="19">
          <cell r="K19">
            <v>3443999.4658399997</v>
          </cell>
        </row>
        <row r="20">
          <cell r="K20">
            <v>1595148.0740189999</v>
          </cell>
        </row>
      </sheetData>
      <sheetData sheetId="559"/>
      <sheetData sheetId="560"/>
      <sheetData sheetId="561"/>
      <sheetData sheetId="562"/>
      <sheetData sheetId="563"/>
      <sheetData sheetId="564"/>
      <sheetData sheetId="565"/>
      <sheetData sheetId="566"/>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2"/>
      <sheetName val="Vay-Trả nợ 2023-Biểu số 1"/>
      <sheetName val="KH vay và trả nợ 2023-2025"/>
      <sheetName val="KTXH 2023-2025"/>
      <sheetName val="KTXH 2021-2025"/>
      <sheetName val="Quỹ TC ngoài NS 2022-2023"/>
      <sheetName val="Định hướng CĐNSĐP 2023 của TW"/>
      <sheetName val="Nguồn CĐCS chuyển sang 2022"/>
      <sheetName val="KHTC 2021-2025"/>
      <sheetName val="Nhu cầu TLCS năm 2023"/>
      <sheetName val="Can doi 2022-2023"/>
      <sheetName val="SS TW với ĐP 2023"/>
      <sheetName val="So sánh Định mức 2022-2017"/>
      <sheetName val="Xác định lại dự toán 2022-ĐP"/>
      <sheetName val="Xác định lại dự toán 2022-TW"/>
      <sheetName val="Thu NSNN 2015-2025 (2)"/>
      <sheetName val="Định mức chi TX 2022"/>
      <sheetName val="Thu NSNN 2022-2023"/>
      <sheetName val="Thu NSNN 2010-2025"/>
      <sheetName val="Chi NSĐP 2010-2025"/>
      <sheetName val="CĐ NSĐP 2022-2025"/>
      <sheetName val="Thu NSNN 2022-2025"/>
      <sheetName val="Chi NSDP 2022-2025"/>
      <sheetName val="Can doi NSDP 2022-2025"/>
      <sheetName val="Phụ lục số 1"/>
      <sheetName val="Phụ lục số 2"/>
      <sheetName val="Phụ lục số 3-thu bs"/>
      <sheetName val="Phụ lục số 3"/>
      <sheetName val="Phụ lục số 4"/>
      <sheetName val="Phụ lục số 5"/>
      <sheetName val="Phụ lục số 6"/>
      <sheetName val="Phụ lục số 7"/>
      <sheetName val="Phụ lục số 8"/>
      <sheetName val="Bố trí"/>
      <sheetName val="Thu NSH"/>
      <sheetName val="Chi NSH"/>
      <sheetName val="10%TK năm 2023"/>
      <sheetName val="Cân đối NSH 2023"/>
      <sheetName val="CCTL nam 2022- 2023"/>
      <sheetName val="XSKT 2022-2023"/>
      <sheetName val="Miễn giảm học phí"/>
      <sheetName val="Chính sách 2022-2023-Biểu số 2"/>
      <sheetName val="Chính sách chế độ 2022-2023"/>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Biểu số 33-CK-NSNN"/>
      <sheetName val="Biểu số 34-CK-NSNN"/>
      <sheetName val="Biểu số 35-CK-NSNN"/>
      <sheetName val="Biểu số 36-CK-NSNN"/>
      <sheetName val="Biểu số 37-CK-NSNN"/>
      <sheetName val="Biểu số 38-CK-NSNN"/>
      <sheetName val="Biểu số 40-CK-NSNN"/>
      <sheetName val="Biếu số 41-CK-NSNN"/>
      <sheetName val="Biếu số 42-CK-NSNN"/>
      <sheetName val="Biếu số 43-CK-NSNN"/>
      <sheetName val="Biếu số 44-CK-NSNN"/>
      <sheetName val="Phụ lục số 1-KQPB"/>
      <sheetName val="Phụ lục số 2- KQPB"/>
      <sheetName val="Phụ lục số 3- KQPB"/>
      <sheetName val="Phụ lục số 4-KQPB"/>
      <sheetName val="Phụ lục số 5-KQPB"/>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ếu bổ su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37">
          <cell r="N37">
            <v>600000</v>
          </cell>
        </row>
        <row r="38">
          <cell r="N38">
            <v>1500000</v>
          </cell>
        </row>
        <row r="39">
          <cell r="N39">
            <v>160000</v>
          </cell>
          <cell r="P39">
            <v>82000</v>
          </cell>
        </row>
        <row r="41">
          <cell r="N41">
            <v>115000</v>
          </cell>
        </row>
        <row r="43">
          <cell r="N43">
            <v>250000</v>
          </cell>
          <cell r="P43">
            <v>54000</v>
          </cell>
        </row>
        <row r="44">
          <cell r="N44">
            <v>22000</v>
          </cell>
        </row>
        <row r="45">
          <cell r="N45">
            <v>50000</v>
          </cell>
        </row>
        <row r="47">
          <cell r="N47">
            <v>3000</v>
          </cell>
        </row>
        <row r="48">
          <cell r="N48">
            <v>1600000</v>
          </cell>
        </row>
        <row r="50">
          <cell r="N50">
            <v>39500</v>
          </cell>
        </row>
        <row r="51">
          <cell r="N51">
            <v>110500</v>
          </cell>
        </row>
        <row r="53">
          <cell r="N53">
            <v>6487488</v>
          </cell>
        </row>
        <row r="55">
          <cell r="N55">
            <v>2417971</v>
          </cell>
        </row>
        <row r="56">
          <cell r="N56">
            <v>179036</v>
          </cell>
        </row>
        <row r="57">
          <cell r="N57">
            <v>0</v>
          </cell>
        </row>
        <row r="58">
          <cell r="N58">
            <v>31500</v>
          </cell>
        </row>
      </sheetData>
      <sheetData sheetId="26">
        <row r="10">
          <cell r="N10">
            <v>540000</v>
          </cell>
          <cell r="O10">
            <v>521000</v>
          </cell>
        </row>
        <row r="11">
          <cell r="N11">
            <v>100000</v>
          </cell>
          <cell r="O11">
            <v>800000</v>
          </cell>
        </row>
        <row r="12">
          <cell r="N12">
            <v>1600000</v>
          </cell>
        </row>
        <row r="13">
          <cell r="N13">
            <v>0</v>
          </cell>
        </row>
        <row r="15">
          <cell r="N15">
            <v>540000</v>
          </cell>
          <cell r="O15">
            <v>1253642</v>
          </cell>
        </row>
        <row r="16">
          <cell r="N16">
            <v>62000</v>
          </cell>
          <cell r="O16">
            <v>74670</v>
          </cell>
        </row>
        <row r="18">
          <cell r="N18">
            <v>31000</v>
          </cell>
        </row>
        <row r="19">
          <cell r="N19">
            <v>1017035</v>
          </cell>
          <cell r="O19">
            <v>3162710</v>
          </cell>
        </row>
        <row r="20">
          <cell r="N20">
            <v>750000</v>
          </cell>
        </row>
        <row r="21">
          <cell r="N21">
            <v>40000</v>
          </cell>
          <cell r="O21">
            <v>38978</v>
          </cell>
        </row>
        <row r="22">
          <cell r="N22">
            <v>14000</v>
          </cell>
          <cell r="O22">
            <v>28757</v>
          </cell>
        </row>
        <row r="23">
          <cell r="N23">
            <v>24000</v>
          </cell>
          <cell r="O23">
            <v>14378</v>
          </cell>
        </row>
        <row r="24">
          <cell r="N24">
            <v>75000</v>
          </cell>
          <cell r="O24">
            <v>464140</v>
          </cell>
        </row>
        <row r="25">
          <cell r="N25">
            <v>455000</v>
          </cell>
          <cell r="O25">
            <v>933540</v>
          </cell>
        </row>
        <row r="26">
          <cell r="N26">
            <v>140000</v>
          </cell>
          <cell r="O26">
            <v>186504</v>
          </cell>
        </row>
        <row r="27">
          <cell r="N27">
            <v>20000</v>
          </cell>
          <cell r="O27">
            <v>28511</v>
          </cell>
        </row>
        <row r="28">
          <cell r="N28">
            <v>2000</v>
          </cell>
        </row>
        <row r="29">
          <cell r="N29">
            <v>135382</v>
          </cell>
          <cell r="O29">
            <v>139241</v>
          </cell>
        </row>
        <row r="31">
          <cell r="N31">
            <v>0</v>
          </cell>
        </row>
        <row r="33">
          <cell r="N33">
            <v>2417971</v>
          </cell>
        </row>
        <row r="34">
          <cell r="N34">
            <v>179036</v>
          </cell>
        </row>
        <row r="35">
          <cell r="N35">
            <v>31500</v>
          </cell>
        </row>
      </sheetData>
      <sheetData sheetId="27"/>
      <sheetData sheetId="28"/>
      <sheetData sheetId="29"/>
      <sheetData sheetId="30">
        <row r="8">
          <cell r="C8">
            <v>651170</v>
          </cell>
        </row>
        <row r="9">
          <cell r="C9">
            <v>524980</v>
          </cell>
        </row>
        <row r="10">
          <cell r="C10">
            <v>85120</v>
          </cell>
        </row>
        <row r="11">
          <cell r="C11">
            <v>3730</v>
          </cell>
        </row>
        <row r="12">
          <cell r="C12">
            <v>0</v>
          </cell>
        </row>
        <row r="13">
          <cell r="C13">
            <v>309500</v>
          </cell>
        </row>
        <row r="14">
          <cell r="C14">
            <v>295000</v>
          </cell>
        </row>
        <row r="16">
          <cell r="C16">
            <v>10000</v>
          </cell>
        </row>
        <row r="20">
          <cell r="C20">
            <v>59200</v>
          </cell>
        </row>
        <row r="23">
          <cell r="C23">
            <v>115000</v>
          </cell>
        </row>
        <row r="30">
          <cell r="C30">
            <v>129500</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2"/>
      <sheetName val="Vay-Trả nợ 2023-Biểu số 1"/>
      <sheetName val="KH vay và trả nợ 2023-2025"/>
      <sheetName val="KTXH 2023-2025"/>
      <sheetName val="KTXH 2021-2025"/>
      <sheetName val="Quỹ TC ngoài NS 2022-2023"/>
      <sheetName val="Định hướng CĐNSĐP 2023 của TW"/>
      <sheetName val="Nguồn CĐCS chuyển sang 2022"/>
      <sheetName val="KHTC 2021-2025"/>
      <sheetName val="Nhu cầu TLCS năm 2023"/>
      <sheetName val="10%TK tăng thêm so với năm 2022"/>
      <sheetName val="Can doi 2022-2023"/>
      <sheetName val="SS TW với ĐP 2023"/>
      <sheetName val="Chi NSĐP 2010-2025"/>
      <sheetName val="Thu NSNN 2010-2025"/>
      <sheetName val="Thu NSNN 2022-2023"/>
      <sheetName val="CĐ NSĐP 2021-2025"/>
      <sheetName val="So sánh Định mức 2022-2017"/>
      <sheetName val="Xác định lại dự toán 2022-ĐP"/>
      <sheetName val="Xác định lại dự toán 2022-TW"/>
      <sheetName val="Thu NSNN 2015-2025 (2)"/>
      <sheetName val="Bố trí"/>
      <sheetName val="Định mức chi TX 2022"/>
      <sheetName val="Phụ lục số 1"/>
      <sheetName val="Phụ lục số 2"/>
      <sheetName val="Phụ lục số 3-thu bs"/>
      <sheetName val="Phụ lục số 3"/>
      <sheetName val="Phụ lục số 4"/>
      <sheetName val="Phụ lục số 5"/>
      <sheetName val="Phụ lục số 6"/>
      <sheetName val="Phụ lục số 7"/>
      <sheetName val="Phụ lục số 8"/>
      <sheetName val="Thu NSH"/>
      <sheetName val="Chi NSH"/>
      <sheetName val="CCTL nam 2022- 2023"/>
      <sheetName val="XSKT 2022-2023"/>
      <sheetName val="Miễn giảm học phí"/>
      <sheetName val="Chính sách 2022-2023-Biểu số 2"/>
      <sheetName val="Chính sách chế độ 2022-2023"/>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Phụ lục số 1-KQPB"/>
      <sheetName val="Phụ lục số 2- KQPB"/>
      <sheetName val="Phụ lục số 3- KQPB"/>
      <sheetName val="Phụ lục số 4-KQPB"/>
      <sheetName val="Phụ lục số 5-KQPB"/>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ểu số 33-CK-NSNN"/>
      <sheetName val="Biểu số 34-CK-NSNN"/>
      <sheetName val="Biểu số 35-CK-NSNN"/>
      <sheetName val="Biểu số 36-CK-NSNN"/>
      <sheetName val="Biểu số 37-CK-NSNN"/>
      <sheetName val="Biểu số 38-CK-NSNN"/>
      <sheetName val="Biểu số 40-CK-NSNN"/>
      <sheetName val="Biếu số 41-CK-NSNN"/>
      <sheetName val="Biếu số 42-CK-NSNN"/>
      <sheetName val="Biếu số 43-CK-NSNN"/>
      <sheetName val="Biếu số 44-CK-NSNN"/>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Biếu bổ su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8">
          <cell r="F8">
            <v>3489997</v>
          </cell>
        </row>
        <row r="46">
          <cell r="G46">
            <v>0</v>
          </cell>
        </row>
        <row r="48">
          <cell r="S48">
            <v>0</v>
          </cell>
          <cell r="V48">
            <v>0</v>
          </cell>
        </row>
        <row r="58">
          <cell r="G58">
            <v>0</v>
          </cell>
        </row>
        <row r="59">
          <cell r="G59">
            <v>0</v>
          </cell>
        </row>
      </sheetData>
      <sheetData sheetId="25">
        <row r="10">
          <cell r="D10">
            <v>530934</v>
          </cell>
        </row>
        <row r="12">
          <cell r="O12">
            <v>0</v>
          </cell>
        </row>
        <row r="13">
          <cell r="O13">
            <v>0</v>
          </cell>
        </row>
        <row r="18">
          <cell r="E18">
            <v>0</v>
          </cell>
          <cell r="J18">
            <v>0</v>
          </cell>
          <cell r="O18">
            <v>0</v>
          </cell>
          <cell r="T18">
            <v>0</v>
          </cell>
          <cell r="Y18">
            <v>0</v>
          </cell>
        </row>
        <row r="28">
          <cell r="E28">
            <v>0</v>
          </cell>
          <cell r="N28">
            <v>2000</v>
          </cell>
          <cell r="O28">
            <v>0</v>
          </cell>
        </row>
        <row r="30">
          <cell r="E30">
            <v>0</v>
          </cell>
        </row>
        <row r="31">
          <cell r="E31">
            <v>0</v>
          </cell>
          <cell r="O31">
            <v>0</v>
          </cell>
        </row>
        <row r="35">
          <cell r="E35">
            <v>0</v>
          </cell>
          <cell r="J35">
            <v>0</v>
          </cell>
          <cell r="O35">
            <v>0</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eu 39"/>
      <sheetName val="Bieu 45"/>
      <sheetName val="Bieu 52"/>
      <sheetName val="Bieu 58"/>
      <sheetName val="danh sach CDT"/>
    </sheetNames>
    <sheetDataSet>
      <sheetData sheetId="0" refreshError="1"/>
      <sheetData sheetId="1" refreshError="1">
        <row r="14">
          <cell r="S14">
            <v>20000</v>
          </cell>
        </row>
        <row r="18">
          <cell r="S18">
            <v>50300</v>
          </cell>
        </row>
        <row r="25">
          <cell r="S25">
            <v>59800</v>
          </cell>
        </row>
        <row r="34">
          <cell r="S34">
            <v>11070</v>
          </cell>
        </row>
        <row r="38">
          <cell r="S38">
            <v>8000</v>
          </cell>
        </row>
        <row r="42">
          <cell r="S42">
            <v>2500</v>
          </cell>
        </row>
        <row r="47">
          <cell r="S47">
            <v>12980</v>
          </cell>
        </row>
        <row r="53">
          <cell r="S53">
            <v>31800</v>
          </cell>
        </row>
        <row r="57">
          <cell r="S57">
            <v>104000</v>
          </cell>
        </row>
        <row r="68">
          <cell r="S68">
            <v>42053</v>
          </cell>
        </row>
        <row r="76">
          <cell r="S76">
            <v>50508</v>
          </cell>
        </row>
        <row r="85">
          <cell r="S85">
            <v>33848</v>
          </cell>
        </row>
        <row r="94">
          <cell r="S94">
            <v>36000</v>
          </cell>
        </row>
        <row r="105">
          <cell r="S105">
            <v>72274</v>
          </cell>
        </row>
        <row r="119">
          <cell r="S119">
            <v>78949</v>
          </cell>
        </row>
        <row r="131">
          <cell r="S131">
            <v>12600</v>
          </cell>
        </row>
        <row r="137">
          <cell r="S137">
            <v>18500</v>
          </cell>
        </row>
        <row r="141">
          <cell r="S141">
            <v>139200</v>
          </cell>
        </row>
        <row r="148">
          <cell r="S148">
            <v>18000</v>
          </cell>
        </row>
        <row r="160">
          <cell r="S160">
            <v>74288</v>
          </cell>
        </row>
        <row r="173">
          <cell r="S173">
            <v>24000</v>
          </cell>
        </row>
        <row r="178">
          <cell r="S178">
            <v>56700</v>
          </cell>
        </row>
        <row r="182">
          <cell r="S182">
            <v>175219</v>
          </cell>
        </row>
        <row r="190">
          <cell r="S190">
            <v>34200</v>
          </cell>
        </row>
        <row r="198">
          <cell r="S198">
            <v>25000</v>
          </cell>
        </row>
        <row r="203">
          <cell r="S203">
            <v>3800</v>
          </cell>
        </row>
        <row r="207">
          <cell r="S207">
            <v>1100</v>
          </cell>
        </row>
        <row r="211">
          <cell r="S211">
            <v>7500</v>
          </cell>
        </row>
        <row r="218">
          <cell r="S218">
            <v>4200</v>
          </cell>
        </row>
        <row r="223">
          <cell r="S223">
            <v>4700</v>
          </cell>
        </row>
        <row r="229">
          <cell r="S229">
            <v>26500</v>
          </cell>
        </row>
        <row r="233">
          <cell r="S233">
            <v>5800</v>
          </cell>
        </row>
        <row r="237">
          <cell r="S237">
            <v>10000</v>
          </cell>
        </row>
        <row r="243">
          <cell r="S243">
            <v>16000</v>
          </cell>
        </row>
        <row r="248">
          <cell r="S248">
            <v>33000</v>
          </cell>
        </row>
        <row r="252">
          <cell r="S252">
            <v>7800</v>
          </cell>
        </row>
        <row r="257">
          <cell r="S257">
            <v>13050</v>
          </cell>
        </row>
        <row r="261">
          <cell r="S261">
            <v>146119</v>
          </cell>
        </row>
        <row r="267">
          <cell r="S267">
            <v>7500</v>
          </cell>
        </row>
        <row r="271">
          <cell r="S271">
            <v>10270</v>
          </cell>
        </row>
        <row r="277">
          <cell r="S277">
            <v>15000</v>
          </cell>
        </row>
        <row r="281">
          <cell r="S281">
            <v>157859</v>
          </cell>
        </row>
        <row r="289">
          <cell r="S289">
            <v>3786</v>
          </cell>
        </row>
        <row r="295">
          <cell r="S295">
            <v>20613</v>
          </cell>
        </row>
        <row r="305">
          <cell r="S305">
            <v>41979</v>
          </cell>
        </row>
        <row r="326">
          <cell r="S326">
            <v>35246</v>
          </cell>
        </row>
        <row r="338">
          <cell r="S338">
            <v>5116</v>
          </cell>
        </row>
        <row r="343">
          <cell r="S343">
            <v>7871</v>
          </cell>
        </row>
        <row r="352">
          <cell r="S352">
            <v>12804</v>
          </cell>
        </row>
        <row r="361">
          <cell r="S361">
            <v>290</v>
          </cell>
        </row>
        <row r="366">
          <cell r="S366">
            <v>359796</v>
          </cell>
        </row>
        <row r="370">
          <cell r="S370">
            <v>1368219</v>
          </cell>
        </row>
        <row r="381">
          <cell r="S381">
            <v>22620</v>
          </cell>
        </row>
        <row r="387">
          <cell r="S387">
            <v>9370</v>
          </cell>
        </row>
        <row r="392">
          <cell r="S392">
            <v>37064</v>
          </cell>
        </row>
        <row r="398">
          <cell r="S398">
            <v>21245</v>
          </cell>
        </row>
        <row r="404">
          <cell r="S404">
            <v>147000</v>
          </cell>
        </row>
        <row r="409">
          <cell r="S409">
            <v>46835</v>
          </cell>
        </row>
        <row r="414">
          <cell r="S414">
            <v>16000</v>
          </cell>
        </row>
        <row r="418">
          <cell r="S418">
            <v>8000</v>
          </cell>
        </row>
        <row r="423">
          <cell r="S423">
            <v>11300</v>
          </cell>
        </row>
        <row r="428">
          <cell r="S428">
            <v>33000</v>
          </cell>
        </row>
        <row r="432">
          <cell r="S432">
            <v>5330</v>
          </cell>
        </row>
        <row r="437">
          <cell r="S437">
            <v>2800</v>
          </cell>
        </row>
        <row r="441">
          <cell r="S441">
            <v>14000</v>
          </cell>
        </row>
        <row r="446">
          <cell r="S446">
            <v>25866</v>
          </cell>
        </row>
        <row r="453">
          <cell r="S453">
            <v>360276</v>
          </cell>
        </row>
        <row r="460">
          <cell r="S460">
            <v>148722</v>
          </cell>
        </row>
        <row r="464">
          <cell r="S464">
            <v>327313</v>
          </cell>
        </row>
        <row r="475">
          <cell r="S475">
            <v>17000</v>
          </cell>
        </row>
        <row r="480">
          <cell r="S480">
            <v>22000</v>
          </cell>
        </row>
        <row r="486">
          <cell r="S486">
            <v>25000</v>
          </cell>
        </row>
        <row r="491">
          <cell r="S491">
            <v>500</v>
          </cell>
        </row>
        <row r="494">
          <cell r="S494">
            <v>1000</v>
          </cell>
        </row>
        <row r="498">
          <cell r="S498">
            <v>4000</v>
          </cell>
        </row>
        <row r="502">
          <cell r="S502">
            <v>4000</v>
          </cell>
        </row>
        <row r="506">
          <cell r="S506">
            <v>2500</v>
          </cell>
        </row>
        <row r="510">
          <cell r="S510">
            <v>10000</v>
          </cell>
        </row>
        <row r="516">
          <cell r="S516">
            <v>5659</v>
          </cell>
        </row>
        <row r="520">
          <cell r="S520">
            <v>107570</v>
          </cell>
        </row>
        <row r="525">
          <cell r="S525">
            <v>1724000</v>
          </cell>
        </row>
      </sheetData>
      <sheetData sheetId="2" refreshError="1"/>
      <sheetData sheetId="3" refreshError="1"/>
      <sheetData sheetId="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guon"/>
      <sheetName val="nhucau"/>
    </sheetNames>
    <sheetDataSet>
      <sheetData sheetId="0">
        <row r="9">
          <cell r="G9">
            <v>80125.104112553876</v>
          </cell>
        </row>
        <row r="12">
          <cell r="G12">
            <v>50638</v>
          </cell>
          <cell r="H12">
            <v>116757</v>
          </cell>
        </row>
        <row r="13">
          <cell r="G13">
            <v>11410</v>
          </cell>
          <cell r="H13">
            <v>7458</v>
          </cell>
        </row>
        <row r="14">
          <cell r="G14">
            <v>8012.5104112553881</v>
          </cell>
        </row>
        <row r="16">
          <cell r="G16">
            <v>139861.53594632482</v>
          </cell>
        </row>
      </sheetData>
      <sheetData sheetId="1">
        <row r="8">
          <cell r="C8">
            <v>44893.213816765085</v>
          </cell>
          <cell r="D8">
            <v>89786.427633530169</v>
          </cell>
        </row>
        <row r="9">
          <cell r="C9">
            <v>262908.95271669782</v>
          </cell>
          <cell r="D9">
            <v>525817.90543339564</v>
          </cell>
        </row>
        <row r="11">
          <cell r="C11">
            <v>24363.919463087252</v>
          </cell>
          <cell r="D11">
            <v>48727.838926174503</v>
          </cell>
        </row>
        <row r="12">
          <cell r="C12">
            <v>71855.513935940631</v>
          </cell>
          <cell r="D12">
            <v>143711.02787188126</v>
          </cell>
        </row>
        <row r="14">
          <cell r="C14">
            <v>1650.3859060402665</v>
          </cell>
          <cell r="D14">
            <v>3300.771812080533</v>
          </cell>
        </row>
        <row r="17">
          <cell r="C17">
            <v>3608.6912751677883</v>
          </cell>
          <cell r="D17">
            <v>7217.3825503355765</v>
          </cell>
        </row>
        <row r="18">
          <cell r="C18">
            <v>0</v>
          </cell>
          <cell r="D18">
            <v>0</v>
          </cell>
        </row>
        <row r="20">
          <cell r="C20">
            <v>0</v>
          </cell>
          <cell r="D20">
            <v>0</v>
          </cell>
        </row>
        <row r="21">
          <cell r="C21">
            <v>6542.1372280904279</v>
          </cell>
          <cell r="D21">
            <v>13084.274456180856</v>
          </cell>
        </row>
        <row r="23">
          <cell r="C23">
            <v>780.82550335570522</v>
          </cell>
          <cell r="D23">
            <v>1561.6510067114104</v>
          </cell>
        </row>
        <row r="24">
          <cell r="C24">
            <v>0</v>
          </cell>
          <cell r="D24">
            <v>0</v>
          </cell>
        </row>
        <row r="26">
          <cell r="C26">
            <v>167.275167785235</v>
          </cell>
          <cell r="D26">
            <v>334.55033557047</v>
          </cell>
        </row>
        <row r="29">
          <cell r="C29">
            <v>13250.31543624161</v>
          </cell>
          <cell r="D29">
            <v>26500.63087248322</v>
          </cell>
        </row>
        <row r="32">
          <cell r="C32">
            <v>1016.2382550335569</v>
          </cell>
          <cell r="D32">
            <v>2032.4765100671138</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ụ lục số 4"/>
      <sheetName val="linh vuc"/>
      <sheetName val="chi tiet 2024"/>
      <sheetName val="chi tiet 2024 (2)"/>
      <sheetName val="Nguon CCTL"/>
      <sheetName val="DT tam ghi"/>
    </sheetNames>
    <sheetDataSet>
      <sheetData sheetId="0"/>
      <sheetData sheetId="1">
        <row r="17">
          <cell r="D17">
            <v>120913</v>
          </cell>
        </row>
        <row r="120">
          <cell r="J120">
            <v>50</v>
          </cell>
        </row>
        <row r="121">
          <cell r="F121">
            <v>710</v>
          </cell>
          <cell r="J121">
            <v>124</v>
          </cell>
        </row>
        <row r="123">
          <cell r="J123">
            <v>303</v>
          </cell>
        </row>
      </sheetData>
      <sheetData sheetId="2"/>
      <sheetData sheetId="3"/>
      <sheetData sheetId="4"/>
      <sheetData sheetId="5"/>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ụ lục số 4"/>
      <sheetName val="linh vuc"/>
      <sheetName val="chi tiet 2024"/>
      <sheetName val="chi tiet 2024 (2)"/>
      <sheetName val="Nguon CCTL"/>
      <sheetName val="DT tam ghi"/>
    </sheetNames>
    <sheetDataSet>
      <sheetData sheetId="0"/>
      <sheetData sheetId="1"/>
      <sheetData sheetId="2">
        <row r="15">
          <cell r="AC15">
            <v>34751</v>
          </cell>
          <cell r="AD15">
            <v>7231</v>
          </cell>
          <cell r="AF15">
            <v>1822</v>
          </cell>
        </row>
        <row r="60">
          <cell r="AC60">
            <v>7256</v>
          </cell>
          <cell r="AD60">
            <v>1510</v>
          </cell>
          <cell r="AF60">
            <v>1065</v>
          </cell>
        </row>
        <row r="67">
          <cell r="AC67">
            <v>1190</v>
          </cell>
          <cell r="AD67">
            <v>248</v>
          </cell>
          <cell r="AF67">
            <v>218</v>
          </cell>
        </row>
        <row r="76">
          <cell r="AC76">
            <v>430722</v>
          </cell>
          <cell r="AD76">
            <v>89613</v>
          </cell>
          <cell r="AF76">
            <v>89133</v>
          </cell>
        </row>
        <row r="125">
          <cell r="AC125">
            <v>151188</v>
          </cell>
          <cell r="AD125">
            <v>73228</v>
          </cell>
          <cell r="AF125">
            <v>52298.330999999998</v>
          </cell>
        </row>
        <row r="156">
          <cell r="AC156">
            <v>12662</v>
          </cell>
          <cell r="AD156">
            <v>2634</v>
          </cell>
          <cell r="AF156">
            <v>1604</v>
          </cell>
        </row>
        <row r="166">
          <cell r="AC166">
            <v>0</v>
          </cell>
          <cell r="AD166">
            <v>0</v>
          </cell>
          <cell r="AF166">
            <v>0</v>
          </cell>
        </row>
        <row r="179">
          <cell r="AC179">
            <v>0</v>
          </cell>
          <cell r="AD179">
            <v>0</v>
          </cell>
          <cell r="AF179">
            <v>0</v>
          </cell>
        </row>
        <row r="183">
          <cell r="AC183">
            <v>7329</v>
          </cell>
          <cell r="AD183">
            <v>1525</v>
          </cell>
          <cell r="AF183">
            <v>1363</v>
          </cell>
        </row>
        <row r="191">
          <cell r="AC191">
            <v>126766</v>
          </cell>
          <cell r="AD191">
            <v>26375</v>
          </cell>
          <cell r="AF191">
            <v>19697.8</v>
          </cell>
        </row>
      </sheetData>
      <sheetData sheetId="3"/>
      <sheetData sheetId="4"/>
      <sheetData sheetId="5"/>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 don vi de nghi"/>
      <sheetName val="TH DT gui STC"/>
      <sheetName val="SO SANH BB STC &amp; DT CUA VPTU"/>
      <sheetName val="BK PC phuc vu cap uy theo QD09"/>
      <sheetName val="01- Quy luong r"/>
      <sheetName val="02_Quy dinh 09 r"/>
      <sheetName val="03_BC vien R"/>
      <sheetName val="04_Cap uyR"/>
      <sheetName val="05_99 Dang r"/>
      <sheetName val="06_99 ngoai QD r"/>
      <sheetName val="7_thanh vien BVSK R"/>
      <sheetName val="8_khen thuong R"/>
      <sheetName val="8_1 cap huyen"/>
      <sheetName val="8_2 cap tinh"/>
      <sheetName val="09_ Chi thi 05 "/>
      <sheetName val="10_HD Cap uy"/>
      <sheetName val="11_DLXH R"/>
      <sheetName val="12.1 TH "/>
      <sheetName val="12.1_chi tiet Bao in "/>
      <sheetName val="12.2_chi tiet Bao dien tu"/>
      <sheetName val="12.4 nhuan but "/>
      <sheetName val="12.2 QC "/>
      <sheetName val="12.3 XB "/>
      <sheetName val="12.5 bo phangiantiep(khongin "/>
      <sheetName val="13_KP cham soc BVSK r"/>
      <sheetName val="14_Trien khai NQ"/>
      <sheetName val="15_Co yeu R"/>
      <sheetName val="16_Doan Khoi r"/>
      <sheetName val="17_KPBCD (TH) R"/>
      <sheetName val="17.1 KP thu lao BCD R"/>
      <sheetName val="17.2 KPHD BCD r"/>
      <sheetName val="18_MS sua chua"/>
      <sheetName val="18.1-chi tiet MSSC"/>
      <sheetName val="18.2_Thuyet minh MSSC"/>
      <sheetName val="19_KP dao tao (DUKCQ) r"/>
      <sheetName val="20_KP dao tao  (NQ 43)"/>
      <sheetName val="21_nghi viec KO IN"/>
      <sheetName val="Sheet2"/>
      <sheetName val="Sheet1"/>
      <sheetName val="18_LS (tham dinh)"/>
    </sheetNames>
    <sheetDataSet>
      <sheetData sheetId="0"/>
      <sheetData sheetId="1">
        <row r="9">
          <cell r="D9">
            <v>90581</v>
          </cell>
          <cell r="F9">
            <v>16095</v>
          </cell>
        </row>
        <row r="10">
          <cell r="D10">
            <v>9083</v>
          </cell>
          <cell r="F10">
            <v>3814</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2"/>
      <sheetName val="Vay-Trả nợ 2023-Biểu số 1"/>
      <sheetName val="KH vay và trả nợ 2023-2025"/>
      <sheetName val="KTXH 2023-2025"/>
      <sheetName val="KTXH 2021-2025"/>
      <sheetName val="Quỹ TC ngoài NS 2022-2023"/>
      <sheetName val="Định hướng CĐNSĐP 2023 của TW"/>
      <sheetName val="Nguồn CĐCS chuyển sang 2022"/>
      <sheetName val="KHTC 2021-2025"/>
      <sheetName val="Nhu cầu TLCS năm 2023"/>
      <sheetName val="Can doi 2022-2023"/>
      <sheetName val="SS TW với ĐP 2023"/>
      <sheetName val="So sánh Định mức 2022-2017"/>
      <sheetName val="Xác định lại dự toán 2022-ĐP"/>
      <sheetName val="Xác định lại dự toán 2022-TW"/>
      <sheetName val="Thu NSNN 2015-2025 (2)"/>
      <sheetName val="Định mức chi TX 2022"/>
      <sheetName val="Thu NSNN 2022-2023"/>
      <sheetName val="Thu NSNN 2010-2025 (1)"/>
      <sheetName val="Thu NSNN 2010-2025"/>
      <sheetName val="Thu NSNN 2010-2025 (2)"/>
      <sheetName val="Thu NSNN 2010-2025 (3)"/>
      <sheetName val="CĐ NSĐP 2022-2025"/>
      <sheetName val="Thu NSNN 2021-2030"/>
      <sheetName val="BB Thu 2018-2022"/>
      <sheetName val="BB Thu 2023-2025"/>
      <sheetName val="BB Thu 2026-2030"/>
      <sheetName val="Chi NSĐP 2021-2030"/>
      <sheetName val="CĐ NSĐP 2021-2030"/>
      <sheetName val="Biểu đồ Chi 2021-2025"/>
      <sheetName val="Biểu đồ Thu 2021-2025"/>
      <sheetName val="Thu NSNN 2022-2025"/>
      <sheetName val="Chi NSDP 2022-2025"/>
      <sheetName val="Can doi NSDP 2022-2025"/>
      <sheetName val="Phụ lục số 1-1"/>
      <sheetName val="Phụ lục số 2-1"/>
      <sheetName val="Phụ lục số 3-thu bs -1"/>
      <sheetName val="Phụ lục số 3-1"/>
      <sheetName val="Phụ lục số 3-thu bs"/>
      <sheetName val="Phụ lục số 2"/>
      <sheetName val="Phụ lục số 3"/>
      <sheetName val="Phụ lục số 4"/>
      <sheetName val="Phụ lục số 5"/>
      <sheetName val="Phụ lục số 6"/>
      <sheetName val="Phụ lục số 7"/>
      <sheetName val="Phụ lục số 8"/>
      <sheetName val="Bố trí"/>
      <sheetName val="Thu NSH"/>
      <sheetName val="Chi NSH"/>
      <sheetName val="10%TK năm 2023"/>
      <sheetName val="Cân đối NSH 2023"/>
      <sheetName val="CCTL nam 2022- 2023"/>
      <sheetName val="XSKT 2022-2023"/>
      <sheetName val="Miễn giảm học phí"/>
      <sheetName val="Chính sách 2022-2023-Biểu số 2"/>
      <sheetName val="Chính sách chế độ 2022-2023"/>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Biểu số 33-CK-NSNN"/>
      <sheetName val="Biểu số 34-CK-NSNN"/>
      <sheetName val="Biểu số 35-CK-NSNN"/>
      <sheetName val="Biểu số 36-CK-NSNN"/>
      <sheetName val="Biểu số 37-CK-NSNN"/>
      <sheetName val="Biểu số 38-CK-NSNN"/>
      <sheetName val="Biểu số 40-CK-NSNN"/>
      <sheetName val="Biếu số 41-CK-NSNN"/>
      <sheetName val="Biếu số 42-CK-NSNN"/>
      <sheetName val="Biếu số 43-CK-NSNN"/>
      <sheetName val="Biếu số 44-CK-NSNN"/>
      <sheetName val="Phụ lục số 1-KQPB"/>
      <sheetName val="Phụ lục số 2- KQPB"/>
      <sheetName val="Phụ lục số 3- KQPB"/>
      <sheetName val="Phụ lục số 4-KQPB"/>
      <sheetName val="Phụ lục số 5-KQPB"/>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ếu bổ su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44">
          <cell r="E44">
            <v>1600575</v>
          </cell>
        </row>
      </sheetData>
      <sheetData sheetId="18" refreshError="1"/>
      <sheetData sheetId="19" refreshError="1"/>
      <sheetData sheetId="20" refreshError="1"/>
      <sheetData sheetId="21" refreshError="1"/>
      <sheetData sheetId="22" refreshError="1"/>
      <sheetData sheetId="23" refreshError="1"/>
      <sheetData sheetId="24">
        <row r="8">
          <cell r="W8">
            <v>7007000</v>
          </cell>
          <cell r="X8">
            <v>8644723</v>
          </cell>
          <cell r="Y8">
            <v>8425000</v>
          </cell>
          <cell r="Z8">
            <v>8337065.4000000022</v>
          </cell>
        </row>
        <row r="28">
          <cell r="W28">
            <v>78000</v>
          </cell>
          <cell r="X28">
            <v>126290</v>
          </cell>
          <cell r="Y28">
            <v>70000</v>
          </cell>
          <cell r="Z28">
            <v>93759</v>
          </cell>
        </row>
        <row r="148">
          <cell r="W148">
            <v>5466580</v>
          </cell>
          <cell r="X148">
            <v>7096349.4378000004</v>
          </cell>
          <cell r="Y148">
            <v>6718699.7999999998</v>
          </cell>
          <cell r="Z148">
            <v>7003638.9160600007</v>
          </cell>
          <cell r="AE148">
            <v>6480439.5999999996</v>
          </cell>
          <cell r="AF148">
            <v>6073702.1359999999</v>
          </cell>
        </row>
        <row r="153">
          <cell r="W153">
            <v>4987479</v>
          </cell>
          <cell r="X153">
            <v>4987479</v>
          </cell>
          <cell r="Z153">
            <v>4910076</v>
          </cell>
          <cell r="AF153">
            <v>5085320</v>
          </cell>
        </row>
        <row r="156">
          <cell r="W156">
            <v>1511244</v>
          </cell>
          <cell r="X156">
            <v>2239562</v>
          </cell>
          <cell r="Z156">
            <v>1760902</v>
          </cell>
        </row>
        <row r="157">
          <cell r="W157">
            <v>353947</v>
          </cell>
        </row>
        <row r="158">
          <cell r="W158">
            <v>15000</v>
          </cell>
          <cell r="X158">
            <v>6000</v>
          </cell>
          <cell r="Y158">
            <v>30900</v>
          </cell>
          <cell r="Z158">
            <v>20568</v>
          </cell>
        </row>
      </sheetData>
      <sheetData sheetId="25" refreshError="1"/>
      <sheetData sheetId="26" refreshError="1"/>
      <sheetData sheetId="27" refreshError="1"/>
      <sheetData sheetId="28">
        <row r="8">
          <cell r="AE8">
            <v>15819995</v>
          </cell>
        </row>
        <row r="10">
          <cell r="X10">
            <v>14076644</v>
          </cell>
        </row>
        <row r="11">
          <cell r="O11">
            <v>2866350</v>
          </cell>
          <cell r="P11">
            <v>2582125.2288760003</v>
          </cell>
          <cell r="R11">
            <v>4460541</v>
          </cell>
        </row>
        <row r="16">
          <cell r="O16">
            <v>7613338</v>
          </cell>
          <cell r="P16">
            <v>8394673</v>
          </cell>
          <cell r="R16">
            <v>8639182</v>
          </cell>
        </row>
        <row r="30">
          <cell r="O30">
            <v>2000</v>
          </cell>
          <cell r="P30">
            <v>2000</v>
          </cell>
          <cell r="R30">
            <v>2000</v>
          </cell>
        </row>
        <row r="31">
          <cell r="O31">
            <v>209077</v>
          </cell>
          <cell r="R31">
            <v>0</v>
          </cell>
          <cell r="Z31">
            <v>0</v>
          </cell>
        </row>
        <row r="32">
          <cell r="O32">
            <v>204195</v>
          </cell>
          <cell r="AE32">
            <v>0</v>
          </cell>
        </row>
        <row r="34">
          <cell r="O34">
            <v>300</v>
          </cell>
          <cell r="R34">
            <v>77</v>
          </cell>
        </row>
        <row r="35">
          <cell r="O35">
            <v>15000</v>
          </cell>
          <cell r="Q35">
            <v>30900</v>
          </cell>
          <cell r="R35">
            <v>100485</v>
          </cell>
          <cell r="Y35">
            <v>48300</v>
          </cell>
          <cell r="Z35">
            <v>12155.078450000001</v>
          </cell>
        </row>
        <row r="133">
          <cell r="O133">
            <v>1423990</v>
          </cell>
          <cell r="P133">
            <v>1087251</v>
          </cell>
          <cell r="R133">
            <v>1365375.6459619999</v>
          </cell>
        </row>
      </sheetData>
      <sheetData sheetId="29" refreshError="1"/>
      <sheetData sheetId="30" refreshError="1"/>
      <sheetData sheetId="31" refreshError="1"/>
      <sheetData sheetId="32" refreshError="1"/>
      <sheetData sheetId="33" refreshError="1"/>
      <sheetData sheetId="34" refreshError="1"/>
      <sheetData sheetId="35">
        <row r="8">
          <cell r="AI8">
            <v>9128000</v>
          </cell>
          <cell r="AO8">
            <v>9925000</v>
          </cell>
          <cell r="AP8">
            <v>5755000</v>
          </cell>
          <cell r="AQ8">
            <v>4170000</v>
          </cell>
          <cell r="AU8">
            <v>10718000</v>
          </cell>
          <cell r="BA8">
            <v>11567000</v>
          </cell>
          <cell r="BG8">
            <v>12522000</v>
          </cell>
          <cell r="BM8">
            <v>13654000</v>
          </cell>
        </row>
        <row r="9">
          <cell r="AR9">
            <v>11760000</v>
          </cell>
          <cell r="AX9">
            <v>12710000</v>
          </cell>
          <cell r="BD9">
            <v>13770000</v>
          </cell>
          <cell r="BJ9">
            <v>15000000</v>
          </cell>
        </row>
        <row r="12">
          <cell r="E12">
            <v>140000</v>
          </cell>
          <cell r="AU12">
            <v>292000</v>
          </cell>
          <cell r="BA12">
            <v>325000</v>
          </cell>
          <cell r="BG12">
            <v>362000</v>
          </cell>
          <cell r="BM12">
            <v>406000</v>
          </cell>
        </row>
        <row r="13">
          <cell r="E13">
            <v>16985</v>
          </cell>
          <cell r="AU13">
            <v>16000</v>
          </cell>
          <cell r="BA13">
            <v>17000</v>
          </cell>
          <cell r="BG13">
            <v>19000</v>
          </cell>
          <cell r="BM13">
            <v>21000</v>
          </cell>
        </row>
        <row r="14">
          <cell r="E14">
            <v>28000</v>
          </cell>
          <cell r="AU14">
            <v>62000</v>
          </cell>
          <cell r="BA14">
            <v>68000</v>
          </cell>
          <cell r="BG14">
            <v>74000</v>
          </cell>
          <cell r="BM14">
            <v>83000</v>
          </cell>
        </row>
        <row r="18">
          <cell r="E18">
            <v>170000</v>
          </cell>
          <cell r="AU18">
            <v>291000</v>
          </cell>
          <cell r="BA18">
            <v>325000</v>
          </cell>
          <cell r="BG18">
            <v>364000</v>
          </cell>
          <cell r="BM18">
            <v>407000</v>
          </cell>
        </row>
        <row r="19">
          <cell r="E19">
            <v>60000</v>
          </cell>
          <cell r="AU19">
            <v>122000</v>
          </cell>
          <cell r="BA19">
            <v>135000</v>
          </cell>
          <cell r="BG19">
            <v>149000</v>
          </cell>
          <cell r="BM19">
            <v>166000</v>
          </cell>
        </row>
        <row r="20">
          <cell r="E20">
            <v>0</v>
          </cell>
        </row>
        <row r="24">
          <cell r="E24">
            <v>11000</v>
          </cell>
          <cell r="AU24">
            <v>26000</v>
          </cell>
          <cell r="BA24">
            <v>28000</v>
          </cell>
          <cell r="BG24">
            <v>32000</v>
          </cell>
          <cell r="BM24">
            <v>35500</v>
          </cell>
        </row>
        <row r="25">
          <cell r="E25">
            <v>63000</v>
          </cell>
          <cell r="AU25">
            <v>94000</v>
          </cell>
          <cell r="BA25">
            <v>102000</v>
          </cell>
          <cell r="BG25">
            <v>108000</v>
          </cell>
          <cell r="BM25">
            <v>117500</v>
          </cell>
        </row>
        <row r="29">
          <cell r="E29">
            <v>507290</v>
          </cell>
          <cell r="AU29">
            <v>1113000</v>
          </cell>
          <cell r="BA29">
            <v>1238000</v>
          </cell>
          <cell r="BG29">
            <v>1373000</v>
          </cell>
          <cell r="BM29">
            <v>1547000</v>
          </cell>
        </row>
        <row r="30">
          <cell r="E30">
            <v>337490</v>
          </cell>
          <cell r="AU30">
            <v>724000</v>
          </cell>
          <cell r="BA30">
            <v>796000</v>
          </cell>
          <cell r="BG30">
            <v>884000</v>
          </cell>
          <cell r="BM30">
            <v>985000</v>
          </cell>
        </row>
        <row r="31">
          <cell r="E31">
            <v>87315</v>
          </cell>
          <cell r="AU31">
            <v>134000</v>
          </cell>
          <cell r="BA31">
            <v>147000</v>
          </cell>
          <cell r="BG31">
            <v>163000</v>
          </cell>
          <cell r="BM31">
            <v>187000</v>
          </cell>
        </row>
        <row r="37">
          <cell r="E37">
            <v>500000</v>
          </cell>
          <cell r="AU37">
            <v>1040000</v>
          </cell>
          <cell r="BA37">
            <v>1150000</v>
          </cell>
          <cell r="BG37">
            <v>1270000</v>
          </cell>
          <cell r="BM37">
            <v>1420000</v>
          </cell>
        </row>
        <row r="38">
          <cell r="E38">
            <v>733000</v>
          </cell>
          <cell r="AU38">
            <v>1260000</v>
          </cell>
          <cell r="BA38">
            <v>1380000</v>
          </cell>
          <cell r="BG38">
            <v>1500000</v>
          </cell>
          <cell r="BM38">
            <v>1602000</v>
          </cell>
        </row>
        <row r="40">
          <cell r="L40">
            <v>70000</v>
          </cell>
          <cell r="M40">
            <v>900000</v>
          </cell>
          <cell r="AV40">
            <v>145000</v>
          </cell>
          <cell r="AW40">
            <v>1155000</v>
          </cell>
          <cell r="BB40">
            <v>151000</v>
          </cell>
          <cell r="BC40">
            <v>1199000</v>
          </cell>
          <cell r="BH40">
            <v>157000</v>
          </cell>
          <cell r="BI40">
            <v>1243000</v>
          </cell>
          <cell r="BN40">
            <v>163000</v>
          </cell>
          <cell r="BO40">
            <v>1287000</v>
          </cell>
        </row>
        <row r="46">
          <cell r="H46">
            <v>38777</v>
          </cell>
          <cell r="AU46">
            <v>0</v>
          </cell>
          <cell r="BI46">
            <v>0</v>
          </cell>
        </row>
        <row r="48">
          <cell r="L48">
            <v>1704000</v>
          </cell>
          <cell r="M48">
            <v>0</v>
          </cell>
          <cell r="AV48">
            <v>2600000</v>
          </cell>
          <cell r="AW48">
            <v>0</v>
          </cell>
          <cell r="AZ48">
            <v>0</v>
          </cell>
          <cell r="BB48">
            <v>2660000</v>
          </cell>
          <cell r="BH48">
            <v>2710000</v>
          </cell>
          <cell r="BI48">
            <v>0</v>
          </cell>
          <cell r="BN48">
            <v>2810000</v>
          </cell>
          <cell r="BO48">
            <v>0</v>
          </cell>
        </row>
        <row r="49">
          <cell r="AR49">
            <v>175999.81661120002</v>
          </cell>
          <cell r="AX49">
            <v>183500.40879883713</v>
          </cell>
          <cell r="BD49">
            <v>191500.02662246645</v>
          </cell>
          <cell r="BJ49">
            <v>200000.027793855</v>
          </cell>
        </row>
        <row r="53">
          <cell r="H53">
            <v>6803512</v>
          </cell>
          <cell r="N53">
            <v>6487488</v>
          </cell>
          <cell r="AI53">
            <v>6487488</v>
          </cell>
          <cell r="AO53">
            <v>6487488</v>
          </cell>
          <cell r="AP53">
            <v>6487488</v>
          </cell>
          <cell r="AQ53">
            <v>0</v>
          </cell>
          <cell r="AR53">
            <v>6487488</v>
          </cell>
          <cell r="AU53">
            <v>6487488</v>
          </cell>
          <cell r="AX53">
            <v>6487488</v>
          </cell>
          <cell r="BA53">
            <v>6487488</v>
          </cell>
          <cell r="BD53">
            <v>6487488</v>
          </cell>
          <cell r="BG53">
            <v>6487488</v>
          </cell>
          <cell r="BJ53">
            <v>6487488</v>
          </cell>
          <cell r="BM53">
            <v>6487488</v>
          </cell>
        </row>
        <row r="54">
          <cell r="AR54">
            <v>3357036</v>
          </cell>
          <cell r="AX54">
            <v>3357036</v>
          </cell>
          <cell r="BD54">
            <v>3357036</v>
          </cell>
          <cell r="BJ54">
            <v>3357036</v>
          </cell>
        </row>
        <row r="55">
          <cell r="AP55">
            <v>3178000</v>
          </cell>
          <cell r="AU55">
            <v>3178000</v>
          </cell>
          <cell r="BD55">
            <v>3178000</v>
          </cell>
          <cell r="BJ55">
            <v>3178000</v>
          </cell>
        </row>
        <row r="58">
          <cell r="L58">
            <v>48300</v>
          </cell>
          <cell r="AR58">
            <v>0</v>
          </cell>
          <cell r="AX58">
            <v>0</v>
          </cell>
          <cell r="BD58">
            <v>0</v>
          </cell>
          <cell r="BJ58">
            <v>0</v>
          </cell>
        </row>
        <row r="59">
          <cell r="W59">
            <v>16509995</v>
          </cell>
          <cell r="AC59">
            <v>17566218</v>
          </cell>
          <cell r="AI59">
            <v>18972524</v>
          </cell>
          <cell r="AO59">
            <v>19769524</v>
          </cell>
          <cell r="AU59">
            <v>20562524</v>
          </cell>
          <cell r="BA59">
            <v>21411524</v>
          </cell>
          <cell r="BG59">
            <v>22366524</v>
          </cell>
          <cell r="BM59">
            <v>23498524</v>
          </cell>
        </row>
        <row r="64">
          <cell r="X64">
            <v>10620488</v>
          </cell>
        </row>
      </sheetData>
      <sheetData sheetId="36">
        <row r="7">
          <cell r="U7">
            <v>17566218</v>
          </cell>
        </row>
        <row r="8">
          <cell r="K8">
            <v>13191488</v>
          </cell>
        </row>
        <row r="9">
          <cell r="AJ9">
            <v>5099330.4687520657</v>
          </cell>
          <cell r="AO9">
            <v>5267830.2877216972</v>
          </cell>
          <cell r="AT9">
            <v>5407402.2270513177</v>
          </cell>
          <cell r="AY9">
            <v>5601293.4130037781</v>
          </cell>
        </row>
        <row r="14">
          <cell r="AJ14">
            <v>10464000</v>
          </cell>
          <cell r="AO14">
            <v>10767000</v>
          </cell>
          <cell r="AT14">
            <v>11101000</v>
          </cell>
          <cell r="AY14">
            <v>11476000</v>
          </cell>
        </row>
        <row r="28">
          <cell r="AJ28">
            <v>2000</v>
          </cell>
          <cell r="AO28">
            <v>2000</v>
          </cell>
          <cell r="AT28">
            <v>2000</v>
          </cell>
          <cell r="AY28">
            <v>2000</v>
          </cell>
        </row>
        <row r="29">
          <cell r="AJ29">
            <v>309000</v>
          </cell>
          <cell r="AO29">
            <v>317000</v>
          </cell>
          <cell r="AT29">
            <v>327000</v>
          </cell>
          <cell r="AY29">
            <v>338000</v>
          </cell>
        </row>
        <row r="30">
          <cell r="AJ30">
            <v>1331158</v>
          </cell>
          <cell r="AO30">
            <v>1700658</v>
          </cell>
          <cell r="AT30">
            <v>2172086</v>
          </cell>
          <cell r="AY30">
            <v>2724194.1</v>
          </cell>
        </row>
        <row r="31">
          <cell r="AJ31">
            <v>0</v>
          </cell>
          <cell r="AO31">
            <v>0</v>
          </cell>
          <cell r="AT31">
            <v>0</v>
          </cell>
          <cell r="AY31">
            <v>0</v>
          </cell>
        </row>
        <row r="32">
          <cell r="AJ32">
            <v>3357036</v>
          </cell>
          <cell r="AO32">
            <v>3357036</v>
          </cell>
          <cell r="AT32">
            <v>3357036</v>
          </cell>
          <cell r="AY32">
            <v>3357036</v>
          </cell>
        </row>
        <row r="35">
          <cell r="AJ35">
            <v>0</v>
          </cell>
          <cell r="AO35">
            <v>0</v>
          </cell>
          <cell r="AT35">
            <v>0</v>
          </cell>
          <cell r="AY35">
            <v>0</v>
          </cell>
        </row>
      </sheetData>
      <sheetData sheetId="37">
        <row r="5">
          <cell r="Y5">
            <v>15599524</v>
          </cell>
          <cell r="Z5">
            <v>8918721</v>
          </cell>
        </row>
        <row r="6">
          <cell r="X6">
            <v>16094690</v>
          </cell>
        </row>
        <row r="39">
          <cell r="P39">
            <v>813350</v>
          </cell>
          <cell r="Q39">
            <v>590650</v>
          </cell>
        </row>
        <row r="42">
          <cell r="AE42">
            <v>100500</v>
          </cell>
          <cell r="AF42">
            <v>269000</v>
          </cell>
        </row>
        <row r="43">
          <cell r="I43">
            <v>366500</v>
          </cell>
        </row>
        <row r="47">
          <cell r="J47">
            <v>1.0047879424816806</v>
          </cell>
          <cell r="K47">
            <v>1.0127502007166578</v>
          </cell>
          <cell r="P47">
            <v>1.0566063446435068</v>
          </cell>
          <cell r="Q47">
            <v>1.0282348792705207</v>
          </cell>
          <cell r="S47">
            <v>1.0254627266562277</v>
          </cell>
          <cell r="T47">
            <v>1.0275485169255913</v>
          </cell>
          <cell r="Y47">
            <v>1.0393441136204653</v>
          </cell>
          <cell r="Z47">
            <v>1.0140856238275435</v>
          </cell>
          <cell r="AB47">
            <v>1.0319405403144226</v>
          </cell>
          <cell r="AC47">
            <v>1.022921914593347</v>
          </cell>
          <cell r="AE47">
            <v>1.0194663055683124</v>
          </cell>
          <cell r="AF47">
            <v>1.0343773350868757</v>
          </cell>
          <cell r="AH47">
            <v>1.0329991962738128</v>
          </cell>
          <cell r="AI47">
            <v>1.029953641806818</v>
          </cell>
          <cell r="AK47">
            <v>1.033754435953756</v>
          </cell>
          <cell r="AL47">
            <v>1.0336194256200104</v>
          </cell>
        </row>
      </sheetData>
      <sheetData sheetId="38">
        <row r="5">
          <cell r="P5">
            <v>14078218</v>
          </cell>
        </row>
        <row r="42">
          <cell r="AB42">
            <v>155000</v>
          </cell>
          <cell r="AC42">
            <v>171500</v>
          </cell>
          <cell r="AK42">
            <v>193000</v>
          </cell>
        </row>
        <row r="43">
          <cell r="AH43">
            <v>180000</v>
          </cell>
          <cell r="AI43">
            <v>272500</v>
          </cell>
          <cell r="AL43">
            <v>298000</v>
          </cell>
        </row>
        <row r="47">
          <cell r="M47">
            <v>1.0001518476896694</v>
          </cell>
          <cell r="N47">
            <v>1.0265549383746155</v>
          </cell>
        </row>
      </sheetData>
      <sheetData sheetId="39">
        <row r="18">
          <cell r="V18">
            <v>-21453</v>
          </cell>
          <cell r="W18">
            <v>445109</v>
          </cell>
        </row>
      </sheetData>
      <sheetData sheetId="40">
        <row r="9">
          <cell r="I9">
            <v>2343711</v>
          </cell>
        </row>
        <row r="30">
          <cell r="I30">
            <v>0</v>
          </cell>
        </row>
      </sheetData>
      <sheetData sheetId="41" refreshError="1"/>
      <sheetData sheetId="42" refreshError="1"/>
      <sheetData sheetId="43">
        <row r="8">
          <cell r="C8">
            <v>651170</v>
          </cell>
        </row>
        <row r="9">
          <cell r="C9">
            <v>524980</v>
          </cell>
        </row>
        <row r="10">
          <cell r="C10">
            <v>85120</v>
          </cell>
        </row>
        <row r="11">
          <cell r="C11">
            <v>3730</v>
          </cell>
        </row>
        <row r="12">
          <cell r="C12">
            <v>0</v>
          </cell>
        </row>
        <row r="13">
          <cell r="E13">
            <v>309500</v>
          </cell>
        </row>
        <row r="14">
          <cell r="C14">
            <v>295000</v>
          </cell>
        </row>
        <row r="15">
          <cell r="C15">
            <v>0</v>
          </cell>
        </row>
        <row r="16">
          <cell r="C16">
            <v>10000</v>
          </cell>
        </row>
        <row r="17">
          <cell r="E17">
            <v>59200</v>
          </cell>
        </row>
        <row r="21">
          <cell r="E21">
            <v>115000</v>
          </cell>
        </row>
        <row r="24">
          <cell r="E24">
            <v>800000</v>
          </cell>
        </row>
        <row r="27">
          <cell r="E27">
            <v>129500</v>
          </cell>
        </row>
        <row r="31">
          <cell r="C31">
            <v>3000</v>
          </cell>
        </row>
      </sheetData>
      <sheetData sheetId="44" refreshError="1"/>
      <sheetData sheetId="45" refreshError="1"/>
      <sheetData sheetId="46">
        <row r="7">
          <cell r="D7">
            <v>2417971</v>
          </cell>
          <cell r="E7">
            <v>179036</v>
          </cell>
        </row>
      </sheetData>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ow r="22">
          <cell r="D22">
            <v>247800</v>
          </cell>
        </row>
      </sheetData>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2"/>
      <sheetName val="Vay-Trả nợ 2023-Biểu số 1"/>
      <sheetName val="KH vay và trả nợ 2023-2025"/>
      <sheetName val="KTXH 2023-2025"/>
      <sheetName val="KTXH 2021-2025"/>
      <sheetName val="Quỹ TC ngoài NS 2022-2023"/>
      <sheetName val="Định hướng CĐNSĐP 2023 của TW"/>
      <sheetName val="Nguồn CĐCS chuyển sang 2022"/>
      <sheetName val="KHTC 2021-2025"/>
      <sheetName val="Nhu cầu TLCS năm 2023"/>
      <sheetName val="10%TK tăng thêm so với năm 2022"/>
      <sheetName val="Can doi 2022-2023"/>
      <sheetName val="SS TW với ĐP 2023"/>
      <sheetName val="Chi NSĐP 2010-2025"/>
      <sheetName val="Thu NSNN 2010-2025"/>
      <sheetName val="Thu NSNN 2022-2023"/>
      <sheetName val="CĐ NSĐP 2021-2025"/>
      <sheetName val="So sánh Định mức 2022-2017"/>
      <sheetName val="Xác định lại dự toán 2022-ĐP"/>
      <sheetName val="Xác định lại dự toán 2022-TW"/>
      <sheetName val="Thu NSNN 2015-2025 (2)"/>
      <sheetName val="Bố trí"/>
      <sheetName val="Định mức chi TX 2022"/>
      <sheetName val="Phụ lục số 1"/>
      <sheetName val="Phụ lục số 2"/>
      <sheetName val="Phụ lục số 3-thu bs"/>
      <sheetName val="Phụ lục số 3"/>
      <sheetName val="Phụ lục số 4"/>
      <sheetName val="Phụ lục số 5"/>
      <sheetName val="Phụ lục số 6"/>
      <sheetName val="Phụ lục số 7"/>
      <sheetName val="Phụ lục số 8"/>
      <sheetName val="Thu NSH"/>
      <sheetName val="Chi NSH"/>
      <sheetName val="CCTL nam 2022- 2023"/>
      <sheetName val="XSKT 2022-2023"/>
      <sheetName val="Miễn giảm học phí"/>
      <sheetName val="Chính sách 2022-2023-Biểu số 2"/>
      <sheetName val="Chính sách chế độ 2022-2023"/>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Phụ lục số 1-KQPB"/>
      <sheetName val="Phụ lục số 2- KQPB"/>
      <sheetName val="Phụ lục số 3- KQPB"/>
      <sheetName val="Phụ lục số 4-KQPB"/>
      <sheetName val="Phụ lục số 5-KQPB"/>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ểu số 33-CK-NSNN"/>
      <sheetName val="Biểu số 34-CK-NSNN"/>
      <sheetName val="Biểu số 35-CK-NSNN"/>
      <sheetName val="Biểu số 36-CK-NSNN"/>
      <sheetName val="Biểu số 37-CK-NSNN"/>
      <sheetName val="Biểu số 38-CK-NSNN"/>
      <sheetName val="Biểu số 40-CK-NSNN"/>
      <sheetName val="Biếu số 41-CK-NSNN"/>
      <sheetName val="Biếu số 42-CK-NSNN"/>
      <sheetName val="Biếu số 43-CK-NSNN"/>
      <sheetName val="Biếu số 44-CK-NSNN"/>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Biếu bổ su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5">
          <cell r="F5">
            <v>79550</v>
          </cell>
        </row>
      </sheetData>
      <sheetData sheetId="30">
        <row r="4">
          <cell r="D4">
            <v>534516</v>
          </cell>
        </row>
      </sheetData>
      <sheetData sheetId="31"/>
      <sheetData sheetId="32"/>
      <sheetData sheetId="33">
        <row r="8">
          <cell r="P8">
            <v>64000</v>
          </cell>
        </row>
        <row r="25">
          <cell r="AG25">
            <v>0</v>
          </cell>
        </row>
      </sheetData>
      <sheetData sheetId="34">
        <row r="10">
          <cell r="P10">
            <v>438766</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a"/>
      <sheetName val="2a tong cong"/>
      <sheetName val="4a-HN"/>
      <sheetName val="4a-TPHN"/>
      <sheetName val="4a-TH"/>
      <sheetName val="4a-tong cong 12T-2024"/>
      <sheetName val="4b"/>
      <sheetName val="4a-TN"/>
      <sheetName val="chi tiết tung sn 12 thang"/>
      <sheetName val="4a-tong cong 6h"/>
      <sheetName val="Sheet1"/>
      <sheetName val="2a chi tiet dc cap tinh"/>
      <sheetName val="QD 72"/>
      <sheetName val="2a chi tiet"/>
      <sheetName val="4a-TB"/>
      <sheetName val="4a-TPCL"/>
      <sheetName val="4a-HCL"/>
      <sheetName val="chi tiết tung sn 6 thang"/>
      <sheetName val="4a-HTM"/>
      <sheetName val="4a-LVo"/>
      <sheetName val="4a-LV"/>
      <sheetName val="4a-Sadec"/>
      <sheetName val="4a-CT"/>
      <sheetName val="2c"/>
      <sheetName val="hội"/>
      <sheetName val="2d"/>
      <sheetName val="2e"/>
      <sheetName val="2g"/>
      <sheetName val="2g-yt"/>
    </sheetNames>
    <sheetDataSet>
      <sheetData sheetId="0"/>
      <sheetData sheetId="1"/>
      <sheetData sheetId="2"/>
      <sheetData sheetId="3"/>
      <sheetData sheetId="4"/>
      <sheetData sheetId="5"/>
      <sheetData sheetId="6"/>
      <sheetData sheetId="7"/>
      <sheetData sheetId="8">
        <row r="10">
          <cell r="L10">
            <v>44040.689832119184</v>
          </cell>
          <cell r="M10">
            <v>22364.889262319994</v>
          </cell>
          <cell r="N10">
            <v>38271.12835991921</v>
          </cell>
          <cell r="O10">
            <v>33778.173579360009</v>
          </cell>
          <cell r="P10">
            <v>47414.361708048789</v>
          </cell>
          <cell r="Q10">
            <v>44727.622505714906</v>
          </cell>
          <cell r="R10">
            <v>61546.980648778546</v>
          </cell>
          <cell r="S10">
            <v>51321.425503227416</v>
          </cell>
          <cell r="T10">
            <v>49814.511882136103</v>
          </cell>
          <cell r="U10">
            <v>44570.421782160025</v>
          </cell>
          <cell r="V10">
            <v>29177.757059822005</v>
          </cell>
          <cell r="W10">
            <v>37207.494118559975</v>
          </cell>
        </row>
        <row r="13">
          <cell r="L13">
            <v>14226.293305320387</v>
          </cell>
          <cell r="M13">
            <v>10816.4216739</v>
          </cell>
          <cell r="N13">
            <v>13511.550046518425</v>
          </cell>
          <cell r="O13">
            <v>17730.737888590054</v>
          </cell>
          <cell r="P13">
            <v>17277.090629552153</v>
          </cell>
          <cell r="Q13">
            <v>18610.356395209197</v>
          </cell>
          <cell r="R13">
            <v>23854.030886149267</v>
          </cell>
          <cell r="S13">
            <v>18605.828821847892</v>
          </cell>
          <cell r="T13">
            <v>18576.241563959407</v>
          </cell>
          <cell r="U13">
            <v>18719.288816266213</v>
          </cell>
          <cell r="V13">
            <v>12856.572142264478</v>
          </cell>
          <cell r="W13">
            <v>19045.203693953823</v>
          </cell>
        </row>
        <row r="16">
          <cell r="L16">
            <v>310.82233824000014</v>
          </cell>
          <cell r="M16">
            <v>362.75356799999975</v>
          </cell>
          <cell r="N16">
            <v>315.63129384000007</v>
          </cell>
          <cell r="O16">
            <v>192.72427199999998</v>
          </cell>
          <cell r="P16">
            <v>304.59616680000045</v>
          </cell>
          <cell r="Q16">
            <v>278.10496800000004</v>
          </cell>
          <cell r="R16">
            <v>374.31519407999997</v>
          </cell>
          <cell r="S16">
            <v>288.56420987919478</v>
          </cell>
          <cell r="T16">
            <v>347.88286800000003</v>
          </cell>
          <cell r="U16">
            <v>523.80965484000023</v>
          </cell>
          <cell r="V16">
            <v>306.43315248322153</v>
          </cell>
          <cell r="W16">
            <v>346.75818551999987</v>
          </cell>
        </row>
        <row r="19">
          <cell r="L19">
            <v>548.13029687999995</v>
          </cell>
          <cell r="M19">
            <v>550.43824439999992</v>
          </cell>
          <cell r="N19">
            <v>442.26514300348958</v>
          </cell>
          <cell r="O19">
            <v>469.64223264000009</v>
          </cell>
          <cell r="P19">
            <v>357.80406643087258</v>
          </cell>
          <cell r="Q19">
            <v>416.69989199999986</v>
          </cell>
          <cell r="R19">
            <v>582.12654360000022</v>
          </cell>
          <cell r="S19">
            <v>319.07215992000005</v>
          </cell>
          <cell r="T19">
            <v>485.92273554362419</v>
          </cell>
          <cell r="U19">
            <v>468.41517576000001</v>
          </cell>
          <cell r="V19">
            <v>656.66494312912801</v>
          </cell>
          <cell r="W19">
            <v>347.55250968000018</v>
          </cell>
        </row>
        <row r="22">
          <cell r="L22">
            <v>2210.2491600000012</v>
          </cell>
          <cell r="M22">
            <v>2412.5427599999998</v>
          </cell>
          <cell r="N22">
            <v>2234.987160000001</v>
          </cell>
          <cell r="O22">
            <v>1866.6997200000008</v>
          </cell>
          <cell r="P22">
            <v>1949.3581200000001</v>
          </cell>
          <cell r="Q22">
            <v>2291.8996260000017</v>
          </cell>
          <cell r="R22">
            <v>2414.6929200000018</v>
          </cell>
          <cell r="S22">
            <v>2039.9401199999998</v>
          </cell>
          <cell r="T22">
            <v>2090.6809200000012</v>
          </cell>
          <cell r="U22">
            <v>2115.5305199999993</v>
          </cell>
          <cell r="V22">
            <v>1833.4801200000002</v>
          </cell>
          <cell r="W22">
            <v>2227.2049200000001</v>
          </cell>
        </row>
        <row r="41">
          <cell r="L41">
            <v>11720</v>
          </cell>
          <cell r="M41">
            <v>14000</v>
          </cell>
          <cell r="N41">
            <v>11200</v>
          </cell>
          <cell r="O41">
            <v>2900</v>
          </cell>
          <cell r="P41">
            <v>5600</v>
          </cell>
          <cell r="Q41">
            <v>8750</v>
          </cell>
          <cell r="R41">
            <v>13300</v>
          </cell>
          <cell r="S41">
            <v>3559</v>
          </cell>
          <cell r="T41">
            <v>12650</v>
          </cell>
          <cell r="U41">
            <v>11950</v>
          </cell>
          <cell r="V41">
            <v>7500</v>
          </cell>
          <cell r="W41">
            <v>12435</v>
          </cell>
        </row>
        <row r="44">
          <cell r="L44">
            <v>2300</v>
          </cell>
          <cell r="M44">
            <v>1000</v>
          </cell>
          <cell r="N44">
            <v>2000</v>
          </cell>
          <cell r="O44">
            <v>483</v>
          </cell>
          <cell r="P44">
            <v>1560</v>
          </cell>
          <cell r="Q44">
            <v>489</v>
          </cell>
          <cell r="R44">
            <v>2700</v>
          </cell>
          <cell r="S44">
            <v>361</v>
          </cell>
          <cell r="T44">
            <v>378</v>
          </cell>
          <cell r="U44">
            <v>200</v>
          </cell>
          <cell r="V44">
            <v>950</v>
          </cell>
          <cell r="W44">
            <v>4500</v>
          </cell>
        </row>
        <row r="47">
          <cell r="L47">
            <v>280</v>
          </cell>
          <cell r="M47">
            <v>1000</v>
          </cell>
          <cell r="N47">
            <v>1370</v>
          </cell>
          <cell r="P47">
            <v>680</v>
          </cell>
          <cell r="Q47">
            <v>841</v>
          </cell>
          <cell r="T47">
            <v>402</v>
          </cell>
          <cell r="U47">
            <v>1050</v>
          </cell>
          <cell r="V47">
            <v>350</v>
          </cell>
          <cell r="W47">
            <v>2415</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 NSNN"/>
      <sheetName val="Chi NSĐP"/>
      <sheetName val="Cân đối chung-không kể BSNSH"/>
      <sheetName val="Cân đối chung"/>
      <sheetName val="2020 TOÀN TỈNH SO DUNG"/>
    </sheetNames>
    <sheetDataSet>
      <sheetData sheetId="0" refreshError="1"/>
      <sheetData sheetId="1" refreshError="1"/>
      <sheetData sheetId="2" refreshError="1"/>
      <sheetData sheetId="3" refreshError="1"/>
      <sheetData sheetId="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 NSNN"/>
      <sheetName val="Chi NSĐP"/>
      <sheetName val="Cân đối chung-không kể BSNSH"/>
      <sheetName val="Cân đối chung"/>
    </sheetNames>
    <sheetDataSet>
      <sheetData sheetId="0">
        <row r="10">
          <cell r="F10">
            <v>1889997</v>
          </cell>
          <cell r="X10">
            <v>1848673.7999999998</v>
          </cell>
          <cell r="AD10">
            <v>94547</v>
          </cell>
        </row>
        <row r="40">
          <cell r="L40">
            <v>11000</v>
          </cell>
          <cell r="M40">
            <v>548711</v>
          </cell>
          <cell r="R40">
            <v>89000</v>
          </cell>
          <cell r="S40">
            <v>302289</v>
          </cell>
        </row>
        <row r="46">
          <cell r="L46">
            <v>38777</v>
          </cell>
          <cell r="M46">
            <v>0</v>
          </cell>
          <cell r="R46">
            <v>0</v>
          </cell>
          <cell r="S46">
            <v>0</v>
          </cell>
        </row>
        <row r="48">
          <cell r="L48">
            <v>800515</v>
          </cell>
          <cell r="M48">
            <v>0</v>
          </cell>
          <cell r="R48">
            <v>699485</v>
          </cell>
          <cell r="S48">
            <v>0</v>
          </cell>
        </row>
        <row r="55">
          <cell r="H55">
            <v>564000</v>
          </cell>
          <cell r="N55">
            <v>563000</v>
          </cell>
        </row>
      </sheetData>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1-TH Thu"/>
      <sheetName val="B2-02"/>
      <sheetName val="CackhoanLoaitru"/>
      <sheetName val="Kangatang"/>
      <sheetName val="Kangatang_2"/>
      <sheetName val="Kangatang_3"/>
      <sheetName val="Kangatang_4"/>
      <sheetName val="Kangatang_5"/>
      <sheetName val="Kangatang_6"/>
      <sheetName val="Kangatang_7"/>
      <sheetName val="Kangatang_8"/>
      <sheetName val="Kangatang_9"/>
      <sheetName val="Kangatang_10"/>
      <sheetName val="Kangatang_11"/>
      <sheetName val="Kangatang_12"/>
      <sheetName val="Kangatang_13"/>
      <sheetName val="Kangatang_14"/>
      <sheetName val="Kangatang_15"/>
      <sheetName val="Kangatang_16"/>
      <sheetName val="Kangatang_17"/>
      <sheetName val="Kangatang_18"/>
      <sheetName val="Kangatang_19"/>
      <sheetName val="Kangatang_20"/>
      <sheetName val="Kangatang_21"/>
      <sheetName val="Kangatang_22"/>
      <sheetName val="Kangatang_23"/>
      <sheetName val="Kangatang_24"/>
      <sheetName val="Kangatang_25"/>
      <sheetName val="Kangatang_26"/>
      <sheetName val="Kangatang_27"/>
      <sheetName val="Kangatang_28"/>
      <sheetName val="thu noi dia(BTC)"/>
      <sheetName val="SoSanhThucHienThu (2)"/>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59 CD quy"/>
      <sheetName val="mau 60 Thu quy"/>
      <sheetName val="mau 66 QT chi NS tinh"/>
      <sheetName val="mau 61 Chi quy"/>
      <sheetName val="thu noi dia(HĐND)(btc)"/>
      <sheetName val="thu noi dia(HĐND)"/>
      <sheetName val="ve bieu do cung ky thang truoc"/>
      <sheetName val="Thu 2022"/>
      <sheetName val="Thu 31-12-2022"/>
      <sheetName val="0105-TH chi"/>
      <sheetName val="B5-01 (NST)"/>
      <sheetName val="B5-01(NSH)"/>
      <sheetName val="B5-01 (xa)"/>
      <sheetName val="B5-03 (tinh)"/>
      <sheetName val="B5-03 (huyen)"/>
      <sheetName val="B5-03(xa)"/>
      <sheetName val="CT MTQG"/>
      <sheetName val="Chi"/>
      <sheetName val="Chi (HĐND)"/>
      <sheetName val="Chi 2022"/>
      <sheetName val="Chi 31-12-2022"/>
      <sheetName val="thu"/>
      <sheetName val="Bao cao (Qmoi)"/>
      <sheetName val="Bao cao (1)"/>
      <sheetName val="Bao cao"/>
      <sheetName val="Thu huyen 31-10-2022"/>
      <sheetName val="Chi (HĐND) (ko ke chuyen nguon)"/>
      <sheetName val="Chi (A-B-C)"/>
      <sheetName val="Chi (A-B-C) ko ke chi DTPT khac"/>
      <sheetName val="Chi huyen 31-3-2022"/>
      <sheetName val="ve bieu do nam (huyen NSN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ow r="10">
          <cell r="I10">
            <v>6865961.7098160004</v>
          </cell>
        </row>
        <row r="12">
          <cell r="F12">
            <v>5809777</v>
          </cell>
        </row>
      </sheetData>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13">
          <cell r="F13">
            <v>3260550.5345359999</v>
          </cell>
        </row>
        <row r="15">
          <cell r="F15">
            <v>881544.812041</v>
          </cell>
        </row>
        <row r="16">
          <cell r="F16">
            <v>989715.99300000002</v>
          </cell>
        </row>
        <row r="17">
          <cell r="F17">
            <v>1389289.7294949999</v>
          </cell>
        </row>
        <row r="19">
          <cell r="F19">
            <v>2138451.5961349998</v>
          </cell>
        </row>
        <row r="23">
          <cell r="F23">
            <v>9081902.7744820006</v>
          </cell>
        </row>
        <row r="24">
          <cell r="F24">
            <v>1631275.6465659998</v>
          </cell>
        </row>
        <row r="29">
          <cell r="F29">
            <v>115422.874604</v>
          </cell>
        </row>
        <row r="31">
          <cell r="F31">
            <v>17128.735162000001</v>
          </cell>
        </row>
        <row r="32">
          <cell r="F32">
            <v>3506949.6535290005</v>
          </cell>
        </row>
        <row r="35">
          <cell r="F35">
            <v>858963.24846000003</v>
          </cell>
        </row>
        <row r="36">
          <cell r="F36">
            <v>98046.919022000002</v>
          </cell>
        </row>
        <row r="37">
          <cell r="F37">
            <v>28184.048601999999</v>
          </cell>
        </row>
        <row r="38">
          <cell r="F38">
            <v>50990.684492</v>
          </cell>
        </row>
        <row r="39">
          <cell r="F39">
            <v>630626.71309500001</v>
          </cell>
        </row>
        <row r="40">
          <cell r="F40">
            <v>1595782.6105849999</v>
          </cell>
        </row>
        <row r="44">
          <cell r="F44">
            <v>481069.09012800001</v>
          </cell>
        </row>
        <row r="47">
          <cell r="F47">
            <v>67462.550237000003</v>
          </cell>
        </row>
        <row r="48">
          <cell r="F48">
            <v>2000</v>
          </cell>
        </row>
        <row r="53">
          <cell r="F53">
            <v>1774.8968809999999</v>
          </cell>
        </row>
      </sheetData>
      <sheetData sheetId="65" refreshError="1"/>
      <sheetData sheetId="66" refreshError="1"/>
      <sheetData sheetId="67">
        <row r="12">
          <cell r="I12">
            <v>178487.19149200001</v>
          </cell>
        </row>
        <row r="13">
          <cell r="I13">
            <v>42098.391465000001</v>
          </cell>
        </row>
        <row r="18">
          <cell r="I18">
            <v>196199.34763999999</v>
          </cell>
        </row>
        <row r="19">
          <cell r="I19">
            <v>90271.968951999996</v>
          </cell>
        </row>
        <row r="24">
          <cell r="I24">
            <v>16615.627700000001</v>
          </cell>
        </row>
        <row r="25">
          <cell r="I25">
            <v>58096.966274999999</v>
          </cell>
        </row>
        <row r="29">
          <cell r="I29">
            <v>628438.07316999999</v>
          </cell>
        </row>
        <row r="30">
          <cell r="I30">
            <v>471240.02231799997</v>
          </cell>
        </row>
        <row r="37">
          <cell r="I37">
            <v>711978.18546399998</v>
          </cell>
          <cell r="K37">
            <v>272521.894761</v>
          </cell>
        </row>
        <row r="38">
          <cell r="I38">
            <v>444817.46383399999</v>
          </cell>
        </row>
        <row r="39">
          <cell r="H39">
            <v>54582.791488000003</v>
          </cell>
          <cell r="K39">
            <v>59955.161936000004</v>
          </cell>
        </row>
        <row r="46">
          <cell r="H46">
            <v>84881.407926999993</v>
          </cell>
          <cell r="J46">
            <v>53740.027817000002</v>
          </cell>
        </row>
      </sheetData>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1-TH Thu"/>
      <sheetName val="B2-02"/>
      <sheetName val="CackhoanLoaitru"/>
      <sheetName val="Kangatang"/>
      <sheetName val="Kangatang_2"/>
      <sheetName val="Kangatang_3"/>
      <sheetName val="Kangatang_4"/>
      <sheetName val="Kangatang_5"/>
      <sheetName val="Kangatang_6"/>
      <sheetName val="Kangatang_7"/>
      <sheetName val="Kangatang_8"/>
      <sheetName val="Kangatang_9"/>
      <sheetName val="Kangatang_10"/>
      <sheetName val="Kangatang_11"/>
      <sheetName val="Kangatang_12"/>
      <sheetName val="Kangatang_13"/>
      <sheetName val="Kangatang_14"/>
      <sheetName val="Kangatang_15"/>
      <sheetName val="Kangatang_16"/>
      <sheetName val="Kangatang_17"/>
      <sheetName val="Kangatang_18"/>
      <sheetName val="Kangatang_19"/>
      <sheetName val="Kangatang_20"/>
      <sheetName val="Kangatang_21"/>
      <sheetName val="Kangatang_22"/>
      <sheetName val="Kangatang_23"/>
      <sheetName val="Kangatang_24"/>
      <sheetName val="Kangatang_25"/>
      <sheetName val="Kangatang_26"/>
      <sheetName val="Kangatang_27"/>
      <sheetName val="Kangatang_28"/>
      <sheetName val="thu noi dia(BTC)"/>
      <sheetName val="SoSanhThucHienThu (2)"/>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59 CD quy"/>
      <sheetName val="mau 60 Thu quy"/>
      <sheetName val="mau 66 QT chi NS tinh"/>
      <sheetName val="mau 61 Chi quy"/>
      <sheetName val="thu noi dia(HĐND)(btc)"/>
      <sheetName val="thu noi dia(HĐND)"/>
      <sheetName val="ve bieu do cung ky thang truoc"/>
      <sheetName val="Thu 2022"/>
      <sheetName val="Thu 31-12-2022"/>
      <sheetName val="0105-TH chi"/>
      <sheetName val="B5-01 (NST)"/>
      <sheetName val="B5-01(NSH)"/>
      <sheetName val="B5-01 (xa)"/>
      <sheetName val="B5-03 (tinh)"/>
      <sheetName val="B5-03 (huyen)"/>
      <sheetName val="B5-03(xa)"/>
      <sheetName val="CT MTQG"/>
      <sheetName val="Chi"/>
      <sheetName val="Chi (HĐND)"/>
      <sheetName val="Chi 2022"/>
      <sheetName val="Chi 31-12-2022"/>
      <sheetName val="thu"/>
      <sheetName val="Bao cao (Qmoi)"/>
      <sheetName val="Bao cao (1)"/>
      <sheetName val="Bao cao"/>
      <sheetName val="Thu huyen 31-10-2022"/>
      <sheetName val="Chi (HĐND) (ko ke chuyen nguon)"/>
      <sheetName val="Chi (A-B-C)"/>
      <sheetName val="Chi (A-B-C) ko ke chi DTPT khac"/>
      <sheetName val="Chi huyen 31-3-2022"/>
      <sheetName val="ve bieu do nam (huyen NSN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ow r="46">
          <cell r="G46">
            <v>285472.88611600001</v>
          </cell>
        </row>
        <row r="75">
          <cell r="G75">
            <v>35466.300600000002</v>
          </cell>
        </row>
        <row r="76">
          <cell r="G76">
            <v>76161.542220000003</v>
          </cell>
        </row>
        <row r="78">
          <cell r="G78">
            <v>2041.6675579999999</v>
          </cell>
        </row>
        <row r="79">
          <cell r="G79">
            <v>1743740.6317860002</v>
          </cell>
        </row>
        <row r="87">
          <cell r="G87">
            <v>389783.37025500002</v>
          </cell>
        </row>
        <row r="118">
          <cell r="J118">
            <v>6803512</v>
          </cell>
        </row>
        <row r="119">
          <cell r="J119">
            <v>1263569.5071109999</v>
          </cell>
        </row>
      </sheetData>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2004"/>
      <sheetName val="THU2004 (2)"/>
      <sheetName val="Tổng hợp thu 2004-DT HĐND"/>
      <sheetName val="Tổng hợp thu 2004-DT BTC"/>
      <sheetName val="Tổng hợp thu 2004-DT BTC-HĐND "/>
      <sheetName val="Phụ lục số 8-Biểu số 02"/>
      <sheetName val="Tổng hợp thu NSNN năm 2004"/>
      <sheetName val="Tổng hợp thu NSNN năm 2005"/>
    </sheetNames>
    <sheetDataSet>
      <sheetData sheetId="0"/>
      <sheetData sheetId="1"/>
      <sheetData sheetId="2"/>
      <sheetData sheetId="3"/>
      <sheetData sheetId="4"/>
      <sheetData sheetId="5"/>
      <sheetData sheetId="6"/>
      <sheetData sheetId="7">
        <row r="13">
          <cell r="D13">
            <v>89115503915</v>
          </cell>
        </row>
        <row r="20">
          <cell r="D20">
            <v>48228976229</v>
          </cell>
        </row>
        <row r="28">
          <cell r="D28">
            <v>1037332174</v>
          </cell>
        </row>
        <row r="32">
          <cell r="D32">
            <v>237081013907</v>
          </cell>
        </row>
        <row r="39">
          <cell r="D39">
            <v>29969945012</v>
          </cell>
        </row>
        <row r="40">
          <cell r="D40">
            <v>1192553216</v>
          </cell>
        </row>
        <row r="41">
          <cell r="D41">
            <v>4947608621</v>
          </cell>
        </row>
        <row r="42">
          <cell r="D42">
            <v>30997278077</v>
          </cell>
        </row>
        <row r="43">
          <cell r="D43">
            <v>280003000000</v>
          </cell>
        </row>
        <row r="44">
          <cell r="D44">
            <v>121877060023</v>
          </cell>
        </row>
        <row r="45">
          <cell r="D45">
            <v>61753951621</v>
          </cell>
        </row>
        <row r="48">
          <cell r="D48">
            <v>20198335562</v>
          </cell>
        </row>
        <row r="49">
          <cell r="D49">
            <v>133470814384</v>
          </cell>
        </row>
        <row r="50">
          <cell r="D50">
            <v>4097790009.0000005</v>
          </cell>
        </row>
        <row r="51">
          <cell r="D51">
            <v>392829257</v>
          </cell>
        </row>
        <row r="52">
          <cell r="D52">
            <v>40157714319</v>
          </cell>
        </row>
        <row r="64">
          <cell r="D64">
            <v>9570090594</v>
          </cell>
        </row>
        <row r="65">
          <cell r="D65">
            <v>153738415439</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ụ lục số 1"/>
      <sheetName val="Phụ lục số 2"/>
      <sheetName val="Phụ lục số 3"/>
      <sheetName val="Phụ lục số 3-thu bs"/>
      <sheetName val="Phụ lục số 4"/>
      <sheetName val="Phụ lục số 5"/>
      <sheetName val="Phụ lục số 6"/>
      <sheetName val="Phụ lục số 7"/>
      <sheetName val="Bố trí"/>
      <sheetName val="Phụ lục số 8"/>
      <sheetName val="Can doi 2017-2018"/>
      <sheetName val="10%TK tăng thêm so với năm 2017"/>
      <sheetName val="Chính sách chế độ 2018"/>
      <sheetName val="Thu NSH"/>
      <sheetName val="Chi NSH"/>
      <sheetName val="TLTT nam 2018-huyen"/>
      <sheetName val="Phụ lục số 1- HĐND"/>
      <sheetName val="Phụ lục số 2- HĐND"/>
      <sheetName val="Phụ lục số 3- HĐND"/>
      <sheetName val="Phụ lục số 4- HĐND"/>
      <sheetName val="Phụ lục số 1-KQPB"/>
      <sheetName val="Phụ lục số 2- KQPB"/>
      <sheetName val="Phụ lục số 3- KQPB"/>
      <sheetName val="Phụ lục số 4-KQPB"/>
      <sheetName val="Phụ lục số 5-KQPB"/>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Nguồn CĐCS chuyển sang 2018"/>
    </sheetNames>
    <sheetDataSet>
      <sheetData sheetId="0">
        <row r="12">
          <cell r="Q12">
            <v>5060304</v>
          </cell>
        </row>
        <row r="15">
          <cell r="N15">
            <v>215000</v>
          </cell>
        </row>
        <row r="22">
          <cell r="N22">
            <v>320000</v>
          </cell>
        </row>
        <row r="29">
          <cell r="N29">
            <v>31000</v>
          </cell>
        </row>
        <row r="35">
          <cell r="N35">
            <v>860000</v>
          </cell>
        </row>
        <row r="42">
          <cell r="N42">
            <v>242800</v>
          </cell>
        </row>
        <row r="43">
          <cell r="N43">
            <v>0</v>
          </cell>
        </row>
        <row r="44">
          <cell r="N44">
            <v>8500</v>
          </cell>
        </row>
        <row r="45">
          <cell r="N45">
            <v>445000</v>
          </cell>
        </row>
        <row r="46">
          <cell r="N46">
            <v>2332000</v>
          </cell>
        </row>
        <row r="47">
          <cell r="N47">
            <v>175000</v>
          </cell>
        </row>
        <row r="48">
          <cell r="N48">
            <v>450000</v>
          </cell>
        </row>
        <row r="49">
          <cell r="N49">
            <v>65000</v>
          </cell>
        </row>
        <row r="50">
          <cell r="N50">
            <v>0</v>
          </cell>
        </row>
        <row r="51">
          <cell r="N51">
            <v>180000</v>
          </cell>
        </row>
        <row r="52">
          <cell r="N52">
            <v>4000</v>
          </cell>
        </row>
        <row r="53">
          <cell r="N53">
            <v>8000</v>
          </cell>
        </row>
        <row r="54">
          <cell r="N54">
            <v>19000</v>
          </cell>
        </row>
        <row r="55">
          <cell r="N55">
            <v>1270000</v>
          </cell>
        </row>
        <row r="56">
          <cell r="N56">
            <v>66000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2"/>
      <sheetName val="Vay-Trả nợ 2023-Biểu số 1"/>
      <sheetName val="KH vay và trả nợ 2023-2025"/>
      <sheetName val="KTXH 2023-2025"/>
      <sheetName val="KTXH 2021-2025"/>
      <sheetName val="Quỹ TC ngoài NS 2022-2023"/>
      <sheetName val="Định hướng CĐNSĐP 2023 của TW"/>
      <sheetName val="Nguồn CĐCS chuyển sang 2022"/>
      <sheetName val="KHTC 2021-2025"/>
      <sheetName val="Nhu cầu TLCS năm 2023"/>
      <sheetName val="Can doi 2022-2023"/>
      <sheetName val="SS TW với ĐP 2023"/>
      <sheetName val="So sánh Định mức 2022-2017"/>
      <sheetName val="Xác định lại dự toán 2022-ĐP"/>
      <sheetName val="Xác định lại dự toán 2022-TW"/>
      <sheetName val="Thu NSNN 2015-2025 (2)"/>
      <sheetName val="Định mức chi TX 2022"/>
      <sheetName val="Thu NSNN 2022-2023"/>
      <sheetName val="Thu NSNN 2010-2025 (1)"/>
      <sheetName val="Thu NSNN 2010-2025"/>
      <sheetName val="Thu NSNN 2010-2025 (2)"/>
      <sheetName val="Thu NSNN 2010-2025 (3)"/>
      <sheetName val="CĐ NSĐP 2022-2025"/>
      <sheetName val="Thu NSNN 2021-2030"/>
      <sheetName val="BB Thu 2018-2022"/>
      <sheetName val="BB Thu 2023-2025"/>
      <sheetName val="BB Thu 2026-2030"/>
      <sheetName val="Chi NSĐP 2021-2030"/>
      <sheetName val="CĐ NSĐP 2021-2030"/>
      <sheetName val="Biểu đồ Chi 2021-2025"/>
      <sheetName val="Biểu đồ Thu 2021-2025"/>
      <sheetName val="Thu NSNN 2022-2025"/>
      <sheetName val="Chi NSDP 2022-2025"/>
      <sheetName val="Can doi NSDP 2022-2025"/>
      <sheetName val="Phụ lục số 1-1"/>
      <sheetName val="Phụ lục số 2-1"/>
      <sheetName val="Phụ lục số 3-thu bs -1"/>
      <sheetName val="Phụ lục số 3-1"/>
      <sheetName val="Phụ lục số 3-thu bs"/>
      <sheetName val="Phụ lục số 2"/>
      <sheetName val="Phụ lục số 3"/>
      <sheetName val="Phụ lục số 4"/>
      <sheetName val="Phụ lục số 5"/>
      <sheetName val="Phụ lục số 6"/>
      <sheetName val="Phụ lục số 7"/>
      <sheetName val="Phụ lục số 8"/>
      <sheetName val="Bố trí"/>
      <sheetName val="Thu NSH"/>
      <sheetName val="Chi NSH"/>
      <sheetName val="10%TK năm 2023"/>
      <sheetName val="Cân đối NSH 2023"/>
      <sheetName val="CCTL nam 2022- 2023"/>
      <sheetName val="XSKT 2022-2023"/>
      <sheetName val="Miễn giảm học phí"/>
      <sheetName val="Chính sách 2022-2023-Biểu số 2"/>
      <sheetName val="Chính sách chế độ 2022-2023"/>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Biểu số 33-CK-NSNN"/>
      <sheetName val="Biểu số 34-CK-NSNN"/>
      <sheetName val="Biểu số 35-CK-NSNN"/>
      <sheetName val="Biểu số 36-CK-NSNN"/>
      <sheetName val="Biểu số 37-CK-NSNN"/>
      <sheetName val="Biểu số 38-CK-NSNN"/>
      <sheetName val="Biểu số 40-CK-NSNN"/>
      <sheetName val="Biếu số 41-CK-NSNN"/>
      <sheetName val="Biếu số 42-CK-NSNN"/>
      <sheetName val="Biếu số 43-CK-NSNN"/>
      <sheetName val="Biếu số 44-CK-NSNN"/>
      <sheetName val="Phụ lục số 1-KQPB"/>
      <sheetName val="Phụ lục số 2- KQPB"/>
      <sheetName val="Phụ lục số 3- KQPB"/>
      <sheetName val="Phụ lục số 4-KQPB"/>
      <sheetName val="Phụ lục số 5-KQPB"/>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ếu bổ sung"/>
    </sheetNames>
    <sheetDataSet>
      <sheetData sheetId="0">
        <row r="8">
          <cell r="C8">
            <v>379873</v>
          </cell>
          <cell r="D8">
            <v>517484</v>
          </cell>
          <cell r="E8">
            <v>686112</v>
          </cell>
          <cell r="F8">
            <v>774055</v>
          </cell>
          <cell r="G8">
            <v>531512</v>
          </cell>
          <cell r="H8">
            <v>533832</v>
          </cell>
          <cell r="I8">
            <v>3042995</v>
          </cell>
          <cell r="L8">
            <v>760850</v>
          </cell>
          <cell r="M8">
            <v>741859</v>
          </cell>
          <cell r="N8">
            <v>1818286</v>
          </cell>
          <cell r="O8">
            <v>1511244</v>
          </cell>
          <cell r="P8">
            <v>1731670</v>
          </cell>
          <cell r="U8">
            <v>1882470</v>
          </cell>
          <cell r="V8">
            <v>1213473</v>
          </cell>
          <cell r="W8">
            <v>2597007</v>
          </cell>
          <cell r="X8">
            <v>2951036</v>
          </cell>
          <cell r="Y8">
            <v>3357036</v>
          </cell>
        </row>
        <row r="9">
          <cell r="L9">
            <v>53674</v>
          </cell>
          <cell r="M9">
            <v>158319</v>
          </cell>
          <cell r="N9">
            <v>158489</v>
          </cell>
          <cell r="O9">
            <v>237567</v>
          </cell>
          <cell r="U9">
            <v>0</v>
          </cell>
          <cell r="V9">
            <v>0</v>
          </cell>
          <cell r="W9">
            <v>0</v>
          </cell>
          <cell r="X9">
            <v>0</v>
          </cell>
          <cell r="Y9">
            <v>0</v>
          </cell>
        </row>
        <row r="10">
          <cell r="L10">
            <v>707176</v>
          </cell>
          <cell r="M10">
            <v>583540</v>
          </cell>
          <cell r="N10">
            <v>1659797</v>
          </cell>
          <cell r="O10">
            <v>849684</v>
          </cell>
          <cell r="W10">
            <v>2597007</v>
          </cell>
          <cell r="X10">
            <v>2951036</v>
          </cell>
          <cell r="Y10">
            <v>3357036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31">
          <cell r="H31">
            <v>41703000</v>
          </cell>
          <cell r="I31">
            <v>44027000</v>
          </cell>
          <cell r="J31">
            <v>48316000</v>
          </cell>
          <cell r="K31">
            <v>53472000</v>
          </cell>
          <cell r="L31">
            <v>57208361</v>
          </cell>
          <cell r="P31">
            <v>62221079</v>
          </cell>
          <cell r="Q31">
            <v>68288574</v>
          </cell>
          <cell r="R31">
            <v>75875880</v>
          </cell>
          <cell r="S31">
            <v>82283000</v>
          </cell>
          <cell r="Z31">
            <v>96711681.430000007</v>
          </cell>
          <cell r="AA31">
            <v>103481499.13010001</v>
          </cell>
          <cell r="AB31">
            <v>110725204.06920701</v>
          </cell>
          <cell r="AC31">
            <v>118475968.35405152</v>
          </cell>
          <cell r="AD31">
            <v>519779101.98335856</v>
          </cell>
        </row>
        <row r="137">
          <cell r="H137">
            <v>5517507.1199670006</v>
          </cell>
          <cell r="I137">
            <v>6676916.2436260004</v>
          </cell>
          <cell r="J137">
            <v>7325261.5757369995</v>
          </cell>
          <cell r="K137">
            <v>8159969.5781439999</v>
          </cell>
          <cell r="L137">
            <v>8838258.6639019996</v>
          </cell>
          <cell r="M137">
            <v>36517913.181375995</v>
          </cell>
          <cell r="P137">
            <v>9435660.1446360014</v>
          </cell>
          <cell r="Q137">
            <v>10825317.768979</v>
          </cell>
          <cell r="R137">
            <v>12245988.776128</v>
          </cell>
          <cell r="S137">
            <v>13300719.437800001</v>
          </cell>
          <cell r="T137">
            <v>13028511.916060001</v>
          </cell>
          <cell r="Z137">
            <v>14982915.168950515</v>
          </cell>
          <cell r="AA137">
            <v>15788495</v>
          </cell>
          <cell r="AB137">
            <v>17546524</v>
          </cell>
          <cell r="AC137">
            <v>18972524</v>
          </cell>
          <cell r="AD137">
            <v>80685897.304950505</v>
          </cell>
        </row>
        <row r="139">
          <cell r="G139">
            <v>3650184.1362620001</v>
          </cell>
          <cell r="H139">
            <v>3769768.1199670001</v>
          </cell>
          <cell r="I139">
            <v>4084137.2436260004</v>
          </cell>
          <cell r="J139">
            <v>4073220.5757369995</v>
          </cell>
          <cell r="K139">
            <v>3875972.5781439999</v>
          </cell>
          <cell r="L139">
            <v>4846821.6639019996</v>
          </cell>
          <cell r="P139">
            <v>6154918.1446360005</v>
          </cell>
          <cell r="Q139">
            <v>5390332.7689789999</v>
          </cell>
          <cell r="R139">
            <v>5734576.7761279996</v>
          </cell>
          <cell r="S139">
            <v>7096349.4378000004</v>
          </cell>
          <cell r="T139">
            <v>7003638.9160600007</v>
          </cell>
          <cell r="Z139">
            <v>6863660.1689505149</v>
          </cell>
          <cell r="AA139">
            <v>6704000</v>
          </cell>
          <cell r="AB139">
            <v>8108000</v>
          </cell>
          <cell r="AC139">
            <v>9128000</v>
          </cell>
          <cell r="AD139">
            <v>36877362.304950513</v>
          </cell>
        </row>
      </sheetData>
      <sheetData sheetId="21" refreshError="1"/>
      <sheetData sheetId="22" refreshError="1"/>
      <sheetData sheetId="23" refreshError="1"/>
      <sheetData sheetId="24">
        <row r="7">
          <cell r="AH7">
            <v>7873613.167343</v>
          </cell>
        </row>
      </sheetData>
      <sheetData sheetId="25" refreshError="1"/>
      <sheetData sheetId="26" refreshError="1"/>
      <sheetData sheetId="27" refreshError="1"/>
      <sheetData sheetId="28">
        <row r="10">
          <cell r="C10">
            <v>4308494.4799180003</v>
          </cell>
          <cell r="D10">
            <v>5000022.8434038907</v>
          </cell>
          <cell r="E10">
            <v>5990803.5707400003</v>
          </cell>
          <cell r="F10">
            <v>6551207.428568</v>
          </cell>
          <cell r="G10">
            <v>7628457.570863001</v>
          </cell>
          <cell r="H10">
            <v>8304427.1655269992</v>
          </cell>
          <cell r="L10">
            <v>8674809.6461590007</v>
          </cell>
          <cell r="M10">
            <v>10083459.322280001</v>
          </cell>
          <cell r="N10">
            <v>10427702.832636001</v>
          </cell>
          <cell r="P10">
            <v>10978798.228876</v>
          </cell>
          <cell r="R10">
            <v>13101800</v>
          </cell>
          <cell r="X10">
            <v>14076644</v>
          </cell>
          <cell r="Z10">
            <v>13076063.694239998</v>
          </cell>
          <cell r="AE10">
            <v>13191488</v>
          </cell>
          <cell r="AG10">
            <v>14595488</v>
          </cell>
          <cell r="AH10">
            <v>15615488</v>
          </cell>
        </row>
        <row r="11">
          <cell r="C11">
            <v>881389.27447200008</v>
          </cell>
          <cell r="D11">
            <v>1296865.3711568909</v>
          </cell>
          <cell r="E11">
            <v>1283487.4238549999</v>
          </cell>
          <cell r="F11">
            <v>1221622.2457999999</v>
          </cell>
          <cell r="G11">
            <v>1952654.9714940002</v>
          </cell>
          <cell r="H11">
            <v>1868861</v>
          </cell>
          <cell r="L11">
            <v>2029265</v>
          </cell>
        </row>
        <row r="133">
          <cell r="C133">
            <v>379873</v>
          </cell>
          <cell r="D133">
            <v>517484</v>
          </cell>
          <cell r="E133">
            <v>686112</v>
          </cell>
          <cell r="F133">
            <v>774055</v>
          </cell>
          <cell r="G133">
            <v>531512</v>
          </cell>
          <cell r="H133">
            <v>533832</v>
          </cell>
          <cell r="L133">
            <v>760850</v>
          </cell>
        </row>
      </sheetData>
      <sheetData sheetId="29" refreshError="1"/>
      <sheetData sheetId="30" refreshError="1"/>
      <sheetData sheetId="31" refreshError="1"/>
      <sheetData sheetId="32" refreshError="1"/>
      <sheetData sheetId="33" refreshError="1"/>
      <sheetData sheetId="34" refreshError="1"/>
      <sheetData sheetId="35">
        <row r="8">
          <cell r="AO8">
            <v>9925000</v>
          </cell>
          <cell r="AU8">
            <v>10718000</v>
          </cell>
          <cell r="BA8">
            <v>11567000</v>
          </cell>
          <cell r="BG8">
            <v>12522000</v>
          </cell>
          <cell r="BM8">
            <v>13654000</v>
          </cell>
        </row>
        <row r="11">
          <cell r="C11">
            <v>185000</v>
          </cell>
          <cell r="H11">
            <v>237000</v>
          </cell>
          <cell r="N11">
            <v>250000</v>
          </cell>
          <cell r="AR11">
            <v>370000</v>
          </cell>
          <cell r="AX11">
            <v>410000</v>
          </cell>
          <cell r="BD11">
            <v>455000</v>
          </cell>
          <cell r="BJ11">
            <v>510000</v>
          </cell>
        </row>
        <row r="17">
          <cell r="C17">
            <v>300000</v>
          </cell>
          <cell r="H17">
            <v>410000</v>
          </cell>
          <cell r="N17">
            <v>350000</v>
          </cell>
          <cell r="AR17">
            <v>560000</v>
          </cell>
          <cell r="AX17">
            <v>620000</v>
          </cell>
          <cell r="BD17">
            <v>690000</v>
          </cell>
          <cell r="BJ17">
            <v>770000</v>
          </cell>
        </row>
        <row r="23">
          <cell r="N23">
            <v>70000</v>
          </cell>
          <cell r="AR23">
            <v>120000</v>
          </cell>
          <cell r="AX23">
            <v>130000</v>
          </cell>
          <cell r="BD23">
            <v>140000</v>
          </cell>
          <cell r="BJ23">
            <v>153000</v>
          </cell>
        </row>
        <row r="28">
          <cell r="N28">
            <v>1265000</v>
          </cell>
          <cell r="AR28">
            <v>1980000</v>
          </cell>
          <cell r="AX28">
            <v>2190000</v>
          </cell>
          <cell r="BD28">
            <v>2430000</v>
          </cell>
          <cell r="BJ28">
            <v>2730000</v>
          </cell>
        </row>
        <row r="34">
          <cell r="N34">
            <v>295000</v>
          </cell>
          <cell r="AR34">
            <v>528000</v>
          </cell>
          <cell r="AX34">
            <v>585000</v>
          </cell>
          <cell r="BD34">
            <v>650000</v>
          </cell>
          <cell r="BJ34">
            <v>730000</v>
          </cell>
        </row>
        <row r="35">
          <cell r="N35">
            <v>0</v>
          </cell>
          <cell r="AR35">
            <v>0</v>
          </cell>
          <cell r="AX35">
            <v>0</v>
          </cell>
          <cell r="BD35">
            <v>0</v>
          </cell>
          <cell r="BJ35">
            <v>0</v>
          </cell>
        </row>
        <row r="36">
          <cell r="N36">
            <v>10000</v>
          </cell>
          <cell r="AR36">
            <v>14000</v>
          </cell>
          <cell r="AX36">
            <v>15000</v>
          </cell>
          <cell r="BD36">
            <v>16000</v>
          </cell>
          <cell r="BJ36">
            <v>17000</v>
          </cell>
        </row>
        <row r="37">
          <cell r="N37">
            <v>600000</v>
          </cell>
          <cell r="AR37">
            <v>1040000</v>
          </cell>
          <cell r="AX37">
            <v>1150000</v>
          </cell>
          <cell r="BD37">
            <v>1270000</v>
          </cell>
          <cell r="BJ37">
            <v>1420000</v>
          </cell>
        </row>
        <row r="38">
          <cell r="N38">
            <v>1500000</v>
          </cell>
          <cell r="AR38">
            <v>2100000</v>
          </cell>
          <cell r="AX38">
            <v>2300000</v>
          </cell>
          <cell r="BD38">
            <v>2500000</v>
          </cell>
          <cell r="BJ38">
            <v>2670000</v>
          </cell>
        </row>
        <row r="39">
          <cell r="N39">
            <v>160000</v>
          </cell>
          <cell r="AR39">
            <v>245000</v>
          </cell>
          <cell r="AX39">
            <v>270000</v>
          </cell>
          <cell r="BD39">
            <v>300000</v>
          </cell>
          <cell r="BJ39">
            <v>340000</v>
          </cell>
        </row>
        <row r="40">
          <cell r="N40">
            <v>900000</v>
          </cell>
          <cell r="AR40">
            <v>1300000</v>
          </cell>
          <cell r="AX40">
            <v>1350000</v>
          </cell>
          <cell r="BD40">
            <v>1400000</v>
          </cell>
          <cell r="BJ40">
            <v>1450000</v>
          </cell>
        </row>
        <row r="41">
          <cell r="N41">
            <v>115000</v>
          </cell>
          <cell r="AR41">
            <v>300000</v>
          </cell>
          <cell r="AX41">
            <v>365000</v>
          </cell>
          <cell r="BD41">
            <v>480000</v>
          </cell>
          <cell r="BJ41">
            <v>600000</v>
          </cell>
        </row>
        <row r="42">
          <cell r="N42">
            <v>0</v>
          </cell>
          <cell r="AR42">
            <v>0</v>
          </cell>
          <cell r="AX42">
            <v>0</v>
          </cell>
          <cell r="BD42">
            <v>0</v>
          </cell>
          <cell r="BJ42">
            <v>0</v>
          </cell>
        </row>
        <row r="43">
          <cell r="N43">
            <v>250000</v>
          </cell>
          <cell r="AR43">
            <v>440000</v>
          </cell>
          <cell r="AX43">
            <v>490000</v>
          </cell>
          <cell r="BD43">
            <v>541000</v>
          </cell>
          <cell r="BJ43">
            <v>600000</v>
          </cell>
        </row>
        <row r="44">
          <cell r="N44">
            <v>22000</v>
          </cell>
          <cell r="AR44">
            <v>30000</v>
          </cell>
          <cell r="AX44">
            <v>32000</v>
          </cell>
          <cell r="BD44">
            <v>35000</v>
          </cell>
          <cell r="BJ44">
            <v>37000</v>
          </cell>
        </row>
        <row r="45">
          <cell r="N45">
            <v>50000</v>
          </cell>
          <cell r="AR45">
            <v>130000</v>
          </cell>
          <cell r="AX45">
            <v>140000</v>
          </cell>
          <cell r="BD45">
            <v>150000</v>
          </cell>
          <cell r="BJ45">
            <v>160000</v>
          </cell>
        </row>
        <row r="47">
          <cell r="N47">
            <v>3000</v>
          </cell>
          <cell r="AR47">
            <v>3000</v>
          </cell>
          <cell r="AX47">
            <v>3000</v>
          </cell>
          <cell r="BD47">
            <v>3000</v>
          </cell>
          <cell r="BJ47">
            <v>3000</v>
          </cell>
        </row>
        <row r="48">
          <cell r="N48">
            <v>1600000</v>
          </cell>
          <cell r="AR48">
            <v>2600000</v>
          </cell>
          <cell r="AX48">
            <v>2660000</v>
          </cell>
          <cell r="BD48">
            <v>2710000</v>
          </cell>
          <cell r="BJ48">
            <v>2810000</v>
          </cell>
        </row>
        <row r="49">
          <cell r="N49">
            <v>150000</v>
          </cell>
          <cell r="AR49">
            <v>175999.81661120002</v>
          </cell>
          <cell r="AX49">
            <v>183500.40879883713</v>
          </cell>
          <cell r="BD49">
            <v>191500.02662246645</v>
          </cell>
          <cell r="BJ49">
            <v>200000.027793855</v>
          </cell>
        </row>
        <row r="53">
          <cell r="AF53">
            <v>6487488</v>
          </cell>
          <cell r="AL53">
            <v>6487488</v>
          </cell>
          <cell r="AR53">
            <v>6487488</v>
          </cell>
          <cell r="AX53">
            <v>6487488</v>
          </cell>
          <cell r="BD53">
            <v>6487488</v>
          </cell>
          <cell r="BJ53">
            <v>6487488</v>
          </cell>
        </row>
        <row r="54">
          <cell r="AL54">
            <v>3357036</v>
          </cell>
          <cell r="AR54">
            <v>3357036</v>
          </cell>
          <cell r="AX54">
            <v>3357036</v>
          </cell>
          <cell r="BD54">
            <v>3357036</v>
          </cell>
          <cell r="BJ54">
            <v>3357036</v>
          </cell>
        </row>
      </sheetData>
      <sheetData sheetId="36">
        <row r="10">
          <cell r="P10">
            <v>1061000</v>
          </cell>
          <cell r="AJ10">
            <v>1199330.4687520659</v>
          </cell>
          <cell r="AO10">
            <v>1257830.2877216975</v>
          </cell>
          <cell r="AT10">
            <v>1297402.2270513177</v>
          </cell>
          <cell r="AY10">
            <v>1341293.4130037783</v>
          </cell>
        </row>
        <row r="11">
          <cell r="AJ11">
            <v>1300000</v>
          </cell>
          <cell r="AO11">
            <v>1350000</v>
          </cell>
          <cell r="AT11">
            <v>1400000</v>
          </cell>
          <cell r="AY11">
            <v>1450000</v>
          </cell>
        </row>
        <row r="12">
          <cell r="AJ12">
            <v>2600000</v>
          </cell>
          <cell r="AO12">
            <v>2660000</v>
          </cell>
          <cell r="AT12">
            <v>2710000</v>
          </cell>
          <cell r="AY12">
            <v>2810000</v>
          </cell>
        </row>
        <row r="13">
          <cell r="AJ13">
            <v>0</v>
          </cell>
          <cell r="AO13">
            <v>0</v>
          </cell>
          <cell r="AT13">
            <v>0</v>
          </cell>
          <cell r="AY13">
            <v>0</v>
          </cell>
        </row>
        <row r="15">
          <cell r="AJ15">
            <v>2002000</v>
          </cell>
          <cell r="AO15">
            <v>2061000</v>
          </cell>
          <cell r="AT15">
            <v>2125000</v>
          </cell>
          <cell r="AY15">
            <v>2196000</v>
          </cell>
        </row>
        <row r="16">
          <cell r="AJ16">
            <v>154000</v>
          </cell>
          <cell r="AO16">
            <v>158000</v>
          </cell>
          <cell r="AT16">
            <v>163000</v>
          </cell>
          <cell r="AY16">
            <v>169000</v>
          </cell>
        </row>
        <row r="18">
          <cell r="AJ18">
            <v>36000</v>
          </cell>
          <cell r="AO18">
            <v>37000</v>
          </cell>
          <cell r="AT18">
            <v>38000</v>
          </cell>
          <cell r="AY18">
            <v>39000</v>
          </cell>
        </row>
        <row r="19">
          <cell r="AJ19">
            <v>4649000</v>
          </cell>
          <cell r="AO19">
            <v>4791000</v>
          </cell>
          <cell r="AT19">
            <v>4938000</v>
          </cell>
          <cell r="AY19">
            <v>5104000</v>
          </cell>
        </row>
        <row r="20">
          <cell r="AJ20">
            <v>872000</v>
          </cell>
          <cell r="AO20">
            <v>889000</v>
          </cell>
          <cell r="AT20">
            <v>918000</v>
          </cell>
          <cell r="AY20">
            <v>949000</v>
          </cell>
        </row>
        <row r="21">
          <cell r="AJ21">
            <v>89000</v>
          </cell>
          <cell r="AO21">
            <v>91000</v>
          </cell>
          <cell r="AT21">
            <v>94000</v>
          </cell>
          <cell r="AY21">
            <v>98000</v>
          </cell>
        </row>
        <row r="22">
          <cell r="AJ22">
            <v>49000</v>
          </cell>
          <cell r="AO22">
            <v>50000</v>
          </cell>
          <cell r="AT22">
            <v>52000</v>
          </cell>
          <cell r="AY22">
            <v>54000</v>
          </cell>
        </row>
        <row r="23">
          <cell r="AJ23">
            <v>43000</v>
          </cell>
          <cell r="AO23">
            <v>45000</v>
          </cell>
          <cell r="AT23">
            <v>46000</v>
          </cell>
          <cell r="AY23">
            <v>48000</v>
          </cell>
        </row>
        <row r="24">
          <cell r="AJ24">
            <v>595000</v>
          </cell>
          <cell r="AO24">
            <v>614000</v>
          </cell>
          <cell r="AT24">
            <v>633000</v>
          </cell>
          <cell r="AY24">
            <v>654000</v>
          </cell>
        </row>
        <row r="25">
          <cell r="AJ25">
            <v>1551000</v>
          </cell>
          <cell r="AO25">
            <v>1596000</v>
          </cell>
          <cell r="AT25">
            <v>1646000</v>
          </cell>
          <cell r="AY25">
            <v>1702000</v>
          </cell>
        </row>
        <row r="26">
          <cell r="AJ26">
            <v>368000</v>
          </cell>
          <cell r="AO26">
            <v>378000</v>
          </cell>
          <cell r="AT26">
            <v>389000</v>
          </cell>
          <cell r="AY26">
            <v>402000</v>
          </cell>
        </row>
        <row r="27">
          <cell r="AJ27">
            <v>56000</v>
          </cell>
          <cell r="AO27">
            <v>57000</v>
          </cell>
          <cell r="AT27">
            <v>59000</v>
          </cell>
          <cell r="AY27">
            <v>61000</v>
          </cell>
        </row>
        <row r="28">
          <cell r="AJ28">
            <v>2000</v>
          </cell>
          <cell r="AO28">
            <v>2000</v>
          </cell>
          <cell r="AT28">
            <v>2000</v>
          </cell>
          <cell r="AY28">
            <v>2000</v>
          </cell>
        </row>
        <row r="29">
          <cell r="AJ29">
            <v>309000</v>
          </cell>
          <cell r="AO29">
            <v>317000</v>
          </cell>
          <cell r="AT29">
            <v>327000</v>
          </cell>
          <cell r="AY29">
            <v>338000</v>
          </cell>
        </row>
        <row r="30">
          <cell r="AJ30">
            <v>1331158</v>
          </cell>
          <cell r="AO30">
            <v>1700658</v>
          </cell>
          <cell r="AT30">
            <v>2172086</v>
          </cell>
          <cell r="AY30">
            <v>2724194.1</v>
          </cell>
        </row>
        <row r="31">
          <cell r="AJ31">
            <v>0</v>
          </cell>
          <cell r="AO31">
            <v>0</v>
          </cell>
          <cell r="AT31">
            <v>0</v>
          </cell>
          <cell r="AY31">
            <v>0</v>
          </cell>
        </row>
        <row r="32">
          <cell r="P32">
            <v>2597007</v>
          </cell>
          <cell r="U32">
            <v>2951036</v>
          </cell>
          <cell r="Z32">
            <v>3357036</v>
          </cell>
          <cell r="AE32">
            <v>3357036</v>
          </cell>
          <cell r="AJ32">
            <v>3357036</v>
          </cell>
          <cell r="AO32">
            <v>3357036</v>
          </cell>
          <cell r="AT32">
            <v>3357036</v>
          </cell>
          <cell r="AY32">
            <v>3357036</v>
          </cell>
        </row>
        <row r="35">
          <cell r="AJ35">
            <v>0</v>
          </cell>
          <cell r="AO35">
            <v>0</v>
          </cell>
          <cell r="AT35">
            <v>0</v>
          </cell>
          <cell r="AY35">
            <v>0</v>
          </cell>
        </row>
      </sheetData>
      <sheetData sheetId="37" refreshError="1"/>
      <sheetData sheetId="38" refreshError="1"/>
      <sheetData sheetId="39">
        <row r="8">
          <cell r="I8">
            <v>6704000</v>
          </cell>
          <cell r="L8">
            <v>8108000</v>
          </cell>
          <cell r="O8">
            <v>9128000</v>
          </cell>
        </row>
        <row r="14">
          <cell r="M14">
            <v>6487488</v>
          </cell>
          <cell r="P14">
            <v>6487488</v>
          </cell>
        </row>
        <row r="16">
          <cell r="L16">
            <v>0</v>
          </cell>
          <cell r="O16">
            <v>0</v>
          </cell>
        </row>
        <row r="17">
          <cell r="I17">
            <v>31500</v>
          </cell>
          <cell r="L17">
            <v>19694</v>
          </cell>
          <cell r="O17">
            <v>0</v>
          </cell>
        </row>
      </sheetData>
      <sheetData sheetId="40">
        <row r="10">
          <cell r="K10">
            <v>1061000</v>
          </cell>
        </row>
        <row r="28">
          <cell r="F28">
            <v>2000</v>
          </cell>
        </row>
        <row r="29">
          <cell r="F29">
            <v>0</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ổng hợp"/>
      <sheetName val="1"/>
      <sheetName val="2"/>
      <sheetName val="3 - thieu"/>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s>
    <sheetDataSet>
      <sheetData sheetId="0" refreshError="1"/>
      <sheetData sheetId="1" refreshError="1">
        <row r="10">
          <cell r="H10">
            <v>87214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quangbx/AppData/Nam%202019/quangbx/AppData/Roaming/Tc_NS_2021-2025/Sldtbxh/BC197%20%20So%20_%20Bo%20KQ%20dieu%20tra%202019.signed.pdf" TargetMode="External"/><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00.xml.rels><?xml version="1.0" encoding="UTF-8" standalone="yes"?>
<Relationships xmlns="http://schemas.openxmlformats.org/package/2006/relationships"><Relationship Id="rId3" Type="http://schemas.openxmlformats.org/officeDocument/2006/relationships/comments" Target="../comments48.xml"/><Relationship Id="rId2" Type="http://schemas.openxmlformats.org/officeDocument/2006/relationships/vmlDrawing" Target="../drawings/vmlDrawing48.vml"/><Relationship Id="rId1" Type="http://schemas.openxmlformats.org/officeDocument/2006/relationships/printerSettings" Target="../printerSettings/printerSettings84.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102.xml.rels><?xml version="1.0" encoding="UTF-8" standalone="yes"?>
<Relationships xmlns="http://schemas.openxmlformats.org/package/2006/relationships"><Relationship Id="rId3" Type="http://schemas.openxmlformats.org/officeDocument/2006/relationships/comments" Target="../comments49.xml"/><Relationship Id="rId2" Type="http://schemas.openxmlformats.org/officeDocument/2006/relationships/vmlDrawing" Target="../drawings/vmlDrawing49.vml"/><Relationship Id="rId1" Type="http://schemas.openxmlformats.org/officeDocument/2006/relationships/printerSettings" Target="../printerSettings/printerSettings86.bin"/></Relationships>
</file>

<file path=xl/worksheets/_rels/sheet103.xml.rels><?xml version="1.0" encoding="UTF-8" standalone="yes"?>
<Relationships xmlns="http://schemas.openxmlformats.org/package/2006/relationships"><Relationship Id="rId3" Type="http://schemas.openxmlformats.org/officeDocument/2006/relationships/comments" Target="../comments50.xml"/><Relationship Id="rId2" Type="http://schemas.openxmlformats.org/officeDocument/2006/relationships/vmlDrawing" Target="../drawings/vmlDrawing50.vml"/><Relationship Id="rId1" Type="http://schemas.openxmlformats.org/officeDocument/2006/relationships/printerSettings" Target="../printerSettings/printerSettings87.bin"/></Relationships>
</file>

<file path=xl/worksheets/_rels/sheet104.xml.rels><?xml version="1.0" encoding="UTF-8" standalone="yes"?>
<Relationships xmlns="http://schemas.openxmlformats.org/package/2006/relationships"><Relationship Id="rId3" Type="http://schemas.openxmlformats.org/officeDocument/2006/relationships/comments" Target="../comments51.xml"/><Relationship Id="rId2" Type="http://schemas.openxmlformats.org/officeDocument/2006/relationships/vmlDrawing" Target="../drawings/vmlDrawing51.vml"/><Relationship Id="rId1" Type="http://schemas.openxmlformats.org/officeDocument/2006/relationships/printerSettings" Target="../printerSettings/printerSettings88.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09.xml.rels><?xml version="1.0" encoding="UTF-8" standalone="yes"?>
<Relationships xmlns="http://schemas.openxmlformats.org/package/2006/relationships"><Relationship Id="rId3" Type="http://schemas.openxmlformats.org/officeDocument/2006/relationships/comments" Target="../comments52.xml"/><Relationship Id="rId2" Type="http://schemas.openxmlformats.org/officeDocument/2006/relationships/vmlDrawing" Target="../drawings/vmlDrawing52.vml"/><Relationship Id="rId1" Type="http://schemas.openxmlformats.org/officeDocument/2006/relationships/printerSettings" Target="../printerSettings/printerSettings93.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17.v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8" Type="http://schemas.openxmlformats.org/officeDocument/2006/relationships/hyperlink" Target="https://drive.google.com/open?id=1dqLv3XmpW8NFqF0Wzpx9VOUHrPJl4gn9&amp;usp=drive_fs" TargetMode="External"/><Relationship Id="rId13" Type="http://schemas.openxmlformats.org/officeDocument/2006/relationships/hyperlink" Target="https://drive.google.com/open?id=1dSVwYVhSSlv5yGy6muqe0ckT_yak-OYK&amp;usp=drive_fs" TargetMode="External"/><Relationship Id="rId18" Type="http://schemas.openxmlformats.org/officeDocument/2006/relationships/hyperlink" Target="https://drive.google.com/open?id=1dxAzTYYdd8c6uzear1P7JDLsPvcB5uNp&amp;usp=drive_fs" TargetMode="External"/><Relationship Id="rId26" Type="http://schemas.openxmlformats.org/officeDocument/2006/relationships/hyperlink" Target="https://drive.google.com/open?id=1_Ux6VQW35_5pG1v6JIov77fvZcLcnZOa&amp;usp=drive_fs" TargetMode="External"/><Relationship Id="rId3" Type="http://schemas.openxmlformats.org/officeDocument/2006/relationships/hyperlink" Target="https://drive.google.com/open?id=1d_J6PjxUiKzw26CbCw4EBOOBlKgZedsv&amp;usp=drive_fs" TargetMode="External"/><Relationship Id="rId21" Type="http://schemas.openxmlformats.org/officeDocument/2006/relationships/hyperlink" Target="https://drive.google.com/open?id=1dqS5XfcNy10T2HtmYt-vz8X-X8ODIWZ8&amp;usp=drive_fs" TargetMode="External"/><Relationship Id="rId7" Type="http://schemas.openxmlformats.org/officeDocument/2006/relationships/hyperlink" Target="https://drive.google.com/open?id=1doviOr23DI_SYq4TkcdvAiYgM6Lz5fnJ&amp;usp=drive_fs" TargetMode="External"/><Relationship Id="rId12" Type="http://schemas.openxmlformats.org/officeDocument/2006/relationships/hyperlink" Target="https://drive.google.com/open?id=1crqynAY0liXKcc8qrn23iDLFPzLSLGTM&amp;usp=drive_fs" TargetMode="External"/><Relationship Id="rId17" Type="http://schemas.openxmlformats.org/officeDocument/2006/relationships/hyperlink" Target="https://drive.google.com/open?id=1dwDQQZRgHqIvVEmjQyV1isRcYq2_cHJc&amp;usp=drive_fs" TargetMode="External"/><Relationship Id="rId25" Type="http://schemas.openxmlformats.org/officeDocument/2006/relationships/hyperlink" Target="https://drive.google.com/open?id=1_Ux6VQW35_5pG1v6JIov77fvZcLcnZOa&amp;usp=drive_fs" TargetMode="External"/><Relationship Id="rId2" Type="http://schemas.openxmlformats.org/officeDocument/2006/relationships/hyperlink" Target="https://drive.google.com/open?id=1dYj5DS9CcyXnAPGebJbTADgAJTTIXT7d&amp;usp=drive_fs" TargetMode="External"/><Relationship Id="rId16" Type="http://schemas.openxmlformats.org/officeDocument/2006/relationships/hyperlink" Target="https://drive.google.com/open?id=1dOdsVtxac5XzQ1XIejIidVDzI0fH8mR1&amp;usp=drive_fs" TargetMode="External"/><Relationship Id="rId20" Type="http://schemas.openxmlformats.org/officeDocument/2006/relationships/hyperlink" Target="https://drive.google.com/open?id=1cxuzu7nvI5Ke2-FcyhoF5Ceze2x_QWmP&amp;usp=drive_fs" TargetMode="External"/><Relationship Id="rId29" Type="http://schemas.openxmlformats.org/officeDocument/2006/relationships/drawing" Target="../drawings/drawing1.xml"/><Relationship Id="rId1" Type="http://schemas.openxmlformats.org/officeDocument/2006/relationships/hyperlink" Target="https://drive.google.com/open?id=1dUHP1cR7s9kbCIR1VHxR6_ayxrU1Q4Yp&amp;usp=drive_fs" TargetMode="External"/><Relationship Id="rId6" Type="http://schemas.openxmlformats.org/officeDocument/2006/relationships/hyperlink" Target="https://drive.google.com/open?id=1dlNUbKke81VAbUX88NT5ZolCio8rhOiU&amp;usp=drive_fs" TargetMode="External"/><Relationship Id="rId11" Type="http://schemas.openxmlformats.org/officeDocument/2006/relationships/hyperlink" Target="https://drive.google.com/open?id=1cjBN0fB5JUFxjHIMMZyXxrvJa0nZVCYc&amp;usp=drive_fs" TargetMode="External"/><Relationship Id="rId24" Type="http://schemas.openxmlformats.org/officeDocument/2006/relationships/hyperlink" Target="https://drive.google.com/open?id=1c_seaYARcZzZNri9gL5O4BxzpZV_sdQs&amp;usp=drive_fs" TargetMode="External"/><Relationship Id="rId5" Type="http://schemas.openxmlformats.org/officeDocument/2006/relationships/hyperlink" Target="https://drive.google.com/open?id=1dgoS9uoZpCKIgfD5VkHb1FjBFMyqQc3S&amp;usp=drive_fs" TargetMode="External"/><Relationship Id="rId15" Type="http://schemas.openxmlformats.org/officeDocument/2006/relationships/hyperlink" Target="https://drive.google.com/open?id=1dLmY7eeh9OzfHQ1ybdzlX7wei8KRy8w3&amp;usp=drive_fs" TargetMode="External"/><Relationship Id="rId23" Type="http://schemas.openxmlformats.org/officeDocument/2006/relationships/hyperlink" Target="https://drive.google.com/open?id=1_Ux6VQW35_5pG1v6JIov77fvZcLcnZOa&amp;usp=drive_fs" TargetMode="External"/><Relationship Id="rId28" Type="http://schemas.openxmlformats.org/officeDocument/2006/relationships/printerSettings" Target="../printerSettings/printerSettings25.bin"/><Relationship Id="rId10" Type="http://schemas.openxmlformats.org/officeDocument/2006/relationships/hyperlink" Target="https://drive.google.com/open?id=1cXLebrKu4uvPisA7LCwpynusCxTEadBi&amp;usp=drive_fs" TargetMode="External"/><Relationship Id="rId19" Type="http://schemas.openxmlformats.org/officeDocument/2006/relationships/hyperlink" Target="https://drive.google.com/open?id=1dCApGMQd1MYmFpYaVddLeUqOweJKdtuO&amp;usp=drive_fs" TargetMode="External"/><Relationship Id="rId4" Type="http://schemas.openxmlformats.org/officeDocument/2006/relationships/hyperlink" Target="https://drive.google.com/open?id=1da4YnDijQvSKgRAD3PBKTekEFr8lvPdD&amp;usp=drive_fs" TargetMode="External"/><Relationship Id="rId9" Type="http://schemas.openxmlformats.org/officeDocument/2006/relationships/hyperlink" Target="https://drive.google.com/open?id=1c_ypoXHIiBZGESaBhiIx9XDgNSXB4sr6&amp;usp=drive_fs" TargetMode="External"/><Relationship Id="rId14" Type="http://schemas.openxmlformats.org/officeDocument/2006/relationships/hyperlink" Target="https://drive.google.com/open?id=1dRx9Va4kQfurSwmIXFAGzOjv-_CyjAfL&amp;usp=drive_fs" TargetMode="External"/><Relationship Id="rId22" Type="http://schemas.openxmlformats.org/officeDocument/2006/relationships/hyperlink" Target="https://drive.google.com/open?id=1d6BHhtFN6jXqq5Z54zfNGjgrav0RftR4&amp;usp=drive_fs" TargetMode="External"/><Relationship Id="rId27" Type="http://schemas.openxmlformats.org/officeDocument/2006/relationships/hyperlink" Target="https://drive.google.com/open?id=1_Ux6VQW35_5pG1v6JIov77fvZcLcnZOa&amp;usp=drive_fs" TargetMode="Externa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39.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40.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4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43.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44.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4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1.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47.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3.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printerSettings" Target="../printerSettings/printerSettings49.bin"/></Relationships>
</file>

<file path=xl/worksheets/_rels/sheet64.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printerSettings" Target="../printerSettings/printerSettings50.bin"/></Relationships>
</file>

<file path=xl/worksheets/_rels/sheet66.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printerSettings" Target="../printerSettings/printerSettings51.bin"/></Relationships>
</file>

<file path=xl/worksheets/_rels/sheet67.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52.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9.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printerSettings" Target="../printerSettings/printerSettings54.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4.bin"/></Relationships>
</file>

<file path=xl/worksheets/_rels/sheet70.xml.rels><?xml version="1.0" encoding="UTF-8" standalone="yes"?>
<Relationships xmlns="http://schemas.openxmlformats.org/package/2006/relationships"><Relationship Id="rId2" Type="http://schemas.openxmlformats.org/officeDocument/2006/relationships/comments" Target="../comments40.xml"/><Relationship Id="rId1" Type="http://schemas.openxmlformats.org/officeDocument/2006/relationships/vmlDrawing" Target="../drawings/vmlDrawing40.vml"/></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72.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1.vml"/><Relationship Id="rId1" Type="http://schemas.openxmlformats.org/officeDocument/2006/relationships/printerSettings" Target="../printerSettings/printerSettings56.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74.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2.vml"/><Relationship Id="rId1" Type="http://schemas.openxmlformats.org/officeDocument/2006/relationships/printerSettings" Target="../printerSettings/printerSettings58.bin"/></Relationships>
</file>

<file path=xl/worksheets/_rels/sheet75.xml.rels><?xml version="1.0" encoding="UTF-8" standalone="yes"?>
<Relationships xmlns="http://schemas.openxmlformats.org/package/2006/relationships"><Relationship Id="rId3" Type="http://schemas.openxmlformats.org/officeDocument/2006/relationships/comments" Target="../comments43.xml"/><Relationship Id="rId2" Type="http://schemas.openxmlformats.org/officeDocument/2006/relationships/vmlDrawing" Target="../drawings/vmlDrawing43.vml"/><Relationship Id="rId1" Type="http://schemas.openxmlformats.org/officeDocument/2006/relationships/printerSettings" Target="../printerSettings/printerSettings59.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8.xml.rels><?xml version="1.0" encoding="UTF-8" standalone="yes"?>
<Relationships xmlns="http://schemas.openxmlformats.org/package/2006/relationships"><Relationship Id="rId3" Type="http://schemas.openxmlformats.org/officeDocument/2006/relationships/comments" Target="../comments44.xml"/><Relationship Id="rId2" Type="http://schemas.openxmlformats.org/officeDocument/2006/relationships/vmlDrawing" Target="../drawings/vmlDrawing44.vml"/><Relationship Id="rId1" Type="http://schemas.openxmlformats.org/officeDocument/2006/relationships/printerSettings" Target="../printerSettings/printerSettings62.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8.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83.xml.rels><?xml version="1.0" encoding="UTF-8" standalone="yes"?>
<Relationships xmlns="http://schemas.openxmlformats.org/package/2006/relationships"><Relationship Id="rId3" Type="http://schemas.openxmlformats.org/officeDocument/2006/relationships/comments" Target="../comments45.xml"/><Relationship Id="rId2" Type="http://schemas.openxmlformats.org/officeDocument/2006/relationships/vmlDrawing" Target="../drawings/vmlDrawing45.vml"/><Relationship Id="rId1" Type="http://schemas.openxmlformats.org/officeDocument/2006/relationships/printerSettings" Target="../printerSettings/printerSettings67.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5.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97.xml.rels><?xml version="1.0" encoding="UTF-8" standalone="yes"?>
<Relationships xmlns="http://schemas.openxmlformats.org/package/2006/relationships"><Relationship Id="rId3" Type="http://schemas.openxmlformats.org/officeDocument/2006/relationships/comments" Target="../comments46.xml"/><Relationship Id="rId2" Type="http://schemas.openxmlformats.org/officeDocument/2006/relationships/vmlDrawing" Target="../drawings/vmlDrawing46.vml"/><Relationship Id="rId1" Type="http://schemas.openxmlformats.org/officeDocument/2006/relationships/printerSettings" Target="../printerSettings/printerSettings81.bin"/></Relationships>
</file>

<file path=xl/worksheets/_rels/sheet98.xml.rels><?xml version="1.0" encoding="UTF-8" standalone="yes"?>
<Relationships xmlns="http://schemas.openxmlformats.org/package/2006/relationships"><Relationship Id="rId3" Type="http://schemas.openxmlformats.org/officeDocument/2006/relationships/comments" Target="../comments47.xml"/><Relationship Id="rId2" Type="http://schemas.openxmlformats.org/officeDocument/2006/relationships/vmlDrawing" Target="../drawings/vmlDrawing47.vml"/><Relationship Id="rId1" Type="http://schemas.openxmlformats.org/officeDocument/2006/relationships/printerSettings" Target="../printerSettings/printerSettings82.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CV127"/>
  <sheetViews>
    <sheetView workbookViewId="0">
      <pane xSplit="3" ySplit="5" topLeftCell="D33" activePane="bottomRight" state="frozen"/>
      <selection pane="topRight" activeCell="D1" sqref="D1"/>
      <selection pane="bottomLeft" activeCell="A6" sqref="A6"/>
      <selection pane="bottomRight" activeCell="I26" sqref="I26"/>
    </sheetView>
  </sheetViews>
  <sheetFormatPr defaultRowHeight="18"/>
  <cols>
    <col min="1" max="1" width="5.59765625" style="2" bestFit="1" customWidth="1"/>
    <col min="2" max="2" width="57.19921875" style="37" customWidth="1"/>
    <col min="3" max="3" width="9.8984375" style="37" customWidth="1"/>
    <col min="4" max="5" width="8.5" style="37" customWidth="1"/>
    <col min="6" max="6" width="9" style="37" customWidth="1"/>
    <col min="7" max="7" width="8.5" style="37" customWidth="1"/>
    <col min="8" max="9" width="7.5" style="37" customWidth="1"/>
    <col min="10" max="10" width="7.59765625" style="37" customWidth="1"/>
    <col min="11" max="11" width="7.09765625" style="37" customWidth="1"/>
    <col min="12" max="14" width="8.5" style="37" customWidth="1"/>
    <col min="15" max="257" width="8.69921875" style="37"/>
    <col min="258" max="258" width="5.59765625" style="37" bestFit="1" customWidth="1"/>
    <col min="259" max="259" width="38.09765625" style="37" customWidth="1"/>
    <col min="260" max="260" width="9.5" style="37" customWidth="1"/>
    <col min="261" max="261" width="11.19921875" style="37" customWidth="1"/>
    <col min="262" max="262" width="10.5" style="37" customWidth="1"/>
    <col min="263" max="263" width="14.5" style="37" customWidth="1"/>
    <col min="264" max="264" width="11.09765625" style="37" customWidth="1"/>
    <col min="265" max="265" width="10.59765625" style="37" customWidth="1"/>
    <col min="266" max="266" width="11" style="37" customWidth="1"/>
    <col min="267" max="513" width="8.69921875" style="37"/>
    <col min="514" max="514" width="5.59765625" style="37" bestFit="1" customWidth="1"/>
    <col min="515" max="515" width="38.09765625" style="37" customWidth="1"/>
    <col min="516" max="516" width="9.5" style="37" customWidth="1"/>
    <col min="517" max="517" width="11.19921875" style="37" customWidth="1"/>
    <col min="518" max="518" width="10.5" style="37" customWidth="1"/>
    <col min="519" max="519" width="14.5" style="37" customWidth="1"/>
    <col min="520" max="520" width="11.09765625" style="37" customWidth="1"/>
    <col min="521" max="521" width="10.59765625" style="37" customWidth="1"/>
    <col min="522" max="522" width="11" style="37" customWidth="1"/>
    <col min="523" max="769" width="8.69921875" style="37"/>
    <col min="770" max="770" width="5.59765625" style="37" bestFit="1" customWidth="1"/>
    <col min="771" max="771" width="38.09765625" style="37" customWidth="1"/>
    <col min="772" max="772" width="9.5" style="37" customWidth="1"/>
    <col min="773" max="773" width="11.19921875" style="37" customWidth="1"/>
    <col min="774" max="774" width="10.5" style="37" customWidth="1"/>
    <col min="775" max="775" width="14.5" style="37" customWidth="1"/>
    <col min="776" max="776" width="11.09765625" style="37" customWidth="1"/>
    <col min="777" max="777" width="10.59765625" style="37" customWidth="1"/>
    <col min="778" max="778" width="11" style="37" customWidth="1"/>
    <col min="779" max="1025" width="8.69921875" style="37"/>
    <col min="1026" max="1026" width="5.59765625" style="37" bestFit="1" customWidth="1"/>
    <col min="1027" max="1027" width="38.09765625" style="37" customWidth="1"/>
    <col min="1028" max="1028" width="9.5" style="37" customWidth="1"/>
    <col min="1029" max="1029" width="11.19921875" style="37" customWidth="1"/>
    <col min="1030" max="1030" width="10.5" style="37" customWidth="1"/>
    <col min="1031" max="1031" width="14.5" style="37" customWidth="1"/>
    <col min="1032" max="1032" width="11.09765625" style="37" customWidth="1"/>
    <col min="1033" max="1033" width="10.59765625" style="37" customWidth="1"/>
    <col min="1034" max="1034" width="11" style="37" customWidth="1"/>
    <col min="1035" max="1281" width="8.69921875" style="37"/>
    <col min="1282" max="1282" width="5.59765625" style="37" bestFit="1" customWidth="1"/>
    <col min="1283" max="1283" width="38.09765625" style="37" customWidth="1"/>
    <col min="1284" max="1284" width="9.5" style="37" customWidth="1"/>
    <col min="1285" max="1285" width="11.19921875" style="37" customWidth="1"/>
    <col min="1286" max="1286" width="10.5" style="37" customWidth="1"/>
    <col min="1287" max="1287" width="14.5" style="37" customWidth="1"/>
    <col min="1288" max="1288" width="11.09765625" style="37" customWidth="1"/>
    <col min="1289" max="1289" width="10.59765625" style="37" customWidth="1"/>
    <col min="1290" max="1290" width="11" style="37" customWidth="1"/>
    <col min="1291" max="1537" width="8.69921875" style="37"/>
    <col min="1538" max="1538" width="5.59765625" style="37" bestFit="1" customWidth="1"/>
    <col min="1539" max="1539" width="38.09765625" style="37" customWidth="1"/>
    <col min="1540" max="1540" width="9.5" style="37" customWidth="1"/>
    <col min="1541" max="1541" width="11.19921875" style="37" customWidth="1"/>
    <col min="1542" max="1542" width="10.5" style="37" customWidth="1"/>
    <col min="1543" max="1543" width="14.5" style="37" customWidth="1"/>
    <col min="1544" max="1544" width="11.09765625" style="37" customWidth="1"/>
    <col min="1545" max="1545" width="10.59765625" style="37" customWidth="1"/>
    <col min="1546" max="1546" width="11" style="37" customWidth="1"/>
    <col min="1547" max="1793" width="8.69921875" style="37"/>
    <col min="1794" max="1794" width="5.59765625" style="37" bestFit="1" customWidth="1"/>
    <col min="1795" max="1795" width="38.09765625" style="37" customWidth="1"/>
    <col min="1796" max="1796" width="9.5" style="37" customWidth="1"/>
    <col min="1797" max="1797" width="11.19921875" style="37" customWidth="1"/>
    <col min="1798" max="1798" width="10.5" style="37" customWidth="1"/>
    <col min="1799" max="1799" width="14.5" style="37" customWidth="1"/>
    <col min="1800" max="1800" width="11.09765625" style="37" customWidth="1"/>
    <col min="1801" max="1801" width="10.59765625" style="37" customWidth="1"/>
    <col min="1802" max="1802" width="11" style="37" customWidth="1"/>
    <col min="1803" max="2049" width="8.69921875" style="37"/>
    <col min="2050" max="2050" width="5.59765625" style="37" bestFit="1" customWidth="1"/>
    <col min="2051" max="2051" width="38.09765625" style="37" customWidth="1"/>
    <col min="2052" max="2052" width="9.5" style="37" customWidth="1"/>
    <col min="2053" max="2053" width="11.19921875" style="37" customWidth="1"/>
    <col min="2054" max="2054" width="10.5" style="37" customWidth="1"/>
    <col min="2055" max="2055" width="14.5" style="37" customWidth="1"/>
    <col min="2056" max="2056" width="11.09765625" style="37" customWidth="1"/>
    <col min="2057" max="2057" width="10.59765625" style="37" customWidth="1"/>
    <col min="2058" max="2058" width="11" style="37" customWidth="1"/>
    <col min="2059" max="2305" width="8.69921875" style="37"/>
    <col min="2306" max="2306" width="5.59765625" style="37" bestFit="1" customWidth="1"/>
    <col min="2307" max="2307" width="38.09765625" style="37" customWidth="1"/>
    <col min="2308" max="2308" width="9.5" style="37" customWidth="1"/>
    <col min="2309" max="2309" width="11.19921875" style="37" customWidth="1"/>
    <col min="2310" max="2310" width="10.5" style="37" customWidth="1"/>
    <col min="2311" max="2311" width="14.5" style="37" customWidth="1"/>
    <col min="2312" max="2312" width="11.09765625" style="37" customWidth="1"/>
    <col min="2313" max="2313" width="10.59765625" style="37" customWidth="1"/>
    <col min="2314" max="2314" width="11" style="37" customWidth="1"/>
    <col min="2315" max="2561" width="8.69921875" style="37"/>
    <col min="2562" max="2562" width="5.59765625" style="37" bestFit="1" customWidth="1"/>
    <col min="2563" max="2563" width="38.09765625" style="37" customWidth="1"/>
    <col min="2564" max="2564" width="9.5" style="37" customWidth="1"/>
    <col min="2565" max="2565" width="11.19921875" style="37" customWidth="1"/>
    <col min="2566" max="2566" width="10.5" style="37" customWidth="1"/>
    <col min="2567" max="2567" width="14.5" style="37" customWidth="1"/>
    <col min="2568" max="2568" width="11.09765625" style="37" customWidth="1"/>
    <col min="2569" max="2569" width="10.59765625" style="37" customWidth="1"/>
    <col min="2570" max="2570" width="11" style="37" customWidth="1"/>
    <col min="2571" max="2817" width="8.69921875" style="37"/>
    <col min="2818" max="2818" width="5.59765625" style="37" bestFit="1" customWidth="1"/>
    <col min="2819" max="2819" width="38.09765625" style="37" customWidth="1"/>
    <col min="2820" max="2820" width="9.5" style="37" customWidth="1"/>
    <col min="2821" max="2821" width="11.19921875" style="37" customWidth="1"/>
    <col min="2822" max="2822" width="10.5" style="37" customWidth="1"/>
    <col min="2823" max="2823" width="14.5" style="37" customWidth="1"/>
    <col min="2824" max="2824" width="11.09765625" style="37" customWidth="1"/>
    <col min="2825" max="2825" width="10.59765625" style="37" customWidth="1"/>
    <col min="2826" max="2826" width="11" style="37" customWidth="1"/>
    <col min="2827" max="3073" width="8.69921875" style="37"/>
    <col min="3074" max="3074" width="5.59765625" style="37" bestFit="1" customWidth="1"/>
    <col min="3075" max="3075" width="38.09765625" style="37" customWidth="1"/>
    <col min="3076" max="3076" width="9.5" style="37" customWidth="1"/>
    <col min="3077" max="3077" width="11.19921875" style="37" customWidth="1"/>
    <col min="3078" max="3078" width="10.5" style="37" customWidth="1"/>
    <col min="3079" max="3079" width="14.5" style="37" customWidth="1"/>
    <col min="3080" max="3080" width="11.09765625" style="37" customWidth="1"/>
    <col min="3081" max="3081" width="10.59765625" style="37" customWidth="1"/>
    <col min="3082" max="3082" width="11" style="37" customWidth="1"/>
    <col min="3083" max="3329" width="8.69921875" style="37"/>
    <col min="3330" max="3330" width="5.59765625" style="37" bestFit="1" customWidth="1"/>
    <col min="3331" max="3331" width="38.09765625" style="37" customWidth="1"/>
    <col min="3332" max="3332" width="9.5" style="37" customWidth="1"/>
    <col min="3333" max="3333" width="11.19921875" style="37" customWidth="1"/>
    <col min="3334" max="3334" width="10.5" style="37" customWidth="1"/>
    <col min="3335" max="3335" width="14.5" style="37" customWidth="1"/>
    <col min="3336" max="3336" width="11.09765625" style="37" customWidth="1"/>
    <col min="3337" max="3337" width="10.59765625" style="37" customWidth="1"/>
    <col min="3338" max="3338" width="11" style="37" customWidth="1"/>
    <col min="3339" max="3585" width="8.69921875" style="37"/>
    <col min="3586" max="3586" width="5.59765625" style="37" bestFit="1" customWidth="1"/>
    <col min="3587" max="3587" width="38.09765625" style="37" customWidth="1"/>
    <col min="3588" max="3588" width="9.5" style="37" customWidth="1"/>
    <col min="3589" max="3589" width="11.19921875" style="37" customWidth="1"/>
    <col min="3590" max="3590" width="10.5" style="37" customWidth="1"/>
    <col min="3591" max="3591" width="14.5" style="37" customWidth="1"/>
    <col min="3592" max="3592" width="11.09765625" style="37" customWidth="1"/>
    <col min="3593" max="3593" width="10.59765625" style="37" customWidth="1"/>
    <col min="3594" max="3594" width="11" style="37" customWidth="1"/>
    <col min="3595" max="3841" width="8.69921875" style="37"/>
    <col min="3842" max="3842" width="5.59765625" style="37" bestFit="1" customWidth="1"/>
    <col min="3843" max="3843" width="38.09765625" style="37" customWidth="1"/>
    <col min="3844" max="3844" width="9.5" style="37" customWidth="1"/>
    <col min="3845" max="3845" width="11.19921875" style="37" customWidth="1"/>
    <col min="3846" max="3846" width="10.5" style="37" customWidth="1"/>
    <col min="3847" max="3847" width="14.5" style="37" customWidth="1"/>
    <col min="3848" max="3848" width="11.09765625" style="37" customWidth="1"/>
    <col min="3849" max="3849" width="10.59765625" style="37" customWidth="1"/>
    <col min="3850" max="3850" width="11" style="37" customWidth="1"/>
    <col min="3851" max="4097" width="8.69921875" style="37"/>
    <col min="4098" max="4098" width="5.59765625" style="37" bestFit="1" customWidth="1"/>
    <col min="4099" max="4099" width="38.09765625" style="37" customWidth="1"/>
    <col min="4100" max="4100" width="9.5" style="37" customWidth="1"/>
    <col min="4101" max="4101" width="11.19921875" style="37" customWidth="1"/>
    <col min="4102" max="4102" width="10.5" style="37" customWidth="1"/>
    <col min="4103" max="4103" width="14.5" style="37" customWidth="1"/>
    <col min="4104" max="4104" width="11.09765625" style="37" customWidth="1"/>
    <col min="4105" max="4105" width="10.59765625" style="37" customWidth="1"/>
    <col min="4106" max="4106" width="11" style="37" customWidth="1"/>
    <col min="4107" max="4353" width="8.69921875" style="37"/>
    <col min="4354" max="4354" width="5.59765625" style="37" bestFit="1" customWidth="1"/>
    <col min="4355" max="4355" width="38.09765625" style="37" customWidth="1"/>
    <col min="4356" max="4356" width="9.5" style="37" customWidth="1"/>
    <col min="4357" max="4357" width="11.19921875" style="37" customWidth="1"/>
    <col min="4358" max="4358" width="10.5" style="37" customWidth="1"/>
    <col min="4359" max="4359" width="14.5" style="37" customWidth="1"/>
    <col min="4360" max="4360" width="11.09765625" style="37" customWidth="1"/>
    <col min="4361" max="4361" width="10.59765625" style="37" customWidth="1"/>
    <col min="4362" max="4362" width="11" style="37" customWidth="1"/>
    <col min="4363" max="4609" width="8.69921875" style="37"/>
    <col min="4610" max="4610" width="5.59765625" style="37" bestFit="1" customWidth="1"/>
    <col min="4611" max="4611" width="38.09765625" style="37" customWidth="1"/>
    <col min="4612" max="4612" width="9.5" style="37" customWidth="1"/>
    <col min="4613" max="4613" width="11.19921875" style="37" customWidth="1"/>
    <col min="4614" max="4614" width="10.5" style="37" customWidth="1"/>
    <col min="4615" max="4615" width="14.5" style="37" customWidth="1"/>
    <col min="4616" max="4616" width="11.09765625" style="37" customWidth="1"/>
    <col min="4617" max="4617" width="10.59765625" style="37" customWidth="1"/>
    <col min="4618" max="4618" width="11" style="37" customWidth="1"/>
    <col min="4619" max="4865" width="8.69921875" style="37"/>
    <col min="4866" max="4866" width="5.59765625" style="37" bestFit="1" customWidth="1"/>
    <col min="4867" max="4867" width="38.09765625" style="37" customWidth="1"/>
    <col min="4868" max="4868" width="9.5" style="37" customWidth="1"/>
    <col min="4869" max="4869" width="11.19921875" style="37" customWidth="1"/>
    <col min="4870" max="4870" width="10.5" style="37" customWidth="1"/>
    <col min="4871" max="4871" width="14.5" style="37" customWidth="1"/>
    <col min="4872" max="4872" width="11.09765625" style="37" customWidth="1"/>
    <col min="4873" max="4873" width="10.59765625" style="37" customWidth="1"/>
    <col min="4874" max="4874" width="11" style="37" customWidth="1"/>
    <col min="4875" max="5121" width="8.69921875" style="37"/>
    <col min="5122" max="5122" width="5.59765625" style="37" bestFit="1" customWidth="1"/>
    <col min="5123" max="5123" width="38.09765625" style="37" customWidth="1"/>
    <col min="5124" max="5124" width="9.5" style="37" customWidth="1"/>
    <col min="5125" max="5125" width="11.19921875" style="37" customWidth="1"/>
    <col min="5126" max="5126" width="10.5" style="37" customWidth="1"/>
    <col min="5127" max="5127" width="14.5" style="37" customWidth="1"/>
    <col min="5128" max="5128" width="11.09765625" style="37" customWidth="1"/>
    <col min="5129" max="5129" width="10.59765625" style="37" customWidth="1"/>
    <col min="5130" max="5130" width="11" style="37" customWidth="1"/>
    <col min="5131" max="5377" width="8.69921875" style="37"/>
    <col min="5378" max="5378" width="5.59765625" style="37" bestFit="1" customWidth="1"/>
    <col min="5379" max="5379" width="38.09765625" style="37" customWidth="1"/>
    <col min="5380" max="5380" width="9.5" style="37" customWidth="1"/>
    <col min="5381" max="5381" width="11.19921875" style="37" customWidth="1"/>
    <col min="5382" max="5382" width="10.5" style="37" customWidth="1"/>
    <col min="5383" max="5383" width="14.5" style="37" customWidth="1"/>
    <col min="5384" max="5384" width="11.09765625" style="37" customWidth="1"/>
    <col min="5385" max="5385" width="10.59765625" style="37" customWidth="1"/>
    <col min="5386" max="5386" width="11" style="37" customWidth="1"/>
    <col min="5387" max="5633" width="8.69921875" style="37"/>
    <col min="5634" max="5634" width="5.59765625" style="37" bestFit="1" customWidth="1"/>
    <col min="5635" max="5635" width="38.09765625" style="37" customWidth="1"/>
    <col min="5636" max="5636" width="9.5" style="37" customWidth="1"/>
    <col min="5637" max="5637" width="11.19921875" style="37" customWidth="1"/>
    <col min="5638" max="5638" width="10.5" style="37" customWidth="1"/>
    <col min="5639" max="5639" width="14.5" style="37" customWidth="1"/>
    <col min="5640" max="5640" width="11.09765625" style="37" customWidth="1"/>
    <col min="5641" max="5641" width="10.59765625" style="37" customWidth="1"/>
    <col min="5642" max="5642" width="11" style="37" customWidth="1"/>
    <col min="5643" max="5889" width="8.69921875" style="37"/>
    <col min="5890" max="5890" width="5.59765625" style="37" bestFit="1" customWidth="1"/>
    <col min="5891" max="5891" width="38.09765625" style="37" customWidth="1"/>
    <col min="5892" max="5892" width="9.5" style="37" customWidth="1"/>
    <col min="5893" max="5893" width="11.19921875" style="37" customWidth="1"/>
    <col min="5894" max="5894" width="10.5" style="37" customWidth="1"/>
    <col min="5895" max="5895" width="14.5" style="37" customWidth="1"/>
    <col min="5896" max="5896" width="11.09765625" style="37" customWidth="1"/>
    <col min="5897" max="5897" width="10.59765625" style="37" customWidth="1"/>
    <col min="5898" max="5898" width="11" style="37" customWidth="1"/>
    <col min="5899" max="6145" width="8.69921875" style="37"/>
    <col min="6146" max="6146" width="5.59765625" style="37" bestFit="1" customWidth="1"/>
    <col min="6147" max="6147" width="38.09765625" style="37" customWidth="1"/>
    <col min="6148" max="6148" width="9.5" style="37" customWidth="1"/>
    <col min="6149" max="6149" width="11.19921875" style="37" customWidth="1"/>
    <col min="6150" max="6150" width="10.5" style="37" customWidth="1"/>
    <col min="6151" max="6151" width="14.5" style="37" customWidth="1"/>
    <col min="6152" max="6152" width="11.09765625" style="37" customWidth="1"/>
    <col min="6153" max="6153" width="10.59765625" style="37" customWidth="1"/>
    <col min="6154" max="6154" width="11" style="37" customWidth="1"/>
    <col min="6155" max="6401" width="8.69921875" style="37"/>
    <col min="6402" max="6402" width="5.59765625" style="37" bestFit="1" customWidth="1"/>
    <col min="6403" max="6403" width="38.09765625" style="37" customWidth="1"/>
    <col min="6404" max="6404" width="9.5" style="37" customWidth="1"/>
    <col min="6405" max="6405" width="11.19921875" style="37" customWidth="1"/>
    <col min="6406" max="6406" width="10.5" style="37" customWidth="1"/>
    <col min="6407" max="6407" width="14.5" style="37" customWidth="1"/>
    <col min="6408" max="6408" width="11.09765625" style="37" customWidth="1"/>
    <col min="6409" max="6409" width="10.59765625" style="37" customWidth="1"/>
    <col min="6410" max="6410" width="11" style="37" customWidth="1"/>
    <col min="6411" max="6657" width="8.69921875" style="37"/>
    <col min="6658" max="6658" width="5.59765625" style="37" bestFit="1" customWidth="1"/>
    <col min="6659" max="6659" width="38.09765625" style="37" customWidth="1"/>
    <col min="6660" max="6660" width="9.5" style="37" customWidth="1"/>
    <col min="6661" max="6661" width="11.19921875" style="37" customWidth="1"/>
    <col min="6662" max="6662" width="10.5" style="37" customWidth="1"/>
    <col min="6663" max="6663" width="14.5" style="37" customWidth="1"/>
    <col min="6664" max="6664" width="11.09765625" style="37" customWidth="1"/>
    <col min="6665" max="6665" width="10.59765625" style="37" customWidth="1"/>
    <col min="6666" max="6666" width="11" style="37" customWidth="1"/>
    <col min="6667" max="6913" width="8.69921875" style="37"/>
    <col min="6914" max="6914" width="5.59765625" style="37" bestFit="1" customWidth="1"/>
    <col min="6915" max="6915" width="38.09765625" style="37" customWidth="1"/>
    <col min="6916" max="6916" width="9.5" style="37" customWidth="1"/>
    <col min="6917" max="6917" width="11.19921875" style="37" customWidth="1"/>
    <col min="6918" max="6918" width="10.5" style="37" customWidth="1"/>
    <col min="6919" max="6919" width="14.5" style="37" customWidth="1"/>
    <col min="6920" max="6920" width="11.09765625" style="37" customWidth="1"/>
    <col min="6921" max="6921" width="10.59765625" style="37" customWidth="1"/>
    <col min="6922" max="6922" width="11" style="37" customWidth="1"/>
    <col min="6923" max="7169" width="8.69921875" style="37"/>
    <col min="7170" max="7170" width="5.59765625" style="37" bestFit="1" customWidth="1"/>
    <col min="7171" max="7171" width="38.09765625" style="37" customWidth="1"/>
    <col min="7172" max="7172" width="9.5" style="37" customWidth="1"/>
    <col min="7173" max="7173" width="11.19921875" style="37" customWidth="1"/>
    <col min="7174" max="7174" width="10.5" style="37" customWidth="1"/>
    <col min="7175" max="7175" width="14.5" style="37" customWidth="1"/>
    <col min="7176" max="7176" width="11.09765625" style="37" customWidth="1"/>
    <col min="7177" max="7177" width="10.59765625" style="37" customWidth="1"/>
    <col min="7178" max="7178" width="11" style="37" customWidth="1"/>
    <col min="7179" max="7425" width="8.69921875" style="37"/>
    <col min="7426" max="7426" width="5.59765625" style="37" bestFit="1" customWidth="1"/>
    <col min="7427" max="7427" width="38.09765625" style="37" customWidth="1"/>
    <col min="7428" max="7428" width="9.5" style="37" customWidth="1"/>
    <col min="7429" max="7429" width="11.19921875" style="37" customWidth="1"/>
    <col min="7430" max="7430" width="10.5" style="37" customWidth="1"/>
    <col min="7431" max="7431" width="14.5" style="37" customWidth="1"/>
    <col min="7432" max="7432" width="11.09765625" style="37" customWidth="1"/>
    <col min="7433" max="7433" width="10.59765625" style="37" customWidth="1"/>
    <col min="7434" max="7434" width="11" style="37" customWidth="1"/>
    <col min="7435" max="7681" width="8.69921875" style="37"/>
    <col min="7682" max="7682" width="5.59765625" style="37" bestFit="1" customWidth="1"/>
    <col min="7683" max="7683" width="38.09765625" style="37" customWidth="1"/>
    <col min="7684" max="7684" width="9.5" style="37" customWidth="1"/>
    <col min="7685" max="7685" width="11.19921875" style="37" customWidth="1"/>
    <col min="7686" max="7686" width="10.5" style="37" customWidth="1"/>
    <col min="7687" max="7687" width="14.5" style="37" customWidth="1"/>
    <col min="7688" max="7688" width="11.09765625" style="37" customWidth="1"/>
    <col min="7689" max="7689" width="10.59765625" style="37" customWidth="1"/>
    <col min="7690" max="7690" width="11" style="37" customWidth="1"/>
    <col min="7691" max="7937" width="8.69921875" style="37"/>
    <col min="7938" max="7938" width="5.59765625" style="37" bestFit="1" customWidth="1"/>
    <col min="7939" max="7939" width="38.09765625" style="37" customWidth="1"/>
    <col min="7940" max="7940" width="9.5" style="37" customWidth="1"/>
    <col min="7941" max="7941" width="11.19921875" style="37" customWidth="1"/>
    <col min="7942" max="7942" width="10.5" style="37" customWidth="1"/>
    <col min="7943" max="7943" width="14.5" style="37" customWidth="1"/>
    <col min="7944" max="7944" width="11.09765625" style="37" customWidth="1"/>
    <col min="7945" max="7945" width="10.59765625" style="37" customWidth="1"/>
    <col min="7946" max="7946" width="11" style="37" customWidth="1"/>
    <col min="7947" max="8193" width="8.69921875" style="37"/>
    <col min="8194" max="8194" width="5.59765625" style="37" bestFit="1" customWidth="1"/>
    <col min="8195" max="8195" width="38.09765625" style="37" customWidth="1"/>
    <col min="8196" max="8196" width="9.5" style="37" customWidth="1"/>
    <col min="8197" max="8197" width="11.19921875" style="37" customWidth="1"/>
    <col min="8198" max="8198" width="10.5" style="37" customWidth="1"/>
    <col min="8199" max="8199" width="14.5" style="37" customWidth="1"/>
    <col min="8200" max="8200" width="11.09765625" style="37" customWidth="1"/>
    <col min="8201" max="8201" width="10.59765625" style="37" customWidth="1"/>
    <col min="8202" max="8202" width="11" style="37" customWidth="1"/>
    <col min="8203" max="8449" width="8.69921875" style="37"/>
    <col min="8450" max="8450" width="5.59765625" style="37" bestFit="1" customWidth="1"/>
    <col min="8451" max="8451" width="38.09765625" style="37" customWidth="1"/>
    <col min="8452" max="8452" width="9.5" style="37" customWidth="1"/>
    <col min="8453" max="8453" width="11.19921875" style="37" customWidth="1"/>
    <col min="8454" max="8454" width="10.5" style="37" customWidth="1"/>
    <col min="8455" max="8455" width="14.5" style="37" customWidth="1"/>
    <col min="8456" max="8456" width="11.09765625" style="37" customWidth="1"/>
    <col min="8457" max="8457" width="10.59765625" style="37" customWidth="1"/>
    <col min="8458" max="8458" width="11" style="37" customWidth="1"/>
    <col min="8459" max="8705" width="8.69921875" style="37"/>
    <col min="8706" max="8706" width="5.59765625" style="37" bestFit="1" customWidth="1"/>
    <col min="8707" max="8707" width="38.09765625" style="37" customWidth="1"/>
    <col min="8708" max="8708" width="9.5" style="37" customWidth="1"/>
    <col min="8709" max="8709" width="11.19921875" style="37" customWidth="1"/>
    <col min="8710" max="8710" width="10.5" style="37" customWidth="1"/>
    <col min="8711" max="8711" width="14.5" style="37" customWidth="1"/>
    <col min="8712" max="8712" width="11.09765625" style="37" customWidth="1"/>
    <col min="8713" max="8713" width="10.59765625" style="37" customWidth="1"/>
    <col min="8714" max="8714" width="11" style="37" customWidth="1"/>
    <col min="8715" max="8961" width="8.69921875" style="37"/>
    <col min="8962" max="8962" width="5.59765625" style="37" bestFit="1" customWidth="1"/>
    <col min="8963" max="8963" width="38.09765625" style="37" customWidth="1"/>
    <col min="8964" max="8964" width="9.5" style="37" customWidth="1"/>
    <col min="8965" max="8965" width="11.19921875" style="37" customWidth="1"/>
    <col min="8966" max="8966" width="10.5" style="37" customWidth="1"/>
    <col min="8967" max="8967" width="14.5" style="37" customWidth="1"/>
    <col min="8968" max="8968" width="11.09765625" style="37" customWidth="1"/>
    <col min="8969" max="8969" width="10.59765625" style="37" customWidth="1"/>
    <col min="8970" max="8970" width="11" style="37" customWidth="1"/>
    <col min="8971" max="9217" width="8.69921875" style="37"/>
    <col min="9218" max="9218" width="5.59765625" style="37" bestFit="1" customWidth="1"/>
    <col min="9219" max="9219" width="38.09765625" style="37" customWidth="1"/>
    <col min="9220" max="9220" width="9.5" style="37" customWidth="1"/>
    <col min="9221" max="9221" width="11.19921875" style="37" customWidth="1"/>
    <col min="9222" max="9222" width="10.5" style="37" customWidth="1"/>
    <col min="9223" max="9223" width="14.5" style="37" customWidth="1"/>
    <col min="9224" max="9224" width="11.09765625" style="37" customWidth="1"/>
    <col min="9225" max="9225" width="10.59765625" style="37" customWidth="1"/>
    <col min="9226" max="9226" width="11" style="37" customWidth="1"/>
    <col min="9227" max="9473" width="8.69921875" style="37"/>
    <col min="9474" max="9474" width="5.59765625" style="37" bestFit="1" customWidth="1"/>
    <col min="9475" max="9475" width="38.09765625" style="37" customWidth="1"/>
    <col min="9476" max="9476" width="9.5" style="37" customWidth="1"/>
    <col min="9477" max="9477" width="11.19921875" style="37" customWidth="1"/>
    <col min="9478" max="9478" width="10.5" style="37" customWidth="1"/>
    <col min="9479" max="9479" width="14.5" style="37" customWidth="1"/>
    <col min="9480" max="9480" width="11.09765625" style="37" customWidth="1"/>
    <col min="9481" max="9481" width="10.59765625" style="37" customWidth="1"/>
    <col min="9482" max="9482" width="11" style="37" customWidth="1"/>
    <col min="9483" max="9729" width="8.69921875" style="37"/>
    <col min="9730" max="9730" width="5.59765625" style="37" bestFit="1" customWidth="1"/>
    <col min="9731" max="9731" width="38.09765625" style="37" customWidth="1"/>
    <col min="9732" max="9732" width="9.5" style="37" customWidth="1"/>
    <col min="9733" max="9733" width="11.19921875" style="37" customWidth="1"/>
    <col min="9734" max="9734" width="10.5" style="37" customWidth="1"/>
    <col min="9735" max="9735" width="14.5" style="37" customWidth="1"/>
    <col min="9736" max="9736" width="11.09765625" style="37" customWidth="1"/>
    <col min="9737" max="9737" width="10.59765625" style="37" customWidth="1"/>
    <col min="9738" max="9738" width="11" style="37" customWidth="1"/>
    <col min="9739" max="9985" width="8.69921875" style="37"/>
    <col min="9986" max="9986" width="5.59765625" style="37" bestFit="1" customWidth="1"/>
    <col min="9987" max="9987" width="38.09765625" style="37" customWidth="1"/>
    <col min="9988" max="9988" width="9.5" style="37" customWidth="1"/>
    <col min="9989" max="9989" width="11.19921875" style="37" customWidth="1"/>
    <col min="9990" max="9990" width="10.5" style="37" customWidth="1"/>
    <col min="9991" max="9991" width="14.5" style="37" customWidth="1"/>
    <col min="9992" max="9992" width="11.09765625" style="37" customWidth="1"/>
    <col min="9993" max="9993" width="10.59765625" style="37" customWidth="1"/>
    <col min="9994" max="9994" width="11" style="37" customWidth="1"/>
    <col min="9995" max="10241" width="8.69921875" style="37"/>
    <col min="10242" max="10242" width="5.59765625" style="37" bestFit="1" customWidth="1"/>
    <col min="10243" max="10243" width="38.09765625" style="37" customWidth="1"/>
    <col min="10244" max="10244" width="9.5" style="37" customWidth="1"/>
    <col min="10245" max="10245" width="11.19921875" style="37" customWidth="1"/>
    <col min="10246" max="10246" width="10.5" style="37" customWidth="1"/>
    <col min="10247" max="10247" width="14.5" style="37" customWidth="1"/>
    <col min="10248" max="10248" width="11.09765625" style="37" customWidth="1"/>
    <col min="10249" max="10249" width="10.59765625" style="37" customWidth="1"/>
    <col min="10250" max="10250" width="11" style="37" customWidth="1"/>
    <col min="10251" max="10497" width="8.69921875" style="37"/>
    <col min="10498" max="10498" width="5.59765625" style="37" bestFit="1" customWidth="1"/>
    <col min="10499" max="10499" width="38.09765625" style="37" customWidth="1"/>
    <col min="10500" max="10500" width="9.5" style="37" customWidth="1"/>
    <col min="10501" max="10501" width="11.19921875" style="37" customWidth="1"/>
    <col min="10502" max="10502" width="10.5" style="37" customWidth="1"/>
    <col min="10503" max="10503" width="14.5" style="37" customWidth="1"/>
    <col min="10504" max="10504" width="11.09765625" style="37" customWidth="1"/>
    <col min="10505" max="10505" width="10.59765625" style="37" customWidth="1"/>
    <col min="10506" max="10506" width="11" style="37" customWidth="1"/>
    <col min="10507" max="10753" width="8.69921875" style="37"/>
    <col min="10754" max="10754" width="5.59765625" style="37" bestFit="1" customWidth="1"/>
    <col min="10755" max="10755" width="38.09765625" style="37" customWidth="1"/>
    <col min="10756" max="10756" width="9.5" style="37" customWidth="1"/>
    <col min="10757" max="10757" width="11.19921875" style="37" customWidth="1"/>
    <col min="10758" max="10758" width="10.5" style="37" customWidth="1"/>
    <col min="10759" max="10759" width="14.5" style="37" customWidth="1"/>
    <col min="10760" max="10760" width="11.09765625" style="37" customWidth="1"/>
    <col min="10761" max="10761" width="10.59765625" style="37" customWidth="1"/>
    <col min="10762" max="10762" width="11" style="37" customWidth="1"/>
    <col min="10763" max="11009" width="8.69921875" style="37"/>
    <col min="11010" max="11010" width="5.59765625" style="37" bestFit="1" customWidth="1"/>
    <col min="11011" max="11011" width="38.09765625" style="37" customWidth="1"/>
    <col min="11012" max="11012" width="9.5" style="37" customWidth="1"/>
    <col min="11013" max="11013" width="11.19921875" style="37" customWidth="1"/>
    <col min="11014" max="11014" width="10.5" style="37" customWidth="1"/>
    <col min="11015" max="11015" width="14.5" style="37" customWidth="1"/>
    <col min="11016" max="11016" width="11.09765625" style="37" customWidth="1"/>
    <col min="11017" max="11017" width="10.59765625" style="37" customWidth="1"/>
    <col min="11018" max="11018" width="11" style="37" customWidth="1"/>
    <col min="11019" max="11265" width="8.69921875" style="37"/>
    <col min="11266" max="11266" width="5.59765625" style="37" bestFit="1" customWidth="1"/>
    <col min="11267" max="11267" width="38.09765625" style="37" customWidth="1"/>
    <col min="11268" max="11268" width="9.5" style="37" customWidth="1"/>
    <col min="11269" max="11269" width="11.19921875" style="37" customWidth="1"/>
    <col min="11270" max="11270" width="10.5" style="37" customWidth="1"/>
    <col min="11271" max="11271" width="14.5" style="37" customWidth="1"/>
    <col min="11272" max="11272" width="11.09765625" style="37" customWidth="1"/>
    <col min="11273" max="11273" width="10.59765625" style="37" customWidth="1"/>
    <col min="11274" max="11274" width="11" style="37" customWidth="1"/>
    <col min="11275" max="11521" width="8.69921875" style="37"/>
    <col min="11522" max="11522" width="5.59765625" style="37" bestFit="1" customWidth="1"/>
    <col min="11523" max="11523" width="38.09765625" style="37" customWidth="1"/>
    <col min="11524" max="11524" width="9.5" style="37" customWidth="1"/>
    <col min="11525" max="11525" width="11.19921875" style="37" customWidth="1"/>
    <col min="11526" max="11526" width="10.5" style="37" customWidth="1"/>
    <col min="11527" max="11527" width="14.5" style="37" customWidth="1"/>
    <col min="11528" max="11528" width="11.09765625" style="37" customWidth="1"/>
    <col min="11529" max="11529" width="10.59765625" style="37" customWidth="1"/>
    <col min="11530" max="11530" width="11" style="37" customWidth="1"/>
    <col min="11531" max="11777" width="8.69921875" style="37"/>
    <col min="11778" max="11778" width="5.59765625" style="37" bestFit="1" customWidth="1"/>
    <col min="11779" max="11779" width="38.09765625" style="37" customWidth="1"/>
    <col min="11780" max="11780" width="9.5" style="37" customWidth="1"/>
    <col min="11781" max="11781" width="11.19921875" style="37" customWidth="1"/>
    <col min="11782" max="11782" width="10.5" style="37" customWidth="1"/>
    <col min="11783" max="11783" width="14.5" style="37" customWidth="1"/>
    <col min="11784" max="11784" width="11.09765625" style="37" customWidth="1"/>
    <col min="11785" max="11785" width="10.59765625" style="37" customWidth="1"/>
    <col min="11786" max="11786" width="11" style="37" customWidth="1"/>
    <col min="11787" max="12033" width="8.69921875" style="37"/>
    <col min="12034" max="12034" width="5.59765625" style="37" bestFit="1" customWidth="1"/>
    <col min="12035" max="12035" width="38.09765625" style="37" customWidth="1"/>
    <col min="12036" max="12036" width="9.5" style="37" customWidth="1"/>
    <col min="12037" max="12037" width="11.19921875" style="37" customWidth="1"/>
    <col min="12038" max="12038" width="10.5" style="37" customWidth="1"/>
    <col min="12039" max="12039" width="14.5" style="37" customWidth="1"/>
    <col min="12040" max="12040" width="11.09765625" style="37" customWidth="1"/>
    <col min="12041" max="12041" width="10.59765625" style="37" customWidth="1"/>
    <col min="12042" max="12042" width="11" style="37" customWidth="1"/>
    <col min="12043" max="12289" width="8.69921875" style="37"/>
    <col min="12290" max="12290" width="5.59765625" style="37" bestFit="1" customWidth="1"/>
    <col min="12291" max="12291" width="38.09765625" style="37" customWidth="1"/>
    <col min="12292" max="12292" width="9.5" style="37" customWidth="1"/>
    <col min="12293" max="12293" width="11.19921875" style="37" customWidth="1"/>
    <col min="12294" max="12294" width="10.5" style="37" customWidth="1"/>
    <col min="12295" max="12295" width="14.5" style="37" customWidth="1"/>
    <col min="12296" max="12296" width="11.09765625" style="37" customWidth="1"/>
    <col min="12297" max="12297" width="10.59765625" style="37" customWidth="1"/>
    <col min="12298" max="12298" width="11" style="37" customWidth="1"/>
    <col min="12299" max="12545" width="8.69921875" style="37"/>
    <col min="12546" max="12546" width="5.59765625" style="37" bestFit="1" customWidth="1"/>
    <col min="12547" max="12547" width="38.09765625" style="37" customWidth="1"/>
    <col min="12548" max="12548" width="9.5" style="37" customWidth="1"/>
    <col min="12549" max="12549" width="11.19921875" style="37" customWidth="1"/>
    <col min="12550" max="12550" width="10.5" style="37" customWidth="1"/>
    <col min="12551" max="12551" width="14.5" style="37" customWidth="1"/>
    <col min="12552" max="12552" width="11.09765625" style="37" customWidth="1"/>
    <col min="12553" max="12553" width="10.59765625" style="37" customWidth="1"/>
    <col min="12554" max="12554" width="11" style="37" customWidth="1"/>
    <col min="12555" max="12801" width="8.69921875" style="37"/>
    <col min="12802" max="12802" width="5.59765625" style="37" bestFit="1" customWidth="1"/>
    <col min="12803" max="12803" width="38.09765625" style="37" customWidth="1"/>
    <col min="12804" max="12804" width="9.5" style="37" customWidth="1"/>
    <col min="12805" max="12805" width="11.19921875" style="37" customWidth="1"/>
    <col min="12806" max="12806" width="10.5" style="37" customWidth="1"/>
    <col min="12807" max="12807" width="14.5" style="37" customWidth="1"/>
    <col min="12808" max="12808" width="11.09765625" style="37" customWidth="1"/>
    <col min="12809" max="12809" width="10.59765625" style="37" customWidth="1"/>
    <col min="12810" max="12810" width="11" style="37" customWidth="1"/>
    <col min="12811" max="13057" width="8.69921875" style="37"/>
    <col min="13058" max="13058" width="5.59765625" style="37" bestFit="1" customWidth="1"/>
    <col min="13059" max="13059" width="38.09765625" style="37" customWidth="1"/>
    <col min="13060" max="13060" width="9.5" style="37" customWidth="1"/>
    <col min="13061" max="13061" width="11.19921875" style="37" customWidth="1"/>
    <col min="13062" max="13062" width="10.5" style="37" customWidth="1"/>
    <col min="13063" max="13063" width="14.5" style="37" customWidth="1"/>
    <col min="13064" max="13064" width="11.09765625" style="37" customWidth="1"/>
    <col min="13065" max="13065" width="10.59765625" style="37" customWidth="1"/>
    <col min="13066" max="13066" width="11" style="37" customWidth="1"/>
    <col min="13067" max="13313" width="8.69921875" style="37"/>
    <col min="13314" max="13314" width="5.59765625" style="37" bestFit="1" customWidth="1"/>
    <col min="13315" max="13315" width="38.09765625" style="37" customWidth="1"/>
    <col min="13316" max="13316" width="9.5" style="37" customWidth="1"/>
    <col min="13317" max="13317" width="11.19921875" style="37" customWidth="1"/>
    <col min="13318" max="13318" width="10.5" style="37" customWidth="1"/>
    <col min="13319" max="13319" width="14.5" style="37" customWidth="1"/>
    <col min="13320" max="13320" width="11.09765625" style="37" customWidth="1"/>
    <col min="13321" max="13321" width="10.59765625" style="37" customWidth="1"/>
    <col min="13322" max="13322" width="11" style="37" customWidth="1"/>
    <col min="13323" max="13569" width="8.69921875" style="37"/>
    <col min="13570" max="13570" width="5.59765625" style="37" bestFit="1" customWidth="1"/>
    <col min="13571" max="13571" width="38.09765625" style="37" customWidth="1"/>
    <col min="13572" max="13572" width="9.5" style="37" customWidth="1"/>
    <col min="13573" max="13573" width="11.19921875" style="37" customWidth="1"/>
    <col min="13574" max="13574" width="10.5" style="37" customWidth="1"/>
    <col min="13575" max="13575" width="14.5" style="37" customWidth="1"/>
    <col min="13576" max="13576" width="11.09765625" style="37" customWidth="1"/>
    <col min="13577" max="13577" width="10.59765625" style="37" customWidth="1"/>
    <col min="13578" max="13578" width="11" style="37" customWidth="1"/>
    <col min="13579" max="13825" width="8.69921875" style="37"/>
    <col min="13826" max="13826" width="5.59765625" style="37" bestFit="1" customWidth="1"/>
    <col min="13827" max="13827" width="38.09765625" style="37" customWidth="1"/>
    <col min="13828" max="13828" width="9.5" style="37" customWidth="1"/>
    <col min="13829" max="13829" width="11.19921875" style="37" customWidth="1"/>
    <col min="13830" max="13830" width="10.5" style="37" customWidth="1"/>
    <col min="13831" max="13831" width="14.5" style="37" customWidth="1"/>
    <col min="13832" max="13832" width="11.09765625" style="37" customWidth="1"/>
    <col min="13833" max="13833" width="10.59765625" style="37" customWidth="1"/>
    <col min="13834" max="13834" width="11" style="37" customWidth="1"/>
    <col min="13835" max="14081" width="8.69921875" style="37"/>
    <col min="14082" max="14082" width="5.59765625" style="37" bestFit="1" customWidth="1"/>
    <col min="14083" max="14083" width="38.09765625" style="37" customWidth="1"/>
    <col min="14084" max="14084" width="9.5" style="37" customWidth="1"/>
    <col min="14085" max="14085" width="11.19921875" style="37" customWidth="1"/>
    <col min="14086" max="14086" width="10.5" style="37" customWidth="1"/>
    <col min="14087" max="14087" width="14.5" style="37" customWidth="1"/>
    <col min="14088" max="14088" width="11.09765625" style="37" customWidth="1"/>
    <col min="14089" max="14089" width="10.59765625" style="37" customWidth="1"/>
    <col min="14090" max="14090" width="11" style="37" customWidth="1"/>
    <col min="14091" max="14337" width="8.69921875" style="37"/>
    <col min="14338" max="14338" width="5.59765625" style="37" bestFit="1" customWidth="1"/>
    <col min="14339" max="14339" width="38.09765625" style="37" customWidth="1"/>
    <col min="14340" max="14340" width="9.5" style="37" customWidth="1"/>
    <col min="14341" max="14341" width="11.19921875" style="37" customWidth="1"/>
    <col min="14342" max="14342" width="10.5" style="37" customWidth="1"/>
    <col min="14343" max="14343" width="14.5" style="37" customWidth="1"/>
    <col min="14344" max="14344" width="11.09765625" style="37" customWidth="1"/>
    <col min="14345" max="14345" width="10.59765625" style="37" customWidth="1"/>
    <col min="14346" max="14346" width="11" style="37" customWidth="1"/>
    <col min="14347" max="14593" width="8.69921875" style="37"/>
    <col min="14594" max="14594" width="5.59765625" style="37" bestFit="1" customWidth="1"/>
    <col min="14595" max="14595" width="38.09765625" style="37" customWidth="1"/>
    <col min="14596" max="14596" width="9.5" style="37" customWidth="1"/>
    <col min="14597" max="14597" width="11.19921875" style="37" customWidth="1"/>
    <col min="14598" max="14598" width="10.5" style="37" customWidth="1"/>
    <col min="14599" max="14599" width="14.5" style="37" customWidth="1"/>
    <col min="14600" max="14600" width="11.09765625" style="37" customWidth="1"/>
    <col min="14601" max="14601" width="10.59765625" style="37" customWidth="1"/>
    <col min="14602" max="14602" width="11" style="37" customWidth="1"/>
    <col min="14603" max="14849" width="8.69921875" style="37"/>
    <col min="14850" max="14850" width="5.59765625" style="37" bestFit="1" customWidth="1"/>
    <col min="14851" max="14851" width="38.09765625" style="37" customWidth="1"/>
    <col min="14852" max="14852" width="9.5" style="37" customWidth="1"/>
    <col min="14853" max="14853" width="11.19921875" style="37" customWidth="1"/>
    <col min="14854" max="14854" width="10.5" style="37" customWidth="1"/>
    <col min="14855" max="14855" width="14.5" style="37" customWidth="1"/>
    <col min="14856" max="14856" width="11.09765625" style="37" customWidth="1"/>
    <col min="14857" max="14857" width="10.59765625" style="37" customWidth="1"/>
    <col min="14858" max="14858" width="11" style="37" customWidth="1"/>
    <col min="14859" max="15105" width="8.69921875" style="37"/>
    <col min="15106" max="15106" width="5.59765625" style="37" bestFit="1" customWidth="1"/>
    <col min="15107" max="15107" width="38.09765625" style="37" customWidth="1"/>
    <col min="15108" max="15108" width="9.5" style="37" customWidth="1"/>
    <col min="15109" max="15109" width="11.19921875" style="37" customWidth="1"/>
    <col min="15110" max="15110" width="10.5" style="37" customWidth="1"/>
    <col min="15111" max="15111" width="14.5" style="37" customWidth="1"/>
    <col min="15112" max="15112" width="11.09765625" style="37" customWidth="1"/>
    <col min="15113" max="15113" width="10.59765625" style="37" customWidth="1"/>
    <col min="15114" max="15114" width="11" style="37" customWidth="1"/>
    <col min="15115" max="15361" width="8.69921875" style="37"/>
    <col min="15362" max="15362" width="5.59765625" style="37" bestFit="1" customWidth="1"/>
    <col min="15363" max="15363" width="38.09765625" style="37" customWidth="1"/>
    <col min="15364" max="15364" width="9.5" style="37" customWidth="1"/>
    <col min="15365" max="15365" width="11.19921875" style="37" customWidth="1"/>
    <col min="15366" max="15366" width="10.5" style="37" customWidth="1"/>
    <col min="15367" max="15367" width="14.5" style="37" customWidth="1"/>
    <col min="15368" max="15368" width="11.09765625" style="37" customWidth="1"/>
    <col min="15369" max="15369" width="10.59765625" style="37" customWidth="1"/>
    <col min="15370" max="15370" width="11" style="37" customWidth="1"/>
    <col min="15371" max="15617" width="8.69921875" style="37"/>
    <col min="15618" max="15618" width="5.59765625" style="37" bestFit="1" customWidth="1"/>
    <col min="15619" max="15619" width="38.09765625" style="37" customWidth="1"/>
    <col min="15620" max="15620" width="9.5" style="37" customWidth="1"/>
    <col min="15621" max="15621" width="11.19921875" style="37" customWidth="1"/>
    <col min="15622" max="15622" width="10.5" style="37" customWidth="1"/>
    <col min="15623" max="15623" width="14.5" style="37" customWidth="1"/>
    <col min="15624" max="15624" width="11.09765625" style="37" customWidth="1"/>
    <col min="15625" max="15625" width="10.59765625" style="37" customWidth="1"/>
    <col min="15626" max="15626" width="11" style="37" customWidth="1"/>
    <col min="15627" max="15873" width="8.69921875" style="37"/>
    <col min="15874" max="15874" width="5.59765625" style="37" bestFit="1" customWidth="1"/>
    <col min="15875" max="15875" width="38.09765625" style="37" customWidth="1"/>
    <col min="15876" max="15876" width="9.5" style="37" customWidth="1"/>
    <col min="15877" max="15877" width="11.19921875" style="37" customWidth="1"/>
    <col min="15878" max="15878" width="10.5" style="37" customWidth="1"/>
    <col min="15879" max="15879" width="14.5" style="37" customWidth="1"/>
    <col min="15880" max="15880" width="11.09765625" style="37" customWidth="1"/>
    <col min="15881" max="15881" width="10.59765625" style="37" customWidth="1"/>
    <col min="15882" max="15882" width="11" style="37" customWidth="1"/>
    <col min="15883" max="16129" width="8.69921875" style="37"/>
    <col min="16130" max="16130" width="5.59765625" style="37" bestFit="1" customWidth="1"/>
    <col min="16131" max="16131" width="38.09765625" style="37" customWidth="1"/>
    <col min="16132" max="16132" width="9.5" style="37" customWidth="1"/>
    <col min="16133" max="16133" width="11.19921875" style="37" customWidth="1"/>
    <col min="16134" max="16134" width="10.5" style="37" customWidth="1"/>
    <col min="16135" max="16135" width="14.5" style="37" customWidth="1"/>
    <col min="16136" max="16136" width="11.09765625" style="37" customWidth="1"/>
    <col min="16137" max="16137" width="10.59765625" style="37" customWidth="1"/>
    <col min="16138" max="16138" width="11" style="37" customWidth="1"/>
    <col min="16139" max="16384" width="8.69921875" style="37"/>
  </cols>
  <sheetData>
    <row r="1" spans="1:100">
      <c r="A1" s="1319"/>
      <c r="I1" s="37" t="s">
        <v>227</v>
      </c>
      <c r="AE1" s="37" t="s">
        <v>635</v>
      </c>
      <c r="AJ1" s="37" t="s">
        <v>634</v>
      </c>
      <c r="AR1" s="37" t="s">
        <v>634</v>
      </c>
      <c r="AZ1" s="37" t="s">
        <v>634</v>
      </c>
      <c r="BH1" s="37" t="s">
        <v>634</v>
      </c>
      <c r="BP1" s="37" t="s">
        <v>634</v>
      </c>
      <c r="BX1" s="37" t="s">
        <v>634</v>
      </c>
      <c r="CF1" s="37" t="s">
        <v>634</v>
      </c>
      <c r="CN1" s="37" t="s">
        <v>634</v>
      </c>
      <c r="CV1" s="37" t="s">
        <v>634</v>
      </c>
    </row>
    <row r="2" spans="1:100">
      <c r="A2" s="4191" t="s">
        <v>685</v>
      </c>
      <c r="B2" s="4191"/>
      <c r="C2" s="4191"/>
      <c r="D2" s="4191"/>
      <c r="E2" s="4191"/>
      <c r="F2" s="4191"/>
      <c r="G2" s="4191"/>
      <c r="H2" s="4191"/>
      <c r="I2" s="4191"/>
      <c r="J2" s="4191"/>
    </row>
    <row r="3" spans="1:100">
      <c r="A3" s="210"/>
      <c r="B3" s="210"/>
      <c r="C3" s="210"/>
      <c r="D3" s="210"/>
      <c r="E3" s="210"/>
      <c r="F3" s="210"/>
      <c r="G3" s="210"/>
      <c r="H3" s="210"/>
      <c r="I3" s="210"/>
      <c r="J3" s="210"/>
    </row>
    <row r="4" spans="1:100" ht="18" customHeight="1">
      <c r="A4" s="4192" t="s">
        <v>244</v>
      </c>
      <c r="B4" s="4190" t="s">
        <v>640</v>
      </c>
      <c r="C4" s="4190" t="s">
        <v>686</v>
      </c>
      <c r="D4" s="4190" t="s">
        <v>687</v>
      </c>
      <c r="E4" s="4190"/>
      <c r="F4" s="4190" t="s">
        <v>368</v>
      </c>
      <c r="G4" s="4190"/>
      <c r="H4" s="4193" t="s">
        <v>568</v>
      </c>
      <c r="I4" s="4194"/>
      <c r="J4" s="4190" t="s">
        <v>688</v>
      </c>
      <c r="K4" s="4190" t="s">
        <v>689</v>
      </c>
      <c r="L4" s="4190" t="s">
        <v>688</v>
      </c>
      <c r="M4" s="4190" t="s">
        <v>689</v>
      </c>
      <c r="N4" s="4190" t="s">
        <v>690</v>
      </c>
    </row>
    <row r="5" spans="1:100" ht="27.15" customHeight="1">
      <c r="A5" s="4192"/>
      <c r="B5" s="4190"/>
      <c r="C5" s="4190"/>
      <c r="D5" s="1320" t="s">
        <v>691</v>
      </c>
      <c r="E5" s="1320" t="s">
        <v>692</v>
      </c>
      <c r="F5" s="1320" t="s">
        <v>691</v>
      </c>
      <c r="G5" s="1320" t="s">
        <v>692</v>
      </c>
      <c r="H5" s="1320" t="s">
        <v>691</v>
      </c>
      <c r="I5" s="1320" t="s">
        <v>650</v>
      </c>
      <c r="J5" s="4190"/>
      <c r="K5" s="4190"/>
      <c r="L5" s="4190"/>
      <c r="M5" s="4190"/>
      <c r="N5" s="4190"/>
    </row>
    <row r="6" spans="1:100">
      <c r="A6" s="1321">
        <v>1</v>
      </c>
      <c r="B6" s="1349" t="s">
        <v>693</v>
      </c>
      <c r="C6" s="1322" t="s">
        <v>694</v>
      </c>
      <c r="D6" s="1323">
        <v>66316</v>
      </c>
      <c r="E6" s="1323">
        <f>'[1]KTXH 2021-2025'!H5/1000</f>
        <v>75875.88</v>
      </c>
      <c r="F6" s="1323">
        <v>80614</v>
      </c>
      <c r="G6" s="1323">
        <f>'[1]KTXH 2021-2025'!I5/1000</f>
        <v>82283</v>
      </c>
      <c r="H6" s="1324">
        <f>'[1]KTXH 2021-2025'!J5/1000</f>
        <v>86575</v>
      </c>
      <c r="I6" s="1324"/>
      <c r="J6" s="1324">
        <f>'[1]KTXH 2021-2025'!L5/1000</f>
        <v>96711.681430000011</v>
      </c>
      <c r="K6" s="1324">
        <f>'[1]KTXH 2021-2025'!M5/1000</f>
        <v>103481.49913010001</v>
      </c>
      <c r="L6" s="1324">
        <f>'[1]KTXH 2021-2025'!N5/1000</f>
        <v>110725.20406920701</v>
      </c>
      <c r="M6" s="1324">
        <f>'[1]KTXH 2021-2025'!O5/1000</f>
        <v>118475.96835405151</v>
      </c>
      <c r="N6" s="1324">
        <f>'[1]KTXH 2021-2025'!P5/1000</f>
        <v>519779.10198335856</v>
      </c>
    </row>
    <row r="7" spans="1:100">
      <c r="A7" s="1325">
        <v>2</v>
      </c>
      <c r="B7" s="1350" t="s">
        <v>490</v>
      </c>
      <c r="C7" s="1326" t="s">
        <v>695</v>
      </c>
      <c r="D7" s="1327">
        <v>8.1199999999999992</v>
      </c>
      <c r="E7" s="1327">
        <f>E6/D6*100-100</f>
        <v>14.415646299535553</v>
      </c>
      <c r="F7" s="1328">
        <f>F6/E6*100-100</f>
        <v>6.2445667845961026</v>
      </c>
      <c r="G7" s="1327">
        <f>G6/E6*100-100</f>
        <v>8.4442117837710668</v>
      </c>
      <c r="H7" s="1329">
        <f>H6/G6*100-100</f>
        <v>5.2161442825371012</v>
      </c>
      <c r="I7" s="1329"/>
      <c r="J7" s="1329">
        <f>J6/H6*100-100</f>
        <v>11.708554929252116</v>
      </c>
      <c r="K7" s="1329">
        <f t="shared" ref="K7:M7" si="0">K6/J6*100-100</f>
        <v>7</v>
      </c>
      <c r="L7" s="1329">
        <f>L6/K6*100-100</f>
        <v>7</v>
      </c>
      <c r="M7" s="1329">
        <f t="shared" si="0"/>
        <v>7</v>
      </c>
      <c r="N7" s="1329">
        <f>N6/M6*100-100</f>
        <v>338.72112564639252</v>
      </c>
    </row>
    <row r="8" spans="1:100">
      <c r="A8" s="1325">
        <v>3</v>
      </c>
      <c r="B8" s="1350" t="s">
        <v>696</v>
      </c>
      <c r="C8" s="1326"/>
      <c r="D8" s="1330">
        <f>SUM(D9:D11)</f>
        <v>100</v>
      </c>
      <c r="E8" s="1330">
        <f>SUM(E9:E11)</f>
        <v>100</v>
      </c>
      <c r="F8" s="1330">
        <f>SUM(F9:F11)</f>
        <v>100</v>
      </c>
      <c r="G8" s="1330">
        <f>SUM(G9:G11)</f>
        <v>100</v>
      </c>
      <c r="H8" s="1330">
        <f t="shared" ref="H8:N8" si="1">SUM(H9:H11)</f>
        <v>100</v>
      </c>
      <c r="I8" s="1330"/>
      <c r="J8" s="1330">
        <f t="shared" si="1"/>
        <v>100</v>
      </c>
      <c r="K8" s="1330">
        <f>SUM(K9:K11)</f>
        <v>100</v>
      </c>
      <c r="L8" s="1330">
        <f>SUM(L9:L11)</f>
        <v>100</v>
      </c>
      <c r="M8" s="1330">
        <f t="shared" si="1"/>
        <v>100</v>
      </c>
      <c r="N8" s="1330">
        <f t="shared" si="1"/>
        <v>100</v>
      </c>
    </row>
    <row r="9" spans="1:100">
      <c r="A9" s="1325" t="s">
        <v>137</v>
      </c>
      <c r="B9" s="1351" t="s">
        <v>697</v>
      </c>
      <c r="C9" s="1326" t="s">
        <v>695</v>
      </c>
      <c r="D9" s="1327">
        <v>34.39</v>
      </c>
      <c r="E9" s="1327">
        <v>33.54</v>
      </c>
      <c r="F9" s="1328">
        <v>31.34</v>
      </c>
      <c r="G9" s="1327">
        <v>32.340000000000003</v>
      </c>
      <c r="H9" s="1331">
        <v>31.58</v>
      </c>
      <c r="I9" s="1331"/>
      <c r="J9" s="1331">
        <v>30.49</v>
      </c>
      <c r="K9" s="1332">
        <v>29.44</v>
      </c>
      <c r="L9" s="1332">
        <v>28.39</v>
      </c>
      <c r="M9" s="1332">
        <v>27.36</v>
      </c>
      <c r="N9" s="1332">
        <v>26.15</v>
      </c>
    </row>
    <row r="10" spans="1:100">
      <c r="A10" s="1325" t="s">
        <v>137</v>
      </c>
      <c r="B10" s="1351" t="s">
        <v>698</v>
      </c>
      <c r="C10" s="1326" t="s">
        <v>695</v>
      </c>
      <c r="D10" s="1327">
        <v>23.65</v>
      </c>
      <c r="E10" s="1327">
        <v>21.98</v>
      </c>
      <c r="F10" s="1328">
        <v>23.91</v>
      </c>
      <c r="G10" s="1327">
        <v>22.79</v>
      </c>
      <c r="H10" s="1331">
        <v>23.19</v>
      </c>
      <c r="I10" s="1331"/>
      <c r="J10" s="1331">
        <v>25.38</v>
      </c>
      <c r="K10" s="1332">
        <v>26.03</v>
      </c>
      <c r="L10" s="1332">
        <v>26.62</v>
      </c>
      <c r="M10" s="1332">
        <v>27.27</v>
      </c>
      <c r="N10" s="1332">
        <v>28.59</v>
      </c>
    </row>
    <row r="11" spans="1:100">
      <c r="A11" s="1325" t="s">
        <v>137</v>
      </c>
      <c r="B11" s="1351" t="s">
        <v>699</v>
      </c>
      <c r="C11" s="1326" t="s">
        <v>695</v>
      </c>
      <c r="D11" s="1327">
        <v>41.96</v>
      </c>
      <c r="E11" s="1327">
        <v>44.48</v>
      </c>
      <c r="F11" s="1328">
        <v>44.75</v>
      </c>
      <c r="G11" s="1327">
        <v>44.87</v>
      </c>
      <c r="H11" s="1333">
        <v>45.23</v>
      </c>
      <c r="I11" s="1333"/>
      <c r="J11" s="1333">
        <v>44.13</v>
      </c>
      <c r="K11" s="1334">
        <v>44.53</v>
      </c>
      <c r="L11" s="1334">
        <v>44.99</v>
      </c>
      <c r="M11" s="1334">
        <v>45.37</v>
      </c>
      <c r="N11" s="1334">
        <v>45.26</v>
      </c>
    </row>
    <row r="12" spans="1:100">
      <c r="A12" s="1325">
        <v>4</v>
      </c>
      <c r="B12" s="1350" t="s">
        <v>700</v>
      </c>
      <c r="C12" s="1326" t="s">
        <v>695</v>
      </c>
      <c r="D12" s="1330"/>
      <c r="E12" s="1330"/>
      <c r="F12" s="1330"/>
      <c r="G12" s="1330"/>
      <c r="H12" s="1330"/>
      <c r="I12" s="1330"/>
      <c r="J12" s="1330"/>
      <c r="K12" s="1330"/>
      <c r="L12" s="1330"/>
      <c r="M12" s="1330"/>
      <c r="N12" s="1330"/>
    </row>
    <row r="13" spans="1:100">
      <c r="A13" s="1325">
        <v>5</v>
      </c>
      <c r="B13" s="1350" t="s">
        <v>701</v>
      </c>
      <c r="C13" s="1326" t="s">
        <v>694</v>
      </c>
      <c r="D13" s="1330">
        <v>17573</v>
      </c>
      <c r="E13" s="1330">
        <v>16190</v>
      </c>
      <c r="F13" s="1335">
        <v>19347</v>
      </c>
      <c r="G13" s="1330">
        <v>17145</v>
      </c>
      <c r="H13" s="1330">
        <v>18910</v>
      </c>
      <c r="I13" s="1330"/>
      <c r="J13" s="1330">
        <v>23377</v>
      </c>
      <c r="K13" s="1330">
        <v>26067</v>
      </c>
      <c r="L13" s="1330">
        <v>28716</v>
      </c>
      <c r="M13" s="1330">
        <v>31640</v>
      </c>
      <c r="N13" s="1330">
        <v>38599</v>
      </c>
    </row>
    <row r="14" spans="1:100">
      <c r="A14" s="1325"/>
      <c r="B14" s="1351" t="s">
        <v>702</v>
      </c>
      <c r="C14" s="1326" t="s">
        <v>695</v>
      </c>
      <c r="D14" s="1329">
        <v>26.5</v>
      </c>
      <c r="E14" s="1327">
        <v>22.22</v>
      </c>
      <c r="F14" s="1336">
        <v>24</v>
      </c>
      <c r="G14" s="1327">
        <v>21.36</v>
      </c>
      <c r="H14" s="1327">
        <v>21.67</v>
      </c>
      <c r="I14" s="1327"/>
      <c r="J14" s="1327">
        <v>24.33</v>
      </c>
      <c r="K14" s="1327">
        <v>24.62</v>
      </c>
      <c r="L14" s="1327">
        <v>24.61</v>
      </c>
      <c r="M14" s="1327">
        <v>24.6</v>
      </c>
      <c r="N14" s="1327">
        <v>26.99</v>
      </c>
    </row>
    <row r="15" spans="1:100">
      <c r="A15" s="1325">
        <v>6</v>
      </c>
      <c r="B15" s="1350" t="s">
        <v>703</v>
      </c>
      <c r="C15" s="1326" t="s">
        <v>704</v>
      </c>
      <c r="D15" s="1330">
        <v>1030</v>
      </c>
      <c r="E15" s="1330">
        <v>1324</v>
      </c>
      <c r="F15" s="1330">
        <v>1350</v>
      </c>
      <c r="G15" s="1330">
        <v>1270</v>
      </c>
      <c r="H15" s="1330">
        <v>1300</v>
      </c>
      <c r="I15" s="1330"/>
      <c r="J15" s="1335">
        <v>1360</v>
      </c>
      <c r="K15" s="1335">
        <v>1420</v>
      </c>
      <c r="L15" s="1335">
        <v>1482</v>
      </c>
      <c r="M15" s="1335">
        <v>1545</v>
      </c>
      <c r="N15" s="1335">
        <v>1660</v>
      </c>
    </row>
    <row r="16" spans="1:100">
      <c r="A16" s="1325"/>
      <c r="B16" s="1351" t="s">
        <v>705</v>
      </c>
      <c r="C16" s="1326" t="s">
        <v>695</v>
      </c>
      <c r="D16" s="1327">
        <v>3.01</v>
      </c>
      <c r="E16" s="1327">
        <v>29.8</v>
      </c>
      <c r="F16" s="1327">
        <v>3.9</v>
      </c>
      <c r="G16" s="1327">
        <v>-4.0999999999999996</v>
      </c>
      <c r="H16" s="1329">
        <f t="shared" ref="H16:N16" si="2">H15/G15*100-100</f>
        <v>2.3622047244094517</v>
      </c>
      <c r="I16" s="1329"/>
      <c r="J16" s="1329">
        <f>J15/H15*100-100</f>
        <v>4.6153846153846274</v>
      </c>
      <c r="K16" s="1329">
        <f t="shared" si="2"/>
        <v>4.4117647058823621</v>
      </c>
      <c r="L16" s="1329">
        <f t="shared" si="2"/>
        <v>4.3661971830985919</v>
      </c>
      <c r="M16" s="1329">
        <f t="shared" si="2"/>
        <v>4.2510121457489873</v>
      </c>
      <c r="N16" s="1329">
        <f t="shared" si="2"/>
        <v>7.4433656957928633</v>
      </c>
    </row>
    <row r="17" spans="1:14">
      <c r="A17" s="1325">
        <v>7</v>
      </c>
      <c r="B17" s="1350" t="s">
        <v>706</v>
      </c>
      <c r="C17" s="1326" t="s">
        <v>704</v>
      </c>
      <c r="D17" s="1330">
        <v>390</v>
      </c>
      <c r="E17" s="1330">
        <v>401</v>
      </c>
      <c r="F17" s="1330">
        <v>420</v>
      </c>
      <c r="G17" s="1330">
        <v>420</v>
      </c>
      <c r="H17" s="1330">
        <v>425</v>
      </c>
      <c r="I17" s="1330"/>
      <c r="J17" s="1335">
        <v>440</v>
      </c>
      <c r="K17" s="1335">
        <v>455</v>
      </c>
      <c r="L17" s="1335">
        <v>470</v>
      </c>
      <c r="M17" s="1335">
        <v>485</v>
      </c>
      <c r="N17" s="1335">
        <v>500</v>
      </c>
    </row>
    <row r="18" spans="1:14">
      <c r="A18" s="1325"/>
      <c r="B18" s="1351" t="s">
        <v>705</v>
      </c>
      <c r="C18" s="1326" t="s">
        <v>695</v>
      </c>
      <c r="D18" s="1327">
        <v>1.32</v>
      </c>
      <c r="E18" s="1327">
        <v>3.62</v>
      </c>
      <c r="F18" s="1327">
        <v>1.1100000000000001</v>
      </c>
      <c r="G18" s="1327">
        <f>G17/E17*100-100</f>
        <v>4.7381546134663353</v>
      </c>
      <c r="H18" s="1327">
        <f t="shared" ref="H18:N18" si="3">H17/F17*100-100</f>
        <v>1.1904761904761898</v>
      </c>
      <c r="I18" s="1327"/>
      <c r="J18" s="1327">
        <f>J17/G17*100-100</f>
        <v>4.7619047619047734</v>
      </c>
      <c r="K18" s="1327">
        <f>K17/H17*100-100</f>
        <v>7.058823529411768</v>
      </c>
      <c r="L18" s="1327">
        <f t="shared" si="3"/>
        <v>6.818181818181813</v>
      </c>
      <c r="M18" s="1327">
        <f t="shared" si="3"/>
        <v>6.5934065934065984</v>
      </c>
      <c r="N18" s="1327">
        <f t="shared" si="3"/>
        <v>6.3829787234042499</v>
      </c>
    </row>
    <row r="19" spans="1:14">
      <c r="A19" s="1325">
        <v>8</v>
      </c>
      <c r="B19" s="1350" t="s">
        <v>707</v>
      </c>
      <c r="C19" s="1326" t="s">
        <v>708</v>
      </c>
      <c r="D19" s="1330">
        <v>1694</v>
      </c>
      <c r="E19" s="1330">
        <v>1693</v>
      </c>
      <c r="F19" s="1330">
        <v>1599</v>
      </c>
      <c r="G19" s="1330">
        <v>1599</v>
      </c>
      <c r="H19" s="1330">
        <v>1600</v>
      </c>
      <c r="I19" s="1330"/>
      <c r="J19" s="1330">
        <v>1601</v>
      </c>
      <c r="K19" s="1330">
        <v>1602</v>
      </c>
      <c r="L19" s="1330">
        <v>1603</v>
      </c>
      <c r="M19" s="1330">
        <v>1604</v>
      </c>
      <c r="N19" s="1330">
        <v>1605</v>
      </c>
    </row>
    <row r="20" spans="1:14">
      <c r="A20" s="1325">
        <v>9</v>
      </c>
      <c r="B20" s="1350" t="s">
        <v>709</v>
      </c>
      <c r="C20" s="1326" t="s">
        <v>710</v>
      </c>
      <c r="D20" s="1327"/>
      <c r="E20" s="1327">
        <v>39.28</v>
      </c>
      <c r="F20" s="1327"/>
      <c r="G20" s="1327">
        <v>43.8</v>
      </c>
      <c r="H20" s="1327">
        <v>47.98</v>
      </c>
      <c r="I20" s="1327"/>
      <c r="J20" s="1327"/>
      <c r="K20" s="1327"/>
      <c r="L20" s="1327"/>
      <c r="M20" s="1327"/>
      <c r="N20" s="1327"/>
    </row>
    <row r="21" spans="1:14">
      <c r="A21" s="1325"/>
      <c r="B21" s="1350" t="s">
        <v>711</v>
      </c>
      <c r="C21" s="1326" t="s">
        <v>710</v>
      </c>
      <c r="D21" s="1327">
        <v>37.799999999999997</v>
      </c>
      <c r="E21" s="1327">
        <v>45.37</v>
      </c>
      <c r="F21" s="1327">
        <v>50.4</v>
      </c>
      <c r="G21" s="1327">
        <v>50.19</v>
      </c>
      <c r="H21" s="1327">
        <v>54.539000000000001</v>
      </c>
      <c r="I21" s="1327"/>
      <c r="J21" s="1327">
        <v>60.01</v>
      </c>
      <c r="K21" s="1327">
        <v>66.09</v>
      </c>
      <c r="L21" s="1327">
        <v>72.8</v>
      </c>
      <c r="M21" s="1327">
        <v>80.180000000000007</v>
      </c>
      <c r="N21" s="1327">
        <v>89.1</v>
      </c>
    </row>
    <row r="22" spans="1:14">
      <c r="A22" s="1325">
        <v>10</v>
      </c>
      <c r="B22" s="1350" t="s">
        <v>712</v>
      </c>
      <c r="C22" s="1326" t="s">
        <v>695</v>
      </c>
      <c r="D22" s="1329">
        <v>1.5</v>
      </c>
      <c r="E22" s="1327">
        <v>1.83</v>
      </c>
      <c r="F22" s="1329">
        <v>1.5</v>
      </c>
      <c r="G22" s="1329">
        <v>1.5</v>
      </c>
      <c r="H22" s="1329">
        <v>0.96</v>
      </c>
      <c r="I22" s="1379">
        <v>0.4</v>
      </c>
      <c r="J22" s="1337">
        <v>1</v>
      </c>
      <c r="K22" s="1337">
        <v>1</v>
      </c>
      <c r="L22" s="1337">
        <v>1</v>
      </c>
      <c r="M22" s="1337">
        <v>1</v>
      </c>
      <c r="N22" s="1337">
        <v>1</v>
      </c>
    </row>
    <row r="23" spans="1:14">
      <c r="A23" s="1325">
        <v>11</v>
      </c>
      <c r="B23" s="1352" t="s">
        <v>713</v>
      </c>
      <c r="C23" s="1326" t="s">
        <v>695</v>
      </c>
      <c r="D23" s="1327">
        <v>4.28</v>
      </c>
      <c r="E23" s="1327">
        <v>4.28</v>
      </c>
      <c r="F23" s="1327">
        <v>2.78</v>
      </c>
      <c r="G23" s="1327">
        <v>2.78</v>
      </c>
      <c r="H23" s="1327">
        <v>1.28</v>
      </c>
      <c r="I23" s="1380">
        <v>1.77</v>
      </c>
      <c r="J23" s="1327">
        <v>4.6900000000000004</v>
      </c>
      <c r="K23" s="1327">
        <v>3.68</v>
      </c>
      <c r="L23" s="1327">
        <v>2.68</v>
      </c>
      <c r="M23" s="1327">
        <v>1.64</v>
      </c>
      <c r="N23" s="1327">
        <v>1.1399999999999999</v>
      </c>
    </row>
    <row r="24" spans="1:14">
      <c r="A24" s="1325">
        <v>12</v>
      </c>
      <c r="B24" s="1350" t="s">
        <v>714</v>
      </c>
      <c r="C24" s="1326"/>
      <c r="D24" s="1330"/>
      <c r="E24" s="1330"/>
      <c r="F24" s="1330"/>
      <c r="G24" s="1330"/>
      <c r="H24" s="1330"/>
      <c r="I24" s="1330"/>
      <c r="J24" s="1330"/>
      <c r="K24" s="1330"/>
      <c r="L24" s="1330"/>
      <c r="M24" s="1330"/>
      <c r="N24" s="1330"/>
    </row>
    <row r="25" spans="1:14">
      <c r="A25" s="1325"/>
      <c r="B25" s="1353" t="s">
        <v>715</v>
      </c>
      <c r="C25" s="1326" t="s">
        <v>716</v>
      </c>
      <c r="D25" s="1330">
        <v>18304</v>
      </c>
      <c r="E25" s="1330">
        <v>17411</v>
      </c>
      <c r="F25" s="1330">
        <v>17820</v>
      </c>
      <c r="G25" s="1330"/>
      <c r="H25" s="1330"/>
      <c r="I25" s="1330"/>
      <c r="J25" s="1330"/>
      <c r="K25" s="1330"/>
      <c r="L25" s="1330"/>
      <c r="M25" s="1330"/>
      <c r="N25" s="1330"/>
    </row>
    <row r="26" spans="1:14">
      <c r="A26" s="1325"/>
      <c r="B26" s="1350" t="s">
        <v>717</v>
      </c>
      <c r="C26" s="1326" t="s">
        <v>716</v>
      </c>
      <c r="D26" s="1330">
        <v>342628</v>
      </c>
      <c r="E26" s="1330">
        <v>339010</v>
      </c>
      <c r="F26" s="1330">
        <v>340210</v>
      </c>
      <c r="G26" s="1330"/>
      <c r="H26" s="1330"/>
      <c r="I26" s="1330"/>
      <c r="J26" s="1330"/>
      <c r="K26" s="1330"/>
      <c r="L26" s="1330"/>
      <c r="M26" s="1330"/>
      <c r="N26" s="1330"/>
    </row>
    <row r="27" spans="1:14">
      <c r="A27" s="1325"/>
      <c r="B27" s="1350" t="s">
        <v>718</v>
      </c>
      <c r="C27" s="1326"/>
      <c r="D27" s="1330"/>
      <c r="E27" s="1330"/>
      <c r="F27" s="1330"/>
      <c r="G27" s="1330"/>
      <c r="H27" s="1330"/>
      <c r="I27" s="1330"/>
      <c r="J27" s="1330"/>
      <c r="K27" s="1330"/>
      <c r="L27" s="1330"/>
      <c r="M27" s="1330"/>
      <c r="N27" s="1330"/>
    </row>
    <row r="28" spans="1:14">
      <c r="A28" s="1325"/>
      <c r="B28" s="1350" t="s">
        <v>719</v>
      </c>
      <c r="C28" s="1326" t="s">
        <v>716</v>
      </c>
      <c r="D28" s="1330"/>
      <c r="E28" s="1330"/>
      <c r="F28" s="1330"/>
      <c r="G28" s="1330"/>
      <c r="H28" s="1330"/>
      <c r="I28" s="1330"/>
      <c r="J28" s="1330"/>
      <c r="K28" s="1330"/>
      <c r="L28" s="1330"/>
      <c r="M28" s="1330"/>
      <c r="N28" s="1330"/>
    </row>
    <row r="29" spans="1:14">
      <c r="A29" s="1325"/>
      <c r="B29" s="1350" t="s">
        <v>720</v>
      </c>
      <c r="C29" s="1326" t="s">
        <v>716</v>
      </c>
      <c r="D29" s="1330"/>
      <c r="E29" s="1330"/>
      <c r="F29" s="1330"/>
      <c r="G29" s="1330"/>
      <c r="H29" s="1330"/>
      <c r="I29" s="1330"/>
      <c r="J29" s="1330"/>
      <c r="K29" s="1330"/>
      <c r="L29" s="1330"/>
      <c r="M29" s="1330"/>
      <c r="N29" s="1330"/>
    </row>
    <row r="30" spans="1:14" ht="36">
      <c r="A30" s="1325"/>
      <c r="B30" s="1350" t="s">
        <v>721</v>
      </c>
      <c r="C30" s="1326" t="s">
        <v>716</v>
      </c>
      <c r="D30" s="1330"/>
      <c r="E30" s="1330"/>
      <c r="F30" s="1330"/>
      <c r="G30" s="1330"/>
      <c r="H30" s="1330"/>
      <c r="I30" s="1330"/>
      <c r="J30" s="1330"/>
      <c r="K30" s="1330"/>
      <c r="L30" s="1330"/>
      <c r="M30" s="1330"/>
      <c r="N30" s="1330"/>
    </row>
    <row r="31" spans="1:14" ht="36">
      <c r="A31" s="1325"/>
      <c r="B31" s="1350" t="s">
        <v>722</v>
      </c>
      <c r="C31" s="1326" t="s">
        <v>723</v>
      </c>
      <c r="D31" s="1330"/>
      <c r="E31" s="1330"/>
      <c r="F31" s="1330"/>
      <c r="G31" s="1330"/>
      <c r="H31" s="1330"/>
      <c r="I31" s="1330"/>
      <c r="J31" s="1330"/>
      <c r="K31" s="1330"/>
      <c r="L31" s="1330"/>
      <c r="M31" s="1330"/>
      <c r="N31" s="1330"/>
    </row>
    <row r="32" spans="1:14">
      <c r="A32" s="1325">
        <v>13</v>
      </c>
      <c r="B32" s="1350" t="s">
        <v>724</v>
      </c>
      <c r="C32" s="1326"/>
      <c r="D32" s="1330"/>
      <c r="E32" s="1330"/>
      <c r="F32" s="1330"/>
      <c r="G32" s="1330"/>
      <c r="H32" s="1330"/>
      <c r="I32" s="1330"/>
      <c r="J32" s="1330"/>
      <c r="K32" s="1330"/>
      <c r="L32" s="1330"/>
      <c r="M32" s="1330"/>
      <c r="N32" s="1330"/>
    </row>
    <row r="33" spans="1:14">
      <c r="A33" s="1325"/>
      <c r="B33" s="1350" t="s">
        <v>725</v>
      </c>
      <c r="C33" s="1326" t="s">
        <v>726</v>
      </c>
      <c r="D33" s="1330">
        <v>395</v>
      </c>
      <c r="E33" s="1330">
        <v>395</v>
      </c>
      <c r="F33" s="1330">
        <v>396</v>
      </c>
      <c r="G33" s="1330">
        <v>173</v>
      </c>
      <c r="H33" s="1330">
        <v>173</v>
      </c>
      <c r="I33" s="1330"/>
      <c r="J33" s="1330">
        <v>173</v>
      </c>
      <c r="K33" s="1330">
        <v>173</v>
      </c>
      <c r="L33" s="1330">
        <v>173</v>
      </c>
      <c r="M33" s="1330">
        <v>173</v>
      </c>
      <c r="N33" s="1330">
        <v>173</v>
      </c>
    </row>
    <row r="34" spans="1:14">
      <c r="A34" s="1325"/>
      <c r="B34" s="1350" t="s">
        <v>727</v>
      </c>
      <c r="C34" s="1326" t="s">
        <v>728</v>
      </c>
      <c r="D34" s="1330">
        <v>5003</v>
      </c>
      <c r="E34" s="1330">
        <v>5023</v>
      </c>
      <c r="F34" s="1330">
        <v>5123</v>
      </c>
      <c r="G34" s="1330">
        <v>4977</v>
      </c>
      <c r="H34" s="1330">
        <v>5027</v>
      </c>
      <c r="I34" s="1330"/>
      <c r="J34" s="1330">
        <v>5027</v>
      </c>
      <c r="K34" s="1330">
        <v>5027</v>
      </c>
      <c r="L34" s="1330">
        <v>5027</v>
      </c>
      <c r="M34" s="1330">
        <v>5027</v>
      </c>
      <c r="N34" s="1330">
        <v>5027</v>
      </c>
    </row>
    <row r="35" spans="1:14">
      <c r="A35" s="1325"/>
      <c r="B35" s="1350" t="s">
        <v>718</v>
      </c>
      <c r="C35" s="1326"/>
      <c r="D35" s="1330"/>
      <c r="E35" s="1330"/>
      <c r="F35" s="1330"/>
      <c r="G35" s="1330"/>
      <c r="H35" s="1330"/>
      <c r="I35" s="1330"/>
      <c r="J35" s="1330"/>
      <c r="K35" s="1330"/>
      <c r="L35" s="1330"/>
      <c r="M35" s="1330"/>
      <c r="N35" s="1330"/>
    </row>
    <row r="36" spans="1:14">
      <c r="A36" s="1325"/>
      <c r="B36" s="1350" t="s">
        <v>729</v>
      </c>
      <c r="C36" s="1326" t="s">
        <v>728</v>
      </c>
      <c r="D36" s="1330">
        <v>2760</v>
      </c>
      <c r="E36" s="1330">
        <v>2780</v>
      </c>
      <c r="F36" s="1330">
        <v>2860</v>
      </c>
      <c r="G36" s="1330">
        <v>2742</v>
      </c>
      <c r="H36" s="1330">
        <v>2770</v>
      </c>
      <c r="I36" s="1330"/>
      <c r="J36" s="1330">
        <v>2770</v>
      </c>
      <c r="K36" s="1330">
        <v>2770</v>
      </c>
      <c r="L36" s="1330">
        <v>2770</v>
      </c>
      <c r="M36" s="1330">
        <v>2770</v>
      </c>
      <c r="N36" s="1330">
        <v>2770</v>
      </c>
    </row>
    <row r="37" spans="1:14">
      <c r="A37" s="1325"/>
      <c r="B37" s="1350" t="s">
        <v>730</v>
      </c>
      <c r="C37" s="1326" t="s">
        <v>728</v>
      </c>
      <c r="D37" s="1330">
        <v>1120</v>
      </c>
      <c r="E37" s="1330">
        <v>1120</v>
      </c>
      <c r="F37" s="1330">
        <v>1140</v>
      </c>
      <c r="G37" s="1330">
        <v>1313</v>
      </c>
      <c r="H37" s="1330">
        <v>1122</v>
      </c>
      <c r="I37" s="1330"/>
      <c r="J37" s="1330">
        <v>1122</v>
      </c>
      <c r="K37" s="1330">
        <v>1122</v>
      </c>
      <c r="L37" s="1330">
        <v>1122</v>
      </c>
      <c r="M37" s="1330">
        <v>1122</v>
      </c>
      <c r="N37" s="1330">
        <v>1122</v>
      </c>
    </row>
    <row r="38" spans="1:14">
      <c r="A38" s="1325"/>
      <c r="B38" s="1350" t="s">
        <v>731</v>
      </c>
      <c r="C38" s="1326" t="s">
        <v>728</v>
      </c>
      <c r="D38" s="1330">
        <v>210</v>
      </c>
      <c r="E38" s="1330">
        <v>210</v>
      </c>
      <c r="F38" s="1330">
        <v>210</v>
      </c>
      <c r="G38" s="1330">
        <v>200</v>
      </c>
      <c r="H38" s="1330">
        <v>200</v>
      </c>
      <c r="I38" s="1330"/>
      <c r="J38" s="1330">
        <v>200</v>
      </c>
      <c r="K38" s="1330">
        <v>200</v>
      </c>
      <c r="L38" s="1330">
        <v>200</v>
      </c>
      <c r="M38" s="1330">
        <v>200</v>
      </c>
      <c r="N38" s="1330">
        <v>200</v>
      </c>
    </row>
    <row r="39" spans="1:14">
      <c r="A39" s="1325"/>
      <c r="B39" s="1350" t="s">
        <v>732</v>
      </c>
      <c r="C39" s="1326" t="s">
        <v>728</v>
      </c>
      <c r="D39" s="1330">
        <v>913</v>
      </c>
      <c r="E39" s="1330">
        <v>913</v>
      </c>
      <c r="F39" s="1330">
        <v>913</v>
      </c>
      <c r="G39" s="1330">
        <v>913</v>
      </c>
      <c r="H39" s="1330">
        <v>913</v>
      </c>
      <c r="I39" s="1330"/>
      <c r="J39" s="1330">
        <v>913</v>
      </c>
      <c r="K39" s="1330">
        <v>913</v>
      </c>
      <c r="L39" s="1330">
        <v>913</v>
      </c>
      <c r="M39" s="1330">
        <v>913</v>
      </c>
      <c r="N39" s="1330">
        <v>913</v>
      </c>
    </row>
    <row r="40" spans="1:14">
      <c r="A40" s="1325"/>
      <c r="B40" s="1350" t="s">
        <v>733</v>
      </c>
      <c r="C40" s="1326"/>
      <c r="D40" s="1330"/>
      <c r="E40" s="1330"/>
      <c r="F40" s="1330"/>
      <c r="G40" s="1330"/>
      <c r="H40" s="1330"/>
      <c r="I40" s="1330"/>
      <c r="J40" s="1330"/>
      <c r="K40" s="1330"/>
      <c r="L40" s="1330"/>
      <c r="M40" s="1330"/>
      <c r="N40" s="1330"/>
    </row>
    <row r="41" spans="1:14">
      <c r="A41" s="1325"/>
      <c r="B41" s="1350" t="s">
        <v>734</v>
      </c>
      <c r="C41" s="1326" t="s">
        <v>716</v>
      </c>
      <c r="D41" s="1338">
        <v>165743</v>
      </c>
      <c r="E41" s="1338">
        <v>165743</v>
      </c>
      <c r="F41" s="1338">
        <v>164078</v>
      </c>
      <c r="G41" s="1338">
        <v>164078</v>
      </c>
      <c r="H41" s="1330">
        <v>174743</v>
      </c>
      <c r="I41" s="1330"/>
      <c r="J41" s="1330"/>
      <c r="K41" s="1330"/>
      <c r="L41" s="1330"/>
      <c r="M41" s="1330"/>
      <c r="N41" s="1330"/>
    </row>
    <row r="42" spans="1:14">
      <c r="A42" s="1325"/>
      <c r="B42" s="1350" t="s">
        <v>735</v>
      </c>
      <c r="C42" s="1326" t="s">
        <v>716</v>
      </c>
      <c r="D42" s="1338">
        <v>46354</v>
      </c>
      <c r="E42" s="1338">
        <v>46354</v>
      </c>
      <c r="F42" s="1338">
        <v>48633</v>
      </c>
      <c r="G42" s="1338">
        <v>48633</v>
      </c>
      <c r="H42" s="1338">
        <v>52478</v>
      </c>
      <c r="I42" s="1338"/>
      <c r="J42" s="1330"/>
      <c r="K42" s="1330"/>
      <c r="L42" s="1330"/>
      <c r="M42" s="1330"/>
      <c r="N42" s="1330"/>
    </row>
    <row r="43" spans="1:14">
      <c r="A43" s="1325"/>
      <c r="B43" s="1350" t="s">
        <v>736</v>
      </c>
      <c r="C43" s="1326" t="s">
        <v>716</v>
      </c>
      <c r="D43" s="1330">
        <v>112989</v>
      </c>
      <c r="E43" s="1330">
        <v>112989</v>
      </c>
      <c r="F43" s="1330">
        <v>121304</v>
      </c>
      <c r="G43" s="1330">
        <v>121304</v>
      </c>
      <c r="H43" s="1330">
        <v>123730</v>
      </c>
      <c r="I43" s="1330"/>
      <c r="J43" s="1330"/>
      <c r="K43" s="1330"/>
      <c r="L43" s="1330"/>
      <c r="M43" s="1330"/>
      <c r="N43" s="1330"/>
    </row>
    <row r="44" spans="1:14" ht="36">
      <c r="A44" s="1325"/>
      <c r="B44" s="1350" t="s">
        <v>737</v>
      </c>
      <c r="C44" s="1326" t="s">
        <v>716</v>
      </c>
      <c r="D44" s="1330"/>
      <c r="E44" s="1330"/>
      <c r="F44" s="1330"/>
      <c r="G44" s="1330"/>
      <c r="H44" s="1330"/>
      <c r="I44" s="1330"/>
      <c r="J44" s="1330"/>
      <c r="K44" s="1330"/>
      <c r="L44" s="1330"/>
      <c r="M44" s="1330"/>
      <c r="N44" s="1330"/>
    </row>
    <row r="45" spans="1:14">
      <c r="A45" s="1325"/>
      <c r="B45" s="1350" t="s">
        <v>738</v>
      </c>
      <c r="C45" s="1326" t="s">
        <v>716</v>
      </c>
      <c r="D45" s="1330">
        <v>17</v>
      </c>
      <c r="E45" s="1330">
        <v>17</v>
      </c>
      <c r="F45" s="1330">
        <v>19</v>
      </c>
      <c r="G45" s="1330">
        <v>19</v>
      </c>
      <c r="H45" s="1330">
        <v>40</v>
      </c>
      <c r="I45" s="1330"/>
      <c r="J45" s="1330"/>
      <c r="K45" s="1330"/>
      <c r="L45" s="1330"/>
      <c r="M45" s="1330"/>
      <c r="N45" s="1330"/>
    </row>
    <row r="46" spans="1:14">
      <c r="A46" s="1325"/>
      <c r="B46" s="1350" t="s">
        <v>739</v>
      </c>
      <c r="C46" s="1326" t="s">
        <v>716</v>
      </c>
      <c r="D46" s="1330">
        <v>229512</v>
      </c>
      <c r="E46" s="1330">
        <f>199407+11901+18204</f>
        <v>229512</v>
      </c>
      <c r="F46" s="1330">
        <v>230409</v>
      </c>
      <c r="G46" s="1330">
        <f>213379+11126+5904</f>
        <v>230409</v>
      </c>
      <c r="H46" s="1330">
        <v>253449.9</v>
      </c>
      <c r="I46" s="1330"/>
      <c r="J46" s="1330"/>
      <c r="K46" s="1330"/>
      <c r="L46" s="1330"/>
      <c r="M46" s="1330"/>
      <c r="N46" s="1330"/>
    </row>
    <row r="47" spans="1:14" ht="72">
      <c r="A47" s="1325"/>
      <c r="B47" s="1350" t="s">
        <v>740</v>
      </c>
      <c r="C47" s="1326" t="s">
        <v>716</v>
      </c>
      <c r="D47" s="1330">
        <v>16063</v>
      </c>
      <c r="E47" s="1330">
        <v>16063</v>
      </c>
      <c r="F47" s="1330">
        <v>16362</v>
      </c>
      <c r="G47" s="1330">
        <v>16362</v>
      </c>
      <c r="H47" s="1330">
        <v>16362</v>
      </c>
      <c r="I47" s="1330"/>
      <c r="J47" s="1330"/>
      <c r="K47" s="1330"/>
      <c r="L47" s="1330"/>
      <c r="M47" s="1330"/>
      <c r="N47" s="1330"/>
    </row>
    <row r="48" spans="1:14">
      <c r="A48" s="1325"/>
      <c r="B48" s="1350" t="s">
        <v>741</v>
      </c>
      <c r="C48" s="1326" t="s">
        <v>716</v>
      </c>
      <c r="D48" s="1338">
        <f>113422/3</f>
        <v>37807.333333333336</v>
      </c>
      <c r="E48" s="1338">
        <f>113422/3</f>
        <v>37807.333333333336</v>
      </c>
      <c r="F48" s="1338">
        <v>49959</v>
      </c>
      <c r="G48" s="1338">
        <v>49959</v>
      </c>
      <c r="H48" s="1338">
        <v>51458</v>
      </c>
      <c r="I48" s="1338"/>
      <c r="J48" s="1330"/>
      <c r="K48" s="1330"/>
      <c r="L48" s="1330"/>
      <c r="M48" s="1330"/>
      <c r="N48" s="1330"/>
    </row>
    <row r="49" spans="1:14" ht="36">
      <c r="A49" s="1339"/>
      <c r="B49" s="1354" t="s">
        <v>742</v>
      </c>
      <c r="C49" s="1340" t="s">
        <v>716</v>
      </c>
      <c r="D49" s="1341"/>
      <c r="E49" s="1341">
        <f>778/3</f>
        <v>259.33333333333331</v>
      </c>
      <c r="F49" s="1341"/>
      <c r="G49" s="1341">
        <v>494</v>
      </c>
      <c r="H49" s="1341">
        <v>544</v>
      </c>
      <c r="I49" s="1341"/>
      <c r="J49" s="1341"/>
      <c r="K49" s="1341"/>
      <c r="L49" s="1341"/>
      <c r="M49" s="1341"/>
      <c r="N49" s="1341"/>
    </row>
    <row r="50" spans="1:14">
      <c r="A50" s="37"/>
      <c r="E50" s="58"/>
      <c r="F50" s="58"/>
      <c r="G50" s="58"/>
    </row>
    <row r="51" spans="1:14" hidden="1">
      <c r="F51" s="1342">
        <f>85/119</f>
        <v>0.7142857142857143</v>
      </c>
    </row>
    <row r="52" spans="1:14" hidden="1">
      <c r="B52" s="1343">
        <v>1000</v>
      </c>
      <c r="F52" s="1342">
        <f>66/119</f>
        <v>0.55462184873949583</v>
      </c>
    </row>
    <row r="53" spans="1:14" hidden="1">
      <c r="B53" s="37" t="s">
        <v>743</v>
      </c>
      <c r="C53" s="37" t="s">
        <v>744</v>
      </c>
      <c r="D53" s="37" t="s">
        <v>745</v>
      </c>
      <c r="E53" s="37" t="s">
        <v>746</v>
      </c>
    </row>
    <row r="54" spans="1:14" hidden="1">
      <c r="B54" s="1343">
        <v>449494</v>
      </c>
      <c r="C54" s="1344">
        <f>B54/100</f>
        <v>4494.9399999999996</v>
      </c>
      <c r="D54" s="1345">
        <f>C54/$C$67</f>
        <v>0.1101258317735028</v>
      </c>
      <c r="E54" s="37" t="s">
        <v>747</v>
      </c>
      <c r="F54" s="37">
        <f>RANK(C54,$C$54:$C$66,0)</f>
        <v>3</v>
      </c>
    </row>
    <row r="55" spans="1:14" hidden="1">
      <c r="B55" s="1343">
        <v>251061</v>
      </c>
      <c r="C55" s="1344">
        <f t="shared" ref="C55:C68" si="4">B55/100</f>
        <v>2510.61</v>
      </c>
      <c r="D55" s="1345">
        <f t="shared" ref="D55:D66" si="5">C55/$C$67</f>
        <v>6.1509834282298295E-2</v>
      </c>
      <c r="E55" s="37" t="s">
        <v>748</v>
      </c>
      <c r="F55" s="37">
        <f t="shared" ref="F55:F66" si="6">RANK(C55,$C$54:$C$66,0)</f>
        <v>8</v>
      </c>
    </row>
    <row r="56" spans="1:14" hidden="1">
      <c r="B56" s="1343">
        <v>239481</v>
      </c>
      <c r="C56" s="1344">
        <f t="shared" si="4"/>
        <v>2394.81</v>
      </c>
      <c r="D56" s="1345">
        <f t="shared" si="5"/>
        <v>5.8672739389069098E-2</v>
      </c>
      <c r="E56" s="37" t="s">
        <v>749</v>
      </c>
      <c r="F56" s="37">
        <f t="shared" si="6"/>
        <v>9</v>
      </c>
      <c r="K56" s="37">
        <v>17800</v>
      </c>
    </row>
    <row r="57" spans="1:14" hidden="1">
      <c r="B57" s="1343">
        <v>338385</v>
      </c>
      <c r="C57" s="1344">
        <f>B57/100</f>
        <v>3383.85</v>
      </c>
      <c r="D57" s="1345">
        <f t="shared" si="5"/>
        <v>8.2904175772483601E-2</v>
      </c>
      <c r="E57" s="37" t="s">
        <v>750</v>
      </c>
      <c r="F57" s="37">
        <f t="shared" si="6"/>
        <v>5</v>
      </c>
      <c r="K57" s="37">
        <v>213</v>
      </c>
    </row>
    <row r="58" spans="1:14" hidden="1">
      <c r="B58" s="1343">
        <v>152573</v>
      </c>
      <c r="C58" s="1344">
        <f t="shared" si="4"/>
        <v>1525.73</v>
      </c>
      <c r="D58" s="1345">
        <f t="shared" si="5"/>
        <v>3.7380317715428109E-2</v>
      </c>
      <c r="E58" s="37" t="s">
        <v>751</v>
      </c>
      <c r="F58" s="37">
        <f t="shared" si="6"/>
        <v>12</v>
      </c>
      <c r="K58" s="1346">
        <f>+K56*K57</f>
        <v>3791400</v>
      </c>
    </row>
    <row r="59" spans="1:14" hidden="1">
      <c r="B59" s="1343">
        <v>235826</v>
      </c>
      <c r="C59" s="1344">
        <f t="shared" si="4"/>
        <v>2358.2600000000002</v>
      </c>
      <c r="D59" s="1345">
        <f t="shared" si="5"/>
        <v>5.7777266000921201E-2</v>
      </c>
      <c r="E59" s="37" t="s">
        <v>752</v>
      </c>
      <c r="F59" s="37">
        <f t="shared" si="6"/>
        <v>10</v>
      </c>
    </row>
    <row r="60" spans="1:14" hidden="1">
      <c r="B60" s="1343">
        <v>143896</v>
      </c>
      <c r="C60" s="1344">
        <f t="shared" si="4"/>
        <v>1438.96</v>
      </c>
      <c r="D60" s="1345">
        <f t="shared" si="5"/>
        <v>3.5254456541978223E-2</v>
      </c>
      <c r="E60" s="37" t="s">
        <v>753</v>
      </c>
      <c r="F60" s="37">
        <f t="shared" si="6"/>
        <v>13</v>
      </c>
    </row>
    <row r="61" spans="1:14" hidden="1">
      <c r="B61" s="1343">
        <v>162170</v>
      </c>
      <c r="C61" s="1344">
        <f t="shared" si="4"/>
        <v>1621.7</v>
      </c>
      <c r="D61" s="1345">
        <f t="shared" si="5"/>
        <v>3.9731578483158732E-2</v>
      </c>
      <c r="E61" s="37" t="s">
        <v>754</v>
      </c>
      <c r="F61" s="37">
        <f t="shared" si="6"/>
        <v>11</v>
      </c>
    </row>
    <row r="62" spans="1:14" hidden="1">
      <c r="B62" s="1343">
        <v>331188</v>
      </c>
      <c r="C62" s="1344">
        <f t="shared" si="4"/>
        <v>3311.88</v>
      </c>
      <c r="D62" s="1345">
        <f t="shared" si="5"/>
        <v>8.1140913946354892E-2</v>
      </c>
      <c r="E62" s="37" t="s">
        <v>755</v>
      </c>
      <c r="F62" s="37">
        <f t="shared" si="6"/>
        <v>6</v>
      </c>
    </row>
    <row r="63" spans="1:14" hidden="1">
      <c r="B63" s="1343">
        <v>353668</v>
      </c>
      <c r="C63" s="1344">
        <f t="shared" si="4"/>
        <v>3536.68</v>
      </c>
      <c r="D63" s="1345">
        <f t="shared" si="5"/>
        <v>8.6648504032692739E-2</v>
      </c>
      <c r="E63" s="37" t="s">
        <v>756</v>
      </c>
      <c r="F63" s="37">
        <f t="shared" si="6"/>
        <v>4</v>
      </c>
    </row>
    <row r="64" spans="1:14" hidden="1">
      <c r="B64" s="1343">
        <v>634878</v>
      </c>
      <c r="C64" s="1344">
        <f t="shared" si="4"/>
        <v>6348.78</v>
      </c>
      <c r="D64" s="1345">
        <f t="shared" si="5"/>
        <v>0.15554483001930594</v>
      </c>
      <c r="E64" s="37" t="s">
        <v>757</v>
      </c>
      <c r="F64" s="37">
        <f t="shared" si="6"/>
        <v>1</v>
      </c>
    </row>
    <row r="65" spans="2:6" hidden="1">
      <c r="B65" s="1343">
        <v>266901</v>
      </c>
      <c r="C65" s="1344">
        <f t="shared" si="4"/>
        <v>2669.01</v>
      </c>
      <c r="D65" s="1345">
        <f t="shared" si="5"/>
        <v>6.5390627296870868E-2</v>
      </c>
      <c r="E65" s="37" t="s">
        <v>758</v>
      </c>
      <c r="F65" s="37">
        <f t="shared" si="6"/>
        <v>7</v>
      </c>
    </row>
    <row r="66" spans="2:6" hidden="1">
      <c r="B66" s="1343">
        <v>522119</v>
      </c>
      <c r="C66" s="1344">
        <f t="shared" si="4"/>
        <v>5221.1899999999996</v>
      </c>
      <c r="D66" s="1345">
        <f t="shared" si="5"/>
        <v>0.12791892474593544</v>
      </c>
      <c r="E66" s="37" t="s">
        <v>759</v>
      </c>
      <c r="F66" s="37">
        <f t="shared" si="6"/>
        <v>2</v>
      </c>
    </row>
    <row r="67" spans="2:6" hidden="1">
      <c r="B67" s="1343"/>
      <c r="C67" s="58">
        <f>SUM(C54:C66)</f>
        <v>40816.400000000001</v>
      </c>
      <c r="D67" s="1347">
        <f>SUM(D54:D66)</f>
        <v>1</v>
      </c>
      <c r="E67" s="37">
        <f>COUNTA(E54:E66)</f>
        <v>13</v>
      </c>
    </row>
    <row r="68" spans="2:6" hidden="1">
      <c r="B68" s="1343">
        <f>33123597</f>
        <v>33123597</v>
      </c>
      <c r="C68" s="1344">
        <f t="shared" si="4"/>
        <v>331235.96999999997</v>
      </c>
    </row>
    <row r="69" spans="2:6" hidden="1">
      <c r="C69" s="1348">
        <f>+C57/C68</f>
        <v>1.0215828914957516E-2</v>
      </c>
    </row>
    <row r="109" spans="1:1">
      <c r="A109" s="2" t="s">
        <v>760</v>
      </c>
    </row>
    <row r="110" spans="1:1">
      <c r="A110" s="2" t="s">
        <v>761</v>
      </c>
    </row>
    <row r="111" spans="1:1">
      <c r="A111" s="2" t="s">
        <v>762</v>
      </c>
    </row>
    <row r="112" spans="1:1">
      <c r="A112" s="2" t="s">
        <v>763</v>
      </c>
    </row>
    <row r="113" spans="1:1">
      <c r="A113" s="2" t="s">
        <v>764</v>
      </c>
    </row>
    <row r="114" spans="1:1">
      <c r="A114" s="2" t="s">
        <v>765</v>
      </c>
    </row>
    <row r="115" spans="1:1">
      <c r="A115" s="2" t="s">
        <v>766</v>
      </c>
    </row>
    <row r="116" spans="1:1">
      <c r="A116" s="2" t="s">
        <v>767</v>
      </c>
    </row>
    <row r="117" spans="1:1">
      <c r="A117" s="2" t="s">
        <v>768</v>
      </c>
    </row>
    <row r="118" spans="1:1">
      <c r="A118" s="2" t="s">
        <v>769</v>
      </c>
    </row>
    <row r="119" spans="1:1">
      <c r="A119" s="2" t="s">
        <v>770</v>
      </c>
    </row>
    <row r="120" spans="1:1">
      <c r="A120" s="2" t="s">
        <v>771</v>
      </c>
    </row>
    <row r="121" spans="1:1">
      <c r="A121" s="2" t="s">
        <v>772</v>
      </c>
    </row>
    <row r="122" spans="1:1">
      <c r="A122" s="2" t="s">
        <v>773</v>
      </c>
    </row>
    <row r="123" spans="1:1">
      <c r="A123" s="2" t="s">
        <v>774</v>
      </c>
    </row>
    <row r="124" spans="1:1">
      <c r="A124" s="2" t="s">
        <v>775</v>
      </c>
    </row>
    <row r="125" spans="1:1">
      <c r="A125" s="2" t="s">
        <v>776</v>
      </c>
    </row>
    <row r="126" spans="1:1">
      <c r="A126" s="2" t="s">
        <v>777</v>
      </c>
    </row>
    <row r="127" spans="1:1">
      <c r="A127" s="2" t="s">
        <v>778</v>
      </c>
    </row>
  </sheetData>
  <mergeCells count="12">
    <mergeCell ref="K4:K5"/>
    <mergeCell ref="L4:L5"/>
    <mergeCell ref="M4:M5"/>
    <mergeCell ref="N4:N5"/>
    <mergeCell ref="A2:J2"/>
    <mergeCell ref="A4:A5"/>
    <mergeCell ref="B4:B5"/>
    <mergeCell ref="C4:C5"/>
    <mergeCell ref="D4:E4"/>
    <mergeCell ref="F4:G4"/>
    <mergeCell ref="J4:J5"/>
    <mergeCell ref="H4:I4"/>
  </mergeCells>
  <hyperlinks>
    <hyperlink ref="B23" r:id="rId1"/>
    <hyperlink ref="A4:A5" location="'List danh mục'!A1" display="STT"/>
  </hyperlinks>
  <pageMargins left="0.70866141732283472" right="0.70866141732283472" top="0.74803149606299213" bottom="0.74803149606299213" header="0.31496062992125984" footer="0.31496062992125984"/>
  <pageSetup orientation="portrait" verticalDpi="0"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U25"/>
  <sheetViews>
    <sheetView topLeftCell="A10" workbookViewId="0">
      <selection activeCell="J25" sqref="J25"/>
    </sheetView>
  </sheetViews>
  <sheetFormatPr defaultRowHeight="18"/>
  <cols>
    <col min="1" max="1" width="5.59765625" style="2" bestFit="1" customWidth="1"/>
    <col min="2" max="2" width="38.09765625" style="37" customWidth="1"/>
    <col min="3" max="3" width="12" style="37" customWidth="1"/>
    <col min="4" max="9" width="7.69921875" style="37" hidden="1" customWidth="1"/>
    <col min="10" max="10" width="10.59765625" style="37" customWidth="1"/>
    <col min="11" max="11" width="10" style="37" bestFit="1" customWidth="1"/>
    <col min="12" max="13" width="10" style="37" customWidth="1"/>
    <col min="14" max="14" width="7.5" style="37" customWidth="1"/>
    <col min="15" max="15" width="12.69921875" style="37" customWidth="1"/>
    <col min="16" max="20" width="8.69921875" style="37"/>
    <col min="21" max="21" width="12.3984375" style="37" customWidth="1"/>
    <col min="22" max="262" width="8.69921875" style="37"/>
    <col min="263" max="263" width="5.59765625" style="37" bestFit="1" customWidth="1"/>
    <col min="264" max="264" width="38.09765625" style="37" customWidth="1"/>
    <col min="265" max="265" width="9.5" style="37" customWidth="1"/>
    <col min="266" max="266" width="11.19921875" style="37" customWidth="1"/>
    <col min="267" max="267" width="10.5" style="37" customWidth="1"/>
    <col min="268" max="268" width="14.5" style="37" customWidth="1"/>
    <col min="269" max="269" width="11.09765625" style="37" customWidth="1"/>
    <col min="270" max="270" width="10.59765625" style="37" customWidth="1"/>
    <col min="271" max="271" width="11" style="37" customWidth="1"/>
    <col min="272" max="518" width="8.69921875" style="37"/>
    <col min="519" max="519" width="5.59765625" style="37" bestFit="1" customWidth="1"/>
    <col min="520" max="520" width="38.09765625" style="37" customWidth="1"/>
    <col min="521" max="521" width="9.5" style="37" customWidth="1"/>
    <col min="522" max="522" width="11.19921875" style="37" customWidth="1"/>
    <col min="523" max="523" width="10.5" style="37" customWidth="1"/>
    <col min="524" max="524" width="14.5" style="37" customWidth="1"/>
    <col min="525" max="525" width="11.09765625" style="37" customWidth="1"/>
    <col min="526" max="526" width="10.59765625" style="37" customWidth="1"/>
    <col min="527" max="527" width="11" style="37" customWidth="1"/>
    <col min="528" max="774" width="8.69921875" style="37"/>
    <col min="775" max="775" width="5.59765625" style="37" bestFit="1" customWidth="1"/>
    <col min="776" max="776" width="38.09765625" style="37" customWidth="1"/>
    <col min="777" max="777" width="9.5" style="37" customWidth="1"/>
    <col min="778" max="778" width="11.19921875" style="37" customWidth="1"/>
    <col min="779" max="779" width="10.5" style="37" customWidth="1"/>
    <col min="780" max="780" width="14.5" style="37" customWidth="1"/>
    <col min="781" max="781" width="11.09765625" style="37" customWidth="1"/>
    <col min="782" max="782" width="10.59765625" style="37" customWidth="1"/>
    <col min="783" max="783" width="11" style="37" customWidth="1"/>
    <col min="784" max="1030" width="8.69921875" style="37"/>
    <col min="1031" max="1031" width="5.59765625" style="37" bestFit="1" customWidth="1"/>
    <col min="1032" max="1032" width="38.09765625" style="37" customWidth="1"/>
    <col min="1033" max="1033" width="9.5" style="37" customWidth="1"/>
    <col min="1034" max="1034" width="11.19921875" style="37" customWidth="1"/>
    <col min="1035" max="1035" width="10.5" style="37" customWidth="1"/>
    <col min="1036" max="1036" width="14.5" style="37" customWidth="1"/>
    <col min="1037" max="1037" width="11.09765625" style="37" customWidth="1"/>
    <col min="1038" max="1038" width="10.59765625" style="37" customWidth="1"/>
    <col min="1039" max="1039" width="11" style="37" customWidth="1"/>
    <col min="1040" max="1286" width="8.69921875" style="37"/>
    <col min="1287" max="1287" width="5.59765625" style="37" bestFit="1" customWidth="1"/>
    <col min="1288" max="1288" width="38.09765625" style="37" customWidth="1"/>
    <col min="1289" max="1289" width="9.5" style="37" customWidth="1"/>
    <col min="1290" max="1290" width="11.19921875" style="37" customWidth="1"/>
    <col min="1291" max="1291" width="10.5" style="37" customWidth="1"/>
    <col min="1292" max="1292" width="14.5" style="37" customWidth="1"/>
    <col min="1293" max="1293" width="11.09765625" style="37" customWidth="1"/>
    <col min="1294" max="1294" width="10.59765625" style="37" customWidth="1"/>
    <col min="1295" max="1295" width="11" style="37" customWidth="1"/>
    <col min="1296" max="1542" width="8.69921875" style="37"/>
    <col min="1543" max="1543" width="5.59765625" style="37" bestFit="1" customWidth="1"/>
    <col min="1544" max="1544" width="38.09765625" style="37" customWidth="1"/>
    <col min="1545" max="1545" width="9.5" style="37" customWidth="1"/>
    <col min="1546" max="1546" width="11.19921875" style="37" customWidth="1"/>
    <col min="1547" max="1547" width="10.5" style="37" customWidth="1"/>
    <col min="1548" max="1548" width="14.5" style="37" customWidth="1"/>
    <col min="1549" max="1549" width="11.09765625" style="37" customWidth="1"/>
    <col min="1550" max="1550" width="10.59765625" style="37" customWidth="1"/>
    <col min="1551" max="1551" width="11" style="37" customWidth="1"/>
    <col min="1552" max="1798" width="8.69921875" style="37"/>
    <col min="1799" max="1799" width="5.59765625" style="37" bestFit="1" customWidth="1"/>
    <col min="1800" max="1800" width="38.09765625" style="37" customWidth="1"/>
    <col min="1801" max="1801" width="9.5" style="37" customWidth="1"/>
    <col min="1802" max="1802" width="11.19921875" style="37" customWidth="1"/>
    <col min="1803" max="1803" width="10.5" style="37" customWidth="1"/>
    <col min="1804" max="1804" width="14.5" style="37" customWidth="1"/>
    <col min="1805" max="1805" width="11.09765625" style="37" customWidth="1"/>
    <col min="1806" max="1806" width="10.59765625" style="37" customWidth="1"/>
    <col min="1807" max="1807" width="11" style="37" customWidth="1"/>
    <col min="1808" max="2054" width="8.69921875" style="37"/>
    <col min="2055" max="2055" width="5.59765625" style="37" bestFit="1" customWidth="1"/>
    <col min="2056" max="2056" width="38.09765625" style="37" customWidth="1"/>
    <col min="2057" max="2057" width="9.5" style="37" customWidth="1"/>
    <col min="2058" max="2058" width="11.19921875" style="37" customWidth="1"/>
    <col min="2059" max="2059" width="10.5" style="37" customWidth="1"/>
    <col min="2060" max="2060" width="14.5" style="37" customWidth="1"/>
    <col min="2061" max="2061" width="11.09765625" style="37" customWidth="1"/>
    <col min="2062" max="2062" width="10.59765625" style="37" customWidth="1"/>
    <col min="2063" max="2063" width="11" style="37" customWidth="1"/>
    <col min="2064" max="2310" width="8.69921875" style="37"/>
    <col min="2311" max="2311" width="5.59765625" style="37" bestFit="1" customWidth="1"/>
    <col min="2312" max="2312" width="38.09765625" style="37" customWidth="1"/>
    <col min="2313" max="2313" width="9.5" style="37" customWidth="1"/>
    <col min="2314" max="2314" width="11.19921875" style="37" customWidth="1"/>
    <col min="2315" max="2315" width="10.5" style="37" customWidth="1"/>
    <col min="2316" max="2316" width="14.5" style="37" customWidth="1"/>
    <col min="2317" max="2317" width="11.09765625" style="37" customWidth="1"/>
    <col min="2318" max="2318" width="10.59765625" style="37" customWidth="1"/>
    <col min="2319" max="2319" width="11" style="37" customWidth="1"/>
    <col min="2320" max="2566" width="8.69921875" style="37"/>
    <col min="2567" max="2567" width="5.59765625" style="37" bestFit="1" customWidth="1"/>
    <col min="2568" max="2568" width="38.09765625" style="37" customWidth="1"/>
    <col min="2569" max="2569" width="9.5" style="37" customWidth="1"/>
    <col min="2570" max="2570" width="11.19921875" style="37" customWidth="1"/>
    <col min="2571" max="2571" width="10.5" style="37" customWidth="1"/>
    <col min="2572" max="2572" width="14.5" style="37" customWidth="1"/>
    <col min="2573" max="2573" width="11.09765625" style="37" customWidth="1"/>
    <col min="2574" max="2574" width="10.59765625" style="37" customWidth="1"/>
    <col min="2575" max="2575" width="11" style="37" customWidth="1"/>
    <col min="2576" max="2822" width="8.69921875" style="37"/>
    <col min="2823" max="2823" width="5.59765625" style="37" bestFit="1" customWidth="1"/>
    <col min="2824" max="2824" width="38.09765625" style="37" customWidth="1"/>
    <col min="2825" max="2825" width="9.5" style="37" customWidth="1"/>
    <col min="2826" max="2826" width="11.19921875" style="37" customWidth="1"/>
    <col min="2827" max="2827" width="10.5" style="37" customWidth="1"/>
    <col min="2828" max="2828" width="14.5" style="37" customWidth="1"/>
    <col min="2829" max="2829" width="11.09765625" style="37" customWidth="1"/>
    <col min="2830" max="2830" width="10.59765625" style="37" customWidth="1"/>
    <col min="2831" max="2831" width="11" style="37" customWidth="1"/>
    <col min="2832" max="3078" width="8.69921875" style="37"/>
    <col min="3079" max="3079" width="5.59765625" style="37" bestFit="1" customWidth="1"/>
    <col min="3080" max="3080" width="38.09765625" style="37" customWidth="1"/>
    <col min="3081" max="3081" width="9.5" style="37" customWidth="1"/>
    <col min="3082" max="3082" width="11.19921875" style="37" customWidth="1"/>
    <col min="3083" max="3083" width="10.5" style="37" customWidth="1"/>
    <col min="3084" max="3084" width="14.5" style="37" customWidth="1"/>
    <col min="3085" max="3085" width="11.09765625" style="37" customWidth="1"/>
    <col min="3086" max="3086" width="10.59765625" style="37" customWidth="1"/>
    <col min="3087" max="3087" width="11" style="37" customWidth="1"/>
    <col min="3088" max="3334" width="8.69921875" style="37"/>
    <col min="3335" max="3335" width="5.59765625" style="37" bestFit="1" customWidth="1"/>
    <col min="3336" max="3336" width="38.09765625" style="37" customWidth="1"/>
    <col min="3337" max="3337" width="9.5" style="37" customWidth="1"/>
    <col min="3338" max="3338" width="11.19921875" style="37" customWidth="1"/>
    <col min="3339" max="3339" width="10.5" style="37" customWidth="1"/>
    <col min="3340" max="3340" width="14.5" style="37" customWidth="1"/>
    <col min="3341" max="3341" width="11.09765625" style="37" customWidth="1"/>
    <col min="3342" max="3342" width="10.59765625" style="37" customWidth="1"/>
    <col min="3343" max="3343" width="11" style="37" customWidth="1"/>
    <col min="3344" max="3590" width="8.69921875" style="37"/>
    <col min="3591" max="3591" width="5.59765625" style="37" bestFit="1" customWidth="1"/>
    <col min="3592" max="3592" width="38.09765625" style="37" customWidth="1"/>
    <col min="3593" max="3593" width="9.5" style="37" customWidth="1"/>
    <col min="3594" max="3594" width="11.19921875" style="37" customWidth="1"/>
    <col min="3595" max="3595" width="10.5" style="37" customWidth="1"/>
    <col min="3596" max="3596" width="14.5" style="37" customWidth="1"/>
    <col min="3597" max="3597" width="11.09765625" style="37" customWidth="1"/>
    <col min="3598" max="3598" width="10.59765625" style="37" customWidth="1"/>
    <col min="3599" max="3599" width="11" style="37" customWidth="1"/>
    <col min="3600" max="3846" width="8.69921875" style="37"/>
    <col min="3847" max="3847" width="5.59765625" style="37" bestFit="1" customWidth="1"/>
    <col min="3848" max="3848" width="38.09765625" style="37" customWidth="1"/>
    <col min="3849" max="3849" width="9.5" style="37" customWidth="1"/>
    <col min="3850" max="3850" width="11.19921875" style="37" customWidth="1"/>
    <col min="3851" max="3851" width="10.5" style="37" customWidth="1"/>
    <col min="3852" max="3852" width="14.5" style="37" customWidth="1"/>
    <col min="3853" max="3853" width="11.09765625" style="37" customWidth="1"/>
    <col min="3854" max="3854" width="10.59765625" style="37" customWidth="1"/>
    <col min="3855" max="3855" width="11" style="37" customWidth="1"/>
    <col min="3856" max="4102" width="8.69921875" style="37"/>
    <col min="4103" max="4103" width="5.59765625" style="37" bestFit="1" customWidth="1"/>
    <col min="4104" max="4104" width="38.09765625" style="37" customWidth="1"/>
    <col min="4105" max="4105" width="9.5" style="37" customWidth="1"/>
    <col min="4106" max="4106" width="11.19921875" style="37" customWidth="1"/>
    <col min="4107" max="4107" width="10.5" style="37" customWidth="1"/>
    <col min="4108" max="4108" width="14.5" style="37" customWidth="1"/>
    <col min="4109" max="4109" width="11.09765625" style="37" customWidth="1"/>
    <col min="4110" max="4110" width="10.59765625" style="37" customWidth="1"/>
    <col min="4111" max="4111" width="11" style="37" customWidth="1"/>
    <col min="4112" max="4358" width="8.69921875" style="37"/>
    <col min="4359" max="4359" width="5.59765625" style="37" bestFit="1" customWidth="1"/>
    <col min="4360" max="4360" width="38.09765625" style="37" customWidth="1"/>
    <col min="4361" max="4361" width="9.5" style="37" customWidth="1"/>
    <col min="4362" max="4362" width="11.19921875" style="37" customWidth="1"/>
    <col min="4363" max="4363" width="10.5" style="37" customWidth="1"/>
    <col min="4364" max="4364" width="14.5" style="37" customWidth="1"/>
    <col min="4365" max="4365" width="11.09765625" style="37" customWidth="1"/>
    <col min="4366" max="4366" width="10.59765625" style="37" customWidth="1"/>
    <col min="4367" max="4367" width="11" style="37" customWidth="1"/>
    <col min="4368" max="4614" width="8.69921875" style="37"/>
    <col min="4615" max="4615" width="5.59765625" style="37" bestFit="1" customWidth="1"/>
    <col min="4616" max="4616" width="38.09765625" style="37" customWidth="1"/>
    <col min="4617" max="4617" width="9.5" style="37" customWidth="1"/>
    <col min="4618" max="4618" width="11.19921875" style="37" customWidth="1"/>
    <col min="4619" max="4619" width="10.5" style="37" customWidth="1"/>
    <col min="4620" max="4620" width="14.5" style="37" customWidth="1"/>
    <col min="4621" max="4621" width="11.09765625" style="37" customWidth="1"/>
    <col min="4622" max="4622" width="10.59765625" style="37" customWidth="1"/>
    <col min="4623" max="4623" width="11" style="37" customWidth="1"/>
    <col min="4624" max="4870" width="8.69921875" style="37"/>
    <col min="4871" max="4871" width="5.59765625" style="37" bestFit="1" customWidth="1"/>
    <col min="4872" max="4872" width="38.09765625" style="37" customWidth="1"/>
    <col min="4873" max="4873" width="9.5" style="37" customWidth="1"/>
    <col min="4874" max="4874" width="11.19921875" style="37" customWidth="1"/>
    <col min="4875" max="4875" width="10.5" style="37" customWidth="1"/>
    <col min="4876" max="4876" width="14.5" style="37" customWidth="1"/>
    <col min="4877" max="4877" width="11.09765625" style="37" customWidth="1"/>
    <col min="4878" max="4878" width="10.59765625" style="37" customWidth="1"/>
    <col min="4879" max="4879" width="11" style="37" customWidth="1"/>
    <col min="4880" max="5126" width="8.69921875" style="37"/>
    <col min="5127" max="5127" width="5.59765625" style="37" bestFit="1" customWidth="1"/>
    <col min="5128" max="5128" width="38.09765625" style="37" customWidth="1"/>
    <col min="5129" max="5129" width="9.5" style="37" customWidth="1"/>
    <col min="5130" max="5130" width="11.19921875" style="37" customWidth="1"/>
    <col min="5131" max="5131" width="10.5" style="37" customWidth="1"/>
    <col min="5132" max="5132" width="14.5" style="37" customWidth="1"/>
    <col min="5133" max="5133" width="11.09765625" style="37" customWidth="1"/>
    <col min="5134" max="5134" width="10.59765625" style="37" customWidth="1"/>
    <col min="5135" max="5135" width="11" style="37" customWidth="1"/>
    <col min="5136" max="5382" width="8.69921875" style="37"/>
    <col min="5383" max="5383" width="5.59765625" style="37" bestFit="1" customWidth="1"/>
    <col min="5384" max="5384" width="38.09765625" style="37" customWidth="1"/>
    <col min="5385" max="5385" width="9.5" style="37" customWidth="1"/>
    <col min="5386" max="5386" width="11.19921875" style="37" customWidth="1"/>
    <col min="5387" max="5387" width="10.5" style="37" customWidth="1"/>
    <col min="5388" max="5388" width="14.5" style="37" customWidth="1"/>
    <col min="5389" max="5389" width="11.09765625" style="37" customWidth="1"/>
    <col min="5390" max="5390" width="10.59765625" style="37" customWidth="1"/>
    <col min="5391" max="5391" width="11" style="37" customWidth="1"/>
    <col min="5392" max="5638" width="8.69921875" style="37"/>
    <col min="5639" max="5639" width="5.59765625" style="37" bestFit="1" customWidth="1"/>
    <col min="5640" max="5640" width="38.09765625" style="37" customWidth="1"/>
    <col min="5641" max="5641" width="9.5" style="37" customWidth="1"/>
    <col min="5642" max="5642" width="11.19921875" style="37" customWidth="1"/>
    <col min="5643" max="5643" width="10.5" style="37" customWidth="1"/>
    <col min="5644" max="5644" width="14.5" style="37" customWidth="1"/>
    <col min="5645" max="5645" width="11.09765625" style="37" customWidth="1"/>
    <col min="5646" max="5646" width="10.59765625" style="37" customWidth="1"/>
    <col min="5647" max="5647" width="11" style="37" customWidth="1"/>
    <col min="5648" max="5894" width="8.69921875" style="37"/>
    <col min="5895" max="5895" width="5.59765625" style="37" bestFit="1" customWidth="1"/>
    <col min="5896" max="5896" width="38.09765625" style="37" customWidth="1"/>
    <col min="5897" max="5897" width="9.5" style="37" customWidth="1"/>
    <col min="5898" max="5898" width="11.19921875" style="37" customWidth="1"/>
    <col min="5899" max="5899" width="10.5" style="37" customWidth="1"/>
    <col min="5900" max="5900" width="14.5" style="37" customWidth="1"/>
    <col min="5901" max="5901" width="11.09765625" style="37" customWidth="1"/>
    <col min="5902" max="5902" width="10.59765625" style="37" customWidth="1"/>
    <col min="5903" max="5903" width="11" style="37" customWidth="1"/>
    <col min="5904" max="6150" width="8.69921875" style="37"/>
    <col min="6151" max="6151" width="5.59765625" style="37" bestFit="1" customWidth="1"/>
    <col min="6152" max="6152" width="38.09765625" style="37" customWidth="1"/>
    <col min="6153" max="6153" width="9.5" style="37" customWidth="1"/>
    <col min="6154" max="6154" width="11.19921875" style="37" customWidth="1"/>
    <col min="6155" max="6155" width="10.5" style="37" customWidth="1"/>
    <col min="6156" max="6156" width="14.5" style="37" customWidth="1"/>
    <col min="6157" max="6157" width="11.09765625" style="37" customWidth="1"/>
    <col min="6158" max="6158" width="10.59765625" style="37" customWidth="1"/>
    <col min="6159" max="6159" width="11" style="37" customWidth="1"/>
    <col min="6160" max="6406" width="8.69921875" style="37"/>
    <col min="6407" max="6407" width="5.59765625" style="37" bestFit="1" customWidth="1"/>
    <col min="6408" max="6408" width="38.09765625" style="37" customWidth="1"/>
    <col min="6409" max="6409" width="9.5" style="37" customWidth="1"/>
    <col min="6410" max="6410" width="11.19921875" style="37" customWidth="1"/>
    <col min="6411" max="6411" width="10.5" style="37" customWidth="1"/>
    <col min="6412" max="6412" width="14.5" style="37" customWidth="1"/>
    <col min="6413" max="6413" width="11.09765625" style="37" customWidth="1"/>
    <col min="6414" max="6414" width="10.59765625" style="37" customWidth="1"/>
    <col min="6415" max="6415" width="11" style="37" customWidth="1"/>
    <col min="6416" max="6662" width="8.69921875" style="37"/>
    <col min="6663" max="6663" width="5.59765625" style="37" bestFit="1" customWidth="1"/>
    <col min="6664" max="6664" width="38.09765625" style="37" customWidth="1"/>
    <col min="6665" max="6665" width="9.5" style="37" customWidth="1"/>
    <col min="6666" max="6666" width="11.19921875" style="37" customWidth="1"/>
    <col min="6667" max="6667" width="10.5" style="37" customWidth="1"/>
    <col min="6668" max="6668" width="14.5" style="37" customWidth="1"/>
    <col min="6669" max="6669" width="11.09765625" style="37" customWidth="1"/>
    <col min="6670" max="6670" width="10.59765625" style="37" customWidth="1"/>
    <col min="6671" max="6671" width="11" style="37" customWidth="1"/>
    <col min="6672" max="6918" width="8.69921875" style="37"/>
    <col min="6919" max="6919" width="5.59765625" style="37" bestFit="1" customWidth="1"/>
    <col min="6920" max="6920" width="38.09765625" style="37" customWidth="1"/>
    <col min="6921" max="6921" width="9.5" style="37" customWidth="1"/>
    <col min="6922" max="6922" width="11.19921875" style="37" customWidth="1"/>
    <col min="6923" max="6923" width="10.5" style="37" customWidth="1"/>
    <col min="6924" max="6924" width="14.5" style="37" customWidth="1"/>
    <col min="6925" max="6925" width="11.09765625" style="37" customWidth="1"/>
    <col min="6926" max="6926" width="10.59765625" style="37" customWidth="1"/>
    <col min="6927" max="6927" width="11" style="37" customWidth="1"/>
    <col min="6928" max="7174" width="8.69921875" style="37"/>
    <col min="7175" max="7175" width="5.59765625" style="37" bestFit="1" customWidth="1"/>
    <col min="7176" max="7176" width="38.09765625" style="37" customWidth="1"/>
    <col min="7177" max="7177" width="9.5" style="37" customWidth="1"/>
    <col min="7178" max="7178" width="11.19921875" style="37" customWidth="1"/>
    <col min="7179" max="7179" width="10.5" style="37" customWidth="1"/>
    <col min="7180" max="7180" width="14.5" style="37" customWidth="1"/>
    <col min="7181" max="7181" width="11.09765625" style="37" customWidth="1"/>
    <col min="7182" max="7182" width="10.59765625" style="37" customWidth="1"/>
    <col min="7183" max="7183" width="11" style="37" customWidth="1"/>
    <col min="7184" max="7430" width="8.69921875" style="37"/>
    <col min="7431" max="7431" width="5.59765625" style="37" bestFit="1" customWidth="1"/>
    <col min="7432" max="7432" width="38.09765625" style="37" customWidth="1"/>
    <col min="7433" max="7433" width="9.5" style="37" customWidth="1"/>
    <col min="7434" max="7434" width="11.19921875" style="37" customWidth="1"/>
    <col min="7435" max="7435" width="10.5" style="37" customWidth="1"/>
    <col min="7436" max="7436" width="14.5" style="37" customWidth="1"/>
    <col min="7437" max="7437" width="11.09765625" style="37" customWidth="1"/>
    <col min="7438" max="7438" width="10.59765625" style="37" customWidth="1"/>
    <col min="7439" max="7439" width="11" style="37" customWidth="1"/>
    <col min="7440" max="7686" width="8.69921875" style="37"/>
    <col min="7687" max="7687" width="5.59765625" style="37" bestFit="1" customWidth="1"/>
    <col min="7688" max="7688" width="38.09765625" style="37" customWidth="1"/>
    <col min="7689" max="7689" width="9.5" style="37" customWidth="1"/>
    <col min="7690" max="7690" width="11.19921875" style="37" customWidth="1"/>
    <col min="7691" max="7691" width="10.5" style="37" customWidth="1"/>
    <col min="7692" max="7692" width="14.5" style="37" customWidth="1"/>
    <col min="7693" max="7693" width="11.09765625" style="37" customWidth="1"/>
    <col min="7694" max="7694" width="10.59765625" style="37" customWidth="1"/>
    <col min="7695" max="7695" width="11" style="37" customWidth="1"/>
    <col min="7696" max="7942" width="8.69921875" style="37"/>
    <col min="7943" max="7943" width="5.59765625" style="37" bestFit="1" customWidth="1"/>
    <col min="7944" max="7944" width="38.09765625" style="37" customWidth="1"/>
    <col min="7945" max="7945" width="9.5" style="37" customWidth="1"/>
    <col min="7946" max="7946" width="11.19921875" style="37" customWidth="1"/>
    <col min="7947" max="7947" width="10.5" style="37" customWidth="1"/>
    <col min="7948" max="7948" width="14.5" style="37" customWidth="1"/>
    <col min="7949" max="7949" width="11.09765625" style="37" customWidth="1"/>
    <col min="7950" max="7950" width="10.59765625" style="37" customWidth="1"/>
    <col min="7951" max="7951" width="11" style="37" customWidth="1"/>
    <col min="7952" max="8198" width="8.69921875" style="37"/>
    <col min="8199" max="8199" width="5.59765625" style="37" bestFit="1" customWidth="1"/>
    <col min="8200" max="8200" width="38.09765625" style="37" customWidth="1"/>
    <col min="8201" max="8201" width="9.5" style="37" customWidth="1"/>
    <col min="8202" max="8202" width="11.19921875" style="37" customWidth="1"/>
    <col min="8203" max="8203" width="10.5" style="37" customWidth="1"/>
    <col min="8204" max="8204" width="14.5" style="37" customWidth="1"/>
    <col min="8205" max="8205" width="11.09765625" style="37" customWidth="1"/>
    <col min="8206" max="8206" width="10.59765625" style="37" customWidth="1"/>
    <col min="8207" max="8207" width="11" style="37" customWidth="1"/>
    <col min="8208" max="8454" width="8.69921875" style="37"/>
    <col min="8455" max="8455" width="5.59765625" style="37" bestFit="1" customWidth="1"/>
    <col min="8456" max="8456" width="38.09765625" style="37" customWidth="1"/>
    <col min="8457" max="8457" width="9.5" style="37" customWidth="1"/>
    <col min="8458" max="8458" width="11.19921875" style="37" customWidth="1"/>
    <col min="8459" max="8459" width="10.5" style="37" customWidth="1"/>
    <col min="8460" max="8460" width="14.5" style="37" customWidth="1"/>
    <col min="8461" max="8461" width="11.09765625" style="37" customWidth="1"/>
    <col min="8462" max="8462" width="10.59765625" style="37" customWidth="1"/>
    <col min="8463" max="8463" width="11" style="37" customWidth="1"/>
    <col min="8464" max="8710" width="8.69921875" style="37"/>
    <col min="8711" max="8711" width="5.59765625" style="37" bestFit="1" customWidth="1"/>
    <col min="8712" max="8712" width="38.09765625" style="37" customWidth="1"/>
    <col min="8713" max="8713" width="9.5" style="37" customWidth="1"/>
    <col min="8714" max="8714" width="11.19921875" style="37" customWidth="1"/>
    <col min="8715" max="8715" width="10.5" style="37" customWidth="1"/>
    <col min="8716" max="8716" width="14.5" style="37" customWidth="1"/>
    <col min="8717" max="8717" width="11.09765625" style="37" customWidth="1"/>
    <col min="8718" max="8718" width="10.59765625" style="37" customWidth="1"/>
    <col min="8719" max="8719" width="11" style="37" customWidth="1"/>
    <col min="8720" max="8966" width="8.69921875" style="37"/>
    <col min="8967" max="8967" width="5.59765625" style="37" bestFit="1" customWidth="1"/>
    <col min="8968" max="8968" width="38.09765625" style="37" customWidth="1"/>
    <col min="8969" max="8969" width="9.5" style="37" customWidth="1"/>
    <col min="8970" max="8970" width="11.19921875" style="37" customWidth="1"/>
    <col min="8971" max="8971" width="10.5" style="37" customWidth="1"/>
    <col min="8972" max="8972" width="14.5" style="37" customWidth="1"/>
    <col min="8973" max="8973" width="11.09765625" style="37" customWidth="1"/>
    <col min="8974" max="8974" width="10.59765625" style="37" customWidth="1"/>
    <col min="8975" max="8975" width="11" style="37" customWidth="1"/>
    <col min="8976" max="9222" width="8.69921875" style="37"/>
    <col min="9223" max="9223" width="5.59765625" style="37" bestFit="1" customWidth="1"/>
    <col min="9224" max="9224" width="38.09765625" style="37" customWidth="1"/>
    <col min="9225" max="9225" width="9.5" style="37" customWidth="1"/>
    <col min="9226" max="9226" width="11.19921875" style="37" customWidth="1"/>
    <col min="9227" max="9227" width="10.5" style="37" customWidth="1"/>
    <col min="9228" max="9228" width="14.5" style="37" customWidth="1"/>
    <col min="9229" max="9229" width="11.09765625" style="37" customWidth="1"/>
    <col min="9230" max="9230" width="10.59765625" style="37" customWidth="1"/>
    <col min="9231" max="9231" width="11" style="37" customWidth="1"/>
    <col min="9232" max="9478" width="8.69921875" style="37"/>
    <col min="9479" max="9479" width="5.59765625" style="37" bestFit="1" customWidth="1"/>
    <col min="9480" max="9480" width="38.09765625" style="37" customWidth="1"/>
    <col min="9481" max="9481" width="9.5" style="37" customWidth="1"/>
    <col min="9482" max="9482" width="11.19921875" style="37" customWidth="1"/>
    <col min="9483" max="9483" width="10.5" style="37" customWidth="1"/>
    <col min="9484" max="9484" width="14.5" style="37" customWidth="1"/>
    <col min="9485" max="9485" width="11.09765625" style="37" customWidth="1"/>
    <col min="9486" max="9486" width="10.59765625" style="37" customWidth="1"/>
    <col min="9487" max="9487" width="11" style="37" customWidth="1"/>
    <col min="9488" max="9734" width="8.69921875" style="37"/>
    <col min="9735" max="9735" width="5.59765625" style="37" bestFit="1" customWidth="1"/>
    <col min="9736" max="9736" width="38.09765625" style="37" customWidth="1"/>
    <col min="9737" max="9737" width="9.5" style="37" customWidth="1"/>
    <col min="9738" max="9738" width="11.19921875" style="37" customWidth="1"/>
    <col min="9739" max="9739" width="10.5" style="37" customWidth="1"/>
    <col min="9740" max="9740" width="14.5" style="37" customWidth="1"/>
    <col min="9741" max="9741" width="11.09765625" style="37" customWidth="1"/>
    <col min="9742" max="9742" width="10.59765625" style="37" customWidth="1"/>
    <col min="9743" max="9743" width="11" style="37" customWidth="1"/>
    <col min="9744" max="9990" width="8.69921875" style="37"/>
    <col min="9991" max="9991" width="5.59765625" style="37" bestFit="1" customWidth="1"/>
    <col min="9992" max="9992" width="38.09765625" style="37" customWidth="1"/>
    <col min="9993" max="9993" width="9.5" style="37" customWidth="1"/>
    <col min="9994" max="9994" width="11.19921875" style="37" customWidth="1"/>
    <col min="9995" max="9995" width="10.5" style="37" customWidth="1"/>
    <col min="9996" max="9996" width="14.5" style="37" customWidth="1"/>
    <col min="9997" max="9997" width="11.09765625" style="37" customWidth="1"/>
    <col min="9998" max="9998" width="10.59765625" style="37" customWidth="1"/>
    <col min="9999" max="9999" width="11" style="37" customWidth="1"/>
    <col min="10000" max="10246" width="8.69921875" style="37"/>
    <col min="10247" max="10247" width="5.59765625" style="37" bestFit="1" customWidth="1"/>
    <col min="10248" max="10248" width="38.09765625" style="37" customWidth="1"/>
    <col min="10249" max="10249" width="9.5" style="37" customWidth="1"/>
    <col min="10250" max="10250" width="11.19921875" style="37" customWidth="1"/>
    <col min="10251" max="10251" width="10.5" style="37" customWidth="1"/>
    <col min="10252" max="10252" width="14.5" style="37" customWidth="1"/>
    <col min="10253" max="10253" width="11.09765625" style="37" customWidth="1"/>
    <col min="10254" max="10254" width="10.59765625" style="37" customWidth="1"/>
    <col min="10255" max="10255" width="11" style="37" customWidth="1"/>
    <col min="10256" max="10502" width="8.69921875" style="37"/>
    <col min="10503" max="10503" width="5.59765625" style="37" bestFit="1" customWidth="1"/>
    <col min="10504" max="10504" width="38.09765625" style="37" customWidth="1"/>
    <col min="10505" max="10505" width="9.5" style="37" customWidth="1"/>
    <col min="10506" max="10506" width="11.19921875" style="37" customWidth="1"/>
    <col min="10507" max="10507" width="10.5" style="37" customWidth="1"/>
    <col min="10508" max="10508" width="14.5" style="37" customWidth="1"/>
    <col min="10509" max="10509" width="11.09765625" style="37" customWidth="1"/>
    <col min="10510" max="10510" width="10.59765625" style="37" customWidth="1"/>
    <col min="10511" max="10511" width="11" style="37" customWidth="1"/>
    <col min="10512" max="10758" width="8.69921875" style="37"/>
    <col min="10759" max="10759" width="5.59765625" style="37" bestFit="1" customWidth="1"/>
    <col min="10760" max="10760" width="38.09765625" style="37" customWidth="1"/>
    <col min="10761" max="10761" width="9.5" style="37" customWidth="1"/>
    <col min="10762" max="10762" width="11.19921875" style="37" customWidth="1"/>
    <col min="10763" max="10763" width="10.5" style="37" customWidth="1"/>
    <col min="10764" max="10764" width="14.5" style="37" customWidth="1"/>
    <col min="10765" max="10765" width="11.09765625" style="37" customWidth="1"/>
    <col min="10766" max="10766" width="10.59765625" style="37" customWidth="1"/>
    <col min="10767" max="10767" width="11" style="37" customWidth="1"/>
    <col min="10768" max="11014" width="8.69921875" style="37"/>
    <col min="11015" max="11015" width="5.59765625" style="37" bestFit="1" customWidth="1"/>
    <col min="11016" max="11016" width="38.09765625" style="37" customWidth="1"/>
    <col min="11017" max="11017" width="9.5" style="37" customWidth="1"/>
    <col min="11018" max="11018" width="11.19921875" style="37" customWidth="1"/>
    <col min="11019" max="11019" width="10.5" style="37" customWidth="1"/>
    <col min="11020" max="11020" width="14.5" style="37" customWidth="1"/>
    <col min="11021" max="11021" width="11.09765625" style="37" customWidth="1"/>
    <col min="11022" max="11022" width="10.59765625" style="37" customWidth="1"/>
    <col min="11023" max="11023" width="11" style="37" customWidth="1"/>
    <col min="11024" max="11270" width="8.69921875" style="37"/>
    <col min="11271" max="11271" width="5.59765625" style="37" bestFit="1" customWidth="1"/>
    <col min="11272" max="11272" width="38.09765625" style="37" customWidth="1"/>
    <col min="11273" max="11273" width="9.5" style="37" customWidth="1"/>
    <col min="11274" max="11274" width="11.19921875" style="37" customWidth="1"/>
    <col min="11275" max="11275" width="10.5" style="37" customWidth="1"/>
    <col min="11276" max="11276" width="14.5" style="37" customWidth="1"/>
    <col min="11277" max="11277" width="11.09765625" style="37" customWidth="1"/>
    <col min="11278" max="11278" width="10.59765625" style="37" customWidth="1"/>
    <col min="11279" max="11279" width="11" style="37" customWidth="1"/>
    <col min="11280" max="11526" width="8.69921875" style="37"/>
    <col min="11527" max="11527" width="5.59765625" style="37" bestFit="1" customWidth="1"/>
    <col min="11528" max="11528" width="38.09765625" style="37" customWidth="1"/>
    <col min="11529" max="11529" width="9.5" style="37" customWidth="1"/>
    <col min="11530" max="11530" width="11.19921875" style="37" customWidth="1"/>
    <col min="11531" max="11531" width="10.5" style="37" customWidth="1"/>
    <col min="11532" max="11532" width="14.5" style="37" customWidth="1"/>
    <col min="11533" max="11533" width="11.09765625" style="37" customWidth="1"/>
    <col min="11534" max="11534" width="10.59765625" style="37" customWidth="1"/>
    <col min="11535" max="11535" width="11" style="37" customWidth="1"/>
    <col min="11536" max="11782" width="8.69921875" style="37"/>
    <col min="11783" max="11783" width="5.59765625" style="37" bestFit="1" customWidth="1"/>
    <col min="11784" max="11784" width="38.09765625" style="37" customWidth="1"/>
    <col min="11785" max="11785" width="9.5" style="37" customWidth="1"/>
    <col min="11786" max="11786" width="11.19921875" style="37" customWidth="1"/>
    <col min="11787" max="11787" width="10.5" style="37" customWidth="1"/>
    <col min="11788" max="11788" width="14.5" style="37" customWidth="1"/>
    <col min="11789" max="11789" width="11.09765625" style="37" customWidth="1"/>
    <col min="11790" max="11790" width="10.59765625" style="37" customWidth="1"/>
    <col min="11791" max="11791" width="11" style="37" customWidth="1"/>
    <col min="11792" max="12038" width="8.69921875" style="37"/>
    <col min="12039" max="12039" width="5.59765625" style="37" bestFit="1" customWidth="1"/>
    <col min="12040" max="12040" width="38.09765625" style="37" customWidth="1"/>
    <col min="12041" max="12041" width="9.5" style="37" customWidth="1"/>
    <col min="12042" max="12042" width="11.19921875" style="37" customWidth="1"/>
    <col min="12043" max="12043" width="10.5" style="37" customWidth="1"/>
    <col min="12044" max="12044" width="14.5" style="37" customWidth="1"/>
    <col min="12045" max="12045" width="11.09765625" style="37" customWidth="1"/>
    <col min="12046" max="12046" width="10.59765625" style="37" customWidth="1"/>
    <col min="12047" max="12047" width="11" style="37" customWidth="1"/>
    <col min="12048" max="12294" width="8.69921875" style="37"/>
    <col min="12295" max="12295" width="5.59765625" style="37" bestFit="1" customWidth="1"/>
    <col min="12296" max="12296" width="38.09765625" style="37" customWidth="1"/>
    <col min="12297" max="12297" width="9.5" style="37" customWidth="1"/>
    <col min="12298" max="12298" width="11.19921875" style="37" customWidth="1"/>
    <col min="12299" max="12299" width="10.5" style="37" customWidth="1"/>
    <col min="12300" max="12300" width="14.5" style="37" customWidth="1"/>
    <col min="12301" max="12301" width="11.09765625" style="37" customWidth="1"/>
    <col min="12302" max="12302" width="10.59765625" style="37" customWidth="1"/>
    <col min="12303" max="12303" width="11" style="37" customWidth="1"/>
    <col min="12304" max="12550" width="8.69921875" style="37"/>
    <col min="12551" max="12551" width="5.59765625" style="37" bestFit="1" customWidth="1"/>
    <col min="12552" max="12552" width="38.09765625" style="37" customWidth="1"/>
    <col min="12553" max="12553" width="9.5" style="37" customWidth="1"/>
    <col min="12554" max="12554" width="11.19921875" style="37" customWidth="1"/>
    <col min="12555" max="12555" width="10.5" style="37" customWidth="1"/>
    <col min="12556" max="12556" width="14.5" style="37" customWidth="1"/>
    <col min="12557" max="12557" width="11.09765625" style="37" customWidth="1"/>
    <col min="12558" max="12558" width="10.59765625" style="37" customWidth="1"/>
    <col min="12559" max="12559" width="11" style="37" customWidth="1"/>
    <col min="12560" max="12806" width="8.69921875" style="37"/>
    <col min="12807" max="12807" width="5.59765625" style="37" bestFit="1" customWidth="1"/>
    <col min="12808" max="12808" width="38.09765625" style="37" customWidth="1"/>
    <col min="12809" max="12809" width="9.5" style="37" customWidth="1"/>
    <col min="12810" max="12810" width="11.19921875" style="37" customWidth="1"/>
    <col min="12811" max="12811" width="10.5" style="37" customWidth="1"/>
    <col min="12812" max="12812" width="14.5" style="37" customWidth="1"/>
    <col min="12813" max="12813" width="11.09765625" style="37" customWidth="1"/>
    <col min="12814" max="12814" width="10.59765625" style="37" customWidth="1"/>
    <col min="12815" max="12815" width="11" style="37" customWidth="1"/>
    <col min="12816" max="13062" width="8.69921875" style="37"/>
    <col min="13063" max="13063" width="5.59765625" style="37" bestFit="1" customWidth="1"/>
    <col min="13064" max="13064" width="38.09765625" style="37" customWidth="1"/>
    <col min="13065" max="13065" width="9.5" style="37" customWidth="1"/>
    <col min="13066" max="13066" width="11.19921875" style="37" customWidth="1"/>
    <col min="13067" max="13067" width="10.5" style="37" customWidth="1"/>
    <col min="13068" max="13068" width="14.5" style="37" customWidth="1"/>
    <col min="13069" max="13069" width="11.09765625" style="37" customWidth="1"/>
    <col min="13070" max="13070" width="10.59765625" style="37" customWidth="1"/>
    <col min="13071" max="13071" width="11" style="37" customWidth="1"/>
    <col min="13072" max="13318" width="8.69921875" style="37"/>
    <col min="13319" max="13319" width="5.59765625" style="37" bestFit="1" customWidth="1"/>
    <col min="13320" max="13320" width="38.09765625" style="37" customWidth="1"/>
    <col min="13321" max="13321" width="9.5" style="37" customWidth="1"/>
    <col min="13322" max="13322" width="11.19921875" style="37" customWidth="1"/>
    <col min="13323" max="13323" width="10.5" style="37" customWidth="1"/>
    <col min="13324" max="13324" width="14.5" style="37" customWidth="1"/>
    <col min="13325" max="13325" width="11.09765625" style="37" customWidth="1"/>
    <col min="13326" max="13326" width="10.59765625" style="37" customWidth="1"/>
    <col min="13327" max="13327" width="11" style="37" customWidth="1"/>
    <col min="13328" max="13574" width="8.69921875" style="37"/>
    <col min="13575" max="13575" width="5.59765625" style="37" bestFit="1" customWidth="1"/>
    <col min="13576" max="13576" width="38.09765625" style="37" customWidth="1"/>
    <col min="13577" max="13577" width="9.5" style="37" customWidth="1"/>
    <col min="13578" max="13578" width="11.19921875" style="37" customWidth="1"/>
    <col min="13579" max="13579" width="10.5" style="37" customWidth="1"/>
    <col min="13580" max="13580" width="14.5" style="37" customWidth="1"/>
    <col min="13581" max="13581" width="11.09765625" style="37" customWidth="1"/>
    <col min="13582" max="13582" width="10.59765625" style="37" customWidth="1"/>
    <col min="13583" max="13583" width="11" style="37" customWidth="1"/>
    <col min="13584" max="13830" width="8.69921875" style="37"/>
    <col min="13831" max="13831" width="5.59765625" style="37" bestFit="1" customWidth="1"/>
    <col min="13832" max="13832" width="38.09765625" style="37" customWidth="1"/>
    <col min="13833" max="13833" width="9.5" style="37" customWidth="1"/>
    <col min="13834" max="13834" width="11.19921875" style="37" customWidth="1"/>
    <col min="13835" max="13835" width="10.5" style="37" customWidth="1"/>
    <col min="13836" max="13836" width="14.5" style="37" customWidth="1"/>
    <col min="13837" max="13837" width="11.09765625" style="37" customWidth="1"/>
    <col min="13838" max="13838" width="10.59765625" style="37" customWidth="1"/>
    <col min="13839" max="13839" width="11" style="37" customWidth="1"/>
    <col min="13840" max="14086" width="8.69921875" style="37"/>
    <col min="14087" max="14087" width="5.59765625" style="37" bestFit="1" customWidth="1"/>
    <col min="14088" max="14088" width="38.09765625" style="37" customWidth="1"/>
    <col min="14089" max="14089" width="9.5" style="37" customWidth="1"/>
    <col min="14090" max="14090" width="11.19921875" style="37" customWidth="1"/>
    <col min="14091" max="14091" width="10.5" style="37" customWidth="1"/>
    <col min="14092" max="14092" width="14.5" style="37" customWidth="1"/>
    <col min="14093" max="14093" width="11.09765625" style="37" customWidth="1"/>
    <col min="14094" max="14094" width="10.59765625" style="37" customWidth="1"/>
    <col min="14095" max="14095" width="11" style="37" customWidth="1"/>
    <col min="14096" max="14342" width="8.69921875" style="37"/>
    <col min="14343" max="14343" width="5.59765625" style="37" bestFit="1" customWidth="1"/>
    <col min="14344" max="14344" width="38.09765625" style="37" customWidth="1"/>
    <col min="14345" max="14345" width="9.5" style="37" customWidth="1"/>
    <col min="14346" max="14346" width="11.19921875" style="37" customWidth="1"/>
    <col min="14347" max="14347" width="10.5" style="37" customWidth="1"/>
    <col min="14348" max="14348" width="14.5" style="37" customWidth="1"/>
    <col min="14349" max="14349" width="11.09765625" style="37" customWidth="1"/>
    <col min="14350" max="14350" width="10.59765625" style="37" customWidth="1"/>
    <col min="14351" max="14351" width="11" style="37" customWidth="1"/>
    <col min="14352" max="14598" width="8.69921875" style="37"/>
    <col min="14599" max="14599" width="5.59765625" style="37" bestFit="1" customWidth="1"/>
    <col min="14600" max="14600" width="38.09765625" style="37" customWidth="1"/>
    <col min="14601" max="14601" width="9.5" style="37" customWidth="1"/>
    <col min="14602" max="14602" width="11.19921875" style="37" customWidth="1"/>
    <col min="14603" max="14603" width="10.5" style="37" customWidth="1"/>
    <col min="14604" max="14604" width="14.5" style="37" customWidth="1"/>
    <col min="14605" max="14605" width="11.09765625" style="37" customWidth="1"/>
    <col min="14606" max="14606" width="10.59765625" style="37" customWidth="1"/>
    <col min="14607" max="14607" width="11" style="37" customWidth="1"/>
    <col min="14608" max="14854" width="8.69921875" style="37"/>
    <col min="14855" max="14855" width="5.59765625" style="37" bestFit="1" customWidth="1"/>
    <col min="14856" max="14856" width="38.09765625" style="37" customWidth="1"/>
    <col min="14857" max="14857" width="9.5" style="37" customWidth="1"/>
    <col min="14858" max="14858" width="11.19921875" style="37" customWidth="1"/>
    <col min="14859" max="14859" width="10.5" style="37" customWidth="1"/>
    <col min="14860" max="14860" width="14.5" style="37" customWidth="1"/>
    <col min="14861" max="14861" width="11.09765625" style="37" customWidth="1"/>
    <col min="14862" max="14862" width="10.59765625" style="37" customWidth="1"/>
    <col min="14863" max="14863" width="11" style="37" customWidth="1"/>
    <col min="14864" max="15110" width="8.69921875" style="37"/>
    <col min="15111" max="15111" width="5.59765625" style="37" bestFit="1" customWidth="1"/>
    <col min="15112" max="15112" width="38.09765625" style="37" customWidth="1"/>
    <col min="15113" max="15113" width="9.5" style="37" customWidth="1"/>
    <col min="15114" max="15114" width="11.19921875" style="37" customWidth="1"/>
    <col min="15115" max="15115" width="10.5" style="37" customWidth="1"/>
    <col min="15116" max="15116" width="14.5" style="37" customWidth="1"/>
    <col min="15117" max="15117" width="11.09765625" style="37" customWidth="1"/>
    <col min="15118" max="15118" width="10.59765625" style="37" customWidth="1"/>
    <col min="15119" max="15119" width="11" style="37" customWidth="1"/>
    <col min="15120" max="15366" width="8.69921875" style="37"/>
    <col min="15367" max="15367" width="5.59765625" style="37" bestFit="1" customWidth="1"/>
    <col min="15368" max="15368" width="38.09765625" style="37" customWidth="1"/>
    <col min="15369" max="15369" width="9.5" style="37" customWidth="1"/>
    <col min="15370" max="15370" width="11.19921875" style="37" customWidth="1"/>
    <col min="15371" max="15371" width="10.5" style="37" customWidth="1"/>
    <col min="15372" max="15372" width="14.5" style="37" customWidth="1"/>
    <col min="15373" max="15373" width="11.09765625" style="37" customWidth="1"/>
    <col min="15374" max="15374" width="10.59765625" style="37" customWidth="1"/>
    <col min="15375" max="15375" width="11" style="37" customWidth="1"/>
    <col min="15376" max="15622" width="8.69921875" style="37"/>
    <col min="15623" max="15623" width="5.59765625" style="37" bestFit="1" customWidth="1"/>
    <col min="15624" max="15624" width="38.09765625" style="37" customWidth="1"/>
    <col min="15625" max="15625" width="9.5" style="37" customWidth="1"/>
    <col min="15626" max="15626" width="11.19921875" style="37" customWidth="1"/>
    <col min="15627" max="15627" width="10.5" style="37" customWidth="1"/>
    <col min="15628" max="15628" width="14.5" style="37" customWidth="1"/>
    <col min="15629" max="15629" width="11.09765625" style="37" customWidth="1"/>
    <col min="15630" max="15630" width="10.59765625" style="37" customWidth="1"/>
    <col min="15631" max="15631" width="11" style="37" customWidth="1"/>
    <col min="15632" max="15878" width="8.69921875" style="37"/>
    <col min="15879" max="15879" width="5.59765625" style="37" bestFit="1" customWidth="1"/>
    <col min="15880" max="15880" width="38.09765625" style="37" customWidth="1"/>
    <col min="15881" max="15881" width="9.5" style="37" customWidth="1"/>
    <col min="15882" max="15882" width="11.19921875" style="37" customWidth="1"/>
    <col min="15883" max="15883" width="10.5" style="37" customWidth="1"/>
    <col min="15884" max="15884" width="14.5" style="37" customWidth="1"/>
    <col min="15885" max="15885" width="11.09765625" style="37" customWidth="1"/>
    <col min="15886" max="15886" width="10.59765625" style="37" customWidth="1"/>
    <col min="15887" max="15887" width="11" style="37" customWidth="1"/>
    <col min="15888" max="16134" width="8.69921875" style="37"/>
    <col min="16135" max="16135" width="5.59765625" style="37" bestFit="1" customWidth="1"/>
    <col min="16136" max="16136" width="38.09765625" style="37" customWidth="1"/>
    <col min="16137" max="16137" width="9.5" style="37" customWidth="1"/>
    <col min="16138" max="16138" width="11.19921875" style="37" customWidth="1"/>
    <col min="16139" max="16139" width="10.5" style="37" customWidth="1"/>
    <col min="16140" max="16140" width="14.5" style="37" customWidth="1"/>
    <col min="16141" max="16141" width="11.09765625" style="37" customWidth="1"/>
    <col min="16142" max="16142" width="10.59765625" style="37" customWidth="1"/>
    <col min="16143" max="16143" width="11" style="37" customWidth="1"/>
    <col min="16144" max="16384" width="8.69921875" style="37"/>
  </cols>
  <sheetData>
    <row r="1" spans="1:21">
      <c r="A1" s="1319"/>
    </row>
    <row r="2" spans="1:21">
      <c r="A2" s="4191" t="s">
        <v>1948</v>
      </c>
      <c r="B2" s="4191"/>
      <c r="C2" s="4191"/>
      <c r="D2" s="4191"/>
      <c r="E2" s="4191"/>
      <c r="F2" s="4191"/>
      <c r="G2" s="4191"/>
      <c r="H2" s="4191"/>
      <c r="I2" s="4191"/>
      <c r="J2" s="4191"/>
      <c r="K2" s="4191"/>
      <c r="L2" s="4191"/>
      <c r="M2" s="4191"/>
      <c r="N2" s="4191"/>
      <c r="O2" s="4191"/>
      <c r="P2" s="4191"/>
      <c r="Q2" s="4191"/>
      <c r="R2" s="4191"/>
      <c r="S2" s="4191"/>
      <c r="T2" s="4191"/>
      <c r="U2" s="4191"/>
    </row>
    <row r="3" spans="1:21">
      <c r="A3" s="210"/>
      <c r="B3" s="210"/>
      <c r="C3" s="210"/>
      <c r="D3" s="210"/>
      <c r="E3" s="210"/>
      <c r="F3" s="210"/>
      <c r="G3" s="210"/>
      <c r="H3" s="210"/>
      <c r="I3" s="210"/>
      <c r="J3" s="210"/>
      <c r="K3" s="210"/>
      <c r="L3" s="210"/>
      <c r="M3" s="210"/>
      <c r="N3" s="210"/>
      <c r="U3" s="2146" t="s">
        <v>779</v>
      </c>
    </row>
    <row r="4" spans="1:21" ht="17.25" customHeight="1">
      <c r="A4" s="4280" t="s">
        <v>244</v>
      </c>
      <c r="B4" s="4281" t="s">
        <v>780</v>
      </c>
      <c r="C4" s="4281" t="s">
        <v>781</v>
      </c>
      <c r="D4" s="4281" t="s">
        <v>782</v>
      </c>
      <c r="E4" s="4281"/>
      <c r="F4" s="4281"/>
      <c r="G4" s="4281"/>
      <c r="H4" s="4281"/>
      <c r="I4" s="4281" t="s">
        <v>1949</v>
      </c>
      <c r="J4" s="4281" t="s">
        <v>1699</v>
      </c>
      <c r="K4" s="4281"/>
      <c r="L4" s="4281"/>
      <c r="M4" s="4281"/>
      <c r="N4" s="4281"/>
      <c r="O4" s="4281" t="s">
        <v>783</v>
      </c>
      <c r="P4" s="4281" t="s">
        <v>1526</v>
      </c>
      <c r="Q4" s="4281"/>
      <c r="R4" s="4281"/>
      <c r="S4" s="4281"/>
      <c r="T4" s="4281"/>
      <c r="U4" s="4281" t="s">
        <v>1950</v>
      </c>
    </row>
    <row r="5" spans="1:21" ht="71.25" customHeight="1">
      <c r="A5" s="4280"/>
      <c r="B5" s="4281"/>
      <c r="C5" s="4281"/>
      <c r="D5" s="4282" t="s">
        <v>784</v>
      </c>
      <c r="E5" s="4282"/>
      <c r="F5" s="4282" t="s">
        <v>785</v>
      </c>
      <c r="G5" s="4282"/>
      <c r="H5" s="4282" t="s">
        <v>1951</v>
      </c>
      <c r="I5" s="4281"/>
      <c r="J5" s="4282" t="s">
        <v>784</v>
      </c>
      <c r="K5" s="4282"/>
      <c r="L5" s="4282" t="s">
        <v>785</v>
      </c>
      <c r="M5" s="4282"/>
      <c r="N5" s="4282" t="s">
        <v>1951</v>
      </c>
      <c r="O5" s="4281"/>
      <c r="P5" s="4282" t="s">
        <v>784</v>
      </c>
      <c r="Q5" s="4282"/>
      <c r="R5" s="4283" t="s">
        <v>785</v>
      </c>
      <c r="S5" s="4284"/>
      <c r="T5" s="4282" t="s">
        <v>786</v>
      </c>
      <c r="U5" s="4281"/>
    </row>
    <row r="6" spans="1:21" ht="105" customHeight="1">
      <c r="A6" s="4280"/>
      <c r="B6" s="4281"/>
      <c r="C6" s="4281"/>
      <c r="D6" s="2147" t="s">
        <v>4</v>
      </c>
      <c r="E6" s="2147" t="s">
        <v>787</v>
      </c>
      <c r="F6" s="2147" t="s">
        <v>4</v>
      </c>
      <c r="G6" s="2147" t="s">
        <v>787</v>
      </c>
      <c r="H6" s="4282"/>
      <c r="I6" s="4281"/>
      <c r="J6" s="2147" t="s">
        <v>4</v>
      </c>
      <c r="K6" s="2147" t="s">
        <v>787</v>
      </c>
      <c r="L6" s="2147" t="s">
        <v>4</v>
      </c>
      <c r="M6" s="2147" t="s">
        <v>787</v>
      </c>
      <c r="N6" s="4282"/>
      <c r="O6" s="4281"/>
      <c r="P6" s="2147" t="s">
        <v>4</v>
      </c>
      <c r="Q6" s="2147" t="s">
        <v>787</v>
      </c>
      <c r="R6" s="2147" t="s">
        <v>4</v>
      </c>
      <c r="S6" s="2147" t="s">
        <v>787</v>
      </c>
      <c r="T6" s="4282"/>
      <c r="U6" s="4281"/>
    </row>
    <row r="7" spans="1:21" s="2" customFormat="1" ht="17.399999999999999">
      <c r="A7" s="2148" t="s">
        <v>7</v>
      </c>
      <c r="B7" s="2148" t="s">
        <v>22</v>
      </c>
      <c r="C7" s="2148">
        <v>1</v>
      </c>
      <c r="D7" s="2148">
        <v>2</v>
      </c>
      <c r="E7" s="2148">
        <v>3</v>
      </c>
      <c r="F7" s="2148">
        <v>4</v>
      </c>
      <c r="G7" s="2148"/>
      <c r="H7" s="2148" t="s">
        <v>788</v>
      </c>
      <c r="I7" s="2148"/>
      <c r="J7" s="2148">
        <v>2</v>
      </c>
      <c r="K7" s="2148">
        <v>3</v>
      </c>
      <c r="L7" s="2148">
        <v>4</v>
      </c>
      <c r="M7" s="2148"/>
      <c r="N7" s="2148" t="s">
        <v>1952</v>
      </c>
      <c r="O7" s="2148" t="s">
        <v>1953</v>
      </c>
      <c r="P7" s="2148">
        <v>7</v>
      </c>
      <c r="Q7" s="2148">
        <v>8</v>
      </c>
      <c r="R7" s="2148">
        <v>9</v>
      </c>
      <c r="S7" s="2148"/>
      <c r="T7" s="2148" t="s">
        <v>1954</v>
      </c>
      <c r="U7" s="2148" t="s">
        <v>1955</v>
      </c>
    </row>
    <row r="8" spans="1:21" s="2" customFormat="1" ht="17.399999999999999">
      <c r="A8" s="2148"/>
      <c r="B8" s="2148" t="s">
        <v>312</v>
      </c>
      <c r="C8" s="2149">
        <f>SUM(C9:C23)</f>
        <v>1598076</v>
      </c>
      <c r="D8" s="2149">
        <f t="shared" ref="D8:U8" si="0">SUM(D9:D23)</f>
        <v>142653</v>
      </c>
      <c r="E8" s="2149">
        <f t="shared" si="0"/>
        <v>0</v>
      </c>
      <c r="F8" s="2149">
        <f t="shared" si="0"/>
        <v>78340</v>
      </c>
      <c r="G8" s="2149">
        <f t="shared" si="0"/>
        <v>0</v>
      </c>
      <c r="H8" s="2149">
        <f t="shared" si="0"/>
        <v>64313</v>
      </c>
      <c r="I8" s="2149">
        <f t="shared" si="0"/>
        <v>0</v>
      </c>
      <c r="J8" s="2149">
        <f t="shared" si="0"/>
        <v>263993.13105900004</v>
      </c>
      <c r="K8" s="2149">
        <f t="shared" si="0"/>
        <v>35114.101059000001</v>
      </c>
      <c r="L8" s="2149">
        <f t="shared" si="0"/>
        <v>273105</v>
      </c>
      <c r="M8" s="2149">
        <f t="shared" si="0"/>
        <v>600</v>
      </c>
      <c r="N8" s="2149">
        <f t="shared" si="0"/>
        <v>-9111.8689409999988</v>
      </c>
      <c r="O8" s="2149">
        <f t="shared" si="0"/>
        <v>1588964.131059</v>
      </c>
      <c r="P8" s="2149">
        <f t="shared" si="0"/>
        <v>269377</v>
      </c>
      <c r="Q8" s="2149">
        <f t="shared" si="0"/>
        <v>18600</v>
      </c>
      <c r="R8" s="2149">
        <f t="shared" si="0"/>
        <v>298128</v>
      </c>
      <c r="S8" s="2149">
        <f t="shared" si="0"/>
        <v>18600</v>
      </c>
      <c r="T8" s="2149">
        <f t="shared" si="0"/>
        <v>-28751</v>
      </c>
      <c r="U8" s="2149">
        <f t="shared" si="0"/>
        <v>1560213.131059</v>
      </c>
    </row>
    <row r="9" spans="1:21">
      <c r="A9" s="2150">
        <v>1</v>
      </c>
      <c r="B9" s="2151" t="s">
        <v>1956</v>
      </c>
      <c r="C9" s="2152">
        <v>806819</v>
      </c>
      <c r="D9" s="2153">
        <v>108606</v>
      </c>
      <c r="E9" s="2154"/>
      <c r="F9" s="2154">
        <f>58335</f>
        <v>58335</v>
      </c>
      <c r="G9" s="2154"/>
      <c r="H9" s="2154">
        <f>D9-F9</f>
        <v>50271</v>
      </c>
      <c r="I9" s="2154"/>
      <c r="J9" s="2154">
        <v>124364</v>
      </c>
      <c r="K9" s="2154"/>
      <c r="L9" s="2154">
        <v>149498</v>
      </c>
      <c r="M9" s="2154"/>
      <c r="N9" s="2154">
        <f>J9-L9</f>
        <v>-25134</v>
      </c>
      <c r="O9" s="2154">
        <f>C9+J9-L9</f>
        <v>781685</v>
      </c>
      <c r="P9" s="2154">
        <v>90509</v>
      </c>
      <c r="Q9" s="2154"/>
      <c r="R9" s="2154">
        <v>150000</v>
      </c>
      <c r="S9" s="2154"/>
      <c r="T9" s="2154">
        <f>P9-R9</f>
        <v>-59491</v>
      </c>
      <c r="U9" s="2154">
        <f>O9+P9-R9</f>
        <v>722194</v>
      </c>
    </row>
    <row r="10" spans="1:21">
      <c r="A10" s="2155">
        <v>2</v>
      </c>
      <c r="B10" s="137" t="s">
        <v>1957</v>
      </c>
      <c r="C10" s="2156">
        <v>458783</v>
      </c>
      <c r="D10" s="2156">
        <v>34047</v>
      </c>
      <c r="E10" s="2157"/>
      <c r="F10" s="2157">
        <v>20005</v>
      </c>
      <c r="G10" s="2157"/>
      <c r="H10" s="2157">
        <f t="shared" ref="H10:H19" si="1">D10-F10</f>
        <v>14042</v>
      </c>
      <c r="I10" s="2157"/>
      <c r="J10" s="2157">
        <f>174+28514101059/1000000</f>
        <v>28688.101059000001</v>
      </c>
      <c r="K10" s="2158">
        <f>28514101059/1000000</f>
        <v>28514.101059000001</v>
      </c>
      <c r="L10" s="2157">
        <v>141</v>
      </c>
      <c r="M10" s="2157"/>
      <c r="N10" s="2157">
        <f t="shared" ref="N10:N25" si="2">J10-L10</f>
        <v>28547.101059000001</v>
      </c>
      <c r="O10" s="2157">
        <f t="shared" ref="O10:O25" si="3">C10+J10-L10</f>
        <v>487330.10105900001</v>
      </c>
      <c r="P10" s="2157">
        <v>220</v>
      </c>
      <c r="Q10" s="2157"/>
      <c r="R10" s="2157"/>
      <c r="S10" s="2157"/>
      <c r="T10" s="2157">
        <f t="shared" ref="T10:T25" si="4">P10-R10</f>
        <v>220</v>
      </c>
      <c r="U10" s="2157">
        <f t="shared" ref="U10:U25" si="5">O10+P10-R10</f>
        <v>487550.10105900001</v>
      </c>
    </row>
    <row r="11" spans="1:21">
      <c r="A11" s="2155">
        <v>3</v>
      </c>
      <c r="B11" s="137" t="s">
        <v>1958</v>
      </c>
      <c r="C11" s="2156">
        <v>51279</v>
      </c>
      <c r="D11" s="2156"/>
      <c r="E11" s="2157"/>
      <c r="F11" s="2157"/>
      <c r="G11" s="2157"/>
      <c r="H11" s="2157">
        <f t="shared" si="1"/>
        <v>0</v>
      </c>
      <c r="I11" s="2157"/>
      <c r="J11" s="2157"/>
      <c r="K11" s="2157"/>
      <c r="L11" s="2157"/>
      <c r="M11" s="2157"/>
      <c r="N11" s="2157">
        <f t="shared" si="2"/>
        <v>0</v>
      </c>
      <c r="O11" s="2157">
        <f t="shared" si="3"/>
        <v>51279</v>
      </c>
      <c r="P11" s="2157"/>
      <c r="Q11" s="2157"/>
      <c r="R11" s="2157"/>
      <c r="S11" s="2157"/>
      <c r="T11" s="2157">
        <f t="shared" si="4"/>
        <v>0</v>
      </c>
      <c r="U11" s="2157">
        <f t="shared" si="5"/>
        <v>51279</v>
      </c>
    </row>
    <row r="12" spans="1:21">
      <c r="A12" s="2155">
        <v>4</v>
      </c>
      <c r="B12" s="137" t="s">
        <v>1959</v>
      </c>
      <c r="C12" s="2156">
        <v>120299</v>
      </c>
      <c r="D12" s="2156"/>
      <c r="E12" s="2157"/>
      <c r="F12" s="2157"/>
      <c r="G12" s="2157"/>
      <c r="H12" s="2157">
        <f t="shared" si="1"/>
        <v>0</v>
      </c>
      <c r="I12" s="2157"/>
      <c r="J12" s="2157">
        <v>324</v>
      </c>
      <c r="K12" s="2157"/>
      <c r="L12" s="2157">
        <v>1000</v>
      </c>
      <c r="M12" s="2157"/>
      <c r="N12" s="2157">
        <f t="shared" si="2"/>
        <v>-676</v>
      </c>
      <c r="O12" s="2157">
        <f t="shared" si="3"/>
        <v>119623</v>
      </c>
      <c r="P12" s="2157"/>
      <c r="Q12" s="2157"/>
      <c r="R12" s="2157"/>
      <c r="S12" s="2157"/>
      <c r="T12" s="2157">
        <f t="shared" si="4"/>
        <v>0</v>
      </c>
      <c r="U12" s="2157">
        <f t="shared" si="5"/>
        <v>119623</v>
      </c>
    </row>
    <row r="13" spans="1:21">
      <c r="A13" s="2155">
        <v>5</v>
      </c>
      <c r="B13" s="137" t="s">
        <v>1960</v>
      </c>
      <c r="C13" s="2156">
        <v>32786</v>
      </c>
      <c r="D13" s="2156"/>
      <c r="E13" s="2157"/>
      <c r="F13" s="2157"/>
      <c r="G13" s="2157"/>
      <c r="H13" s="2157">
        <f t="shared" si="1"/>
        <v>0</v>
      </c>
      <c r="I13" s="2157"/>
      <c r="J13" s="2157">
        <v>22543</v>
      </c>
      <c r="K13" s="2157"/>
      <c r="L13" s="2157">
        <v>22173</v>
      </c>
      <c r="M13" s="2157"/>
      <c r="N13" s="2157">
        <f t="shared" si="2"/>
        <v>370</v>
      </c>
      <c r="O13" s="2157">
        <f t="shared" si="3"/>
        <v>33156</v>
      </c>
      <c r="P13" s="2157">
        <v>42393</v>
      </c>
      <c r="Q13" s="2157">
        <v>10000</v>
      </c>
      <c r="R13" s="2157">
        <v>32393</v>
      </c>
      <c r="S13" s="2157">
        <v>10000</v>
      </c>
      <c r="T13" s="2157">
        <f t="shared" si="4"/>
        <v>10000</v>
      </c>
      <c r="U13" s="2157">
        <f t="shared" si="5"/>
        <v>43156</v>
      </c>
    </row>
    <row r="14" spans="1:21">
      <c r="A14" s="2155">
        <v>6</v>
      </c>
      <c r="B14" s="137" t="s">
        <v>1961</v>
      </c>
      <c r="C14" s="2156">
        <v>20536</v>
      </c>
      <c r="D14" s="2156"/>
      <c r="E14" s="2157"/>
      <c r="F14" s="2157"/>
      <c r="G14" s="2157"/>
      <c r="H14" s="2157">
        <f t="shared" si="1"/>
        <v>0</v>
      </c>
      <c r="I14" s="2157"/>
      <c r="J14" s="2157">
        <v>11600</v>
      </c>
      <c r="K14" s="2157"/>
      <c r="L14" s="2157">
        <v>19000</v>
      </c>
      <c r="M14" s="2157"/>
      <c r="N14" s="2157">
        <f t="shared" si="2"/>
        <v>-7400</v>
      </c>
      <c r="O14" s="2157">
        <f t="shared" si="3"/>
        <v>13136</v>
      </c>
      <c r="P14" s="2157">
        <v>47300</v>
      </c>
      <c r="Q14" s="2157"/>
      <c r="R14" s="2157">
        <v>20000</v>
      </c>
      <c r="S14" s="2157"/>
      <c r="T14" s="2157">
        <f t="shared" si="4"/>
        <v>27300</v>
      </c>
      <c r="U14" s="2157">
        <f t="shared" si="5"/>
        <v>40436</v>
      </c>
    </row>
    <row r="15" spans="1:21">
      <c r="A15" s="2155">
        <v>7</v>
      </c>
      <c r="B15" s="137" t="s">
        <v>1962</v>
      </c>
      <c r="C15" s="2156">
        <v>796</v>
      </c>
      <c r="D15" s="2156"/>
      <c r="E15" s="2157"/>
      <c r="F15" s="2157"/>
      <c r="G15" s="2157"/>
      <c r="H15" s="2157">
        <f t="shared" si="1"/>
        <v>0</v>
      </c>
      <c r="I15" s="2157"/>
      <c r="J15" s="2157">
        <v>6000</v>
      </c>
      <c r="K15" s="2157">
        <v>6000</v>
      </c>
      <c r="L15" s="2157">
        <v>6796</v>
      </c>
      <c r="M15" s="2157"/>
      <c r="N15" s="2157">
        <f t="shared" si="2"/>
        <v>-796</v>
      </c>
      <c r="O15" s="2157">
        <f t="shared" si="3"/>
        <v>0</v>
      </c>
      <c r="P15" s="2157">
        <v>8000</v>
      </c>
      <c r="Q15" s="2157">
        <v>8000</v>
      </c>
      <c r="R15" s="2157">
        <v>8000</v>
      </c>
      <c r="S15" s="2157">
        <v>8000</v>
      </c>
      <c r="T15" s="2157">
        <f t="shared" si="4"/>
        <v>0</v>
      </c>
      <c r="U15" s="2157">
        <f t="shared" si="5"/>
        <v>0</v>
      </c>
    </row>
    <row r="16" spans="1:21">
      <c r="A16" s="2155">
        <v>8</v>
      </c>
      <c r="B16" s="137" t="s">
        <v>1963</v>
      </c>
      <c r="C16" s="2156">
        <v>8563</v>
      </c>
      <c r="D16" s="2156"/>
      <c r="E16" s="2157"/>
      <c r="F16" s="2157"/>
      <c r="G16" s="2157"/>
      <c r="H16" s="2157">
        <f t="shared" si="1"/>
        <v>0</v>
      </c>
      <c r="I16" s="2157"/>
      <c r="J16" s="2157">
        <v>34500</v>
      </c>
      <c r="K16" s="2157"/>
      <c r="L16" s="2157">
        <v>34000</v>
      </c>
      <c r="M16" s="2157"/>
      <c r="N16" s="2157">
        <f t="shared" si="2"/>
        <v>500</v>
      </c>
      <c r="O16" s="2157">
        <f t="shared" si="3"/>
        <v>9063</v>
      </c>
      <c r="P16" s="2157">
        <v>36000</v>
      </c>
      <c r="Q16" s="2157"/>
      <c r="R16" s="2157">
        <v>35000</v>
      </c>
      <c r="S16" s="2157"/>
      <c r="T16" s="2157">
        <f t="shared" si="4"/>
        <v>1000</v>
      </c>
      <c r="U16" s="2157">
        <f t="shared" si="5"/>
        <v>10063</v>
      </c>
    </row>
    <row r="17" spans="1:21">
      <c r="A17" s="2155">
        <v>9</v>
      </c>
      <c r="B17" s="137" t="s">
        <v>1964</v>
      </c>
      <c r="C17" s="2156">
        <v>35100</v>
      </c>
      <c r="D17" s="2156"/>
      <c r="E17" s="2157"/>
      <c r="F17" s="2157"/>
      <c r="G17" s="2157"/>
      <c r="H17" s="2157">
        <f t="shared" si="1"/>
        <v>0</v>
      </c>
      <c r="I17" s="2157"/>
      <c r="J17" s="2157">
        <v>21098</v>
      </c>
      <c r="K17" s="2157"/>
      <c r="L17" s="2157">
        <v>20869</v>
      </c>
      <c r="M17" s="2157"/>
      <c r="N17" s="2157">
        <f t="shared" si="2"/>
        <v>229</v>
      </c>
      <c r="O17" s="2157">
        <f t="shared" si="3"/>
        <v>35329</v>
      </c>
      <c r="P17" s="2157">
        <v>32645</v>
      </c>
      <c r="Q17" s="2157"/>
      <c r="R17" s="2157">
        <v>32477</v>
      </c>
      <c r="S17" s="2157"/>
      <c r="T17" s="2157">
        <f t="shared" si="4"/>
        <v>168</v>
      </c>
      <c r="U17" s="2157">
        <f t="shared" si="5"/>
        <v>35497</v>
      </c>
    </row>
    <row r="18" spans="1:21">
      <c r="A18" s="2155">
        <v>10</v>
      </c>
      <c r="B18" s="137" t="s">
        <v>1965</v>
      </c>
      <c r="C18" s="2156">
        <v>38888</v>
      </c>
      <c r="D18" s="2156"/>
      <c r="E18" s="2157"/>
      <c r="F18" s="2157"/>
      <c r="G18" s="2157"/>
      <c r="H18" s="2157">
        <f t="shared" si="1"/>
        <v>0</v>
      </c>
      <c r="I18" s="2157"/>
      <c r="J18" s="2157">
        <v>9000</v>
      </c>
      <c r="K18" s="2157"/>
      <c r="L18" s="2157">
        <v>8250</v>
      </c>
      <c r="M18" s="2157"/>
      <c r="N18" s="2157">
        <f t="shared" si="2"/>
        <v>750</v>
      </c>
      <c r="O18" s="2157">
        <f t="shared" si="3"/>
        <v>39638</v>
      </c>
      <c r="P18" s="2157">
        <v>9200</v>
      </c>
      <c r="Q18" s="2157"/>
      <c r="R18" s="2157">
        <v>8500</v>
      </c>
      <c r="S18" s="2157"/>
      <c r="T18" s="2157">
        <f t="shared" si="4"/>
        <v>700</v>
      </c>
      <c r="U18" s="2157">
        <f t="shared" si="5"/>
        <v>40338</v>
      </c>
    </row>
    <row r="19" spans="1:21">
      <c r="A19" s="2155">
        <v>11</v>
      </c>
      <c r="B19" s="137" t="s">
        <v>1966</v>
      </c>
      <c r="C19" s="2156">
        <v>16634</v>
      </c>
      <c r="D19" s="2156"/>
      <c r="E19" s="2157"/>
      <c r="F19" s="2157"/>
      <c r="G19" s="2157"/>
      <c r="H19" s="2157">
        <f t="shared" si="1"/>
        <v>0</v>
      </c>
      <c r="I19" s="2157"/>
      <c r="J19" s="2157">
        <v>3275</v>
      </c>
      <c r="K19" s="2157"/>
      <c r="L19" s="2157">
        <v>8194</v>
      </c>
      <c r="M19" s="2157"/>
      <c r="N19" s="2157">
        <f t="shared" si="2"/>
        <v>-4919</v>
      </c>
      <c r="O19" s="2157">
        <f t="shared" si="3"/>
        <v>11715</v>
      </c>
      <c r="P19" s="2157">
        <v>360</v>
      </c>
      <c r="Q19" s="2157"/>
      <c r="R19" s="2157">
        <v>9013</v>
      </c>
      <c r="S19" s="2157"/>
      <c r="T19" s="2157">
        <f t="shared" si="4"/>
        <v>-8653</v>
      </c>
      <c r="U19" s="2157">
        <f t="shared" si="5"/>
        <v>3062</v>
      </c>
    </row>
    <row r="20" spans="1:21">
      <c r="A20" s="2155">
        <v>12</v>
      </c>
      <c r="B20" s="137" t="s">
        <v>1967</v>
      </c>
      <c r="C20" s="2156">
        <v>717</v>
      </c>
      <c r="D20" s="2156"/>
      <c r="E20" s="2157"/>
      <c r="F20" s="2157"/>
      <c r="G20" s="2157"/>
      <c r="H20" s="2157"/>
      <c r="I20" s="2157"/>
      <c r="J20" s="2157"/>
      <c r="K20" s="2157"/>
      <c r="L20" s="2157">
        <v>500</v>
      </c>
      <c r="M20" s="2157"/>
      <c r="N20" s="2157">
        <f t="shared" si="2"/>
        <v>-500</v>
      </c>
      <c r="O20" s="2157">
        <f t="shared" si="3"/>
        <v>217</v>
      </c>
      <c r="P20" s="2157"/>
      <c r="Q20" s="2157"/>
      <c r="R20" s="2157">
        <v>200</v>
      </c>
      <c r="S20" s="2157"/>
      <c r="T20" s="2157">
        <f t="shared" si="4"/>
        <v>-200</v>
      </c>
      <c r="U20" s="2157">
        <f t="shared" si="5"/>
        <v>17</v>
      </c>
    </row>
    <row r="21" spans="1:21">
      <c r="A21" s="2155">
        <v>13</v>
      </c>
      <c r="B21" s="137" t="s">
        <v>1968</v>
      </c>
      <c r="C21" s="2156">
        <v>1225</v>
      </c>
      <c r="D21" s="2156"/>
      <c r="E21" s="2157"/>
      <c r="F21" s="2157"/>
      <c r="G21" s="2157"/>
      <c r="H21" s="2157"/>
      <c r="I21" s="2157"/>
      <c r="J21" s="2157">
        <v>151</v>
      </c>
      <c r="K21" s="2157"/>
      <c r="L21" s="2157">
        <v>150</v>
      </c>
      <c r="M21" s="2157"/>
      <c r="N21" s="2157">
        <f t="shared" si="2"/>
        <v>1</v>
      </c>
      <c r="O21" s="2157">
        <f t="shared" si="3"/>
        <v>1226</v>
      </c>
      <c r="P21" s="2157">
        <v>250</v>
      </c>
      <c r="Q21" s="2157"/>
      <c r="R21" s="2157">
        <v>245</v>
      </c>
      <c r="S21" s="2157"/>
      <c r="T21" s="2157">
        <f t="shared" si="4"/>
        <v>5</v>
      </c>
      <c r="U21" s="2157">
        <f t="shared" si="5"/>
        <v>1231</v>
      </c>
    </row>
    <row r="22" spans="1:21">
      <c r="A22" s="2155">
        <v>14</v>
      </c>
      <c r="B22" s="137" t="s">
        <v>1969</v>
      </c>
      <c r="C22" s="2156">
        <v>34</v>
      </c>
      <c r="D22" s="2156"/>
      <c r="E22" s="2157"/>
      <c r="F22" s="2157"/>
      <c r="G22" s="2157"/>
      <c r="H22" s="2157"/>
      <c r="I22" s="2157"/>
      <c r="J22" s="2159">
        <v>0.03</v>
      </c>
      <c r="K22" s="2157"/>
      <c r="L22" s="2157">
        <v>34</v>
      </c>
      <c r="M22" s="2157"/>
      <c r="N22" s="2157">
        <f t="shared" si="2"/>
        <v>-33.97</v>
      </c>
      <c r="O22" s="2157">
        <f t="shared" si="3"/>
        <v>3.0000000000001137E-2</v>
      </c>
      <c r="P22" s="2157"/>
      <c r="Q22" s="2157"/>
      <c r="R22" s="2157"/>
      <c r="S22" s="2157"/>
      <c r="T22" s="2157">
        <f t="shared" si="4"/>
        <v>0</v>
      </c>
      <c r="U22" s="2157">
        <f t="shared" si="5"/>
        <v>3.0000000000001137E-2</v>
      </c>
    </row>
    <row r="23" spans="1:21">
      <c r="A23" s="2155">
        <v>15</v>
      </c>
      <c r="B23" s="137" t="s">
        <v>1970</v>
      </c>
      <c r="C23" s="2156">
        <f>SUM(C24:C25)</f>
        <v>5617</v>
      </c>
      <c r="D23" s="2156">
        <f t="shared" ref="D23:U23" si="6">SUM(D24:D25)</f>
        <v>0</v>
      </c>
      <c r="E23" s="2156">
        <f t="shared" si="6"/>
        <v>0</v>
      </c>
      <c r="F23" s="2156">
        <f t="shared" si="6"/>
        <v>0</v>
      </c>
      <c r="G23" s="2156">
        <f t="shared" si="6"/>
        <v>0</v>
      </c>
      <c r="H23" s="2156">
        <f t="shared" si="6"/>
        <v>0</v>
      </c>
      <c r="I23" s="2156">
        <f t="shared" si="6"/>
        <v>0</v>
      </c>
      <c r="J23" s="2156">
        <f t="shared" si="6"/>
        <v>2450</v>
      </c>
      <c r="K23" s="2156">
        <f t="shared" si="6"/>
        <v>600</v>
      </c>
      <c r="L23" s="2156">
        <f t="shared" si="6"/>
        <v>2500</v>
      </c>
      <c r="M23" s="2156">
        <f t="shared" si="6"/>
        <v>600</v>
      </c>
      <c r="N23" s="2156">
        <f t="shared" si="6"/>
        <v>-50</v>
      </c>
      <c r="O23" s="2156">
        <f t="shared" si="6"/>
        <v>5567</v>
      </c>
      <c r="P23" s="2156">
        <f t="shared" si="6"/>
        <v>2500</v>
      </c>
      <c r="Q23" s="2156">
        <f t="shared" si="6"/>
        <v>600</v>
      </c>
      <c r="R23" s="2156">
        <f t="shared" si="6"/>
        <v>2300</v>
      </c>
      <c r="S23" s="2156">
        <f t="shared" si="6"/>
        <v>600</v>
      </c>
      <c r="T23" s="2156">
        <f t="shared" si="6"/>
        <v>200</v>
      </c>
      <c r="U23" s="2156">
        <f t="shared" si="6"/>
        <v>5767</v>
      </c>
    </row>
    <row r="24" spans="1:21">
      <c r="A24" s="2155" t="s">
        <v>1971</v>
      </c>
      <c r="B24" s="137" t="s">
        <v>1972</v>
      </c>
      <c r="C24" s="2156">
        <v>2477</v>
      </c>
      <c r="D24" s="2156"/>
      <c r="E24" s="2157"/>
      <c r="F24" s="2157"/>
      <c r="G24" s="2157"/>
      <c r="H24" s="2157"/>
      <c r="I24" s="2157"/>
      <c r="J24" s="2157">
        <v>950</v>
      </c>
      <c r="K24" s="2157">
        <v>600</v>
      </c>
      <c r="L24" s="2157">
        <v>1200</v>
      </c>
      <c r="M24" s="2157">
        <v>600</v>
      </c>
      <c r="N24" s="2157">
        <f t="shared" si="2"/>
        <v>-250</v>
      </c>
      <c r="O24" s="2157">
        <f t="shared" si="3"/>
        <v>2227</v>
      </c>
      <c r="P24" s="2157">
        <v>1000</v>
      </c>
      <c r="Q24" s="2157">
        <v>600</v>
      </c>
      <c r="R24" s="2157">
        <v>1000</v>
      </c>
      <c r="S24" s="2157">
        <v>600</v>
      </c>
      <c r="T24" s="2157">
        <f t="shared" si="4"/>
        <v>0</v>
      </c>
      <c r="U24" s="2157">
        <f t="shared" si="5"/>
        <v>2227</v>
      </c>
    </row>
    <row r="25" spans="1:21">
      <c r="A25" s="2160" t="s">
        <v>1973</v>
      </c>
      <c r="B25" s="2161" t="s">
        <v>1974</v>
      </c>
      <c r="C25" s="2162">
        <v>3140</v>
      </c>
      <c r="D25" s="2162"/>
      <c r="E25" s="2163"/>
      <c r="F25" s="2163"/>
      <c r="G25" s="2163"/>
      <c r="H25" s="2163"/>
      <c r="I25" s="2163"/>
      <c r="J25" s="2163">
        <v>1500</v>
      </c>
      <c r="K25" s="2163"/>
      <c r="L25" s="2163">
        <v>1300</v>
      </c>
      <c r="M25" s="2163"/>
      <c r="N25" s="2163">
        <f t="shared" si="2"/>
        <v>200</v>
      </c>
      <c r="O25" s="2163">
        <f t="shared" si="3"/>
        <v>3340</v>
      </c>
      <c r="P25" s="2163">
        <v>1500</v>
      </c>
      <c r="Q25" s="2163"/>
      <c r="R25" s="2163">
        <v>1300</v>
      </c>
      <c r="S25" s="2163"/>
      <c r="T25" s="2163">
        <f t="shared" si="4"/>
        <v>200</v>
      </c>
      <c r="U25" s="2163">
        <f t="shared" si="5"/>
        <v>3540</v>
      </c>
    </row>
  </sheetData>
  <mergeCells count="19">
    <mergeCell ref="P5:Q5"/>
    <mergeCell ref="R5:S5"/>
    <mergeCell ref="T5:T6"/>
    <mergeCell ref="A2:U2"/>
    <mergeCell ref="A4:A6"/>
    <mergeCell ref="B4:B6"/>
    <mergeCell ref="C4:C6"/>
    <mergeCell ref="D4:H4"/>
    <mergeCell ref="I4:I6"/>
    <mergeCell ref="J4:N4"/>
    <mergeCell ref="O4:O6"/>
    <mergeCell ref="P4:T4"/>
    <mergeCell ref="U4:U6"/>
    <mergeCell ref="D5:E5"/>
    <mergeCell ref="F5:G5"/>
    <mergeCell ref="H5:H6"/>
    <mergeCell ref="J5:K5"/>
    <mergeCell ref="L5:M5"/>
    <mergeCell ref="N5:N6"/>
  </mergeCells>
  <hyperlinks>
    <hyperlink ref="A4:A6" location="'List danh mục'!A1" display="STT"/>
  </hyperlinks>
  <printOptions horizontalCentered="1"/>
  <pageMargins left="0" right="0" top="0.39370078740157483" bottom="0" header="0.31496062992125984" footer="0.31496062992125984"/>
  <pageSetup paperSize="9" scale="75" orientation="landscape" r:id="rId1"/>
</worksheet>
</file>

<file path=xl/worksheets/sheet1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66FF"/>
  </sheetPr>
  <dimension ref="A1:I38"/>
  <sheetViews>
    <sheetView workbookViewId="0">
      <selection activeCell="F18" sqref="F18:F19"/>
    </sheetView>
  </sheetViews>
  <sheetFormatPr defaultColWidth="9" defaultRowHeight="18"/>
  <cols>
    <col min="1" max="1" width="6.5" style="20" customWidth="1"/>
    <col min="2" max="2" width="63.69921875" style="37" customWidth="1"/>
    <col min="3" max="3" width="11.69921875" style="37" customWidth="1"/>
    <col min="4" max="5" width="14" style="37" customWidth="1"/>
    <col min="6" max="6" width="17" style="37" customWidth="1"/>
    <col min="7" max="8" width="9" style="37"/>
    <col min="9" max="9" width="13.3984375" style="37" bestFit="1" customWidth="1"/>
    <col min="10" max="16384" width="9" style="37"/>
  </cols>
  <sheetData>
    <row r="1" spans="1:7" s="2" customFormat="1" ht="45.6" customHeight="1">
      <c r="A1" s="4475" t="s">
        <v>2395</v>
      </c>
      <c r="B1" s="4475"/>
      <c r="C1" s="4475"/>
      <c r="D1" s="4475"/>
      <c r="E1" s="4475"/>
      <c r="F1" s="4475"/>
    </row>
    <row r="2" spans="1:7" s="2" customFormat="1" ht="15.6" customHeight="1">
      <c r="A2" s="4515" t="str">
        <f>'Phụ lục 4-KQPB'!A2:E2</f>
        <v>(Kèm theo Báo cáo số            /BC-UBND ngày      /12/2023 của Ủy ban nhân dân tỉnh Đồng Tháp)</v>
      </c>
      <c r="B2" s="4514"/>
      <c r="C2" s="4514"/>
      <c r="D2" s="4514"/>
      <c r="E2" s="4514"/>
      <c r="F2" s="4514"/>
    </row>
    <row r="3" spans="1:7">
      <c r="B3" s="4727"/>
      <c r="C3" s="4727"/>
      <c r="D3" s="4727"/>
      <c r="E3" s="4727"/>
    </row>
    <row r="5" spans="1:7" s="48" customFormat="1" ht="17.399999999999999">
      <c r="A5" s="3796" t="s">
        <v>7</v>
      </c>
      <c r="B5" s="48" t="s">
        <v>2789</v>
      </c>
    </row>
    <row r="6" spans="1:7" s="2" customFormat="1" ht="17.399999999999999">
      <c r="A6" s="38"/>
      <c r="B6" s="2" t="s">
        <v>2640</v>
      </c>
      <c r="D6" s="2353"/>
      <c r="E6" s="2576">
        <f>E8+E9+E10+E14+E15</f>
        <v>4923186.4089698764</v>
      </c>
      <c r="F6" s="2" t="s">
        <v>710</v>
      </c>
    </row>
    <row r="7" spans="1:7">
      <c r="B7" s="2355" t="s">
        <v>299</v>
      </c>
      <c r="D7" s="2356"/>
    </row>
    <row r="8" spans="1:7">
      <c r="A8" s="20">
        <v>1</v>
      </c>
      <c r="B8" s="4787" t="str">
        <f>'Phụ lục 2-HĐND'!B20</f>
        <v>Chi đầu tư xây dựng cơ bản</v>
      </c>
      <c r="C8" s="4787"/>
      <c r="D8" s="4787"/>
      <c r="E8" s="55">
        <f>'Phụ lục số 2'!X10</f>
        <v>1143186.4089698761</v>
      </c>
      <c r="F8" s="37" t="s">
        <v>710</v>
      </c>
    </row>
    <row r="9" spans="1:7" s="2" customFormat="1">
      <c r="A9" s="20">
        <v>2</v>
      </c>
      <c r="B9" s="4787" t="str">
        <f>'Phụ lục 2-HĐND'!B21</f>
        <v>Chi đầu tư từ nguồn thu tiền sử dụng đất</v>
      </c>
      <c r="C9" s="4787"/>
      <c r="D9" s="4787"/>
      <c r="E9" s="55">
        <f>'Phụ lục số 2'!X11</f>
        <v>1770000</v>
      </c>
      <c r="F9" s="37" t="s">
        <v>710</v>
      </c>
    </row>
    <row r="10" spans="1:7" s="2" customFormat="1">
      <c r="A10" s="20">
        <v>3</v>
      </c>
      <c r="B10" s="4787" t="str">
        <f>'Phụ lục 2-HĐND'!B22</f>
        <v>Chi đầu tư từ nguồn thu xổ số kiến thiết</v>
      </c>
      <c r="C10" s="4787"/>
      <c r="D10" s="4787"/>
      <c r="E10" s="55">
        <f>'Phụ lục số 2'!X12</f>
        <v>1950000</v>
      </c>
      <c r="F10" s="37" t="s">
        <v>710</v>
      </c>
    </row>
    <row r="11" spans="1:7" s="2" customFormat="1">
      <c r="A11" s="38"/>
      <c r="B11" s="2357" t="s">
        <v>718</v>
      </c>
      <c r="D11" s="2356"/>
      <c r="F11" s="37"/>
    </row>
    <row r="12" spans="1:7" s="47" customFormat="1">
      <c r="A12" s="2358"/>
      <c r="B12" s="2359" t="s">
        <v>2404</v>
      </c>
      <c r="D12" s="2360"/>
      <c r="E12" s="3871">
        <v>812200</v>
      </c>
      <c r="F12" s="47" t="s">
        <v>710</v>
      </c>
      <c r="G12" s="2344"/>
    </row>
    <row r="13" spans="1:7" s="47" customFormat="1">
      <c r="A13" s="2358"/>
      <c r="B13" s="2359" t="s">
        <v>2405</v>
      </c>
      <c r="D13" s="2360"/>
      <c r="E13" s="3871">
        <v>130000</v>
      </c>
      <c r="F13" s="47" t="s">
        <v>710</v>
      </c>
      <c r="G13" s="2345"/>
    </row>
    <row r="14" spans="1:7" s="2351" customFormat="1">
      <c r="A14" s="152">
        <v>4</v>
      </c>
      <c r="B14" s="4788" t="str">
        <f>'Phụ lục 2-HĐND'!B23</f>
        <v>Chi đầu tư từ nguồn thu cổ phần hóa, thoái vốn doanh nghiệp nhà nước địa phương quản lý;…</v>
      </c>
      <c r="C14" s="4788"/>
      <c r="D14" s="4788"/>
      <c r="E14" s="151">
        <f>'Phụ lục số 2'!AA13</f>
        <v>0</v>
      </c>
      <c r="F14" s="154" t="s">
        <v>710</v>
      </c>
      <c r="G14" s="2352"/>
    </row>
    <row r="15" spans="1:7" s="2351" customFormat="1">
      <c r="A15" s="152">
        <v>5</v>
      </c>
      <c r="B15" s="4788" t="str">
        <f>'Phụ lục 2-HĐND'!B24</f>
        <v>Chi đầu tư phát triển khác (Ủy thác qua NH Chính sách xã hội chi nhánh tỉnh Đồng Tháp)</v>
      </c>
      <c r="C15" s="4788"/>
      <c r="D15" s="4788"/>
      <c r="E15" s="151">
        <f>'Phụ lục số 2'!AA14</f>
        <v>60000</v>
      </c>
      <c r="F15" s="154" t="s">
        <v>710</v>
      </c>
      <c r="G15" s="2352"/>
    </row>
    <row r="16" spans="1:7" s="2" customFormat="1" ht="17.399999999999999">
      <c r="A16" s="3796" t="s">
        <v>22</v>
      </c>
      <c r="B16" s="48" t="s">
        <v>2790</v>
      </c>
      <c r="F16" s="2354"/>
    </row>
    <row r="17" spans="1:9" ht="18.600000000000001" thickBot="1">
      <c r="E17" s="4541" t="s">
        <v>64</v>
      </c>
      <c r="F17" s="4541"/>
    </row>
    <row r="18" spans="1:9" s="2" customFormat="1" thickTop="1">
      <c r="A18" s="4731" t="s">
        <v>288</v>
      </c>
      <c r="B18" s="4519" t="s">
        <v>640</v>
      </c>
      <c r="C18" s="4519" t="s">
        <v>2403</v>
      </c>
      <c r="D18" s="4519" t="s">
        <v>1526</v>
      </c>
      <c r="E18" s="4519"/>
      <c r="F18" s="4520" t="s">
        <v>395</v>
      </c>
    </row>
    <row r="19" spans="1:9" s="2" customFormat="1" ht="34.799999999999997">
      <c r="A19" s="4732"/>
      <c r="B19" s="4318"/>
      <c r="C19" s="4318"/>
      <c r="D19" s="7" t="s">
        <v>2046</v>
      </c>
      <c r="E19" s="7" t="s">
        <v>2047</v>
      </c>
      <c r="F19" s="4786"/>
    </row>
    <row r="20" spans="1:9" s="48" customFormat="1" ht="17.399999999999999">
      <c r="A20" s="3325"/>
      <c r="B20" s="2346" t="s">
        <v>2048</v>
      </c>
      <c r="C20" s="3316">
        <f>SUM(C22,C25,C29,C32,C35)</f>
        <v>106600</v>
      </c>
      <c r="D20" s="3316">
        <f>SUM(D22,D25,D29,D32,D35)</f>
        <v>0</v>
      </c>
      <c r="E20" s="3316">
        <f>SUM(E22,E25,E29,E32,E35)</f>
        <v>13000</v>
      </c>
      <c r="F20" s="3326"/>
    </row>
    <row r="21" spans="1:9" s="2" customFormat="1" ht="17.399999999999999">
      <c r="A21" s="3327"/>
      <c r="B21" s="2348" t="s">
        <v>299</v>
      </c>
      <c r="C21" s="3317"/>
      <c r="D21" s="3317"/>
      <c r="E21" s="3317"/>
      <c r="F21" s="3328"/>
    </row>
    <row r="22" spans="1:9" s="2" customFormat="1" ht="17.399999999999999">
      <c r="A22" s="3327">
        <v>1</v>
      </c>
      <c r="B22" s="2348" t="s">
        <v>2396</v>
      </c>
      <c r="C22" s="3317"/>
      <c r="D22" s="3317">
        <f>D24</f>
        <v>0</v>
      </c>
      <c r="E22" s="3317">
        <f>E24</f>
        <v>0</v>
      </c>
      <c r="F22" s="3328"/>
    </row>
    <row r="23" spans="1:9">
      <c r="A23" s="3329"/>
      <c r="B23" s="2303" t="s">
        <v>718</v>
      </c>
      <c r="C23" s="3318"/>
      <c r="D23" s="3318"/>
      <c r="E23" s="3318"/>
      <c r="F23" s="3330"/>
    </row>
    <row r="24" spans="1:9" ht="36">
      <c r="A24" s="3329"/>
      <c r="B24" s="2350" t="s">
        <v>2397</v>
      </c>
      <c r="C24" s="3319">
        <f>0</f>
        <v>0</v>
      </c>
      <c r="D24" s="3319">
        <v>0</v>
      </c>
      <c r="E24" s="3319">
        <f>0</f>
        <v>0</v>
      </c>
      <c r="F24" s="3331"/>
    </row>
    <row r="25" spans="1:9" s="2" customFormat="1" ht="17.399999999999999">
      <c r="A25" s="3327">
        <v>2</v>
      </c>
      <c r="B25" s="2348" t="s">
        <v>2398</v>
      </c>
      <c r="C25" s="3317">
        <f>SUM(C27:C28)</f>
        <v>0</v>
      </c>
      <c r="D25" s="3317">
        <f>SUM(D27:D28)</f>
        <v>0</v>
      </c>
      <c r="E25" s="3317">
        <f>SUM(E27:E28)</f>
        <v>0</v>
      </c>
      <c r="F25" s="3328"/>
    </row>
    <row r="26" spans="1:9">
      <c r="A26" s="3329"/>
      <c r="B26" s="2303" t="s">
        <v>299</v>
      </c>
      <c r="C26" s="3318"/>
      <c r="D26" s="3318"/>
      <c r="E26" s="3318"/>
      <c r="F26" s="3330"/>
    </row>
    <row r="27" spans="1:9">
      <c r="A27" s="2110" t="s">
        <v>34</v>
      </c>
      <c r="B27" s="2303" t="s">
        <v>2400</v>
      </c>
      <c r="C27" s="3320">
        <f>INT(225231340260/1000000)-INT(225231340260/1000000)</f>
        <v>0</v>
      </c>
      <c r="D27" s="3318">
        <v>0</v>
      </c>
      <c r="E27" s="3320">
        <f>INT(225231.34026)-INT(225231.34026)</f>
        <v>0</v>
      </c>
      <c r="F27" s="3332" t="s">
        <v>2049</v>
      </c>
      <c r="H27" s="2250"/>
      <c r="I27" s="2514">
        <v>225040</v>
      </c>
    </row>
    <row r="28" spans="1:9">
      <c r="A28" s="3329" t="s">
        <v>2399</v>
      </c>
      <c r="B28" s="2303" t="s">
        <v>2401</v>
      </c>
      <c r="C28" s="3320">
        <f>INT(180234-66411-66411)-INT(180234-66411-66411)</f>
        <v>0</v>
      </c>
      <c r="D28" s="3318">
        <v>0</v>
      </c>
      <c r="E28" s="3320">
        <f>INT(22569)-INT(22569)</f>
        <v>0</v>
      </c>
      <c r="F28" s="3332" t="s">
        <v>2049</v>
      </c>
      <c r="I28" s="2514">
        <v>30809</v>
      </c>
    </row>
    <row r="29" spans="1:9" s="2" customFormat="1" ht="17.399999999999999">
      <c r="A29" s="3327">
        <v>3</v>
      </c>
      <c r="B29" s="2349" t="s">
        <v>2402</v>
      </c>
      <c r="C29" s="3317">
        <f>SUM(C31)</f>
        <v>106600</v>
      </c>
      <c r="D29" s="3317">
        <f>SUM(D31)</f>
        <v>0</v>
      </c>
      <c r="E29" s="3317">
        <f>SUM(E31)</f>
        <v>13000</v>
      </c>
      <c r="F29" s="3328"/>
      <c r="I29" s="3322">
        <f>I28+I27</f>
        <v>255849</v>
      </c>
    </row>
    <row r="30" spans="1:9">
      <c r="A30" s="3329"/>
      <c r="B30" s="2303" t="s">
        <v>718</v>
      </c>
      <c r="C30" s="3318"/>
      <c r="D30" s="3318"/>
      <c r="E30" s="3318"/>
      <c r="F30" s="3330"/>
      <c r="I30" s="2514">
        <v>247800</v>
      </c>
    </row>
    <row r="31" spans="1:9" ht="36">
      <c r="A31" s="3329"/>
      <c r="B31" s="2350" t="s">
        <v>2397</v>
      </c>
      <c r="C31" s="3321">
        <f>INT(26568+46500-5792+48300-12175)+3199</f>
        <v>106600</v>
      </c>
      <c r="D31" s="3319">
        <f>'Phụ lục số 1'!AH60</f>
        <v>0</v>
      </c>
      <c r="E31" s="3319">
        <f>0+13000</f>
        <v>13000</v>
      </c>
      <c r="F31" s="3333" t="s">
        <v>2049</v>
      </c>
      <c r="I31" s="2514">
        <f>I30-I29</f>
        <v>-8049</v>
      </c>
    </row>
    <row r="32" spans="1:9" s="2" customFormat="1" ht="17.399999999999999">
      <c r="A32" s="3327">
        <v>4</v>
      </c>
      <c r="B32" s="2348" t="s">
        <v>2406</v>
      </c>
      <c r="C32" s="3317">
        <f>C34</f>
        <v>0</v>
      </c>
      <c r="D32" s="3317">
        <f>D34</f>
        <v>0</v>
      </c>
      <c r="E32" s="3317">
        <f>E34</f>
        <v>0</v>
      </c>
      <c r="F32" s="3328"/>
      <c r="H32" s="3324"/>
    </row>
    <row r="33" spans="1:6">
      <c r="A33" s="3329"/>
      <c r="B33" s="2303" t="s">
        <v>718</v>
      </c>
      <c r="C33" s="3318"/>
      <c r="D33" s="3318"/>
      <c r="E33" s="3318"/>
      <c r="F33" s="3330"/>
    </row>
    <row r="34" spans="1:6" ht="36">
      <c r="A34" s="3329"/>
      <c r="B34" s="2350" t="s">
        <v>2397</v>
      </c>
      <c r="C34" s="3319">
        <f>0</f>
        <v>0</v>
      </c>
      <c r="D34" s="3319">
        <v>0</v>
      </c>
      <c r="E34" s="3319">
        <f>0</f>
        <v>0</v>
      </c>
      <c r="F34" s="3331"/>
    </row>
    <row r="35" spans="1:6" s="2" customFormat="1" thickBot="1">
      <c r="A35" s="3334">
        <v>5</v>
      </c>
      <c r="B35" s="3335" t="s">
        <v>663</v>
      </c>
      <c r="C35" s="3336">
        <v>0</v>
      </c>
      <c r="D35" s="3336">
        <v>0</v>
      </c>
      <c r="E35" s="3336">
        <v>0</v>
      </c>
      <c r="F35" s="3337"/>
    </row>
    <row r="36" spans="1:6" ht="18.600000000000001" thickTop="1"/>
    <row r="38" spans="1:6">
      <c r="E38" s="2816">
        <f>C31-E31</f>
        <v>93600</v>
      </c>
    </row>
  </sheetData>
  <mergeCells count="14">
    <mergeCell ref="A1:F1"/>
    <mergeCell ref="A2:F2"/>
    <mergeCell ref="A18:A19"/>
    <mergeCell ref="B3:E3"/>
    <mergeCell ref="B18:B19"/>
    <mergeCell ref="C18:C19"/>
    <mergeCell ref="D18:E18"/>
    <mergeCell ref="F18:F19"/>
    <mergeCell ref="E17:F17"/>
    <mergeCell ref="B8:D8"/>
    <mergeCell ref="B9:D9"/>
    <mergeCell ref="B10:D10"/>
    <mergeCell ref="B14:D14"/>
    <mergeCell ref="B15:D15"/>
  </mergeCells>
  <hyperlinks>
    <hyperlink ref="A18:A19" location="'List danh mục'!A1" display="Số TT"/>
  </hyperlinks>
  <printOptions horizontalCentered="1"/>
  <pageMargins left="0" right="0" top="0.39370078740157483" bottom="0" header="0" footer="0.19685039370078741"/>
  <pageSetup paperSize="9" scale="70" orientation="portrait" verticalDpi="0" r:id="rId1"/>
  <headerFooter>
    <oddHeader>&amp;R&amp;A</oddHeader>
    <oddFooter>&amp;C&amp;P/&amp;N</oddFooter>
  </headerFooter>
  <legacy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45"/>
  <sheetViews>
    <sheetView topLeftCell="A4" workbookViewId="0">
      <selection activeCell="F15" sqref="F15"/>
    </sheetView>
  </sheetViews>
  <sheetFormatPr defaultColWidth="8.59765625" defaultRowHeight="18"/>
  <cols>
    <col min="1" max="1" width="5.69921875" style="1239" customWidth="1"/>
    <col min="2" max="2" width="75.69921875" style="1239" customWidth="1"/>
    <col min="3" max="3" width="16.69921875" style="1239" customWidth="1"/>
    <col min="4" max="4" width="8.59765625" style="1239"/>
    <col min="5" max="5" width="8.8984375" style="1239" bestFit="1" customWidth="1"/>
    <col min="6" max="16384" width="8.59765625" style="1239"/>
  </cols>
  <sheetData>
    <row r="1" spans="1:3" s="1429" customFormat="1" ht="17.399999999999999" hidden="1">
      <c r="B1" s="3338" t="s">
        <v>1368</v>
      </c>
    </row>
    <row r="2" spans="1:3" s="1429" customFormat="1" ht="17.399999999999999" hidden="1">
      <c r="B2" s="3338" t="s">
        <v>1369</v>
      </c>
    </row>
    <row r="3" spans="1:3" s="1429" customFormat="1" ht="17.399999999999999" hidden="1">
      <c r="C3" s="1828"/>
    </row>
    <row r="4" spans="1:3">
      <c r="A4" s="4326" t="s">
        <v>2348</v>
      </c>
      <c r="B4" s="4325"/>
      <c r="C4" s="4325"/>
    </row>
    <row r="5" spans="1:3">
      <c r="A5" s="4789" t="s">
        <v>2414</v>
      </c>
      <c r="B5" s="4789"/>
      <c r="C5" s="4789"/>
    </row>
    <row r="6" spans="1:3">
      <c r="A6" s="1425"/>
      <c r="B6" s="1425"/>
      <c r="C6" s="1425"/>
    </row>
    <row r="7" spans="1:3" ht="18.600000000000001" thickBot="1">
      <c r="A7" s="1425"/>
      <c r="C7" s="2648" t="s">
        <v>64</v>
      </c>
    </row>
    <row r="8" spans="1:3" s="1384" customFormat="1" ht="35.4" thickTop="1">
      <c r="A8" s="2925" t="s">
        <v>1370</v>
      </c>
      <c r="B8" s="2926" t="s">
        <v>791</v>
      </c>
      <c r="C8" s="2927" t="s">
        <v>1700</v>
      </c>
    </row>
    <row r="9" spans="1:3" s="3296" customFormat="1" ht="19.95" customHeight="1">
      <c r="A9" s="2928" t="s">
        <v>7</v>
      </c>
      <c r="B9" s="2929" t="s">
        <v>1371</v>
      </c>
      <c r="C9" s="2978">
        <f>SUM(C10,C14)</f>
        <v>9266000</v>
      </c>
    </row>
    <row r="10" spans="1:3" s="1429" customFormat="1" ht="19.95" customHeight="1">
      <c r="A10" s="2930" t="s">
        <v>9</v>
      </c>
      <c r="B10" s="2055" t="s">
        <v>10</v>
      </c>
      <c r="C10" s="2979">
        <f>'Phụ lục số 1'!AE9</f>
        <v>9066000</v>
      </c>
    </row>
    <row r="11" spans="1:3" ht="19.95" customHeight="1">
      <c r="A11" s="2931" t="s">
        <v>137</v>
      </c>
      <c r="B11" s="1438" t="s">
        <v>718</v>
      </c>
      <c r="C11" s="2980"/>
    </row>
    <row r="12" spans="1:3" s="1817" customFormat="1" ht="19.95" customHeight="1">
      <c r="A12" s="2932" t="s">
        <v>137</v>
      </c>
      <c r="B12" s="1440" t="s">
        <v>357</v>
      </c>
      <c r="C12" s="2981">
        <f>'Phụ lục số 1'!AE40</f>
        <v>1770000</v>
      </c>
    </row>
    <row r="13" spans="1:3" s="1817" customFormat="1" ht="19.95" customHeight="1">
      <c r="A13" s="2932" t="s">
        <v>137</v>
      </c>
      <c r="B13" s="1440" t="s">
        <v>101</v>
      </c>
      <c r="C13" s="2981">
        <f>'Phụ lục số 1'!AE48</f>
        <v>1950000</v>
      </c>
    </row>
    <row r="14" spans="1:3" s="1429" customFormat="1" ht="19.95" customHeight="1">
      <c r="A14" s="2930" t="s">
        <v>20</v>
      </c>
      <c r="B14" s="2055" t="s">
        <v>1372</v>
      </c>
      <c r="C14" s="2979">
        <f>'Phụ lục số 1'!AE49</f>
        <v>200000</v>
      </c>
    </row>
    <row r="15" spans="1:3" s="3296" customFormat="1" ht="19.95" customHeight="1">
      <c r="A15" s="2933" t="s">
        <v>22</v>
      </c>
      <c r="B15" s="2256" t="s">
        <v>1373</v>
      </c>
      <c r="C15" s="2945">
        <f>SUM(C16,C19,C23,C22)</f>
        <v>18627409</v>
      </c>
    </row>
    <row r="16" spans="1:3" s="1429" customFormat="1" ht="19.95" customHeight="1">
      <c r="A16" s="2930" t="s">
        <v>9</v>
      </c>
      <c r="B16" s="2055" t="s">
        <v>1374</v>
      </c>
      <c r="C16" s="2979">
        <f>'Phụ lục số 1'!AH8</f>
        <v>8484930</v>
      </c>
    </row>
    <row r="17" spans="1:5" s="1817" customFormat="1" ht="19.95" customHeight="1">
      <c r="A17" s="2932" t="s">
        <v>34</v>
      </c>
      <c r="B17" s="1440" t="s">
        <v>1269</v>
      </c>
      <c r="C17" s="2981">
        <f>C16-C18</f>
        <v>4901430</v>
      </c>
    </row>
    <row r="18" spans="1:5" s="1817" customFormat="1" ht="19.95" customHeight="1">
      <c r="A18" s="2934" t="s">
        <v>35</v>
      </c>
      <c r="B18" s="2935" t="s">
        <v>1375</v>
      </c>
      <c r="C18" s="2981">
        <f>'Phụ lục số 1'!AH12+'Phụ lục số 1'!AH13+'Phụ lục số 1'!AH14+'Phụ lục số 1'!AH18+'Phụ lục số 1'!AH19+'Phụ lục số 1'!AH20+'Phụ lục số 1'!AH24+'Phụ lục số 1'!AH25+'Phụ lục số 1'!AH29+'Phụ lục số 1'!AH30+'Phụ lục số 1'!AH31+'Phụ lục số 1'!AH37+'Phụ lục số 1'!AH38</f>
        <v>3583500</v>
      </c>
    </row>
    <row r="19" spans="1:5" s="1429" customFormat="1" ht="19.95" customHeight="1">
      <c r="A19" s="2930" t="s">
        <v>20</v>
      </c>
      <c r="B19" s="2055" t="s">
        <v>1271</v>
      </c>
      <c r="C19" s="2979">
        <f>SUM(C20:C21)</f>
        <v>9256479</v>
      </c>
    </row>
    <row r="20" spans="1:5" s="1817" customFormat="1" ht="19.95" customHeight="1">
      <c r="A20" s="2932" t="s">
        <v>34</v>
      </c>
      <c r="B20" s="1440" t="s">
        <v>238</v>
      </c>
      <c r="C20" s="2981">
        <f>'Phụ lục số 1'!AH53</f>
        <v>6617188</v>
      </c>
    </row>
    <row r="21" spans="1:5" s="1817" customFormat="1" ht="19.95" customHeight="1">
      <c r="A21" s="2932" t="s">
        <v>35</v>
      </c>
      <c r="B21" s="1440" t="s">
        <v>239</v>
      </c>
      <c r="C21" s="2981">
        <f>'Phụ lục số 1'!AH55</f>
        <v>2639291</v>
      </c>
    </row>
    <row r="22" spans="1:5" s="1817" customFormat="1" ht="19.95" customHeight="1">
      <c r="A22" s="2930" t="s">
        <v>49</v>
      </c>
      <c r="B22" s="2055" t="s">
        <v>1702</v>
      </c>
      <c r="C22" s="2979">
        <f>'Phụ lục số 1'!AH59</f>
        <v>886000</v>
      </c>
    </row>
    <row r="23" spans="1:5" s="1429" customFormat="1" ht="19.95" hidden="1" customHeight="1">
      <c r="A23" s="2930" t="s">
        <v>50</v>
      </c>
      <c r="B23" s="2055" t="s">
        <v>1376</v>
      </c>
      <c r="C23" s="2979">
        <f>'Phụ lục số 1'!AH60</f>
        <v>0</v>
      </c>
    </row>
    <row r="24" spans="1:5" s="3296" customFormat="1" ht="19.95" customHeight="1">
      <c r="A24" s="2933" t="s">
        <v>26</v>
      </c>
      <c r="B24" s="2256" t="str">
        <f>'Phụ lục 1-KQPB'!B24</f>
        <v>Chi ngân sách địa phương (I+II+III)</v>
      </c>
      <c r="C24" s="2945">
        <f>SUM(C25,C41,C44)</f>
        <v>18627408.915999997</v>
      </c>
    </row>
    <row r="25" spans="1:5" s="1429" customFormat="1" ht="19.95" customHeight="1">
      <c r="A25" s="2930" t="s">
        <v>9</v>
      </c>
      <c r="B25" s="2256" t="str">
        <f>'Phụ lục 1-KQPB'!B25</f>
        <v>Chi cân đối ngân sách địa phương</v>
      </c>
      <c r="C25" s="2979">
        <f>SUM(C26,C32,C37,C38,C39,C40)</f>
        <v>16638432.915999997</v>
      </c>
    </row>
    <row r="26" spans="1:5" s="1429" customFormat="1" ht="19.95" customHeight="1">
      <c r="A26" s="2930">
        <v>1</v>
      </c>
      <c r="B26" s="2256" t="str">
        <f>'Phụ lục 1-KQPB'!B26</f>
        <v>Chi đầu tư phát triển (1)</v>
      </c>
      <c r="C26" s="2979">
        <f>'Phụ lục số 2'!X9</f>
        <v>4923186.4089698764</v>
      </c>
      <c r="D26" s="3339"/>
      <c r="E26" s="3339"/>
    </row>
    <row r="27" spans="1:5" s="1817" customFormat="1" ht="19.95" customHeight="1">
      <c r="A27" s="2932" t="str">
        <f>'Phụ lục 1-KQPB'!A27</f>
        <v>a</v>
      </c>
      <c r="B27" s="1440" t="str">
        <f>'Phụ lục 1-KQPB'!B27</f>
        <v>Chi đầu tư xây dựng cơ bản</v>
      </c>
      <c r="C27" s="2981">
        <f>'Phụ lục số 2'!X10</f>
        <v>1143186.4089698761</v>
      </c>
    </row>
    <row r="28" spans="1:5" s="1817" customFormat="1" ht="19.95" customHeight="1">
      <c r="A28" s="2932" t="str">
        <f>'Phụ lục 1-KQPB'!A28</f>
        <v>b</v>
      </c>
      <c r="B28" s="1440" t="str">
        <f>'Phụ lục 1-KQPB'!B28</f>
        <v>Chi đầu tư từ nguồn thu tiền sử dụng đất</v>
      </c>
      <c r="C28" s="2981">
        <f>'Phụ lục số 2'!X11</f>
        <v>1770000</v>
      </c>
    </row>
    <row r="29" spans="1:5" s="1817" customFormat="1" ht="19.95" customHeight="1">
      <c r="A29" s="2932" t="str">
        <f>'Phụ lục 1-KQPB'!A29</f>
        <v>c</v>
      </c>
      <c r="B29" s="1440" t="str">
        <f>'Phụ lục 1-KQPB'!B29</f>
        <v>Chi đầu tư từ nguồn thu xổ số kiến thiết</v>
      </c>
      <c r="C29" s="2981">
        <f>'Phụ lục số 2'!X12</f>
        <v>1950000</v>
      </c>
    </row>
    <row r="30" spans="1:5" s="1817" customFormat="1" ht="19.95" customHeight="1">
      <c r="A30" s="2932" t="str">
        <f>'Phụ lục 1-KQPB'!A30</f>
        <v>d</v>
      </c>
      <c r="B30" s="1443" t="str">
        <f>'Phụ lục 1-KQPB'!B30</f>
        <v>Chi đầu tư từ nguồn thu cổ phần hóa, thoái vốn doanh nghiệp nhà nước địa phương quản lý;…</v>
      </c>
      <c r="C30" s="2981">
        <f>'Phụ lục số 2'!X13</f>
        <v>0</v>
      </c>
    </row>
    <row r="31" spans="1:5" s="1817" customFormat="1" ht="19.95" customHeight="1">
      <c r="A31" s="2932" t="str">
        <f>'Phụ lục 1-KQPB'!A31</f>
        <v>đ</v>
      </c>
      <c r="B31" s="1443" t="str">
        <f>'Phụ lục 1-KQPB'!B31</f>
        <v>Chi đầu tư phát triển khác (Ủy thác qua NH Chính sách xã hội chi nhánh tỉnh Đồng Tháp)</v>
      </c>
      <c r="C31" s="2981">
        <f>'Phụ lục số 2'!X14</f>
        <v>60000</v>
      </c>
    </row>
    <row r="32" spans="1:5" s="1429" customFormat="1" ht="19.95" customHeight="1">
      <c r="A32" s="2930">
        <v>2</v>
      </c>
      <c r="B32" s="2055" t="str">
        <f>'Phụ lục 1-KQPB'!B32</f>
        <v>Chi thường xuyên</v>
      </c>
      <c r="C32" s="2979">
        <f>'Phụ lục số 2'!X15</f>
        <v>10664978.394711081</v>
      </c>
    </row>
    <row r="33" spans="1:3" ht="19.95" customHeight="1">
      <c r="A33" s="2931" t="s">
        <v>137</v>
      </c>
      <c r="B33" s="2055" t="str">
        <f>'Phụ lục 1-KQPB'!B33</f>
        <v>Bao gồm:</v>
      </c>
      <c r="C33" s="2980"/>
    </row>
    <row r="34" spans="1:3" s="1817" customFormat="1" ht="19.95" customHeight="1">
      <c r="A34" s="2932" t="s">
        <v>34</v>
      </c>
      <c r="B34" s="1440" t="str">
        <f>'Phụ lục 1-KQPB'!B34</f>
        <v>Chi giáo dục, đào tạo và dạy nghề</v>
      </c>
      <c r="C34" s="2981">
        <f>'Phụ lục số 2'!X20</f>
        <v>4797945.7831797441</v>
      </c>
    </row>
    <row r="35" spans="1:3" s="1817" customFormat="1" ht="19.95" customHeight="1">
      <c r="A35" s="2932" t="s">
        <v>35</v>
      </c>
      <c r="B35" s="1440" t="str">
        <f>'Phụ lục 1-KQPB'!B35</f>
        <v>Chi khoa học và công nghệ</v>
      </c>
      <c r="C35" s="2981">
        <f>'Phụ lục số 2'!X19</f>
        <v>31218</v>
      </c>
    </row>
    <row r="36" spans="1:3" s="1817" customFormat="1" ht="19.95" customHeight="1">
      <c r="A36" s="2932" t="s">
        <v>37</v>
      </c>
      <c r="B36" s="1440" t="str">
        <f>'Phụ lục 1-KQPB'!B36</f>
        <v>Các khoản chi thường xuyên còn lại</v>
      </c>
      <c r="C36" s="2981">
        <f>C32-C34-C35</f>
        <v>5835814.6115313368</v>
      </c>
    </row>
    <row r="37" spans="1:3" s="1429" customFormat="1" ht="19.95" customHeight="1">
      <c r="A37" s="2930">
        <v>3</v>
      </c>
      <c r="B37" s="2055" t="str">
        <f>'Phụ lục 1-KQPB'!B37</f>
        <v>Chi bổ sung Quỹ Dự trữ tài chính</v>
      </c>
      <c r="C37" s="2979">
        <f>'Phụ lục số 2'!X29</f>
        <v>2000</v>
      </c>
    </row>
    <row r="38" spans="1:3" s="1429" customFormat="1" ht="19.95" customHeight="1">
      <c r="A38" s="2930">
        <v>4</v>
      </c>
      <c r="B38" s="2055" t="str">
        <f>'Phụ lục 1-KQPB'!B38</f>
        <v>Dự phòng ngân sách</v>
      </c>
      <c r="C38" s="2979">
        <f>'Phụ lục số 2'!X30</f>
        <v>327868.91231904214</v>
      </c>
    </row>
    <row r="39" spans="1:3" s="1429" customFormat="1" ht="19.95" customHeight="1">
      <c r="A39" s="2930">
        <v>5</v>
      </c>
      <c r="B39" s="2055" t="str">
        <f>'Phụ lục 1-KQPB'!B39</f>
        <v>Chi tạo nguồn cải cách tiền lương</v>
      </c>
      <c r="C39" s="2979">
        <f>'Phụ lục số 2'!X32</f>
        <v>717399.2</v>
      </c>
    </row>
    <row r="40" spans="1:3" s="1429" customFormat="1" ht="19.95" customHeight="1">
      <c r="A40" s="2930">
        <v>6</v>
      </c>
      <c r="B40" s="2055" t="str">
        <f>'Phụ lục 1-KQPB'!B40</f>
        <v>Chi trả lãi khoản vay của ngân sách cấp tỉnh</v>
      </c>
      <c r="C40" s="2979">
        <f>'Phụ lục số 2'!X34</f>
        <v>3000</v>
      </c>
    </row>
    <row r="41" spans="1:3" s="1429" customFormat="1" ht="19.95" customHeight="1">
      <c r="A41" s="2930" t="s">
        <v>20</v>
      </c>
      <c r="B41" s="2055" t="str">
        <f>'Phụ lục 1-KQPB'!B41</f>
        <v>Chi từ nguồn bổ sung có mục tiêu từ ngân sách trung ương</v>
      </c>
      <c r="C41" s="2979">
        <f>SUM(C42:C43)</f>
        <v>1988976</v>
      </c>
    </row>
    <row r="42" spans="1:3" ht="19.95" customHeight="1">
      <c r="A42" s="2931">
        <v>1</v>
      </c>
      <c r="B42" s="1438" t="str">
        <f>'Phụ lục 1-KQPB'!B42</f>
        <v>Chi thực hiện mục tiêu, nhiệm vụ quan trọng (vốn đầu tư phát triển)</v>
      </c>
      <c r="C42" s="2980">
        <f>'Phụ lục số 2'!X36</f>
        <v>1814491</v>
      </c>
    </row>
    <row r="43" spans="1:3" ht="19.95" customHeight="1">
      <c r="A43" s="2931">
        <v>2</v>
      </c>
      <c r="B43" s="1438" t="str">
        <f>'Phụ lục 1-KQPB'!B43</f>
        <v>Chi thực hiện mục tiêu, nhiệm vụ quan trọng (kinh phí sự nghiệp)</v>
      </c>
      <c r="C43" s="2980">
        <f>'Phụ lục số 2'!X37</f>
        <v>174485</v>
      </c>
    </row>
    <row r="44" spans="1:3" s="1429" customFormat="1" ht="19.95" customHeight="1" thickBot="1">
      <c r="A44" s="2936" t="s">
        <v>49</v>
      </c>
      <c r="B44" s="2937" t="str">
        <f>'Phụ lục 1-KQPB'!B44</f>
        <v>Chi đầu tư từ nguồn vốn Chính phủ vay về cho vay lại</v>
      </c>
      <c r="C44" s="2982">
        <f>'Phụ lục số 2'!X39</f>
        <v>0</v>
      </c>
    </row>
    <row r="45" spans="1:3" ht="22.2" customHeight="1" thickTop="1">
      <c r="B45" s="4790" t="str">
        <f>'Phụ lục 1-KQPB'!B45:C45</f>
        <v>Ghi chú: (1) Đã bao gồm chi trả nợ gốc các khoản vay của ngân sách địa phương từ nguồn bội thu</v>
      </c>
      <c r="C45" s="4790"/>
    </row>
  </sheetData>
  <mergeCells count="3">
    <mergeCell ref="A4:C4"/>
    <mergeCell ref="A5:C5"/>
    <mergeCell ref="B45:C45"/>
  </mergeCells>
  <hyperlinks>
    <hyperlink ref="A8" location="'List danh mục'!A1" display="'List danh mục'!A1"/>
  </hyperlinks>
  <printOptions horizontalCentered="1"/>
  <pageMargins left="0" right="0" top="0.39370078740157483" bottom="0" header="0.19685039370078741" footer="0.19685039370078741"/>
  <pageSetup paperSize="9" scale="95" orientation="portrait" verticalDpi="0" r:id="rId1"/>
  <headerFooter>
    <oddHeader>&amp;R&amp;A</oddHeader>
    <oddFooter>&amp;C&amp;P/&amp;N</oddFooter>
  </headerFooter>
</worksheet>
</file>

<file path=xl/worksheets/sheet1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F52"/>
  <sheetViews>
    <sheetView topLeftCell="A28" workbookViewId="0">
      <selection activeCell="B46" sqref="B46"/>
    </sheetView>
  </sheetViews>
  <sheetFormatPr defaultColWidth="8.59765625" defaultRowHeight="18"/>
  <cols>
    <col min="1" max="1" width="5.69921875" style="37" customWidth="1"/>
    <col min="2" max="2" width="75.69921875" style="37" customWidth="1"/>
    <col min="3" max="3" width="16.69921875" style="37" customWidth="1"/>
    <col min="4" max="4" width="9.5" style="37" customWidth="1"/>
    <col min="5" max="5" width="8.8984375" style="37" bestFit="1" customWidth="1"/>
    <col min="6" max="6" width="9.19921875" style="37" bestFit="1" customWidth="1"/>
    <col min="7" max="16384" width="8.59765625" style="37"/>
  </cols>
  <sheetData>
    <row r="1" spans="1:4" hidden="1">
      <c r="A1" s="2"/>
      <c r="B1" s="2208" t="s">
        <v>1368</v>
      </c>
      <c r="C1" s="2"/>
    </row>
    <row r="2" spans="1:4" hidden="1">
      <c r="A2" s="2"/>
      <c r="B2" s="2208" t="s">
        <v>1369</v>
      </c>
      <c r="C2" s="2"/>
    </row>
    <row r="3" spans="1:4" hidden="1">
      <c r="A3" s="2"/>
      <c r="B3" s="2"/>
      <c r="C3" s="2"/>
    </row>
    <row r="4" spans="1:4">
      <c r="A4" s="4475" t="s">
        <v>2351</v>
      </c>
      <c r="B4" s="4191"/>
      <c r="C4" s="4191"/>
    </row>
    <row r="5" spans="1:4">
      <c r="A5" s="4514" t="str">
        <f>'Phụ lục 1-CKNS'!A5:C5</f>
        <v>(Kèm theo Quyết định số       /QĐ-UBND-HC ngày     /12/2023 của Ủy ban nhân dân tỉnh Đồng Tháp)</v>
      </c>
      <c r="B5" s="4514"/>
      <c r="C5" s="4514"/>
    </row>
    <row r="6" spans="1:4">
      <c r="A6" s="2207"/>
      <c r="B6" s="2207"/>
      <c r="C6" s="2207"/>
    </row>
    <row r="7" spans="1:4" ht="18.600000000000001" thickBot="1">
      <c r="B7" s="4516" t="s">
        <v>64</v>
      </c>
      <c r="C7" s="4516"/>
    </row>
    <row r="8" spans="1:4" s="70" customFormat="1" ht="35.4" thickTop="1">
      <c r="A8" s="2920" t="s">
        <v>1370</v>
      </c>
      <c r="B8" s="2921" t="s">
        <v>52</v>
      </c>
      <c r="C8" s="2922" t="s">
        <v>1700</v>
      </c>
    </row>
    <row r="9" spans="1:4" s="48" customFormat="1" ht="16.2" customHeight="1">
      <c r="A9" s="2938"/>
      <c r="B9" s="2209" t="s">
        <v>1382</v>
      </c>
      <c r="C9" s="3342">
        <f>SUM(C10,C13,C17,C16)</f>
        <v>13802329</v>
      </c>
      <c r="D9" s="2210"/>
    </row>
    <row r="10" spans="1:4" s="48" customFormat="1" ht="16.2" customHeight="1">
      <c r="A10" s="2924" t="s">
        <v>9</v>
      </c>
      <c r="B10" s="2211" t="s">
        <v>1383</v>
      </c>
      <c r="C10" s="2945">
        <f>'Phụ lục số 1'!AI8</f>
        <v>4545850</v>
      </c>
    </row>
    <row r="11" spans="1:4" s="47" customFormat="1" ht="16.2" customHeight="1">
      <c r="A11" s="2923">
        <v>1</v>
      </c>
      <c r="B11" s="2213" t="s">
        <v>1384</v>
      </c>
      <c r="C11" s="2981">
        <f>C10-C12</f>
        <v>2914430</v>
      </c>
    </row>
    <row r="12" spans="1:4" s="47" customFormat="1" ht="16.2" customHeight="1">
      <c r="A12" s="2923">
        <v>2</v>
      </c>
      <c r="B12" s="2214" t="s">
        <v>1270</v>
      </c>
      <c r="C12" s="2981">
        <f>'Phụ lục số 1'!AI12+'Phụ lục số 1'!AI13+'Phụ lục số 1'!AI14+'Phụ lục số 1'!AI18+'Phụ lục số 1'!AI19+'Phụ lục số 1'!AI20+'Phụ lục số 1'!AI24+'Phụ lục số 1'!AI25+'Phụ lục số 1'!AI29+'Phụ lục số 1'!AI30+'Phụ lục số 1'!AI31+'Phụ lục số 1'!AI37+'Phụ lục số 1'!AI38</f>
        <v>1631420</v>
      </c>
    </row>
    <row r="13" spans="1:4" s="48" customFormat="1" ht="16.2" customHeight="1">
      <c r="A13" s="2924" t="s">
        <v>20</v>
      </c>
      <c r="B13" s="2211" t="s">
        <v>1385</v>
      </c>
      <c r="C13" s="2945">
        <f>SUM(C14:C15)</f>
        <v>9256479</v>
      </c>
      <c r="D13" s="2210"/>
    </row>
    <row r="14" spans="1:4" s="47" customFormat="1" ht="16.2" customHeight="1">
      <c r="A14" s="2923">
        <v>1</v>
      </c>
      <c r="B14" s="2213" t="s">
        <v>238</v>
      </c>
      <c r="C14" s="2981">
        <f>'Phụ lục số 1'!AI53</f>
        <v>6617188</v>
      </c>
    </row>
    <row r="15" spans="1:4" s="47" customFormat="1" ht="16.2" customHeight="1">
      <c r="A15" s="2923">
        <v>2</v>
      </c>
      <c r="B15" s="2213" t="s">
        <v>25</v>
      </c>
      <c r="C15" s="2981">
        <f>'Phụ lục số 1'!AI55</f>
        <v>2639291</v>
      </c>
    </row>
    <row r="16" spans="1:4" s="49" customFormat="1" ht="16.2" customHeight="1">
      <c r="A16" s="2924" t="s">
        <v>49</v>
      </c>
      <c r="B16" s="3341" t="s">
        <v>1702</v>
      </c>
      <c r="C16" s="2945">
        <f>'Phụ lục số 1'!AI59</f>
        <v>0</v>
      </c>
    </row>
    <row r="17" spans="1:6" s="48" customFormat="1" ht="16.2" customHeight="1">
      <c r="A17" s="2924" t="s">
        <v>50</v>
      </c>
      <c r="B17" s="29" t="s">
        <v>132</v>
      </c>
      <c r="C17" s="2945">
        <f>'Phụ lục số 1'!AI60</f>
        <v>0</v>
      </c>
    </row>
    <row r="18" spans="1:6" s="48" customFormat="1" ht="16.2" customHeight="1">
      <c r="A18" s="2924" t="s">
        <v>22</v>
      </c>
      <c r="B18" s="2211" t="str">
        <f>'Phụ lục 2-HĐND'!B17</f>
        <v>Chi ngân sách cấp Tỉnh (I+II+III+IV)</v>
      </c>
      <c r="C18" s="2945">
        <f>SUM(C19,C47,C48,C49)</f>
        <v>13802329.316</v>
      </c>
      <c r="D18" s="2210"/>
      <c r="F18" s="2215"/>
    </row>
    <row r="19" spans="1:6" s="2217" customFormat="1" ht="16.2" customHeight="1">
      <c r="A19" s="2939" t="s">
        <v>9</v>
      </c>
      <c r="B19" s="2211" t="str">
        <f>'Phụ lục 2-HĐND'!B18</f>
        <v>Chi thuộc nhiệm vụ của ngân sách cấp Tỉnh theo phân cấp</v>
      </c>
      <c r="C19" s="3343">
        <f>SUM(C20,C26,C43,C44,C45,C46)</f>
        <v>6730029.9680000003</v>
      </c>
      <c r="D19" s="33"/>
    </row>
    <row r="20" spans="1:6" s="2217" customFormat="1" ht="16.2" customHeight="1">
      <c r="A20" s="2940">
        <v>1</v>
      </c>
      <c r="B20" s="2211" t="str">
        <f>'Phụ lục 2-HĐND'!B19</f>
        <v xml:space="preserve">Chi đầu tư phát triển </v>
      </c>
      <c r="C20" s="3343">
        <f>'Phụ lục số 2'!AA9</f>
        <v>3199186</v>
      </c>
      <c r="D20" s="33"/>
    </row>
    <row r="21" spans="1:6" s="2219" customFormat="1" ht="16.2" customHeight="1">
      <c r="A21" s="2941" t="s">
        <v>34</v>
      </c>
      <c r="B21" s="2225" t="str">
        <f>'Phụ lục 2-HĐND'!B20</f>
        <v>Chi đầu tư xây dựng cơ bản</v>
      </c>
      <c r="C21" s="3344">
        <f>'Phụ lục số 2'!AA10</f>
        <v>562186</v>
      </c>
      <c r="D21" s="2218"/>
    </row>
    <row r="22" spans="1:6" s="2219" customFormat="1" ht="16.2" customHeight="1">
      <c r="A22" s="2941" t="s">
        <v>35</v>
      </c>
      <c r="B22" s="2225" t="str">
        <f>'Phụ lục 2-HĐND'!B21</f>
        <v>Chi đầu tư từ nguồn thu tiền sử dụng đất</v>
      </c>
      <c r="C22" s="3344">
        <f>'Phụ lục số 2'!AA11</f>
        <v>627000</v>
      </c>
      <c r="D22" s="2218"/>
    </row>
    <row r="23" spans="1:6" s="2219" customFormat="1" ht="16.2" customHeight="1">
      <c r="A23" s="2941" t="s">
        <v>36</v>
      </c>
      <c r="B23" s="2225" t="str">
        <f>'Phụ lục 2-HĐND'!B22</f>
        <v>Chi đầu tư từ nguồn thu xổ số kiến thiết</v>
      </c>
      <c r="C23" s="3344">
        <f>'Phụ lục số 2'!AA12</f>
        <v>1950000</v>
      </c>
      <c r="D23" s="2218"/>
    </row>
    <row r="24" spans="1:6" s="2219" customFormat="1" ht="16.2" customHeight="1">
      <c r="A24" s="2923" t="s">
        <v>37</v>
      </c>
      <c r="B24" s="137" t="str">
        <f>'Phụ lục 2-HĐND'!B23</f>
        <v>Chi đầu tư từ nguồn thu cổ phần hóa, thoái vốn doanh nghiệp nhà nước địa phương quản lý;…</v>
      </c>
      <c r="C24" s="3344">
        <f>'Phụ lục số 2'!AA13</f>
        <v>0</v>
      </c>
      <c r="D24" s="2218"/>
    </row>
    <row r="25" spans="1:6" s="2219" customFormat="1" ht="16.2" customHeight="1">
      <c r="A25" s="2923" t="s">
        <v>1327</v>
      </c>
      <c r="B25" s="2225" t="str">
        <f>'Phụ lục 2-HĐND'!B24</f>
        <v>Chi đầu tư phát triển khác (Ủy thác qua NH Chính sách xã hội chi nhánh tỉnh Đồng Tháp)</v>
      </c>
      <c r="C25" s="3344">
        <f>'Phụ lục số 2'!AA14</f>
        <v>60000</v>
      </c>
      <c r="D25" s="2218"/>
    </row>
    <row r="26" spans="1:6" s="2217" customFormat="1" ht="16.2" customHeight="1">
      <c r="A26" s="2940">
        <v>2</v>
      </c>
      <c r="B26" s="2211" t="str">
        <f>'Phụ lục 2-HĐND'!B25</f>
        <v>Chi thường xuyên</v>
      </c>
      <c r="C26" s="3343">
        <f>SUM(C27,C28,C29,C37,C38,C42)</f>
        <v>3294440.4</v>
      </c>
      <c r="D26" s="33"/>
      <c r="E26" s="2220"/>
    </row>
    <row r="27" spans="1:6" s="153" customFormat="1" ht="16.2" customHeight="1">
      <c r="A27" s="3340" t="s">
        <v>236</v>
      </c>
      <c r="B27" s="2225" t="str">
        <f>'Phụ lục 2-HĐND'!B26</f>
        <v>Chi các hoạt động kinh tế</v>
      </c>
      <c r="C27" s="3345">
        <f>'Phụ lục số 2'!AA16</f>
        <v>545710</v>
      </c>
      <c r="D27" s="165"/>
    </row>
    <row r="28" spans="1:6" s="153" customFormat="1" ht="16.2" customHeight="1">
      <c r="A28" s="3340" t="s">
        <v>237</v>
      </c>
      <c r="B28" s="2225" t="str">
        <f>'Phụ lục 2-HĐND'!B27</f>
        <v>Chi sự nghiệp hoạt động môi trường</v>
      </c>
      <c r="C28" s="3345">
        <f>'Phụ lục số 2'!AA17</f>
        <v>67965</v>
      </c>
      <c r="D28" s="165"/>
    </row>
    <row r="29" spans="1:6" s="153" customFormat="1" ht="16.2" customHeight="1">
      <c r="A29" s="3340" t="s">
        <v>1388</v>
      </c>
      <c r="B29" s="2225" t="str">
        <f>'Phụ lục 2-HĐND'!B28</f>
        <v xml:space="preserve">Chi sự nghiệp văn xã </v>
      </c>
      <c r="C29" s="3345">
        <f>SUM(C30:C36)</f>
        <v>1996980</v>
      </c>
      <c r="D29" s="165"/>
    </row>
    <row r="30" spans="1:6" s="2219" customFormat="1" ht="16.2" customHeight="1">
      <c r="A30" s="2941" t="s">
        <v>34</v>
      </c>
      <c r="B30" s="2225" t="str">
        <f>'Phụ lục 2-HĐND'!B29</f>
        <v>Chi sự nghiệp khoa học &amp; công nghệ</v>
      </c>
      <c r="C30" s="3344">
        <f>'Phụ lục số 2'!AA19</f>
        <v>31218</v>
      </c>
      <c r="D30" s="2218"/>
    </row>
    <row r="31" spans="1:6" s="2219" customFormat="1" ht="16.2" customHeight="1">
      <c r="A31" s="2941" t="s">
        <v>35</v>
      </c>
      <c r="B31" s="2225" t="str">
        <f>'Phụ lục 2-HĐND'!B30</f>
        <v>Chi sự nghiệp giáo dục- đào tạo và dạy nghề</v>
      </c>
      <c r="C31" s="3344">
        <f>'Phụ lục số 2'!AA20</f>
        <v>956676</v>
      </c>
      <c r="D31" s="2218"/>
    </row>
    <row r="32" spans="1:6" s="2219" customFormat="1" ht="16.2" customHeight="1">
      <c r="A32" s="2941" t="s">
        <v>36</v>
      </c>
      <c r="B32" s="2225" t="str">
        <f>'Phụ lục 2-HĐND'!B31</f>
        <v xml:space="preserve">Chi sự nghiệp y tế </v>
      </c>
      <c r="C32" s="3344">
        <f>'Phụ lục số 2'!AA21</f>
        <v>828538</v>
      </c>
      <c r="D32" s="2218"/>
    </row>
    <row r="33" spans="1:4" s="2219" customFormat="1" ht="16.2" customHeight="1">
      <c r="A33" s="2941" t="s">
        <v>37</v>
      </c>
      <c r="B33" s="2225" t="str">
        <f>'Phụ lục 2-HĐND'!B32</f>
        <v xml:space="preserve">Chi sự nghiệp văn hóa thông tin </v>
      </c>
      <c r="C33" s="3344">
        <f>'Phụ lục số 2'!AA22</f>
        <v>47888</v>
      </c>
      <c r="D33" s="2218"/>
    </row>
    <row r="34" spans="1:4" s="2219" customFormat="1" ht="16.2" customHeight="1">
      <c r="A34" s="2941" t="s">
        <v>40</v>
      </c>
      <c r="B34" s="2225" t="str">
        <f>'Phụ lục 2-HĐND'!B33</f>
        <v xml:space="preserve">Chi sự nghiệp phát thanh truyền hình </v>
      </c>
      <c r="C34" s="3344">
        <f>'Phụ lục số 2'!AA23</f>
        <v>18073</v>
      </c>
      <c r="D34" s="2218"/>
    </row>
    <row r="35" spans="1:4" s="2219" customFormat="1" ht="16.2" customHeight="1">
      <c r="A35" s="2941" t="s">
        <v>42</v>
      </c>
      <c r="B35" s="2225" t="str">
        <f>'Phụ lục 2-HĐND'!B34</f>
        <v xml:space="preserve">Chi sự nghiệp thể dục thể thao </v>
      </c>
      <c r="C35" s="3344">
        <f>'Phụ lục số 2'!AA24</f>
        <v>37202</v>
      </c>
      <c r="D35" s="2218"/>
    </row>
    <row r="36" spans="1:4" s="2219" customFormat="1" ht="16.2" customHeight="1">
      <c r="A36" s="2941" t="s">
        <v>44</v>
      </c>
      <c r="B36" s="2225" t="str">
        <f>'Phụ lục 2-HĐND'!B35</f>
        <v xml:space="preserve">Chi sự nghiệp đảm bảo xã hội </v>
      </c>
      <c r="C36" s="3344">
        <f>'Phụ lục số 2'!AA25</f>
        <v>77385</v>
      </c>
      <c r="D36" s="2218"/>
    </row>
    <row r="37" spans="1:4" s="153" customFormat="1" ht="16.2" customHeight="1">
      <c r="A37" s="3340" t="s">
        <v>1390</v>
      </c>
      <c r="B37" s="2225" t="str">
        <f>'Phụ lục 2-HĐND'!B36</f>
        <v xml:space="preserve">Chi quản lý hành chánh </v>
      </c>
      <c r="C37" s="3345">
        <f>'Phụ lục số 2'!AA26</f>
        <v>515458</v>
      </c>
      <c r="D37" s="165"/>
    </row>
    <row r="38" spans="1:4" s="153" customFormat="1" ht="16.2" customHeight="1">
      <c r="A38" s="3340" t="s">
        <v>1391</v>
      </c>
      <c r="B38" s="2225" t="str">
        <f>'Phụ lục 2-HĐND'!B37</f>
        <v xml:space="preserve">Chi an ninh - quốc phòng  </v>
      </c>
      <c r="C38" s="3345">
        <f>'Phụ lục số 4'!U56</f>
        <v>148327.4</v>
      </c>
      <c r="D38" s="165"/>
    </row>
    <row r="39" spans="1:4" s="2219" customFormat="1" ht="16.2" customHeight="1">
      <c r="A39" s="2941" t="s">
        <v>34</v>
      </c>
      <c r="B39" s="2225" t="str">
        <f>'Phụ lục 2-HĐND'!B38</f>
        <v xml:space="preserve">An ninh </v>
      </c>
      <c r="C39" s="3344">
        <f>'Phụ lục số 4'!U57</f>
        <v>51000</v>
      </c>
      <c r="D39" s="2218"/>
    </row>
    <row r="40" spans="1:4" s="2219" customFormat="1" ht="16.2" customHeight="1">
      <c r="A40" s="2941" t="s">
        <v>35</v>
      </c>
      <c r="B40" s="2225" t="str">
        <f>'Phụ lục 2-HĐND'!B39</f>
        <v xml:space="preserve">Quốc phòng </v>
      </c>
      <c r="C40" s="3344">
        <f>C38-C39-C41</f>
        <v>83000</v>
      </c>
      <c r="D40" s="2218"/>
    </row>
    <row r="41" spans="1:4" s="2219" customFormat="1" ht="16.2" customHeight="1">
      <c r="A41" s="2941" t="s">
        <v>36</v>
      </c>
      <c r="B41" s="2225" t="str">
        <f>'Phụ lục 2-HĐND'!B40</f>
        <v xml:space="preserve">Biên phòng </v>
      </c>
      <c r="C41" s="3344">
        <f>'Phụ lục số 4'!U59</f>
        <v>14327.4</v>
      </c>
      <c r="D41" s="2218"/>
    </row>
    <row r="42" spans="1:4" s="153" customFormat="1" ht="16.2" customHeight="1">
      <c r="A42" s="3340" t="s">
        <v>1395</v>
      </c>
      <c r="B42" s="2225" t="str">
        <f>'Phụ lục 2-HĐND'!B41</f>
        <v>Chi khác ngân sách</v>
      </c>
      <c r="C42" s="3345">
        <f>'Phụ lục số 2'!AA28</f>
        <v>20000</v>
      </c>
      <c r="D42" s="165"/>
    </row>
    <row r="43" spans="1:4" s="2217" customFormat="1" ht="16.2" customHeight="1">
      <c r="A43" s="2940">
        <v>3</v>
      </c>
      <c r="B43" s="2211" t="str">
        <f>'Phụ lục 2-HĐND'!B42</f>
        <v xml:space="preserve">Chi bổ sung Quỹ Dự trữ tài chính </v>
      </c>
      <c r="C43" s="3343">
        <f>'Phụ lục số 2'!AA29</f>
        <v>2000</v>
      </c>
      <c r="D43" s="33"/>
    </row>
    <row r="44" spans="1:4" s="2217" customFormat="1" ht="16.2" customHeight="1">
      <c r="A44" s="2940">
        <v>4</v>
      </c>
      <c r="B44" s="2211" t="str">
        <f>'Phụ lục 2-HĐND'!B43</f>
        <v>Dự phòng ngân sách</v>
      </c>
      <c r="C44" s="3343">
        <f>'Phụ lục số 2'!AA30</f>
        <v>152264.36799999999</v>
      </c>
      <c r="D44" s="33"/>
    </row>
    <row r="45" spans="1:4" s="2217" customFormat="1" ht="16.2" customHeight="1">
      <c r="A45" s="2940">
        <v>5</v>
      </c>
      <c r="B45" s="2211" t="str">
        <f>'Phụ lục 2-HĐND'!B44</f>
        <v>Chi tạo nguồn cải cách tiền lương</v>
      </c>
      <c r="C45" s="3343">
        <f>'Phụ lục số 2'!AA32</f>
        <v>79139.200000000012</v>
      </c>
      <c r="D45" s="33"/>
    </row>
    <row r="46" spans="1:4" s="2217" customFormat="1" ht="16.2" customHeight="1">
      <c r="A46" s="2924">
        <v>6</v>
      </c>
      <c r="B46" s="2211" t="str">
        <f>'Phụ lục 2-HĐND'!B45</f>
        <v>Chi trả lãi khoản vay của ngân sách cấp tỉnh</v>
      </c>
      <c r="C46" s="3343">
        <f>'Phụ lục 2-HĐND'!C45</f>
        <v>3000</v>
      </c>
      <c r="D46" s="33"/>
    </row>
    <row r="47" spans="1:4" s="2217" customFormat="1" ht="16.2" customHeight="1">
      <c r="A47" s="2939" t="s">
        <v>20</v>
      </c>
      <c r="B47" s="2211" t="str">
        <f>'Phụ lục 2-HĐND'!B46</f>
        <v>Chi từ nguồn ngân sách trung ương bổ sung có mục tiêu</v>
      </c>
      <c r="C47" s="3343">
        <f>'Phụ lục số 2'!AA35</f>
        <v>1988976</v>
      </c>
      <c r="D47" s="33"/>
    </row>
    <row r="48" spans="1:4" s="2217" customFormat="1" ht="16.2" hidden="1" customHeight="1">
      <c r="A48" s="2939" t="s">
        <v>49</v>
      </c>
      <c r="B48" s="2211" t="str">
        <f>'Phụ lục 2-HĐND'!B47</f>
        <v>Chi đầu tư từ nguồn vốn Chính phủ vay về cho vay lại</v>
      </c>
      <c r="C48" s="3343">
        <f>'Phụ lục số 2'!AA39</f>
        <v>0</v>
      </c>
      <c r="D48" s="33"/>
    </row>
    <row r="49" spans="1:3" s="48" customFormat="1" ht="16.2" customHeight="1">
      <c r="A49" s="2924" t="s">
        <v>50</v>
      </c>
      <c r="B49" s="2211" t="str">
        <f>'Phụ lục 2-HĐND'!B48</f>
        <v xml:space="preserve">Chi bổ sung cho ngân sách huyện, thành phố thuộc tỉnh </v>
      </c>
      <c r="C49" s="2945">
        <f>SUM(C50:C51)</f>
        <v>5083323.3480000002</v>
      </c>
    </row>
    <row r="50" spans="1:3" s="47" customFormat="1" ht="16.2" customHeight="1">
      <c r="A50" s="2923">
        <v>1</v>
      </c>
      <c r="B50" s="2213" t="str">
        <f>'Phụ lục 2-HĐND'!B49</f>
        <v>Bổ sung cân đối ngân sách</v>
      </c>
      <c r="C50" s="2981">
        <f>'Phụ lục số 5'!E37</f>
        <v>4430923</v>
      </c>
    </row>
    <row r="51" spans="1:3" s="47" customFormat="1" ht="16.2" customHeight="1" thickBot="1">
      <c r="A51" s="2943">
        <v>2</v>
      </c>
      <c r="B51" s="2944" t="str">
        <f>'Phụ lục 2-HĐND'!B50</f>
        <v xml:space="preserve">Bổ sung có mục tiêu </v>
      </c>
      <c r="C51" s="3346">
        <f>'Phụ lục số 5'!E38</f>
        <v>652400.348</v>
      </c>
    </row>
    <row r="52" spans="1:3" ht="18.600000000000001" thickTop="1"/>
  </sheetData>
  <mergeCells count="3">
    <mergeCell ref="A4:C4"/>
    <mergeCell ref="A5:C5"/>
    <mergeCell ref="B7:C7"/>
  </mergeCells>
  <hyperlinks>
    <hyperlink ref="A8" location="'List danh mục'!A1" display="'List danh mục'!A1"/>
  </hyperlinks>
  <printOptions horizontalCentered="1"/>
  <pageMargins left="0" right="0" top="0.39370078740157483" bottom="0" header="0.19685039370078741" footer="0.19685039370078741"/>
  <pageSetup paperSize="9" scale="95" orientation="portrait" verticalDpi="0" r:id="rId1"/>
  <headerFooter>
    <oddHeader>&amp;R&amp;A</oddHeader>
    <oddFooter>&amp;C&amp;P/&amp;N</oddFooter>
  </headerFooter>
  <legacyDrawing r:id="rId2"/>
</worksheet>
</file>

<file path=xl/worksheets/sheet1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C39"/>
  <sheetViews>
    <sheetView topLeftCell="A25" workbookViewId="0">
      <selection activeCell="E43" sqref="E43"/>
    </sheetView>
  </sheetViews>
  <sheetFormatPr defaultColWidth="9" defaultRowHeight="18"/>
  <cols>
    <col min="1" max="1" width="5.69921875" style="2230" customWidth="1"/>
    <col min="2" max="2" width="75.69921875" style="2230" customWidth="1"/>
    <col min="3" max="3" width="16.69921875" style="2230" customWidth="1"/>
    <col min="4" max="16384" width="9" style="2230"/>
  </cols>
  <sheetData>
    <row r="1" spans="1:3" s="2229" customFormat="1" ht="21" hidden="1" customHeight="1">
      <c r="B1" s="2208" t="s">
        <v>1368</v>
      </c>
      <c r="C1" s="2"/>
    </row>
    <row r="2" spans="1:3" s="2229" customFormat="1" ht="21" hidden="1" customHeight="1">
      <c r="B2" s="2208" t="s">
        <v>1369</v>
      </c>
      <c r="C2" s="2"/>
    </row>
    <row r="3" spans="1:3" hidden="1">
      <c r="B3" s="2231"/>
      <c r="C3" s="2232"/>
    </row>
    <row r="4" spans="1:3" s="2229" customFormat="1" ht="17.399999999999999">
      <c r="A4" s="4738" t="s">
        <v>2353</v>
      </c>
      <c r="B4" s="4738"/>
      <c r="C4" s="4738"/>
    </row>
    <row r="5" spans="1:3" s="2229" customFormat="1">
      <c r="A5" s="4737" t="str">
        <f>'Phụ lục 2-CKNS'!A5:C5</f>
        <v>(Kèm theo Quyết định số       /QĐ-UBND-HC ngày     /12/2023 của Ủy ban nhân dân tỉnh Đồng Tháp)</v>
      </c>
      <c r="B5" s="4737"/>
      <c r="C5" s="4737"/>
    </row>
    <row r="6" spans="1:3" s="2229" customFormat="1">
      <c r="A6" s="2232"/>
      <c r="B6" s="2232"/>
      <c r="C6" s="2232"/>
    </row>
    <row r="7" spans="1:3" s="2229" customFormat="1" thickBot="1">
      <c r="A7" s="2233"/>
      <c r="B7" s="4791" t="s">
        <v>64</v>
      </c>
      <c r="C7" s="4791"/>
    </row>
    <row r="8" spans="1:3" s="2234" customFormat="1" thickTop="1">
      <c r="A8" s="4731" t="s">
        <v>1370</v>
      </c>
      <c r="B8" s="4733" t="s">
        <v>52</v>
      </c>
      <c r="C8" s="4735" t="s">
        <v>1700</v>
      </c>
    </row>
    <row r="9" spans="1:3" s="2234" customFormat="1" ht="42" customHeight="1">
      <c r="A9" s="4732"/>
      <c r="B9" s="4734"/>
      <c r="C9" s="4736"/>
    </row>
    <row r="10" spans="1:3" s="2240" customFormat="1" ht="24" customHeight="1">
      <c r="A10" s="2983" t="s">
        <v>7</v>
      </c>
      <c r="B10" s="2235" t="s">
        <v>1371</v>
      </c>
      <c r="C10" s="2984">
        <f>SUM(C11,C28)</f>
        <v>9266000</v>
      </c>
    </row>
    <row r="11" spans="1:3" s="2240" customFormat="1" ht="24" customHeight="1">
      <c r="A11" s="2985" t="s">
        <v>9</v>
      </c>
      <c r="B11" s="2236" t="s">
        <v>10</v>
      </c>
      <c r="C11" s="2986">
        <f>SUM(C12:C27)</f>
        <v>9066000</v>
      </c>
    </row>
    <row r="12" spans="1:3" s="2241" customFormat="1" ht="24" customHeight="1">
      <c r="A12" s="2987">
        <v>1</v>
      </c>
      <c r="B12" s="2237" t="s">
        <v>1398</v>
      </c>
      <c r="C12" s="2988">
        <f>'Phụ lục số 1'!AE11</f>
        <v>230000</v>
      </c>
    </row>
    <row r="13" spans="1:3" s="2241" customFormat="1" ht="24" customHeight="1">
      <c r="A13" s="2987">
        <v>2</v>
      </c>
      <c r="B13" s="2237" t="s">
        <v>1399</v>
      </c>
      <c r="C13" s="2988">
        <f>'Phụ lục số 1'!AE17</f>
        <v>300000</v>
      </c>
    </row>
    <row r="14" spans="1:3" s="2241" customFormat="1" ht="24" customHeight="1">
      <c r="A14" s="2987">
        <v>3</v>
      </c>
      <c r="B14" s="2237" t="s">
        <v>1400</v>
      </c>
      <c r="C14" s="2988">
        <f>'Phụ lục số 1'!AE23</f>
        <v>75000</v>
      </c>
    </row>
    <row r="15" spans="1:3" s="2242" customFormat="1" ht="24" customHeight="1">
      <c r="A15" s="2987">
        <v>4</v>
      </c>
      <c r="B15" s="2237" t="s">
        <v>352</v>
      </c>
      <c r="C15" s="2988">
        <f>'Phụ lục số 1'!AE28</f>
        <v>1701000</v>
      </c>
    </row>
    <row r="16" spans="1:3" s="2241" customFormat="1" ht="24" customHeight="1">
      <c r="A16" s="2987">
        <v>5</v>
      </c>
      <c r="B16" s="2237" t="s">
        <v>16</v>
      </c>
      <c r="C16" s="2988">
        <f>'Phụ lục số 1'!AE34</f>
        <v>350000</v>
      </c>
    </row>
    <row r="17" spans="1:3" s="2241" customFormat="1" ht="24" customHeight="1">
      <c r="A17" s="2987">
        <v>6</v>
      </c>
      <c r="B17" s="2237" t="s">
        <v>271</v>
      </c>
      <c r="C17" s="2988">
        <f>'Phụ lục số 1'!AE36</f>
        <v>15000</v>
      </c>
    </row>
    <row r="18" spans="1:3" s="2241" customFormat="1" ht="24" customHeight="1">
      <c r="A18" s="2987">
        <v>7</v>
      </c>
      <c r="B18" s="2237" t="s">
        <v>97</v>
      </c>
      <c r="C18" s="2988">
        <f>'Phụ lục số 1'!AE37</f>
        <v>730000</v>
      </c>
    </row>
    <row r="19" spans="1:3" s="2241" customFormat="1" ht="24" customHeight="1">
      <c r="A19" s="2987">
        <v>8</v>
      </c>
      <c r="B19" s="2237" t="s">
        <v>1288</v>
      </c>
      <c r="C19" s="2988">
        <f>'Phụ lục số 1'!AE38</f>
        <v>1065000</v>
      </c>
    </row>
    <row r="20" spans="1:3" s="2241" customFormat="1" ht="24" customHeight="1">
      <c r="A20" s="2987">
        <v>9</v>
      </c>
      <c r="B20" s="2237" t="s">
        <v>1401</v>
      </c>
      <c r="C20" s="2989">
        <f>'Phụ lục số 1'!AE39</f>
        <v>170000</v>
      </c>
    </row>
    <row r="21" spans="1:3" s="2241" customFormat="1" ht="24" customHeight="1">
      <c r="A21" s="2987">
        <v>10</v>
      </c>
      <c r="B21" s="2237" t="s">
        <v>18</v>
      </c>
      <c r="C21" s="2988">
        <f>'Phụ lục số 1'!AE40</f>
        <v>1770000</v>
      </c>
    </row>
    <row r="22" spans="1:3" s="2241" customFormat="1" ht="24" customHeight="1">
      <c r="A22" s="2987">
        <v>11</v>
      </c>
      <c r="B22" s="2237" t="s">
        <v>98</v>
      </c>
      <c r="C22" s="2988">
        <f>'Phụ lục số 1'!AE41</f>
        <v>315000</v>
      </c>
    </row>
    <row r="23" spans="1:3" s="2241" customFormat="1" ht="24" customHeight="1">
      <c r="A23" s="2987">
        <v>12</v>
      </c>
      <c r="B23" s="2237" t="s">
        <v>279</v>
      </c>
      <c r="C23" s="2988">
        <f>'Phụ lục số 1'!AE43</f>
        <v>326000</v>
      </c>
    </row>
    <row r="24" spans="1:3" s="2241" customFormat="1" ht="24" customHeight="1">
      <c r="A24" s="2987">
        <v>13</v>
      </c>
      <c r="B24" s="2237" t="s">
        <v>1402</v>
      </c>
      <c r="C24" s="2988">
        <f>'Phụ lục số 1'!AE47</f>
        <v>2000</v>
      </c>
    </row>
    <row r="25" spans="1:3" s="2241" customFormat="1" ht="24" customHeight="1">
      <c r="A25" s="2987">
        <v>14</v>
      </c>
      <c r="B25" s="11" t="s">
        <v>1403</v>
      </c>
      <c r="C25" s="2988">
        <f>'Phụ lục số 1'!AE48</f>
        <v>1950000</v>
      </c>
    </row>
    <row r="26" spans="1:3" s="2241" customFormat="1" ht="24" customHeight="1">
      <c r="A26" s="2987">
        <v>15</v>
      </c>
      <c r="B26" s="11" t="s">
        <v>1404</v>
      </c>
      <c r="C26" s="2988">
        <f>'Phụ lục số 1'!AE44</f>
        <v>30000</v>
      </c>
    </row>
    <row r="27" spans="1:3" s="2241" customFormat="1" ht="24" customHeight="1">
      <c r="A27" s="2987">
        <v>16</v>
      </c>
      <c r="B27" s="11" t="s">
        <v>1405</v>
      </c>
      <c r="C27" s="2988">
        <f>'Phụ lục số 1'!AE45</f>
        <v>37000</v>
      </c>
    </row>
    <row r="28" spans="1:3" s="2243" customFormat="1" ht="24" customHeight="1">
      <c r="A28" s="2985" t="s">
        <v>20</v>
      </c>
      <c r="B28" s="2236" t="s">
        <v>107</v>
      </c>
      <c r="C28" s="2990">
        <f>'Phụ lục số 1'!AE49</f>
        <v>200000</v>
      </c>
    </row>
    <row r="29" spans="1:3" s="2240" customFormat="1" ht="24" customHeight="1">
      <c r="A29" s="2991"/>
      <c r="B29" s="2245" t="s">
        <v>1378</v>
      </c>
      <c r="C29" s="2992">
        <f>'[1]Phụ lục số 1'!N57</f>
        <v>0</v>
      </c>
    </row>
    <row r="30" spans="1:3" s="2243" customFormat="1" ht="24" customHeight="1">
      <c r="A30" s="2985" t="s">
        <v>22</v>
      </c>
      <c r="B30" s="2244" t="s">
        <v>1406</v>
      </c>
      <c r="C30" s="2990">
        <f>SUM(C31,C34,C38,C37)</f>
        <v>18627409</v>
      </c>
    </row>
    <row r="31" spans="1:3" s="2242" customFormat="1" ht="24" customHeight="1">
      <c r="A31" s="2993" t="s">
        <v>9</v>
      </c>
      <c r="B31" s="2238" t="s">
        <v>478</v>
      </c>
      <c r="C31" s="2994">
        <f>SUM(C32:C33)</f>
        <v>8484930</v>
      </c>
    </row>
    <row r="32" spans="1:3" s="2241" customFormat="1" ht="24" customHeight="1">
      <c r="A32" s="2987">
        <v>1</v>
      </c>
      <c r="B32" s="2237" t="s">
        <v>1407</v>
      </c>
      <c r="C32" s="2988">
        <f>'Phụ lục 1-HĐND'!C17</f>
        <v>4901430</v>
      </c>
    </row>
    <row r="33" spans="1:3" s="2241" customFormat="1" ht="24" customHeight="1">
      <c r="A33" s="2987">
        <v>2</v>
      </c>
      <c r="B33" s="2237" t="s">
        <v>1408</v>
      </c>
      <c r="C33" s="2988">
        <f>'Phụ lục 1-HĐND'!C18</f>
        <v>3583500</v>
      </c>
    </row>
    <row r="34" spans="1:3" s="2242" customFormat="1" ht="24" customHeight="1">
      <c r="A34" s="2993" t="s">
        <v>20</v>
      </c>
      <c r="B34" s="2238" t="s">
        <v>23</v>
      </c>
      <c r="C34" s="2995">
        <f>SUM(C35:C36)</f>
        <v>9256479</v>
      </c>
    </row>
    <row r="35" spans="1:3" s="2241" customFormat="1" ht="24" customHeight="1">
      <c r="A35" s="2987">
        <v>1</v>
      </c>
      <c r="B35" s="2237" t="s">
        <v>238</v>
      </c>
      <c r="C35" s="2988">
        <f>'Phụ lục 1-HĐND'!C20</f>
        <v>6617188</v>
      </c>
    </row>
    <row r="36" spans="1:3" s="2241" customFormat="1" ht="24" customHeight="1">
      <c r="A36" s="2987">
        <v>2</v>
      </c>
      <c r="B36" s="2237" t="s">
        <v>239</v>
      </c>
      <c r="C36" s="2988">
        <f>'Phụ lục 1-HĐND'!C21</f>
        <v>2639291</v>
      </c>
    </row>
    <row r="37" spans="1:3" s="2242" customFormat="1" ht="24" customHeight="1">
      <c r="A37" s="2996" t="s">
        <v>49</v>
      </c>
      <c r="B37" s="2239" t="str">
        <f>'Phụ lục 2-HĐND'!B15</f>
        <v>Thu chuyển nguồn từ năm trước chuyển sang</v>
      </c>
      <c r="C37" s="2997">
        <f>'Phụ lục 1-HĐND'!C22</f>
        <v>886000</v>
      </c>
    </row>
    <row r="38" spans="1:3" s="2242" customFormat="1" ht="24" customHeight="1" thickBot="1">
      <c r="A38" s="2998" t="s">
        <v>50</v>
      </c>
      <c r="B38" s="2999" t="s">
        <v>132</v>
      </c>
      <c r="C38" s="3000">
        <f>'Phụ lục 1-HĐND'!C23</f>
        <v>0</v>
      </c>
    </row>
    <row r="39" spans="1:3" ht="18.600000000000001" thickTop="1"/>
  </sheetData>
  <mergeCells count="6">
    <mergeCell ref="A4:C4"/>
    <mergeCell ref="A5:C5"/>
    <mergeCell ref="A8:A9"/>
    <mergeCell ref="B8:B9"/>
    <mergeCell ref="C8:C9"/>
    <mergeCell ref="B7:C7"/>
  </mergeCells>
  <hyperlinks>
    <hyperlink ref="A8:A9" location="'List danh mục'!A1" display="'List danh mục'!A1"/>
  </hyperlinks>
  <printOptions horizontalCentered="1"/>
  <pageMargins left="0" right="0" top="0.59055118110236227" bottom="0" header="0.19685039370078741" footer="0.19685039370078741"/>
  <pageSetup paperSize="9" scale="95" orientation="portrait" verticalDpi="0" r:id="rId1"/>
  <headerFooter>
    <oddHeader>&amp;R&amp;A</oddHeader>
    <oddFooter>&amp;C&amp;P/&amp;N</oddFooter>
  </headerFooter>
  <legacyDrawing r:id="rId2"/>
</worksheet>
</file>

<file path=xl/worksheets/sheet1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E55"/>
  <sheetViews>
    <sheetView topLeftCell="A23" workbookViewId="0">
      <selection activeCell="B37" sqref="B37"/>
    </sheetView>
  </sheetViews>
  <sheetFormatPr defaultColWidth="9" defaultRowHeight="18"/>
  <cols>
    <col min="1" max="1" width="5.69921875" style="37" customWidth="1"/>
    <col min="2" max="2" width="59.69921875" style="37" customWidth="1"/>
    <col min="3" max="5" width="12.69921875" style="37" customWidth="1"/>
    <col min="6" max="16384" width="9" style="37"/>
  </cols>
  <sheetData>
    <row r="1" spans="1:5" s="2" customFormat="1" ht="17.399999999999999" hidden="1">
      <c r="B1" s="4568" t="s">
        <v>1368</v>
      </c>
      <c r="C1" s="4568"/>
      <c r="D1" s="4568"/>
    </row>
    <row r="2" spans="1:5" s="2" customFormat="1" ht="17.399999999999999" hidden="1">
      <c r="B2" s="4568" t="s">
        <v>1369</v>
      </c>
      <c r="C2" s="4568"/>
      <c r="D2" s="4568"/>
    </row>
    <row r="3" spans="1:5" s="2" customFormat="1" ht="17.399999999999999" hidden="1">
      <c r="B3" s="38"/>
      <c r="C3" s="4299"/>
      <c r="D3" s="4299"/>
      <c r="E3" s="4299"/>
    </row>
    <row r="4" spans="1:5" s="2" customFormat="1" ht="17.399999999999999">
      <c r="A4" s="4316" t="s">
        <v>2355</v>
      </c>
      <c r="B4" s="4299"/>
      <c r="C4" s="4299"/>
      <c r="D4" s="4299"/>
      <c r="E4" s="4299"/>
    </row>
    <row r="5" spans="1:5" s="2" customFormat="1">
      <c r="A5" s="4523" t="str">
        <f>'Phụ lục 3-CKNS'!A5:C5</f>
        <v>(Kèm theo Quyết định số       /QĐ-UBND-HC ngày     /12/2023 của Ủy ban nhân dân tỉnh Đồng Tháp)</v>
      </c>
      <c r="B5" s="4571"/>
      <c r="C5" s="4571"/>
      <c r="D5" s="4571"/>
      <c r="E5" s="4571"/>
    </row>
    <row r="6" spans="1:5" s="2" customFormat="1" ht="17.399999999999999">
      <c r="A6" s="2206"/>
      <c r="B6" s="38"/>
      <c r="C6" s="38"/>
      <c r="D6" s="38"/>
      <c r="E6" s="38"/>
    </row>
    <row r="7" spans="1:5" ht="18.600000000000001" thickBot="1">
      <c r="B7" s="4516" t="s">
        <v>64</v>
      </c>
      <c r="C7" s="4516"/>
      <c r="D7" s="4516"/>
      <c r="E7" s="4516"/>
    </row>
    <row r="8" spans="1:5" s="2" customFormat="1" thickTop="1">
      <c r="A8" s="4731" t="s">
        <v>1370</v>
      </c>
      <c r="B8" s="4479" t="s">
        <v>791</v>
      </c>
      <c r="C8" s="4650" t="s">
        <v>1700</v>
      </c>
      <c r="D8" s="4650"/>
      <c r="E8" s="4651"/>
    </row>
    <row r="9" spans="1:5" s="2" customFormat="1" ht="17.399999999999999">
      <c r="A9" s="4740"/>
      <c r="B9" s="4480"/>
      <c r="C9" s="4480" t="s">
        <v>4</v>
      </c>
      <c r="D9" s="4362" t="s">
        <v>1409</v>
      </c>
      <c r="E9" s="4741"/>
    </row>
    <row r="10" spans="1:5" s="70" customFormat="1" ht="78.75" customHeight="1">
      <c r="A10" s="4740"/>
      <c r="B10" s="4480"/>
      <c r="C10" s="4480"/>
      <c r="D10" s="7" t="s">
        <v>1410</v>
      </c>
      <c r="E10" s="3001" t="s">
        <v>1411</v>
      </c>
    </row>
    <row r="11" spans="1:5" s="48" customFormat="1" ht="20.100000000000001" customHeight="1">
      <c r="A11" s="3002"/>
      <c r="B11" s="2253" t="s">
        <v>1412</v>
      </c>
      <c r="C11" s="2254">
        <f>SUM(C12,C19,C34,C35,C38,C42,C36,C37)</f>
        <v>18627408.915999997</v>
      </c>
      <c r="D11" s="2254">
        <f>SUM(D12,D19,D34,D35,D38,D42,D36,D37)</f>
        <v>8719005.568</v>
      </c>
      <c r="E11" s="3003">
        <f>SUM(E12,E19,E34,E35,E38,E42,E36,E37)</f>
        <v>9908403.3479999993</v>
      </c>
    </row>
    <row r="12" spans="1:5" s="48" customFormat="1" ht="20.100000000000001" customHeight="1">
      <c r="A12" s="2933" t="s">
        <v>9</v>
      </c>
      <c r="B12" s="2256" t="s">
        <v>1413</v>
      </c>
      <c r="C12" s="1445">
        <f>SUM(C14:C18)</f>
        <v>4923186.4089698764</v>
      </c>
      <c r="D12" s="1445">
        <f>SUM(D14:D18)</f>
        <v>3199186</v>
      </c>
      <c r="E12" s="3004">
        <f>SUM(E14:E18)</f>
        <v>1724000.4089698761</v>
      </c>
    </row>
    <row r="13" spans="1:5" ht="20.100000000000001" customHeight="1">
      <c r="A13" s="2931"/>
      <c r="B13" s="1438" t="s">
        <v>299</v>
      </c>
      <c r="C13" s="78"/>
      <c r="D13" s="78"/>
      <c r="E13" s="3005"/>
    </row>
    <row r="14" spans="1:5" ht="20.100000000000001" customHeight="1">
      <c r="A14" s="2931" t="s">
        <v>34</v>
      </c>
      <c r="B14" s="1438" t="s">
        <v>1305</v>
      </c>
      <c r="C14" s="78">
        <f t="shared" ref="C14:C19" si="0">SUM(D14:E14)</f>
        <v>1143186.4089698761</v>
      </c>
      <c r="D14" s="78">
        <f>'Phụ lục số 2'!AA10</f>
        <v>562186</v>
      </c>
      <c r="E14" s="3005">
        <f>'Phụ lục số 2'!AB10</f>
        <v>581000.40896987612</v>
      </c>
    </row>
    <row r="15" spans="1:5" ht="20.100000000000001" customHeight="1">
      <c r="A15" s="2931" t="s">
        <v>35</v>
      </c>
      <c r="B15" s="1438" t="s">
        <v>391</v>
      </c>
      <c r="C15" s="78">
        <f t="shared" si="0"/>
        <v>1770000</v>
      </c>
      <c r="D15" s="78">
        <f>'Phụ lục số 2'!AA11</f>
        <v>627000</v>
      </c>
      <c r="E15" s="3005">
        <f>'Phụ lục số 2'!AB11</f>
        <v>1143000</v>
      </c>
    </row>
    <row r="16" spans="1:5" ht="20.100000000000001" customHeight="1">
      <c r="A16" s="2931" t="s">
        <v>36</v>
      </c>
      <c r="B16" s="1438" t="s">
        <v>1378</v>
      </c>
      <c r="C16" s="78">
        <f t="shared" si="0"/>
        <v>1950000</v>
      </c>
      <c r="D16" s="78">
        <f>'Phụ lục số 2'!AA12</f>
        <v>1950000</v>
      </c>
      <c r="E16" s="3005">
        <f>'Phụ lục số 2'!AB12</f>
        <v>0</v>
      </c>
    </row>
    <row r="17" spans="1:5" ht="20.100000000000001" customHeight="1">
      <c r="A17" s="3006" t="s">
        <v>37</v>
      </c>
      <c r="B17" s="1444" t="s">
        <v>1792</v>
      </c>
      <c r="C17" s="78">
        <f t="shared" si="0"/>
        <v>0</v>
      </c>
      <c r="D17" s="78">
        <f>'Phụ lục số 2'!AA13</f>
        <v>0</v>
      </c>
      <c r="E17" s="3005">
        <f>'Phụ lục số 2'!AB13</f>
        <v>0</v>
      </c>
    </row>
    <row r="18" spans="1:5" ht="20.100000000000001" customHeight="1">
      <c r="A18" s="3006" t="s">
        <v>1327</v>
      </c>
      <c r="B18" s="78" t="str">
        <f>'Phụ lục 4-HĐND'!B18</f>
        <v>Chi đầu tư phát triển khác (Ủy thác qua NH Chính sách xã hội chi nhánh tỉnh Đồng Tháp)</v>
      </c>
      <c r="C18" s="78">
        <f t="shared" si="0"/>
        <v>60000</v>
      </c>
      <c r="D18" s="78">
        <f>'Phụ lục số 2'!AA14</f>
        <v>60000</v>
      </c>
      <c r="E18" s="3005"/>
    </row>
    <row r="19" spans="1:5" s="2247" customFormat="1" ht="20.100000000000001" customHeight="1">
      <c r="A19" s="2933" t="s">
        <v>20</v>
      </c>
      <c r="B19" s="2256" t="s">
        <v>1414</v>
      </c>
      <c r="C19" s="1445">
        <f t="shared" si="0"/>
        <v>10664978.394711081</v>
      </c>
      <c r="D19" s="1445">
        <f>'Phụ lục số 2'!AA15</f>
        <v>3294440</v>
      </c>
      <c r="E19" s="3004">
        <f>'Phụ lục số 2'!AB15</f>
        <v>7370538.3947110809</v>
      </c>
    </row>
    <row r="20" spans="1:5" s="2248" customFormat="1" ht="20.100000000000001" customHeight="1">
      <c r="A20" s="2930"/>
      <c r="B20" s="1438" t="s">
        <v>299</v>
      </c>
      <c r="C20" s="76"/>
      <c r="D20" s="76"/>
      <c r="E20" s="3007"/>
    </row>
    <row r="21" spans="1:5" s="2249" customFormat="1" ht="20.100000000000001" customHeight="1">
      <c r="A21" s="2931" t="s">
        <v>34</v>
      </c>
      <c r="B21" s="1438" t="s">
        <v>1415</v>
      </c>
      <c r="C21" s="78">
        <f t="shared" ref="C21:C42" si="1">SUM(D21:E21)</f>
        <v>4797945.7831797441</v>
      </c>
      <c r="D21" s="78">
        <f>'Phụ lục số 2'!AA20</f>
        <v>956676</v>
      </c>
      <c r="E21" s="3005">
        <f>'Phụ lục số 2'!AB20</f>
        <v>3841269.7831797441</v>
      </c>
    </row>
    <row r="22" spans="1:5" s="2249" customFormat="1" ht="20.100000000000001" customHeight="1">
      <c r="A22" s="2931" t="s">
        <v>35</v>
      </c>
      <c r="B22" s="1438" t="s">
        <v>1038</v>
      </c>
      <c r="C22" s="78">
        <f t="shared" si="1"/>
        <v>31218</v>
      </c>
      <c r="D22" s="78">
        <f>'Phụ lục số 2'!AA19</f>
        <v>31218</v>
      </c>
      <c r="E22" s="3005">
        <f>'[1]Phụ lục số 2'!O18</f>
        <v>0</v>
      </c>
    </row>
    <row r="23" spans="1:5" s="2249" customFormat="1" ht="20.100000000000001" customHeight="1">
      <c r="A23" s="2931" t="s">
        <v>36</v>
      </c>
      <c r="B23" s="1438" t="s">
        <v>301</v>
      </c>
      <c r="C23" s="78">
        <f>SUM(D23:E23)</f>
        <v>5835814.6115313368</v>
      </c>
      <c r="D23" s="78">
        <f>D19-D21-D22</f>
        <v>2306546</v>
      </c>
      <c r="E23" s="3005">
        <f>E19-E21-E22</f>
        <v>3529268.6115313368</v>
      </c>
    </row>
    <row r="24" spans="1:5" s="2249" customFormat="1" ht="20.100000000000001" hidden="1" customHeight="1">
      <c r="A24" s="3306">
        <v>3</v>
      </c>
      <c r="B24" s="2341" t="s">
        <v>2044</v>
      </c>
      <c r="C24" s="2343">
        <f>SUM(D24:E24)</f>
        <v>151965</v>
      </c>
      <c r="D24" s="2342">
        <f>'Phụ lục số 2'!AA17</f>
        <v>67965</v>
      </c>
      <c r="E24" s="3307">
        <f>'Phụ lục số 2'!AB17</f>
        <v>84000</v>
      </c>
    </row>
    <row r="25" spans="1:5" s="2249" customFormat="1" ht="20.100000000000001" hidden="1" customHeight="1">
      <c r="A25" s="3308">
        <v>4</v>
      </c>
      <c r="B25" s="2342" t="s">
        <v>63</v>
      </c>
      <c r="C25" s="2343">
        <f t="shared" ref="C25:C33" si="2">SUM(D25:E25)</f>
        <v>2068978.6115313373</v>
      </c>
      <c r="D25" s="2342">
        <f>'Phụ lục số 2'!AA16</f>
        <v>545710</v>
      </c>
      <c r="E25" s="3307">
        <f>'Phụ lục số 2'!AB16</f>
        <v>1523268.6115313373</v>
      </c>
    </row>
    <row r="26" spans="1:5" s="2249" customFormat="1" ht="20.100000000000001" hidden="1" customHeight="1">
      <c r="A26" s="3308">
        <v>5</v>
      </c>
      <c r="B26" s="2342" t="s">
        <v>39</v>
      </c>
      <c r="C26" s="2343">
        <f t="shared" si="2"/>
        <v>828538</v>
      </c>
      <c r="D26" s="2342">
        <f>'Phụ lục số 2'!AA21</f>
        <v>828538</v>
      </c>
      <c r="E26" s="3307">
        <f>'Phụ lục số 2'!AB21</f>
        <v>0</v>
      </c>
    </row>
    <row r="27" spans="1:5" s="2249" customFormat="1" ht="20.100000000000001" hidden="1" customHeight="1">
      <c r="A27" s="3308">
        <v>6</v>
      </c>
      <c r="B27" s="2342" t="s">
        <v>41</v>
      </c>
      <c r="C27" s="2343">
        <f t="shared" si="2"/>
        <v>91888</v>
      </c>
      <c r="D27" s="2342">
        <f>'Phụ lục số 2'!AA22</f>
        <v>47888</v>
      </c>
      <c r="E27" s="3307">
        <f>'Phụ lục số 2'!AB22</f>
        <v>44000</v>
      </c>
    </row>
    <row r="28" spans="1:5" s="2249" customFormat="1" ht="20.100000000000001" hidden="1" customHeight="1">
      <c r="A28" s="3308">
        <v>7</v>
      </c>
      <c r="B28" s="2342" t="s">
        <v>43</v>
      </c>
      <c r="C28" s="2343">
        <f t="shared" si="2"/>
        <v>50073</v>
      </c>
      <c r="D28" s="2342">
        <f>'Phụ lục số 2'!AA23</f>
        <v>18073</v>
      </c>
      <c r="E28" s="3307">
        <f>'Phụ lục số 2'!AB23</f>
        <v>32000</v>
      </c>
    </row>
    <row r="29" spans="1:5" s="2249" customFormat="1" ht="20.100000000000001" hidden="1" customHeight="1">
      <c r="A29" s="3308">
        <v>8</v>
      </c>
      <c r="B29" s="2342" t="s">
        <v>45</v>
      </c>
      <c r="C29" s="2343">
        <f t="shared" si="2"/>
        <v>53202</v>
      </c>
      <c r="D29" s="2342">
        <f>'Phụ lục số 2'!AA24</f>
        <v>37202</v>
      </c>
      <c r="E29" s="3307">
        <f>'Phụ lục số 2'!AB24</f>
        <v>16000</v>
      </c>
    </row>
    <row r="30" spans="1:5" s="2249" customFormat="1" ht="20.100000000000001" hidden="1" customHeight="1">
      <c r="A30" s="3308">
        <v>9</v>
      </c>
      <c r="B30" s="2342" t="s">
        <v>46</v>
      </c>
      <c r="C30" s="2343">
        <f t="shared" si="2"/>
        <v>601385</v>
      </c>
      <c r="D30" s="2342">
        <f>'Phụ lục số 2'!AA25</f>
        <v>77385</v>
      </c>
      <c r="E30" s="3307">
        <f>'Phụ lục số 2'!AB25</f>
        <v>524000</v>
      </c>
    </row>
    <row r="31" spans="1:5" s="2249" customFormat="1" ht="20.100000000000001" hidden="1" customHeight="1">
      <c r="A31" s="3308">
        <v>10</v>
      </c>
      <c r="B31" s="2342" t="s">
        <v>47</v>
      </c>
      <c r="C31" s="2343">
        <f t="shared" si="2"/>
        <v>1570458</v>
      </c>
      <c r="D31" s="2342">
        <f>'Phụ lục số 2'!AA26</f>
        <v>515458</v>
      </c>
      <c r="E31" s="3307">
        <f>'Phụ lục số 2'!AB26</f>
        <v>1055000</v>
      </c>
    </row>
    <row r="32" spans="1:5" s="2249" customFormat="1" ht="20.100000000000001" hidden="1" customHeight="1">
      <c r="A32" s="3308">
        <v>11</v>
      </c>
      <c r="B32" s="2342" t="s">
        <v>2045</v>
      </c>
      <c r="C32" s="2343">
        <f t="shared" si="2"/>
        <v>367327</v>
      </c>
      <c r="D32" s="2342">
        <f>'Phụ lục số 2'!AA27</f>
        <v>148327</v>
      </c>
      <c r="E32" s="3307">
        <f>'Phụ lục số 2'!AB27</f>
        <v>219000</v>
      </c>
    </row>
    <row r="33" spans="1:5" s="2249" customFormat="1" ht="20.100000000000001" hidden="1" customHeight="1">
      <c r="A33" s="3308">
        <v>12</v>
      </c>
      <c r="B33" s="2342" t="s">
        <v>90</v>
      </c>
      <c r="C33" s="2343">
        <f t="shared" si="2"/>
        <v>52000</v>
      </c>
      <c r="D33" s="2342">
        <f>'Phụ lục số 2'!AA28</f>
        <v>20000</v>
      </c>
      <c r="E33" s="3307">
        <f>'Phụ lục số 2'!AB28</f>
        <v>32000</v>
      </c>
    </row>
    <row r="34" spans="1:5" s="2247" customFormat="1" ht="20.100000000000001" customHeight="1">
      <c r="A34" s="2933" t="s">
        <v>49</v>
      </c>
      <c r="B34" s="2258" t="s">
        <v>1274</v>
      </c>
      <c r="C34" s="1445">
        <f>SUM(D34:E34)</f>
        <v>2000</v>
      </c>
      <c r="D34" s="1445">
        <f>'Phụ lục số 2'!AA29</f>
        <v>2000</v>
      </c>
      <c r="E34" s="3004">
        <f>'Phụ lục số 2'!AB29</f>
        <v>0</v>
      </c>
    </row>
    <row r="35" spans="1:5" s="2247" customFormat="1" ht="20.100000000000001" customHeight="1">
      <c r="A35" s="2933" t="s">
        <v>50</v>
      </c>
      <c r="B35" s="2256" t="s">
        <v>87</v>
      </c>
      <c r="C35" s="1445">
        <f>SUM(D35:E35)</f>
        <v>327868.91231904214</v>
      </c>
      <c r="D35" s="1445">
        <f>'Phụ lục số 2'!AA30</f>
        <v>152264.36799999999</v>
      </c>
      <c r="E35" s="3004">
        <f>'Phụ lục số 2'!AB30</f>
        <v>175604.54431904212</v>
      </c>
    </row>
    <row r="36" spans="1:5" s="2247" customFormat="1" ht="20.100000000000001" customHeight="1">
      <c r="A36" s="2933" t="s">
        <v>72</v>
      </c>
      <c r="B36" s="1896" t="s">
        <v>228</v>
      </c>
      <c r="C36" s="1445">
        <f>SUM(D36:E36)</f>
        <v>717399.2</v>
      </c>
      <c r="D36" s="1445">
        <f>'Phụ lục số 2'!AA32</f>
        <v>79139.200000000012</v>
      </c>
      <c r="E36" s="3004">
        <f>'Phụ lục số 2'!AB32</f>
        <v>638260</v>
      </c>
    </row>
    <row r="37" spans="1:5" s="2247" customFormat="1" ht="20.100000000000001" customHeight="1">
      <c r="A37" s="2933" t="s">
        <v>100</v>
      </c>
      <c r="B37" s="29" t="s">
        <v>2071</v>
      </c>
      <c r="C37" s="1445">
        <f>SUM(D37:E37)</f>
        <v>3000</v>
      </c>
      <c r="D37" s="1445">
        <f>'Phụ lục 4-HĐND'!D27</f>
        <v>3000</v>
      </c>
      <c r="E37" s="3004">
        <f>'Phụ lục 4-HĐND'!E27</f>
        <v>0</v>
      </c>
    </row>
    <row r="38" spans="1:5" s="2247" customFormat="1" ht="20.100000000000001" customHeight="1">
      <c r="A38" s="3008" t="s">
        <v>151</v>
      </c>
      <c r="B38" s="2260" t="s">
        <v>1416</v>
      </c>
      <c r="C38" s="1445">
        <f>SUM(C39:C41)</f>
        <v>1988976</v>
      </c>
      <c r="D38" s="1445">
        <f>SUM(D39:D41)</f>
        <v>1988976</v>
      </c>
      <c r="E38" s="3004">
        <f>SUM(E39:E41)</f>
        <v>0</v>
      </c>
    </row>
    <row r="39" spans="1:5" ht="20.100000000000001" hidden="1" customHeight="1">
      <c r="A39" s="3009" t="s">
        <v>34</v>
      </c>
      <c r="B39" s="78" t="s">
        <v>91</v>
      </c>
      <c r="C39" s="2262">
        <f>SUM(D39:E39)</f>
        <v>1814491</v>
      </c>
      <c r="D39" s="2262">
        <f>'Phụ lục số 2'!AA36</f>
        <v>1814491</v>
      </c>
      <c r="E39" s="3010"/>
    </row>
    <row r="40" spans="1:5" ht="20.100000000000001" hidden="1" customHeight="1">
      <c r="A40" s="3009" t="s">
        <v>35</v>
      </c>
      <c r="B40" s="78" t="s">
        <v>92</v>
      </c>
      <c r="C40" s="2262">
        <f t="shared" ref="C40:C41" si="3">SUM(D40:E40)</f>
        <v>174485</v>
      </c>
      <c r="D40" s="2262">
        <f>'Phụ lục số 2'!AA37</f>
        <v>174485</v>
      </c>
      <c r="E40" s="3010"/>
    </row>
    <row r="41" spans="1:5" ht="20.100000000000001" hidden="1" customHeight="1">
      <c r="A41" s="3009" t="s">
        <v>36</v>
      </c>
      <c r="B41" s="2263" t="s">
        <v>1534</v>
      </c>
      <c r="C41" s="2262">
        <f t="shared" si="3"/>
        <v>0</v>
      </c>
      <c r="D41" s="2262"/>
      <c r="E41" s="3010"/>
    </row>
    <row r="42" spans="1:5" s="48" customFormat="1" ht="20.100000000000001" customHeight="1" thickBot="1">
      <c r="A42" s="3309" t="s">
        <v>229</v>
      </c>
      <c r="B42" s="3310" t="s">
        <v>133</v>
      </c>
      <c r="C42" s="3065">
        <f t="shared" si="1"/>
        <v>0</v>
      </c>
      <c r="D42" s="3065">
        <f>'Phụ lục số 2'!AA39</f>
        <v>0</v>
      </c>
      <c r="E42" s="3311">
        <f>'Phụ lục số 2'!AB39</f>
        <v>0</v>
      </c>
    </row>
    <row r="43" spans="1:5" s="48" customFormat="1" ht="20.100000000000001" customHeight="1" thickTop="1">
      <c r="A43" s="2251"/>
      <c r="B43" s="2221"/>
      <c r="C43" s="2252"/>
      <c r="D43" s="2252"/>
      <c r="E43" s="2252"/>
    </row>
    <row r="44" spans="1:5">
      <c r="B44" s="48" t="s">
        <v>1050</v>
      </c>
    </row>
    <row r="45" spans="1:5" s="154" customFormat="1" ht="36">
      <c r="B45" s="3014" t="str">
        <f>'Phụ lục 4-HĐND'!B35</f>
        <v xml:space="preserve">(1)- Dự toán chi ngân sách cấp Tỉnh chưa kể chi bổ sung cho ngân sách huyện, thành phố: </v>
      </c>
      <c r="D45" s="191">
        <f>'Phụ lục số 5'!E36</f>
        <v>5083323.3480000002</v>
      </c>
      <c r="E45" s="1319" t="s">
        <v>1417</v>
      </c>
    </row>
    <row r="46" spans="1:5" s="154" customFormat="1">
      <c r="B46" s="3014" t="str">
        <f>'Phụ lục 4-HĐND'!B36</f>
        <v>Bao gồm:</v>
      </c>
      <c r="D46" s="191"/>
      <c r="E46" s="1319"/>
    </row>
    <row r="47" spans="1:5" s="2351" customFormat="1">
      <c r="B47" s="3015" t="str">
        <f>'Phụ lục 4-HĐND'!B37</f>
        <v>- Thu bổ sung cân đối ngân sách:</v>
      </c>
      <c r="D47" s="2671">
        <f>'Phụ lục số 5'!E37</f>
        <v>4430923</v>
      </c>
      <c r="E47" s="2351" t="s">
        <v>1417</v>
      </c>
    </row>
    <row r="48" spans="1:5" s="2351" customFormat="1" ht="54">
      <c r="B48" s="3015" t="str">
        <f>'Phụ lục 4-HĐND'!B38</f>
        <v>- Thu bổ sung kinh phí bù miễn thu thuỷ lợi phí, hỗ trợ địa phương sản xuất lúa; chế độ chính sách an sinh xã hội; đảm bảo tiền lương cơ sở đến 1,8 triệu đồng/tháng</v>
      </c>
      <c r="D48" s="2671">
        <f>'Phụ lục số 5'!E38</f>
        <v>652400.348</v>
      </c>
      <c r="E48" s="2351" t="s">
        <v>1417</v>
      </c>
    </row>
    <row r="49" spans="2:5" s="154" customFormat="1" ht="36">
      <c r="B49" s="3014" t="str">
        <f>'Phụ lục 4-HĐND'!B39</f>
        <v>(2)- Đã bao gồm chi trả nợ gốc các khoản vay của ngân sách địa phương từ nguồn bội thu</v>
      </c>
      <c r="D49" s="166">
        <f>'Phụ lục 4-HĐND'!D39</f>
        <v>13000</v>
      </c>
      <c r="E49" s="154" t="s">
        <v>1417</v>
      </c>
    </row>
    <row r="54" spans="2:5">
      <c r="D54" s="37">
        <f>'Phụ lục số 2'!X7</f>
        <v>18627408.915999997</v>
      </c>
    </row>
    <row r="55" spans="2:5">
      <c r="D55" s="2250">
        <f>D54-C11</f>
        <v>0</v>
      </c>
    </row>
  </sheetData>
  <mergeCells count="11">
    <mergeCell ref="A8:A10"/>
    <mergeCell ref="B8:B10"/>
    <mergeCell ref="C8:E8"/>
    <mergeCell ref="C9:C10"/>
    <mergeCell ref="D9:E9"/>
    <mergeCell ref="B7:E7"/>
    <mergeCell ref="B1:D1"/>
    <mergeCell ref="B2:D2"/>
    <mergeCell ref="C3:E3"/>
    <mergeCell ref="A4:E4"/>
    <mergeCell ref="A5:E5"/>
  </mergeCells>
  <hyperlinks>
    <hyperlink ref="A8:A10" location="'List danh mục'!A1" display="'List danh mục'!A1"/>
  </hyperlinks>
  <printOptions horizontalCentered="1"/>
  <pageMargins left="0" right="0" top="0.39370078740157483" bottom="0" header="0.19685039370078741" footer="0.19685039370078741"/>
  <pageSetup paperSize="9" scale="90" orientation="portrait" verticalDpi="0" r:id="rId1"/>
  <headerFooter>
    <oddHeader>&amp;R&amp;A</oddHeader>
    <oddFooter>&amp;C&amp;P/&amp;N</oddFooter>
  </headerFooter>
  <legacy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E119"/>
  <sheetViews>
    <sheetView topLeftCell="A102" zoomScale="50" zoomScaleNormal="50" workbookViewId="0">
      <selection activeCell="AA6" sqref="AA6:AA8"/>
    </sheetView>
  </sheetViews>
  <sheetFormatPr defaultColWidth="8.69921875" defaultRowHeight="18"/>
  <cols>
    <col min="1" max="1" width="7.19921875" style="20" customWidth="1"/>
    <col min="2" max="2" width="43.19921875" style="37" customWidth="1"/>
    <col min="3" max="3" width="13.8984375" style="37" bestFit="1" customWidth="1"/>
    <col min="4" max="9" width="12.69921875" style="37" hidden="1" customWidth="1"/>
    <col min="10" max="22" width="12.69921875" style="37" customWidth="1"/>
    <col min="23" max="27" width="12.69921875" style="37" hidden="1" customWidth="1"/>
    <col min="28" max="30" width="12.69921875" style="37" customWidth="1"/>
    <col min="31" max="31" width="12.69921875" style="37" hidden="1" customWidth="1"/>
    <col min="32" max="16384" width="8.69921875" style="37"/>
  </cols>
  <sheetData>
    <row r="1" spans="1:31">
      <c r="A1" s="4299" t="s">
        <v>2389</v>
      </c>
      <c r="B1" s="4299"/>
      <c r="C1" s="4299"/>
      <c r="D1" s="4299"/>
      <c r="E1" s="4299"/>
      <c r="F1" s="4299"/>
      <c r="G1" s="4299"/>
      <c r="H1" s="4299"/>
      <c r="I1" s="4299"/>
      <c r="J1" s="4299"/>
      <c r="K1" s="4299"/>
      <c r="L1" s="4299"/>
      <c r="M1" s="4299"/>
      <c r="N1" s="4299"/>
      <c r="O1" s="4299"/>
      <c r="P1" s="4299"/>
      <c r="Q1" s="4299"/>
      <c r="R1" s="4299"/>
      <c r="S1" s="4299"/>
      <c r="T1" s="4299"/>
      <c r="U1" s="4299"/>
      <c r="V1" s="4299"/>
      <c r="W1" s="4299"/>
      <c r="X1" s="4299"/>
      <c r="Y1" s="4299"/>
      <c r="Z1" s="4299"/>
      <c r="AA1" s="4299"/>
      <c r="AB1" s="4299"/>
      <c r="AC1" s="4299"/>
      <c r="AD1" s="4299"/>
      <c r="AE1" s="4299"/>
    </row>
    <row r="2" spans="1:31">
      <c r="A2" s="4540" t="str">
        <f>'Phụ lục 4-CKNS'!A5:E5</f>
        <v>(Kèm theo Quyết định số       /QĐ-UBND-HC ngày     /12/2023 của Ủy ban nhân dân tỉnh Đồng Tháp)</v>
      </c>
      <c r="B2" s="4540"/>
      <c r="C2" s="4540"/>
      <c r="D2" s="4540"/>
      <c r="E2" s="4540"/>
      <c r="F2" s="4540"/>
      <c r="G2" s="4540"/>
      <c r="H2" s="4540"/>
      <c r="I2" s="4540"/>
      <c r="J2" s="4540"/>
      <c r="K2" s="4540"/>
      <c r="L2" s="4540"/>
      <c r="M2" s="4540"/>
      <c r="N2" s="4540"/>
      <c r="O2" s="4540"/>
      <c r="P2" s="4540"/>
      <c r="Q2" s="4540"/>
      <c r="R2" s="4540"/>
      <c r="S2" s="4540"/>
      <c r="T2" s="4540"/>
      <c r="U2" s="4540"/>
      <c r="V2" s="4540"/>
      <c r="W2" s="4540"/>
      <c r="X2" s="4540"/>
      <c r="Y2" s="4540"/>
      <c r="Z2" s="4540"/>
      <c r="AA2" s="4540"/>
      <c r="AB2" s="4540"/>
      <c r="AC2" s="4540"/>
      <c r="AD2" s="4540"/>
      <c r="AE2" s="4540"/>
    </row>
    <row r="3" spans="1:31">
      <c r="A3" s="2907"/>
      <c r="B3" s="20"/>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row>
    <row r="4" spans="1:31" ht="18.600000000000001" thickBot="1">
      <c r="J4" s="1"/>
      <c r="AB4" s="4541" t="s">
        <v>64</v>
      </c>
      <c r="AC4" s="4541"/>
      <c r="AD4" s="4541"/>
      <c r="AE4" s="4541"/>
    </row>
    <row r="5" spans="1:31" s="2" customFormat="1" thickTop="1">
      <c r="A5" s="4542" t="s">
        <v>288</v>
      </c>
      <c r="B5" s="4545" t="s">
        <v>1346</v>
      </c>
      <c r="C5" s="4547" t="s">
        <v>176</v>
      </c>
      <c r="D5" s="4548"/>
      <c r="E5" s="4548"/>
      <c r="F5" s="4548"/>
      <c r="G5" s="4548"/>
      <c r="H5" s="4548"/>
      <c r="I5" s="4548"/>
      <c r="J5" s="4548"/>
      <c r="K5" s="4548"/>
      <c r="L5" s="4548"/>
      <c r="M5" s="4548"/>
      <c r="N5" s="4548"/>
      <c r="O5" s="4548"/>
      <c r="P5" s="4548"/>
      <c r="Q5" s="4548"/>
      <c r="R5" s="4548"/>
      <c r="S5" s="4548"/>
      <c r="T5" s="4548"/>
      <c r="U5" s="4548"/>
      <c r="V5" s="4548"/>
      <c r="W5" s="4548"/>
      <c r="X5" s="4548"/>
      <c r="Y5" s="4548"/>
      <c r="Z5" s="4548"/>
      <c r="AA5" s="4548"/>
      <c r="AB5" s="4548"/>
      <c r="AC5" s="4548"/>
      <c r="AD5" s="4549"/>
      <c r="AE5" s="4550" t="s">
        <v>1512</v>
      </c>
    </row>
    <row r="6" spans="1:31" s="2" customFormat="1" ht="17.399999999999999" customHeight="1">
      <c r="A6" s="4543"/>
      <c r="B6" s="4546"/>
      <c r="C6" s="4360" t="s">
        <v>1421</v>
      </c>
      <c r="D6" s="4424" t="s">
        <v>1511</v>
      </c>
      <c r="E6" s="4425"/>
      <c r="F6" s="4425"/>
      <c r="G6" s="4425"/>
      <c r="H6" s="4425"/>
      <c r="I6" s="4426"/>
      <c r="J6" s="4466" t="s">
        <v>1430</v>
      </c>
      <c r="K6" s="4467"/>
      <c r="L6" s="4467"/>
      <c r="M6" s="4467"/>
      <c r="N6" s="4467"/>
      <c r="O6" s="4467"/>
      <c r="P6" s="4467"/>
      <c r="Q6" s="4467"/>
      <c r="R6" s="4467"/>
      <c r="S6" s="4467"/>
      <c r="T6" s="4467"/>
      <c r="U6" s="4467"/>
      <c r="V6" s="4468"/>
      <c r="W6" s="4360" t="s">
        <v>60</v>
      </c>
      <c r="X6" s="4360" t="s">
        <v>1513</v>
      </c>
      <c r="Y6" s="129"/>
      <c r="Z6" s="4360" t="s">
        <v>2612</v>
      </c>
      <c r="AA6" s="4360" t="str">
        <f>'Phụ lục số 4'!AA6:AA8</f>
        <v>Chi trả lãi vay</v>
      </c>
      <c r="AB6" s="4360" t="s">
        <v>1427</v>
      </c>
      <c r="AC6" s="4553" t="s">
        <v>309</v>
      </c>
      <c r="AD6" s="4554"/>
      <c r="AE6" s="4551"/>
    </row>
    <row r="7" spans="1:31" s="2" customFormat="1" ht="15.6" customHeight="1">
      <c r="A7" s="4543"/>
      <c r="B7" s="4546"/>
      <c r="C7" s="4546"/>
      <c r="D7" s="4360" t="s">
        <v>1507</v>
      </c>
      <c r="E7" s="4556" t="s">
        <v>309</v>
      </c>
      <c r="F7" s="4557"/>
      <c r="G7" s="4557"/>
      <c r="H7" s="4557"/>
      <c r="I7" s="4558"/>
      <c r="J7" s="4360" t="s">
        <v>1422</v>
      </c>
      <c r="K7" s="4466" t="s">
        <v>309</v>
      </c>
      <c r="L7" s="4467"/>
      <c r="M7" s="4467"/>
      <c r="N7" s="4467"/>
      <c r="O7" s="4467"/>
      <c r="P7" s="4467"/>
      <c r="Q7" s="4467"/>
      <c r="R7" s="4467"/>
      <c r="S7" s="4467"/>
      <c r="T7" s="4467"/>
      <c r="U7" s="4467"/>
      <c r="V7" s="4468"/>
      <c r="W7" s="4546"/>
      <c r="X7" s="4546"/>
      <c r="Y7" s="129"/>
      <c r="Z7" s="4546"/>
      <c r="AA7" s="4546"/>
      <c r="AB7" s="4546"/>
      <c r="AC7" s="4521"/>
      <c r="AD7" s="4555"/>
      <c r="AE7" s="4551"/>
    </row>
    <row r="8" spans="1:31" s="70" customFormat="1" ht="97.2" customHeight="1">
      <c r="A8" s="4544"/>
      <c r="B8" s="4361"/>
      <c r="C8" s="4361"/>
      <c r="D8" s="4361"/>
      <c r="E8" s="7" t="s">
        <v>1508</v>
      </c>
      <c r="F8" s="7" t="s">
        <v>1509</v>
      </c>
      <c r="G8" s="7" t="s">
        <v>1378</v>
      </c>
      <c r="H8" s="7" t="s">
        <v>1510</v>
      </c>
      <c r="I8" s="3140" t="str">
        <f>'Phụ lục số 4'!I8</f>
        <v>Chi đầu tư phát triển khác (Ủy thác qua NH Chính sách xã hội chi nhánh tỉnh Đồng Tháp)</v>
      </c>
      <c r="J8" s="4361"/>
      <c r="K8" s="6" t="str">
        <f>'Phụ lục số 4'!K8</f>
        <v>Chi các hoạt động kinh tế</v>
      </c>
      <c r="L8" s="6" t="str">
        <f>'Phụ lục số 4'!L8</f>
        <v>Sự nghiệp môi trường</v>
      </c>
      <c r="M8" s="6" t="str">
        <f>'Phụ lục số 4'!M8</f>
        <v>Sự nghiệp khoa học và công nghệ</v>
      </c>
      <c r="N8" s="6" t="str">
        <f>'Phụ lục số 4'!N8</f>
        <v>Sự nghiệp giáo dục và đào tạo</v>
      </c>
      <c r="O8" s="6" t="str">
        <f>'Phụ lục số 4'!O8</f>
        <v>Sự nghiệp y tế</v>
      </c>
      <c r="P8" s="6" t="str">
        <f>'Phụ lục số 4'!P8</f>
        <v>Sự nghiệp văn hóa thông tin</v>
      </c>
      <c r="Q8" s="6" t="str">
        <f>'Phụ lục số 4'!Q8</f>
        <v>Sự nghiệp phát thanh truyền hình</v>
      </c>
      <c r="R8" s="6" t="str">
        <f>'Phụ lục số 4'!R8</f>
        <v>Sự ngiệp thể dục thể thao</v>
      </c>
      <c r="S8" s="6" t="str">
        <f>'Phụ lục số 4'!S8</f>
        <v>Sự nghiệp đảm bảo xã hội</v>
      </c>
      <c r="T8" s="6" t="str">
        <f>'Phụ lục số 4'!T8</f>
        <v>Quản lý hành chính (QLNN, Đảng….)</v>
      </c>
      <c r="U8" s="6" t="str">
        <f>'Phụ lục số 4'!U8</f>
        <v>An ninh - quốc phòng</v>
      </c>
      <c r="V8" s="6" t="str">
        <f>'Phụ lục số 4'!V8</f>
        <v>Khác</v>
      </c>
      <c r="W8" s="4361"/>
      <c r="X8" s="4361"/>
      <c r="Y8" s="7"/>
      <c r="Z8" s="4361"/>
      <c r="AA8" s="4361"/>
      <c r="AB8" s="4361"/>
      <c r="AC8" s="7" t="s">
        <v>1428</v>
      </c>
      <c r="AD8" s="3001" t="s">
        <v>1429</v>
      </c>
      <c r="AE8" s="4552"/>
    </row>
    <row r="9" spans="1:31">
      <c r="A9" s="3568"/>
      <c r="B9" s="3584" t="s">
        <v>247</v>
      </c>
      <c r="C9" s="3569">
        <f t="shared" ref="C9:AE9" si="0">C10+C107+C108+C111+C112+C113+C114+C116+C117+C118+C110+C109+C115</f>
        <v>13802328.916000001</v>
      </c>
      <c r="D9" s="3569">
        <f t="shared" si="0"/>
        <v>3199186</v>
      </c>
      <c r="E9" s="3569">
        <f t="shared" si="0"/>
        <v>562186</v>
      </c>
      <c r="F9" s="3569">
        <f t="shared" si="0"/>
        <v>627000</v>
      </c>
      <c r="G9" s="3569">
        <f t="shared" si="0"/>
        <v>1950000</v>
      </c>
      <c r="H9" s="3569">
        <f t="shared" si="0"/>
        <v>0</v>
      </c>
      <c r="I9" s="3569">
        <f t="shared" si="0"/>
        <v>60000</v>
      </c>
      <c r="J9" s="3569">
        <f t="shared" si="0"/>
        <v>3294440</v>
      </c>
      <c r="K9" s="3569">
        <f t="shared" si="0"/>
        <v>545710</v>
      </c>
      <c r="L9" s="3569">
        <f t="shared" si="0"/>
        <v>67965</v>
      </c>
      <c r="M9" s="3569">
        <f t="shared" si="0"/>
        <v>31218</v>
      </c>
      <c r="N9" s="3569">
        <f t="shared" si="0"/>
        <v>956676</v>
      </c>
      <c r="O9" s="3569">
        <f t="shared" si="0"/>
        <v>828538</v>
      </c>
      <c r="P9" s="3569">
        <f t="shared" si="0"/>
        <v>47888</v>
      </c>
      <c r="Q9" s="3569">
        <f t="shared" si="0"/>
        <v>18073</v>
      </c>
      <c r="R9" s="3569">
        <f t="shared" si="0"/>
        <v>37202</v>
      </c>
      <c r="S9" s="3569">
        <f t="shared" si="0"/>
        <v>77385</v>
      </c>
      <c r="T9" s="3569">
        <f t="shared" si="0"/>
        <v>515458</v>
      </c>
      <c r="U9" s="3569">
        <f t="shared" si="0"/>
        <v>148327</v>
      </c>
      <c r="V9" s="3569">
        <f t="shared" si="0"/>
        <v>20000</v>
      </c>
      <c r="W9" s="3569">
        <f t="shared" si="0"/>
        <v>2000</v>
      </c>
      <c r="X9" s="3569">
        <f t="shared" si="0"/>
        <v>152264.36799999999</v>
      </c>
      <c r="Y9" s="3569">
        <f t="shared" si="0"/>
        <v>0</v>
      </c>
      <c r="Z9" s="3569">
        <f t="shared" si="0"/>
        <v>79139.200000000012</v>
      </c>
      <c r="AA9" s="3569">
        <f t="shared" si="0"/>
        <v>3000</v>
      </c>
      <c r="AB9" s="3569">
        <f t="shared" si="0"/>
        <v>1988976</v>
      </c>
      <c r="AC9" s="3569">
        <f t="shared" si="0"/>
        <v>1814491</v>
      </c>
      <c r="AD9" s="3570">
        <f t="shared" si="0"/>
        <v>174485</v>
      </c>
      <c r="AE9" s="3571">
        <f t="shared" si="0"/>
        <v>5083323.3480000002</v>
      </c>
    </row>
    <row r="10" spans="1:31" s="210" customFormat="1" ht="17.399999999999999">
      <c r="A10" s="3572" t="s">
        <v>7</v>
      </c>
      <c r="B10" s="3573" t="str">
        <f>'Phụ lục số 4'!B10</f>
        <v>CÁC CƠ QUAN, ĐƠN VỊ</v>
      </c>
      <c r="C10" s="3574">
        <f>D10+J10+W10+X10+AB10</f>
        <v>3468925</v>
      </c>
      <c r="D10" s="3574">
        <f>D11+D41+D56+D60+D75</f>
        <v>0</v>
      </c>
      <c r="E10" s="3574">
        <f>E11+E41+E56+E60+E75</f>
        <v>0</v>
      </c>
      <c r="F10" s="3574">
        <f t="shared" ref="F10:H10" si="1">F11+F41+F56+F60+F75</f>
        <v>0</v>
      </c>
      <c r="G10" s="3574">
        <f t="shared" si="1"/>
        <v>0</v>
      </c>
      <c r="H10" s="3574">
        <f t="shared" si="1"/>
        <v>0</v>
      </c>
      <c r="I10" s="3574"/>
      <c r="J10" s="3574">
        <f>J11+J41+J56+J60+J75</f>
        <v>3294440</v>
      </c>
      <c r="K10" s="3574">
        <f>K11+K41+K56+K60+K75</f>
        <v>545710</v>
      </c>
      <c r="L10" s="3574">
        <f t="shared" ref="L10:AE10" si="2">L11+L41+L56+L60+L75</f>
        <v>67965</v>
      </c>
      <c r="M10" s="3574">
        <f t="shared" si="2"/>
        <v>31218</v>
      </c>
      <c r="N10" s="3574">
        <f t="shared" si="2"/>
        <v>956676</v>
      </c>
      <c r="O10" s="3574">
        <f t="shared" si="2"/>
        <v>828538</v>
      </c>
      <c r="P10" s="3574">
        <f t="shared" si="2"/>
        <v>47888</v>
      </c>
      <c r="Q10" s="3574">
        <f t="shared" si="2"/>
        <v>18073</v>
      </c>
      <c r="R10" s="3574">
        <f t="shared" si="2"/>
        <v>37202</v>
      </c>
      <c r="S10" s="3574">
        <f t="shared" si="2"/>
        <v>77385</v>
      </c>
      <c r="T10" s="3574">
        <f t="shared" si="2"/>
        <v>515458</v>
      </c>
      <c r="U10" s="3574">
        <f t="shared" si="2"/>
        <v>148327</v>
      </c>
      <c r="V10" s="3574">
        <f t="shared" si="2"/>
        <v>20000</v>
      </c>
      <c r="W10" s="3574">
        <f t="shared" si="2"/>
        <v>0</v>
      </c>
      <c r="X10" s="3574">
        <f t="shared" si="2"/>
        <v>0</v>
      </c>
      <c r="Y10" s="3574">
        <f t="shared" si="2"/>
        <v>0</v>
      </c>
      <c r="Z10" s="3574">
        <f t="shared" si="2"/>
        <v>0</v>
      </c>
      <c r="AA10" s="3574">
        <f t="shared" si="2"/>
        <v>0</v>
      </c>
      <c r="AB10" s="3574">
        <f t="shared" si="2"/>
        <v>174485</v>
      </c>
      <c r="AC10" s="3574">
        <f t="shared" si="2"/>
        <v>0</v>
      </c>
      <c r="AD10" s="3575">
        <f t="shared" si="2"/>
        <v>174485</v>
      </c>
      <c r="AE10" s="3576">
        <f t="shared" si="2"/>
        <v>0</v>
      </c>
    </row>
    <row r="11" spans="1:31" s="210" customFormat="1" ht="17.399999999999999">
      <c r="A11" s="2940" t="s">
        <v>9</v>
      </c>
      <c r="B11" s="3562" t="str">
        <f>'Phụ lục số 4'!B11</f>
        <v>SỞ, BAN, NGÀNH CẤP TỈNH</v>
      </c>
      <c r="C11" s="3577">
        <f>D11+J11+W11+X11+AB11</f>
        <v>2543394.0490000001</v>
      </c>
      <c r="D11" s="3577">
        <f t="shared" ref="D11:H11" si="3">SUM(D12:D40)</f>
        <v>0</v>
      </c>
      <c r="E11" s="3577">
        <f t="shared" si="3"/>
        <v>0</v>
      </c>
      <c r="F11" s="3577">
        <f t="shared" si="3"/>
        <v>0</v>
      </c>
      <c r="G11" s="3577">
        <f t="shared" si="3"/>
        <v>0</v>
      </c>
      <c r="H11" s="3577">
        <f t="shared" si="3"/>
        <v>0</v>
      </c>
      <c r="I11" s="3577"/>
      <c r="J11" s="3577">
        <f>SUM(J12:J40)</f>
        <v>2380535.0490000001</v>
      </c>
      <c r="K11" s="3577">
        <f>SUM(K12:K40)</f>
        <v>339900</v>
      </c>
      <c r="L11" s="3577">
        <f t="shared" ref="L11:AE11" si="4">SUM(L12:L40)</f>
        <v>66273</v>
      </c>
      <c r="M11" s="3577">
        <f t="shared" si="4"/>
        <v>28166</v>
      </c>
      <c r="N11" s="3577">
        <f t="shared" si="4"/>
        <v>872742</v>
      </c>
      <c r="O11" s="3577">
        <f t="shared" si="4"/>
        <v>460553</v>
      </c>
      <c r="P11" s="3577">
        <f t="shared" si="4"/>
        <v>45194</v>
      </c>
      <c r="Q11" s="3577">
        <f t="shared" si="4"/>
        <v>17596</v>
      </c>
      <c r="R11" s="3577">
        <f t="shared" si="4"/>
        <v>37202</v>
      </c>
      <c r="S11" s="3577">
        <f t="shared" si="4"/>
        <v>54000</v>
      </c>
      <c r="T11" s="3577">
        <f t="shared" si="4"/>
        <v>458909.049</v>
      </c>
      <c r="U11" s="3577">
        <f t="shared" si="4"/>
        <v>0</v>
      </c>
      <c r="V11" s="3577">
        <f t="shared" si="4"/>
        <v>0</v>
      </c>
      <c r="W11" s="3577">
        <f t="shared" si="4"/>
        <v>0</v>
      </c>
      <c r="X11" s="3577">
        <f t="shared" si="4"/>
        <v>0</v>
      </c>
      <c r="Y11" s="3577">
        <f t="shared" si="4"/>
        <v>0</v>
      </c>
      <c r="Z11" s="3577">
        <f t="shared" si="4"/>
        <v>0</v>
      </c>
      <c r="AA11" s="3577">
        <f t="shared" si="4"/>
        <v>0</v>
      </c>
      <c r="AB11" s="3577">
        <f t="shared" si="4"/>
        <v>162859</v>
      </c>
      <c r="AC11" s="3577">
        <f t="shared" si="4"/>
        <v>0</v>
      </c>
      <c r="AD11" s="3578">
        <f t="shared" si="4"/>
        <v>162859</v>
      </c>
      <c r="AE11" s="3579">
        <f t="shared" si="4"/>
        <v>0</v>
      </c>
    </row>
    <row r="12" spans="1:31" s="154" customFormat="1">
      <c r="A12" s="2110">
        <v>1</v>
      </c>
      <c r="B12" s="2787" t="str">
        <f>'Phụ lục số 4'!B12</f>
        <v>Văn phòng Tỉnh ủy</v>
      </c>
      <c r="C12" s="2954">
        <f t="shared" ref="C12:C40" si="5">D12+J12+AB12+W12+X12+AA12</f>
        <v>229920.049</v>
      </c>
      <c r="D12" s="2954">
        <f t="shared" ref="D12:D40" si="6">SUM(E12:H12)</f>
        <v>0</v>
      </c>
      <c r="E12" s="2954">
        <f>'Phụ lục số 4'!E12</f>
        <v>0</v>
      </c>
      <c r="F12" s="2954">
        <f>'Phụ lục số 4'!F12</f>
        <v>0</v>
      </c>
      <c r="G12" s="2954">
        <f>'Phụ lục số 4'!G12</f>
        <v>0</v>
      </c>
      <c r="H12" s="2954">
        <f>'Phụ lục số 4'!H12</f>
        <v>0</v>
      </c>
      <c r="I12" s="2954"/>
      <c r="J12" s="2955">
        <f>SUM(K12:V12)</f>
        <v>229920.049</v>
      </c>
      <c r="K12" s="2955">
        <f>'Phụ lục số 4'!K12</f>
        <v>0</v>
      </c>
      <c r="L12" s="2955">
        <f>'Phụ lục số 4'!L12</f>
        <v>0</v>
      </c>
      <c r="M12" s="2955">
        <f>'Phụ lục số 4'!M12</f>
        <v>0</v>
      </c>
      <c r="N12" s="2955">
        <f>'Phụ lục số 4'!N12</f>
        <v>3103</v>
      </c>
      <c r="O12" s="2955">
        <f>'Phụ lục số 4'!O12</f>
        <v>14081</v>
      </c>
      <c r="P12" s="2955">
        <f>'Phụ lục số 4'!P12</f>
        <v>0</v>
      </c>
      <c r="Q12" s="2955">
        <f>'Phụ lục số 4'!Q12</f>
        <v>0</v>
      </c>
      <c r="R12" s="2955">
        <f>'Phụ lục số 4'!R12</f>
        <v>0</v>
      </c>
      <c r="S12" s="2955">
        <f>'Phụ lục số 4'!S12</f>
        <v>0</v>
      </c>
      <c r="T12" s="2955">
        <f>'Phụ lục số 4'!T12</f>
        <v>212736.049</v>
      </c>
      <c r="U12" s="2955">
        <f>'Phụ lục số 4'!U12</f>
        <v>0</v>
      </c>
      <c r="V12" s="2955">
        <f>'Phụ lục số 4'!V12</f>
        <v>0</v>
      </c>
      <c r="W12" s="2955">
        <f>'Phụ lục số 4'!W12</f>
        <v>0</v>
      </c>
      <c r="X12" s="2955">
        <f>'Phụ lục số 4'!X12</f>
        <v>0</v>
      </c>
      <c r="Y12" s="2955">
        <f>'Phụ lục số 4'!Y12</f>
        <v>0</v>
      </c>
      <c r="Z12" s="2955">
        <f>'Phụ lục số 4'!Z12</f>
        <v>0</v>
      </c>
      <c r="AA12" s="2955">
        <f>'Phụ lục số 4'!AA12</f>
        <v>0</v>
      </c>
      <c r="AB12" s="2955">
        <f>SUM(AC12:AD12)</f>
        <v>0</v>
      </c>
      <c r="AC12" s="2955">
        <f>'Phụ lục số 4'!AC12</f>
        <v>0</v>
      </c>
      <c r="AD12" s="3141">
        <f>'Phụ lục số 4'!AD12</f>
        <v>0</v>
      </c>
      <c r="AE12" s="3152">
        <f>'Phụ lục số 4'!AE12</f>
        <v>0</v>
      </c>
    </row>
    <row r="13" spans="1:31" s="154" customFormat="1">
      <c r="A13" s="2110">
        <v>2</v>
      </c>
      <c r="B13" s="2787" t="str">
        <f>'Phụ lục số 4'!B13</f>
        <v>Văn phòng Hội đồng nhân dân Tỉnh</v>
      </c>
      <c r="C13" s="2954">
        <f t="shared" si="5"/>
        <v>13947</v>
      </c>
      <c r="D13" s="2954">
        <f t="shared" si="6"/>
        <v>0</v>
      </c>
      <c r="E13" s="2954">
        <f>'Phụ lục số 4'!E13</f>
        <v>0</v>
      </c>
      <c r="F13" s="2954">
        <f>'Phụ lục số 4'!F13</f>
        <v>0</v>
      </c>
      <c r="G13" s="2954">
        <f>'Phụ lục số 4'!G13</f>
        <v>0</v>
      </c>
      <c r="H13" s="2954">
        <f>'Phụ lục số 4'!H13</f>
        <v>0</v>
      </c>
      <c r="I13" s="2954"/>
      <c r="J13" s="2954">
        <f t="shared" ref="J13:J39" si="7">SUM(K13:V13)</f>
        <v>13947</v>
      </c>
      <c r="K13" s="2954">
        <f>'Phụ lục số 4'!K13</f>
        <v>0</v>
      </c>
      <c r="L13" s="2954">
        <f>'Phụ lục số 4'!L13</f>
        <v>0</v>
      </c>
      <c r="M13" s="2954">
        <f>'Phụ lục số 4'!M13</f>
        <v>0</v>
      </c>
      <c r="N13" s="2954">
        <f>'Phụ lục số 4'!N13</f>
        <v>622</v>
      </c>
      <c r="O13" s="2954">
        <f>'Phụ lục số 4'!O13</f>
        <v>0</v>
      </c>
      <c r="P13" s="2954">
        <f>'Phụ lục số 4'!P13</f>
        <v>0</v>
      </c>
      <c r="Q13" s="2954">
        <f>'Phụ lục số 4'!Q13</f>
        <v>220</v>
      </c>
      <c r="R13" s="2954">
        <f>'Phụ lục số 4'!R13</f>
        <v>0</v>
      </c>
      <c r="S13" s="2954">
        <f>'Phụ lục số 4'!S13</f>
        <v>0</v>
      </c>
      <c r="T13" s="2954">
        <f>'Phụ lục số 4'!T13</f>
        <v>13105</v>
      </c>
      <c r="U13" s="2954">
        <f>'Phụ lục số 4'!U13</f>
        <v>0</v>
      </c>
      <c r="V13" s="2954">
        <f>'Phụ lục số 4'!V13</f>
        <v>0</v>
      </c>
      <c r="W13" s="2954">
        <f>'Phụ lục số 4'!W13</f>
        <v>0</v>
      </c>
      <c r="X13" s="2954">
        <f>'Phụ lục số 4'!X13</f>
        <v>0</v>
      </c>
      <c r="Y13" s="2954">
        <f>'Phụ lục số 4'!Y13</f>
        <v>0</v>
      </c>
      <c r="Z13" s="2954">
        <f>'Phụ lục số 4'!Z13</f>
        <v>0</v>
      </c>
      <c r="AA13" s="2954">
        <f>'Phụ lục số 4'!AA13</f>
        <v>0</v>
      </c>
      <c r="AB13" s="2954">
        <f t="shared" ref="AB13:AB39" si="8">SUM(AC13:AD13)</f>
        <v>0</v>
      </c>
      <c r="AC13" s="2954">
        <f>'Phụ lục số 4'!AC13</f>
        <v>0</v>
      </c>
      <c r="AD13" s="3142">
        <f>'Phụ lục số 4'!AD13</f>
        <v>0</v>
      </c>
      <c r="AE13" s="3153">
        <f>'Phụ lục số 4'!AE13</f>
        <v>0</v>
      </c>
    </row>
    <row r="14" spans="1:31" s="154" customFormat="1">
      <c r="A14" s="2110">
        <v>3</v>
      </c>
      <c r="B14" s="2787" t="str">
        <f>'Phụ lục số 4'!B14</f>
        <v>Văn phòng Ủy ban nhân dân Tỉnh</v>
      </c>
      <c r="C14" s="2954">
        <f t="shared" si="5"/>
        <v>27695</v>
      </c>
      <c r="D14" s="2954">
        <f t="shared" si="6"/>
        <v>0</v>
      </c>
      <c r="E14" s="2954">
        <f>'Phụ lục số 4'!E14</f>
        <v>0</v>
      </c>
      <c r="F14" s="2954">
        <f>'Phụ lục số 4'!F14</f>
        <v>0</v>
      </c>
      <c r="G14" s="2954">
        <f>'Phụ lục số 4'!G14</f>
        <v>0</v>
      </c>
      <c r="H14" s="2954">
        <f>'Phụ lục số 4'!H14</f>
        <v>0</v>
      </c>
      <c r="I14" s="2954"/>
      <c r="J14" s="2954">
        <f t="shared" si="7"/>
        <v>27695</v>
      </c>
      <c r="K14" s="2954">
        <f>'Phụ lục số 4'!K14</f>
        <v>2108</v>
      </c>
      <c r="L14" s="2954">
        <f>'Phụ lục số 4'!L14</f>
        <v>0</v>
      </c>
      <c r="M14" s="2954">
        <f>'Phụ lục số 4'!M14</f>
        <v>0</v>
      </c>
      <c r="N14" s="2954">
        <f>'Phụ lục số 4'!N14</f>
        <v>97</v>
      </c>
      <c r="O14" s="2954">
        <f>'Phụ lục số 4'!O14</f>
        <v>0</v>
      </c>
      <c r="P14" s="2954">
        <f>'Phụ lục số 4'!P14</f>
        <v>0</v>
      </c>
      <c r="Q14" s="2954">
        <f>'Phụ lục số 4'!Q14</f>
        <v>0</v>
      </c>
      <c r="R14" s="2954">
        <f>'Phụ lục số 4'!R14</f>
        <v>0</v>
      </c>
      <c r="S14" s="2954">
        <f>'Phụ lục số 4'!S14</f>
        <v>0</v>
      </c>
      <c r="T14" s="2954">
        <f>'Phụ lục số 4'!T14</f>
        <v>25490</v>
      </c>
      <c r="U14" s="2954">
        <f>'Phụ lục số 4'!U14</f>
        <v>0</v>
      </c>
      <c r="V14" s="2954">
        <f>'Phụ lục số 4'!V14</f>
        <v>0</v>
      </c>
      <c r="W14" s="2954">
        <f>'Phụ lục số 4'!W14</f>
        <v>0</v>
      </c>
      <c r="X14" s="2954">
        <f>'Phụ lục số 4'!X14</f>
        <v>0</v>
      </c>
      <c r="Y14" s="2954">
        <f>'Phụ lục số 4'!Y14</f>
        <v>0</v>
      </c>
      <c r="Z14" s="2954">
        <f>'Phụ lục số 4'!Z14</f>
        <v>0</v>
      </c>
      <c r="AA14" s="2954">
        <f>'Phụ lục số 4'!AA14</f>
        <v>0</v>
      </c>
      <c r="AB14" s="2954">
        <f t="shared" si="8"/>
        <v>0</v>
      </c>
      <c r="AC14" s="2954">
        <f>'Phụ lục số 4'!AC14</f>
        <v>0</v>
      </c>
      <c r="AD14" s="3142">
        <f>'Phụ lục số 4'!AD14</f>
        <v>0</v>
      </c>
      <c r="AE14" s="3153">
        <f>'Phụ lục số 4'!AE14</f>
        <v>0</v>
      </c>
    </row>
    <row r="15" spans="1:31" s="154" customFormat="1">
      <c r="A15" s="2110">
        <v>4</v>
      </c>
      <c r="B15" s="2787" t="str">
        <f>'Phụ lục số 4'!B15</f>
        <v>Sở Nông nghiệp và Phát triển Nông thôn</v>
      </c>
      <c r="C15" s="2954">
        <f t="shared" si="5"/>
        <v>122964</v>
      </c>
      <c r="D15" s="2954">
        <f t="shared" si="6"/>
        <v>0</v>
      </c>
      <c r="E15" s="2954">
        <f>'Phụ lục số 4'!E15</f>
        <v>0</v>
      </c>
      <c r="F15" s="2954">
        <f>'Phụ lục số 4'!F15</f>
        <v>0</v>
      </c>
      <c r="G15" s="2954">
        <f>'Phụ lục số 4'!G15</f>
        <v>0</v>
      </c>
      <c r="H15" s="2954">
        <f>'Phụ lục số 4'!H15</f>
        <v>0</v>
      </c>
      <c r="I15" s="2954"/>
      <c r="J15" s="2954">
        <f t="shared" si="7"/>
        <v>86124</v>
      </c>
      <c r="K15" s="2954">
        <f>'Phụ lục số 4'!K15</f>
        <v>61999</v>
      </c>
      <c r="L15" s="2954">
        <f>'Phụ lục số 4'!L15</f>
        <v>9323</v>
      </c>
      <c r="M15" s="2954">
        <f>'Phụ lục số 4'!M15</f>
        <v>2994</v>
      </c>
      <c r="N15" s="2954">
        <f>'Phụ lục số 4'!N15</f>
        <v>644</v>
      </c>
      <c r="O15" s="2954">
        <f>'Phụ lục số 4'!O15</f>
        <v>0</v>
      </c>
      <c r="P15" s="2954">
        <f>'Phụ lục số 4'!P15</f>
        <v>0</v>
      </c>
      <c r="Q15" s="2954">
        <f>'Phụ lục số 4'!Q15</f>
        <v>0</v>
      </c>
      <c r="R15" s="2954">
        <f>'Phụ lục số 4'!R15</f>
        <v>0</v>
      </c>
      <c r="S15" s="2954">
        <f>'Phụ lục số 4'!S15</f>
        <v>0</v>
      </c>
      <c r="T15" s="2954">
        <f>'Phụ lục số 4'!T15</f>
        <v>11164</v>
      </c>
      <c r="U15" s="2954">
        <f>'Phụ lục số 4'!U15</f>
        <v>0</v>
      </c>
      <c r="V15" s="2954">
        <f>'Phụ lục số 4'!V15</f>
        <v>0</v>
      </c>
      <c r="W15" s="2954">
        <f>'Phụ lục số 4'!W15</f>
        <v>0</v>
      </c>
      <c r="X15" s="2954">
        <f>'Phụ lục số 4'!X15</f>
        <v>0</v>
      </c>
      <c r="Y15" s="2954">
        <f>'Phụ lục số 4'!Y15</f>
        <v>0</v>
      </c>
      <c r="Z15" s="2954">
        <f>'Phụ lục số 4'!Z15</f>
        <v>0</v>
      </c>
      <c r="AA15" s="2954">
        <f>'Phụ lục số 4'!AA15</f>
        <v>0</v>
      </c>
      <c r="AB15" s="2954">
        <f t="shared" si="8"/>
        <v>36840</v>
      </c>
      <c r="AC15" s="2954">
        <f>'Phụ lục số 4'!AC15</f>
        <v>0</v>
      </c>
      <c r="AD15" s="3142">
        <f>'Phụ lục số 4'!AD15</f>
        <v>36840</v>
      </c>
      <c r="AE15" s="3153">
        <f>'Phụ lục số 4'!AE15</f>
        <v>0</v>
      </c>
    </row>
    <row r="16" spans="1:31" s="154" customFormat="1">
      <c r="A16" s="2110">
        <v>5</v>
      </c>
      <c r="B16" s="2787" t="str">
        <f>'Phụ lục số 4'!B16</f>
        <v>Sở Kế hoạch và Đầu tư</v>
      </c>
      <c r="C16" s="2954">
        <f t="shared" si="5"/>
        <v>14807</v>
      </c>
      <c r="D16" s="2954">
        <f t="shared" si="6"/>
        <v>0</v>
      </c>
      <c r="E16" s="2954">
        <f>'Phụ lục số 4'!E16</f>
        <v>0</v>
      </c>
      <c r="F16" s="2954">
        <f>'Phụ lục số 4'!F16</f>
        <v>0</v>
      </c>
      <c r="G16" s="2954">
        <f>'Phụ lục số 4'!G16</f>
        <v>0</v>
      </c>
      <c r="H16" s="2954">
        <f>'Phụ lục số 4'!H16</f>
        <v>0</v>
      </c>
      <c r="I16" s="2954"/>
      <c r="J16" s="2954">
        <f t="shared" si="7"/>
        <v>12807</v>
      </c>
      <c r="K16" s="2954">
        <f>'Phụ lục số 4'!K16</f>
        <v>3330</v>
      </c>
      <c r="L16" s="2954">
        <f>'Phụ lục số 4'!L16</f>
        <v>0</v>
      </c>
      <c r="M16" s="2954">
        <f>'Phụ lục số 4'!M16</f>
        <v>0</v>
      </c>
      <c r="N16" s="2954">
        <f>'Phụ lục số 4'!N16</f>
        <v>470</v>
      </c>
      <c r="O16" s="2954">
        <f>'Phụ lục số 4'!O16</f>
        <v>0</v>
      </c>
      <c r="P16" s="2954">
        <f>'Phụ lục số 4'!P16</f>
        <v>0</v>
      </c>
      <c r="Q16" s="2954">
        <f>'Phụ lục số 4'!Q16</f>
        <v>590</v>
      </c>
      <c r="R16" s="2954">
        <f>'Phụ lục số 4'!R16</f>
        <v>0</v>
      </c>
      <c r="S16" s="2954">
        <f>'Phụ lục số 4'!S16</f>
        <v>0</v>
      </c>
      <c r="T16" s="2954">
        <f>'Phụ lục số 4'!T16</f>
        <v>8417</v>
      </c>
      <c r="U16" s="2954">
        <f>'Phụ lục số 4'!U16</f>
        <v>0</v>
      </c>
      <c r="V16" s="2954">
        <f>'Phụ lục số 4'!V16</f>
        <v>0</v>
      </c>
      <c r="W16" s="2954">
        <f>'Phụ lục số 4'!W16</f>
        <v>0</v>
      </c>
      <c r="X16" s="2954">
        <f>'Phụ lục số 4'!X16</f>
        <v>0</v>
      </c>
      <c r="Y16" s="2954">
        <f>'Phụ lục số 4'!Y16</f>
        <v>0</v>
      </c>
      <c r="Z16" s="2954">
        <f>'Phụ lục số 4'!Z16</f>
        <v>0</v>
      </c>
      <c r="AA16" s="2954">
        <f>'Phụ lục số 4'!AA16</f>
        <v>0</v>
      </c>
      <c r="AB16" s="2954">
        <f t="shared" si="8"/>
        <v>2000</v>
      </c>
      <c r="AC16" s="2954">
        <f>'Phụ lục số 4'!AC16</f>
        <v>0</v>
      </c>
      <c r="AD16" s="3142">
        <f>'Phụ lục số 4'!AD16</f>
        <v>2000</v>
      </c>
      <c r="AE16" s="3153">
        <f>'Phụ lục số 4'!AE16</f>
        <v>0</v>
      </c>
    </row>
    <row r="17" spans="1:31" s="154" customFormat="1">
      <c r="A17" s="2110">
        <v>6</v>
      </c>
      <c r="B17" s="2787" t="str">
        <f>'Phụ lục số 4'!B17</f>
        <v>Sở Tài chính</v>
      </c>
      <c r="C17" s="2954">
        <f t="shared" si="5"/>
        <v>17300</v>
      </c>
      <c r="D17" s="2954">
        <f t="shared" si="6"/>
        <v>0</v>
      </c>
      <c r="E17" s="2954">
        <f>'Phụ lục số 4'!E17</f>
        <v>0</v>
      </c>
      <c r="F17" s="2954">
        <f>'Phụ lục số 4'!F17</f>
        <v>0</v>
      </c>
      <c r="G17" s="2954">
        <f>'Phụ lục số 4'!G17</f>
        <v>0</v>
      </c>
      <c r="H17" s="2954">
        <f>'Phụ lục số 4'!H17</f>
        <v>0</v>
      </c>
      <c r="I17" s="2954"/>
      <c r="J17" s="2954">
        <f t="shared" si="7"/>
        <v>17300</v>
      </c>
      <c r="K17" s="2954">
        <f>'Phụ lục số 4'!K17</f>
        <v>1115</v>
      </c>
      <c r="L17" s="2954">
        <f>'Phụ lục số 4'!L17</f>
        <v>0</v>
      </c>
      <c r="M17" s="2954">
        <f>'Phụ lục số 4'!M17</f>
        <v>0</v>
      </c>
      <c r="N17" s="2954">
        <f>'Phụ lục số 4'!N17</f>
        <v>1550</v>
      </c>
      <c r="O17" s="2954">
        <f>'Phụ lục số 4'!O17</f>
        <v>0</v>
      </c>
      <c r="P17" s="2954">
        <f>'Phụ lục số 4'!P17</f>
        <v>0</v>
      </c>
      <c r="Q17" s="2954">
        <f>'Phụ lục số 4'!Q17</f>
        <v>0</v>
      </c>
      <c r="R17" s="2954">
        <f>'Phụ lục số 4'!R17</f>
        <v>0</v>
      </c>
      <c r="S17" s="2954">
        <f>'Phụ lục số 4'!S17</f>
        <v>0</v>
      </c>
      <c r="T17" s="2954">
        <f>'Phụ lục số 4'!T17</f>
        <v>14635</v>
      </c>
      <c r="U17" s="2954">
        <f>'Phụ lục số 4'!U17</f>
        <v>0</v>
      </c>
      <c r="V17" s="2954">
        <f>'Phụ lục số 4'!V17</f>
        <v>0</v>
      </c>
      <c r="W17" s="2954">
        <f>'Phụ lục số 4'!W17</f>
        <v>0</v>
      </c>
      <c r="X17" s="2954">
        <f>'Phụ lục số 4'!X17</f>
        <v>0</v>
      </c>
      <c r="Y17" s="2954">
        <f>'Phụ lục số 4'!Y17</f>
        <v>0</v>
      </c>
      <c r="Z17" s="2954">
        <f>'Phụ lục số 4'!Z17</f>
        <v>0</v>
      </c>
      <c r="AA17" s="2954">
        <f>'Phụ lục số 4'!AA17</f>
        <v>0</v>
      </c>
      <c r="AB17" s="2954">
        <f t="shared" si="8"/>
        <v>0</v>
      </c>
      <c r="AC17" s="2954">
        <f>'Phụ lục số 4'!AC17</f>
        <v>0</v>
      </c>
      <c r="AD17" s="3142">
        <f>'Phụ lục số 4'!AD17</f>
        <v>0</v>
      </c>
      <c r="AE17" s="3153">
        <f>'Phụ lục số 4'!AE17</f>
        <v>0</v>
      </c>
    </row>
    <row r="18" spans="1:31" s="154" customFormat="1">
      <c r="A18" s="2110">
        <v>7</v>
      </c>
      <c r="B18" s="2787" t="str">
        <f>'Phụ lục số 4'!B18</f>
        <v>Sở Nội vụ</v>
      </c>
      <c r="C18" s="2954">
        <f t="shared" si="5"/>
        <v>50516</v>
      </c>
      <c r="D18" s="2954">
        <f t="shared" si="6"/>
        <v>0</v>
      </c>
      <c r="E18" s="2954">
        <f>'Phụ lục số 4'!E18</f>
        <v>0</v>
      </c>
      <c r="F18" s="2954">
        <f>'Phụ lục số 4'!F18</f>
        <v>0</v>
      </c>
      <c r="G18" s="2954">
        <f>'Phụ lục số 4'!G18</f>
        <v>0</v>
      </c>
      <c r="H18" s="2954">
        <f>'Phụ lục số 4'!H18</f>
        <v>0</v>
      </c>
      <c r="I18" s="2954"/>
      <c r="J18" s="2954">
        <f t="shared" si="7"/>
        <v>50516</v>
      </c>
      <c r="K18" s="2954">
        <f>'Phụ lục số 4'!K18</f>
        <v>17203</v>
      </c>
      <c r="L18" s="2954">
        <f>'Phụ lục số 4'!L18</f>
        <v>0</v>
      </c>
      <c r="M18" s="2954">
        <f>'Phụ lục số 4'!M18</f>
        <v>0</v>
      </c>
      <c r="N18" s="2954">
        <f>'Phụ lục số 4'!N18</f>
        <v>3188</v>
      </c>
      <c r="O18" s="2954">
        <f>'Phụ lục số 4'!O18</f>
        <v>0</v>
      </c>
      <c r="P18" s="2954">
        <f>'Phụ lục số 4'!P18</f>
        <v>0</v>
      </c>
      <c r="Q18" s="2954">
        <f>'Phụ lục số 4'!Q18</f>
        <v>0</v>
      </c>
      <c r="R18" s="2954">
        <f>'Phụ lục số 4'!R18</f>
        <v>0</v>
      </c>
      <c r="S18" s="2954">
        <f>'Phụ lục số 4'!S18</f>
        <v>0</v>
      </c>
      <c r="T18" s="2954">
        <f>'Phụ lục số 4'!T18</f>
        <v>30125</v>
      </c>
      <c r="U18" s="2954">
        <f>'Phụ lục số 4'!U18</f>
        <v>0</v>
      </c>
      <c r="V18" s="2954">
        <f>'Phụ lục số 4'!V18</f>
        <v>0</v>
      </c>
      <c r="W18" s="2954">
        <f>'Phụ lục số 4'!W18</f>
        <v>0</v>
      </c>
      <c r="X18" s="2954">
        <f>'Phụ lục số 4'!X18</f>
        <v>0</v>
      </c>
      <c r="Y18" s="2954">
        <f>'Phụ lục số 4'!Y18</f>
        <v>0</v>
      </c>
      <c r="Z18" s="2954">
        <f>'Phụ lục số 4'!Z18</f>
        <v>0</v>
      </c>
      <c r="AA18" s="2954">
        <f>'Phụ lục số 4'!AA18</f>
        <v>0</v>
      </c>
      <c r="AB18" s="2954">
        <f t="shared" si="8"/>
        <v>0</v>
      </c>
      <c r="AC18" s="2954">
        <f>'Phụ lục số 4'!AC18</f>
        <v>0</v>
      </c>
      <c r="AD18" s="3142">
        <f>'Phụ lục số 4'!AD18</f>
        <v>0</v>
      </c>
      <c r="AE18" s="3153">
        <f>'Phụ lục số 4'!AE18</f>
        <v>0</v>
      </c>
    </row>
    <row r="19" spans="1:31" s="154" customFormat="1">
      <c r="A19" s="2110">
        <v>8</v>
      </c>
      <c r="B19" s="2787" t="str">
        <f>'Phụ lục số 4'!B19</f>
        <v>Sở Ngoại vụ</v>
      </c>
      <c r="C19" s="2954">
        <f t="shared" si="5"/>
        <v>9940</v>
      </c>
      <c r="D19" s="2954">
        <f t="shared" si="6"/>
        <v>0</v>
      </c>
      <c r="E19" s="2954">
        <f>'Phụ lục số 4'!E19</f>
        <v>0</v>
      </c>
      <c r="F19" s="2954">
        <f>'Phụ lục số 4'!F19</f>
        <v>0</v>
      </c>
      <c r="G19" s="2954">
        <f>'Phụ lục số 4'!G19</f>
        <v>0</v>
      </c>
      <c r="H19" s="2954">
        <f>'Phụ lục số 4'!H19</f>
        <v>0</v>
      </c>
      <c r="I19" s="2954"/>
      <c r="J19" s="2954">
        <f t="shared" si="7"/>
        <v>9940</v>
      </c>
      <c r="K19" s="2954">
        <f>'Phụ lục số 4'!K19</f>
        <v>1500</v>
      </c>
      <c r="L19" s="2954">
        <f>'Phụ lục số 4'!L19</f>
        <v>0</v>
      </c>
      <c r="M19" s="2954">
        <f>'Phụ lục số 4'!M19</f>
        <v>0</v>
      </c>
      <c r="N19" s="2954">
        <f>'Phụ lục số 4'!N19</f>
        <v>115</v>
      </c>
      <c r="O19" s="2954">
        <f>'Phụ lục số 4'!O19</f>
        <v>0</v>
      </c>
      <c r="P19" s="2954">
        <f>'Phụ lục số 4'!P19</f>
        <v>0</v>
      </c>
      <c r="Q19" s="2954">
        <f>'Phụ lục số 4'!Q19</f>
        <v>0</v>
      </c>
      <c r="R19" s="2954">
        <f>'Phụ lục số 4'!R19</f>
        <v>0</v>
      </c>
      <c r="S19" s="2954">
        <f>'Phụ lục số 4'!S19</f>
        <v>0</v>
      </c>
      <c r="T19" s="2954">
        <f>'Phụ lục số 4'!T19</f>
        <v>8325</v>
      </c>
      <c r="U19" s="2954">
        <f>'Phụ lục số 4'!U19</f>
        <v>0</v>
      </c>
      <c r="V19" s="2954">
        <f>'Phụ lục số 4'!V19</f>
        <v>0</v>
      </c>
      <c r="W19" s="2954">
        <f>'Phụ lục số 4'!W19</f>
        <v>0</v>
      </c>
      <c r="X19" s="2954">
        <f>'Phụ lục số 4'!X19</f>
        <v>0</v>
      </c>
      <c r="Y19" s="2954">
        <f>'Phụ lục số 4'!Y19</f>
        <v>0</v>
      </c>
      <c r="Z19" s="2954">
        <f>'Phụ lục số 4'!Z19</f>
        <v>0</v>
      </c>
      <c r="AA19" s="2954">
        <f>'Phụ lục số 4'!AA19</f>
        <v>0</v>
      </c>
      <c r="AB19" s="2954">
        <f t="shared" si="8"/>
        <v>0</v>
      </c>
      <c r="AC19" s="2954">
        <f>'Phụ lục số 4'!AC19</f>
        <v>0</v>
      </c>
      <c r="AD19" s="3142">
        <f>'Phụ lục số 4'!AD19</f>
        <v>0</v>
      </c>
      <c r="AE19" s="3153">
        <f>'Phụ lục số 4'!AE19</f>
        <v>0</v>
      </c>
    </row>
    <row r="20" spans="1:31" s="154" customFormat="1">
      <c r="A20" s="2110">
        <v>9</v>
      </c>
      <c r="B20" s="2787" t="str">
        <f>'Phụ lục số 4'!B20</f>
        <v>Sở Tư pháp</v>
      </c>
      <c r="C20" s="2954">
        <f t="shared" si="5"/>
        <v>29691</v>
      </c>
      <c r="D20" s="2954">
        <f t="shared" si="6"/>
        <v>0</v>
      </c>
      <c r="E20" s="2954">
        <f>'Phụ lục số 4'!E20</f>
        <v>0</v>
      </c>
      <c r="F20" s="2954">
        <f>'Phụ lục số 4'!F20</f>
        <v>0</v>
      </c>
      <c r="G20" s="2954">
        <f>'Phụ lục số 4'!G20</f>
        <v>0</v>
      </c>
      <c r="H20" s="2954">
        <f>'Phụ lục số 4'!H20</f>
        <v>0</v>
      </c>
      <c r="I20" s="2954"/>
      <c r="J20" s="2954">
        <f t="shared" si="7"/>
        <v>29691</v>
      </c>
      <c r="K20" s="2954">
        <f>'Phụ lục số 4'!K20</f>
        <v>20733</v>
      </c>
      <c r="L20" s="2954">
        <f>'Phụ lục số 4'!L20</f>
        <v>0</v>
      </c>
      <c r="M20" s="2954">
        <f>'Phụ lục số 4'!M20</f>
        <v>0</v>
      </c>
      <c r="N20" s="2954">
        <f>'Phụ lục số 4'!N20</f>
        <v>1025</v>
      </c>
      <c r="O20" s="2954">
        <f>'Phụ lục số 4'!O20</f>
        <v>0</v>
      </c>
      <c r="P20" s="2954">
        <f>'Phụ lục số 4'!P20</f>
        <v>0</v>
      </c>
      <c r="Q20" s="2954">
        <f>'Phụ lục số 4'!Q20</f>
        <v>576</v>
      </c>
      <c r="R20" s="2954">
        <f>'Phụ lục số 4'!R20</f>
        <v>0</v>
      </c>
      <c r="S20" s="2954">
        <f>'Phụ lục số 4'!S20</f>
        <v>0</v>
      </c>
      <c r="T20" s="2954">
        <f>'Phụ lục số 4'!T20</f>
        <v>7357</v>
      </c>
      <c r="U20" s="2954">
        <f>'Phụ lục số 4'!U20</f>
        <v>0</v>
      </c>
      <c r="V20" s="2954">
        <f>'Phụ lục số 4'!V20</f>
        <v>0</v>
      </c>
      <c r="W20" s="2954">
        <f>'Phụ lục số 4'!W20</f>
        <v>0</v>
      </c>
      <c r="X20" s="2954">
        <f>'Phụ lục số 4'!X20</f>
        <v>0</v>
      </c>
      <c r="Y20" s="2954">
        <f>'Phụ lục số 4'!Y20</f>
        <v>0</v>
      </c>
      <c r="Z20" s="2954">
        <f>'Phụ lục số 4'!Z20</f>
        <v>0</v>
      </c>
      <c r="AA20" s="2954">
        <f>'Phụ lục số 4'!AA20</f>
        <v>0</v>
      </c>
      <c r="AB20" s="2954">
        <f t="shared" si="8"/>
        <v>0</v>
      </c>
      <c r="AC20" s="2954">
        <f>'Phụ lục số 4'!AC20</f>
        <v>0</v>
      </c>
      <c r="AD20" s="3142">
        <f>'Phụ lục số 4'!AD20</f>
        <v>0</v>
      </c>
      <c r="AE20" s="3153">
        <f>'Phụ lục số 4'!AE20</f>
        <v>0</v>
      </c>
    </row>
    <row r="21" spans="1:31" s="154" customFormat="1">
      <c r="A21" s="2110">
        <v>10</v>
      </c>
      <c r="B21" s="2787" t="str">
        <f>'Phụ lục số 4'!B21</f>
        <v>Sở Y tế</v>
      </c>
      <c r="C21" s="2954">
        <f t="shared" si="5"/>
        <v>465600</v>
      </c>
      <c r="D21" s="2954">
        <f t="shared" si="6"/>
        <v>0</v>
      </c>
      <c r="E21" s="2954">
        <f>'Phụ lục số 4'!E21</f>
        <v>0</v>
      </c>
      <c r="F21" s="2954">
        <f>'Phụ lục số 4'!F21</f>
        <v>0</v>
      </c>
      <c r="G21" s="2954">
        <f>'Phụ lục số 4'!G21</f>
        <v>0</v>
      </c>
      <c r="H21" s="2954">
        <f>'Phụ lục số 4'!H21</f>
        <v>0</v>
      </c>
      <c r="I21" s="2954"/>
      <c r="J21" s="2954">
        <f t="shared" si="7"/>
        <v>465600</v>
      </c>
      <c r="K21" s="2954">
        <f>'Phụ lục số 4'!K21</f>
        <v>0</v>
      </c>
      <c r="L21" s="2954">
        <f>'Phụ lục số 4'!L21</f>
        <v>0</v>
      </c>
      <c r="M21" s="2954">
        <f>'Phụ lục số 4'!M21</f>
        <v>0</v>
      </c>
      <c r="N21" s="2954">
        <f>'Phụ lục số 4'!N21</f>
        <v>8186</v>
      </c>
      <c r="O21" s="2954">
        <f>'Phụ lục số 4'!O21</f>
        <v>446472</v>
      </c>
      <c r="P21" s="2954">
        <f>'Phụ lục số 4'!P21</f>
        <v>0</v>
      </c>
      <c r="Q21" s="2954">
        <f>'Phụ lục số 4'!Q21</f>
        <v>0</v>
      </c>
      <c r="R21" s="2954">
        <f>'Phụ lục số 4'!R21</f>
        <v>0</v>
      </c>
      <c r="S21" s="2954">
        <f>'Phụ lục số 4'!S21</f>
        <v>0</v>
      </c>
      <c r="T21" s="2954">
        <f>'Phụ lục số 4'!T21</f>
        <v>10942</v>
      </c>
      <c r="U21" s="2954">
        <f>'Phụ lục số 4'!U21</f>
        <v>0</v>
      </c>
      <c r="V21" s="2954">
        <f>'Phụ lục số 4'!V21</f>
        <v>0</v>
      </c>
      <c r="W21" s="2954">
        <f>'Phụ lục số 4'!W21</f>
        <v>0</v>
      </c>
      <c r="X21" s="2954">
        <f>'Phụ lục số 4'!X21</f>
        <v>0</v>
      </c>
      <c r="Y21" s="2954">
        <f>'Phụ lục số 4'!Y21</f>
        <v>0</v>
      </c>
      <c r="Z21" s="2954">
        <f>'Phụ lục số 4'!Z21</f>
        <v>0</v>
      </c>
      <c r="AA21" s="2954">
        <f>'Phụ lục số 4'!AA21</f>
        <v>0</v>
      </c>
      <c r="AB21" s="2954">
        <f t="shared" si="8"/>
        <v>0</v>
      </c>
      <c r="AC21" s="2954">
        <f>'Phụ lục số 4'!AC21</f>
        <v>0</v>
      </c>
      <c r="AD21" s="3142">
        <f>'Phụ lục số 4'!AD21</f>
        <v>0</v>
      </c>
      <c r="AE21" s="3153">
        <f>'Phụ lục số 4'!AE21</f>
        <v>0</v>
      </c>
    </row>
    <row r="22" spans="1:31" s="154" customFormat="1">
      <c r="A22" s="2110">
        <v>11</v>
      </c>
      <c r="B22" s="2787" t="str">
        <f>'Phụ lục số 4'!B22</f>
        <v>Sở Công Thương</v>
      </c>
      <c r="C22" s="2954">
        <f t="shared" si="5"/>
        <v>20097</v>
      </c>
      <c r="D22" s="2954">
        <f t="shared" si="6"/>
        <v>0</v>
      </c>
      <c r="E22" s="2954">
        <f>'Phụ lục số 4'!E22</f>
        <v>0</v>
      </c>
      <c r="F22" s="2954">
        <f>'Phụ lục số 4'!F22</f>
        <v>0</v>
      </c>
      <c r="G22" s="2954">
        <f>'Phụ lục số 4'!G22</f>
        <v>0</v>
      </c>
      <c r="H22" s="2954">
        <f>'Phụ lục số 4'!H22</f>
        <v>0</v>
      </c>
      <c r="I22" s="2954"/>
      <c r="J22" s="2954">
        <f t="shared" si="7"/>
        <v>20097</v>
      </c>
      <c r="K22" s="2954">
        <f>'Phụ lục số 4'!K22</f>
        <v>8921</v>
      </c>
      <c r="L22" s="2954">
        <f>'Phụ lục số 4'!L22</f>
        <v>30</v>
      </c>
      <c r="M22" s="2954">
        <f>'Phụ lục số 4'!M22</f>
        <v>0</v>
      </c>
      <c r="N22" s="2954">
        <f>'Phụ lục số 4'!N22</f>
        <v>514</v>
      </c>
      <c r="O22" s="2954">
        <f>'Phụ lục số 4'!O22</f>
        <v>0</v>
      </c>
      <c r="P22" s="2954">
        <f>'Phụ lục số 4'!P22</f>
        <v>0</v>
      </c>
      <c r="Q22" s="2954">
        <f>'Phụ lục số 4'!Q22</f>
        <v>0</v>
      </c>
      <c r="R22" s="2954">
        <f>'Phụ lục số 4'!R22</f>
        <v>0</v>
      </c>
      <c r="S22" s="2954">
        <f>'Phụ lục số 4'!S22</f>
        <v>0</v>
      </c>
      <c r="T22" s="2954">
        <f>'Phụ lục số 4'!T22</f>
        <v>10632</v>
      </c>
      <c r="U22" s="2954">
        <f>'Phụ lục số 4'!U22</f>
        <v>0</v>
      </c>
      <c r="V22" s="2954">
        <f>'Phụ lục số 4'!V22</f>
        <v>0</v>
      </c>
      <c r="W22" s="2954">
        <f>'Phụ lục số 4'!W22</f>
        <v>0</v>
      </c>
      <c r="X22" s="2954">
        <f>'Phụ lục số 4'!X22</f>
        <v>0</v>
      </c>
      <c r="Y22" s="2954">
        <f>'Phụ lục số 4'!Y22</f>
        <v>0</v>
      </c>
      <c r="Z22" s="2954">
        <f>'Phụ lục số 4'!Z22</f>
        <v>0</v>
      </c>
      <c r="AA22" s="2954">
        <f>'Phụ lục số 4'!AA22</f>
        <v>0</v>
      </c>
      <c r="AB22" s="2954">
        <f t="shared" si="8"/>
        <v>0</v>
      </c>
      <c r="AC22" s="2954">
        <f>'Phụ lục số 4'!AC22</f>
        <v>0</v>
      </c>
      <c r="AD22" s="3142">
        <f>'Phụ lục số 4'!AD22</f>
        <v>0</v>
      </c>
      <c r="AE22" s="3153">
        <f>'Phụ lục số 4'!AE22</f>
        <v>0</v>
      </c>
    </row>
    <row r="23" spans="1:31" s="154" customFormat="1">
      <c r="A23" s="2110">
        <v>12</v>
      </c>
      <c r="B23" s="2787" t="str">
        <f>'Phụ lục số 4'!B23</f>
        <v>Sở Xây dựng</v>
      </c>
      <c r="C23" s="2954">
        <f t="shared" si="5"/>
        <v>18961</v>
      </c>
      <c r="D23" s="2954">
        <f t="shared" si="6"/>
        <v>0</v>
      </c>
      <c r="E23" s="2954">
        <f>'Phụ lục số 4'!E23</f>
        <v>0</v>
      </c>
      <c r="F23" s="2954">
        <f>'Phụ lục số 4'!F23</f>
        <v>0</v>
      </c>
      <c r="G23" s="2954">
        <f>'Phụ lục số 4'!G23</f>
        <v>0</v>
      </c>
      <c r="H23" s="2954">
        <f>'Phụ lục số 4'!H23</f>
        <v>0</v>
      </c>
      <c r="I23" s="2954"/>
      <c r="J23" s="2954">
        <f t="shared" si="7"/>
        <v>18961</v>
      </c>
      <c r="K23" s="2954">
        <f>'Phụ lục số 4'!K23</f>
        <v>3432</v>
      </c>
      <c r="L23" s="2954">
        <f>'Phụ lục số 4'!L23</f>
        <v>0</v>
      </c>
      <c r="M23" s="2954">
        <f>'Phụ lục số 4'!M23</f>
        <v>0</v>
      </c>
      <c r="N23" s="2954">
        <f>'Phụ lục số 4'!N23</f>
        <v>5944</v>
      </c>
      <c r="O23" s="2954">
        <f>'Phụ lục số 4'!O23</f>
        <v>0</v>
      </c>
      <c r="P23" s="2954">
        <f>'Phụ lục số 4'!P23</f>
        <v>0</v>
      </c>
      <c r="Q23" s="2954">
        <f>'Phụ lục số 4'!Q23</f>
        <v>0</v>
      </c>
      <c r="R23" s="2954">
        <f>'Phụ lục số 4'!R23</f>
        <v>0</v>
      </c>
      <c r="S23" s="2954">
        <f>'Phụ lục số 4'!S23</f>
        <v>0</v>
      </c>
      <c r="T23" s="2954">
        <f>'Phụ lục số 4'!T23</f>
        <v>9585</v>
      </c>
      <c r="U23" s="2954">
        <f>'Phụ lục số 4'!U23</f>
        <v>0</v>
      </c>
      <c r="V23" s="2954">
        <f>'Phụ lục số 4'!V23</f>
        <v>0</v>
      </c>
      <c r="W23" s="2954">
        <f>'Phụ lục số 4'!W23</f>
        <v>0</v>
      </c>
      <c r="X23" s="2954">
        <f>'Phụ lục số 4'!X23</f>
        <v>0</v>
      </c>
      <c r="Y23" s="2954">
        <f>'Phụ lục số 4'!Y23</f>
        <v>0</v>
      </c>
      <c r="Z23" s="2954">
        <f>'Phụ lục số 4'!Z23</f>
        <v>0</v>
      </c>
      <c r="AA23" s="2954">
        <f>'Phụ lục số 4'!AA23</f>
        <v>0</v>
      </c>
      <c r="AB23" s="2954">
        <f t="shared" si="8"/>
        <v>0</v>
      </c>
      <c r="AC23" s="2954">
        <f>'Phụ lục số 4'!AC23</f>
        <v>0</v>
      </c>
      <c r="AD23" s="3142">
        <f>'Phụ lục số 4'!AD23</f>
        <v>0</v>
      </c>
      <c r="AE23" s="3153">
        <f>'Phụ lục số 4'!AE23</f>
        <v>0</v>
      </c>
    </row>
    <row r="24" spans="1:31" s="154" customFormat="1">
      <c r="A24" s="2110">
        <v>13</v>
      </c>
      <c r="B24" s="2787" t="str">
        <f>'Phụ lục số 4'!B24</f>
        <v>Sở Khoa học và Công nghệ</v>
      </c>
      <c r="C24" s="2954">
        <f t="shared" si="5"/>
        <v>32717</v>
      </c>
      <c r="D24" s="2954">
        <f t="shared" si="6"/>
        <v>0</v>
      </c>
      <c r="E24" s="2954">
        <f>'Phụ lục số 4'!E24</f>
        <v>0</v>
      </c>
      <c r="F24" s="2954">
        <f>'Phụ lục số 4'!F24</f>
        <v>0</v>
      </c>
      <c r="G24" s="2954">
        <f>'Phụ lục số 4'!G24</f>
        <v>0</v>
      </c>
      <c r="H24" s="2954">
        <f>'Phụ lục số 4'!H24</f>
        <v>0</v>
      </c>
      <c r="I24" s="2954"/>
      <c r="J24" s="2954">
        <f t="shared" si="7"/>
        <v>32717</v>
      </c>
      <c r="K24" s="2954">
        <f>'Phụ lục số 4'!K24</f>
        <v>0</v>
      </c>
      <c r="L24" s="2954">
        <f>'Phụ lục số 4'!L24</f>
        <v>0</v>
      </c>
      <c r="M24" s="2954">
        <f>'Phụ lục số 4'!M24</f>
        <v>25172</v>
      </c>
      <c r="N24" s="2954">
        <f>'Phụ lục số 4'!N24</f>
        <v>100</v>
      </c>
      <c r="O24" s="2954">
        <f>'Phụ lục số 4'!O24</f>
        <v>0</v>
      </c>
      <c r="P24" s="2954">
        <f>'Phụ lục số 4'!P24</f>
        <v>0</v>
      </c>
      <c r="Q24" s="2954">
        <f>'Phụ lục số 4'!Q24</f>
        <v>0</v>
      </c>
      <c r="R24" s="2954">
        <f>'Phụ lục số 4'!R24</f>
        <v>0</v>
      </c>
      <c r="S24" s="2954">
        <f>'Phụ lục số 4'!S24</f>
        <v>0</v>
      </c>
      <c r="T24" s="2954">
        <f>'Phụ lục số 4'!T24</f>
        <v>7445</v>
      </c>
      <c r="U24" s="2954">
        <f>'Phụ lục số 4'!U24</f>
        <v>0</v>
      </c>
      <c r="V24" s="2954">
        <f>'Phụ lục số 4'!V24</f>
        <v>0</v>
      </c>
      <c r="W24" s="2954">
        <f>'Phụ lục số 4'!W24</f>
        <v>0</v>
      </c>
      <c r="X24" s="2954">
        <f>'Phụ lục số 4'!X24</f>
        <v>0</v>
      </c>
      <c r="Y24" s="2954">
        <f>'Phụ lục số 4'!Y24</f>
        <v>0</v>
      </c>
      <c r="Z24" s="2954">
        <f>'Phụ lục số 4'!Z24</f>
        <v>0</v>
      </c>
      <c r="AA24" s="2954">
        <f>'Phụ lục số 4'!AA24</f>
        <v>0</v>
      </c>
      <c r="AB24" s="2954">
        <f t="shared" si="8"/>
        <v>0</v>
      </c>
      <c r="AC24" s="2954">
        <f>'Phụ lục số 4'!AC24</f>
        <v>0</v>
      </c>
      <c r="AD24" s="3142">
        <f>'Phụ lục số 4'!AD24</f>
        <v>0</v>
      </c>
      <c r="AE24" s="3153">
        <f>'Phụ lục số 4'!AE24</f>
        <v>0</v>
      </c>
    </row>
    <row r="25" spans="1:31" s="154" customFormat="1">
      <c r="A25" s="2110">
        <v>14</v>
      </c>
      <c r="B25" s="2787" t="str">
        <f>'Phụ lục số 4'!B25</f>
        <v>Sở Giáo dục và Đào tạo</v>
      </c>
      <c r="C25" s="2954">
        <f t="shared" si="5"/>
        <v>648205</v>
      </c>
      <c r="D25" s="2954">
        <f t="shared" si="6"/>
        <v>0</v>
      </c>
      <c r="E25" s="2954">
        <f>'Phụ lục số 4'!E25</f>
        <v>0</v>
      </c>
      <c r="F25" s="2954">
        <f>'Phụ lục số 4'!F25</f>
        <v>0</v>
      </c>
      <c r="G25" s="2954">
        <f>'Phụ lục số 4'!G25</f>
        <v>0</v>
      </c>
      <c r="H25" s="2954">
        <f>'Phụ lục số 4'!H25</f>
        <v>0</v>
      </c>
      <c r="I25" s="2954"/>
      <c r="J25" s="2954">
        <f t="shared" si="7"/>
        <v>648205</v>
      </c>
      <c r="K25" s="2954">
        <f>'Phụ lục số 4'!K25</f>
        <v>0</v>
      </c>
      <c r="L25" s="2954">
        <f>'Phụ lục số 4'!L25</f>
        <v>126</v>
      </c>
      <c r="M25" s="2954">
        <f>'Phụ lục số 4'!M25</f>
        <v>0</v>
      </c>
      <c r="N25" s="2954">
        <f>'Phụ lục số 4'!N25</f>
        <v>618001</v>
      </c>
      <c r="O25" s="2954">
        <f>'Phụ lục số 4'!O25</f>
        <v>0</v>
      </c>
      <c r="P25" s="2954">
        <f>'Phụ lục số 4'!P25</f>
        <v>0</v>
      </c>
      <c r="Q25" s="2954">
        <f>'Phụ lục số 4'!Q25</f>
        <v>520</v>
      </c>
      <c r="R25" s="2954">
        <f>'Phụ lục số 4'!R25</f>
        <v>15000</v>
      </c>
      <c r="S25" s="2954">
        <f>'Phụ lục số 4'!S25</f>
        <v>0</v>
      </c>
      <c r="T25" s="2954">
        <f>'Phụ lục số 4'!T25</f>
        <v>14558</v>
      </c>
      <c r="U25" s="2954">
        <f>'Phụ lục số 4'!U25</f>
        <v>0</v>
      </c>
      <c r="V25" s="2954">
        <f>'Phụ lục số 4'!V25</f>
        <v>0</v>
      </c>
      <c r="W25" s="2954">
        <f>'Phụ lục số 4'!W25</f>
        <v>0</v>
      </c>
      <c r="X25" s="2954">
        <f>'Phụ lục số 4'!X25</f>
        <v>0</v>
      </c>
      <c r="Y25" s="2954">
        <f>'Phụ lục số 4'!Y25</f>
        <v>0</v>
      </c>
      <c r="Z25" s="2954">
        <f>'Phụ lục số 4'!Z25</f>
        <v>0</v>
      </c>
      <c r="AA25" s="2954">
        <f>'Phụ lục số 4'!AA25</f>
        <v>0</v>
      </c>
      <c r="AB25" s="2954">
        <f t="shared" si="8"/>
        <v>0</v>
      </c>
      <c r="AC25" s="2954">
        <f>'Phụ lục số 4'!AC25</f>
        <v>0</v>
      </c>
      <c r="AD25" s="3142">
        <f>'Phụ lục số 4'!AD25</f>
        <v>0</v>
      </c>
      <c r="AE25" s="3153">
        <f>'Phụ lục số 4'!AE25</f>
        <v>0</v>
      </c>
    </row>
    <row r="26" spans="1:31" s="154" customFormat="1">
      <c r="A26" s="2110">
        <v>15</v>
      </c>
      <c r="B26" s="2787" t="str">
        <f>'Phụ lục số 4'!B26</f>
        <v>Sở Tài nguyên và Môi trường</v>
      </c>
      <c r="C26" s="2954">
        <f t="shared" si="5"/>
        <v>96879</v>
      </c>
      <c r="D26" s="2954">
        <f t="shared" si="6"/>
        <v>0</v>
      </c>
      <c r="E26" s="2954">
        <f>'Phụ lục số 4'!E26</f>
        <v>0</v>
      </c>
      <c r="F26" s="2954">
        <f>'Phụ lục số 4'!F26</f>
        <v>0</v>
      </c>
      <c r="G26" s="2954">
        <f>'Phụ lục số 4'!G26</f>
        <v>0</v>
      </c>
      <c r="H26" s="2954">
        <f>'Phụ lục số 4'!H26</f>
        <v>0</v>
      </c>
      <c r="I26" s="2954"/>
      <c r="J26" s="2954">
        <f t="shared" si="7"/>
        <v>96879</v>
      </c>
      <c r="K26" s="2954">
        <f>'Phụ lục số 4'!K26</f>
        <v>57615</v>
      </c>
      <c r="L26" s="2954">
        <f>'Phụ lục số 4'!L26</f>
        <v>29005</v>
      </c>
      <c r="M26" s="2954">
        <f>'Phụ lục số 4'!M26</f>
        <v>0</v>
      </c>
      <c r="N26" s="2954">
        <f>'Phụ lục số 4'!N26</f>
        <v>85</v>
      </c>
      <c r="O26" s="2954">
        <f>'Phụ lục số 4'!O26</f>
        <v>0</v>
      </c>
      <c r="P26" s="2954">
        <f>'Phụ lục số 4'!P26</f>
        <v>0</v>
      </c>
      <c r="Q26" s="2954">
        <f>'Phụ lục số 4'!Q26</f>
        <v>0</v>
      </c>
      <c r="R26" s="2954">
        <f>'Phụ lục số 4'!R26</f>
        <v>0</v>
      </c>
      <c r="S26" s="2954">
        <f>'Phụ lục số 4'!S26</f>
        <v>0</v>
      </c>
      <c r="T26" s="2954">
        <f>'Phụ lục số 4'!T26</f>
        <v>10174</v>
      </c>
      <c r="U26" s="2954">
        <f>'Phụ lục số 4'!U26</f>
        <v>0</v>
      </c>
      <c r="V26" s="2954">
        <f>'Phụ lục số 4'!V26</f>
        <v>0</v>
      </c>
      <c r="W26" s="2954">
        <f>'Phụ lục số 4'!W26</f>
        <v>0</v>
      </c>
      <c r="X26" s="2954">
        <f>'Phụ lục số 4'!X26</f>
        <v>0</v>
      </c>
      <c r="Y26" s="2954">
        <f>'Phụ lục số 4'!Y26</f>
        <v>0</v>
      </c>
      <c r="Z26" s="2954">
        <f>'Phụ lục số 4'!Z26</f>
        <v>0</v>
      </c>
      <c r="AA26" s="2954">
        <f>'Phụ lục số 4'!AA26</f>
        <v>0</v>
      </c>
      <c r="AB26" s="2954">
        <f t="shared" si="8"/>
        <v>0</v>
      </c>
      <c r="AC26" s="2954">
        <f>'Phụ lục số 4'!AC26</f>
        <v>0</v>
      </c>
      <c r="AD26" s="3142">
        <f>'Phụ lục số 4'!AD26</f>
        <v>0</v>
      </c>
      <c r="AE26" s="3153">
        <f>'Phụ lục số 4'!AE26</f>
        <v>0</v>
      </c>
    </row>
    <row r="27" spans="1:31" s="154" customFormat="1">
      <c r="A27" s="2110">
        <v>16</v>
      </c>
      <c r="B27" s="2787" t="str">
        <f>'Phụ lục số 4'!B27</f>
        <v>Sở Văn hóa Thể thao và Du lịch</v>
      </c>
      <c r="C27" s="2954">
        <f t="shared" si="5"/>
        <v>141585</v>
      </c>
      <c r="D27" s="2954">
        <f t="shared" si="6"/>
        <v>0</v>
      </c>
      <c r="E27" s="2954">
        <f>'Phụ lục số 4'!E27</f>
        <v>0</v>
      </c>
      <c r="F27" s="2954">
        <f>'Phụ lục số 4'!F27</f>
        <v>0</v>
      </c>
      <c r="G27" s="2954">
        <f>'Phụ lục số 4'!G27</f>
        <v>0</v>
      </c>
      <c r="H27" s="2954">
        <f>'Phụ lục số 4'!H27</f>
        <v>0</v>
      </c>
      <c r="I27" s="2954"/>
      <c r="J27" s="2954">
        <f t="shared" si="7"/>
        <v>141585</v>
      </c>
      <c r="K27" s="2954">
        <f>'Phụ lục số 4'!K27</f>
        <v>150</v>
      </c>
      <c r="L27" s="2954">
        <f>'Phụ lục số 4'!L27</f>
        <v>0</v>
      </c>
      <c r="M27" s="2954">
        <f>'Phụ lục số 4'!M27</f>
        <v>0</v>
      </c>
      <c r="N27" s="2954">
        <f>'Phụ lục số 4'!N27</f>
        <v>66856</v>
      </c>
      <c r="O27" s="2954">
        <f>'Phụ lục số 4'!O27</f>
        <v>0</v>
      </c>
      <c r="P27" s="2954">
        <f>'Phụ lục số 4'!P27</f>
        <v>43694</v>
      </c>
      <c r="Q27" s="2954">
        <f>'Phụ lục số 4'!Q27</f>
        <v>0</v>
      </c>
      <c r="R27" s="2954">
        <f>'Phụ lục số 4'!R27</f>
        <v>22202</v>
      </c>
      <c r="S27" s="2954">
        <f>'Phụ lục số 4'!S27</f>
        <v>0</v>
      </c>
      <c r="T27" s="2954">
        <f>'Phụ lục số 4'!T27</f>
        <v>8683</v>
      </c>
      <c r="U27" s="2954">
        <f>'Phụ lục số 4'!U27</f>
        <v>0</v>
      </c>
      <c r="V27" s="2954">
        <f>'Phụ lục số 4'!V27</f>
        <v>0</v>
      </c>
      <c r="W27" s="2954">
        <f>'Phụ lục số 4'!W27</f>
        <v>0</v>
      </c>
      <c r="X27" s="2954">
        <f>'Phụ lục số 4'!X27</f>
        <v>0</v>
      </c>
      <c r="Y27" s="2954">
        <f>'Phụ lục số 4'!Y27</f>
        <v>0</v>
      </c>
      <c r="Z27" s="2954">
        <f>'Phụ lục số 4'!Z27</f>
        <v>0</v>
      </c>
      <c r="AA27" s="2954">
        <f>'Phụ lục số 4'!AA27</f>
        <v>0</v>
      </c>
      <c r="AB27" s="2954">
        <f t="shared" si="8"/>
        <v>0</v>
      </c>
      <c r="AC27" s="2954">
        <f>'Phụ lục số 4'!AC27</f>
        <v>0</v>
      </c>
      <c r="AD27" s="3142">
        <f>'Phụ lục số 4'!AD27</f>
        <v>0</v>
      </c>
      <c r="AE27" s="3153">
        <f>'Phụ lục số 4'!AE27</f>
        <v>0</v>
      </c>
    </row>
    <row r="28" spans="1:31" s="154" customFormat="1">
      <c r="A28" s="2110">
        <v>17</v>
      </c>
      <c r="B28" s="2787" t="str">
        <f>'Phụ lục số 4'!B28</f>
        <v>Sở Thông tin và Truyền thông</v>
      </c>
      <c r="C28" s="2954">
        <f t="shared" si="5"/>
        <v>51460</v>
      </c>
      <c r="D28" s="2954">
        <f t="shared" si="6"/>
        <v>0</v>
      </c>
      <c r="E28" s="2954">
        <f>'Phụ lục số 4'!E28</f>
        <v>0</v>
      </c>
      <c r="F28" s="2954">
        <f>'Phụ lục số 4'!F28</f>
        <v>0</v>
      </c>
      <c r="G28" s="2954">
        <f>'Phụ lục số 4'!G28</f>
        <v>0</v>
      </c>
      <c r="H28" s="2954">
        <f>'Phụ lục số 4'!H28</f>
        <v>0</v>
      </c>
      <c r="I28" s="2954"/>
      <c r="J28" s="2954">
        <f t="shared" si="7"/>
        <v>51460</v>
      </c>
      <c r="K28" s="2954">
        <f>'Phụ lục số 4'!K28</f>
        <v>20950</v>
      </c>
      <c r="L28" s="2954">
        <f>'Phụ lục số 4'!L28</f>
        <v>0</v>
      </c>
      <c r="M28" s="2954">
        <f>'Phụ lục số 4'!M28</f>
        <v>0</v>
      </c>
      <c r="N28" s="2954">
        <f>'Phụ lục số 4'!N28</f>
        <v>762</v>
      </c>
      <c r="O28" s="2954">
        <f>'Phụ lục số 4'!O28</f>
        <v>0</v>
      </c>
      <c r="P28" s="2954">
        <f>'Phụ lục số 4'!P28</f>
        <v>0</v>
      </c>
      <c r="Q28" s="2954">
        <f>'Phụ lục số 4'!Q28</f>
        <v>15690</v>
      </c>
      <c r="R28" s="2954">
        <f>'Phụ lục số 4'!R28</f>
        <v>0</v>
      </c>
      <c r="S28" s="2954">
        <f>'Phụ lục số 4'!S28</f>
        <v>0</v>
      </c>
      <c r="T28" s="2954">
        <f>'Phụ lục số 4'!T28</f>
        <v>14058</v>
      </c>
      <c r="U28" s="2954">
        <f>'Phụ lục số 4'!U28</f>
        <v>0</v>
      </c>
      <c r="V28" s="2954">
        <f>'Phụ lục số 4'!V28</f>
        <v>0</v>
      </c>
      <c r="W28" s="2954">
        <f>'Phụ lục số 4'!W28</f>
        <v>0</v>
      </c>
      <c r="X28" s="2954">
        <f>'Phụ lục số 4'!X28</f>
        <v>0</v>
      </c>
      <c r="Y28" s="2954">
        <f>'Phụ lục số 4'!Y28</f>
        <v>0</v>
      </c>
      <c r="Z28" s="2954">
        <f>'Phụ lục số 4'!Z28</f>
        <v>0</v>
      </c>
      <c r="AA28" s="2954">
        <f>'Phụ lục số 4'!AA28</f>
        <v>0</v>
      </c>
      <c r="AB28" s="2954">
        <f t="shared" si="8"/>
        <v>0</v>
      </c>
      <c r="AC28" s="2954">
        <f>'Phụ lục số 4'!AC28</f>
        <v>0</v>
      </c>
      <c r="AD28" s="3142">
        <f>'Phụ lục số 4'!AD28</f>
        <v>0</v>
      </c>
      <c r="AE28" s="3153">
        <f>'Phụ lục số 4'!AE28</f>
        <v>0</v>
      </c>
    </row>
    <row r="29" spans="1:31" s="154" customFormat="1">
      <c r="A29" s="2110">
        <v>18</v>
      </c>
      <c r="B29" s="2787" t="str">
        <f>'Phụ lục số 4'!B29</f>
        <v>Sở Giao thông và Vận tải</v>
      </c>
      <c r="C29" s="2954">
        <f t="shared" si="5"/>
        <v>97291</v>
      </c>
      <c r="D29" s="2954">
        <f t="shared" si="6"/>
        <v>0</v>
      </c>
      <c r="E29" s="2954">
        <f>'Phụ lục số 4'!E29</f>
        <v>0</v>
      </c>
      <c r="F29" s="2954">
        <f>'Phụ lục số 4'!F29</f>
        <v>0</v>
      </c>
      <c r="G29" s="2954">
        <f>'Phụ lục số 4'!G29</f>
        <v>0</v>
      </c>
      <c r="H29" s="2954">
        <f>'Phụ lục số 4'!H29</f>
        <v>0</v>
      </c>
      <c r="I29" s="2954"/>
      <c r="J29" s="2954">
        <f t="shared" si="7"/>
        <v>46033</v>
      </c>
      <c r="K29" s="2954">
        <f>'Phụ lục số 4'!K29</f>
        <v>30582</v>
      </c>
      <c r="L29" s="2954">
        <f>'Phụ lục số 4'!L29</f>
        <v>0</v>
      </c>
      <c r="M29" s="2954">
        <f>'Phụ lục số 4'!M29</f>
        <v>0</v>
      </c>
      <c r="N29" s="2954">
        <f>'Phụ lục số 4'!N29</f>
        <v>149</v>
      </c>
      <c r="O29" s="2954">
        <f>'Phụ lục số 4'!O29</f>
        <v>0</v>
      </c>
      <c r="P29" s="2954">
        <f>'Phụ lục số 4'!P29</f>
        <v>0</v>
      </c>
      <c r="Q29" s="2954">
        <f>'Phụ lục số 4'!Q29</f>
        <v>0</v>
      </c>
      <c r="R29" s="2954">
        <f>'Phụ lục số 4'!R29</f>
        <v>0</v>
      </c>
      <c r="S29" s="2954">
        <f>'Phụ lục số 4'!S29</f>
        <v>0</v>
      </c>
      <c r="T29" s="2954">
        <f>'Phụ lục số 4'!T29</f>
        <v>15302</v>
      </c>
      <c r="U29" s="2954">
        <f>'Phụ lục số 4'!U29</f>
        <v>0</v>
      </c>
      <c r="V29" s="2954">
        <f>'Phụ lục số 4'!V29</f>
        <v>0</v>
      </c>
      <c r="W29" s="2954">
        <f>'Phụ lục số 4'!W29</f>
        <v>0</v>
      </c>
      <c r="X29" s="2954">
        <f>'Phụ lục số 4'!X29</f>
        <v>0</v>
      </c>
      <c r="Y29" s="2954">
        <f>'Phụ lục số 4'!Y29</f>
        <v>0</v>
      </c>
      <c r="Z29" s="2954">
        <f>'Phụ lục số 4'!Z29</f>
        <v>0</v>
      </c>
      <c r="AA29" s="2954">
        <f>'Phụ lục số 4'!AA29</f>
        <v>0</v>
      </c>
      <c r="AB29" s="2954">
        <f t="shared" si="8"/>
        <v>51258</v>
      </c>
      <c r="AC29" s="2954">
        <f>'Phụ lục số 4'!AC29</f>
        <v>0</v>
      </c>
      <c r="AD29" s="3142">
        <f>'Phụ lục số 4'!AD29</f>
        <v>51258</v>
      </c>
      <c r="AE29" s="3153">
        <f>'Phụ lục số 4'!AE29</f>
        <v>0</v>
      </c>
    </row>
    <row r="30" spans="1:31" s="154" customFormat="1">
      <c r="A30" s="2110">
        <v>19</v>
      </c>
      <c r="B30" s="2787" t="str">
        <f>'Phụ lục số 4'!B30</f>
        <v>Sở Lao động Thương binh và Xã hội</v>
      </c>
      <c r="C30" s="2954">
        <f t="shared" si="5"/>
        <v>189048</v>
      </c>
      <c r="D30" s="2954">
        <f t="shared" si="6"/>
        <v>0</v>
      </c>
      <c r="E30" s="2954">
        <f>'Phụ lục số 4'!E30</f>
        <v>0</v>
      </c>
      <c r="F30" s="2954">
        <f>'Phụ lục số 4'!F30</f>
        <v>0</v>
      </c>
      <c r="G30" s="2954">
        <f>'Phụ lục số 4'!G30</f>
        <v>0</v>
      </c>
      <c r="H30" s="2954">
        <f>'Phụ lục số 4'!H30</f>
        <v>0</v>
      </c>
      <c r="I30" s="2954"/>
      <c r="J30" s="2954">
        <f t="shared" si="7"/>
        <v>123393</v>
      </c>
      <c r="K30" s="2954">
        <f>'Phụ lục số 4'!K30</f>
        <v>0</v>
      </c>
      <c r="L30" s="2954">
        <f>'Phụ lục số 4'!L30</f>
        <v>480</v>
      </c>
      <c r="M30" s="2954">
        <f>'Phụ lục số 4'!M30</f>
        <v>0</v>
      </c>
      <c r="N30" s="2954">
        <f>'Phụ lục số 4'!N30</f>
        <v>60000</v>
      </c>
      <c r="O30" s="2954">
        <f>'Phụ lục số 4'!O30</f>
        <v>0</v>
      </c>
      <c r="P30" s="2954">
        <f>'Phụ lục số 4'!P30</f>
        <v>0</v>
      </c>
      <c r="Q30" s="2954">
        <f>'Phụ lục số 4'!Q30</f>
        <v>0</v>
      </c>
      <c r="R30" s="2954">
        <f>'Phụ lục số 4'!R30</f>
        <v>0</v>
      </c>
      <c r="S30" s="2954">
        <f>'Phụ lục số 4'!S30</f>
        <v>54000</v>
      </c>
      <c r="T30" s="2954">
        <f>'Phụ lục số 4'!T30</f>
        <v>8913</v>
      </c>
      <c r="U30" s="2954">
        <f>'Phụ lục số 4'!U30</f>
        <v>0</v>
      </c>
      <c r="V30" s="2954">
        <f>'Phụ lục số 4'!V30</f>
        <v>0</v>
      </c>
      <c r="W30" s="2954">
        <f>'Phụ lục số 4'!W30</f>
        <v>0</v>
      </c>
      <c r="X30" s="2954">
        <f>'Phụ lục số 4'!X30</f>
        <v>0</v>
      </c>
      <c r="Y30" s="2954">
        <f>'Phụ lục số 4'!Y30</f>
        <v>0</v>
      </c>
      <c r="Z30" s="2954">
        <f>'Phụ lục số 4'!Z30</f>
        <v>0</v>
      </c>
      <c r="AA30" s="2954">
        <f>'Phụ lục số 4'!AA30</f>
        <v>0</v>
      </c>
      <c r="AB30" s="2954">
        <f t="shared" si="8"/>
        <v>65655</v>
      </c>
      <c r="AC30" s="2954">
        <f>'Phụ lục số 4'!AC30</f>
        <v>0</v>
      </c>
      <c r="AD30" s="3142">
        <f>'Phụ lục số 4'!AD30</f>
        <v>65655</v>
      </c>
      <c r="AE30" s="3153">
        <f>'Phụ lục số 4'!AE30</f>
        <v>0</v>
      </c>
    </row>
    <row r="31" spans="1:31" s="154" customFormat="1">
      <c r="A31" s="2110">
        <v>20</v>
      </c>
      <c r="B31" s="2787" t="str">
        <f>'Phụ lục số 4'!B31</f>
        <v>Thanh tra Tỉnh</v>
      </c>
      <c r="C31" s="2954">
        <f t="shared" si="5"/>
        <v>12698</v>
      </c>
      <c r="D31" s="2954">
        <f t="shared" si="6"/>
        <v>0</v>
      </c>
      <c r="E31" s="2954">
        <f>'Phụ lục số 4'!E31</f>
        <v>0</v>
      </c>
      <c r="F31" s="2954">
        <f>'Phụ lục số 4'!F31</f>
        <v>0</v>
      </c>
      <c r="G31" s="2954">
        <f>'Phụ lục số 4'!G31</f>
        <v>0</v>
      </c>
      <c r="H31" s="2954">
        <f>'Phụ lục số 4'!H31</f>
        <v>0</v>
      </c>
      <c r="I31" s="2954"/>
      <c r="J31" s="2954">
        <f t="shared" si="7"/>
        <v>12698</v>
      </c>
      <c r="K31" s="2954">
        <f>'Phụ lục số 4'!K31</f>
        <v>0</v>
      </c>
      <c r="L31" s="2954">
        <f>'Phụ lục số 4'!L31</f>
        <v>0</v>
      </c>
      <c r="M31" s="2954">
        <f>'Phụ lục số 4'!M31</f>
        <v>0</v>
      </c>
      <c r="N31" s="2954">
        <f>'Phụ lục số 4'!N31</f>
        <v>164</v>
      </c>
      <c r="O31" s="2954">
        <f>'Phụ lục số 4'!O31</f>
        <v>0</v>
      </c>
      <c r="P31" s="2954">
        <f>'Phụ lục số 4'!P31</f>
        <v>0</v>
      </c>
      <c r="Q31" s="2954">
        <f>'Phụ lục số 4'!Q31</f>
        <v>0</v>
      </c>
      <c r="R31" s="2954">
        <f>'Phụ lục số 4'!R31</f>
        <v>0</v>
      </c>
      <c r="S31" s="2954">
        <f>'Phụ lục số 4'!S31</f>
        <v>0</v>
      </c>
      <c r="T31" s="2954">
        <f>'Phụ lục số 4'!T31</f>
        <v>12534</v>
      </c>
      <c r="U31" s="2954">
        <f>'Phụ lục số 4'!U31</f>
        <v>0</v>
      </c>
      <c r="V31" s="2954">
        <f>'Phụ lục số 4'!V31</f>
        <v>0</v>
      </c>
      <c r="W31" s="2954">
        <f>'Phụ lục số 4'!W31</f>
        <v>0</v>
      </c>
      <c r="X31" s="2954">
        <f>'Phụ lục số 4'!X31</f>
        <v>0</v>
      </c>
      <c r="Y31" s="2954">
        <f>'Phụ lục số 4'!Y31</f>
        <v>0</v>
      </c>
      <c r="Z31" s="2954">
        <f>'Phụ lục số 4'!Z31</f>
        <v>0</v>
      </c>
      <c r="AA31" s="2954">
        <f>'Phụ lục số 4'!AA31</f>
        <v>0</v>
      </c>
      <c r="AB31" s="2954">
        <f t="shared" si="8"/>
        <v>0</v>
      </c>
      <c r="AC31" s="2954">
        <f>'Phụ lục số 4'!AC31</f>
        <v>0</v>
      </c>
      <c r="AD31" s="3142">
        <f>'Phụ lục số 4'!AD31</f>
        <v>0</v>
      </c>
      <c r="AE31" s="3153">
        <f>'Phụ lục số 4'!AE31</f>
        <v>0</v>
      </c>
    </row>
    <row r="32" spans="1:31" s="154" customFormat="1">
      <c r="A32" s="2110">
        <v>21</v>
      </c>
      <c r="B32" s="2787" t="str">
        <f>'Phụ lục số 4'!B32</f>
        <v>Trường Chính trị</v>
      </c>
      <c r="C32" s="2954">
        <f t="shared" si="5"/>
        <v>23281</v>
      </c>
      <c r="D32" s="2954">
        <f t="shared" si="6"/>
        <v>0</v>
      </c>
      <c r="E32" s="2954">
        <f>'Phụ lục số 4'!E32</f>
        <v>0</v>
      </c>
      <c r="F32" s="2954">
        <f>'Phụ lục số 4'!F32</f>
        <v>0</v>
      </c>
      <c r="G32" s="2954">
        <f>'Phụ lục số 4'!G32</f>
        <v>0</v>
      </c>
      <c r="H32" s="2954">
        <f>'Phụ lục số 4'!H32</f>
        <v>0</v>
      </c>
      <c r="I32" s="2954"/>
      <c r="J32" s="2954">
        <f t="shared" si="7"/>
        <v>23281</v>
      </c>
      <c r="K32" s="2954">
        <f>'Phụ lục số 4'!K32</f>
        <v>0</v>
      </c>
      <c r="L32" s="2954">
        <f>'Phụ lục số 4'!L32</f>
        <v>0</v>
      </c>
      <c r="M32" s="2954">
        <f>'Phụ lục số 4'!M32</f>
        <v>0</v>
      </c>
      <c r="N32" s="2954">
        <f>'Phụ lục số 4'!N32</f>
        <v>23281</v>
      </c>
      <c r="O32" s="2954">
        <f>'Phụ lục số 4'!O32</f>
        <v>0</v>
      </c>
      <c r="P32" s="2954">
        <f>'Phụ lục số 4'!P32</f>
        <v>0</v>
      </c>
      <c r="Q32" s="2954">
        <f>'Phụ lục số 4'!Q32</f>
        <v>0</v>
      </c>
      <c r="R32" s="2954">
        <f>'Phụ lục số 4'!R32</f>
        <v>0</v>
      </c>
      <c r="S32" s="2954">
        <f>'Phụ lục số 4'!S32</f>
        <v>0</v>
      </c>
      <c r="T32" s="2954">
        <f>'Phụ lục số 4'!T32</f>
        <v>0</v>
      </c>
      <c r="U32" s="2954">
        <f>'Phụ lục số 4'!U32</f>
        <v>0</v>
      </c>
      <c r="V32" s="2954">
        <f>'Phụ lục số 4'!V32</f>
        <v>0</v>
      </c>
      <c r="W32" s="2954">
        <f>'Phụ lục số 4'!W32</f>
        <v>0</v>
      </c>
      <c r="X32" s="2954">
        <f>'Phụ lục số 4'!X32</f>
        <v>0</v>
      </c>
      <c r="Y32" s="2954">
        <f>'Phụ lục số 4'!Y32</f>
        <v>0</v>
      </c>
      <c r="Z32" s="2954">
        <f>'Phụ lục số 4'!Z32</f>
        <v>0</v>
      </c>
      <c r="AA32" s="2954">
        <f>'Phụ lục số 4'!AA32</f>
        <v>0</v>
      </c>
      <c r="AB32" s="2954">
        <f t="shared" si="8"/>
        <v>0</v>
      </c>
      <c r="AC32" s="2954">
        <f>'Phụ lục số 4'!AC32</f>
        <v>0</v>
      </c>
      <c r="AD32" s="3142">
        <f>'Phụ lục số 4'!AD32</f>
        <v>0</v>
      </c>
      <c r="AE32" s="3153">
        <f>'Phụ lục số 4'!AE32</f>
        <v>0</v>
      </c>
    </row>
    <row r="33" spans="1:31" s="154" customFormat="1">
      <c r="A33" s="2110">
        <v>22</v>
      </c>
      <c r="B33" s="2787" t="str">
        <f>'Phụ lục số 4'!B33</f>
        <v>Trường Cao đẳng Cộng đồng</v>
      </c>
      <c r="C33" s="2954">
        <f t="shared" si="5"/>
        <v>61825</v>
      </c>
      <c r="D33" s="2954">
        <f t="shared" si="6"/>
        <v>0</v>
      </c>
      <c r="E33" s="2954">
        <f>'Phụ lục số 4'!E33</f>
        <v>0</v>
      </c>
      <c r="F33" s="2954">
        <f>'Phụ lục số 4'!F33</f>
        <v>0</v>
      </c>
      <c r="G33" s="2954">
        <f>'Phụ lục số 4'!G33</f>
        <v>0</v>
      </c>
      <c r="H33" s="2954">
        <f>'Phụ lục số 4'!H33</f>
        <v>0</v>
      </c>
      <c r="I33" s="2954"/>
      <c r="J33" s="2954">
        <f t="shared" si="7"/>
        <v>61825</v>
      </c>
      <c r="K33" s="2954">
        <f>'Phụ lục số 4'!K33</f>
        <v>0</v>
      </c>
      <c r="L33" s="2954">
        <f>'Phụ lục số 4'!L33</f>
        <v>0</v>
      </c>
      <c r="M33" s="2954">
        <f>'Phụ lục số 4'!M33</f>
        <v>0</v>
      </c>
      <c r="N33" s="2954">
        <f>'Phụ lục số 4'!N33</f>
        <v>61825</v>
      </c>
      <c r="O33" s="2954">
        <f>'Phụ lục số 4'!O33</f>
        <v>0</v>
      </c>
      <c r="P33" s="2954">
        <f>'Phụ lục số 4'!P33</f>
        <v>0</v>
      </c>
      <c r="Q33" s="2954">
        <f>'Phụ lục số 4'!Q33</f>
        <v>0</v>
      </c>
      <c r="R33" s="2954">
        <f>'Phụ lục số 4'!R33</f>
        <v>0</v>
      </c>
      <c r="S33" s="2954">
        <f>'Phụ lục số 4'!S33</f>
        <v>0</v>
      </c>
      <c r="T33" s="2954">
        <f>'Phụ lục số 4'!T33</f>
        <v>0</v>
      </c>
      <c r="U33" s="2954">
        <f>'Phụ lục số 4'!U33</f>
        <v>0</v>
      </c>
      <c r="V33" s="2954">
        <f>'Phụ lục số 4'!V33</f>
        <v>0</v>
      </c>
      <c r="W33" s="2954">
        <f>'Phụ lục số 4'!W33</f>
        <v>0</v>
      </c>
      <c r="X33" s="2954">
        <f>'Phụ lục số 4'!X33</f>
        <v>0</v>
      </c>
      <c r="Y33" s="2954">
        <f>'Phụ lục số 4'!Y33</f>
        <v>0</v>
      </c>
      <c r="Z33" s="2954">
        <f>'Phụ lục số 4'!Z33</f>
        <v>0</v>
      </c>
      <c r="AA33" s="2954">
        <f>'Phụ lục số 4'!AA33</f>
        <v>0</v>
      </c>
      <c r="AB33" s="2954">
        <f t="shared" si="8"/>
        <v>0</v>
      </c>
      <c r="AC33" s="2954">
        <f>'Phụ lục số 4'!AC33</f>
        <v>0</v>
      </c>
      <c r="AD33" s="3142">
        <f>'Phụ lục số 4'!AD33</f>
        <v>0</v>
      </c>
      <c r="AE33" s="3153">
        <f>'Phụ lục số 4'!AE33</f>
        <v>0</v>
      </c>
    </row>
    <row r="34" spans="1:31" s="154" customFormat="1">
      <c r="A34" s="2110">
        <v>23</v>
      </c>
      <c r="B34" s="2787" t="str">
        <f>'Phụ lục số 4'!B34</f>
        <v>Trường Cao đẳng Y tế</v>
      </c>
      <c r="C34" s="2954">
        <f t="shared" si="5"/>
        <v>15870</v>
      </c>
      <c r="D34" s="2954">
        <f t="shared" si="6"/>
        <v>0</v>
      </c>
      <c r="E34" s="2954">
        <f>'Phụ lục số 4'!E34</f>
        <v>0</v>
      </c>
      <c r="F34" s="2954">
        <f>'Phụ lục số 4'!F34</f>
        <v>0</v>
      </c>
      <c r="G34" s="2954">
        <f>'Phụ lục số 4'!G34</f>
        <v>0</v>
      </c>
      <c r="H34" s="2954">
        <f>'Phụ lục số 4'!H34</f>
        <v>0</v>
      </c>
      <c r="I34" s="2954"/>
      <c r="J34" s="2954">
        <f t="shared" si="7"/>
        <v>15870</v>
      </c>
      <c r="K34" s="2954">
        <f>'Phụ lục số 4'!K34</f>
        <v>0</v>
      </c>
      <c r="L34" s="2954">
        <f>'Phụ lục số 4'!L34</f>
        <v>0</v>
      </c>
      <c r="M34" s="2954">
        <f>'Phụ lục số 4'!M34</f>
        <v>0</v>
      </c>
      <c r="N34" s="2954">
        <f>'Phụ lục số 4'!N34</f>
        <v>15870</v>
      </c>
      <c r="O34" s="2954">
        <f>'Phụ lục số 4'!O34</f>
        <v>0</v>
      </c>
      <c r="P34" s="2954">
        <f>'Phụ lục số 4'!P34</f>
        <v>0</v>
      </c>
      <c r="Q34" s="2954">
        <f>'Phụ lục số 4'!Q34</f>
        <v>0</v>
      </c>
      <c r="R34" s="2954">
        <f>'Phụ lục số 4'!R34</f>
        <v>0</v>
      </c>
      <c r="S34" s="2954">
        <f>'Phụ lục số 4'!S34</f>
        <v>0</v>
      </c>
      <c r="T34" s="2954">
        <f>'Phụ lục số 4'!T34</f>
        <v>0</v>
      </c>
      <c r="U34" s="2954">
        <f>'Phụ lục số 4'!U34</f>
        <v>0</v>
      </c>
      <c r="V34" s="2954">
        <f>'Phụ lục số 4'!V34</f>
        <v>0</v>
      </c>
      <c r="W34" s="2954">
        <f>'Phụ lục số 4'!W34</f>
        <v>0</v>
      </c>
      <c r="X34" s="2954">
        <f>'Phụ lục số 4'!X34</f>
        <v>0</v>
      </c>
      <c r="Y34" s="2954">
        <f>'Phụ lục số 4'!Y34</f>
        <v>0</v>
      </c>
      <c r="Z34" s="2954">
        <f>'Phụ lục số 4'!Z34</f>
        <v>0</v>
      </c>
      <c r="AA34" s="2954">
        <f>'Phụ lục số 4'!AA34</f>
        <v>0</v>
      </c>
      <c r="AB34" s="2954">
        <f t="shared" si="8"/>
        <v>0</v>
      </c>
      <c r="AC34" s="2954">
        <f>'Phụ lục số 4'!AC34</f>
        <v>0</v>
      </c>
      <c r="AD34" s="3142">
        <f>'Phụ lục số 4'!AD34</f>
        <v>0</v>
      </c>
      <c r="AE34" s="3153">
        <f>'Phụ lục số 4'!AE34</f>
        <v>0</v>
      </c>
    </row>
    <row r="35" spans="1:31" s="154" customFormat="1">
      <c r="A35" s="2110">
        <v>24</v>
      </c>
      <c r="B35" s="2787" t="str">
        <f>'Phụ lục số 4'!B35</f>
        <v>Ban Quản lý Khu Kinh tế</v>
      </c>
      <c r="C35" s="2954">
        <f t="shared" si="5"/>
        <v>5008</v>
      </c>
      <c r="D35" s="2954">
        <f t="shared" si="6"/>
        <v>0</v>
      </c>
      <c r="E35" s="2954">
        <f>'Phụ lục số 4'!E35</f>
        <v>0</v>
      </c>
      <c r="F35" s="2954">
        <f>'Phụ lục số 4'!F35</f>
        <v>0</v>
      </c>
      <c r="G35" s="2954">
        <f>'Phụ lục số 4'!G35</f>
        <v>0</v>
      </c>
      <c r="H35" s="2954">
        <f>'Phụ lục số 4'!H35</f>
        <v>0</v>
      </c>
      <c r="I35" s="2954"/>
      <c r="J35" s="2954">
        <f t="shared" si="7"/>
        <v>5008</v>
      </c>
      <c r="K35" s="2954">
        <f>'Phụ lục số 4'!K35</f>
        <v>0</v>
      </c>
      <c r="L35" s="2954">
        <f>'Phụ lục số 4'!L35</f>
        <v>88</v>
      </c>
      <c r="M35" s="2954">
        <f>'Phụ lục số 4'!M35</f>
        <v>0</v>
      </c>
      <c r="N35" s="2954">
        <f>'Phụ lục số 4'!N35</f>
        <v>191</v>
      </c>
      <c r="O35" s="2954">
        <f>'Phụ lục số 4'!O35</f>
        <v>0</v>
      </c>
      <c r="P35" s="2954">
        <f>'Phụ lục số 4'!P35</f>
        <v>0</v>
      </c>
      <c r="Q35" s="2954">
        <f>'Phụ lục số 4'!Q35</f>
        <v>0</v>
      </c>
      <c r="R35" s="2954">
        <f>'Phụ lục số 4'!R35</f>
        <v>0</v>
      </c>
      <c r="S35" s="2954">
        <f>'Phụ lục số 4'!S35</f>
        <v>0</v>
      </c>
      <c r="T35" s="2954">
        <f>'Phụ lục số 4'!T35</f>
        <v>4729</v>
      </c>
      <c r="U35" s="2954">
        <f>'Phụ lục số 4'!U35</f>
        <v>0</v>
      </c>
      <c r="V35" s="2954">
        <f>'Phụ lục số 4'!V35</f>
        <v>0</v>
      </c>
      <c r="W35" s="2954">
        <f>'Phụ lục số 4'!W35</f>
        <v>0</v>
      </c>
      <c r="X35" s="2954">
        <f>'Phụ lục số 4'!X35</f>
        <v>0</v>
      </c>
      <c r="Y35" s="2954">
        <f>'Phụ lục số 4'!Y35</f>
        <v>0</v>
      </c>
      <c r="Z35" s="2954">
        <f>'Phụ lục số 4'!Z35</f>
        <v>0</v>
      </c>
      <c r="AA35" s="2954">
        <f>'Phụ lục số 4'!AA35</f>
        <v>0</v>
      </c>
      <c r="AB35" s="2954">
        <f t="shared" si="8"/>
        <v>0</v>
      </c>
      <c r="AC35" s="2954">
        <f>'Phụ lục số 4'!AC35</f>
        <v>0</v>
      </c>
      <c r="AD35" s="3142">
        <f>'Phụ lục số 4'!AD35</f>
        <v>0</v>
      </c>
      <c r="AE35" s="3153">
        <f>'Phụ lục số 4'!AE35</f>
        <v>0</v>
      </c>
    </row>
    <row r="36" spans="1:31" s="154" customFormat="1">
      <c r="A36" s="2110">
        <v>25</v>
      </c>
      <c r="B36" s="2787" t="str">
        <f>'Phụ lục số 4'!B36</f>
        <v xml:space="preserve">Ban An toàn Giao thông </v>
      </c>
      <c r="C36" s="2954">
        <f t="shared" si="5"/>
        <v>9306</v>
      </c>
      <c r="D36" s="2954">
        <f t="shared" si="6"/>
        <v>0</v>
      </c>
      <c r="E36" s="2954">
        <f>'Phụ lục số 4'!E36</f>
        <v>0</v>
      </c>
      <c r="F36" s="2954">
        <f>'Phụ lục số 4'!F36</f>
        <v>0</v>
      </c>
      <c r="G36" s="2954">
        <f>'Phụ lục số 4'!G36</f>
        <v>0</v>
      </c>
      <c r="H36" s="2954">
        <f>'Phụ lục số 4'!H36</f>
        <v>0</v>
      </c>
      <c r="I36" s="2954"/>
      <c r="J36" s="2954">
        <f t="shared" si="7"/>
        <v>2200</v>
      </c>
      <c r="K36" s="2954">
        <f>'Phụ lục số 4'!K36</f>
        <v>2200</v>
      </c>
      <c r="L36" s="2954">
        <f>'Phụ lục số 4'!L36</f>
        <v>0</v>
      </c>
      <c r="M36" s="2954">
        <f>'Phụ lục số 4'!M36</f>
        <v>0</v>
      </c>
      <c r="N36" s="2954">
        <f>'Phụ lục số 4'!N36</f>
        <v>0</v>
      </c>
      <c r="O36" s="2954">
        <f>'Phụ lục số 4'!O36</f>
        <v>0</v>
      </c>
      <c r="P36" s="2954">
        <f>'Phụ lục số 4'!P36</f>
        <v>0</v>
      </c>
      <c r="Q36" s="2954">
        <f>'Phụ lục số 4'!Q36</f>
        <v>0</v>
      </c>
      <c r="R36" s="2954">
        <f>'Phụ lục số 4'!R36</f>
        <v>0</v>
      </c>
      <c r="S36" s="2954">
        <f>'Phụ lục số 4'!S36</f>
        <v>0</v>
      </c>
      <c r="T36" s="2954">
        <f>'Phụ lục số 4'!T36</f>
        <v>0</v>
      </c>
      <c r="U36" s="2954">
        <f>'Phụ lục số 4'!U36</f>
        <v>0</v>
      </c>
      <c r="V36" s="2954">
        <f>'Phụ lục số 4'!V36</f>
        <v>0</v>
      </c>
      <c r="W36" s="2954">
        <f>'Phụ lục số 4'!W36</f>
        <v>0</v>
      </c>
      <c r="X36" s="2954">
        <f>'Phụ lục số 4'!X36</f>
        <v>0</v>
      </c>
      <c r="Y36" s="2954">
        <f>'Phụ lục số 4'!Y36</f>
        <v>0</v>
      </c>
      <c r="Z36" s="2954">
        <f>'Phụ lục số 4'!Z36</f>
        <v>0</v>
      </c>
      <c r="AA36" s="2954">
        <f>'Phụ lục số 4'!AA36</f>
        <v>0</v>
      </c>
      <c r="AB36" s="2954">
        <f t="shared" si="8"/>
        <v>7106</v>
      </c>
      <c r="AC36" s="2954">
        <f>'Phụ lục số 4'!AC36</f>
        <v>0</v>
      </c>
      <c r="AD36" s="3142">
        <f>'Phụ lục số 4'!AD36</f>
        <v>7106</v>
      </c>
      <c r="AE36" s="3153">
        <f>'Phụ lục số 4'!AE36</f>
        <v>0</v>
      </c>
    </row>
    <row r="37" spans="1:31" s="154" customFormat="1" ht="36">
      <c r="A37" s="2110">
        <v>26</v>
      </c>
      <c r="B37" s="2787" t="str">
        <f>'Phụ lục số 4'!B37</f>
        <v>Ban Quản lý dự án Đầu tư xây dựng Công trình nông nghiệp và Phát triển nông thôn</v>
      </c>
      <c r="C37" s="2954">
        <f t="shared" si="5"/>
        <v>90829</v>
      </c>
      <c r="D37" s="2954">
        <f t="shared" si="6"/>
        <v>0</v>
      </c>
      <c r="E37" s="2954">
        <f>'Phụ lục số 4'!E37</f>
        <v>0</v>
      </c>
      <c r="F37" s="2954">
        <f>'Phụ lục số 4'!F37</f>
        <v>0</v>
      </c>
      <c r="G37" s="2954">
        <f>'Phụ lục số 4'!G37</f>
        <v>0</v>
      </c>
      <c r="H37" s="2954">
        <f>'Phụ lục số 4'!H37</f>
        <v>0</v>
      </c>
      <c r="I37" s="2954"/>
      <c r="J37" s="2954">
        <f t="shared" si="7"/>
        <v>90829</v>
      </c>
      <c r="K37" s="2954">
        <f>'Phụ lục số 4'!K37</f>
        <v>90829</v>
      </c>
      <c r="L37" s="2954">
        <f>'Phụ lục số 4'!L37</f>
        <v>0</v>
      </c>
      <c r="M37" s="2954">
        <f>'Phụ lục số 4'!M37</f>
        <v>0</v>
      </c>
      <c r="N37" s="2954">
        <f>'Phụ lục số 4'!N37</f>
        <v>0</v>
      </c>
      <c r="O37" s="2954">
        <f>'Phụ lục số 4'!O37</f>
        <v>0</v>
      </c>
      <c r="P37" s="2954">
        <f>'Phụ lục số 4'!P37</f>
        <v>0</v>
      </c>
      <c r="Q37" s="2954">
        <f>'Phụ lục số 4'!Q37</f>
        <v>0</v>
      </c>
      <c r="R37" s="2954">
        <f>'Phụ lục số 4'!R37</f>
        <v>0</v>
      </c>
      <c r="S37" s="2954">
        <f>'Phụ lục số 4'!S37</f>
        <v>0</v>
      </c>
      <c r="T37" s="2954">
        <f>'Phụ lục số 4'!T37</f>
        <v>0</v>
      </c>
      <c r="U37" s="2954">
        <f>'Phụ lục số 4'!U37</f>
        <v>0</v>
      </c>
      <c r="V37" s="2954">
        <f>'Phụ lục số 4'!V37</f>
        <v>0</v>
      </c>
      <c r="W37" s="2954">
        <f>'Phụ lục số 4'!W37</f>
        <v>0</v>
      </c>
      <c r="X37" s="2954">
        <f>'Phụ lục số 4'!X37</f>
        <v>0</v>
      </c>
      <c r="Y37" s="2954">
        <f>'Phụ lục số 4'!Y37</f>
        <v>0</v>
      </c>
      <c r="Z37" s="2954">
        <f>'Phụ lục số 4'!Z37</f>
        <v>0</v>
      </c>
      <c r="AA37" s="2954">
        <f>'Phụ lục số 4'!AA37</f>
        <v>0</v>
      </c>
      <c r="AB37" s="2954">
        <f t="shared" si="8"/>
        <v>0</v>
      </c>
      <c r="AC37" s="2954">
        <f>'Phụ lục số 4'!AC37</f>
        <v>0</v>
      </c>
      <c r="AD37" s="3142">
        <f>'Phụ lục số 4'!AD37</f>
        <v>0</v>
      </c>
      <c r="AE37" s="3153">
        <f>'Phụ lục số 4'!AE37</f>
        <v>0</v>
      </c>
    </row>
    <row r="38" spans="1:31" s="154" customFormat="1" ht="36">
      <c r="A38" s="2110">
        <v>27</v>
      </c>
      <c r="B38" s="2787" t="str">
        <f>'Phụ lục số 4'!B38</f>
        <v>Trung tâm xúc tiến Đầu tư - Thương mại và Du lịch</v>
      </c>
      <c r="C38" s="2954">
        <f t="shared" si="5"/>
        <v>18733</v>
      </c>
      <c r="D38" s="2954">
        <f t="shared" si="6"/>
        <v>0</v>
      </c>
      <c r="E38" s="2954">
        <f>'Phụ lục số 4'!E38</f>
        <v>0</v>
      </c>
      <c r="F38" s="2954">
        <f>'Phụ lục số 4'!F38</f>
        <v>0</v>
      </c>
      <c r="G38" s="2954">
        <f>'Phụ lục số 4'!G38</f>
        <v>0</v>
      </c>
      <c r="H38" s="2954">
        <f>'Phụ lục số 4'!H38</f>
        <v>0</v>
      </c>
      <c r="I38" s="2954"/>
      <c r="J38" s="2954">
        <f t="shared" si="7"/>
        <v>18733</v>
      </c>
      <c r="K38" s="2954">
        <f>'Phụ lục số 4'!K38</f>
        <v>17233</v>
      </c>
      <c r="L38" s="2954">
        <f>'Phụ lục số 4'!L38</f>
        <v>0</v>
      </c>
      <c r="M38" s="2954">
        <f>'Phụ lục số 4'!M38</f>
        <v>0</v>
      </c>
      <c r="N38" s="2954">
        <f>'Phụ lục số 4'!N38</f>
        <v>0</v>
      </c>
      <c r="O38" s="2954">
        <f>'Phụ lục số 4'!O38</f>
        <v>0</v>
      </c>
      <c r="P38" s="2954">
        <f>'Phụ lục số 4'!P38</f>
        <v>1500</v>
      </c>
      <c r="Q38" s="2954">
        <f>'Phụ lục số 4'!Q38</f>
        <v>0</v>
      </c>
      <c r="R38" s="2954">
        <f>'Phụ lục số 4'!R38</f>
        <v>0</v>
      </c>
      <c r="S38" s="2954">
        <f>'Phụ lục số 4'!S38</f>
        <v>0</v>
      </c>
      <c r="T38" s="2954">
        <f>'Phụ lục số 4'!T38</f>
        <v>0</v>
      </c>
      <c r="U38" s="2954">
        <f>'Phụ lục số 4'!U38</f>
        <v>0</v>
      </c>
      <c r="V38" s="2954">
        <f>'Phụ lục số 4'!V38</f>
        <v>0</v>
      </c>
      <c r="W38" s="2954">
        <f>'Phụ lục số 4'!W38</f>
        <v>0</v>
      </c>
      <c r="X38" s="2954">
        <f>'Phụ lục số 4'!X38</f>
        <v>0</v>
      </c>
      <c r="Y38" s="2954">
        <f>'Phụ lục số 4'!Y38</f>
        <v>0</v>
      </c>
      <c r="Z38" s="2954">
        <f>'Phụ lục số 4'!Z38</f>
        <v>0</v>
      </c>
      <c r="AA38" s="2954">
        <f>'Phụ lục số 4'!AA38</f>
        <v>0</v>
      </c>
      <c r="AB38" s="2954">
        <f t="shared" si="8"/>
        <v>0</v>
      </c>
      <c r="AC38" s="2954">
        <f>'Phụ lục số 4'!AC38</f>
        <v>0</v>
      </c>
      <c r="AD38" s="3142">
        <f>'Phụ lục số 4'!AD38</f>
        <v>0</v>
      </c>
      <c r="AE38" s="3153">
        <f>'Phụ lục số 4'!AE38</f>
        <v>0</v>
      </c>
    </row>
    <row r="39" spans="1:31" s="154" customFormat="1">
      <c r="A39" s="2110">
        <v>28</v>
      </c>
      <c r="B39" s="2787" t="str">
        <f>'Phụ lục số 4'!B39</f>
        <v>Vườn Quốc gia Tràm chim</v>
      </c>
      <c r="C39" s="2954">
        <f t="shared" si="5"/>
        <v>27221</v>
      </c>
      <c r="D39" s="2954">
        <f t="shared" si="6"/>
        <v>0</v>
      </c>
      <c r="E39" s="2954">
        <f>'Phụ lục số 4'!E39</f>
        <v>0</v>
      </c>
      <c r="F39" s="2954">
        <f>'Phụ lục số 4'!F39</f>
        <v>0</v>
      </c>
      <c r="G39" s="2954">
        <f>'Phụ lục số 4'!G39</f>
        <v>0</v>
      </c>
      <c r="H39" s="2954">
        <f>'Phụ lục số 4'!H39</f>
        <v>0</v>
      </c>
      <c r="I39" s="2954"/>
      <c r="J39" s="2954">
        <f t="shared" si="7"/>
        <v>27221</v>
      </c>
      <c r="K39" s="2954">
        <f>'Phụ lục số 4'!K39</f>
        <v>0</v>
      </c>
      <c r="L39" s="2954">
        <f>'Phụ lục số 4'!L39</f>
        <v>27221</v>
      </c>
      <c r="M39" s="2954">
        <f>'Phụ lục số 4'!M39</f>
        <v>0</v>
      </c>
      <c r="N39" s="2954">
        <f>'Phụ lục số 4'!N39</f>
        <v>0</v>
      </c>
      <c r="O39" s="2954">
        <f>'Phụ lục số 4'!O39</f>
        <v>0</v>
      </c>
      <c r="P39" s="2954">
        <f>'Phụ lục số 4'!P39</f>
        <v>0</v>
      </c>
      <c r="Q39" s="2954">
        <f>'Phụ lục số 4'!Q39</f>
        <v>0</v>
      </c>
      <c r="R39" s="2954">
        <f>'Phụ lục số 4'!R39</f>
        <v>0</v>
      </c>
      <c r="S39" s="2954">
        <f>'Phụ lục số 4'!S39</f>
        <v>0</v>
      </c>
      <c r="T39" s="2954">
        <f>'Phụ lục số 4'!T39</f>
        <v>0</v>
      </c>
      <c r="U39" s="2954">
        <f>'Phụ lục số 4'!U39</f>
        <v>0</v>
      </c>
      <c r="V39" s="2954">
        <f>'Phụ lục số 4'!V39</f>
        <v>0</v>
      </c>
      <c r="W39" s="2954">
        <f>'Phụ lục số 4'!W39</f>
        <v>0</v>
      </c>
      <c r="X39" s="2954">
        <f>'Phụ lục số 4'!X39</f>
        <v>0</v>
      </c>
      <c r="Y39" s="2954">
        <f>'Phụ lục số 4'!Y39</f>
        <v>0</v>
      </c>
      <c r="Z39" s="2954">
        <f>'Phụ lục số 4'!Z39</f>
        <v>0</v>
      </c>
      <c r="AA39" s="2954">
        <f>'Phụ lục số 4'!AA39</f>
        <v>0</v>
      </c>
      <c r="AB39" s="2954">
        <f t="shared" si="8"/>
        <v>0</v>
      </c>
      <c r="AC39" s="2954">
        <f>'Phụ lục số 4'!AC39</f>
        <v>0</v>
      </c>
      <c r="AD39" s="3142">
        <f>'Phụ lục số 4'!AD39</f>
        <v>0</v>
      </c>
      <c r="AE39" s="3153">
        <f>'Phụ lục số 4'!AE39</f>
        <v>0</v>
      </c>
    </row>
    <row r="40" spans="1:31" s="154" customFormat="1" hidden="1">
      <c r="A40" s="2110">
        <v>29</v>
      </c>
      <c r="B40" s="2788"/>
      <c r="C40" s="2954">
        <f t="shared" si="5"/>
        <v>0</v>
      </c>
      <c r="D40" s="2954">
        <f t="shared" si="6"/>
        <v>0</v>
      </c>
      <c r="E40" s="2954">
        <f>'Phụ lục số 4'!E40</f>
        <v>0</v>
      </c>
      <c r="F40" s="2954">
        <f>'Phụ lục số 4'!F40</f>
        <v>0</v>
      </c>
      <c r="G40" s="2954">
        <f>'Phụ lục số 4'!G40</f>
        <v>0</v>
      </c>
      <c r="H40" s="2954">
        <f>'Phụ lục số 4'!H40</f>
        <v>0</v>
      </c>
      <c r="I40" s="2954"/>
      <c r="J40" s="2954">
        <f>SUM(K40:V40)</f>
        <v>0</v>
      </c>
      <c r="K40" s="2954">
        <f>'Phụ lục số 4'!K40</f>
        <v>0</v>
      </c>
      <c r="L40" s="2954">
        <f>'Phụ lục số 4'!L40</f>
        <v>0</v>
      </c>
      <c r="M40" s="2954">
        <f>'Phụ lục số 4'!M40</f>
        <v>0</v>
      </c>
      <c r="N40" s="2954">
        <f>'Phụ lục số 4'!N40</f>
        <v>0</v>
      </c>
      <c r="O40" s="2954">
        <f>'Phụ lục số 4'!O40</f>
        <v>0</v>
      </c>
      <c r="P40" s="2954">
        <f>'Phụ lục số 4'!P40</f>
        <v>0</v>
      </c>
      <c r="Q40" s="2954">
        <f>'Phụ lục số 4'!Q40</f>
        <v>0</v>
      </c>
      <c r="R40" s="2954">
        <f>'Phụ lục số 4'!R40</f>
        <v>0</v>
      </c>
      <c r="S40" s="2954">
        <f>'Phụ lục số 4'!S40</f>
        <v>0</v>
      </c>
      <c r="T40" s="2954">
        <f>'Phụ lục số 4'!T40</f>
        <v>0</v>
      </c>
      <c r="U40" s="2954">
        <f>'Phụ lục số 4'!U40</f>
        <v>0</v>
      </c>
      <c r="V40" s="2954">
        <f>'Phụ lục số 4'!V40</f>
        <v>0</v>
      </c>
      <c r="W40" s="2954">
        <f>'Phụ lục số 4'!W40</f>
        <v>0</v>
      </c>
      <c r="X40" s="2954">
        <f>'Phụ lục số 4'!X40</f>
        <v>0</v>
      </c>
      <c r="Y40" s="2954">
        <f>'Phụ lục số 4'!Y40</f>
        <v>0</v>
      </c>
      <c r="Z40" s="2954">
        <f>'Phụ lục số 4'!Z40</f>
        <v>0</v>
      </c>
      <c r="AA40" s="2954">
        <f>'Phụ lục số 4'!AA40</f>
        <v>0</v>
      </c>
      <c r="AB40" s="2954">
        <f>SUM(AC40:AD40)</f>
        <v>0</v>
      </c>
      <c r="AC40" s="2954">
        <f>'Phụ lục số 4'!AC40</f>
        <v>0</v>
      </c>
      <c r="AD40" s="3142">
        <f>'Phụ lục số 4'!AD40</f>
        <v>0</v>
      </c>
      <c r="AE40" s="3153">
        <f>'Phụ lục số 4'!AE40</f>
        <v>0</v>
      </c>
    </row>
    <row r="41" spans="1:31" s="154" customFormat="1" ht="34.799999999999997">
      <c r="A41" s="2924" t="s">
        <v>20</v>
      </c>
      <c r="B41" s="3565" t="str">
        <f>'Phụ lục số 4'!B41</f>
        <v>CÁC TỔ CHỨC CHÍNH TRỊ - XÃ HỘI; XÃ HỘI NGHỀ NGHIỆP</v>
      </c>
      <c r="C41" s="3566">
        <f>SUM(C42,C48)</f>
        <v>68556</v>
      </c>
      <c r="D41" s="3566">
        <f t="shared" ref="D41:H41" si="9">SUM(D42,D48)</f>
        <v>0</v>
      </c>
      <c r="E41" s="3566">
        <f t="shared" si="9"/>
        <v>0</v>
      </c>
      <c r="F41" s="3566">
        <f t="shared" si="9"/>
        <v>0</v>
      </c>
      <c r="G41" s="3566">
        <f t="shared" si="9"/>
        <v>0</v>
      </c>
      <c r="H41" s="3566">
        <f t="shared" si="9"/>
        <v>0</v>
      </c>
      <c r="I41" s="3566"/>
      <c r="J41" s="3566">
        <f>SUM(J42,J48)</f>
        <v>68556</v>
      </c>
      <c r="K41" s="3566">
        <f>SUM(K42,K48)</f>
        <v>10310</v>
      </c>
      <c r="L41" s="3566">
        <f t="shared" ref="L41:AE41" si="10">SUM(L42,L48)</f>
        <v>192</v>
      </c>
      <c r="M41" s="3566">
        <f t="shared" si="10"/>
        <v>1160</v>
      </c>
      <c r="N41" s="3566">
        <f t="shared" si="10"/>
        <v>5267</v>
      </c>
      <c r="O41" s="3566">
        <f t="shared" si="10"/>
        <v>100</v>
      </c>
      <c r="P41" s="3566">
        <f t="shared" si="10"/>
        <v>0</v>
      </c>
      <c r="Q41" s="3566">
        <f t="shared" si="10"/>
        <v>477</v>
      </c>
      <c r="R41" s="3566">
        <f t="shared" si="10"/>
        <v>0</v>
      </c>
      <c r="S41" s="3566">
        <f t="shared" si="10"/>
        <v>0</v>
      </c>
      <c r="T41" s="3566">
        <f t="shared" si="10"/>
        <v>51050</v>
      </c>
      <c r="U41" s="3566">
        <f t="shared" si="10"/>
        <v>0</v>
      </c>
      <c r="V41" s="3566">
        <f t="shared" si="10"/>
        <v>0</v>
      </c>
      <c r="W41" s="3566"/>
      <c r="X41" s="3566"/>
      <c r="Y41" s="3566"/>
      <c r="Z41" s="3566"/>
      <c r="AA41" s="3566"/>
      <c r="AB41" s="3566">
        <f t="shared" si="10"/>
        <v>0</v>
      </c>
      <c r="AC41" s="3566">
        <f t="shared" si="10"/>
        <v>0</v>
      </c>
      <c r="AD41" s="3567">
        <f t="shared" si="10"/>
        <v>0</v>
      </c>
      <c r="AE41" s="3154">
        <f t="shared" si="10"/>
        <v>0</v>
      </c>
    </row>
    <row r="42" spans="1:31" s="154" customFormat="1">
      <c r="A42" s="2109" t="s">
        <v>1466</v>
      </c>
      <c r="B42" s="2788" t="str">
        <f>'Phụ lục số 4'!B42</f>
        <v>Khối đoàn thể</v>
      </c>
      <c r="C42" s="2956">
        <f>SUM(C43:C47)</f>
        <v>46462</v>
      </c>
      <c r="D42" s="2956">
        <f t="shared" ref="D42:H42" si="11">SUM(D43:D47)</f>
        <v>0</v>
      </c>
      <c r="E42" s="2956">
        <f t="shared" si="11"/>
        <v>0</v>
      </c>
      <c r="F42" s="2956">
        <f t="shared" si="11"/>
        <v>0</v>
      </c>
      <c r="G42" s="2956">
        <f t="shared" si="11"/>
        <v>0</v>
      </c>
      <c r="H42" s="2956">
        <f t="shared" si="11"/>
        <v>0</v>
      </c>
      <c r="I42" s="2956"/>
      <c r="J42" s="2956">
        <f t="shared" ref="J42:AE42" si="12">SUM(J43:J47)</f>
        <v>46462</v>
      </c>
      <c r="K42" s="2956">
        <f t="shared" si="12"/>
        <v>10310</v>
      </c>
      <c r="L42" s="2956">
        <f t="shared" si="12"/>
        <v>132</v>
      </c>
      <c r="M42" s="2956">
        <f t="shared" si="12"/>
        <v>450</v>
      </c>
      <c r="N42" s="2956">
        <f t="shared" si="12"/>
        <v>2852</v>
      </c>
      <c r="O42" s="2956">
        <f t="shared" si="12"/>
        <v>0</v>
      </c>
      <c r="P42" s="2956">
        <f t="shared" si="12"/>
        <v>0</v>
      </c>
      <c r="Q42" s="2956">
        <f t="shared" si="12"/>
        <v>0</v>
      </c>
      <c r="R42" s="2956">
        <f t="shared" si="12"/>
        <v>0</v>
      </c>
      <c r="S42" s="2956">
        <f t="shared" si="12"/>
        <v>0</v>
      </c>
      <c r="T42" s="2956">
        <f t="shared" si="12"/>
        <v>32718</v>
      </c>
      <c r="U42" s="2956">
        <f t="shared" si="12"/>
        <v>0</v>
      </c>
      <c r="V42" s="2956">
        <f t="shared" si="12"/>
        <v>0</v>
      </c>
      <c r="W42" s="2956"/>
      <c r="X42" s="2956"/>
      <c r="Y42" s="2956"/>
      <c r="Z42" s="2956"/>
      <c r="AA42" s="2956"/>
      <c r="AB42" s="2956">
        <f t="shared" si="12"/>
        <v>0</v>
      </c>
      <c r="AC42" s="2956">
        <f t="shared" si="12"/>
        <v>0</v>
      </c>
      <c r="AD42" s="3143">
        <f t="shared" si="12"/>
        <v>0</v>
      </c>
      <c r="AE42" s="3154">
        <f t="shared" si="12"/>
        <v>0</v>
      </c>
    </row>
    <row r="43" spans="1:31" s="154" customFormat="1">
      <c r="A43" s="2110">
        <f>A39+1</f>
        <v>29</v>
      </c>
      <c r="B43" s="2787" t="str">
        <f>'Phụ lục số 4'!B43</f>
        <v>Ủy ban Mặt trận tổ quốc Tỉnh</v>
      </c>
      <c r="C43" s="2954">
        <f>D43+J43+AB43+W43+X43+AA43</f>
        <v>12640</v>
      </c>
      <c r="D43" s="2954">
        <f>SUM(E43:H43)</f>
        <v>0</v>
      </c>
      <c r="E43" s="2954">
        <f>'Phụ lục số 4'!E43</f>
        <v>0</v>
      </c>
      <c r="F43" s="2954">
        <f>'Phụ lục số 4'!F43</f>
        <v>0</v>
      </c>
      <c r="G43" s="2954">
        <f>'Phụ lục số 4'!G43</f>
        <v>0</v>
      </c>
      <c r="H43" s="2954">
        <f>'Phụ lục số 4'!H43</f>
        <v>0</v>
      </c>
      <c r="I43" s="2954"/>
      <c r="J43" s="2954">
        <f>SUM(K43:V43)</f>
        <v>12640</v>
      </c>
      <c r="K43" s="2954">
        <f>'Phụ lục số 4'!K43</f>
        <v>0</v>
      </c>
      <c r="L43" s="2954">
        <f>'Phụ lục số 4'!L43</f>
        <v>41</v>
      </c>
      <c r="M43" s="2954">
        <f>'Phụ lục số 4'!M43</f>
        <v>175</v>
      </c>
      <c r="N43" s="2954">
        <f>'Phụ lục số 4'!N43</f>
        <v>496</v>
      </c>
      <c r="O43" s="2954">
        <f>'Phụ lục số 4'!O43</f>
        <v>0</v>
      </c>
      <c r="P43" s="2954">
        <f>'Phụ lục số 4'!P43</f>
        <v>0</v>
      </c>
      <c r="Q43" s="2954">
        <f>'Phụ lục số 4'!Q43</f>
        <v>0</v>
      </c>
      <c r="R43" s="2954">
        <f>'Phụ lục số 4'!R43</f>
        <v>0</v>
      </c>
      <c r="S43" s="2954">
        <f>'Phụ lục số 4'!S43</f>
        <v>0</v>
      </c>
      <c r="T43" s="2954">
        <f>'Phụ lục số 4'!T43</f>
        <v>11928</v>
      </c>
      <c r="U43" s="2954">
        <f>'Phụ lục số 4'!U43</f>
        <v>0</v>
      </c>
      <c r="V43" s="2954">
        <f>'Phụ lục số 4'!V43</f>
        <v>0</v>
      </c>
      <c r="W43" s="2954">
        <f>'Phụ lục số 4'!W43</f>
        <v>0</v>
      </c>
      <c r="X43" s="2954">
        <f>'Phụ lục số 4'!X43</f>
        <v>0</v>
      </c>
      <c r="Y43" s="2954">
        <f>'Phụ lục số 4'!Y43</f>
        <v>0</v>
      </c>
      <c r="Z43" s="2954">
        <f>'Phụ lục số 4'!Z43</f>
        <v>0</v>
      </c>
      <c r="AA43" s="2954">
        <f>'Phụ lục số 4'!AA43</f>
        <v>0</v>
      </c>
      <c r="AB43" s="2954">
        <f>SUM(AC43:AD43)</f>
        <v>0</v>
      </c>
      <c r="AC43" s="2954">
        <f>'Phụ lục số 4'!AC43</f>
        <v>0</v>
      </c>
      <c r="AD43" s="3142">
        <f>'Phụ lục số 4'!AD43</f>
        <v>0</v>
      </c>
      <c r="AE43" s="3153">
        <f>'Phụ lục số 4'!AE43</f>
        <v>0</v>
      </c>
    </row>
    <row r="44" spans="1:31" s="154" customFormat="1">
      <c r="A44" s="2110">
        <f>A43+1</f>
        <v>30</v>
      </c>
      <c r="B44" s="2787" t="str">
        <f>'Phụ lục số 4'!B44</f>
        <v>Tỉnh đoàn</v>
      </c>
      <c r="C44" s="2954">
        <f>D44+J44+AB44+W44+X44+AA44</f>
        <v>8603.5</v>
      </c>
      <c r="D44" s="2954">
        <f>SUM(E44:H44)</f>
        <v>0</v>
      </c>
      <c r="E44" s="2954">
        <f>'Phụ lục số 4'!E44</f>
        <v>0</v>
      </c>
      <c r="F44" s="2954">
        <f>'Phụ lục số 4'!F44</f>
        <v>0</v>
      </c>
      <c r="G44" s="2954">
        <f>'Phụ lục số 4'!G44</f>
        <v>0</v>
      </c>
      <c r="H44" s="2954">
        <f>'Phụ lục số 4'!H44</f>
        <v>0</v>
      </c>
      <c r="I44" s="2954"/>
      <c r="J44" s="2954">
        <f t="shared" ref="J44:J118" si="13">SUM(K44:V44)</f>
        <v>8603.5</v>
      </c>
      <c r="K44" s="2954">
        <f>'Phụ lục số 4'!K44</f>
        <v>310</v>
      </c>
      <c r="L44" s="2954">
        <f>'Phụ lục số 4'!L44</f>
        <v>21</v>
      </c>
      <c r="M44" s="2954">
        <f>'Phụ lục số 4'!M44</f>
        <v>100</v>
      </c>
      <c r="N44" s="2954">
        <f>'Phụ lục số 4'!N44</f>
        <v>493</v>
      </c>
      <c r="O44" s="2954">
        <f>'Phụ lục số 4'!O44</f>
        <v>0</v>
      </c>
      <c r="P44" s="2954">
        <f>'Phụ lục số 4'!P44</f>
        <v>0</v>
      </c>
      <c r="Q44" s="2954">
        <f>'Phụ lục số 4'!Q44</f>
        <v>0</v>
      </c>
      <c r="R44" s="2954">
        <f>'Phụ lục số 4'!R44</f>
        <v>0</v>
      </c>
      <c r="S44" s="2954">
        <f>'Phụ lục số 4'!S44</f>
        <v>0</v>
      </c>
      <c r="T44" s="2954">
        <f>'Phụ lục số 4'!T44</f>
        <v>7679.5</v>
      </c>
      <c r="U44" s="2954">
        <f>'Phụ lục số 4'!U44</f>
        <v>0</v>
      </c>
      <c r="V44" s="2954">
        <f>'Phụ lục số 4'!V44</f>
        <v>0</v>
      </c>
      <c r="W44" s="2954">
        <f>'Phụ lục số 4'!W44</f>
        <v>0</v>
      </c>
      <c r="X44" s="2954">
        <f>'Phụ lục số 4'!X44</f>
        <v>0</v>
      </c>
      <c r="Y44" s="2954">
        <f>'Phụ lục số 4'!Y44</f>
        <v>0</v>
      </c>
      <c r="Z44" s="2954">
        <f>'Phụ lục số 4'!Z44</f>
        <v>0</v>
      </c>
      <c r="AA44" s="2954">
        <f>'Phụ lục số 4'!AA44</f>
        <v>0</v>
      </c>
      <c r="AB44" s="2954">
        <f>SUM(AC44:AD44)</f>
        <v>0</v>
      </c>
      <c r="AC44" s="2954">
        <f>'Phụ lục số 4'!AC44</f>
        <v>0</v>
      </c>
      <c r="AD44" s="3142">
        <f>'Phụ lục số 4'!AD44</f>
        <v>0</v>
      </c>
      <c r="AE44" s="3153">
        <f>'Phụ lục số 4'!AE44</f>
        <v>0</v>
      </c>
    </row>
    <row r="45" spans="1:31" s="154" customFormat="1">
      <c r="A45" s="2110">
        <f>A44+1</f>
        <v>31</v>
      </c>
      <c r="B45" s="2787" t="str">
        <f>'Phụ lục số 4'!B45</f>
        <v>Hội Liên hiệp Phụ nữ</v>
      </c>
      <c r="C45" s="2954">
        <f>D45+J45+AB45+W45+X45+AA45</f>
        <v>6448</v>
      </c>
      <c r="D45" s="2954">
        <f>SUM(E45:H45)</f>
        <v>0</v>
      </c>
      <c r="E45" s="2954">
        <f>'Phụ lục số 4'!E45</f>
        <v>0</v>
      </c>
      <c r="F45" s="2954">
        <f>'Phụ lục số 4'!F45</f>
        <v>0</v>
      </c>
      <c r="G45" s="2954">
        <f>'Phụ lục số 4'!G45</f>
        <v>0</v>
      </c>
      <c r="H45" s="2954">
        <f>'Phụ lục số 4'!H45</f>
        <v>0</v>
      </c>
      <c r="I45" s="2954"/>
      <c r="J45" s="2954">
        <f t="shared" si="13"/>
        <v>6448</v>
      </c>
      <c r="K45" s="2954">
        <f>'Phụ lục số 4'!K45</f>
        <v>0</v>
      </c>
      <c r="L45" s="2954">
        <f>'Phụ lục số 4'!L45</f>
        <v>70</v>
      </c>
      <c r="M45" s="2954">
        <f>'Phụ lục số 4'!M45</f>
        <v>0</v>
      </c>
      <c r="N45" s="2954">
        <f>'Phụ lục số 4'!N45</f>
        <v>1100</v>
      </c>
      <c r="O45" s="2954">
        <f>'Phụ lục số 4'!O45</f>
        <v>0</v>
      </c>
      <c r="P45" s="2954">
        <f>'Phụ lục số 4'!P45</f>
        <v>0</v>
      </c>
      <c r="Q45" s="2954">
        <f>'Phụ lục số 4'!Q45</f>
        <v>0</v>
      </c>
      <c r="R45" s="2954">
        <f>'Phụ lục số 4'!R45</f>
        <v>0</v>
      </c>
      <c r="S45" s="2954">
        <f>'Phụ lục số 4'!S45</f>
        <v>0</v>
      </c>
      <c r="T45" s="2954">
        <f>'Phụ lục số 4'!T45</f>
        <v>5278</v>
      </c>
      <c r="U45" s="2954">
        <f>'Phụ lục số 4'!U45</f>
        <v>0</v>
      </c>
      <c r="V45" s="2954">
        <f>'Phụ lục số 4'!V45</f>
        <v>0</v>
      </c>
      <c r="W45" s="2954">
        <f>'Phụ lục số 4'!W45</f>
        <v>0</v>
      </c>
      <c r="X45" s="2954">
        <f>'Phụ lục số 4'!X45</f>
        <v>0</v>
      </c>
      <c r="Y45" s="2954">
        <f>'Phụ lục số 4'!Y45</f>
        <v>0</v>
      </c>
      <c r="Z45" s="2954">
        <f>'Phụ lục số 4'!Z45</f>
        <v>0</v>
      </c>
      <c r="AA45" s="2954">
        <f>'Phụ lục số 4'!AA45</f>
        <v>0</v>
      </c>
      <c r="AB45" s="2954">
        <f>SUM(AC45:AD45)</f>
        <v>0</v>
      </c>
      <c r="AC45" s="2954">
        <f>'Phụ lục số 4'!AC45</f>
        <v>0</v>
      </c>
      <c r="AD45" s="3142">
        <f>'Phụ lục số 4'!AD45</f>
        <v>0</v>
      </c>
      <c r="AE45" s="3153">
        <f>'Phụ lục số 4'!AE45</f>
        <v>0</v>
      </c>
    </row>
    <row r="46" spans="1:31" s="154" customFormat="1">
      <c r="A46" s="2110">
        <f>A45+1</f>
        <v>32</v>
      </c>
      <c r="B46" s="2787" t="str">
        <f>'Phụ lục số 4'!B46</f>
        <v>Hội Nông dân</v>
      </c>
      <c r="C46" s="2954">
        <f>D46+J46+AB46+W46+X46+AA46</f>
        <v>15292.5</v>
      </c>
      <c r="D46" s="2954">
        <f>SUM(E46:H46)</f>
        <v>0</v>
      </c>
      <c r="E46" s="2954">
        <f>'Phụ lục số 4'!E46</f>
        <v>0</v>
      </c>
      <c r="F46" s="2954">
        <f>'Phụ lục số 4'!F46</f>
        <v>0</v>
      </c>
      <c r="G46" s="2954">
        <f>'Phụ lục số 4'!G46</f>
        <v>0</v>
      </c>
      <c r="H46" s="2954">
        <f>'Phụ lục số 4'!H46</f>
        <v>0</v>
      </c>
      <c r="I46" s="2954"/>
      <c r="J46" s="2954">
        <f t="shared" si="13"/>
        <v>15292.5</v>
      </c>
      <c r="K46" s="2954">
        <f>'Phụ lục số 4'!K46</f>
        <v>10000</v>
      </c>
      <c r="L46" s="2954">
        <f>'Phụ lục số 4'!L46</f>
        <v>0</v>
      </c>
      <c r="M46" s="2954">
        <f>'Phụ lục số 4'!M46</f>
        <v>75</v>
      </c>
      <c r="N46" s="2954">
        <f>'Phụ lục số 4'!N46</f>
        <v>500</v>
      </c>
      <c r="O46" s="2954">
        <f>'Phụ lục số 4'!O46</f>
        <v>0</v>
      </c>
      <c r="P46" s="2954">
        <f>'Phụ lục số 4'!P46</f>
        <v>0</v>
      </c>
      <c r="Q46" s="2954">
        <f>'Phụ lục số 4'!Q46</f>
        <v>0</v>
      </c>
      <c r="R46" s="2954">
        <f>'Phụ lục số 4'!R46</f>
        <v>0</v>
      </c>
      <c r="S46" s="2954">
        <f>'Phụ lục số 4'!S46</f>
        <v>0</v>
      </c>
      <c r="T46" s="2954">
        <f>'Phụ lục số 4'!T46</f>
        <v>4717.5</v>
      </c>
      <c r="U46" s="2954">
        <f>'Phụ lục số 4'!U46</f>
        <v>0</v>
      </c>
      <c r="V46" s="2954">
        <f>'Phụ lục số 4'!V46</f>
        <v>0</v>
      </c>
      <c r="W46" s="2954">
        <f>'Phụ lục số 4'!W46</f>
        <v>0</v>
      </c>
      <c r="X46" s="2954">
        <f>'Phụ lục số 4'!X46</f>
        <v>0</v>
      </c>
      <c r="Y46" s="2954">
        <f>'Phụ lục số 4'!Y46</f>
        <v>0</v>
      </c>
      <c r="Z46" s="2954">
        <f>'Phụ lục số 4'!Z46</f>
        <v>0</v>
      </c>
      <c r="AA46" s="2954">
        <f>'Phụ lục số 4'!AA46</f>
        <v>0</v>
      </c>
      <c r="AB46" s="2954">
        <f>SUM(AC46:AD46)</f>
        <v>0</v>
      </c>
      <c r="AC46" s="2954">
        <f>'Phụ lục số 4'!AC46</f>
        <v>0</v>
      </c>
      <c r="AD46" s="3142">
        <f>'Phụ lục số 4'!AD46</f>
        <v>0</v>
      </c>
      <c r="AE46" s="3153">
        <f>'Phụ lục số 4'!AE46</f>
        <v>0</v>
      </c>
    </row>
    <row r="47" spans="1:31" s="154" customFormat="1">
      <c r="A47" s="2110">
        <f>A46+1</f>
        <v>33</v>
      </c>
      <c r="B47" s="2787" t="str">
        <f>'Phụ lục số 4'!B47</f>
        <v>Hội Cựu Chiến binh</v>
      </c>
      <c r="C47" s="2954">
        <f>D47+J47+AB47+W47+X47+AA47</f>
        <v>3478</v>
      </c>
      <c r="D47" s="2954">
        <f>SUM(E47:H47)</f>
        <v>0</v>
      </c>
      <c r="E47" s="2954">
        <f>'Phụ lục số 4'!E47</f>
        <v>0</v>
      </c>
      <c r="F47" s="2954">
        <f>'Phụ lục số 4'!F47</f>
        <v>0</v>
      </c>
      <c r="G47" s="2954">
        <f>'Phụ lục số 4'!G47</f>
        <v>0</v>
      </c>
      <c r="H47" s="2954">
        <f>'Phụ lục số 4'!H47</f>
        <v>0</v>
      </c>
      <c r="I47" s="2954"/>
      <c r="J47" s="2954">
        <f t="shared" si="13"/>
        <v>3478</v>
      </c>
      <c r="K47" s="2954">
        <f>'Phụ lục số 4'!K47</f>
        <v>0</v>
      </c>
      <c r="L47" s="2954">
        <f>'Phụ lục số 4'!L47</f>
        <v>0</v>
      </c>
      <c r="M47" s="2954">
        <f>'Phụ lục số 4'!M47</f>
        <v>100</v>
      </c>
      <c r="N47" s="2954">
        <f>'Phụ lục số 4'!N47</f>
        <v>263</v>
      </c>
      <c r="O47" s="2954">
        <f>'Phụ lục số 4'!O47</f>
        <v>0</v>
      </c>
      <c r="P47" s="2954">
        <f>'Phụ lục số 4'!P47</f>
        <v>0</v>
      </c>
      <c r="Q47" s="2954">
        <f>'Phụ lục số 4'!Q47</f>
        <v>0</v>
      </c>
      <c r="R47" s="2954">
        <f>'Phụ lục số 4'!R47</f>
        <v>0</v>
      </c>
      <c r="S47" s="2954">
        <f>'Phụ lục số 4'!S47</f>
        <v>0</v>
      </c>
      <c r="T47" s="2954">
        <f>'Phụ lục số 4'!T47</f>
        <v>3115</v>
      </c>
      <c r="U47" s="2954">
        <f>'Phụ lục số 4'!U47</f>
        <v>0</v>
      </c>
      <c r="V47" s="2954">
        <f>'Phụ lục số 4'!V47</f>
        <v>0</v>
      </c>
      <c r="W47" s="2954">
        <f>'Phụ lục số 4'!W47</f>
        <v>0</v>
      </c>
      <c r="X47" s="2954">
        <f>'Phụ lục số 4'!X47</f>
        <v>0</v>
      </c>
      <c r="Y47" s="2954">
        <f>'Phụ lục số 4'!Y47</f>
        <v>0</v>
      </c>
      <c r="Z47" s="2954">
        <f>'Phụ lục số 4'!Z47</f>
        <v>0</v>
      </c>
      <c r="AA47" s="2954">
        <f>'Phụ lục số 4'!AA47</f>
        <v>0</v>
      </c>
      <c r="AB47" s="2954">
        <f>SUM(AC47:AD47)</f>
        <v>0</v>
      </c>
      <c r="AC47" s="2954">
        <f>'Phụ lục số 4'!AC47</f>
        <v>0</v>
      </c>
      <c r="AD47" s="3142">
        <f>'Phụ lục số 4'!AD47</f>
        <v>0</v>
      </c>
      <c r="AE47" s="3153">
        <f>'Phụ lục số 4'!AE47</f>
        <v>0</v>
      </c>
    </row>
    <row r="48" spans="1:31" s="1319" customFormat="1" ht="34.799999999999997">
      <c r="A48" s="2109" t="s">
        <v>1473</v>
      </c>
      <c r="B48" s="2788" t="str">
        <f>'Phụ lục số 4'!B48</f>
        <v>Các tổ chức, các hội được nhà nước giao biên chế</v>
      </c>
      <c r="C48" s="2956">
        <f>SUM(C49:C55)</f>
        <v>22094</v>
      </c>
      <c r="D48" s="2956">
        <f t="shared" ref="D48:AE48" si="14">SUM(D49:D55)</f>
        <v>0</v>
      </c>
      <c r="E48" s="2956">
        <f t="shared" si="14"/>
        <v>0</v>
      </c>
      <c r="F48" s="2956">
        <f t="shared" si="14"/>
        <v>0</v>
      </c>
      <c r="G48" s="2956">
        <f t="shared" si="14"/>
        <v>0</v>
      </c>
      <c r="H48" s="2956">
        <f t="shared" si="14"/>
        <v>0</v>
      </c>
      <c r="I48" s="2956"/>
      <c r="J48" s="2956">
        <f t="shared" si="14"/>
        <v>22094</v>
      </c>
      <c r="K48" s="2956">
        <f t="shared" si="14"/>
        <v>0</v>
      </c>
      <c r="L48" s="2956">
        <f t="shared" si="14"/>
        <v>60</v>
      </c>
      <c r="M48" s="2956">
        <f t="shared" si="14"/>
        <v>710</v>
      </c>
      <c r="N48" s="2956">
        <f t="shared" si="14"/>
        <v>2415</v>
      </c>
      <c r="O48" s="2956">
        <f t="shared" si="14"/>
        <v>100</v>
      </c>
      <c r="P48" s="2956">
        <f t="shared" si="14"/>
        <v>0</v>
      </c>
      <c r="Q48" s="2956">
        <f t="shared" si="14"/>
        <v>477</v>
      </c>
      <c r="R48" s="2956">
        <f t="shared" si="14"/>
        <v>0</v>
      </c>
      <c r="S48" s="2956">
        <f t="shared" si="14"/>
        <v>0</v>
      </c>
      <c r="T48" s="2956">
        <f t="shared" si="14"/>
        <v>18332</v>
      </c>
      <c r="U48" s="2956">
        <f t="shared" si="14"/>
        <v>0</v>
      </c>
      <c r="V48" s="2956">
        <f t="shared" si="14"/>
        <v>0</v>
      </c>
      <c r="W48" s="2956"/>
      <c r="X48" s="2956"/>
      <c r="Y48" s="2956"/>
      <c r="Z48" s="2956"/>
      <c r="AA48" s="2956"/>
      <c r="AB48" s="2956">
        <f t="shared" si="14"/>
        <v>0</v>
      </c>
      <c r="AC48" s="2956">
        <f t="shared" si="14"/>
        <v>0</v>
      </c>
      <c r="AD48" s="3143">
        <f t="shared" si="14"/>
        <v>0</v>
      </c>
      <c r="AE48" s="3154">
        <f t="shared" si="14"/>
        <v>0</v>
      </c>
    </row>
    <row r="49" spans="1:31" s="154" customFormat="1">
      <c r="A49" s="2931">
        <v>35</v>
      </c>
      <c r="B49" s="2787" t="str">
        <f>'Phụ lục số 4'!B49</f>
        <v>Liên minh hợp tác xã</v>
      </c>
      <c r="C49" s="2954">
        <f t="shared" ref="C49:C55" si="15">D49+J49+AB49+W49+X49+AA49</f>
        <v>3593</v>
      </c>
      <c r="D49" s="2954">
        <f t="shared" ref="D49:D55" si="16">SUM(E49:H49)</f>
        <v>0</v>
      </c>
      <c r="E49" s="2954">
        <f>'Phụ lục số 4'!E49</f>
        <v>0</v>
      </c>
      <c r="F49" s="2954">
        <f>'Phụ lục số 4'!F49</f>
        <v>0</v>
      </c>
      <c r="G49" s="2954">
        <f>'Phụ lục số 4'!G49</f>
        <v>0</v>
      </c>
      <c r="H49" s="2954">
        <f>'Phụ lục số 4'!H49</f>
        <v>0</v>
      </c>
      <c r="I49" s="2954"/>
      <c r="J49" s="2954">
        <f t="shared" si="13"/>
        <v>3593</v>
      </c>
      <c r="K49" s="2954">
        <f>'Phụ lục số 4'!K49</f>
        <v>0</v>
      </c>
      <c r="L49" s="2954">
        <f>'Phụ lục số 4'!L49</f>
        <v>0</v>
      </c>
      <c r="M49" s="2954">
        <f>'Phụ lục số 4'!M49</f>
        <v>0</v>
      </c>
      <c r="N49" s="2954">
        <f>'Phụ lục số 4'!N49</f>
        <v>1240</v>
      </c>
      <c r="O49" s="2954">
        <f>'Phụ lục số 4'!O49</f>
        <v>0</v>
      </c>
      <c r="P49" s="2954">
        <f>'Phụ lục số 4'!P49</f>
        <v>0</v>
      </c>
      <c r="Q49" s="2954">
        <f>'Phụ lục số 4'!Q49</f>
        <v>50</v>
      </c>
      <c r="R49" s="2954">
        <f>'Phụ lục số 4'!R49</f>
        <v>0</v>
      </c>
      <c r="S49" s="2954">
        <f>'Phụ lục số 4'!S49</f>
        <v>0</v>
      </c>
      <c r="T49" s="2954">
        <f>'Phụ lục số 4'!T49</f>
        <v>2303</v>
      </c>
      <c r="U49" s="2954">
        <f>'Phụ lục số 4'!U49</f>
        <v>0</v>
      </c>
      <c r="V49" s="2954">
        <f>'Phụ lục số 4'!V49</f>
        <v>0</v>
      </c>
      <c r="W49" s="2954">
        <f>'Phụ lục số 4'!W49</f>
        <v>0</v>
      </c>
      <c r="X49" s="2954">
        <f>'Phụ lục số 4'!X49</f>
        <v>0</v>
      </c>
      <c r="Y49" s="2954">
        <f>'Phụ lục số 4'!Y49</f>
        <v>0</v>
      </c>
      <c r="Z49" s="2954">
        <f>'Phụ lục số 4'!Z49</f>
        <v>0</v>
      </c>
      <c r="AA49" s="2954">
        <f>'Phụ lục số 4'!AA49</f>
        <v>0</v>
      </c>
      <c r="AB49" s="2954">
        <f>SUM(AC49:AD49)</f>
        <v>0</v>
      </c>
      <c r="AC49" s="2954">
        <f>'Phụ lục số 4'!AC49</f>
        <v>0</v>
      </c>
      <c r="AD49" s="3142">
        <f>'Phụ lục số 4'!AD49</f>
        <v>0</v>
      </c>
      <c r="AE49" s="3153">
        <f>'Phụ lục số 4'!AE49</f>
        <v>0</v>
      </c>
    </row>
    <row r="50" spans="1:31" s="154" customFormat="1">
      <c r="A50" s="2931">
        <v>36</v>
      </c>
      <c r="B50" s="2787" t="str">
        <f>'Phụ lục số 4'!B50</f>
        <v>Liên hiệp các Hội khoa học Kỹ thuật</v>
      </c>
      <c r="C50" s="2954">
        <f t="shared" si="15"/>
        <v>3298</v>
      </c>
      <c r="D50" s="2954">
        <f t="shared" si="16"/>
        <v>0</v>
      </c>
      <c r="E50" s="2954">
        <f>'Phụ lục số 4'!E50</f>
        <v>0</v>
      </c>
      <c r="F50" s="2954">
        <f>'Phụ lục số 4'!F50</f>
        <v>0</v>
      </c>
      <c r="G50" s="2954">
        <f>'Phụ lục số 4'!G50</f>
        <v>0</v>
      </c>
      <c r="H50" s="2954">
        <f>'Phụ lục số 4'!H50</f>
        <v>0</v>
      </c>
      <c r="I50" s="2954"/>
      <c r="J50" s="2954">
        <f t="shared" si="13"/>
        <v>3298</v>
      </c>
      <c r="K50" s="2954">
        <f>'Phụ lục số 4'!K50</f>
        <v>0</v>
      </c>
      <c r="L50" s="2954">
        <f>'Phụ lục số 4'!L50</f>
        <v>60</v>
      </c>
      <c r="M50" s="2954">
        <f>'Phụ lục số 4'!M50</f>
        <v>710</v>
      </c>
      <c r="N50" s="2954">
        <f>'Phụ lục số 4'!N50</f>
        <v>93</v>
      </c>
      <c r="O50" s="2954">
        <f>'Phụ lục số 4'!O50</f>
        <v>0</v>
      </c>
      <c r="P50" s="2954">
        <f>'Phụ lục số 4'!P50</f>
        <v>0</v>
      </c>
      <c r="Q50" s="2954">
        <f>'Phụ lục số 4'!Q50</f>
        <v>124</v>
      </c>
      <c r="R50" s="2954">
        <f>'Phụ lục số 4'!R50</f>
        <v>0</v>
      </c>
      <c r="S50" s="2954">
        <f>'Phụ lục số 4'!S50</f>
        <v>0</v>
      </c>
      <c r="T50" s="2954">
        <f>'Phụ lục số 4'!T50</f>
        <v>2311</v>
      </c>
      <c r="U50" s="2954">
        <f>'Phụ lục số 4'!U50</f>
        <v>0</v>
      </c>
      <c r="V50" s="2954">
        <f>'Phụ lục số 4'!V50</f>
        <v>0</v>
      </c>
      <c r="W50" s="2954">
        <f>'Phụ lục số 4'!W50</f>
        <v>0</v>
      </c>
      <c r="X50" s="2954">
        <f>'Phụ lục số 4'!X50</f>
        <v>0</v>
      </c>
      <c r="Y50" s="2954">
        <f>'Phụ lục số 4'!Y50</f>
        <v>0</v>
      </c>
      <c r="Z50" s="2954">
        <f>'Phụ lục số 4'!Z50</f>
        <v>0</v>
      </c>
      <c r="AA50" s="2954">
        <f>'Phụ lục số 4'!AA50</f>
        <v>0</v>
      </c>
      <c r="AB50" s="2954">
        <f t="shared" ref="AB50:AB55" si="17">SUM(AC50:AD50)</f>
        <v>0</v>
      </c>
      <c r="AC50" s="2954">
        <f>'Phụ lục số 4'!AC50</f>
        <v>0</v>
      </c>
      <c r="AD50" s="3142">
        <f>'Phụ lục số 4'!AD50</f>
        <v>0</v>
      </c>
      <c r="AE50" s="3153">
        <f>'Phụ lục số 4'!AE50</f>
        <v>0</v>
      </c>
    </row>
    <row r="51" spans="1:31" s="154" customFormat="1">
      <c r="A51" s="2931">
        <v>37</v>
      </c>
      <c r="B51" s="2787" t="str">
        <f>'Phụ lục số 4'!B51</f>
        <v>Liên hiệp các tổ chức Hữu Nghị</v>
      </c>
      <c r="C51" s="2954">
        <f t="shared" si="15"/>
        <v>2675</v>
      </c>
      <c r="D51" s="2954">
        <f t="shared" si="16"/>
        <v>0</v>
      </c>
      <c r="E51" s="2954">
        <f>'Phụ lục số 4'!E51</f>
        <v>0</v>
      </c>
      <c r="F51" s="2954">
        <f>'Phụ lục số 4'!F51</f>
        <v>0</v>
      </c>
      <c r="G51" s="2954">
        <f>'Phụ lục số 4'!G51</f>
        <v>0</v>
      </c>
      <c r="H51" s="2954">
        <f>'Phụ lục số 4'!H51</f>
        <v>0</v>
      </c>
      <c r="I51" s="2954"/>
      <c r="J51" s="2954">
        <f t="shared" si="13"/>
        <v>2675</v>
      </c>
      <c r="K51" s="2954">
        <f>'Phụ lục số 4'!K51</f>
        <v>0</v>
      </c>
      <c r="L51" s="2954">
        <f>'Phụ lục số 4'!L51</f>
        <v>0</v>
      </c>
      <c r="M51" s="2954">
        <f>'Phụ lục số 4'!M51</f>
        <v>0</v>
      </c>
      <c r="N51" s="2954">
        <f>'Phụ lục số 4'!N51</f>
        <v>0</v>
      </c>
      <c r="O51" s="2954">
        <f>'Phụ lục số 4'!O51</f>
        <v>0</v>
      </c>
      <c r="P51" s="2954">
        <f>'Phụ lục số 4'!P51</f>
        <v>0</v>
      </c>
      <c r="Q51" s="2954">
        <f>'Phụ lục số 4'!Q51</f>
        <v>0</v>
      </c>
      <c r="R51" s="2954">
        <f>'Phụ lục số 4'!R51</f>
        <v>0</v>
      </c>
      <c r="S51" s="2954">
        <f>'Phụ lục số 4'!S51</f>
        <v>0</v>
      </c>
      <c r="T51" s="2954">
        <f>'Phụ lục số 4'!T51</f>
        <v>2675</v>
      </c>
      <c r="U51" s="2954">
        <f>'Phụ lục số 4'!U51</f>
        <v>0</v>
      </c>
      <c r="V51" s="2954">
        <f>'Phụ lục số 4'!V51</f>
        <v>0</v>
      </c>
      <c r="W51" s="2954">
        <f>'Phụ lục số 4'!W51</f>
        <v>0</v>
      </c>
      <c r="X51" s="2954">
        <f>'Phụ lục số 4'!X51</f>
        <v>0</v>
      </c>
      <c r="Y51" s="2954">
        <f>'Phụ lục số 4'!Y51</f>
        <v>0</v>
      </c>
      <c r="Z51" s="2954">
        <f>'Phụ lục số 4'!Z51</f>
        <v>0</v>
      </c>
      <c r="AA51" s="2954">
        <f>'Phụ lục số 4'!AA51</f>
        <v>0</v>
      </c>
      <c r="AB51" s="2954">
        <f t="shared" si="17"/>
        <v>0</v>
      </c>
      <c r="AC51" s="2954">
        <f>'Phụ lục số 4'!AC51</f>
        <v>0</v>
      </c>
      <c r="AD51" s="3142">
        <f>'Phụ lục số 4'!AD51</f>
        <v>0</v>
      </c>
      <c r="AE51" s="3153">
        <f>'Phụ lục số 4'!AE51</f>
        <v>0</v>
      </c>
    </row>
    <row r="52" spans="1:31" s="154" customFormat="1">
      <c r="A52" s="2931">
        <v>38</v>
      </c>
      <c r="B52" s="2787" t="str">
        <f>'Phụ lục số 4'!B52</f>
        <v>Hội Liên hiệp Văn học Nghệ thuật</v>
      </c>
      <c r="C52" s="2954">
        <f t="shared" si="15"/>
        <v>5903</v>
      </c>
      <c r="D52" s="2954">
        <f t="shared" si="16"/>
        <v>0</v>
      </c>
      <c r="E52" s="2954">
        <f>'Phụ lục số 4'!E52</f>
        <v>0</v>
      </c>
      <c r="F52" s="2954">
        <f>'Phụ lục số 4'!F52</f>
        <v>0</v>
      </c>
      <c r="G52" s="2954">
        <f>'Phụ lục số 4'!G52</f>
        <v>0</v>
      </c>
      <c r="H52" s="2954">
        <f>'Phụ lục số 4'!H52</f>
        <v>0</v>
      </c>
      <c r="I52" s="2954"/>
      <c r="J52" s="2954">
        <f t="shared" si="13"/>
        <v>5903</v>
      </c>
      <c r="K52" s="2954">
        <f>'Phụ lục số 4'!K52</f>
        <v>0</v>
      </c>
      <c r="L52" s="2954">
        <f>'Phụ lục số 4'!L52</f>
        <v>0</v>
      </c>
      <c r="M52" s="2954">
        <f>'Phụ lục số 4'!M52</f>
        <v>0</v>
      </c>
      <c r="N52" s="2954">
        <f>'Phụ lục số 4'!N52</f>
        <v>662</v>
      </c>
      <c r="O52" s="2954">
        <f>'Phụ lục số 4'!O52</f>
        <v>0</v>
      </c>
      <c r="P52" s="2954">
        <f>'Phụ lục số 4'!P52</f>
        <v>0</v>
      </c>
      <c r="Q52" s="2954">
        <f>'Phụ lục số 4'!Q52</f>
        <v>303</v>
      </c>
      <c r="R52" s="2954">
        <f>'Phụ lục số 4'!R52</f>
        <v>0</v>
      </c>
      <c r="S52" s="2954">
        <f>'Phụ lục số 4'!S52</f>
        <v>0</v>
      </c>
      <c r="T52" s="2954">
        <f>'Phụ lục số 4'!T52</f>
        <v>4938</v>
      </c>
      <c r="U52" s="2954">
        <f>'Phụ lục số 4'!U52</f>
        <v>0</v>
      </c>
      <c r="V52" s="2954">
        <f>'Phụ lục số 4'!V52</f>
        <v>0</v>
      </c>
      <c r="W52" s="2954">
        <f>'Phụ lục số 4'!W52</f>
        <v>0</v>
      </c>
      <c r="X52" s="2954">
        <f>'Phụ lục số 4'!X52</f>
        <v>0</v>
      </c>
      <c r="Y52" s="2954">
        <f>'Phụ lục số 4'!Y52</f>
        <v>0</v>
      </c>
      <c r="Z52" s="2954">
        <f>'Phụ lục số 4'!Z52</f>
        <v>0</v>
      </c>
      <c r="AA52" s="2954">
        <f>'Phụ lục số 4'!AA52</f>
        <v>0</v>
      </c>
      <c r="AB52" s="2954">
        <f t="shared" si="17"/>
        <v>0</v>
      </c>
      <c r="AC52" s="2954">
        <f>'Phụ lục số 4'!AC52</f>
        <v>0</v>
      </c>
      <c r="AD52" s="3142">
        <f>'Phụ lục số 4'!AD52</f>
        <v>0</v>
      </c>
      <c r="AE52" s="3153">
        <f>'Phụ lục số 4'!AE52</f>
        <v>0</v>
      </c>
    </row>
    <row r="53" spans="1:31" s="154" customFormat="1">
      <c r="A53" s="2931">
        <v>39</v>
      </c>
      <c r="B53" s="2787" t="str">
        <f>'Phụ lục số 4'!B53</f>
        <v>Hội chữ thập đỏ</v>
      </c>
      <c r="C53" s="2954">
        <f t="shared" si="15"/>
        <v>6625</v>
      </c>
      <c r="D53" s="2954">
        <f t="shared" si="16"/>
        <v>0</v>
      </c>
      <c r="E53" s="2954">
        <f>'Phụ lục số 4'!E53</f>
        <v>0</v>
      </c>
      <c r="F53" s="2954">
        <f>'Phụ lục số 4'!F53</f>
        <v>0</v>
      </c>
      <c r="G53" s="2954">
        <f>'Phụ lục số 4'!G53</f>
        <v>0</v>
      </c>
      <c r="H53" s="2954">
        <f>'Phụ lục số 4'!H53</f>
        <v>0</v>
      </c>
      <c r="I53" s="2954"/>
      <c r="J53" s="2954">
        <f t="shared" si="13"/>
        <v>6625</v>
      </c>
      <c r="K53" s="2954">
        <f>'Phụ lục số 4'!K53</f>
        <v>0</v>
      </c>
      <c r="L53" s="2954">
        <f>'Phụ lục số 4'!L53</f>
        <v>0</v>
      </c>
      <c r="M53" s="2954">
        <f>'Phụ lục số 4'!M53</f>
        <v>0</v>
      </c>
      <c r="N53" s="2954">
        <f>'Phụ lục số 4'!N53</f>
        <v>420</v>
      </c>
      <c r="O53" s="2954">
        <f>'Phụ lục số 4'!O53</f>
        <v>100</v>
      </c>
      <c r="P53" s="2954">
        <f>'Phụ lục số 4'!P53</f>
        <v>0</v>
      </c>
      <c r="Q53" s="2954">
        <f>'Phụ lục số 4'!Q53</f>
        <v>0</v>
      </c>
      <c r="R53" s="2954">
        <f>'Phụ lục số 4'!R53</f>
        <v>0</v>
      </c>
      <c r="S53" s="2954">
        <f>'Phụ lục số 4'!S53</f>
        <v>0</v>
      </c>
      <c r="T53" s="2954">
        <f>'Phụ lục số 4'!T53</f>
        <v>6105</v>
      </c>
      <c r="U53" s="2954">
        <f>'Phụ lục số 4'!U53</f>
        <v>0</v>
      </c>
      <c r="V53" s="2954">
        <f>'Phụ lục số 4'!V53</f>
        <v>0</v>
      </c>
      <c r="W53" s="2954">
        <f>'Phụ lục số 4'!W53</f>
        <v>0</v>
      </c>
      <c r="X53" s="2954">
        <f>'Phụ lục số 4'!X53</f>
        <v>0</v>
      </c>
      <c r="Y53" s="2954">
        <f>'Phụ lục số 4'!Y53</f>
        <v>0</v>
      </c>
      <c r="Z53" s="2954">
        <f>'Phụ lục số 4'!Z53</f>
        <v>0</v>
      </c>
      <c r="AA53" s="2954">
        <f>'Phụ lục số 4'!AA53</f>
        <v>0</v>
      </c>
      <c r="AB53" s="2954">
        <f t="shared" si="17"/>
        <v>0</v>
      </c>
      <c r="AC53" s="2954">
        <f>'Phụ lục số 4'!AC53</f>
        <v>0</v>
      </c>
      <c r="AD53" s="3142">
        <f>'Phụ lục số 4'!AD53</f>
        <v>0</v>
      </c>
      <c r="AE53" s="3153">
        <f>'Phụ lục số 4'!AE53</f>
        <v>0</v>
      </c>
    </row>
    <row r="54" spans="1:31" s="154" customFormat="1">
      <c r="A54" s="2931">
        <v>40</v>
      </c>
      <c r="B54" s="2787" t="str">
        <f>'Phụ lục số 4'!B54</f>
        <v>Hội đông y</v>
      </c>
      <c r="C54" s="2954">
        <f t="shared" si="15"/>
        <v>0</v>
      </c>
      <c r="D54" s="2954">
        <f t="shared" si="16"/>
        <v>0</v>
      </c>
      <c r="E54" s="2954">
        <f>'Phụ lục số 4'!E54</f>
        <v>0</v>
      </c>
      <c r="F54" s="2954">
        <f>'Phụ lục số 4'!F54</f>
        <v>0</v>
      </c>
      <c r="G54" s="2954">
        <f>'Phụ lục số 4'!G54</f>
        <v>0</v>
      </c>
      <c r="H54" s="2954">
        <f>'Phụ lục số 4'!H54</f>
        <v>0</v>
      </c>
      <c r="I54" s="2954"/>
      <c r="J54" s="2954">
        <f t="shared" si="13"/>
        <v>0</v>
      </c>
      <c r="K54" s="2954">
        <f>'Phụ lục số 4'!K54</f>
        <v>0</v>
      </c>
      <c r="L54" s="2954">
        <f>'Phụ lục số 4'!L54</f>
        <v>0</v>
      </c>
      <c r="M54" s="2954">
        <f>'Phụ lục số 4'!M54</f>
        <v>0</v>
      </c>
      <c r="N54" s="2954">
        <f>'Phụ lục số 4'!N54</f>
        <v>0</v>
      </c>
      <c r="O54" s="2954">
        <f>'Phụ lục số 4'!O54</f>
        <v>0</v>
      </c>
      <c r="P54" s="2954">
        <f>'Phụ lục số 4'!P54</f>
        <v>0</v>
      </c>
      <c r="Q54" s="2954">
        <f>'Phụ lục số 4'!Q54</f>
        <v>0</v>
      </c>
      <c r="R54" s="2954">
        <f>'Phụ lục số 4'!R54</f>
        <v>0</v>
      </c>
      <c r="S54" s="2954">
        <f>'Phụ lục số 4'!S54</f>
        <v>0</v>
      </c>
      <c r="T54" s="2954">
        <f>'Phụ lục số 4'!T54</f>
        <v>0</v>
      </c>
      <c r="U54" s="2954">
        <f>'Phụ lục số 4'!U54</f>
        <v>0</v>
      </c>
      <c r="V54" s="2954">
        <f>'Phụ lục số 4'!V54</f>
        <v>0</v>
      </c>
      <c r="W54" s="2954">
        <f>'Phụ lục số 4'!W54</f>
        <v>0</v>
      </c>
      <c r="X54" s="2954">
        <f>'Phụ lục số 4'!X54</f>
        <v>0</v>
      </c>
      <c r="Y54" s="2954">
        <f>'Phụ lục số 4'!Y54</f>
        <v>0</v>
      </c>
      <c r="Z54" s="2954">
        <f>'Phụ lục số 4'!Z54</f>
        <v>0</v>
      </c>
      <c r="AA54" s="2954">
        <f>'Phụ lục số 4'!AA54</f>
        <v>0</v>
      </c>
      <c r="AB54" s="2954">
        <f t="shared" si="17"/>
        <v>0</v>
      </c>
      <c r="AC54" s="2954">
        <f>'Phụ lục số 4'!AC54</f>
        <v>0</v>
      </c>
      <c r="AD54" s="3142">
        <f>'Phụ lục số 4'!AD54</f>
        <v>0</v>
      </c>
      <c r="AE54" s="3153">
        <f>'Phụ lục số 4'!AE54</f>
        <v>0</v>
      </c>
    </row>
    <row r="55" spans="1:31" s="154" customFormat="1">
      <c r="A55" s="2931">
        <v>41</v>
      </c>
      <c r="B55" s="2787" t="str">
        <f>'Phụ lục số 4'!B55</f>
        <v>Hội người mù</v>
      </c>
      <c r="C55" s="2954">
        <f t="shared" si="15"/>
        <v>0</v>
      </c>
      <c r="D55" s="2954">
        <f t="shared" si="16"/>
        <v>0</v>
      </c>
      <c r="E55" s="2954">
        <f>'Phụ lục số 4'!E55</f>
        <v>0</v>
      </c>
      <c r="F55" s="2954">
        <f>'Phụ lục số 4'!F55</f>
        <v>0</v>
      </c>
      <c r="G55" s="2954">
        <f>'Phụ lục số 4'!G55</f>
        <v>0</v>
      </c>
      <c r="H55" s="2954">
        <f>'Phụ lục số 4'!H55</f>
        <v>0</v>
      </c>
      <c r="I55" s="2954"/>
      <c r="J55" s="2954">
        <f t="shared" si="13"/>
        <v>0</v>
      </c>
      <c r="K55" s="2954">
        <f>'Phụ lục số 4'!K55</f>
        <v>0</v>
      </c>
      <c r="L55" s="2954">
        <f>'Phụ lục số 4'!L55</f>
        <v>0</v>
      </c>
      <c r="M55" s="2954">
        <f>'Phụ lục số 4'!M55</f>
        <v>0</v>
      </c>
      <c r="N55" s="2954">
        <f>'Phụ lục số 4'!N55</f>
        <v>0</v>
      </c>
      <c r="O55" s="2954">
        <f>'Phụ lục số 4'!O55</f>
        <v>0</v>
      </c>
      <c r="P55" s="2954">
        <f>'Phụ lục số 4'!P55</f>
        <v>0</v>
      </c>
      <c r="Q55" s="2954">
        <f>'Phụ lục số 4'!Q55</f>
        <v>0</v>
      </c>
      <c r="R55" s="2954">
        <f>'Phụ lục số 4'!R55</f>
        <v>0</v>
      </c>
      <c r="S55" s="2954">
        <f>'Phụ lục số 4'!S55</f>
        <v>0</v>
      </c>
      <c r="T55" s="2954">
        <f>'Phụ lục số 4'!T55</f>
        <v>0</v>
      </c>
      <c r="U55" s="2954">
        <f>'Phụ lục số 4'!U55</f>
        <v>0</v>
      </c>
      <c r="V55" s="2954">
        <f>'Phụ lục số 4'!V55</f>
        <v>0</v>
      </c>
      <c r="W55" s="2954">
        <f>'Phụ lục số 4'!W55</f>
        <v>0</v>
      </c>
      <c r="X55" s="2954">
        <f>'Phụ lục số 4'!X55</f>
        <v>0</v>
      </c>
      <c r="Y55" s="2954">
        <f>'Phụ lục số 4'!Y55</f>
        <v>0</v>
      </c>
      <c r="Z55" s="2954">
        <f>'Phụ lục số 4'!Z55</f>
        <v>0</v>
      </c>
      <c r="AA55" s="2954">
        <f>'Phụ lục số 4'!AA55</f>
        <v>0</v>
      </c>
      <c r="AB55" s="2954">
        <f t="shared" si="17"/>
        <v>0</v>
      </c>
      <c r="AC55" s="2954">
        <f>'Phụ lục số 4'!AC55</f>
        <v>0</v>
      </c>
      <c r="AD55" s="3142">
        <f>'Phụ lục số 4'!AD55</f>
        <v>0</v>
      </c>
      <c r="AE55" s="3153">
        <f>'Phụ lục số 4'!AE55</f>
        <v>0</v>
      </c>
    </row>
    <row r="56" spans="1:31" s="1319" customFormat="1" ht="17.399999999999999">
      <c r="A56" s="2933" t="s">
        <v>49</v>
      </c>
      <c r="B56" s="3565" t="str">
        <f>'Phụ lục số 4'!B56</f>
        <v>KHỐI AN NINH - QUỐC PHÒNG</v>
      </c>
      <c r="C56" s="3563">
        <f>SUM(C57:C59)</f>
        <v>152607.4</v>
      </c>
      <c r="D56" s="3563">
        <f t="shared" ref="D56:H56" si="18">SUM(D57:D59)</f>
        <v>0</v>
      </c>
      <c r="E56" s="3563">
        <f t="shared" si="18"/>
        <v>0</v>
      </c>
      <c r="F56" s="3563">
        <f t="shared" si="18"/>
        <v>0</v>
      </c>
      <c r="G56" s="3563">
        <f t="shared" si="18"/>
        <v>0</v>
      </c>
      <c r="H56" s="3563">
        <f t="shared" si="18"/>
        <v>0</v>
      </c>
      <c r="I56" s="3563"/>
      <c r="J56" s="3563">
        <f t="shared" ref="J56:AE56" si="19">SUM(J57:J59)</f>
        <v>152607.4</v>
      </c>
      <c r="K56" s="3563">
        <f t="shared" si="19"/>
        <v>0</v>
      </c>
      <c r="L56" s="3563">
        <f t="shared" si="19"/>
        <v>280</v>
      </c>
      <c r="M56" s="3563">
        <f t="shared" si="19"/>
        <v>0</v>
      </c>
      <c r="N56" s="3563">
        <f t="shared" si="19"/>
        <v>4000</v>
      </c>
      <c r="O56" s="3563">
        <f t="shared" si="19"/>
        <v>0</v>
      </c>
      <c r="P56" s="3563">
        <f t="shared" si="19"/>
        <v>0</v>
      </c>
      <c r="Q56" s="3563">
        <f t="shared" si="19"/>
        <v>0</v>
      </c>
      <c r="R56" s="3563">
        <f t="shared" si="19"/>
        <v>0</v>
      </c>
      <c r="S56" s="3563">
        <f t="shared" si="19"/>
        <v>0</v>
      </c>
      <c r="T56" s="3563">
        <f t="shared" si="19"/>
        <v>0</v>
      </c>
      <c r="U56" s="3563">
        <f t="shared" si="19"/>
        <v>148327.4</v>
      </c>
      <c r="V56" s="3563">
        <f t="shared" si="19"/>
        <v>0</v>
      </c>
      <c r="W56" s="3563"/>
      <c r="X56" s="3563"/>
      <c r="Y56" s="3563"/>
      <c r="Z56" s="3563"/>
      <c r="AA56" s="3563"/>
      <c r="AB56" s="3563">
        <f t="shared" si="19"/>
        <v>0</v>
      </c>
      <c r="AC56" s="3563">
        <f t="shared" si="19"/>
        <v>0</v>
      </c>
      <c r="AD56" s="3564">
        <f t="shared" si="19"/>
        <v>0</v>
      </c>
      <c r="AE56" s="3154">
        <f t="shared" si="19"/>
        <v>0</v>
      </c>
    </row>
    <row r="57" spans="1:31" s="154" customFormat="1">
      <c r="A57" s="2931">
        <v>42</v>
      </c>
      <c r="B57" s="2787" t="str">
        <f>'Phụ lục số 4'!B57</f>
        <v>Công an Tỉnh</v>
      </c>
      <c r="C57" s="2954">
        <f>D57+J57+AB57+W57+X57+AA57</f>
        <v>51280</v>
      </c>
      <c r="D57" s="2954">
        <f>SUM(E57:H57)</f>
        <v>0</v>
      </c>
      <c r="E57" s="2954">
        <f>'Phụ lục số 4'!E57</f>
        <v>0</v>
      </c>
      <c r="F57" s="2954">
        <f>'Phụ lục số 4'!F57</f>
        <v>0</v>
      </c>
      <c r="G57" s="2954">
        <f>'Phụ lục số 4'!G57</f>
        <v>0</v>
      </c>
      <c r="H57" s="2954">
        <f>'Phụ lục số 4'!H57</f>
        <v>0</v>
      </c>
      <c r="I57" s="2954"/>
      <c r="J57" s="2954">
        <f t="shared" si="13"/>
        <v>51280</v>
      </c>
      <c r="K57" s="2954">
        <f>'Phụ lục số 4'!K57</f>
        <v>0</v>
      </c>
      <c r="L57" s="2954">
        <f>'Phụ lục số 4'!L57</f>
        <v>280</v>
      </c>
      <c r="M57" s="2954">
        <f>'Phụ lục số 4'!M57</f>
        <v>0</v>
      </c>
      <c r="N57" s="2954">
        <f>'Phụ lục số 4'!N57</f>
        <v>0</v>
      </c>
      <c r="O57" s="2954">
        <f>'Phụ lục số 4'!O57</f>
        <v>0</v>
      </c>
      <c r="P57" s="2954">
        <f>'Phụ lục số 4'!P57</f>
        <v>0</v>
      </c>
      <c r="Q57" s="2954">
        <f>'Phụ lục số 4'!Q57</f>
        <v>0</v>
      </c>
      <c r="R57" s="2954">
        <f>'Phụ lục số 4'!R57</f>
        <v>0</v>
      </c>
      <c r="S57" s="2954">
        <f>'Phụ lục số 4'!S57</f>
        <v>0</v>
      </c>
      <c r="T57" s="2954">
        <f>'Phụ lục số 4'!T57</f>
        <v>0</v>
      </c>
      <c r="U57" s="2954">
        <f>'Phụ lục số 4'!U57</f>
        <v>51000</v>
      </c>
      <c r="V57" s="2954">
        <f>'Phụ lục số 4'!V57</f>
        <v>0</v>
      </c>
      <c r="W57" s="2954">
        <f>'Phụ lục số 4'!W57</f>
        <v>0</v>
      </c>
      <c r="X57" s="2954">
        <f>'Phụ lục số 4'!X57</f>
        <v>0</v>
      </c>
      <c r="Y57" s="2954">
        <f>'Phụ lục số 4'!Y57</f>
        <v>0</v>
      </c>
      <c r="Z57" s="2954">
        <f>'Phụ lục số 4'!Z57</f>
        <v>0</v>
      </c>
      <c r="AA57" s="2954">
        <f>'Phụ lục số 4'!AA57</f>
        <v>0</v>
      </c>
      <c r="AB57" s="2954">
        <f t="shared" ref="AB57:AB59" si="20">SUM(AC57:AD57)</f>
        <v>0</v>
      </c>
      <c r="AC57" s="2954">
        <f>'Phụ lục số 4'!AC57</f>
        <v>0</v>
      </c>
      <c r="AD57" s="3142">
        <f>'Phụ lục số 4'!AD57</f>
        <v>0</v>
      </c>
      <c r="AE57" s="3153">
        <f>'Phụ lục số 4'!AE57</f>
        <v>0</v>
      </c>
    </row>
    <row r="58" spans="1:31" s="154" customFormat="1">
      <c r="A58" s="2931">
        <v>43</v>
      </c>
      <c r="B58" s="2787" t="str">
        <f>'Phụ lục số 4'!B58</f>
        <v>Bộ Chỉ huy Quân sự Tỉnh</v>
      </c>
      <c r="C58" s="2954">
        <f>D58+J58+AB58+W58+X58+AA58</f>
        <v>87000</v>
      </c>
      <c r="D58" s="2954">
        <f>SUM(E58:H58)</f>
        <v>0</v>
      </c>
      <c r="E58" s="2954">
        <f>'Phụ lục số 4'!E58</f>
        <v>0</v>
      </c>
      <c r="F58" s="2954">
        <f>'Phụ lục số 4'!F58</f>
        <v>0</v>
      </c>
      <c r="G58" s="2954">
        <f>'Phụ lục số 4'!G58</f>
        <v>0</v>
      </c>
      <c r="H58" s="2954">
        <f>'Phụ lục số 4'!H58</f>
        <v>0</v>
      </c>
      <c r="I58" s="2954"/>
      <c r="J58" s="2954">
        <f t="shared" si="13"/>
        <v>87000</v>
      </c>
      <c r="K58" s="2954">
        <f>'Phụ lục số 4'!K58</f>
        <v>0</v>
      </c>
      <c r="L58" s="2954">
        <f>'Phụ lục số 4'!L58</f>
        <v>0</v>
      </c>
      <c r="M58" s="2954">
        <f>'Phụ lục số 4'!M58</f>
        <v>0</v>
      </c>
      <c r="N58" s="2954">
        <f>'Phụ lục số 4'!N58</f>
        <v>4000</v>
      </c>
      <c r="O58" s="2954">
        <f>'Phụ lục số 4'!O58</f>
        <v>0</v>
      </c>
      <c r="P58" s="2954">
        <f>'Phụ lục số 4'!P58</f>
        <v>0</v>
      </c>
      <c r="Q58" s="2954">
        <f>'Phụ lục số 4'!Q58</f>
        <v>0</v>
      </c>
      <c r="R58" s="2954">
        <f>'Phụ lục số 4'!R58</f>
        <v>0</v>
      </c>
      <c r="S58" s="2954">
        <f>'Phụ lục số 4'!S58</f>
        <v>0</v>
      </c>
      <c r="T58" s="2954">
        <f>'Phụ lục số 4'!T58</f>
        <v>0</v>
      </c>
      <c r="U58" s="2954">
        <f>'Phụ lục số 4'!U58</f>
        <v>83000</v>
      </c>
      <c r="V58" s="2954">
        <f>'Phụ lục số 4'!V58</f>
        <v>0</v>
      </c>
      <c r="W58" s="2954">
        <f>'Phụ lục số 4'!W58</f>
        <v>0</v>
      </c>
      <c r="X58" s="2954">
        <f>'Phụ lục số 4'!X58</f>
        <v>0</v>
      </c>
      <c r="Y58" s="2954">
        <f>'Phụ lục số 4'!Y58</f>
        <v>0</v>
      </c>
      <c r="Z58" s="2954">
        <f>'Phụ lục số 4'!Z58</f>
        <v>0</v>
      </c>
      <c r="AA58" s="2954">
        <f>'Phụ lục số 4'!AA58</f>
        <v>0</v>
      </c>
      <c r="AB58" s="2954">
        <f t="shared" si="20"/>
        <v>0</v>
      </c>
      <c r="AC58" s="2954">
        <f>'Phụ lục số 4'!AC58</f>
        <v>0</v>
      </c>
      <c r="AD58" s="3142">
        <f>'Phụ lục số 4'!AD58</f>
        <v>0</v>
      </c>
      <c r="AE58" s="3153">
        <f>'Phụ lục số 4'!AE58</f>
        <v>0</v>
      </c>
    </row>
    <row r="59" spans="1:31" s="154" customFormat="1">
      <c r="A59" s="2931">
        <v>44</v>
      </c>
      <c r="B59" s="2787" t="str">
        <f>'Phụ lục số 4'!B59</f>
        <v>Bộ Chỉ huy Bộ đội biên phòng</v>
      </c>
      <c r="C59" s="2954">
        <f>D59+J59+AB59+W59+X59+AA59</f>
        <v>14327.4</v>
      </c>
      <c r="D59" s="2954">
        <f>SUM(E59:H59)</f>
        <v>0</v>
      </c>
      <c r="E59" s="2954">
        <f>'Phụ lục số 4'!E59</f>
        <v>0</v>
      </c>
      <c r="F59" s="2954">
        <f>'Phụ lục số 4'!F59</f>
        <v>0</v>
      </c>
      <c r="G59" s="2954">
        <f>'Phụ lục số 4'!G59</f>
        <v>0</v>
      </c>
      <c r="H59" s="2954">
        <f>'Phụ lục số 4'!H59</f>
        <v>0</v>
      </c>
      <c r="I59" s="2954"/>
      <c r="J59" s="2954">
        <f t="shared" si="13"/>
        <v>14327.4</v>
      </c>
      <c r="K59" s="2954">
        <f>'Phụ lục số 4'!K59</f>
        <v>0</v>
      </c>
      <c r="L59" s="2954">
        <f>'Phụ lục số 4'!L59</f>
        <v>0</v>
      </c>
      <c r="M59" s="2954">
        <f>'Phụ lục số 4'!M59</f>
        <v>0</v>
      </c>
      <c r="N59" s="2954">
        <f>'Phụ lục số 4'!N59</f>
        <v>0</v>
      </c>
      <c r="O59" s="2954">
        <f>'Phụ lục số 4'!O59</f>
        <v>0</v>
      </c>
      <c r="P59" s="2954">
        <f>'Phụ lục số 4'!P59</f>
        <v>0</v>
      </c>
      <c r="Q59" s="2954">
        <f>'Phụ lục số 4'!Q59</f>
        <v>0</v>
      </c>
      <c r="R59" s="2954">
        <f>'Phụ lục số 4'!R59</f>
        <v>0</v>
      </c>
      <c r="S59" s="2954">
        <f>'Phụ lục số 4'!S59</f>
        <v>0</v>
      </c>
      <c r="T59" s="2954">
        <f>'Phụ lục số 4'!T59</f>
        <v>0</v>
      </c>
      <c r="U59" s="2954">
        <f>'Phụ lục số 4'!U59</f>
        <v>14327.4</v>
      </c>
      <c r="V59" s="2954">
        <f>'Phụ lục số 4'!V59</f>
        <v>0</v>
      </c>
      <c r="W59" s="2954">
        <f>'Phụ lục số 4'!W59</f>
        <v>0</v>
      </c>
      <c r="X59" s="2954">
        <f>'Phụ lục số 4'!X59</f>
        <v>0</v>
      </c>
      <c r="Y59" s="2954">
        <f>'Phụ lục số 4'!Y59</f>
        <v>0</v>
      </c>
      <c r="Z59" s="2954">
        <f>'Phụ lục số 4'!Z59</f>
        <v>0</v>
      </c>
      <c r="AA59" s="2954">
        <f>'Phụ lục số 4'!AA59</f>
        <v>0</v>
      </c>
      <c r="AB59" s="2954">
        <f t="shared" si="20"/>
        <v>0</v>
      </c>
      <c r="AC59" s="2954">
        <f>'Phụ lục số 4'!AC59</f>
        <v>0</v>
      </c>
      <c r="AD59" s="3142">
        <f>'Phụ lục số 4'!AD59</f>
        <v>0</v>
      </c>
      <c r="AE59" s="3153">
        <f>'Phụ lục số 4'!AE59</f>
        <v>0</v>
      </c>
    </row>
    <row r="60" spans="1:31" s="1319" customFormat="1" ht="17.399999999999999">
      <c r="A60" s="2933" t="s">
        <v>50</v>
      </c>
      <c r="B60" s="3565" t="str">
        <f>'Phụ lục số 4'!B60</f>
        <v>CÁC ĐƠN VỊ KHÁC</v>
      </c>
      <c r="C60" s="3563">
        <f>SUM(C61:C74)</f>
        <v>373777</v>
      </c>
      <c r="D60" s="3563">
        <f t="shared" ref="D60:U60" si="21">SUM(D61:D74)</f>
        <v>0</v>
      </c>
      <c r="E60" s="3563">
        <f t="shared" si="21"/>
        <v>0</v>
      </c>
      <c r="F60" s="3563">
        <f t="shared" si="21"/>
        <v>0</v>
      </c>
      <c r="G60" s="3563">
        <f t="shared" si="21"/>
        <v>0</v>
      </c>
      <c r="H60" s="3563">
        <f t="shared" si="21"/>
        <v>0</v>
      </c>
      <c r="I60" s="3563">
        <f t="shared" si="21"/>
        <v>0</v>
      </c>
      <c r="J60" s="3563">
        <f t="shared" si="21"/>
        <v>373777</v>
      </c>
      <c r="K60" s="3563">
        <f t="shared" si="21"/>
        <v>0</v>
      </c>
      <c r="L60" s="3563">
        <f t="shared" si="21"/>
        <v>68</v>
      </c>
      <c r="M60" s="3563">
        <f t="shared" si="21"/>
        <v>0</v>
      </c>
      <c r="N60" s="3563">
        <f t="shared" si="21"/>
        <v>0</v>
      </c>
      <c r="O60" s="3563">
        <f t="shared" si="21"/>
        <v>367885</v>
      </c>
      <c r="P60" s="3563">
        <f t="shared" si="21"/>
        <v>0</v>
      </c>
      <c r="Q60" s="3563">
        <f t="shared" si="21"/>
        <v>0</v>
      </c>
      <c r="R60" s="3563">
        <f t="shared" si="21"/>
        <v>0</v>
      </c>
      <c r="S60" s="3563">
        <f t="shared" si="21"/>
        <v>0</v>
      </c>
      <c r="T60" s="3563">
        <f t="shared" si="21"/>
        <v>0</v>
      </c>
      <c r="U60" s="3563">
        <f t="shared" si="21"/>
        <v>0</v>
      </c>
      <c r="V60" s="3563">
        <f>SUM(V61:V74)</f>
        <v>5824</v>
      </c>
      <c r="W60" s="3563">
        <f t="shared" ref="W60:AB60" si="22">SUM(W61:W74)</f>
        <v>0</v>
      </c>
      <c r="X60" s="3563">
        <f t="shared" si="22"/>
        <v>0</v>
      </c>
      <c r="Y60" s="3563">
        <f t="shared" si="22"/>
        <v>0</v>
      </c>
      <c r="Z60" s="3563">
        <f t="shared" si="22"/>
        <v>0</v>
      </c>
      <c r="AA60" s="3563">
        <f t="shared" si="22"/>
        <v>0</v>
      </c>
      <c r="AB60" s="3563">
        <f t="shared" si="22"/>
        <v>0</v>
      </c>
      <c r="AC60" s="3563">
        <f>SUM(AC61:AC74)</f>
        <v>0</v>
      </c>
      <c r="AD60" s="3564">
        <f>SUM(AD61:AD74)</f>
        <v>0</v>
      </c>
      <c r="AE60" s="3154">
        <f>SUM(AE61:AE74)</f>
        <v>0</v>
      </c>
    </row>
    <row r="61" spans="1:31" s="154" customFormat="1">
      <c r="A61" s="2931">
        <v>45</v>
      </c>
      <c r="B61" s="2787" t="str">
        <f>'Phụ lục số 4'!B61</f>
        <v>Bảo hiểm Xã hội tỉnh</v>
      </c>
      <c r="C61" s="2954">
        <f t="shared" ref="C61:C74" si="23">D61+J61+AB61+W61+X61+AA61</f>
        <v>367885</v>
      </c>
      <c r="D61" s="2954">
        <f t="shared" ref="D61:D69" si="24">SUM(E61:H61)</f>
        <v>0</v>
      </c>
      <c r="E61" s="2954">
        <f>'Phụ lục số 4'!E61</f>
        <v>0</v>
      </c>
      <c r="F61" s="2954">
        <f>'Phụ lục số 4'!F61</f>
        <v>0</v>
      </c>
      <c r="G61" s="2954">
        <f>'Phụ lục số 4'!G61</f>
        <v>0</v>
      </c>
      <c r="H61" s="2954">
        <f>'Phụ lục số 4'!H61</f>
        <v>0</v>
      </c>
      <c r="I61" s="2954"/>
      <c r="J61" s="2954">
        <f>SUM(K61:V61)</f>
        <v>367885</v>
      </c>
      <c r="K61" s="2954">
        <f>'Phụ lục số 4'!K61</f>
        <v>0</v>
      </c>
      <c r="L61" s="2954">
        <f>'Phụ lục số 4'!L61</f>
        <v>0</v>
      </c>
      <c r="M61" s="2954">
        <f>'Phụ lục số 4'!M61</f>
        <v>0</v>
      </c>
      <c r="N61" s="2954">
        <f>'Phụ lục số 4'!N61</f>
        <v>0</v>
      </c>
      <c r="O61" s="2954">
        <f>'Phụ lục số 4'!O61</f>
        <v>367885</v>
      </c>
      <c r="P61" s="2954">
        <f>'Phụ lục số 4'!P61</f>
        <v>0</v>
      </c>
      <c r="Q61" s="2954">
        <f>'Phụ lục số 4'!Q61</f>
        <v>0</v>
      </c>
      <c r="R61" s="2954">
        <f>'Phụ lục số 4'!R61</f>
        <v>0</v>
      </c>
      <c r="S61" s="2954">
        <f>'Phụ lục số 4'!S61</f>
        <v>0</v>
      </c>
      <c r="T61" s="2954">
        <f>'Phụ lục số 4'!T61</f>
        <v>0</v>
      </c>
      <c r="U61" s="2954">
        <f>'Phụ lục số 4'!U61</f>
        <v>0</v>
      </c>
      <c r="V61" s="2954">
        <f>'Phụ lục số 4'!V61</f>
        <v>0</v>
      </c>
      <c r="W61" s="2954">
        <f>'Phụ lục số 4'!W61</f>
        <v>0</v>
      </c>
      <c r="X61" s="2954">
        <f>'Phụ lục số 4'!X61</f>
        <v>0</v>
      </c>
      <c r="Y61" s="2954">
        <f>'Phụ lục số 4'!Y61</f>
        <v>0</v>
      </c>
      <c r="Z61" s="2954">
        <f>'Phụ lục số 4'!Z61</f>
        <v>0</v>
      </c>
      <c r="AA61" s="2954">
        <f>'Phụ lục số 4'!AA61</f>
        <v>0</v>
      </c>
      <c r="AB61" s="2954">
        <f t="shared" ref="AB61:AB69" si="25">SUM(AC61:AD61)</f>
        <v>0</v>
      </c>
      <c r="AC61" s="2954">
        <f>'Phụ lục số 4'!AC61</f>
        <v>0</v>
      </c>
      <c r="AD61" s="3142">
        <f>'Phụ lục số 4'!AD61</f>
        <v>0</v>
      </c>
      <c r="AE61" s="3153">
        <f>'Phụ lục số 4'!AE61</f>
        <v>0</v>
      </c>
    </row>
    <row r="62" spans="1:31" s="154" customFormat="1">
      <c r="A62" s="2931">
        <v>46</v>
      </c>
      <c r="B62" s="2787" t="str">
        <f>'Phụ lục số 4'!B62</f>
        <v>Chi nhánh Ngân hàng chính sách xã hội</v>
      </c>
      <c r="C62" s="2954">
        <f t="shared" si="23"/>
        <v>0</v>
      </c>
      <c r="D62" s="2954">
        <f t="shared" si="24"/>
        <v>0</v>
      </c>
      <c r="E62" s="2954">
        <f>'Phụ lục số 4'!E62</f>
        <v>0</v>
      </c>
      <c r="F62" s="2954">
        <f>'Phụ lục số 4'!F62</f>
        <v>0</v>
      </c>
      <c r="G62" s="2954">
        <f>'Phụ lục số 4'!G62</f>
        <v>0</v>
      </c>
      <c r="H62" s="2954">
        <f>'Phụ lục số 4'!H62</f>
        <v>0</v>
      </c>
      <c r="I62" s="2954"/>
      <c r="J62" s="2954">
        <f t="shared" si="13"/>
        <v>0</v>
      </c>
      <c r="K62" s="2954">
        <f>'Phụ lục số 4'!K62</f>
        <v>0</v>
      </c>
      <c r="L62" s="2954">
        <f>'Phụ lục số 4'!L62</f>
        <v>0</v>
      </c>
      <c r="M62" s="2954">
        <f>'Phụ lục số 4'!M62</f>
        <v>0</v>
      </c>
      <c r="N62" s="2954">
        <f>'Phụ lục số 4'!N62</f>
        <v>0</v>
      </c>
      <c r="O62" s="2954">
        <f>'Phụ lục số 4'!O62</f>
        <v>0</v>
      </c>
      <c r="P62" s="2954">
        <f>'Phụ lục số 4'!P62</f>
        <v>0</v>
      </c>
      <c r="Q62" s="2954">
        <f>'Phụ lục số 4'!Q62</f>
        <v>0</v>
      </c>
      <c r="R62" s="2954">
        <f>'Phụ lục số 4'!R62</f>
        <v>0</v>
      </c>
      <c r="S62" s="2954">
        <f>'Phụ lục số 4'!S62</f>
        <v>0</v>
      </c>
      <c r="T62" s="2954">
        <f>'Phụ lục số 4'!T62</f>
        <v>0</v>
      </c>
      <c r="U62" s="2954">
        <f>'Phụ lục số 4'!U62</f>
        <v>0</v>
      </c>
      <c r="V62" s="2954">
        <f>'Phụ lục số 4'!V62</f>
        <v>0</v>
      </c>
      <c r="W62" s="2954">
        <f>'Phụ lục số 4'!W62</f>
        <v>0</v>
      </c>
      <c r="X62" s="2954">
        <f>'Phụ lục số 4'!X62</f>
        <v>0</v>
      </c>
      <c r="Y62" s="2954">
        <f>'Phụ lục số 4'!Y62</f>
        <v>0</v>
      </c>
      <c r="Z62" s="2954">
        <f>'Phụ lục số 4'!Z62</f>
        <v>0</v>
      </c>
      <c r="AA62" s="2954">
        <f>'Phụ lục số 4'!AA62</f>
        <v>0</v>
      </c>
      <c r="AB62" s="2954">
        <f t="shared" si="25"/>
        <v>0</v>
      </c>
      <c r="AC62" s="2954">
        <f>'Phụ lục số 4'!AC62</f>
        <v>0</v>
      </c>
      <c r="AD62" s="3142">
        <f>'Phụ lục số 4'!AD62</f>
        <v>0</v>
      </c>
      <c r="AE62" s="3153">
        <f>'Phụ lục số 4'!AE62</f>
        <v>0</v>
      </c>
    </row>
    <row r="63" spans="1:31" s="154" customFormat="1">
      <c r="A63" s="2931">
        <v>47</v>
      </c>
      <c r="B63" s="2787" t="str">
        <f>'Phụ lục số 4'!B63</f>
        <v>Hội nhà báo</v>
      </c>
      <c r="C63" s="2954">
        <f t="shared" si="23"/>
        <v>1257</v>
      </c>
      <c r="D63" s="2954">
        <f t="shared" si="24"/>
        <v>0</v>
      </c>
      <c r="E63" s="2954">
        <f>'Phụ lục số 4'!E63</f>
        <v>0</v>
      </c>
      <c r="F63" s="2954">
        <f>'Phụ lục số 4'!F63</f>
        <v>0</v>
      </c>
      <c r="G63" s="2954">
        <f>'Phụ lục số 4'!G63</f>
        <v>0</v>
      </c>
      <c r="H63" s="2954">
        <f>'Phụ lục số 4'!H63</f>
        <v>0</v>
      </c>
      <c r="I63" s="2954"/>
      <c r="J63" s="2954">
        <f t="shared" si="13"/>
        <v>1257</v>
      </c>
      <c r="K63" s="2954">
        <f>'Phụ lục số 4'!K63</f>
        <v>0</v>
      </c>
      <c r="L63" s="2954">
        <f>'Phụ lục số 4'!L63</f>
        <v>0</v>
      </c>
      <c r="M63" s="2954">
        <f>'Phụ lục số 4'!M63</f>
        <v>0</v>
      </c>
      <c r="N63" s="2954">
        <f>'Phụ lục số 4'!N63</f>
        <v>0</v>
      </c>
      <c r="O63" s="2954">
        <f>'Phụ lục số 4'!O63</f>
        <v>0</v>
      </c>
      <c r="P63" s="2954">
        <f>'Phụ lục số 4'!P63</f>
        <v>0</v>
      </c>
      <c r="Q63" s="2954">
        <f>'Phụ lục số 4'!Q63</f>
        <v>0</v>
      </c>
      <c r="R63" s="2954">
        <f>'Phụ lục số 4'!R63</f>
        <v>0</v>
      </c>
      <c r="S63" s="2954">
        <f>'Phụ lục số 4'!S63</f>
        <v>0</v>
      </c>
      <c r="T63" s="2954">
        <f>'Phụ lục số 4'!T63</f>
        <v>0</v>
      </c>
      <c r="U63" s="2954">
        <f>'Phụ lục số 4'!U63</f>
        <v>0</v>
      </c>
      <c r="V63" s="2954">
        <f>'Phụ lục số 4'!V63</f>
        <v>1257</v>
      </c>
      <c r="W63" s="2954">
        <f>'Phụ lục số 4'!W63</f>
        <v>0</v>
      </c>
      <c r="X63" s="2954">
        <f>'Phụ lục số 4'!X63</f>
        <v>0</v>
      </c>
      <c r="Y63" s="2954">
        <f>'Phụ lục số 4'!Y63</f>
        <v>0</v>
      </c>
      <c r="Z63" s="2954">
        <f>'Phụ lục số 4'!Z63</f>
        <v>0</v>
      </c>
      <c r="AA63" s="2954">
        <f>'Phụ lục số 4'!AA63</f>
        <v>0</v>
      </c>
      <c r="AB63" s="2954">
        <f t="shared" si="25"/>
        <v>0</v>
      </c>
      <c r="AC63" s="2954">
        <f>'Phụ lục số 4'!AC63</f>
        <v>0</v>
      </c>
      <c r="AD63" s="3142">
        <f>'Phụ lục số 4'!AD63</f>
        <v>0</v>
      </c>
      <c r="AE63" s="3153">
        <f>'Phụ lục số 4'!AE63</f>
        <v>0</v>
      </c>
    </row>
    <row r="64" spans="1:31" s="154" customFormat="1">
      <c r="A64" s="2931">
        <v>48</v>
      </c>
      <c r="B64" s="2787" t="str">
        <f>'Phụ lục số 4'!B64</f>
        <v>Hội Luật gia Tỉnh</v>
      </c>
      <c r="C64" s="2954">
        <f t="shared" si="23"/>
        <v>530</v>
      </c>
      <c r="D64" s="2954">
        <f t="shared" si="24"/>
        <v>0</v>
      </c>
      <c r="E64" s="2954">
        <f>'Phụ lục số 4'!E64</f>
        <v>0</v>
      </c>
      <c r="F64" s="2954">
        <f>'Phụ lục số 4'!F64</f>
        <v>0</v>
      </c>
      <c r="G64" s="2954">
        <f>'Phụ lục số 4'!G64</f>
        <v>0</v>
      </c>
      <c r="H64" s="2954">
        <f>'Phụ lục số 4'!H64</f>
        <v>0</v>
      </c>
      <c r="I64" s="2954"/>
      <c r="J64" s="2954">
        <f t="shared" si="13"/>
        <v>530</v>
      </c>
      <c r="K64" s="2954">
        <f>'Phụ lục số 4'!K64</f>
        <v>0</v>
      </c>
      <c r="L64" s="2954">
        <f>'Phụ lục số 4'!L64</f>
        <v>30</v>
      </c>
      <c r="M64" s="2954">
        <f>'Phụ lục số 4'!M64</f>
        <v>0</v>
      </c>
      <c r="N64" s="2954">
        <f>'Phụ lục số 4'!N64</f>
        <v>0</v>
      </c>
      <c r="O64" s="2954">
        <f>'Phụ lục số 4'!O64</f>
        <v>0</v>
      </c>
      <c r="P64" s="2954">
        <f>'Phụ lục số 4'!P64</f>
        <v>0</v>
      </c>
      <c r="Q64" s="2954">
        <f>'Phụ lục số 4'!Q64</f>
        <v>0</v>
      </c>
      <c r="R64" s="2954">
        <f>'Phụ lục số 4'!R64</f>
        <v>0</v>
      </c>
      <c r="S64" s="2954">
        <f>'Phụ lục số 4'!S64</f>
        <v>0</v>
      </c>
      <c r="T64" s="2954">
        <f>'Phụ lục số 4'!T64</f>
        <v>0</v>
      </c>
      <c r="U64" s="2954">
        <f>'Phụ lục số 4'!U64</f>
        <v>0</v>
      </c>
      <c r="V64" s="2954">
        <f>'Phụ lục số 4'!V64</f>
        <v>500</v>
      </c>
      <c r="W64" s="2954">
        <f>'Phụ lục số 4'!W64</f>
        <v>0</v>
      </c>
      <c r="X64" s="2954">
        <f>'Phụ lục số 4'!X64</f>
        <v>0</v>
      </c>
      <c r="Y64" s="2954">
        <f>'Phụ lục số 4'!Y64</f>
        <v>0</v>
      </c>
      <c r="Z64" s="2954">
        <f>'Phụ lục số 4'!Z64</f>
        <v>0</v>
      </c>
      <c r="AA64" s="2954">
        <f>'Phụ lục số 4'!AA64</f>
        <v>0</v>
      </c>
      <c r="AB64" s="2954">
        <f t="shared" si="25"/>
        <v>0</v>
      </c>
      <c r="AC64" s="2954">
        <f>'Phụ lục số 4'!AC64</f>
        <v>0</v>
      </c>
      <c r="AD64" s="3142">
        <f>'Phụ lục số 4'!AD64</f>
        <v>0</v>
      </c>
      <c r="AE64" s="3153">
        <f>'Phụ lục số 4'!AE64</f>
        <v>0</v>
      </c>
    </row>
    <row r="65" spans="1:31" s="154" customFormat="1" ht="54">
      <c r="A65" s="2931">
        <v>49</v>
      </c>
      <c r="B65" s="2787" t="str">
        <f>'Phụ lục số 4'!B65</f>
        <v>Hội Bảo trợ người khuyết tật, Nạn nhân chất độc da cam/dioxin và Bệnh nhân nghèo tỉnh Đồng Tháp</v>
      </c>
      <c r="C65" s="2954">
        <f t="shared" si="23"/>
        <v>500</v>
      </c>
      <c r="D65" s="2954">
        <f t="shared" si="24"/>
        <v>0</v>
      </c>
      <c r="E65" s="2954">
        <f>'Phụ lục số 4'!E65</f>
        <v>0</v>
      </c>
      <c r="F65" s="2954">
        <f>'Phụ lục số 4'!F65</f>
        <v>0</v>
      </c>
      <c r="G65" s="2954">
        <f>'Phụ lục số 4'!G65</f>
        <v>0</v>
      </c>
      <c r="H65" s="2954">
        <f>'Phụ lục số 4'!H65</f>
        <v>0</v>
      </c>
      <c r="I65" s="2954"/>
      <c r="J65" s="2954">
        <f t="shared" si="13"/>
        <v>500</v>
      </c>
      <c r="K65" s="2954">
        <f>'Phụ lục số 4'!K65</f>
        <v>0</v>
      </c>
      <c r="L65" s="2954">
        <f>'Phụ lục số 4'!L65</f>
        <v>0</v>
      </c>
      <c r="M65" s="2954">
        <f>'Phụ lục số 4'!M65</f>
        <v>0</v>
      </c>
      <c r="N65" s="2954">
        <f>'Phụ lục số 4'!N65</f>
        <v>0</v>
      </c>
      <c r="O65" s="2954">
        <f>'Phụ lục số 4'!O65</f>
        <v>0</v>
      </c>
      <c r="P65" s="2954">
        <f>'Phụ lục số 4'!P65</f>
        <v>0</v>
      </c>
      <c r="Q65" s="2954">
        <f>'Phụ lục số 4'!Q65</f>
        <v>0</v>
      </c>
      <c r="R65" s="2954">
        <f>'Phụ lục số 4'!R65</f>
        <v>0</v>
      </c>
      <c r="S65" s="2954">
        <f>'Phụ lục số 4'!S65</f>
        <v>0</v>
      </c>
      <c r="T65" s="2954">
        <f>'Phụ lục số 4'!T65</f>
        <v>0</v>
      </c>
      <c r="U65" s="2954">
        <f>'Phụ lục số 4'!U65</f>
        <v>0</v>
      </c>
      <c r="V65" s="2954">
        <f>'Phụ lục số 4'!V65</f>
        <v>500</v>
      </c>
      <c r="W65" s="2954">
        <f>'Phụ lục số 4'!W65</f>
        <v>0</v>
      </c>
      <c r="X65" s="2954">
        <f>'Phụ lục số 4'!X65</f>
        <v>0</v>
      </c>
      <c r="Y65" s="2954">
        <f>'Phụ lục số 4'!Y65</f>
        <v>0</v>
      </c>
      <c r="Z65" s="2954">
        <f>'Phụ lục số 4'!Z65</f>
        <v>0</v>
      </c>
      <c r="AA65" s="2954">
        <f>'Phụ lục số 4'!AA65</f>
        <v>0</v>
      </c>
      <c r="AB65" s="2954">
        <f t="shared" si="25"/>
        <v>0</v>
      </c>
      <c r="AC65" s="2954">
        <f>'Phụ lục số 4'!AC65</f>
        <v>0</v>
      </c>
      <c r="AD65" s="3142">
        <f>'Phụ lục số 4'!AD65</f>
        <v>0</v>
      </c>
      <c r="AE65" s="3153">
        <f>'Phụ lục số 4'!AE65</f>
        <v>0</v>
      </c>
    </row>
    <row r="66" spans="1:31" s="154" customFormat="1">
      <c r="A66" s="2931">
        <v>50</v>
      </c>
      <c r="B66" s="2787" t="str">
        <f>'Phụ lục số 4'!B66</f>
        <v>Hội Khuyến học tỉnh</v>
      </c>
      <c r="C66" s="2954">
        <f t="shared" si="23"/>
        <v>400</v>
      </c>
      <c r="D66" s="2954">
        <f t="shared" si="24"/>
        <v>0</v>
      </c>
      <c r="E66" s="2954">
        <f>'Phụ lục số 4'!E66</f>
        <v>0</v>
      </c>
      <c r="F66" s="2954">
        <f>'Phụ lục số 4'!F66</f>
        <v>0</v>
      </c>
      <c r="G66" s="2954">
        <f>'Phụ lục số 4'!G66</f>
        <v>0</v>
      </c>
      <c r="H66" s="2954">
        <f>'Phụ lục số 4'!H66</f>
        <v>0</v>
      </c>
      <c r="I66" s="2954"/>
      <c r="J66" s="2954">
        <f t="shared" si="13"/>
        <v>400</v>
      </c>
      <c r="K66" s="2954">
        <f>'Phụ lục số 4'!K66</f>
        <v>0</v>
      </c>
      <c r="L66" s="2954">
        <f>'Phụ lục số 4'!L66</f>
        <v>0</v>
      </c>
      <c r="M66" s="2954">
        <f>'Phụ lục số 4'!M66</f>
        <v>0</v>
      </c>
      <c r="N66" s="2954">
        <f>'Phụ lục số 4'!N66</f>
        <v>0</v>
      </c>
      <c r="O66" s="2954">
        <f>'Phụ lục số 4'!O66</f>
        <v>0</v>
      </c>
      <c r="P66" s="2954">
        <f>'Phụ lục số 4'!P66</f>
        <v>0</v>
      </c>
      <c r="Q66" s="2954">
        <f>'Phụ lục số 4'!Q66</f>
        <v>0</v>
      </c>
      <c r="R66" s="2954">
        <f>'Phụ lục số 4'!R66</f>
        <v>0</v>
      </c>
      <c r="S66" s="2954">
        <f>'Phụ lục số 4'!S66</f>
        <v>0</v>
      </c>
      <c r="T66" s="2954">
        <f>'Phụ lục số 4'!T66</f>
        <v>0</v>
      </c>
      <c r="U66" s="2954">
        <f>'Phụ lục số 4'!U66</f>
        <v>0</v>
      </c>
      <c r="V66" s="2954">
        <f>'Phụ lục số 4'!V66</f>
        <v>400</v>
      </c>
      <c r="W66" s="2954">
        <f>'Phụ lục số 4'!W66</f>
        <v>0</v>
      </c>
      <c r="X66" s="2954">
        <f>'Phụ lục số 4'!X66</f>
        <v>0</v>
      </c>
      <c r="Y66" s="2954">
        <f>'Phụ lục số 4'!Y66</f>
        <v>0</v>
      </c>
      <c r="Z66" s="2954">
        <f>'Phụ lục số 4'!Z66</f>
        <v>0</v>
      </c>
      <c r="AA66" s="2954">
        <f>'Phụ lục số 4'!AA66</f>
        <v>0</v>
      </c>
      <c r="AB66" s="2954">
        <f t="shared" si="25"/>
        <v>0</v>
      </c>
      <c r="AC66" s="2954">
        <f>'Phụ lục số 4'!AC66</f>
        <v>0</v>
      </c>
      <c r="AD66" s="3142">
        <f>'Phụ lục số 4'!AD66</f>
        <v>0</v>
      </c>
      <c r="AE66" s="3153">
        <f>'Phụ lục số 4'!AE66</f>
        <v>0</v>
      </c>
    </row>
    <row r="67" spans="1:31" s="154" customFormat="1">
      <c r="A67" s="2931">
        <v>51</v>
      </c>
      <c r="B67" s="2787" t="str">
        <f>'Phụ lục số 4'!B67</f>
        <v>Hội Y học tỉnh</v>
      </c>
      <c r="C67" s="2954">
        <f t="shared" si="23"/>
        <v>400</v>
      </c>
      <c r="D67" s="2954">
        <f t="shared" si="24"/>
        <v>0</v>
      </c>
      <c r="E67" s="2954">
        <f>'Phụ lục số 4'!E67</f>
        <v>0</v>
      </c>
      <c r="F67" s="2954">
        <f>'Phụ lục số 4'!F67</f>
        <v>0</v>
      </c>
      <c r="G67" s="2954">
        <f>'Phụ lục số 4'!G67</f>
        <v>0</v>
      </c>
      <c r="H67" s="2954">
        <f>'Phụ lục số 4'!H67</f>
        <v>0</v>
      </c>
      <c r="I67" s="2954"/>
      <c r="J67" s="2954">
        <f t="shared" si="13"/>
        <v>400</v>
      </c>
      <c r="K67" s="2954">
        <f>'Phụ lục số 4'!K67</f>
        <v>0</v>
      </c>
      <c r="L67" s="2954">
        <f>'Phụ lục số 4'!L67</f>
        <v>0</v>
      </c>
      <c r="M67" s="2954">
        <f>'Phụ lục số 4'!M67</f>
        <v>0</v>
      </c>
      <c r="N67" s="2954">
        <f>'Phụ lục số 4'!N67</f>
        <v>0</v>
      </c>
      <c r="O67" s="2954">
        <f>'Phụ lục số 4'!O67</f>
        <v>0</v>
      </c>
      <c r="P67" s="2954">
        <f>'Phụ lục số 4'!P67</f>
        <v>0</v>
      </c>
      <c r="Q67" s="2954">
        <f>'Phụ lục số 4'!Q67</f>
        <v>0</v>
      </c>
      <c r="R67" s="2954">
        <f>'Phụ lục số 4'!R67</f>
        <v>0</v>
      </c>
      <c r="S67" s="2954">
        <f>'Phụ lục số 4'!S67</f>
        <v>0</v>
      </c>
      <c r="T67" s="2954">
        <f>'Phụ lục số 4'!T67</f>
        <v>0</v>
      </c>
      <c r="U67" s="2954">
        <f>'Phụ lục số 4'!U67</f>
        <v>0</v>
      </c>
      <c r="V67" s="2954">
        <f>'Phụ lục số 4'!V67</f>
        <v>400</v>
      </c>
      <c r="W67" s="2954">
        <f>'Phụ lục số 4'!W67</f>
        <v>0</v>
      </c>
      <c r="X67" s="2954">
        <f>'Phụ lục số 4'!X67</f>
        <v>0</v>
      </c>
      <c r="Y67" s="2954">
        <f>'Phụ lục số 4'!Y67</f>
        <v>0</v>
      </c>
      <c r="Z67" s="2954">
        <f>'Phụ lục số 4'!Z67</f>
        <v>0</v>
      </c>
      <c r="AA67" s="2954">
        <f>'Phụ lục số 4'!AA67</f>
        <v>0</v>
      </c>
      <c r="AB67" s="2954">
        <f t="shared" si="25"/>
        <v>0</v>
      </c>
      <c r="AC67" s="2954">
        <f>'Phụ lục số 4'!AC67</f>
        <v>0</v>
      </c>
      <c r="AD67" s="3142">
        <f>'Phụ lục số 4'!AD67</f>
        <v>0</v>
      </c>
      <c r="AE67" s="3153">
        <f>'Phụ lục số 4'!AE67</f>
        <v>0</v>
      </c>
    </row>
    <row r="68" spans="1:31" s="154" customFormat="1">
      <c r="A68" s="2931">
        <v>52</v>
      </c>
      <c r="B68" s="2787" t="str">
        <f>'Phụ lục số 4'!B68</f>
        <v>Ban đại diện Hội Người Cao tuổi</v>
      </c>
      <c r="C68" s="2954">
        <f t="shared" si="23"/>
        <v>718</v>
      </c>
      <c r="D68" s="2954">
        <f t="shared" si="24"/>
        <v>0</v>
      </c>
      <c r="E68" s="2954">
        <f>'Phụ lục số 4'!E68</f>
        <v>0</v>
      </c>
      <c r="F68" s="2954">
        <f>'Phụ lục số 4'!F68</f>
        <v>0</v>
      </c>
      <c r="G68" s="2954">
        <f>'Phụ lục số 4'!G68</f>
        <v>0</v>
      </c>
      <c r="H68" s="2954">
        <f>'Phụ lục số 4'!H68</f>
        <v>0</v>
      </c>
      <c r="I68" s="2954"/>
      <c r="J68" s="2954">
        <f t="shared" si="13"/>
        <v>718</v>
      </c>
      <c r="K68" s="2954">
        <f>'Phụ lục số 4'!K68</f>
        <v>0</v>
      </c>
      <c r="L68" s="2954">
        <f>'Phụ lục số 4'!L68</f>
        <v>38</v>
      </c>
      <c r="M68" s="2954">
        <f>'Phụ lục số 4'!M68</f>
        <v>0</v>
      </c>
      <c r="N68" s="2954">
        <f>'Phụ lục số 4'!N68</f>
        <v>0</v>
      </c>
      <c r="O68" s="2954">
        <f>'Phụ lục số 4'!O68</f>
        <v>0</v>
      </c>
      <c r="P68" s="2954">
        <f>'Phụ lục số 4'!P68</f>
        <v>0</v>
      </c>
      <c r="Q68" s="2954">
        <f>'Phụ lục số 4'!Q68</f>
        <v>0</v>
      </c>
      <c r="R68" s="2954">
        <f>'Phụ lục số 4'!R68</f>
        <v>0</v>
      </c>
      <c r="S68" s="2954">
        <f>'Phụ lục số 4'!S68</f>
        <v>0</v>
      </c>
      <c r="T68" s="2954">
        <f>'Phụ lục số 4'!T68</f>
        <v>0</v>
      </c>
      <c r="U68" s="2954">
        <f>'Phụ lục số 4'!U68</f>
        <v>0</v>
      </c>
      <c r="V68" s="2954">
        <f>'Phụ lục số 4'!V68</f>
        <v>680</v>
      </c>
      <c r="W68" s="2954">
        <f>'Phụ lục số 4'!W68</f>
        <v>0</v>
      </c>
      <c r="X68" s="2954">
        <f>'Phụ lục số 4'!X68</f>
        <v>0</v>
      </c>
      <c r="Y68" s="2954">
        <f>'Phụ lục số 4'!Y68</f>
        <v>0</v>
      </c>
      <c r="Z68" s="2954">
        <f>'Phụ lục số 4'!Z68</f>
        <v>0</v>
      </c>
      <c r="AA68" s="2954">
        <f>'Phụ lục số 4'!AA68</f>
        <v>0</v>
      </c>
      <c r="AB68" s="2954">
        <f t="shared" si="25"/>
        <v>0</v>
      </c>
      <c r="AC68" s="2954">
        <f>'Phụ lục số 4'!AC68</f>
        <v>0</v>
      </c>
      <c r="AD68" s="3142">
        <f>'Phụ lục số 4'!AD68</f>
        <v>0</v>
      </c>
      <c r="AE68" s="3153">
        <f>'Phụ lục số 4'!AE68</f>
        <v>0</v>
      </c>
    </row>
    <row r="69" spans="1:31" s="154" customFormat="1">
      <c r="A69" s="2931">
        <v>53</v>
      </c>
      <c r="B69" s="2787" t="str">
        <f>'Phụ lục số 4'!B69</f>
        <v>Hội Khoa học Lịch sử tỉnh</v>
      </c>
      <c r="C69" s="2954">
        <f t="shared" si="23"/>
        <v>1050</v>
      </c>
      <c r="D69" s="2954">
        <f t="shared" si="24"/>
        <v>0</v>
      </c>
      <c r="E69" s="2954">
        <f>'Phụ lục số 4'!E69</f>
        <v>0</v>
      </c>
      <c r="F69" s="2954">
        <f>'Phụ lục số 4'!F69</f>
        <v>0</v>
      </c>
      <c r="G69" s="2954">
        <f>'Phụ lục số 4'!G69</f>
        <v>0</v>
      </c>
      <c r="H69" s="2954">
        <f>'Phụ lục số 4'!H69</f>
        <v>0</v>
      </c>
      <c r="I69" s="2954"/>
      <c r="J69" s="2954">
        <f t="shared" si="13"/>
        <v>1050</v>
      </c>
      <c r="K69" s="2954">
        <f>'Phụ lục số 4'!K69</f>
        <v>0</v>
      </c>
      <c r="L69" s="2954">
        <f>'Phụ lục số 4'!L69</f>
        <v>0</v>
      </c>
      <c r="M69" s="2954">
        <f>'Phụ lục số 4'!M69</f>
        <v>0</v>
      </c>
      <c r="N69" s="2954">
        <f>'Phụ lục số 4'!N69</f>
        <v>0</v>
      </c>
      <c r="O69" s="2954">
        <f>'Phụ lục số 4'!O69</f>
        <v>0</v>
      </c>
      <c r="P69" s="2954">
        <f>'Phụ lục số 4'!P69</f>
        <v>0</v>
      </c>
      <c r="Q69" s="2954">
        <f>'Phụ lục số 4'!Q69</f>
        <v>0</v>
      </c>
      <c r="R69" s="2954">
        <f>'Phụ lục số 4'!R69</f>
        <v>0</v>
      </c>
      <c r="S69" s="2954">
        <f>'Phụ lục số 4'!S69</f>
        <v>0</v>
      </c>
      <c r="T69" s="2954">
        <f>'Phụ lục số 4'!T69</f>
        <v>0</v>
      </c>
      <c r="U69" s="2954">
        <f>'Phụ lục số 4'!U69</f>
        <v>0</v>
      </c>
      <c r="V69" s="2954">
        <f>'Phụ lục số 4'!V69</f>
        <v>1050</v>
      </c>
      <c r="W69" s="2954">
        <f>'Phụ lục số 4'!W69</f>
        <v>0</v>
      </c>
      <c r="X69" s="2954">
        <f>'Phụ lục số 4'!X69</f>
        <v>0</v>
      </c>
      <c r="Y69" s="2954">
        <f>'Phụ lục số 4'!Y69</f>
        <v>0</v>
      </c>
      <c r="Z69" s="2954">
        <f>'Phụ lục số 4'!Z69</f>
        <v>0</v>
      </c>
      <c r="AA69" s="2954">
        <f>'Phụ lục số 4'!AA69</f>
        <v>0</v>
      </c>
      <c r="AB69" s="2954">
        <f t="shared" si="25"/>
        <v>0</v>
      </c>
      <c r="AC69" s="2954">
        <f>'Phụ lục số 4'!AC69</f>
        <v>0</v>
      </c>
      <c r="AD69" s="3142">
        <f>'Phụ lục số 4'!AD69</f>
        <v>0</v>
      </c>
      <c r="AE69" s="3153">
        <f>'Phụ lục số 4'!AE69</f>
        <v>0</v>
      </c>
    </row>
    <row r="70" spans="1:31" s="154" customFormat="1">
      <c r="A70" s="2931">
        <v>54</v>
      </c>
      <c r="B70" s="2787" t="str">
        <f>'Phụ lục số 4'!B70</f>
        <v>Cục Thi hành án dân sự tỉnh Đồng Tháp</v>
      </c>
      <c r="C70" s="2954">
        <f t="shared" si="23"/>
        <v>150</v>
      </c>
      <c r="D70" s="2954"/>
      <c r="E70" s="2954"/>
      <c r="F70" s="2954"/>
      <c r="G70" s="2954"/>
      <c r="H70" s="2954"/>
      <c r="I70" s="2954"/>
      <c r="J70" s="2954">
        <f t="shared" si="13"/>
        <v>150</v>
      </c>
      <c r="K70" s="2954"/>
      <c r="L70" s="2954"/>
      <c r="M70" s="2954"/>
      <c r="N70" s="2954"/>
      <c r="O70" s="2954"/>
      <c r="P70" s="2954"/>
      <c r="Q70" s="2954"/>
      <c r="R70" s="2954"/>
      <c r="S70" s="2954"/>
      <c r="T70" s="2954"/>
      <c r="U70" s="2954"/>
      <c r="V70" s="2954">
        <f>'Phụ lục số 4'!V70</f>
        <v>150</v>
      </c>
      <c r="W70" s="2954"/>
      <c r="X70" s="2954"/>
      <c r="Y70" s="2954"/>
      <c r="Z70" s="2954"/>
      <c r="AA70" s="2954"/>
      <c r="AB70" s="2954"/>
      <c r="AC70" s="2954"/>
      <c r="AD70" s="3142"/>
      <c r="AE70" s="3153"/>
    </row>
    <row r="71" spans="1:31" s="154" customFormat="1">
      <c r="A71" s="2931">
        <v>55</v>
      </c>
      <c r="B71" s="2787" t="str">
        <f>'Phụ lục số 4'!B71</f>
        <v>Cục Thuế tỉnh Đồng Tháp</v>
      </c>
      <c r="C71" s="2954">
        <f t="shared" si="23"/>
        <v>300</v>
      </c>
      <c r="D71" s="2954"/>
      <c r="E71" s="2954"/>
      <c r="F71" s="2954"/>
      <c r="G71" s="2954"/>
      <c r="H71" s="2954"/>
      <c r="I71" s="2954"/>
      <c r="J71" s="2954">
        <f t="shared" si="13"/>
        <v>300</v>
      </c>
      <c r="K71" s="2954"/>
      <c r="L71" s="2954"/>
      <c r="M71" s="2954"/>
      <c r="N71" s="2954"/>
      <c r="O71" s="2954"/>
      <c r="P71" s="2954"/>
      <c r="Q71" s="2954"/>
      <c r="R71" s="2954"/>
      <c r="S71" s="2954"/>
      <c r="T71" s="2954"/>
      <c r="U71" s="2954"/>
      <c r="V71" s="2954">
        <f>'Phụ lục số 4'!V71</f>
        <v>300</v>
      </c>
      <c r="W71" s="2954"/>
      <c r="X71" s="2954"/>
      <c r="Y71" s="2954"/>
      <c r="Z71" s="2954"/>
      <c r="AA71" s="2954"/>
      <c r="AB71" s="2954"/>
      <c r="AC71" s="2954"/>
      <c r="AD71" s="3142"/>
      <c r="AE71" s="3153"/>
    </row>
    <row r="72" spans="1:31" s="154" customFormat="1">
      <c r="A72" s="2931">
        <v>56</v>
      </c>
      <c r="B72" s="2787" t="str">
        <f>'Phụ lục số 4'!B72</f>
        <v>Cục Thống kê tỉnh Đồng Tháp</v>
      </c>
      <c r="C72" s="2954">
        <f t="shared" si="23"/>
        <v>100</v>
      </c>
      <c r="D72" s="2954"/>
      <c r="E72" s="2954"/>
      <c r="F72" s="2954"/>
      <c r="G72" s="2954"/>
      <c r="H72" s="2954"/>
      <c r="I72" s="2954"/>
      <c r="J72" s="2954">
        <f t="shared" si="13"/>
        <v>100</v>
      </c>
      <c r="K72" s="2954"/>
      <c r="L72" s="2954"/>
      <c r="M72" s="2954"/>
      <c r="N72" s="2954"/>
      <c r="O72" s="2954"/>
      <c r="P72" s="2954"/>
      <c r="Q72" s="2954"/>
      <c r="R72" s="2954"/>
      <c r="S72" s="2954"/>
      <c r="T72" s="2954"/>
      <c r="U72" s="2954"/>
      <c r="V72" s="2954">
        <f>'Phụ lục số 4'!V72</f>
        <v>100</v>
      </c>
      <c r="W72" s="2954"/>
      <c r="X72" s="2954"/>
      <c r="Y72" s="2954"/>
      <c r="Z72" s="2954"/>
      <c r="AA72" s="2954"/>
      <c r="AB72" s="2954"/>
      <c r="AC72" s="2954"/>
      <c r="AD72" s="3142"/>
      <c r="AE72" s="3153"/>
    </row>
    <row r="73" spans="1:31" s="154" customFormat="1">
      <c r="A73" s="2931">
        <v>57</v>
      </c>
      <c r="B73" s="2787" t="str">
        <f>'Phụ lục số 4'!B73</f>
        <v>Cục Quản lý thị trường Tỉnh</v>
      </c>
      <c r="C73" s="2954">
        <f t="shared" si="23"/>
        <v>300</v>
      </c>
      <c r="D73" s="2954"/>
      <c r="E73" s="2954"/>
      <c r="F73" s="2954"/>
      <c r="G73" s="2954"/>
      <c r="H73" s="2954"/>
      <c r="I73" s="2954"/>
      <c r="J73" s="2954">
        <f t="shared" si="13"/>
        <v>300</v>
      </c>
      <c r="K73" s="2954"/>
      <c r="L73" s="2954"/>
      <c r="M73" s="2954"/>
      <c r="N73" s="2954"/>
      <c r="O73" s="2954"/>
      <c r="P73" s="2954"/>
      <c r="Q73" s="2954"/>
      <c r="R73" s="2954"/>
      <c r="S73" s="2954"/>
      <c r="T73" s="2954"/>
      <c r="U73" s="2954"/>
      <c r="V73" s="2954">
        <f>'Phụ lục số 4'!V73</f>
        <v>300</v>
      </c>
      <c r="W73" s="2954"/>
      <c r="X73" s="2954"/>
      <c r="Y73" s="2954"/>
      <c r="Z73" s="2954"/>
      <c r="AA73" s="2954"/>
      <c r="AB73" s="2954"/>
      <c r="AC73" s="2954"/>
      <c r="AD73" s="3142"/>
      <c r="AE73" s="3153"/>
    </row>
    <row r="74" spans="1:31">
      <c r="A74" s="3063">
        <v>57</v>
      </c>
      <c r="B74" s="3580" t="str">
        <f>'Phụ lục số 4'!B74</f>
        <v>Tòa án Nhân dân tỉnh Đồng Tháp</v>
      </c>
      <c r="C74" s="3581">
        <f t="shared" si="23"/>
        <v>187</v>
      </c>
      <c r="D74" s="3581"/>
      <c r="E74" s="3581"/>
      <c r="F74" s="3581"/>
      <c r="G74" s="3581"/>
      <c r="H74" s="3581"/>
      <c r="I74" s="3581"/>
      <c r="J74" s="3581">
        <f t="shared" si="13"/>
        <v>187</v>
      </c>
      <c r="K74" s="3581"/>
      <c r="L74" s="3581"/>
      <c r="M74" s="3581"/>
      <c r="N74" s="3581"/>
      <c r="O74" s="3581"/>
      <c r="P74" s="3581"/>
      <c r="Q74" s="3581"/>
      <c r="R74" s="3581"/>
      <c r="S74" s="3581"/>
      <c r="T74" s="3581"/>
      <c r="U74" s="3581"/>
      <c r="V74" s="2954">
        <f>'Phụ lục số 4'!V74</f>
        <v>187</v>
      </c>
      <c r="W74" s="3581"/>
      <c r="X74" s="3581"/>
      <c r="Y74" s="3581"/>
      <c r="Z74" s="3581"/>
      <c r="AA74" s="3581"/>
      <c r="AB74" s="3581"/>
      <c r="AC74" s="3581"/>
      <c r="AD74" s="3582"/>
      <c r="AE74" s="3583"/>
    </row>
    <row r="75" spans="1:31" s="1319" customFormat="1" ht="69.599999999999994">
      <c r="A75" s="3028" t="s">
        <v>72</v>
      </c>
      <c r="B75" s="3562" t="str">
        <f>'Phụ lục số 4'!B75</f>
        <v>CÁC KHOẢN CHI ĐÃ GIAO THEO LĨNH VỰC (CHƯA GIAO CỤ THỂ ĐẦU NĂM) CHO ĐƠN VỊ TRÊN ĐỊA BÀN TỈNH</v>
      </c>
      <c r="C75" s="3563">
        <f>D75+J75+AB75+W75+X75</f>
        <v>330590.55099999998</v>
      </c>
      <c r="D75" s="3563">
        <f t="shared" ref="D75:D108" si="26">SUM(E75:H75)</f>
        <v>0</v>
      </c>
      <c r="E75" s="3563">
        <f>'Phụ lục số 4'!E75</f>
        <v>0</v>
      </c>
      <c r="F75" s="3563">
        <f>'Phụ lục số 4'!F75</f>
        <v>0</v>
      </c>
      <c r="G75" s="3563">
        <f>'Phụ lục số 4'!G75</f>
        <v>0</v>
      </c>
      <c r="H75" s="3563">
        <f>'Phụ lục số 4'!H75</f>
        <v>0</v>
      </c>
      <c r="I75" s="3563"/>
      <c r="J75" s="3563">
        <f t="shared" si="13"/>
        <v>318964.55099999998</v>
      </c>
      <c r="K75" s="3563">
        <f>'Phụ lục số 4'!K75</f>
        <v>195500</v>
      </c>
      <c r="L75" s="3563">
        <f>'Phụ lục số 4'!L75</f>
        <v>1152</v>
      </c>
      <c r="M75" s="3563">
        <f>'Phụ lục số 4'!M75</f>
        <v>1892</v>
      </c>
      <c r="N75" s="3563">
        <f>'Phụ lục số 4'!N75</f>
        <v>74667</v>
      </c>
      <c r="O75" s="3563">
        <f>'Phụ lục số 4'!O75</f>
        <v>0</v>
      </c>
      <c r="P75" s="3563">
        <f>'Phụ lục số 4'!P75</f>
        <v>2694</v>
      </c>
      <c r="Q75" s="3563">
        <f>'Phụ lục số 4'!Q75</f>
        <v>0</v>
      </c>
      <c r="R75" s="3563">
        <f>'Phụ lục số 4'!R75</f>
        <v>0</v>
      </c>
      <c r="S75" s="3563">
        <f>'Phụ lục số 4'!S75</f>
        <v>23385</v>
      </c>
      <c r="T75" s="3563">
        <f>'Phụ lục số 4'!T75</f>
        <v>5498.9510000000009</v>
      </c>
      <c r="U75" s="3563">
        <f>'Phụ lục số 4'!U75</f>
        <v>-0.39999999999417923</v>
      </c>
      <c r="V75" s="3563">
        <f>'Phụ lục số 4'!V75</f>
        <v>14176</v>
      </c>
      <c r="W75" s="3563">
        <f>'Phụ lục số 4'!W75</f>
        <v>0</v>
      </c>
      <c r="X75" s="3563">
        <f>'Phụ lục số 4'!X75</f>
        <v>0</v>
      </c>
      <c r="Y75" s="3563">
        <f>'Phụ lục số 4'!Y75</f>
        <v>0</v>
      </c>
      <c r="Z75" s="3563">
        <f>'Phụ lục số 4'!Z75</f>
        <v>0</v>
      </c>
      <c r="AA75" s="3563">
        <f>'Phụ lục số 4'!AA75</f>
        <v>0</v>
      </c>
      <c r="AB75" s="3563">
        <f t="shared" ref="AB75" si="27">SUM(AC75:AD75)</f>
        <v>11626</v>
      </c>
      <c r="AC75" s="3563">
        <f>'Phụ lục số 4'!AC75</f>
        <v>0</v>
      </c>
      <c r="AD75" s="3564">
        <f>'Phụ lục số 4'!AD75</f>
        <v>11626</v>
      </c>
      <c r="AE75" s="3154">
        <f>'Phụ lục số 4'!AE75</f>
        <v>0</v>
      </c>
    </row>
    <row r="76" spans="1:31" s="1319" customFormat="1" ht="17.399999999999999">
      <c r="A76" s="3671">
        <f>'Phụ lục số 4'!A76</f>
        <v>1</v>
      </c>
      <c r="B76" s="3612" t="str">
        <f>'Phụ lục số 4'!B76</f>
        <v>Các nhiệm vụ chi hoạt động kinh tế</v>
      </c>
      <c r="C76" s="2956">
        <f t="shared" ref="C76:C105" si="28">D76+J76+AB76+W76+X76+AA76</f>
        <v>195500</v>
      </c>
      <c r="D76" s="3563"/>
      <c r="E76" s="3563"/>
      <c r="F76" s="3563"/>
      <c r="G76" s="3563"/>
      <c r="H76" s="3563"/>
      <c r="I76" s="3563"/>
      <c r="J76" s="2956">
        <f>SUM(K76:V76)</f>
        <v>195500</v>
      </c>
      <c r="K76" s="2956">
        <f>'Phụ lục số 4'!K76</f>
        <v>195500</v>
      </c>
      <c r="L76" s="2956">
        <f>'Phụ lục số 4'!L76</f>
        <v>0</v>
      </c>
      <c r="M76" s="2956">
        <f>'Phụ lục số 4'!M76</f>
        <v>0</v>
      </c>
      <c r="N76" s="2956">
        <f>'Phụ lục số 4'!N76</f>
        <v>0</v>
      </c>
      <c r="O76" s="2956">
        <f>'Phụ lục số 4'!O76</f>
        <v>0</v>
      </c>
      <c r="P76" s="2956">
        <f>'Phụ lục số 4'!P76</f>
        <v>0</v>
      </c>
      <c r="Q76" s="2956">
        <f>'Phụ lục số 4'!Q76</f>
        <v>0</v>
      </c>
      <c r="R76" s="2956">
        <f>'Phụ lục số 4'!R76</f>
        <v>0</v>
      </c>
      <c r="S76" s="2956">
        <f>'Phụ lục số 4'!S76</f>
        <v>0</v>
      </c>
      <c r="T76" s="2956">
        <f>'Phụ lục số 4'!T76</f>
        <v>0</v>
      </c>
      <c r="U76" s="2956">
        <f>'Phụ lục số 4'!U76</f>
        <v>0</v>
      </c>
      <c r="V76" s="2956">
        <f>'Phụ lục số 4'!V76</f>
        <v>0</v>
      </c>
      <c r="W76" s="2956">
        <f>'Phụ lục số 4'!W76</f>
        <v>0</v>
      </c>
      <c r="X76" s="2956">
        <f>'Phụ lục số 4'!X76</f>
        <v>0</v>
      </c>
      <c r="Y76" s="2956">
        <f>'Phụ lục số 4'!Y76</f>
        <v>0</v>
      </c>
      <c r="Z76" s="2956">
        <f>'Phụ lục số 4'!Z76</f>
        <v>0</v>
      </c>
      <c r="AA76" s="2956">
        <f>'Phụ lục số 4'!AA76</f>
        <v>0</v>
      </c>
      <c r="AB76" s="2956">
        <f>'Phụ lục số 4'!AB76</f>
        <v>0</v>
      </c>
      <c r="AC76" s="2956">
        <f>'Phụ lục số 4'!AC76</f>
        <v>0</v>
      </c>
      <c r="AD76" s="3143">
        <f>'Phụ lục số 4'!AD76</f>
        <v>0</v>
      </c>
      <c r="AE76" s="3154"/>
    </row>
    <row r="77" spans="1:31" s="154" customFormat="1" ht="36">
      <c r="A77" s="3031" t="str">
        <f>'Phụ lục số 4'!A77</f>
        <v>a</v>
      </c>
      <c r="B77" s="3593" t="str">
        <f>'Phụ lục số 4'!B77</f>
        <v>Kinh phí phát triển cây xanh, chiếu sáng đô thị toàn tỉnh</v>
      </c>
      <c r="C77" s="2954">
        <f t="shared" si="28"/>
        <v>70000</v>
      </c>
      <c r="D77" s="2954">
        <f t="shared" si="26"/>
        <v>0</v>
      </c>
      <c r="E77" s="2954">
        <f>'Phụ lục số 4'!E77</f>
        <v>0</v>
      </c>
      <c r="F77" s="2954">
        <f>'Phụ lục số 4'!F77</f>
        <v>0</v>
      </c>
      <c r="G77" s="2954">
        <f>'Phụ lục số 4'!G77</f>
        <v>0</v>
      </c>
      <c r="H77" s="2954">
        <f>'Phụ lục số 4'!H77</f>
        <v>0</v>
      </c>
      <c r="I77" s="2954"/>
      <c r="J77" s="2954">
        <f t="shared" si="13"/>
        <v>70000</v>
      </c>
      <c r="K77" s="2954">
        <f>'Phụ lục số 4'!K77</f>
        <v>70000</v>
      </c>
      <c r="L77" s="2954">
        <f>'Phụ lục số 4'!L77</f>
        <v>0</v>
      </c>
      <c r="M77" s="2954">
        <f>'Phụ lục số 4'!M77</f>
        <v>0</v>
      </c>
      <c r="N77" s="2954">
        <f>'Phụ lục số 4'!N77</f>
        <v>0</v>
      </c>
      <c r="O77" s="2954">
        <f>'Phụ lục số 4'!O77</f>
        <v>0</v>
      </c>
      <c r="P77" s="2954">
        <f>'Phụ lục số 4'!P77</f>
        <v>0</v>
      </c>
      <c r="Q77" s="2954">
        <f>'Phụ lục số 4'!Q77</f>
        <v>0</v>
      </c>
      <c r="R77" s="2954">
        <f>'Phụ lục số 4'!R77</f>
        <v>0</v>
      </c>
      <c r="S77" s="2954">
        <f>'Phụ lục số 4'!S77</f>
        <v>0</v>
      </c>
      <c r="T77" s="2954">
        <f>'Phụ lục số 4'!T77</f>
        <v>0</v>
      </c>
      <c r="U77" s="2954">
        <f>'Phụ lục số 4'!U77</f>
        <v>0</v>
      </c>
      <c r="V77" s="2954">
        <f>'Phụ lục số 4'!V77</f>
        <v>0</v>
      </c>
      <c r="W77" s="2954">
        <f>'Phụ lục số 4'!W77</f>
        <v>0</v>
      </c>
      <c r="X77" s="2954">
        <f>'Phụ lục số 4'!X77</f>
        <v>0</v>
      </c>
      <c r="Y77" s="2954">
        <f>'Phụ lục số 4'!Y77</f>
        <v>0</v>
      </c>
      <c r="Z77" s="2954">
        <f>'Phụ lục số 4'!Z77</f>
        <v>0</v>
      </c>
      <c r="AA77" s="2954">
        <f>'Phụ lục số 4'!AA77</f>
        <v>0</v>
      </c>
      <c r="AB77" s="2954">
        <f>'Phụ lục số 4'!AB77</f>
        <v>0</v>
      </c>
      <c r="AC77" s="2954">
        <f>'Phụ lục số 4'!AC77</f>
        <v>0</v>
      </c>
      <c r="AD77" s="3142">
        <f>'Phụ lục số 4'!AD77</f>
        <v>0</v>
      </c>
      <c r="AE77" s="3153">
        <f>'Phụ lục số 4'!AE77</f>
        <v>0</v>
      </c>
    </row>
    <row r="78" spans="1:31" s="154" customFormat="1" ht="36">
      <c r="A78" s="3031" t="str">
        <f>'Phụ lục số 4'!A78</f>
        <v>b</v>
      </c>
      <c r="B78" s="3593" t="str">
        <f>'Phụ lục số 4'!B78</f>
        <v>Kinh phí đối ứng nông thôn mới và giảm nghèo bền vững</v>
      </c>
      <c r="C78" s="2954">
        <f t="shared" si="28"/>
        <v>55000</v>
      </c>
      <c r="D78" s="2954"/>
      <c r="E78" s="2954"/>
      <c r="F78" s="2954"/>
      <c r="G78" s="2954"/>
      <c r="H78" s="2954"/>
      <c r="I78" s="2954"/>
      <c r="J78" s="2954">
        <f t="shared" si="13"/>
        <v>55000</v>
      </c>
      <c r="K78" s="2954">
        <f>'Phụ lục số 4'!K78</f>
        <v>55000</v>
      </c>
      <c r="L78" s="2954">
        <f>'Phụ lục số 4'!L78</f>
        <v>0</v>
      </c>
      <c r="M78" s="2954">
        <f>'Phụ lục số 4'!M78</f>
        <v>0</v>
      </c>
      <c r="N78" s="2954">
        <f>'Phụ lục số 4'!N78</f>
        <v>0</v>
      </c>
      <c r="O78" s="2954">
        <f>'Phụ lục số 4'!O78</f>
        <v>0</v>
      </c>
      <c r="P78" s="2954">
        <f>'Phụ lục số 4'!P78</f>
        <v>0</v>
      </c>
      <c r="Q78" s="2954">
        <f>'Phụ lục số 4'!Q78</f>
        <v>0</v>
      </c>
      <c r="R78" s="2954">
        <f>'Phụ lục số 4'!R78</f>
        <v>0</v>
      </c>
      <c r="S78" s="2954">
        <f>'Phụ lục số 4'!S78</f>
        <v>0</v>
      </c>
      <c r="T78" s="2954">
        <f>'Phụ lục số 4'!T78</f>
        <v>0</v>
      </c>
      <c r="U78" s="2954">
        <f>'Phụ lục số 4'!U78</f>
        <v>0</v>
      </c>
      <c r="V78" s="2954">
        <f>'Phụ lục số 4'!V78</f>
        <v>0</v>
      </c>
      <c r="W78" s="2954">
        <f>'Phụ lục số 4'!W78</f>
        <v>0</v>
      </c>
      <c r="X78" s="2954">
        <f>'Phụ lục số 4'!X78</f>
        <v>0</v>
      </c>
      <c r="Y78" s="2954">
        <f>'Phụ lục số 4'!Y78</f>
        <v>0</v>
      </c>
      <c r="Z78" s="2954">
        <f>'Phụ lục số 4'!Z78</f>
        <v>0</v>
      </c>
      <c r="AA78" s="2954">
        <f>'Phụ lục số 4'!AA78</f>
        <v>0</v>
      </c>
      <c r="AB78" s="2954">
        <f>'Phụ lục số 4'!AB78</f>
        <v>0</v>
      </c>
      <c r="AC78" s="2954">
        <f>'Phụ lục số 4'!AC78</f>
        <v>0</v>
      </c>
      <c r="AD78" s="3142">
        <f>'Phụ lục số 4'!AD78</f>
        <v>0</v>
      </c>
      <c r="AE78" s="3153"/>
    </row>
    <row r="79" spans="1:31" s="154" customFormat="1" ht="36">
      <c r="A79" s="3031" t="str">
        <f>'Phụ lục số 4'!A79</f>
        <v>c</v>
      </c>
      <c r="B79" s="3593" t="str">
        <f>'Phụ lục số 4'!B79</f>
        <v>Chính sách ưu đãi (hỗ trợ lãi suất, cấp bù lãi suất); kinh phí quy hoạch</v>
      </c>
      <c r="C79" s="2954">
        <f t="shared" si="28"/>
        <v>15000</v>
      </c>
      <c r="D79" s="2954"/>
      <c r="E79" s="2954"/>
      <c r="F79" s="2954"/>
      <c r="G79" s="2954"/>
      <c r="H79" s="2954"/>
      <c r="I79" s="2954"/>
      <c r="J79" s="2954">
        <f t="shared" si="13"/>
        <v>15000</v>
      </c>
      <c r="K79" s="2954">
        <f>'Phụ lục số 4'!K79</f>
        <v>15000</v>
      </c>
      <c r="L79" s="2954">
        <f>'Phụ lục số 4'!L79</f>
        <v>0</v>
      </c>
      <c r="M79" s="2954">
        <f>'Phụ lục số 4'!M79</f>
        <v>0</v>
      </c>
      <c r="N79" s="2954">
        <f>'Phụ lục số 4'!N79</f>
        <v>0</v>
      </c>
      <c r="O79" s="2954">
        <f>'Phụ lục số 4'!O79</f>
        <v>0</v>
      </c>
      <c r="P79" s="2954">
        <f>'Phụ lục số 4'!P79</f>
        <v>0</v>
      </c>
      <c r="Q79" s="2954">
        <f>'Phụ lục số 4'!Q79</f>
        <v>0</v>
      </c>
      <c r="R79" s="2954">
        <f>'Phụ lục số 4'!R79</f>
        <v>0</v>
      </c>
      <c r="S79" s="2954">
        <f>'Phụ lục số 4'!S79</f>
        <v>0</v>
      </c>
      <c r="T79" s="2954">
        <f>'Phụ lục số 4'!T79</f>
        <v>0</v>
      </c>
      <c r="U79" s="2954">
        <f>'Phụ lục số 4'!U79</f>
        <v>0</v>
      </c>
      <c r="V79" s="2954">
        <f>'Phụ lục số 4'!V79</f>
        <v>0</v>
      </c>
      <c r="W79" s="2954">
        <f>'Phụ lục số 4'!W79</f>
        <v>0</v>
      </c>
      <c r="X79" s="2954">
        <f>'Phụ lục số 4'!X79</f>
        <v>0</v>
      </c>
      <c r="Y79" s="2954">
        <f>'Phụ lục số 4'!Y79</f>
        <v>0</v>
      </c>
      <c r="Z79" s="2954">
        <f>'Phụ lục số 4'!Z79</f>
        <v>0</v>
      </c>
      <c r="AA79" s="2954">
        <f>'Phụ lục số 4'!AA79</f>
        <v>0</v>
      </c>
      <c r="AB79" s="2954">
        <f>'Phụ lục số 4'!AB79</f>
        <v>0</v>
      </c>
      <c r="AC79" s="2954">
        <f>'Phụ lục số 4'!AC79</f>
        <v>0</v>
      </c>
      <c r="AD79" s="3142">
        <f>'Phụ lục số 4'!AD79</f>
        <v>0</v>
      </c>
      <c r="AE79" s="3153"/>
    </row>
    <row r="80" spans="1:31" s="2351" customFormat="1" ht="54">
      <c r="A80" s="3033" t="str">
        <f>'Phụ lục số 4'!A80</f>
        <v>d</v>
      </c>
      <c r="B80" s="3673" t="str">
        <f>'Phụ lục số 4'!B80</f>
        <v>Trong đó; Một số nhiệm vụ chi phải báo cáo cấp có thẩm quyền xem xét, quyết định cho phép thực hiện</v>
      </c>
      <c r="C80" s="3651">
        <f t="shared" si="28"/>
        <v>55500</v>
      </c>
      <c r="D80" s="3651"/>
      <c r="E80" s="3651"/>
      <c r="F80" s="3651"/>
      <c r="G80" s="3651"/>
      <c r="H80" s="3651"/>
      <c r="I80" s="3651"/>
      <c r="J80" s="3651">
        <f t="shared" si="13"/>
        <v>55500</v>
      </c>
      <c r="K80" s="3651">
        <f>'Phụ lục số 4'!K80</f>
        <v>55500</v>
      </c>
      <c r="L80" s="3651">
        <f>'Phụ lục số 4'!L80</f>
        <v>0</v>
      </c>
      <c r="M80" s="3651">
        <f>'Phụ lục số 4'!M80</f>
        <v>0</v>
      </c>
      <c r="N80" s="3651">
        <f>'Phụ lục số 4'!N80</f>
        <v>0</v>
      </c>
      <c r="O80" s="3651">
        <f>'Phụ lục số 4'!O80</f>
        <v>0</v>
      </c>
      <c r="P80" s="3651">
        <f>'Phụ lục số 4'!P80</f>
        <v>0</v>
      </c>
      <c r="Q80" s="3651">
        <f>'Phụ lục số 4'!Q80</f>
        <v>0</v>
      </c>
      <c r="R80" s="3651">
        <f>'Phụ lục số 4'!R80</f>
        <v>0</v>
      </c>
      <c r="S80" s="3651">
        <f>'Phụ lục số 4'!S80</f>
        <v>0</v>
      </c>
      <c r="T80" s="3651">
        <f>'Phụ lục số 4'!T80</f>
        <v>0</v>
      </c>
      <c r="U80" s="3651">
        <f>'Phụ lục số 4'!U80</f>
        <v>0</v>
      </c>
      <c r="V80" s="3651">
        <f>'Phụ lục số 4'!V80</f>
        <v>0</v>
      </c>
      <c r="W80" s="3651">
        <f>'Phụ lục số 4'!W80</f>
        <v>0</v>
      </c>
      <c r="X80" s="3651">
        <f>'Phụ lục số 4'!X80</f>
        <v>0</v>
      </c>
      <c r="Y80" s="3651">
        <f>'Phụ lục số 4'!Y80</f>
        <v>0</v>
      </c>
      <c r="Z80" s="3651">
        <f>'Phụ lục số 4'!Z80</f>
        <v>0</v>
      </c>
      <c r="AA80" s="3651">
        <f>'Phụ lục số 4'!AA80</f>
        <v>0</v>
      </c>
      <c r="AB80" s="3651">
        <f>'Phụ lục số 4'!AB80</f>
        <v>0</v>
      </c>
      <c r="AC80" s="3651">
        <f>'Phụ lục số 4'!AC80</f>
        <v>0</v>
      </c>
      <c r="AD80" s="3674">
        <f>'Phụ lục số 4'!AD80</f>
        <v>0</v>
      </c>
      <c r="AE80" s="3675"/>
    </row>
    <row r="81" spans="1:31" s="1319" customFormat="1" ht="17.399999999999999">
      <c r="A81" s="3671">
        <f>'Phụ lục số 4'!A81</f>
        <v>2</v>
      </c>
      <c r="B81" s="3592" t="str">
        <f>'Phụ lục số 4'!B81</f>
        <v>Chi sự nghiệp môi trường</v>
      </c>
      <c r="C81" s="2956">
        <f t="shared" si="28"/>
        <v>1152</v>
      </c>
      <c r="D81" s="2956"/>
      <c r="E81" s="2956"/>
      <c r="F81" s="2956"/>
      <c r="G81" s="2956"/>
      <c r="H81" s="2956"/>
      <c r="I81" s="2956"/>
      <c r="J81" s="2956">
        <f t="shared" si="13"/>
        <v>1152</v>
      </c>
      <c r="K81" s="2956">
        <f>'Phụ lục số 4'!K81</f>
        <v>0</v>
      </c>
      <c r="L81" s="2956">
        <f>'Phụ lục số 4'!L81</f>
        <v>1152</v>
      </c>
      <c r="M81" s="2956">
        <f>'Phụ lục số 4'!M81</f>
        <v>0</v>
      </c>
      <c r="N81" s="2956">
        <f>'Phụ lục số 4'!N81</f>
        <v>0</v>
      </c>
      <c r="O81" s="2956">
        <f>'Phụ lục số 4'!O81</f>
        <v>0</v>
      </c>
      <c r="P81" s="2956">
        <f>'Phụ lục số 4'!P81</f>
        <v>0</v>
      </c>
      <c r="Q81" s="2956">
        <f>'Phụ lục số 4'!Q81</f>
        <v>0</v>
      </c>
      <c r="R81" s="2956">
        <f>'Phụ lục số 4'!R81</f>
        <v>0</v>
      </c>
      <c r="S81" s="2956">
        <f>'Phụ lục số 4'!S81</f>
        <v>0</v>
      </c>
      <c r="T81" s="2956">
        <f>'Phụ lục số 4'!T81</f>
        <v>0</v>
      </c>
      <c r="U81" s="2956">
        <f>'Phụ lục số 4'!U81</f>
        <v>0</v>
      </c>
      <c r="V81" s="2956">
        <f>'Phụ lục số 4'!V81</f>
        <v>0</v>
      </c>
      <c r="W81" s="2956">
        <f>'Phụ lục số 4'!W81</f>
        <v>0</v>
      </c>
      <c r="X81" s="2956">
        <f>'Phụ lục số 4'!X81</f>
        <v>0</v>
      </c>
      <c r="Y81" s="2956">
        <f>'Phụ lục số 4'!Y81</f>
        <v>0</v>
      </c>
      <c r="Z81" s="2956">
        <f>'Phụ lục số 4'!Z81</f>
        <v>0</v>
      </c>
      <c r="AA81" s="2956">
        <f>'Phụ lục số 4'!AA81</f>
        <v>0</v>
      </c>
      <c r="AB81" s="2956">
        <f>'Phụ lục số 4'!AB81</f>
        <v>0</v>
      </c>
      <c r="AC81" s="2956">
        <f>'Phụ lục số 4'!AC81</f>
        <v>0</v>
      </c>
      <c r="AD81" s="3143">
        <f>'Phụ lục số 4'!AD81</f>
        <v>0</v>
      </c>
      <c r="AE81" s="3154"/>
    </row>
    <row r="82" spans="1:31" s="2351" customFormat="1" ht="54">
      <c r="A82" s="3033"/>
      <c r="B82" s="3673" t="str">
        <f>'Phụ lục số 4'!B82</f>
        <v>Trong đó; Một số nhiệm vụ chi phải báo cáo cấp có thẩm quyền xem xét, quyết định cho phép thực hiện</v>
      </c>
      <c r="C82" s="3651">
        <f t="shared" si="28"/>
        <v>1152</v>
      </c>
      <c r="D82" s="3651"/>
      <c r="E82" s="3651"/>
      <c r="F82" s="3651"/>
      <c r="G82" s="3651"/>
      <c r="H82" s="3651"/>
      <c r="I82" s="3651"/>
      <c r="J82" s="3651">
        <f t="shared" si="13"/>
        <v>1152</v>
      </c>
      <c r="K82" s="3651">
        <f>'Phụ lục số 4'!K82</f>
        <v>0</v>
      </c>
      <c r="L82" s="3651">
        <f>'Phụ lục số 4'!L82</f>
        <v>1152</v>
      </c>
      <c r="M82" s="3651">
        <f>'Phụ lục số 4'!M82</f>
        <v>0</v>
      </c>
      <c r="N82" s="3651">
        <f>'Phụ lục số 4'!N82</f>
        <v>0</v>
      </c>
      <c r="O82" s="3651">
        <f>'Phụ lục số 4'!O82</f>
        <v>0</v>
      </c>
      <c r="P82" s="3651">
        <f>'Phụ lục số 4'!P82</f>
        <v>0</v>
      </c>
      <c r="Q82" s="3651">
        <f>'Phụ lục số 4'!Q82</f>
        <v>0</v>
      </c>
      <c r="R82" s="3651">
        <f>'Phụ lục số 4'!R82</f>
        <v>0</v>
      </c>
      <c r="S82" s="3651">
        <f>'Phụ lục số 4'!S82</f>
        <v>0</v>
      </c>
      <c r="T82" s="3651">
        <f>'Phụ lục số 4'!T82</f>
        <v>0</v>
      </c>
      <c r="U82" s="3651">
        <f>'Phụ lục số 4'!U82</f>
        <v>0</v>
      </c>
      <c r="V82" s="3651">
        <f>'Phụ lục số 4'!V82</f>
        <v>0</v>
      </c>
      <c r="W82" s="3651">
        <f>'Phụ lục số 4'!W82</f>
        <v>0</v>
      </c>
      <c r="X82" s="3651">
        <f>'Phụ lục số 4'!X82</f>
        <v>0</v>
      </c>
      <c r="Y82" s="3651">
        <f>'Phụ lục số 4'!Y82</f>
        <v>0</v>
      </c>
      <c r="Z82" s="3651">
        <f>'Phụ lục số 4'!Z82</f>
        <v>0</v>
      </c>
      <c r="AA82" s="3651">
        <f>'Phụ lục số 4'!AA82</f>
        <v>0</v>
      </c>
      <c r="AB82" s="3651">
        <f>'Phụ lục số 4'!AB82</f>
        <v>0</v>
      </c>
      <c r="AC82" s="3651">
        <f>'Phụ lục số 4'!AC82</f>
        <v>0</v>
      </c>
      <c r="AD82" s="3674">
        <f>'Phụ lục số 4'!AD82</f>
        <v>0</v>
      </c>
      <c r="AE82" s="3675"/>
    </row>
    <row r="83" spans="1:31" s="1319" customFormat="1" ht="17.399999999999999">
      <c r="A83" s="3671">
        <f>'Phụ lục số 4'!A83</f>
        <v>3</v>
      </c>
      <c r="B83" s="3592" t="str">
        <f>'Phụ lục số 4'!B83</f>
        <v>Chi sự nghiệp khoa học và công nghệ</v>
      </c>
      <c r="C83" s="2956">
        <f t="shared" si="28"/>
        <v>1892</v>
      </c>
      <c r="D83" s="2956"/>
      <c r="E83" s="2956"/>
      <c r="F83" s="2956"/>
      <c r="G83" s="2956"/>
      <c r="H83" s="2956"/>
      <c r="I83" s="2956"/>
      <c r="J83" s="2956">
        <f t="shared" si="13"/>
        <v>1892</v>
      </c>
      <c r="K83" s="2956">
        <f>'Phụ lục số 4'!K83</f>
        <v>0</v>
      </c>
      <c r="L83" s="2956">
        <f>'Phụ lục số 4'!L83</f>
        <v>0</v>
      </c>
      <c r="M83" s="2956">
        <f>'Phụ lục số 4'!M83</f>
        <v>1892</v>
      </c>
      <c r="N83" s="2956">
        <f>'Phụ lục số 4'!N83</f>
        <v>0</v>
      </c>
      <c r="O83" s="2956">
        <f>'Phụ lục số 4'!O83</f>
        <v>0</v>
      </c>
      <c r="P83" s="2956">
        <f>'Phụ lục số 4'!P83</f>
        <v>0</v>
      </c>
      <c r="Q83" s="2956">
        <f>'Phụ lục số 4'!Q83</f>
        <v>0</v>
      </c>
      <c r="R83" s="2956">
        <f>'Phụ lục số 4'!R83</f>
        <v>0</v>
      </c>
      <c r="S83" s="2956">
        <f>'Phụ lục số 4'!S83</f>
        <v>0</v>
      </c>
      <c r="T83" s="2956">
        <f>'Phụ lục số 4'!T83</f>
        <v>0</v>
      </c>
      <c r="U83" s="2956">
        <f>'Phụ lục số 4'!U83</f>
        <v>0</v>
      </c>
      <c r="V83" s="2956">
        <f>'Phụ lục số 4'!V83</f>
        <v>0</v>
      </c>
      <c r="W83" s="2956">
        <f>'Phụ lục số 4'!W83</f>
        <v>0</v>
      </c>
      <c r="X83" s="2956">
        <f>'Phụ lục số 4'!X83</f>
        <v>0</v>
      </c>
      <c r="Y83" s="2956">
        <f>'Phụ lục số 4'!Y83</f>
        <v>0</v>
      </c>
      <c r="Z83" s="2956">
        <f>'Phụ lục số 4'!Z83</f>
        <v>0</v>
      </c>
      <c r="AA83" s="2956">
        <f>'Phụ lục số 4'!AA83</f>
        <v>0</v>
      </c>
      <c r="AB83" s="2956">
        <f>'Phụ lục số 4'!AB83</f>
        <v>0</v>
      </c>
      <c r="AC83" s="2956">
        <f>'Phụ lục số 4'!AC83</f>
        <v>0</v>
      </c>
      <c r="AD83" s="3143">
        <f>'Phụ lục số 4'!AD83</f>
        <v>0</v>
      </c>
      <c r="AE83" s="3154"/>
    </row>
    <row r="84" spans="1:31" s="2351" customFormat="1" ht="54">
      <c r="A84" s="3033"/>
      <c r="B84" s="3673" t="str">
        <f>'Phụ lục số 4'!B84</f>
        <v>Trong đó; Một số nhiệm vụ chi phải báo cáo cấp có thẩm quyền xem xét, quyết định cho phép thực hiện</v>
      </c>
      <c r="C84" s="3651">
        <f t="shared" si="28"/>
        <v>1892</v>
      </c>
      <c r="D84" s="3651"/>
      <c r="E84" s="3651"/>
      <c r="F84" s="3651"/>
      <c r="G84" s="3651"/>
      <c r="H84" s="3651"/>
      <c r="I84" s="3651"/>
      <c r="J84" s="3651">
        <f t="shared" si="13"/>
        <v>1892</v>
      </c>
      <c r="K84" s="3651">
        <f>'Phụ lục số 4'!K84</f>
        <v>0</v>
      </c>
      <c r="L84" s="3651">
        <f>'Phụ lục số 4'!L84</f>
        <v>0</v>
      </c>
      <c r="M84" s="3651">
        <f>'Phụ lục số 4'!M84</f>
        <v>1892</v>
      </c>
      <c r="N84" s="3651">
        <f>'Phụ lục số 4'!N84</f>
        <v>0</v>
      </c>
      <c r="O84" s="3651">
        <f>'Phụ lục số 4'!O84</f>
        <v>0</v>
      </c>
      <c r="P84" s="3651">
        <f>'Phụ lục số 4'!P84</f>
        <v>0</v>
      </c>
      <c r="Q84" s="3651">
        <f>'Phụ lục số 4'!Q84</f>
        <v>0</v>
      </c>
      <c r="R84" s="3651">
        <f>'Phụ lục số 4'!R84</f>
        <v>0</v>
      </c>
      <c r="S84" s="3651">
        <f>'Phụ lục số 4'!S84</f>
        <v>0</v>
      </c>
      <c r="T84" s="3651">
        <f>'Phụ lục số 4'!T84</f>
        <v>0</v>
      </c>
      <c r="U84" s="3651">
        <f>'Phụ lục số 4'!U84</f>
        <v>0</v>
      </c>
      <c r="V84" s="3651">
        <f>'Phụ lục số 4'!V84</f>
        <v>0</v>
      </c>
      <c r="W84" s="3651">
        <f>'Phụ lục số 4'!W84</f>
        <v>0</v>
      </c>
      <c r="X84" s="3651">
        <f>'Phụ lục số 4'!X84</f>
        <v>0</v>
      </c>
      <c r="Y84" s="3651">
        <f>'Phụ lục số 4'!Y84</f>
        <v>0</v>
      </c>
      <c r="Z84" s="3651">
        <f>'Phụ lục số 4'!Z84</f>
        <v>0</v>
      </c>
      <c r="AA84" s="3651">
        <f>'Phụ lục số 4'!AA84</f>
        <v>0</v>
      </c>
      <c r="AB84" s="3651">
        <f>'Phụ lục số 4'!AB84</f>
        <v>0</v>
      </c>
      <c r="AC84" s="3651">
        <f>'Phụ lục số 4'!AC84</f>
        <v>0</v>
      </c>
      <c r="AD84" s="3674">
        <f>'Phụ lục số 4'!AD84</f>
        <v>0</v>
      </c>
      <c r="AE84" s="3675"/>
    </row>
    <row r="85" spans="1:31" s="1319" customFormat="1" ht="17.399999999999999">
      <c r="A85" s="3671">
        <f>'Phụ lục số 4'!A85</f>
        <v>4</v>
      </c>
      <c r="B85" s="3592" t="str">
        <f>'Phụ lục số 4'!B85</f>
        <v>Chi sự nghiệp giáo dục và đào tạo</v>
      </c>
      <c r="C85" s="2956">
        <f t="shared" si="28"/>
        <v>86293</v>
      </c>
      <c r="D85" s="2956"/>
      <c r="E85" s="2956"/>
      <c r="F85" s="2956"/>
      <c r="G85" s="2956"/>
      <c r="H85" s="2956"/>
      <c r="I85" s="2956"/>
      <c r="J85" s="2956">
        <f t="shared" si="13"/>
        <v>74667</v>
      </c>
      <c r="K85" s="2956">
        <f>'Phụ lục số 4'!K85</f>
        <v>0</v>
      </c>
      <c r="L85" s="2956">
        <f>'Phụ lục số 4'!L85</f>
        <v>0</v>
      </c>
      <c r="M85" s="2956">
        <f>'Phụ lục số 4'!M85</f>
        <v>0</v>
      </c>
      <c r="N85" s="2956">
        <f>'Phụ lục số 4'!N85</f>
        <v>74667</v>
      </c>
      <c r="O85" s="2956">
        <f>'Phụ lục số 4'!O85</f>
        <v>0</v>
      </c>
      <c r="P85" s="2956">
        <f>'Phụ lục số 4'!P85</f>
        <v>0</v>
      </c>
      <c r="Q85" s="2956">
        <f>'Phụ lục số 4'!Q85</f>
        <v>0</v>
      </c>
      <c r="R85" s="2956">
        <f>'Phụ lục số 4'!R85</f>
        <v>0</v>
      </c>
      <c r="S85" s="2956">
        <f>'Phụ lục số 4'!S85</f>
        <v>0</v>
      </c>
      <c r="T85" s="2956">
        <f>'Phụ lục số 4'!T85</f>
        <v>0</v>
      </c>
      <c r="U85" s="2956">
        <f>'Phụ lục số 4'!U85</f>
        <v>0</v>
      </c>
      <c r="V85" s="2956">
        <f>'Phụ lục số 4'!V85</f>
        <v>0</v>
      </c>
      <c r="W85" s="2956">
        <f>'Phụ lục số 4'!W85</f>
        <v>0</v>
      </c>
      <c r="X85" s="2956">
        <f>'Phụ lục số 4'!X85</f>
        <v>0</v>
      </c>
      <c r="Y85" s="2956">
        <f>'Phụ lục số 4'!Y85</f>
        <v>0</v>
      </c>
      <c r="Z85" s="2956">
        <f>'Phụ lục số 4'!Z85</f>
        <v>0</v>
      </c>
      <c r="AA85" s="2956">
        <f>'Phụ lục số 4'!AA85</f>
        <v>0</v>
      </c>
      <c r="AB85" s="2956">
        <f>'Phụ lục số 4'!AB85</f>
        <v>11626</v>
      </c>
      <c r="AC85" s="2956">
        <f>'Phụ lục số 4'!AC85</f>
        <v>0</v>
      </c>
      <c r="AD85" s="3143">
        <f>'Phụ lục số 4'!AD85</f>
        <v>11626</v>
      </c>
      <c r="AE85" s="3154"/>
    </row>
    <row r="86" spans="1:31" s="2351" customFormat="1" ht="54">
      <c r="A86" s="3033"/>
      <c r="B86" s="3673" t="str">
        <f>'Phụ lục số 4'!B86</f>
        <v>Trong đó; Một số nhiệm vụ chi phải báo cáo cấp có thẩm quyền xem xét, quyết định cho phép thực hiện</v>
      </c>
      <c r="C86" s="3651">
        <f t="shared" si="28"/>
        <v>86293</v>
      </c>
      <c r="D86" s="3651"/>
      <c r="E86" s="3651"/>
      <c r="F86" s="3651"/>
      <c r="G86" s="3651"/>
      <c r="H86" s="3651"/>
      <c r="I86" s="3651"/>
      <c r="J86" s="3651">
        <f t="shared" si="13"/>
        <v>74667</v>
      </c>
      <c r="K86" s="3651">
        <f>'Phụ lục số 4'!K86</f>
        <v>0</v>
      </c>
      <c r="L86" s="3651">
        <f>'Phụ lục số 4'!L86</f>
        <v>0</v>
      </c>
      <c r="M86" s="3651">
        <f>'Phụ lục số 4'!M86</f>
        <v>0</v>
      </c>
      <c r="N86" s="3651">
        <f>'Phụ lục số 4'!N86</f>
        <v>74667</v>
      </c>
      <c r="O86" s="3651">
        <f>'Phụ lục số 4'!O86</f>
        <v>0</v>
      </c>
      <c r="P86" s="3651">
        <f>'Phụ lục số 4'!P86</f>
        <v>0</v>
      </c>
      <c r="Q86" s="3651">
        <f>'Phụ lục số 4'!Q86</f>
        <v>0</v>
      </c>
      <c r="R86" s="3651">
        <f>'Phụ lục số 4'!R86</f>
        <v>0</v>
      </c>
      <c r="S86" s="3651">
        <f>'Phụ lục số 4'!S86</f>
        <v>0</v>
      </c>
      <c r="T86" s="3651">
        <f>'Phụ lục số 4'!T86</f>
        <v>0</v>
      </c>
      <c r="U86" s="3651">
        <f>'Phụ lục số 4'!U86</f>
        <v>0</v>
      </c>
      <c r="V86" s="3651">
        <f>'Phụ lục số 4'!V86</f>
        <v>0</v>
      </c>
      <c r="W86" s="3651">
        <f>'Phụ lục số 4'!W86</f>
        <v>0</v>
      </c>
      <c r="X86" s="3651">
        <f>'Phụ lục số 4'!X86</f>
        <v>0</v>
      </c>
      <c r="Y86" s="3651">
        <f>'Phụ lục số 4'!Y86</f>
        <v>0</v>
      </c>
      <c r="Z86" s="3651">
        <f>'Phụ lục số 4'!Z86</f>
        <v>0</v>
      </c>
      <c r="AA86" s="3651">
        <f>'Phụ lục số 4'!AA86</f>
        <v>0</v>
      </c>
      <c r="AB86" s="3651">
        <f>'Phụ lục số 4'!AB86</f>
        <v>11626</v>
      </c>
      <c r="AC86" s="3651">
        <f>'Phụ lục số 4'!AC86</f>
        <v>0</v>
      </c>
      <c r="AD86" s="3674">
        <f>'Phụ lục số 4'!AD86</f>
        <v>11626</v>
      </c>
      <c r="AE86" s="3675"/>
    </row>
    <row r="87" spans="1:31" s="3684" customFormat="1" hidden="1">
      <c r="A87" s="3699">
        <v>5</v>
      </c>
      <c r="B87" s="3700" t="str">
        <f>'Phụ lục số 4'!B87</f>
        <v>Sự nghiệp y tế</v>
      </c>
      <c r="C87" s="3701">
        <f t="shared" si="28"/>
        <v>0</v>
      </c>
      <c r="D87" s="3680"/>
      <c r="E87" s="3680"/>
      <c r="F87" s="3680"/>
      <c r="G87" s="3680"/>
      <c r="H87" s="3680"/>
      <c r="I87" s="3680"/>
      <c r="J87" s="3701">
        <f t="shared" si="13"/>
        <v>0</v>
      </c>
      <c r="K87" s="3680"/>
      <c r="L87" s="3680"/>
      <c r="M87" s="3680"/>
      <c r="N87" s="3680"/>
      <c r="O87" s="3680">
        <f>O88</f>
        <v>0</v>
      </c>
      <c r="P87" s="3680"/>
      <c r="Q87" s="3680"/>
      <c r="R87" s="3680"/>
      <c r="S87" s="3680"/>
      <c r="T87" s="3680"/>
      <c r="U87" s="3680"/>
      <c r="V87" s="3680"/>
      <c r="W87" s="3680"/>
      <c r="X87" s="3680"/>
      <c r="Y87" s="3680"/>
      <c r="Z87" s="3680"/>
      <c r="AA87" s="3680"/>
      <c r="AB87" s="3680"/>
      <c r="AC87" s="3680"/>
      <c r="AD87" s="3702"/>
      <c r="AE87" s="3703"/>
    </row>
    <row r="88" spans="1:31" s="3684" customFormat="1" ht="54" hidden="1">
      <c r="A88" s="3704"/>
      <c r="B88" s="3705" t="str">
        <f>'Phụ lục số 4'!B88</f>
        <v>Trong đó; Một số nhiệm vụ chi phải báo cáo cấp có thẩm quyền xem xét, quyết định cho phép thực hiện</v>
      </c>
      <c r="C88" s="3680">
        <f t="shared" si="28"/>
        <v>0</v>
      </c>
      <c r="D88" s="3680"/>
      <c r="E88" s="3680"/>
      <c r="F88" s="3680"/>
      <c r="G88" s="3680"/>
      <c r="H88" s="3680"/>
      <c r="I88" s="3680"/>
      <c r="J88" s="3680">
        <f t="shared" si="13"/>
        <v>0</v>
      </c>
      <c r="K88" s="3680"/>
      <c r="L88" s="3680"/>
      <c r="M88" s="3680"/>
      <c r="N88" s="3680"/>
      <c r="O88" s="3687">
        <f>'Phụ lục số 4'!O88</f>
        <v>0</v>
      </c>
      <c r="P88" s="3680"/>
      <c r="Q88" s="3680"/>
      <c r="R88" s="3680"/>
      <c r="S88" s="3680"/>
      <c r="T88" s="3680"/>
      <c r="U88" s="3680"/>
      <c r="V88" s="3680"/>
      <c r="W88" s="3680"/>
      <c r="X88" s="3680"/>
      <c r="Y88" s="3680"/>
      <c r="Z88" s="3680"/>
      <c r="AA88" s="3680"/>
      <c r="AB88" s="3680"/>
      <c r="AC88" s="3680"/>
      <c r="AD88" s="3702"/>
      <c r="AE88" s="3703"/>
    </row>
    <row r="89" spans="1:31" s="1319" customFormat="1" ht="17.399999999999999">
      <c r="A89" s="3671">
        <f>'Phụ lục số 4'!A89</f>
        <v>5</v>
      </c>
      <c r="B89" s="3592" t="str">
        <f>'Phụ lục số 4'!B89</f>
        <v>Chi sự nghiệp văn hóa thông tin</v>
      </c>
      <c r="C89" s="2956">
        <f t="shared" si="28"/>
        <v>2694</v>
      </c>
      <c r="D89" s="2956"/>
      <c r="E89" s="2956"/>
      <c r="F89" s="2956"/>
      <c r="G89" s="2956"/>
      <c r="H89" s="2956"/>
      <c r="I89" s="2956"/>
      <c r="J89" s="2956">
        <f t="shared" si="13"/>
        <v>2694</v>
      </c>
      <c r="K89" s="2956">
        <f>'Phụ lục số 4'!K89</f>
        <v>0</v>
      </c>
      <c r="L89" s="2956">
        <f>'Phụ lục số 4'!L89</f>
        <v>0</v>
      </c>
      <c r="M89" s="2956">
        <f>'Phụ lục số 4'!M89</f>
        <v>0</v>
      </c>
      <c r="N89" s="2956">
        <f>'Phụ lục số 4'!N89</f>
        <v>0</v>
      </c>
      <c r="O89" s="2956">
        <f>'Phụ lục số 4'!O89</f>
        <v>0</v>
      </c>
      <c r="P89" s="2956">
        <f>'Phụ lục số 4'!P89</f>
        <v>2694</v>
      </c>
      <c r="Q89" s="2956">
        <f>'Phụ lục số 4'!Q89</f>
        <v>0</v>
      </c>
      <c r="R89" s="2956">
        <f>'Phụ lục số 4'!R89</f>
        <v>0</v>
      </c>
      <c r="S89" s="2956">
        <f>'Phụ lục số 4'!S89</f>
        <v>0</v>
      </c>
      <c r="T89" s="2956">
        <f>'Phụ lục số 4'!T89</f>
        <v>0</v>
      </c>
      <c r="U89" s="2956">
        <f>'Phụ lục số 4'!U89</f>
        <v>0</v>
      </c>
      <c r="V89" s="2956">
        <f>'Phụ lục số 4'!V89</f>
        <v>0</v>
      </c>
      <c r="W89" s="2956">
        <f>'Phụ lục số 4'!W89</f>
        <v>0</v>
      </c>
      <c r="X89" s="2956">
        <f>'Phụ lục số 4'!X89</f>
        <v>0</v>
      </c>
      <c r="Y89" s="2956">
        <f>'Phụ lục số 4'!Y89</f>
        <v>0</v>
      </c>
      <c r="Z89" s="2956">
        <f>'Phụ lục số 4'!Z89</f>
        <v>0</v>
      </c>
      <c r="AA89" s="2956">
        <f>'Phụ lục số 4'!AA89</f>
        <v>0</v>
      </c>
      <c r="AB89" s="2956">
        <f>'Phụ lục số 4'!AB89</f>
        <v>0</v>
      </c>
      <c r="AC89" s="2956">
        <f>'Phụ lục số 4'!AC89</f>
        <v>0</v>
      </c>
      <c r="AD89" s="3143">
        <f>'Phụ lục số 4'!AD89</f>
        <v>0</v>
      </c>
      <c r="AE89" s="3154"/>
    </row>
    <row r="90" spans="1:31" s="2351" customFormat="1" ht="54">
      <c r="A90" s="3033"/>
      <c r="B90" s="3673" t="str">
        <f>'Phụ lục số 4'!B90</f>
        <v>Trong đó; Một số nhiệm vụ chi phải báo cáo cấp có thẩm quyền xem xét, quyết định cho phép thực hiện</v>
      </c>
      <c r="C90" s="3651">
        <f t="shared" si="28"/>
        <v>2694</v>
      </c>
      <c r="D90" s="3651">
        <f t="shared" si="26"/>
        <v>0</v>
      </c>
      <c r="E90" s="3651">
        <f>'Phụ lục số 4'!E96</f>
        <v>0</v>
      </c>
      <c r="F90" s="3651">
        <f>'Phụ lục số 4'!F96</f>
        <v>0</v>
      </c>
      <c r="G90" s="3651">
        <f>'Phụ lục số 4'!G96</f>
        <v>0</v>
      </c>
      <c r="H90" s="3651">
        <f>'Phụ lục số 4'!H96</f>
        <v>0</v>
      </c>
      <c r="I90" s="3651"/>
      <c r="J90" s="3651">
        <f t="shared" si="13"/>
        <v>2694</v>
      </c>
      <c r="K90" s="3651">
        <f>'Phụ lục số 4'!K90</f>
        <v>0</v>
      </c>
      <c r="L90" s="3651">
        <f>'Phụ lục số 4'!L90</f>
        <v>0</v>
      </c>
      <c r="M90" s="3651">
        <f>'Phụ lục số 4'!M90</f>
        <v>0</v>
      </c>
      <c r="N90" s="3651">
        <f>'Phụ lục số 4'!N90</f>
        <v>0</v>
      </c>
      <c r="O90" s="3651">
        <f>'Phụ lục số 4'!O90</f>
        <v>0</v>
      </c>
      <c r="P90" s="3651">
        <f>'Phụ lục số 4'!P90</f>
        <v>2694</v>
      </c>
      <c r="Q90" s="3651">
        <f>'Phụ lục số 4'!Q90</f>
        <v>0</v>
      </c>
      <c r="R90" s="3651">
        <f>'Phụ lục số 4'!R90</f>
        <v>0</v>
      </c>
      <c r="S90" s="3651">
        <f>'Phụ lục số 4'!S90</f>
        <v>0</v>
      </c>
      <c r="T90" s="3651">
        <f>'Phụ lục số 4'!T90</f>
        <v>0</v>
      </c>
      <c r="U90" s="3651">
        <f>'Phụ lục số 4'!U90</f>
        <v>0</v>
      </c>
      <c r="V90" s="3651">
        <f>'Phụ lục số 4'!V90</f>
        <v>0</v>
      </c>
      <c r="W90" s="3651">
        <f>'Phụ lục số 4'!W90</f>
        <v>0</v>
      </c>
      <c r="X90" s="3651">
        <f>'Phụ lục số 4'!X90</f>
        <v>0</v>
      </c>
      <c r="Y90" s="3651">
        <f>'Phụ lục số 4'!Y90</f>
        <v>0</v>
      </c>
      <c r="Z90" s="3651">
        <f>'Phụ lục số 4'!Z90</f>
        <v>0</v>
      </c>
      <c r="AA90" s="3651">
        <f>'Phụ lục số 4'!AA90</f>
        <v>0</v>
      </c>
      <c r="AB90" s="3651">
        <f>'Phụ lục số 4'!AB90</f>
        <v>0</v>
      </c>
      <c r="AC90" s="3651">
        <f>'Phụ lục số 4'!AC90</f>
        <v>0</v>
      </c>
      <c r="AD90" s="3674">
        <f>'Phụ lục số 4'!AD90</f>
        <v>0</v>
      </c>
      <c r="AE90" s="3675">
        <f>'Phụ lục số 4'!AE96</f>
        <v>0</v>
      </c>
    </row>
    <row r="91" spans="1:31" s="3708" customFormat="1" ht="17.399999999999999" hidden="1">
      <c r="A91" s="3699">
        <v>7</v>
      </c>
      <c r="B91" s="3700" t="str">
        <f>'Phụ lục số 4'!B91</f>
        <v>Chi sự nghiệp phát thanh truyền hình</v>
      </c>
      <c r="C91" s="3701">
        <f t="shared" si="28"/>
        <v>0</v>
      </c>
      <c r="D91" s="3701"/>
      <c r="E91" s="3701"/>
      <c r="F91" s="3701"/>
      <c r="G91" s="3701"/>
      <c r="H91" s="3701"/>
      <c r="I91" s="3701"/>
      <c r="J91" s="3701">
        <f t="shared" si="13"/>
        <v>0</v>
      </c>
      <c r="K91" s="3701"/>
      <c r="L91" s="3701"/>
      <c r="M91" s="3701"/>
      <c r="N91" s="3701"/>
      <c r="O91" s="3701"/>
      <c r="P91" s="3701"/>
      <c r="Q91" s="3701">
        <f>Q92</f>
        <v>0</v>
      </c>
      <c r="R91" s="3701"/>
      <c r="S91" s="3701"/>
      <c r="T91" s="3701"/>
      <c r="U91" s="3701"/>
      <c r="V91" s="3701"/>
      <c r="W91" s="3701"/>
      <c r="X91" s="3701"/>
      <c r="Y91" s="3701"/>
      <c r="Z91" s="3701"/>
      <c r="AA91" s="3701"/>
      <c r="AB91" s="3701"/>
      <c r="AC91" s="3701"/>
      <c r="AD91" s="3706"/>
      <c r="AE91" s="3707"/>
    </row>
    <row r="92" spans="1:31" s="3684" customFormat="1" ht="54" hidden="1">
      <c r="A92" s="3704"/>
      <c r="B92" s="3705" t="str">
        <f>'Phụ lục số 4'!B92</f>
        <v>Trong đó; Một số nhiệm vụ chi phải báo cáo cấp có thẩm quyền xem xét, quyết định cho phép thực hiện</v>
      </c>
      <c r="C92" s="3680">
        <f t="shared" si="28"/>
        <v>0</v>
      </c>
      <c r="D92" s="3680"/>
      <c r="E92" s="3680"/>
      <c r="F92" s="3680"/>
      <c r="G92" s="3680"/>
      <c r="H92" s="3680"/>
      <c r="I92" s="3680"/>
      <c r="J92" s="3680">
        <f t="shared" si="13"/>
        <v>0</v>
      </c>
      <c r="K92" s="3680"/>
      <c r="L92" s="3680"/>
      <c r="M92" s="3680"/>
      <c r="N92" s="3680"/>
      <c r="O92" s="3680"/>
      <c r="P92" s="3680"/>
      <c r="Q92" s="3687">
        <f>'Phụ lục số 4'!Q92</f>
        <v>0</v>
      </c>
      <c r="R92" s="3680"/>
      <c r="S92" s="3680"/>
      <c r="T92" s="3680"/>
      <c r="U92" s="3680"/>
      <c r="V92" s="3680"/>
      <c r="W92" s="3680"/>
      <c r="X92" s="3680"/>
      <c r="Y92" s="3680"/>
      <c r="Z92" s="3680"/>
      <c r="AA92" s="3680"/>
      <c r="AB92" s="3680"/>
      <c r="AC92" s="3680"/>
      <c r="AD92" s="3702"/>
      <c r="AE92" s="3703"/>
    </row>
    <row r="93" spans="1:31" s="3708" customFormat="1" ht="17.399999999999999" hidden="1">
      <c r="A93" s="3699">
        <v>8</v>
      </c>
      <c r="B93" s="3700" t="str">
        <f>'Phụ lục số 4'!B93</f>
        <v>Chi sự nghiệp thể dục thể thao</v>
      </c>
      <c r="C93" s="3701">
        <f t="shared" si="28"/>
        <v>0</v>
      </c>
      <c r="D93" s="3701"/>
      <c r="E93" s="3701"/>
      <c r="F93" s="3701"/>
      <c r="G93" s="3701"/>
      <c r="H93" s="3701"/>
      <c r="I93" s="3701"/>
      <c r="J93" s="3701">
        <f t="shared" si="13"/>
        <v>0</v>
      </c>
      <c r="K93" s="3701"/>
      <c r="L93" s="3701"/>
      <c r="M93" s="3701"/>
      <c r="N93" s="3701"/>
      <c r="O93" s="3701"/>
      <c r="P93" s="3701"/>
      <c r="Q93" s="3701"/>
      <c r="R93" s="3701">
        <f>R94</f>
        <v>0</v>
      </c>
      <c r="S93" s="3701"/>
      <c r="T93" s="3701"/>
      <c r="U93" s="3701"/>
      <c r="V93" s="3701"/>
      <c r="W93" s="3701"/>
      <c r="X93" s="3701"/>
      <c r="Y93" s="3701"/>
      <c r="Z93" s="3701"/>
      <c r="AA93" s="3701"/>
      <c r="AB93" s="3701"/>
      <c r="AC93" s="3701"/>
      <c r="AD93" s="3706"/>
      <c r="AE93" s="3707"/>
    </row>
    <row r="94" spans="1:31" s="3684" customFormat="1" ht="54" hidden="1">
      <c r="A94" s="3704"/>
      <c r="B94" s="3705" t="str">
        <f>'Phụ lục số 4'!B94</f>
        <v>Trong đó; Một số nhiệm vụ chi phải báo cáo cấp có thẩm quyền xem xét, quyết định cho phép thực hiện</v>
      </c>
      <c r="C94" s="3680">
        <f t="shared" si="28"/>
        <v>0</v>
      </c>
      <c r="D94" s="3680"/>
      <c r="E94" s="3680"/>
      <c r="F94" s="3680"/>
      <c r="G94" s="3680"/>
      <c r="H94" s="3680"/>
      <c r="I94" s="3680"/>
      <c r="J94" s="3680">
        <f t="shared" si="13"/>
        <v>0</v>
      </c>
      <c r="K94" s="3680"/>
      <c r="L94" s="3680"/>
      <c r="M94" s="3680"/>
      <c r="N94" s="3680"/>
      <c r="O94" s="3680"/>
      <c r="P94" s="3680"/>
      <c r="Q94" s="3680"/>
      <c r="R94" s="3687">
        <f>'Phụ lục số 4'!R94</f>
        <v>0</v>
      </c>
      <c r="S94" s="3680"/>
      <c r="T94" s="3680"/>
      <c r="U94" s="3680"/>
      <c r="V94" s="3680"/>
      <c r="W94" s="3680"/>
      <c r="X94" s="3680"/>
      <c r="Y94" s="3680"/>
      <c r="Z94" s="3680"/>
      <c r="AA94" s="3680"/>
      <c r="AB94" s="3680"/>
      <c r="AC94" s="3680"/>
      <c r="AD94" s="3702"/>
      <c r="AE94" s="3703"/>
    </row>
    <row r="95" spans="1:31" s="1319" customFormat="1" ht="17.399999999999999">
      <c r="A95" s="3671">
        <f>'Phụ lục số 4'!A95</f>
        <v>6</v>
      </c>
      <c r="B95" s="3592" t="str">
        <f>'Phụ lục số 4'!B95</f>
        <v>Chi sự nghiệp đảm bảo xã hội</v>
      </c>
      <c r="C95" s="2956">
        <f t="shared" si="28"/>
        <v>23385</v>
      </c>
      <c r="D95" s="2956">
        <f t="shared" si="26"/>
        <v>0</v>
      </c>
      <c r="E95" s="2956">
        <f>'Phụ lục số 4'!E97</f>
        <v>0</v>
      </c>
      <c r="F95" s="2956">
        <f>'Phụ lục số 4'!F97</f>
        <v>0</v>
      </c>
      <c r="G95" s="2956">
        <f>'Phụ lục số 4'!G97</f>
        <v>0</v>
      </c>
      <c r="H95" s="2956">
        <f>'Phụ lục số 4'!H97</f>
        <v>0</v>
      </c>
      <c r="I95" s="2956"/>
      <c r="J95" s="2956">
        <f t="shared" si="13"/>
        <v>23385</v>
      </c>
      <c r="K95" s="2956">
        <f>'Phụ lục số 4'!K95</f>
        <v>0</v>
      </c>
      <c r="L95" s="2956">
        <f>'Phụ lục số 4'!L95</f>
        <v>0</v>
      </c>
      <c r="M95" s="2956">
        <f>'Phụ lục số 4'!M95</f>
        <v>0</v>
      </c>
      <c r="N95" s="2956">
        <f>'Phụ lục số 4'!N95</f>
        <v>0</v>
      </c>
      <c r="O95" s="2956">
        <f>'Phụ lục số 4'!O95</f>
        <v>0</v>
      </c>
      <c r="P95" s="2956">
        <f>'Phụ lục số 4'!P95</f>
        <v>0</v>
      </c>
      <c r="Q95" s="2956">
        <f>'Phụ lục số 4'!Q95</f>
        <v>0</v>
      </c>
      <c r="R95" s="2956">
        <f>'Phụ lục số 4'!R95</f>
        <v>0</v>
      </c>
      <c r="S95" s="2956">
        <f>'Phụ lục số 4'!S95</f>
        <v>23385</v>
      </c>
      <c r="T95" s="2956">
        <f>'Phụ lục số 4'!T95</f>
        <v>0</v>
      </c>
      <c r="U95" s="2956">
        <f>'Phụ lục số 4'!U95</f>
        <v>0</v>
      </c>
      <c r="V95" s="2956">
        <f>'Phụ lục số 4'!V95</f>
        <v>0</v>
      </c>
      <c r="W95" s="2956">
        <f>'Phụ lục số 4'!W95</f>
        <v>0</v>
      </c>
      <c r="X95" s="2956">
        <f>'Phụ lục số 4'!X95</f>
        <v>0</v>
      </c>
      <c r="Y95" s="2956">
        <f>'Phụ lục số 4'!Y95</f>
        <v>0</v>
      </c>
      <c r="Z95" s="2956">
        <f>'Phụ lục số 4'!Z95</f>
        <v>0</v>
      </c>
      <c r="AA95" s="2956">
        <f>'Phụ lục số 4'!AA95</f>
        <v>0</v>
      </c>
      <c r="AB95" s="2956">
        <f>'Phụ lục số 4'!AB95</f>
        <v>0</v>
      </c>
      <c r="AC95" s="2956">
        <f>'Phụ lục số 4'!AC95</f>
        <v>0</v>
      </c>
      <c r="AD95" s="3143">
        <f>'Phụ lục số 4'!AD95</f>
        <v>0</v>
      </c>
      <c r="AE95" s="3154">
        <f>'Phụ lục số 4'!AE97</f>
        <v>0</v>
      </c>
    </row>
    <row r="96" spans="1:31" s="154" customFormat="1" ht="144">
      <c r="A96" s="3031" t="str">
        <f>'Phụ lục số 4'!A96</f>
        <v>a</v>
      </c>
      <c r="B96" s="3593" t="str">
        <f>'Phụ lục số 4'!B96</f>
        <v>Chính sách hỗ trợ thường xuyên cho đối tượng bảo trợ xã hội theo quy định tại Nghị định số 20/2021/NĐ-CP ngày 15/03/2021 của Chính phủ; Chính sách hỗ trợ tiền điện cho hộ nghèo, hộ chính sách xã hội theo quy định tại Quyết định số 28/2014/QĐ-TTg ngày 07/4/2014 của Thủ tướng Chính phủ</v>
      </c>
      <c r="C96" s="2954">
        <f t="shared" si="28"/>
        <v>21000</v>
      </c>
      <c r="D96" s="2954">
        <f t="shared" si="26"/>
        <v>0</v>
      </c>
      <c r="E96" s="2954">
        <f>'Phụ lục số 4'!E98</f>
        <v>0</v>
      </c>
      <c r="F96" s="2954">
        <f>'Phụ lục số 4'!F98</f>
        <v>0</v>
      </c>
      <c r="G96" s="2954">
        <f>'Phụ lục số 4'!G98</f>
        <v>0</v>
      </c>
      <c r="H96" s="2954">
        <f>'Phụ lục số 4'!H98</f>
        <v>0</v>
      </c>
      <c r="I96" s="2954"/>
      <c r="J96" s="2954">
        <f t="shared" si="13"/>
        <v>21000</v>
      </c>
      <c r="K96" s="2954">
        <f>'Phụ lục số 4'!K96</f>
        <v>0</v>
      </c>
      <c r="L96" s="2954">
        <f>'Phụ lục số 4'!L96</f>
        <v>0</v>
      </c>
      <c r="M96" s="2954">
        <f>'Phụ lục số 4'!M96</f>
        <v>0</v>
      </c>
      <c r="N96" s="2954">
        <f>'Phụ lục số 4'!N96</f>
        <v>0</v>
      </c>
      <c r="O96" s="2954">
        <f>'Phụ lục số 4'!O96</f>
        <v>0</v>
      </c>
      <c r="P96" s="2954">
        <f>'Phụ lục số 4'!P96</f>
        <v>0</v>
      </c>
      <c r="Q96" s="2954">
        <f>'Phụ lục số 4'!Q96</f>
        <v>0</v>
      </c>
      <c r="R96" s="2954">
        <f>'Phụ lục số 4'!R96</f>
        <v>0</v>
      </c>
      <c r="S96" s="2954">
        <f>'Phụ lục số 4'!S96</f>
        <v>21000</v>
      </c>
      <c r="T96" s="2954">
        <f>'Phụ lục số 4'!T96</f>
        <v>0</v>
      </c>
      <c r="U96" s="2954">
        <f>'Phụ lục số 4'!U96</f>
        <v>0</v>
      </c>
      <c r="V96" s="2954">
        <f>'Phụ lục số 4'!V96</f>
        <v>0</v>
      </c>
      <c r="W96" s="2954">
        <f>'Phụ lục số 4'!W96</f>
        <v>0</v>
      </c>
      <c r="X96" s="2954">
        <f>'Phụ lục số 4'!X96</f>
        <v>0</v>
      </c>
      <c r="Y96" s="2954">
        <f>'Phụ lục số 4'!Y96</f>
        <v>0</v>
      </c>
      <c r="Z96" s="2954">
        <f>'Phụ lục số 4'!Z96</f>
        <v>0</v>
      </c>
      <c r="AA96" s="2954">
        <f>'Phụ lục số 4'!AA96</f>
        <v>0</v>
      </c>
      <c r="AB96" s="2954">
        <f>'Phụ lục số 4'!AB96</f>
        <v>0</v>
      </c>
      <c r="AC96" s="2954">
        <f>'Phụ lục số 4'!AC96</f>
        <v>0</v>
      </c>
      <c r="AD96" s="3142">
        <f>'Phụ lục số 4'!AD96</f>
        <v>0</v>
      </c>
      <c r="AE96" s="3153">
        <f>'Phụ lục số 4'!AE98</f>
        <v>0</v>
      </c>
    </row>
    <row r="97" spans="1:31" s="2351" customFormat="1" ht="52.95" customHeight="1">
      <c r="A97" s="3033" t="str">
        <f>'Phụ lục số 4'!A97</f>
        <v>b</v>
      </c>
      <c r="B97" s="3673" t="str">
        <f>'Phụ lục số 4'!B97</f>
        <v>Trong đó; Một số nhiệm vụ chi phải báo cáo cấp có thẩm quyền xem xét, quyết định cho phép thực hiện</v>
      </c>
      <c r="C97" s="3651">
        <f t="shared" si="28"/>
        <v>2385</v>
      </c>
      <c r="D97" s="3651">
        <f t="shared" si="26"/>
        <v>0</v>
      </c>
      <c r="E97" s="3651">
        <f>'Phụ lục số 4'!E99</f>
        <v>0</v>
      </c>
      <c r="F97" s="3651">
        <f>'Phụ lục số 4'!F99</f>
        <v>0</v>
      </c>
      <c r="G97" s="3651">
        <f>'Phụ lục số 4'!G99</f>
        <v>0</v>
      </c>
      <c r="H97" s="3651">
        <f>'Phụ lục số 4'!H99</f>
        <v>0</v>
      </c>
      <c r="I97" s="3651"/>
      <c r="J97" s="3651">
        <f t="shared" si="13"/>
        <v>2385</v>
      </c>
      <c r="K97" s="3651">
        <f>'Phụ lục số 4'!K97</f>
        <v>0</v>
      </c>
      <c r="L97" s="3651">
        <f>'Phụ lục số 4'!L97</f>
        <v>0</v>
      </c>
      <c r="M97" s="3651">
        <f>'Phụ lục số 4'!M97</f>
        <v>0</v>
      </c>
      <c r="N97" s="3651">
        <f>'Phụ lục số 4'!N97</f>
        <v>0</v>
      </c>
      <c r="O97" s="3651">
        <f>'Phụ lục số 4'!O97</f>
        <v>0</v>
      </c>
      <c r="P97" s="3651">
        <f>'Phụ lục số 4'!P97</f>
        <v>0</v>
      </c>
      <c r="Q97" s="3651">
        <f>'Phụ lục số 4'!Q97</f>
        <v>0</v>
      </c>
      <c r="R97" s="3651">
        <f>'Phụ lục số 4'!R97</f>
        <v>0</v>
      </c>
      <c r="S97" s="3651">
        <f>'Phụ lục số 4'!S97</f>
        <v>2385</v>
      </c>
      <c r="T97" s="3651">
        <f>'Phụ lục số 4'!T97</f>
        <v>0</v>
      </c>
      <c r="U97" s="3651">
        <f>'Phụ lục số 4'!U97</f>
        <v>0</v>
      </c>
      <c r="V97" s="3651">
        <f>'Phụ lục số 4'!V97</f>
        <v>0</v>
      </c>
      <c r="W97" s="3651">
        <f>'Phụ lục số 4'!W97</f>
        <v>0</v>
      </c>
      <c r="X97" s="3651">
        <f>'Phụ lục số 4'!X97</f>
        <v>0</v>
      </c>
      <c r="Y97" s="3651">
        <f>'Phụ lục số 4'!Y97</f>
        <v>0</v>
      </c>
      <c r="Z97" s="3651">
        <f>'Phụ lục số 4'!Z97</f>
        <v>0</v>
      </c>
      <c r="AA97" s="3651">
        <f>'Phụ lục số 4'!AA97</f>
        <v>0</v>
      </c>
      <c r="AB97" s="3651">
        <f>'Phụ lục số 4'!AB97</f>
        <v>0</v>
      </c>
      <c r="AC97" s="3651">
        <f>'Phụ lục số 4'!AC97</f>
        <v>0</v>
      </c>
      <c r="AD97" s="3674">
        <f>'Phụ lục số 4'!AD97</f>
        <v>0</v>
      </c>
      <c r="AE97" s="3675">
        <f>'Phụ lục số 4'!AE99</f>
        <v>0</v>
      </c>
    </row>
    <row r="98" spans="1:31" s="1319" customFormat="1" ht="34.799999999999997">
      <c r="A98" s="3671">
        <f>'Phụ lục số 4'!A98</f>
        <v>7</v>
      </c>
      <c r="B98" s="3592" t="str">
        <f>'Phụ lục số 4'!B98</f>
        <v>Chi quản lý hành chính (QLNN, Đảng…)</v>
      </c>
      <c r="C98" s="2956">
        <f t="shared" si="28"/>
        <v>5498.9510000000009</v>
      </c>
      <c r="D98" s="2956">
        <f t="shared" si="26"/>
        <v>0</v>
      </c>
      <c r="E98" s="2956">
        <f>'Phụ lục số 4'!E102</f>
        <v>0</v>
      </c>
      <c r="F98" s="2956">
        <f>'Phụ lục số 4'!F102</f>
        <v>0</v>
      </c>
      <c r="G98" s="2956">
        <f>'Phụ lục số 4'!G102</f>
        <v>0</v>
      </c>
      <c r="H98" s="2956">
        <f>'Phụ lục số 4'!H102</f>
        <v>0</v>
      </c>
      <c r="I98" s="2956"/>
      <c r="J98" s="2956">
        <f t="shared" si="13"/>
        <v>5498.9510000000009</v>
      </c>
      <c r="K98" s="2956">
        <f>'Phụ lục số 4'!K98</f>
        <v>0</v>
      </c>
      <c r="L98" s="2956">
        <f>'Phụ lục số 4'!L98</f>
        <v>0</v>
      </c>
      <c r="M98" s="2956">
        <f>'Phụ lục số 4'!M98</f>
        <v>0</v>
      </c>
      <c r="N98" s="2956">
        <f>'Phụ lục số 4'!N98</f>
        <v>0</v>
      </c>
      <c r="O98" s="2956">
        <f>'Phụ lục số 4'!O98</f>
        <v>0</v>
      </c>
      <c r="P98" s="2956">
        <f>'Phụ lục số 4'!P98</f>
        <v>0</v>
      </c>
      <c r="Q98" s="2956">
        <f>'Phụ lục số 4'!Q98</f>
        <v>0</v>
      </c>
      <c r="R98" s="2956">
        <f>'Phụ lục số 4'!R98</f>
        <v>0</v>
      </c>
      <c r="S98" s="2956">
        <f>'Phụ lục số 4'!S98</f>
        <v>0</v>
      </c>
      <c r="T98" s="2956">
        <f>'Phụ lục số 4'!T98</f>
        <v>5498.9510000000009</v>
      </c>
      <c r="U98" s="2956">
        <f>'Phụ lục số 4'!U98</f>
        <v>0</v>
      </c>
      <c r="V98" s="2956">
        <f>'Phụ lục số 4'!V98</f>
        <v>0</v>
      </c>
      <c r="W98" s="2956">
        <f>'Phụ lục số 4'!W98</f>
        <v>0</v>
      </c>
      <c r="X98" s="2956">
        <f>'Phụ lục số 4'!X98</f>
        <v>0</v>
      </c>
      <c r="Y98" s="2956">
        <f>'Phụ lục số 4'!Y98</f>
        <v>0</v>
      </c>
      <c r="Z98" s="2956">
        <f>'Phụ lục số 4'!Z98</f>
        <v>0</v>
      </c>
      <c r="AA98" s="2956">
        <f>'Phụ lục số 4'!AA98</f>
        <v>0</v>
      </c>
      <c r="AB98" s="2956">
        <f>'Phụ lục số 4'!AB98</f>
        <v>0</v>
      </c>
      <c r="AC98" s="2956">
        <f>'Phụ lục số 4'!AC98</f>
        <v>0</v>
      </c>
      <c r="AD98" s="3143">
        <f>'Phụ lục số 4'!AD98</f>
        <v>0</v>
      </c>
      <c r="AE98" s="3154">
        <f>'Phụ lục số 4'!AE102</f>
        <v>0</v>
      </c>
    </row>
    <row r="99" spans="1:31" s="2351" customFormat="1" ht="54">
      <c r="A99" s="3033"/>
      <c r="B99" s="3673" t="str">
        <f>'Phụ lục số 4'!B99</f>
        <v>Trong đó; Một số nhiệm vụ chi phải báo cáo cấp có thẩm quyền xem xét, quyết định cho phép thực hiện</v>
      </c>
      <c r="C99" s="3651">
        <f t="shared" si="28"/>
        <v>5498.9510000000009</v>
      </c>
      <c r="D99" s="3651">
        <f t="shared" si="26"/>
        <v>0</v>
      </c>
      <c r="E99" s="3651">
        <f>'Phụ lục số 4'!E103</f>
        <v>0</v>
      </c>
      <c r="F99" s="3651">
        <f>'Phụ lục số 4'!F103</f>
        <v>0</v>
      </c>
      <c r="G99" s="3651">
        <f>'Phụ lục số 4'!G103</f>
        <v>0</v>
      </c>
      <c r="H99" s="3651">
        <f>'Phụ lục số 4'!H103</f>
        <v>0</v>
      </c>
      <c r="I99" s="3651"/>
      <c r="J99" s="3651">
        <f t="shared" si="13"/>
        <v>5498.9510000000009</v>
      </c>
      <c r="K99" s="3651">
        <f>'Phụ lục số 4'!K99</f>
        <v>0</v>
      </c>
      <c r="L99" s="3651">
        <f>'Phụ lục số 4'!L99</f>
        <v>0</v>
      </c>
      <c r="M99" s="3651">
        <f>'Phụ lục số 4'!M99</f>
        <v>0</v>
      </c>
      <c r="N99" s="3651">
        <f>'Phụ lục số 4'!N99</f>
        <v>0</v>
      </c>
      <c r="O99" s="3651">
        <f>'Phụ lục số 4'!O99</f>
        <v>0</v>
      </c>
      <c r="P99" s="3651">
        <f>'Phụ lục số 4'!P99</f>
        <v>0</v>
      </c>
      <c r="Q99" s="3651">
        <f>'Phụ lục số 4'!Q99</f>
        <v>0</v>
      </c>
      <c r="R99" s="3651">
        <f>'Phụ lục số 4'!R99</f>
        <v>0</v>
      </c>
      <c r="S99" s="3651">
        <f>'Phụ lục số 4'!S99</f>
        <v>0</v>
      </c>
      <c r="T99" s="3651">
        <f>'Phụ lục số 4'!T99</f>
        <v>5498.9510000000009</v>
      </c>
      <c r="U99" s="3651">
        <f>'Phụ lục số 4'!U99</f>
        <v>0</v>
      </c>
      <c r="V99" s="3651">
        <f>'Phụ lục số 4'!V99</f>
        <v>0</v>
      </c>
      <c r="W99" s="3651">
        <f>'Phụ lục số 4'!W99</f>
        <v>0</v>
      </c>
      <c r="X99" s="3651">
        <f>'Phụ lục số 4'!X99</f>
        <v>0</v>
      </c>
      <c r="Y99" s="3651">
        <f>'Phụ lục số 4'!Y99</f>
        <v>0</v>
      </c>
      <c r="Z99" s="3651">
        <f>'Phụ lục số 4'!Z99</f>
        <v>0</v>
      </c>
      <c r="AA99" s="3651">
        <f>'Phụ lục số 4'!AA99</f>
        <v>0</v>
      </c>
      <c r="AB99" s="3651">
        <f>'Phụ lục số 4'!AB99</f>
        <v>0</v>
      </c>
      <c r="AC99" s="3651">
        <f>'Phụ lục số 4'!AC99</f>
        <v>0</v>
      </c>
      <c r="AD99" s="3674">
        <f>'Phụ lục số 4'!AD99</f>
        <v>0</v>
      </c>
      <c r="AE99" s="3675">
        <f>'Phụ lục số 4'!AE103</f>
        <v>0</v>
      </c>
    </row>
    <row r="100" spans="1:31" s="3684" customFormat="1" hidden="1">
      <c r="A100" s="3704"/>
      <c r="B100" s="3700" t="str">
        <f>'Phụ lục số 4'!B100</f>
        <v>Chi an ninh - quốc phòng</v>
      </c>
      <c r="C100" s="3701">
        <f t="shared" si="28"/>
        <v>-0.39999999999417923</v>
      </c>
      <c r="D100" s="3680"/>
      <c r="E100" s="3680"/>
      <c r="F100" s="3680"/>
      <c r="G100" s="3680"/>
      <c r="H100" s="3680"/>
      <c r="I100" s="3680"/>
      <c r="J100" s="3701">
        <f t="shared" si="13"/>
        <v>-0.39999999999417923</v>
      </c>
      <c r="K100" s="3680"/>
      <c r="L100" s="3680"/>
      <c r="M100" s="3680"/>
      <c r="N100" s="3680"/>
      <c r="O100" s="3680"/>
      <c r="P100" s="3680"/>
      <c r="Q100" s="3680"/>
      <c r="R100" s="3680"/>
      <c r="S100" s="3680"/>
      <c r="T100" s="3680"/>
      <c r="U100" s="3687">
        <f>U101</f>
        <v>-0.39999999999417923</v>
      </c>
      <c r="V100" s="3680"/>
      <c r="W100" s="3680"/>
      <c r="X100" s="3680"/>
      <c r="Y100" s="3680"/>
      <c r="Z100" s="3680"/>
      <c r="AA100" s="3680"/>
      <c r="AB100" s="3680"/>
      <c r="AC100" s="3680"/>
      <c r="AD100" s="3702"/>
      <c r="AE100" s="3703"/>
    </row>
    <row r="101" spans="1:31" s="3684" customFormat="1" ht="54" hidden="1">
      <c r="A101" s="3704"/>
      <c r="B101" s="3705" t="str">
        <f>'Phụ lục số 4'!B101</f>
        <v>Trong đó; Một số nhiệm vụ chi phải báo cáo cấp có thẩm quyền xem xét, quyết định cho phép thực hiện</v>
      </c>
      <c r="C101" s="3680">
        <f t="shared" si="28"/>
        <v>-0.39999999999417923</v>
      </c>
      <c r="D101" s="3680"/>
      <c r="E101" s="3680"/>
      <c r="F101" s="3680"/>
      <c r="G101" s="3680"/>
      <c r="H101" s="3680"/>
      <c r="I101" s="3680"/>
      <c r="J101" s="3680">
        <f t="shared" si="13"/>
        <v>-0.39999999999417923</v>
      </c>
      <c r="K101" s="3680"/>
      <c r="L101" s="3680"/>
      <c r="M101" s="3680"/>
      <c r="N101" s="3680"/>
      <c r="O101" s="3680"/>
      <c r="P101" s="3680"/>
      <c r="Q101" s="3680"/>
      <c r="R101" s="3680"/>
      <c r="S101" s="3680"/>
      <c r="T101" s="3680"/>
      <c r="U101" s="3687">
        <f>'Phụ lục số 4'!U101</f>
        <v>-0.39999999999417923</v>
      </c>
      <c r="V101" s="3680"/>
      <c r="W101" s="3680"/>
      <c r="X101" s="3680"/>
      <c r="Y101" s="3680"/>
      <c r="Z101" s="3680"/>
      <c r="AA101" s="3680"/>
      <c r="AB101" s="3680"/>
      <c r="AC101" s="3680"/>
      <c r="AD101" s="3702"/>
      <c r="AE101" s="3703"/>
    </row>
    <row r="102" spans="1:31" s="1319" customFormat="1" ht="17.399999999999999">
      <c r="A102" s="3671">
        <f>'Phụ lục số 4'!A102</f>
        <v>8</v>
      </c>
      <c r="B102" s="3592" t="str">
        <f>'Phụ lục số 4'!B102</f>
        <v>Chi khác ngân sách</v>
      </c>
      <c r="C102" s="2956">
        <f t="shared" si="28"/>
        <v>14176</v>
      </c>
      <c r="D102" s="2956">
        <f t="shared" si="26"/>
        <v>0</v>
      </c>
      <c r="E102" s="2956">
        <f>'Phụ lục số 4'!E104</f>
        <v>0</v>
      </c>
      <c r="F102" s="2956">
        <f>'Phụ lục số 4'!F104</f>
        <v>0</v>
      </c>
      <c r="G102" s="2956">
        <f>'Phụ lục số 4'!G104</f>
        <v>0</v>
      </c>
      <c r="H102" s="2956">
        <f>'Phụ lục số 4'!H104</f>
        <v>0</v>
      </c>
      <c r="I102" s="2956"/>
      <c r="J102" s="2956">
        <f t="shared" si="13"/>
        <v>14176</v>
      </c>
      <c r="K102" s="2956">
        <f>'Phụ lục số 4'!K102</f>
        <v>0</v>
      </c>
      <c r="L102" s="2956">
        <f>'Phụ lục số 4'!L102</f>
        <v>0</v>
      </c>
      <c r="M102" s="2956">
        <f>'Phụ lục số 4'!M102</f>
        <v>0</v>
      </c>
      <c r="N102" s="2956">
        <f>'Phụ lục số 4'!N102</f>
        <v>0</v>
      </c>
      <c r="O102" s="2956">
        <f>'Phụ lục số 4'!O102</f>
        <v>0</v>
      </c>
      <c r="P102" s="2956">
        <f>'Phụ lục số 4'!P102</f>
        <v>0</v>
      </c>
      <c r="Q102" s="2956">
        <f>'Phụ lục số 4'!Q102</f>
        <v>0</v>
      </c>
      <c r="R102" s="2956">
        <f>'Phụ lục số 4'!R102</f>
        <v>0</v>
      </c>
      <c r="S102" s="2956">
        <f>'Phụ lục số 4'!S102</f>
        <v>0</v>
      </c>
      <c r="T102" s="2956">
        <f>'Phụ lục số 4'!T102</f>
        <v>0</v>
      </c>
      <c r="U102" s="2956">
        <f>'Phụ lục số 4'!U102</f>
        <v>0</v>
      </c>
      <c r="V102" s="2956">
        <f>'Phụ lục số 4'!V102</f>
        <v>14176</v>
      </c>
      <c r="W102" s="2956">
        <f>'Phụ lục số 4'!W102</f>
        <v>0</v>
      </c>
      <c r="X102" s="2956">
        <f>'Phụ lục số 4'!X102</f>
        <v>0</v>
      </c>
      <c r="Y102" s="2956">
        <f>'Phụ lục số 4'!Y102</f>
        <v>0</v>
      </c>
      <c r="Z102" s="2956">
        <f>'Phụ lục số 4'!Z102</f>
        <v>0</v>
      </c>
      <c r="AA102" s="2956">
        <f>'Phụ lục số 4'!AA102</f>
        <v>0</v>
      </c>
      <c r="AB102" s="2956">
        <f>'Phụ lục số 4'!AB102</f>
        <v>0</v>
      </c>
      <c r="AC102" s="2956">
        <f>'Phụ lục số 4'!AC102</f>
        <v>0</v>
      </c>
      <c r="AD102" s="3143">
        <f>'Phụ lục số 4'!AD102</f>
        <v>0</v>
      </c>
      <c r="AE102" s="3154">
        <f>'Phụ lục số 4'!AE104</f>
        <v>0</v>
      </c>
    </row>
    <row r="103" spans="1:31" s="2351" customFormat="1" ht="54">
      <c r="A103" s="3033"/>
      <c r="B103" s="3673" t="str">
        <f>'Phụ lục số 4'!B103</f>
        <v>Trong đó; Một số nhiệm vụ chi phải báo cáo cấp có thẩm quyền xem xét, quyết định cho phép thực hiện</v>
      </c>
      <c r="C103" s="3651">
        <f t="shared" si="28"/>
        <v>14176</v>
      </c>
      <c r="D103" s="3651"/>
      <c r="E103" s="3651"/>
      <c r="F103" s="3651"/>
      <c r="G103" s="3651"/>
      <c r="H103" s="3651"/>
      <c r="I103" s="3651"/>
      <c r="J103" s="3651">
        <f t="shared" si="13"/>
        <v>14176</v>
      </c>
      <c r="K103" s="3651">
        <f>'Phụ lục số 4'!K103</f>
        <v>0</v>
      </c>
      <c r="L103" s="3651">
        <f>'Phụ lục số 4'!L103</f>
        <v>0</v>
      </c>
      <c r="M103" s="3651">
        <f>'Phụ lục số 4'!M103</f>
        <v>0</v>
      </c>
      <c r="N103" s="3651">
        <f>'Phụ lục số 4'!N103</f>
        <v>0</v>
      </c>
      <c r="O103" s="3651">
        <f>'Phụ lục số 4'!O103</f>
        <v>0</v>
      </c>
      <c r="P103" s="3651">
        <f>'Phụ lục số 4'!P103</f>
        <v>0</v>
      </c>
      <c r="Q103" s="3651">
        <f>'Phụ lục số 4'!Q103</f>
        <v>0</v>
      </c>
      <c r="R103" s="3651">
        <f>'Phụ lục số 4'!R103</f>
        <v>0</v>
      </c>
      <c r="S103" s="3651">
        <f>'Phụ lục số 4'!S103</f>
        <v>0</v>
      </c>
      <c r="T103" s="3651">
        <f>'Phụ lục số 4'!T103</f>
        <v>0</v>
      </c>
      <c r="U103" s="3651">
        <f>'Phụ lục số 4'!U103</f>
        <v>0</v>
      </c>
      <c r="V103" s="3651">
        <f>'Phụ lục số 4'!V103</f>
        <v>14176</v>
      </c>
      <c r="W103" s="3651">
        <f>'Phụ lục số 4'!W103</f>
        <v>0</v>
      </c>
      <c r="X103" s="3651">
        <f>'Phụ lục số 4'!X103</f>
        <v>0</v>
      </c>
      <c r="Y103" s="3651">
        <f>'Phụ lục số 4'!Y103</f>
        <v>0</v>
      </c>
      <c r="Z103" s="3651">
        <f>'Phụ lục số 4'!Z103</f>
        <v>0</v>
      </c>
      <c r="AA103" s="3651">
        <f>'Phụ lục số 4'!AA103</f>
        <v>0</v>
      </c>
      <c r="AB103" s="3651">
        <f>'Phụ lục số 4'!AB103</f>
        <v>0</v>
      </c>
      <c r="AC103" s="3651">
        <f>'Phụ lục số 4'!AC103</f>
        <v>0</v>
      </c>
      <c r="AD103" s="3674">
        <f>'Phụ lục số 4'!AD103</f>
        <v>0</v>
      </c>
      <c r="AE103" s="3675"/>
    </row>
    <row r="104" spans="1:31" s="154" customFormat="1" hidden="1">
      <c r="A104" s="3031"/>
      <c r="B104" s="3593">
        <f>'Phụ lục số 4'!B104</f>
        <v>0</v>
      </c>
      <c r="C104" s="2954"/>
      <c r="D104" s="2954"/>
      <c r="E104" s="2954"/>
      <c r="F104" s="2954"/>
      <c r="G104" s="2954"/>
      <c r="H104" s="2954"/>
      <c r="I104" s="2954"/>
      <c r="J104" s="2954">
        <f t="shared" si="13"/>
        <v>0</v>
      </c>
      <c r="K104" s="2954">
        <f>'Phụ lục số 4'!K104</f>
        <v>0</v>
      </c>
      <c r="L104" s="2954">
        <f>'Phụ lục số 4'!L104</f>
        <v>0</v>
      </c>
      <c r="M104" s="2954">
        <f>'Phụ lục số 4'!M104</f>
        <v>0</v>
      </c>
      <c r="N104" s="2954">
        <f>'Phụ lục số 4'!N104</f>
        <v>0</v>
      </c>
      <c r="O104" s="2954">
        <f>'Phụ lục số 4'!O104</f>
        <v>0</v>
      </c>
      <c r="P104" s="2954">
        <f>'Phụ lục số 4'!P104</f>
        <v>0</v>
      </c>
      <c r="Q104" s="2954">
        <f>'Phụ lục số 4'!Q104</f>
        <v>0</v>
      </c>
      <c r="R104" s="2954">
        <f>'Phụ lục số 4'!R104</f>
        <v>0</v>
      </c>
      <c r="S104" s="2954">
        <f>'Phụ lục số 4'!S104</f>
        <v>0</v>
      </c>
      <c r="T104" s="2954">
        <f>'Phụ lục số 4'!T104</f>
        <v>0</v>
      </c>
      <c r="U104" s="2954">
        <f>'Phụ lục số 4'!U104</f>
        <v>0</v>
      </c>
      <c r="V104" s="2954">
        <f>'Phụ lục số 4'!V104</f>
        <v>0</v>
      </c>
      <c r="W104" s="2954">
        <f>'Phụ lục số 4'!W104</f>
        <v>0</v>
      </c>
      <c r="X104" s="2954">
        <f>'Phụ lục số 4'!X104</f>
        <v>0</v>
      </c>
      <c r="Y104" s="2954">
        <f>'Phụ lục số 4'!Y104</f>
        <v>0</v>
      </c>
      <c r="Z104" s="2954">
        <f>'Phụ lục số 4'!Z104</f>
        <v>0</v>
      </c>
      <c r="AA104" s="2954">
        <f>'Phụ lục số 4'!AA104</f>
        <v>0</v>
      </c>
      <c r="AB104" s="2954">
        <f>'Phụ lục số 4'!AB104</f>
        <v>0</v>
      </c>
      <c r="AC104" s="2954">
        <f>'Phụ lục số 4'!AC104</f>
        <v>0</v>
      </c>
      <c r="AD104" s="3142">
        <f>'Phụ lục số 4'!AD104</f>
        <v>0</v>
      </c>
      <c r="AE104" s="3153"/>
    </row>
    <row r="105" spans="1:31" s="1319" customFormat="1" ht="34.799999999999997" hidden="1">
      <c r="A105" s="3671">
        <f>'Phụ lục số 4'!A105</f>
        <v>9</v>
      </c>
      <c r="B105" s="3592" t="str">
        <f>'Phụ lục số 4'!B105</f>
        <v>10% tiết kiệm chi thường xuyên (phần giữ lại ngân sách)</v>
      </c>
      <c r="C105" s="2956">
        <f t="shared" si="28"/>
        <v>0</v>
      </c>
      <c r="D105" s="2956">
        <f t="shared" si="26"/>
        <v>0</v>
      </c>
      <c r="E105" s="2956">
        <f>'Phụ lục số 4'!E105</f>
        <v>0</v>
      </c>
      <c r="F105" s="2956">
        <f>'Phụ lục số 4'!F105</f>
        <v>0</v>
      </c>
      <c r="G105" s="2956">
        <f>'Phụ lục số 4'!G105</f>
        <v>0</v>
      </c>
      <c r="H105" s="2956">
        <f>'Phụ lục số 4'!H105</f>
        <v>0</v>
      </c>
      <c r="I105" s="2956"/>
      <c r="J105" s="2954">
        <f t="shared" si="13"/>
        <v>0</v>
      </c>
      <c r="K105" s="2956">
        <f>'Phụ lục số 4'!K105</f>
        <v>0</v>
      </c>
      <c r="L105" s="2956">
        <f>'Phụ lục số 4'!L105</f>
        <v>0</v>
      </c>
      <c r="M105" s="2956">
        <f>'Phụ lục số 4'!M105</f>
        <v>0</v>
      </c>
      <c r="N105" s="2956">
        <f>'Phụ lục số 4'!N105</f>
        <v>0</v>
      </c>
      <c r="O105" s="2956">
        <f>'Phụ lục số 4'!O105</f>
        <v>0</v>
      </c>
      <c r="P105" s="2956">
        <f>'Phụ lục số 4'!P105</f>
        <v>0</v>
      </c>
      <c r="Q105" s="2956">
        <f>'Phụ lục số 4'!Q105</f>
        <v>0</v>
      </c>
      <c r="R105" s="2956">
        <f>'Phụ lục số 4'!R105</f>
        <v>0</v>
      </c>
      <c r="S105" s="2956">
        <f>'Phụ lục số 4'!S105</f>
        <v>0</v>
      </c>
      <c r="T105" s="2956">
        <f>'Phụ lục số 4'!T105</f>
        <v>0</v>
      </c>
      <c r="U105" s="2956">
        <f>'Phụ lục số 4'!U105</f>
        <v>0</v>
      </c>
      <c r="V105" s="2956">
        <f>'Phụ lục số 4'!V105</f>
        <v>0</v>
      </c>
      <c r="W105" s="2956">
        <f>'Phụ lục số 4'!W105</f>
        <v>0</v>
      </c>
      <c r="X105" s="2956">
        <f>'Phụ lục số 4'!X105</f>
        <v>0</v>
      </c>
      <c r="Y105" s="2956">
        <f>'Phụ lục số 4'!Y105</f>
        <v>0</v>
      </c>
      <c r="Z105" s="2956">
        <f>'Phụ lục số 4'!Z105</f>
        <v>0</v>
      </c>
      <c r="AA105" s="2956">
        <f>'Phụ lục số 4'!AA105</f>
        <v>0</v>
      </c>
      <c r="AB105" s="2956">
        <f>'Phụ lục số 4'!AB105</f>
        <v>0</v>
      </c>
      <c r="AC105" s="2956">
        <f>'Phụ lục số 4'!AC105</f>
        <v>0</v>
      </c>
      <c r="AD105" s="3143">
        <f>'Phụ lục số 4'!AD105</f>
        <v>0</v>
      </c>
      <c r="AE105" s="3154">
        <f>'Phụ lục số 4'!AE105</f>
        <v>0</v>
      </c>
    </row>
    <row r="106" spans="1:31" s="154" customFormat="1" hidden="1">
      <c r="A106" s="3031"/>
      <c r="B106" s="3672" t="str">
        <f>'Phụ lục số 4'!B106</f>
        <v>Sự nghiệp toàn ngành trên địa bàn Tỉnh</v>
      </c>
      <c r="C106" s="3670">
        <f>D106+J106+AB106+W106+X106+AA106</f>
        <v>155579.55100000001</v>
      </c>
      <c r="D106" s="3670">
        <f t="shared" si="26"/>
        <v>0</v>
      </c>
      <c r="E106" s="3670">
        <f>'Phụ lục số 4'!E106</f>
        <v>0</v>
      </c>
      <c r="F106" s="3670">
        <f>'Phụ lục số 4'!F106</f>
        <v>0</v>
      </c>
      <c r="G106" s="3670">
        <f>'Phụ lục số 4'!G106</f>
        <v>0</v>
      </c>
      <c r="H106" s="3670">
        <f>'Phụ lục số 4'!H106</f>
        <v>0</v>
      </c>
      <c r="I106" s="3670"/>
      <c r="J106" s="3670">
        <f t="shared" si="13"/>
        <v>155579.55100000001</v>
      </c>
      <c r="K106" s="3670">
        <f>'Phụ lục số 4'!K106</f>
        <v>55500</v>
      </c>
      <c r="L106" s="3670">
        <f>'Phụ lục số 4'!L106</f>
        <v>1152</v>
      </c>
      <c r="M106" s="3670">
        <f>'Phụ lục số 4'!M106</f>
        <v>1892</v>
      </c>
      <c r="N106" s="3670">
        <f>'Phụ lục số 4'!N106</f>
        <v>74667</v>
      </c>
      <c r="O106" s="3670">
        <f>'Phụ lục số 4'!O106</f>
        <v>0</v>
      </c>
      <c r="P106" s="3670">
        <f>'Phụ lục số 4'!P106</f>
        <v>2694</v>
      </c>
      <c r="Q106" s="3670">
        <f>'Phụ lục số 4'!Q106</f>
        <v>0</v>
      </c>
      <c r="R106" s="3670">
        <f>'Phụ lục số 4'!R106</f>
        <v>0</v>
      </c>
      <c r="S106" s="3670">
        <f>'Phụ lục số 4'!S106</f>
        <v>0</v>
      </c>
      <c r="T106" s="3670">
        <f>'Phụ lục số 4'!T106</f>
        <v>5498.9510000000009</v>
      </c>
      <c r="U106" s="3670">
        <f>'Phụ lục số 4'!U106</f>
        <v>-0.39999999999417923</v>
      </c>
      <c r="V106" s="3670">
        <f>'Phụ lục số 4'!V106</f>
        <v>14176</v>
      </c>
      <c r="W106" s="3670">
        <f>'Phụ lục số 4'!W106</f>
        <v>0</v>
      </c>
      <c r="X106" s="3670">
        <f>'Phụ lục số 4'!X106</f>
        <v>0</v>
      </c>
      <c r="Y106" s="3670">
        <f>'Phụ lục số 4'!Y106</f>
        <v>0</v>
      </c>
      <c r="Z106" s="3670">
        <f>'Phụ lục số 4'!Z106</f>
        <v>0</v>
      </c>
      <c r="AA106" s="3670">
        <f>'Phụ lục số 4'!AA106</f>
        <v>0</v>
      </c>
      <c r="AB106" s="3670">
        <f t="shared" ref="AB106:AB118" si="29">SUM(AC106:AD106)</f>
        <v>0</v>
      </c>
      <c r="AC106" s="3670">
        <f>'Phụ lục số 4'!AC106</f>
        <v>0</v>
      </c>
      <c r="AD106" s="3629">
        <f>'Phụ lục số 4'!AD106</f>
        <v>0</v>
      </c>
      <c r="AE106" s="3153">
        <f>'Phụ lục số 4'!AE106</f>
        <v>0</v>
      </c>
    </row>
    <row r="107" spans="1:31" s="1319" customFormat="1" ht="34.799999999999997">
      <c r="A107" s="2930" t="s">
        <v>22</v>
      </c>
      <c r="B107" s="2788" t="str">
        <f>'Phụ lục số 4'!B107</f>
        <v>CHI BỔ SUNG QUỸ DỰ TRỮ TÀI CHÍNH</v>
      </c>
      <c r="C107" s="2956">
        <f t="shared" ref="C107:C117" si="30">D107+J107+AB107+W107+X107+AA107+Y107+Z107</f>
        <v>2000</v>
      </c>
      <c r="D107" s="2956">
        <f t="shared" si="26"/>
        <v>0</v>
      </c>
      <c r="E107" s="2956">
        <f>'Phụ lục số 4'!E107</f>
        <v>0</v>
      </c>
      <c r="F107" s="2956">
        <f>'Phụ lục số 4'!F107</f>
        <v>0</v>
      </c>
      <c r="G107" s="2956">
        <f>'Phụ lục số 4'!G107</f>
        <v>0</v>
      </c>
      <c r="H107" s="2956">
        <f>'Phụ lục số 4'!H107</f>
        <v>0</v>
      </c>
      <c r="I107" s="2956"/>
      <c r="J107" s="2956">
        <f t="shared" si="13"/>
        <v>0</v>
      </c>
      <c r="K107" s="2956">
        <f>'Phụ lục số 4'!K107</f>
        <v>0</v>
      </c>
      <c r="L107" s="2956">
        <f>'Phụ lục số 4'!L107</f>
        <v>0</v>
      </c>
      <c r="M107" s="2956">
        <f>'Phụ lục số 4'!M107</f>
        <v>0</v>
      </c>
      <c r="N107" s="2956">
        <f>'Phụ lục số 4'!N107</f>
        <v>0</v>
      </c>
      <c r="O107" s="2956">
        <f>'Phụ lục số 4'!O107</f>
        <v>0</v>
      </c>
      <c r="P107" s="2956">
        <f>'Phụ lục số 4'!P107</f>
        <v>0</v>
      </c>
      <c r="Q107" s="2956">
        <f>'Phụ lục số 4'!Q107</f>
        <v>0</v>
      </c>
      <c r="R107" s="2956">
        <f>'Phụ lục số 4'!R107</f>
        <v>0</v>
      </c>
      <c r="S107" s="2956">
        <f>'Phụ lục số 4'!S107</f>
        <v>0</v>
      </c>
      <c r="T107" s="2956">
        <f>'Phụ lục số 4'!T107</f>
        <v>0</v>
      </c>
      <c r="U107" s="2956">
        <f>'Phụ lục số 4'!U107</f>
        <v>0</v>
      </c>
      <c r="V107" s="2956">
        <f>'Phụ lục số 4'!V107</f>
        <v>0</v>
      </c>
      <c r="W107" s="2956">
        <f>'Phụ lục số 4'!W107</f>
        <v>2000</v>
      </c>
      <c r="X107" s="2956">
        <f>'Phụ lục số 4'!X107</f>
        <v>0</v>
      </c>
      <c r="Y107" s="2956">
        <f>'Phụ lục số 4'!Y107</f>
        <v>0</v>
      </c>
      <c r="Z107" s="2956">
        <f>'Phụ lục số 4'!Z107</f>
        <v>0</v>
      </c>
      <c r="AA107" s="2956">
        <f>'Phụ lục số 4'!AA107</f>
        <v>0</v>
      </c>
      <c r="AB107" s="2956">
        <f t="shared" si="29"/>
        <v>0</v>
      </c>
      <c r="AC107" s="2956">
        <f>'Phụ lục số 4'!AC107</f>
        <v>0</v>
      </c>
      <c r="AD107" s="3143">
        <f>'Phụ lục số 4'!AD107</f>
        <v>0</v>
      </c>
      <c r="AE107" s="3154">
        <f>'Phụ lục số 4'!AE107</f>
        <v>0</v>
      </c>
    </row>
    <row r="108" spans="1:31" s="1319" customFormat="1" ht="34.799999999999997">
      <c r="A108" s="2930" t="s">
        <v>26</v>
      </c>
      <c r="B108" s="2788" t="str">
        <f>'Phụ lục số 4'!B108</f>
        <v>CHI DỰ PHÒNG NGÂN SÁCH CẤP TỈNH</v>
      </c>
      <c r="C108" s="2956">
        <f t="shared" si="30"/>
        <v>152264.36799999999</v>
      </c>
      <c r="D108" s="2956">
        <f t="shared" si="26"/>
        <v>0</v>
      </c>
      <c r="E108" s="2956">
        <f>'Phụ lục số 4'!E108</f>
        <v>0</v>
      </c>
      <c r="F108" s="2956">
        <f>'Phụ lục số 4'!F108</f>
        <v>0</v>
      </c>
      <c r="G108" s="2956">
        <f>'Phụ lục số 4'!G108</f>
        <v>0</v>
      </c>
      <c r="H108" s="2956">
        <f>'Phụ lục số 4'!H108</f>
        <v>0</v>
      </c>
      <c r="I108" s="2956"/>
      <c r="J108" s="2956">
        <f t="shared" si="13"/>
        <v>0</v>
      </c>
      <c r="K108" s="2956">
        <f>'Phụ lục số 4'!K108</f>
        <v>0</v>
      </c>
      <c r="L108" s="2956">
        <f>'Phụ lục số 4'!L108</f>
        <v>0</v>
      </c>
      <c r="M108" s="2956">
        <f>'Phụ lục số 4'!M108</f>
        <v>0</v>
      </c>
      <c r="N108" s="2956">
        <f>'Phụ lục số 4'!N108</f>
        <v>0</v>
      </c>
      <c r="O108" s="2956">
        <f>'Phụ lục số 4'!O108</f>
        <v>0</v>
      </c>
      <c r="P108" s="2956">
        <f>'Phụ lục số 4'!P108</f>
        <v>0</v>
      </c>
      <c r="Q108" s="2956">
        <f>'Phụ lục số 4'!Q108</f>
        <v>0</v>
      </c>
      <c r="R108" s="2956">
        <f>'Phụ lục số 4'!R108</f>
        <v>0</v>
      </c>
      <c r="S108" s="2956">
        <f>'Phụ lục số 4'!S108</f>
        <v>0</v>
      </c>
      <c r="T108" s="2956">
        <f>'Phụ lục số 4'!T108</f>
        <v>0</v>
      </c>
      <c r="U108" s="2956">
        <f>'Phụ lục số 4'!U108</f>
        <v>0</v>
      </c>
      <c r="V108" s="2956">
        <f>'Phụ lục số 4'!V108</f>
        <v>0</v>
      </c>
      <c r="W108" s="2956">
        <f>'Phụ lục số 4'!W108</f>
        <v>0</v>
      </c>
      <c r="X108" s="2956">
        <f>'Phụ lục số 4'!X108</f>
        <v>152264.36799999999</v>
      </c>
      <c r="Y108" s="2956">
        <f>'Phụ lục số 4'!Y108</f>
        <v>0</v>
      </c>
      <c r="Z108" s="2956">
        <f>'Phụ lục số 4'!Z108</f>
        <v>0</v>
      </c>
      <c r="AA108" s="2956">
        <f>'Phụ lục số 4'!AA108</f>
        <v>0</v>
      </c>
      <c r="AB108" s="2956">
        <f t="shared" si="29"/>
        <v>0</v>
      </c>
      <c r="AC108" s="2956">
        <f>'Phụ lục số 4'!AC108</f>
        <v>0</v>
      </c>
      <c r="AD108" s="3143">
        <f>'Phụ lục số 4'!AD108</f>
        <v>0</v>
      </c>
      <c r="AE108" s="3154">
        <f>'Phụ lục số 4'!AE108</f>
        <v>0</v>
      </c>
    </row>
    <row r="109" spans="1:31" s="1319" customFormat="1" ht="52.2">
      <c r="A109" s="2930" t="s">
        <v>130</v>
      </c>
      <c r="B109" s="2788" t="s">
        <v>2622</v>
      </c>
      <c r="C109" s="2956">
        <f t="shared" si="30"/>
        <v>79139.200000000012</v>
      </c>
      <c r="D109" s="2956"/>
      <c r="E109" s="2956"/>
      <c r="F109" s="2956"/>
      <c r="G109" s="2956"/>
      <c r="H109" s="2956"/>
      <c r="I109" s="2956"/>
      <c r="J109" s="2956"/>
      <c r="K109" s="2956"/>
      <c r="L109" s="2956"/>
      <c r="M109" s="2956"/>
      <c r="N109" s="2956"/>
      <c r="O109" s="2956"/>
      <c r="P109" s="2956"/>
      <c r="Q109" s="2956"/>
      <c r="R109" s="2956"/>
      <c r="S109" s="2956"/>
      <c r="T109" s="2956"/>
      <c r="U109" s="2956"/>
      <c r="V109" s="2956"/>
      <c r="W109" s="2956"/>
      <c r="X109" s="2956">
        <f>'Phụ lục số 4'!X109</f>
        <v>0</v>
      </c>
      <c r="Y109" s="2956">
        <f>'Phụ lục số 4'!Y109</f>
        <v>0</v>
      </c>
      <c r="Z109" s="2956">
        <f>'Phụ lục số 4'!Z109</f>
        <v>79139.200000000012</v>
      </c>
      <c r="AA109" s="2956">
        <f>'Phụ lục số 4'!AA109</f>
        <v>0</v>
      </c>
      <c r="AB109" s="2956"/>
      <c r="AC109" s="2956"/>
      <c r="AD109" s="3143"/>
      <c r="AE109" s="3154"/>
    </row>
    <row r="110" spans="1:31" s="1319" customFormat="1" ht="34.799999999999997">
      <c r="A110" s="2930" t="s">
        <v>1504</v>
      </c>
      <c r="B110" s="2788" t="s">
        <v>2617</v>
      </c>
      <c r="C110" s="2956">
        <f t="shared" si="30"/>
        <v>3000</v>
      </c>
      <c r="D110" s="2956">
        <f>SUM(E110:H110)</f>
        <v>0</v>
      </c>
      <c r="E110" s="2956"/>
      <c r="F110" s="2956"/>
      <c r="G110" s="2956"/>
      <c r="H110" s="2956"/>
      <c r="I110" s="2956"/>
      <c r="J110" s="2956"/>
      <c r="K110" s="2956"/>
      <c r="L110" s="2956"/>
      <c r="M110" s="2956"/>
      <c r="N110" s="2956"/>
      <c r="O110" s="2956"/>
      <c r="P110" s="2956"/>
      <c r="Q110" s="2956"/>
      <c r="R110" s="2956"/>
      <c r="S110" s="2956"/>
      <c r="T110" s="2956"/>
      <c r="U110" s="2956"/>
      <c r="V110" s="2956"/>
      <c r="W110" s="2956"/>
      <c r="X110" s="2956"/>
      <c r="Y110" s="2956"/>
      <c r="Z110" s="2956"/>
      <c r="AA110" s="2956">
        <v>3000</v>
      </c>
      <c r="AB110" s="2956"/>
      <c r="AC110" s="2956"/>
      <c r="AD110" s="3143"/>
      <c r="AE110" s="3154"/>
    </row>
    <row r="111" spans="1:31" s="1319" customFormat="1" ht="17.399999999999999">
      <c r="A111" s="2930" t="s">
        <v>217</v>
      </c>
      <c r="B111" s="2788" t="str">
        <f>'Phụ lục số 4'!B111</f>
        <v>CHI ĐẦU TƯ XÂY DỰNG CƠ BẢN</v>
      </c>
      <c r="C111" s="2956">
        <f t="shared" si="30"/>
        <v>562186</v>
      </c>
      <c r="D111" s="2956">
        <f>SUM(E111:I111)</f>
        <v>562186</v>
      </c>
      <c r="E111" s="2956">
        <f>'Phụ lục số 4'!E111</f>
        <v>562186</v>
      </c>
      <c r="F111" s="2956">
        <f>'Phụ lục số 4'!F111</f>
        <v>0</v>
      </c>
      <c r="G111" s="2956">
        <f>'Phụ lục số 4'!G111</f>
        <v>0</v>
      </c>
      <c r="H111" s="2956">
        <f>'Phụ lục số 4'!H111</f>
        <v>0</v>
      </c>
      <c r="I111" s="2956"/>
      <c r="J111" s="2956">
        <f t="shared" si="13"/>
        <v>0</v>
      </c>
      <c r="K111" s="2956">
        <f>'Phụ lục số 4'!K111</f>
        <v>0</v>
      </c>
      <c r="L111" s="2956">
        <f>'Phụ lục số 4'!L111</f>
        <v>0</v>
      </c>
      <c r="M111" s="2956">
        <f>'Phụ lục số 4'!M111</f>
        <v>0</v>
      </c>
      <c r="N111" s="2956">
        <f>'Phụ lục số 4'!N111</f>
        <v>0</v>
      </c>
      <c r="O111" s="2956">
        <f>'Phụ lục số 4'!O111</f>
        <v>0</v>
      </c>
      <c r="P111" s="2956">
        <f>'Phụ lục số 4'!P111</f>
        <v>0</v>
      </c>
      <c r="Q111" s="2956">
        <f>'Phụ lục số 4'!Q111</f>
        <v>0</v>
      </c>
      <c r="R111" s="2956">
        <f>'Phụ lục số 4'!R111</f>
        <v>0</v>
      </c>
      <c r="S111" s="2956">
        <f>'Phụ lục số 4'!S111</f>
        <v>0</v>
      </c>
      <c r="T111" s="2956">
        <f>'Phụ lục số 4'!T111</f>
        <v>0</v>
      </c>
      <c r="U111" s="2956">
        <f>'Phụ lục số 4'!U111</f>
        <v>0</v>
      </c>
      <c r="V111" s="2956">
        <f>'Phụ lục số 4'!V111</f>
        <v>0</v>
      </c>
      <c r="W111" s="2956">
        <f>'Phụ lục số 4'!W111</f>
        <v>0</v>
      </c>
      <c r="X111" s="2956">
        <f>'Phụ lục số 4'!X111</f>
        <v>0</v>
      </c>
      <c r="Y111" s="2956">
        <f>'Phụ lục số 4'!Y111</f>
        <v>0</v>
      </c>
      <c r="Z111" s="2956">
        <f>'Phụ lục số 4'!Z111</f>
        <v>0</v>
      </c>
      <c r="AA111" s="2956">
        <f>'Phụ lục số 4'!AA111</f>
        <v>0</v>
      </c>
      <c r="AB111" s="2956">
        <f t="shared" si="29"/>
        <v>0</v>
      </c>
      <c r="AC111" s="2956">
        <f>'Phụ lục số 4'!AC111</f>
        <v>0</v>
      </c>
      <c r="AD111" s="3143">
        <f>'Phụ lục số 4'!AD111</f>
        <v>0</v>
      </c>
      <c r="AE111" s="3154">
        <f>'Phụ lục số 4'!AE111</f>
        <v>0</v>
      </c>
    </row>
    <row r="112" spans="1:31" s="1319" customFormat="1" ht="159.6" customHeight="1">
      <c r="A112" s="2930" t="s">
        <v>1505</v>
      </c>
      <c r="B112" s="2788" t="str">
        <f>'Phụ lục số 4'!B112</f>
        <v>CHI ĐẦU TƯ TỪ NGUỒN THU TIỀN SỬ DỤNG ĐẤT (CHI BỔ SUNG ĐẢM BẢO VỐN ĐIỀU LỆ QUỸ PHÁT TRIỂN ĐẤT TỪ NGUỒN THU TIỀN SỬ DỤNG ĐẤT CẤP TỈNH; CHI CÔNG TÁC DO ĐẠC…THEO NGHỊ QUYẾT SỐ 41/2023/NQ-HĐND NGÀY 18/7/2023)</v>
      </c>
      <c r="C112" s="2956">
        <f t="shared" si="30"/>
        <v>627000</v>
      </c>
      <c r="D112" s="2956">
        <f t="shared" ref="D112:D117" si="31">SUM(E112:I112)</f>
        <v>627000</v>
      </c>
      <c r="E112" s="2956">
        <f>'Phụ lục số 4'!E112</f>
        <v>0</v>
      </c>
      <c r="F112" s="2956">
        <f>'Phụ lục số 4'!F112</f>
        <v>627000</v>
      </c>
      <c r="G112" s="2956">
        <f>'Phụ lục số 4'!G112</f>
        <v>0</v>
      </c>
      <c r="H112" s="2956">
        <f>'Phụ lục số 4'!H112</f>
        <v>0</v>
      </c>
      <c r="I112" s="2956"/>
      <c r="J112" s="2956">
        <f>SUM(K112:V112)</f>
        <v>0</v>
      </c>
      <c r="K112" s="2956">
        <f>'Phụ lục số 4'!K112</f>
        <v>0</v>
      </c>
      <c r="L112" s="2956">
        <f>'Phụ lục số 4'!L112</f>
        <v>0</v>
      </c>
      <c r="M112" s="2956">
        <f>'Phụ lục số 4'!M112</f>
        <v>0</v>
      </c>
      <c r="N112" s="2956">
        <f>'Phụ lục số 4'!N112</f>
        <v>0</v>
      </c>
      <c r="O112" s="2956">
        <f>'Phụ lục số 4'!O112</f>
        <v>0</v>
      </c>
      <c r="P112" s="2956">
        <f>'Phụ lục số 4'!P112</f>
        <v>0</v>
      </c>
      <c r="Q112" s="2956">
        <f>'Phụ lục số 4'!Q112</f>
        <v>0</v>
      </c>
      <c r="R112" s="2956">
        <f>'Phụ lục số 4'!R112</f>
        <v>0</v>
      </c>
      <c r="S112" s="2956">
        <f>'Phụ lục số 4'!S112</f>
        <v>0</v>
      </c>
      <c r="T112" s="2956">
        <f>'Phụ lục số 4'!T112</f>
        <v>0</v>
      </c>
      <c r="U112" s="2956">
        <f>'Phụ lục số 4'!U112</f>
        <v>0</v>
      </c>
      <c r="V112" s="2956">
        <f>'Phụ lục số 4'!V112</f>
        <v>0</v>
      </c>
      <c r="W112" s="2956">
        <f>'Phụ lục số 4'!W112</f>
        <v>0</v>
      </c>
      <c r="X112" s="2956">
        <f>'Phụ lục số 4'!X112</f>
        <v>0</v>
      </c>
      <c r="Y112" s="2956">
        <f>'Phụ lục số 4'!Y112</f>
        <v>0</v>
      </c>
      <c r="Z112" s="2956">
        <f>'Phụ lục số 4'!Z112</f>
        <v>0</v>
      </c>
      <c r="AA112" s="2956">
        <f>'Phụ lục số 4'!AA112</f>
        <v>0</v>
      </c>
      <c r="AB112" s="2956">
        <f t="shared" si="29"/>
        <v>0</v>
      </c>
      <c r="AC112" s="2956">
        <f>'Phụ lục số 4'!AC112</f>
        <v>0</v>
      </c>
      <c r="AD112" s="3143">
        <f>'Phụ lục số 4'!AD112</f>
        <v>0</v>
      </c>
      <c r="AE112" s="3154">
        <f>'Phụ lục số 4'!AE112</f>
        <v>0</v>
      </c>
    </row>
    <row r="113" spans="1:31" s="1319" customFormat="1" ht="34.799999999999997">
      <c r="A113" s="2930" t="s">
        <v>884</v>
      </c>
      <c r="B113" s="2788" t="str">
        <f>'Phụ lục số 4'!B113</f>
        <v>CHI ĐẦU TƯ TỪ NGUỒN THU XỔ SỐ KIẾN THIẾT</v>
      </c>
      <c r="C113" s="2956">
        <f t="shared" si="30"/>
        <v>1950000</v>
      </c>
      <c r="D113" s="2956">
        <f t="shared" si="31"/>
        <v>1950000</v>
      </c>
      <c r="E113" s="2956">
        <f>'Phụ lục số 4'!E113</f>
        <v>0</v>
      </c>
      <c r="F113" s="2956">
        <f>'Phụ lục số 4'!F113</f>
        <v>0</v>
      </c>
      <c r="G113" s="2956">
        <f>'Phụ lục số 4'!G113</f>
        <v>1950000</v>
      </c>
      <c r="H113" s="2956">
        <f>'Phụ lục số 4'!H113</f>
        <v>0</v>
      </c>
      <c r="I113" s="2956"/>
      <c r="J113" s="2956">
        <f t="shared" si="13"/>
        <v>0</v>
      </c>
      <c r="K113" s="2956">
        <f>'Phụ lục số 4'!K113</f>
        <v>0</v>
      </c>
      <c r="L113" s="2956">
        <f>'Phụ lục số 4'!L113</f>
        <v>0</v>
      </c>
      <c r="M113" s="2956">
        <f>'Phụ lục số 4'!M113</f>
        <v>0</v>
      </c>
      <c r="N113" s="2956">
        <f>'Phụ lục số 4'!N113</f>
        <v>0</v>
      </c>
      <c r="O113" s="2956">
        <f>'Phụ lục số 4'!O113</f>
        <v>0</v>
      </c>
      <c r="P113" s="2956">
        <f>'Phụ lục số 4'!P113</f>
        <v>0</v>
      </c>
      <c r="Q113" s="2956">
        <f>'Phụ lục số 4'!Q113</f>
        <v>0</v>
      </c>
      <c r="R113" s="2956">
        <f>'Phụ lục số 4'!R113</f>
        <v>0</v>
      </c>
      <c r="S113" s="2956">
        <f>'Phụ lục số 4'!S113</f>
        <v>0</v>
      </c>
      <c r="T113" s="2956">
        <f>'Phụ lục số 4'!T113</f>
        <v>0</v>
      </c>
      <c r="U113" s="2956">
        <f>'Phụ lục số 4'!U113</f>
        <v>0</v>
      </c>
      <c r="V113" s="2956">
        <f>'Phụ lục số 4'!V113</f>
        <v>0</v>
      </c>
      <c r="W113" s="2956">
        <f>'Phụ lục số 4'!W113</f>
        <v>0</v>
      </c>
      <c r="X113" s="2956">
        <f>'Phụ lục số 4'!X113</f>
        <v>0</v>
      </c>
      <c r="Y113" s="2956">
        <f>'Phụ lục số 4'!Y113</f>
        <v>0</v>
      </c>
      <c r="Z113" s="2956">
        <f>'Phụ lục số 4'!Z113</f>
        <v>0</v>
      </c>
      <c r="AA113" s="2956">
        <f>'Phụ lục số 4'!AA113</f>
        <v>0</v>
      </c>
      <c r="AB113" s="2956">
        <f t="shared" si="29"/>
        <v>0</v>
      </c>
      <c r="AC113" s="2956">
        <f>'Phụ lục số 4'!AC113</f>
        <v>0</v>
      </c>
      <c r="AD113" s="3143">
        <f>'Phụ lục số 4'!AD113</f>
        <v>0</v>
      </c>
      <c r="AE113" s="3154">
        <f>'Phụ lục số 4'!AE113</f>
        <v>0</v>
      </c>
    </row>
    <row r="114" spans="1:31" s="1319" customFormat="1" ht="69.599999999999994">
      <c r="A114" s="2930" t="s">
        <v>2534</v>
      </c>
      <c r="B114" s="2789" t="str">
        <f>'Phụ lục số 4'!B114</f>
        <v>CHI ĐẦU TƯ TỪ NGUỒN THU CỔ PHẦN HÓA, THOÁI VỐN DOANH NGHIỆP NHÀ NƯỚC ĐỊA PHƯƠNG QUẢN LÝ</v>
      </c>
      <c r="C114" s="2956">
        <f t="shared" si="30"/>
        <v>0</v>
      </c>
      <c r="D114" s="2956">
        <f t="shared" si="31"/>
        <v>0</v>
      </c>
      <c r="E114" s="2956">
        <f>'Phụ lục số 4'!E114</f>
        <v>0</v>
      </c>
      <c r="F114" s="2956">
        <f>'Phụ lục số 4'!F114</f>
        <v>0</v>
      </c>
      <c r="G114" s="2956">
        <f>'Phụ lục số 4'!G114</f>
        <v>0</v>
      </c>
      <c r="H114" s="2956">
        <f>'Phụ lục số 4'!H114</f>
        <v>0</v>
      </c>
      <c r="I114" s="2956">
        <f>'Phụ lục số 4'!I114</f>
        <v>0</v>
      </c>
      <c r="J114" s="2956"/>
      <c r="K114" s="2956"/>
      <c r="L114" s="2956"/>
      <c r="M114" s="2956"/>
      <c r="N114" s="2956"/>
      <c r="O114" s="2956"/>
      <c r="P114" s="2956"/>
      <c r="Q114" s="2956"/>
      <c r="R114" s="2956"/>
      <c r="S114" s="2956"/>
      <c r="T114" s="2956"/>
      <c r="U114" s="2956"/>
      <c r="V114" s="2956"/>
      <c r="W114" s="2956"/>
      <c r="X114" s="2956"/>
      <c r="Y114" s="2956"/>
      <c r="Z114" s="2956"/>
      <c r="AA114" s="2956"/>
      <c r="AB114" s="2956"/>
      <c r="AC114" s="2956">
        <f>'Phụ lục số 4'!AC114</f>
        <v>0</v>
      </c>
      <c r="AD114" s="3143"/>
      <c r="AE114" s="3154"/>
    </row>
    <row r="115" spans="1:31" s="1319" customFormat="1" ht="69.599999999999994">
      <c r="A115" s="2930" t="s">
        <v>9</v>
      </c>
      <c r="B115" s="2789" t="str">
        <f>'Phụ lục số 4'!B115</f>
        <v>CHI ĐẦU TƯ PHÁT TRIỂN KHÁC (ỦY THÁC QUA NH CHÍNH SÁCH XÃ HỘI CHI NHÁNH TỈNH ĐỒNG THÁP)</v>
      </c>
      <c r="C115" s="2956">
        <f t="shared" si="30"/>
        <v>60000</v>
      </c>
      <c r="D115" s="2956">
        <f t="shared" si="31"/>
        <v>60000</v>
      </c>
      <c r="E115" s="2956"/>
      <c r="F115" s="2956"/>
      <c r="G115" s="2956"/>
      <c r="H115" s="2956">
        <f>'Phụ lục số 4'!H115</f>
        <v>0</v>
      </c>
      <c r="I115" s="2956">
        <f>'Phụ lục số 4'!I115</f>
        <v>60000</v>
      </c>
      <c r="J115" s="2956"/>
      <c r="K115" s="2956"/>
      <c r="L115" s="2956"/>
      <c r="M115" s="2956"/>
      <c r="N115" s="2956"/>
      <c r="O115" s="2956"/>
      <c r="P115" s="2956"/>
      <c r="Q115" s="2956"/>
      <c r="R115" s="2956"/>
      <c r="S115" s="2956"/>
      <c r="T115" s="2956"/>
      <c r="U115" s="2956"/>
      <c r="V115" s="2956"/>
      <c r="W115" s="2956"/>
      <c r="X115" s="2956"/>
      <c r="Y115" s="2956"/>
      <c r="Z115" s="2956"/>
      <c r="AA115" s="2956"/>
      <c r="AB115" s="2956"/>
      <c r="AC115" s="2956"/>
      <c r="AD115" s="3143"/>
      <c r="AE115" s="3154"/>
    </row>
    <row r="116" spans="1:31" s="1319" customFormat="1" ht="52.2">
      <c r="A116" s="2930" t="s">
        <v>2610</v>
      </c>
      <c r="B116" s="2788" t="str">
        <f>'Phụ lục số 4'!B116</f>
        <v>CHI ĐẦU TƯ TỪ NGUỒN NSTW BỔ SUNG CÓ MỤC TIÊU (VỐN ĐẦU TƯ PHÁT TRIỂN)</v>
      </c>
      <c r="C116" s="2956">
        <f t="shared" si="30"/>
        <v>1814491</v>
      </c>
      <c r="D116" s="2956">
        <f t="shared" si="31"/>
        <v>0</v>
      </c>
      <c r="E116" s="2956">
        <f>'Phụ lục số 4'!E116</f>
        <v>0</v>
      </c>
      <c r="F116" s="2956">
        <f>'Phụ lục số 4'!F116</f>
        <v>0</v>
      </c>
      <c r="G116" s="2956">
        <f>'Phụ lục số 4'!G116</f>
        <v>0</v>
      </c>
      <c r="H116" s="2956">
        <f>'Phụ lục số 4'!H116</f>
        <v>0</v>
      </c>
      <c r="I116" s="2956"/>
      <c r="J116" s="2956">
        <f t="shared" si="13"/>
        <v>0</v>
      </c>
      <c r="K116" s="2956">
        <f>'Phụ lục số 4'!K116</f>
        <v>0</v>
      </c>
      <c r="L116" s="2956">
        <f>'Phụ lục số 4'!L116</f>
        <v>0</v>
      </c>
      <c r="M116" s="2956">
        <f>'Phụ lục số 4'!M116</f>
        <v>0</v>
      </c>
      <c r="N116" s="2956">
        <f>'Phụ lục số 4'!N116</f>
        <v>0</v>
      </c>
      <c r="O116" s="2956">
        <f>'Phụ lục số 4'!O116</f>
        <v>0</v>
      </c>
      <c r="P116" s="2956">
        <f>'Phụ lục số 4'!P116</f>
        <v>0</v>
      </c>
      <c r="Q116" s="2956">
        <f>'Phụ lục số 4'!Q116</f>
        <v>0</v>
      </c>
      <c r="R116" s="2956">
        <f>'Phụ lục số 4'!R116</f>
        <v>0</v>
      </c>
      <c r="S116" s="2956">
        <f>'Phụ lục số 4'!S116</f>
        <v>0</v>
      </c>
      <c r="T116" s="2956">
        <f>'Phụ lục số 4'!T116</f>
        <v>0</v>
      </c>
      <c r="U116" s="2956">
        <f>'Phụ lục số 4'!U116</f>
        <v>0</v>
      </c>
      <c r="V116" s="2956">
        <f>'Phụ lục số 4'!V116</f>
        <v>0</v>
      </c>
      <c r="W116" s="2956">
        <f>'Phụ lục số 4'!W116</f>
        <v>0</v>
      </c>
      <c r="X116" s="2956">
        <f>'Phụ lục số 4'!X116</f>
        <v>0</v>
      </c>
      <c r="Y116" s="2956">
        <f>'Phụ lục số 4'!Y116</f>
        <v>0</v>
      </c>
      <c r="Z116" s="2956">
        <f>'Phụ lục số 4'!Z116</f>
        <v>0</v>
      </c>
      <c r="AA116" s="2956">
        <f>'Phụ lục số 4'!AA116</f>
        <v>0</v>
      </c>
      <c r="AB116" s="2956">
        <f t="shared" si="29"/>
        <v>1814491</v>
      </c>
      <c r="AC116" s="2956">
        <f>'Phụ lục số 4'!AC116</f>
        <v>1814491</v>
      </c>
      <c r="AD116" s="3143">
        <f>'Phụ lục số 4'!AD116</f>
        <v>0</v>
      </c>
      <c r="AE116" s="3154">
        <f>'Phụ lục số 4'!AE116</f>
        <v>0</v>
      </c>
    </row>
    <row r="117" spans="1:31" s="1319" customFormat="1" ht="34.799999999999997">
      <c r="A117" s="2930" t="s">
        <v>2624</v>
      </c>
      <c r="B117" s="2788" t="str">
        <f>'Phụ lục số 4'!B117</f>
        <v>CHI ĐẦU TƯ TỪ NGUỒN VỐN CHÍNH PHỦ VAY VỀ CHO VAY LẠI</v>
      </c>
      <c r="C117" s="2956">
        <f t="shared" si="30"/>
        <v>0</v>
      </c>
      <c r="D117" s="2956">
        <f t="shared" si="31"/>
        <v>0</v>
      </c>
      <c r="E117" s="2956">
        <f>'Phụ lục số 4'!E117</f>
        <v>0</v>
      </c>
      <c r="F117" s="2956">
        <f>'Phụ lục số 4'!F117</f>
        <v>0</v>
      </c>
      <c r="G117" s="2956">
        <f>'Phụ lục số 4'!G117</f>
        <v>0</v>
      </c>
      <c r="H117" s="2956">
        <f>'Phụ lục số 4'!H117</f>
        <v>0</v>
      </c>
      <c r="I117" s="2956"/>
      <c r="J117" s="2956">
        <f t="shared" si="13"/>
        <v>0</v>
      </c>
      <c r="K117" s="2956">
        <f>'Phụ lục số 4'!K117</f>
        <v>0</v>
      </c>
      <c r="L117" s="2956">
        <f>'Phụ lục số 4'!L117</f>
        <v>0</v>
      </c>
      <c r="M117" s="2956">
        <f>'Phụ lục số 4'!M117</f>
        <v>0</v>
      </c>
      <c r="N117" s="2956">
        <f>'Phụ lục số 4'!N117</f>
        <v>0</v>
      </c>
      <c r="O117" s="2956">
        <f>'Phụ lục số 4'!O117</f>
        <v>0</v>
      </c>
      <c r="P117" s="2956">
        <f>'Phụ lục số 4'!P117</f>
        <v>0</v>
      </c>
      <c r="Q117" s="2956">
        <f>'Phụ lục số 4'!Q117</f>
        <v>0</v>
      </c>
      <c r="R117" s="2956">
        <f>'Phụ lục số 4'!R117</f>
        <v>0</v>
      </c>
      <c r="S117" s="2956">
        <f>'Phụ lục số 4'!S117</f>
        <v>0</v>
      </c>
      <c r="T117" s="2956">
        <f>'Phụ lục số 4'!T117</f>
        <v>0</v>
      </c>
      <c r="U117" s="2956">
        <f>'Phụ lục số 4'!U117</f>
        <v>0</v>
      </c>
      <c r="V117" s="2956">
        <f>'Phụ lục số 4'!V117</f>
        <v>0</v>
      </c>
      <c r="W117" s="2956">
        <f>'Phụ lục số 4'!W117</f>
        <v>0</v>
      </c>
      <c r="X117" s="2956">
        <f>'Phụ lục số 4'!X117</f>
        <v>0</v>
      </c>
      <c r="Y117" s="2956">
        <f>'Phụ lục số 4'!Y117</f>
        <v>0</v>
      </c>
      <c r="Z117" s="2956">
        <f>'Phụ lục số 4'!Z117</f>
        <v>0</v>
      </c>
      <c r="AA117" s="2956">
        <f>'Phụ lục số 4'!AA117</f>
        <v>0</v>
      </c>
      <c r="AB117" s="2956">
        <f t="shared" si="29"/>
        <v>0</v>
      </c>
      <c r="AC117" s="2956">
        <f>'Phụ lục số 4'!AC117</f>
        <v>0</v>
      </c>
      <c r="AD117" s="3143">
        <f>'Phụ lục số 4'!AD117</f>
        <v>0</v>
      </c>
      <c r="AE117" s="3154">
        <f>'Phụ lục số 4'!AE117</f>
        <v>0</v>
      </c>
    </row>
    <row r="118" spans="1:31" s="1319" customFormat="1" ht="35.4" thickBot="1">
      <c r="A118" s="2936" t="s">
        <v>2625</v>
      </c>
      <c r="B118" s="3145" t="str">
        <f>'Phụ lục số 4'!B118</f>
        <v>CHI BỔ SUNG CHO NGÂN SÁCH HUYỆN, THÀNH PHỐ</v>
      </c>
      <c r="C118" s="3144">
        <f>D118+J118+AB118+W118+X118+AA118+Y118+Z118+AE118</f>
        <v>5083323.3480000002</v>
      </c>
      <c r="D118" s="3144">
        <f>SUM(E118:H118)</f>
        <v>0</v>
      </c>
      <c r="E118" s="3144">
        <f>'Phụ lục số 4'!E118</f>
        <v>0</v>
      </c>
      <c r="F118" s="3144">
        <f>'Phụ lục số 4'!F118</f>
        <v>0</v>
      </c>
      <c r="G118" s="3144">
        <f>'Phụ lục số 4'!G118</f>
        <v>0</v>
      </c>
      <c r="H118" s="3144">
        <f>'Phụ lục số 4'!H118</f>
        <v>0</v>
      </c>
      <c r="I118" s="3144"/>
      <c r="J118" s="3144">
        <f t="shared" si="13"/>
        <v>0</v>
      </c>
      <c r="K118" s="3144">
        <f>'Phụ lục số 4'!K118</f>
        <v>0</v>
      </c>
      <c r="L118" s="3144">
        <f>'Phụ lục số 4'!L118</f>
        <v>0</v>
      </c>
      <c r="M118" s="3144">
        <f>'Phụ lục số 4'!M118</f>
        <v>0</v>
      </c>
      <c r="N118" s="3144">
        <f>'Phụ lục số 4'!N118</f>
        <v>0</v>
      </c>
      <c r="O118" s="3144">
        <f>'Phụ lục số 4'!O118</f>
        <v>0</v>
      </c>
      <c r="P118" s="3144">
        <f>'Phụ lục số 4'!P118</f>
        <v>0</v>
      </c>
      <c r="Q118" s="3144">
        <f>'Phụ lục số 4'!Q118</f>
        <v>0</v>
      </c>
      <c r="R118" s="3144">
        <f>'Phụ lục số 4'!R118</f>
        <v>0</v>
      </c>
      <c r="S118" s="3144">
        <f>'Phụ lục số 4'!S118</f>
        <v>0</v>
      </c>
      <c r="T118" s="3144">
        <f>'Phụ lục số 4'!T118</f>
        <v>0</v>
      </c>
      <c r="U118" s="3144">
        <f>'Phụ lục số 4'!U118</f>
        <v>0</v>
      </c>
      <c r="V118" s="3144">
        <f>'Phụ lục số 4'!V118</f>
        <v>0</v>
      </c>
      <c r="W118" s="3144">
        <f>'Phụ lục số 4'!W118</f>
        <v>0</v>
      </c>
      <c r="X118" s="3144">
        <f>'Phụ lục số 4'!X118</f>
        <v>0</v>
      </c>
      <c r="Y118" s="3144">
        <f>'Phụ lục số 4'!Y118</f>
        <v>0</v>
      </c>
      <c r="Z118" s="3144">
        <f>'Phụ lục số 4'!Z118</f>
        <v>0</v>
      </c>
      <c r="AA118" s="3144">
        <f>'Phụ lục số 4'!AA118</f>
        <v>0</v>
      </c>
      <c r="AB118" s="3144">
        <f t="shared" si="29"/>
        <v>0</v>
      </c>
      <c r="AC118" s="3144">
        <f>'Phụ lục số 4'!AC118</f>
        <v>0</v>
      </c>
      <c r="AD118" s="3146">
        <f>'Phụ lục số 4'!AD118</f>
        <v>0</v>
      </c>
      <c r="AE118" s="3155">
        <f>'Phụ lục số 4'!AE118</f>
        <v>5083323.3480000002</v>
      </c>
    </row>
    <row r="119" spans="1:31" ht="18.600000000000001" thickTop="1"/>
  </sheetData>
  <mergeCells count="20">
    <mergeCell ref="AA6:AA8"/>
    <mergeCell ref="AB6:AB8"/>
    <mergeCell ref="AC6:AD7"/>
    <mergeCell ref="D7:D8"/>
    <mergeCell ref="E7:I7"/>
    <mergeCell ref="J7:J8"/>
    <mergeCell ref="K7:V7"/>
    <mergeCell ref="W6:W8"/>
    <mergeCell ref="A1:AE1"/>
    <mergeCell ref="A2:AE2"/>
    <mergeCell ref="AB4:AE4"/>
    <mergeCell ref="A5:A8"/>
    <mergeCell ref="B5:B8"/>
    <mergeCell ref="C5:AD5"/>
    <mergeCell ref="AE5:AE8"/>
    <mergeCell ref="C6:C8"/>
    <mergeCell ref="D6:I6"/>
    <mergeCell ref="J6:V6"/>
    <mergeCell ref="X6:X8"/>
    <mergeCell ref="Z6:Z8"/>
  </mergeCells>
  <hyperlinks>
    <hyperlink ref="A5:A8" location="'List danh mục'!A1" display="Số TT"/>
  </hyperlinks>
  <printOptions horizontalCentered="1"/>
  <pageMargins left="0" right="0" top="0.39370078740157483" bottom="0" header="0" footer="0"/>
  <pageSetup paperSize="9" scale="50" orientation="landscape" r:id="rId1"/>
  <headerFooter>
    <oddHeader>&amp;R&amp;A</oddHeader>
    <oddFooter>&amp;C&amp;P/&amp;N</oddFoot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37"/>
  <sheetViews>
    <sheetView topLeftCell="A20" workbookViewId="0">
      <selection activeCell="G35" sqref="G35"/>
    </sheetView>
  </sheetViews>
  <sheetFormatPr defaultColWidth="9" defaultRowHeight="18"/>
  <cols>
    <col min="1" max="1" width="5.69921875" style="37" customWidth="1"/>
    <col min="2" max="2" width="80.69921875" style="37" customWidth="1"/>
    <col min="3" max="5" width="12.69921875" style="37" customWidth="1"/>
    <col min="6" max="16384" width="9" style="37"/>
  </cols>
  <sheetData>
    <row r="1" spans="1:5">
      <c r="A1" s="4475" t="s">
        <v>2386</v>
      </c>
      <c r="B1" s="4514"/>
      <c r="C1" s="4514"/>
      <c r="D1" s="4514"/>
      <c r="E1" s="4514"/>
    </row>
    <row r="2" spans="1:5">
      <c r="A2" s="4515" t="str">
        <f>'Phụ lục 5-CKNS'!A2:AE2</f>
        <v>(Kèm theo Quyết định số       /QĐ-UBND-HC ngày     /12/2023 của Ủy ban nhân dân tỉnh Đồng Tháp)</v>
      </c>
      <c r="B2" s="4514"/>
      <c r="C2" s="4514"/>
      <c r="D2" s="4514"/>
      <c r="E2" s="4514"/>
    </row>
    <row r="3" spans="1:5">
      <c r="A3" s="70"/>
      <c r="B3" s="2207"/>
      <c r="C3" s="2207"/>
      <c r="D3" s="2207"/>
      <c r="E3" s="2207"/>
    </row>
    <row r="4" spans="1:5" ht="18.600000000000001" thickBot="1">
      <c r="B4" s="4516" t="s">
        <v>64</v>
      </c>
      <c r="C4" s="4516"/>
      <c r="D4" s="4516"/>
      <c r="E4" s="4516"/>
    </row>
    <row r="5" spans="1:5" s="70" customFormat="1" thickTop="1">
      <c r="A5" s="4731" t="s">
        <v>244</v>
      </c>
      <c r="B5" s="4519" t="s">
        <v>326</v>
      </c>
      <c r="C5" s="4519" t="s">
        <v>1700</v>
      </c>
      <c r="D5" s="4519" t="s">
        <v>327</v>
      </c>
      <c r="E5" s="4520"/>
    </row>
    <row r="6" spans="1:5" s="70" customFormat="1" ht="52.2">
      <c r="A6" s="4732"/>
      <c r="B6" s="4318"/>
      <c r="C6" s="4318"/>
      <c r="D6" s="2304" t="s">
        <v>328</v>
      </c>
      <c r="E6" s="2957" t="s">
        <v>329</v>
      </c>
    </row>
    <row r="7" spans="1:5" ht="36" customHeight="1">
      <c r="A7" s="2958"/>
      <c r="B7" s="2959" t="str">
        <f>'Phụ lục số 8'!B7</f>
        <v>BỔ SUNG CÓ MỤC TIÊU TỪ NGÂN SÁCH TRUNG ƯƠNG ĐỂ THỰC HIỆN CÁC MỤC TIÊU, NHIỆM VỤ QUAN TRỌNG (I+II)</v>
      </c>
      <c r="C7" s="3300">
        <f>C8</f>
        <v>1988976</v>
      </c>
      <c r="D7" s="3300">
        <f>D8</f>
        <v>1814491</v>
      </c>
      <c r="E7" s="3299">
        <f>E8</f>
        <v>174485</v>
      </c>
    </row>
    <row r="8" spans="1:5" ht="36" customHeight="1">
      <c r="A8" s="2961" t="str">
        <f>'Phụ lục số 8'!A8</f>
        <v>I</v>
      </c>
      <c r="B8" s="2306" t="str">
        <f>'Phụ lục số 8'!B8</f>
        <v>Đầu tư phát triển từ nguồn ngân sách trung ương bổ sung có mục tiêu</v>
      </c>
      <c r="C8" s="2305">
        <f>SUM(C9,C12)</f>
        <v>1988976</v>
      </c>
      <c r="D8" s="2305">
        <f>SUM(D9,D12)</f>
        <v>1814491</v>
      </c>
      <c r="E8" s="3299">
        <f>SUM(E9,E12)</f>
        <v>174485</v>
      </c>
    </row>
    <row r="9" spans="1:5" s="2" customFormat="1" ht="36" customHeight="1">
      <c r="A9" s="2961">
        <f>'Phụ lục số 8'!A9</f>
        <v>1</v>
      </c>
      <c r="B9" s="2307" t="str">
        <f>'Phụ lục số 8'!B9</f>
        <v>Bổ sung vốn đầu tư theo ngành, lĩnh vực (vốn ngoài nước)</v>
      </c>
      <c r="C9" s="2308">
        <f>SUM(D9:E9)</f>
        <v>85000</v>
      </c>
      <c r="D9" s="2308">
        <f>'Phụ lục số 8'!D9</f>
        <v>85000</v>
      </c>
      <c r="E9" s="2962">
        <f>'Phụ lục số 8'!E9</f>
        <v>0</v>
      </c>
    </row>
    <row r="10" spans="1:5" s="2" customFormat="1" ht="36" hidden="1" customHeight="1">
      <c r="A10" s="2961"/>
      <c r="B10" s="2307" t="str">
        <f>'Phụ lục số 8'!B10</f>
        <v>Trong đó:</v>
      </c>
      <c r="C10" s="2308"/>
      <c r="D10" s="2308"/>
      <c r="E10" s="2963"/>
    </row>
    <row r="11" spans="1:5" s="47" customFormat="1" ht="36" hidden="1" customHeight="1">
      <c r="A11" s="2964"/>
      <c r="B11" s="2309" t="str">
        <f>'Phụ lục số 8'!B11</f>
        <v>Chương trình mục tiêu ứng phó biến đổi khí hậu và tăng trưởng xanh (giải ngân theo cơ chế tài chính trong nước)</v>
      </c>
      <c r="C11" s="2310">
        <f>SUM(D11:E11)</f>
        <v>0</v>
      </c>
      <c r="D11" s="2310"/>
      <c r="E11" s="2962"/>
    </row>
    <row r="12" spans="1:5" s="2" customFormat="1" ht="36" customHeight="1">
      <c r="A12" s="2965">
        <f>'Phụ lục số 8'!A12</f>
        <v>2</v>
      </c>
      <c r="B12" s="2307" t="str">
        <f>'Phụ lục số 8'!B12</f>
        <v>Bổ sung vốn đầu tư theo ngành, lĩnh vực (vốn trong nước)</v>
      </c>
      <c r="C12" s="2308">
        <f>C13+C19+C29</f>
        <v>1903976</v>
      </c>
      <c r="D12" s="2308">
        <f>D13+D19+D29</f>
        <v>1729491</v>
      </c>
      <c r="E12" s="2963">
        <f t="shared" ref="E12" si="0">E13+E19+E29</f>
        <v>174485</v>
      </c>
    </row>
    <row r="13" spans="1:5" s="48" customFormat="1" ht="36" customHeight="1">
      <c r="A13" s="2966" t="str">
        <f>'Phụ lục số 8'!A13</f>
        <v>2.1</v>
      </c>
      <c r="B13" s="2306" t="str">
        <f>'Phụ lục số 8'!B13</f>
        <v>Bổ sung vốn đầu tư để thực hiện các chương trình, mục tiêu nhiệm vụ</v>
      </c>
      <c r="C13" s="2314">
        <f>SUM(D13:E13)</f>
        <v>1596570</v>
      </c>
      <c r="D13" s="2314">
        <f>'Phụ lục số 8'!D13</f>
        <v>1596570</v>
      </c>
      <c r="E13" s="2963">
        <f>'Phụ lục số 8'!E13</f>
        <v>0</v>
      </c>
    </row>
    <row r="14" spans="1:5" ht="36" customHeight="1">
      <c r="A14" s="2966"/>
      <c r="B14" s="2312" t="str">
        <f>'Phụ lục số 8'!B14</f>
        <v>Trong đó:</v>
      </c>
      <c r="C14" s="2313"/>
      <c r="D14" s="2313"/>
      <c r="E14" s="2968"/>
    </row>
    <row r="15" spans="1:5" s="47" customFormat="1" ht="36" customHeight="1">
      <c r="A15" s="3314" t="str">
        <f>'Phụ lục số 8'!A15</f>
        <v>2.1.1</v>
      </c>
      <c r="B15" s="2312" t="str">
        <f>'Phụ lục số 8'!B15</f>
        <v>Đầu tư các dự án theo ngành, lĩnh vực và Chương trình phục hồi phát triển kinh tế - xã hội</v>
      </c>
      <c r="C15" s="2313">
        <f>SUM(D15:E15)</f>
        <v>558070</v>
      </c>
      <c r="D15" s="2313">
        <f>'Phụ lục số 8'!D15</f>
        <v>558070</v>
      </c>
      <c r="E15" s="2962">
        <f>'Phụ lục số 8'!E15</f>
        <v>0</v>
      </c>
    </row>
    <row r="16" spans="1:5" s="47" customFormat="1" ht="36" hidden="1" customHeight="1">
      <c r="A16" s="3553"/>
      <c r="B16" s="2309" t="str">
        <f>'Phụ lục số 8'!B16</f>
        <v>Thu hồi các khoản vốn ứng trước của các chương trình mục tiêu (số vốn thiểu địa phương phải bố trí)</v>
      </c>
      <c r="C16" s="2310">
        <f>SUM(D16:E16)</f>
        <v>0</v>
      </c>
      <c r="D16" s="2310">
        <f>'Phụ lục số 8'!D16</f>
        <v>0</v>
      </c>
      <c r="E16" s="2962">
        <f>'Phụ lục số 8'!E16</f>
        <v>0</v>
      </c>
    </row>
    <row r="17" spans="1:5" ht="36" customHeight="1">
      <c r="A17" s="3314" t="str">
        <f>'Phụ lục số 8'!A17</f>
        <v>2.1.2</v>
      </c>
      <c r="B17" s="2312" t="str">
        <f>'Phụ lục số 8'!B17</f>
        <v>Dự án quan trọng quốc gia, đường bộ cao tốc</v>
      </c>
      <c r="C17" s="2313">
        <f>SUM(D17:E17)</f>
        <v>882000</v>
      </c>
      <c r="D17" s="2313">
        <f>'Phụ lục số 8'!D17</f>
        <v>882000</v>
      </c>
      <c r="E17" s="2968">
        <f>'Phụ lục số 8'!E17</f>
        <v>0</v>
      </c>
    </row>
    <row r="18" spans="1:5" ht="36" customHeight="1">
      <c r="A18" s="3314" t="str">
        <f>'Phụ lục số 8'!A18</f>
        <v>2.1.3</v>
      </c>
      <c r="B18" s="2312" t="str">
        <f>'Phụ lục số 8'!B18</f>
        <v>Dự án trọng điểm, liên vùng, đường ven biển</v>
      </c>
      <c r="C18" s="2313">
        <f>SUM(D18:E18)</f>
        <v>156500</v>
      </c>
      <c r="D18" s="2313">
        <f>'Phụ lục số 8'!D18</f>
        <v>156500</v>
      </c>
      <c r="E18" s="2968"/>
    </row>
    <row r="19" spans="1:5" s="48" customFormat="1" ht="36" customHeight="1">
      <c r="A19" s="2966" t="str">
        <f>'Phụ lục số 8'!A19</f>
        <v>2.2</v>
      </c>
      <c r="B19" s="2306" t="str">
        <f>'Phụ lục số 8'!B19</f>
        <v>Vốn thực hiện 03 chương trình mục tiêu quốc gia</v>
      </c>
      <c r="C19" s="2314">
        <f>SUM(C20,C26,C27)</f>
        <v>234937</v>
      </c>
      <c r="D19" s="2314">
        <f>SUM(D20,D26,D27)</f>
        <v>132921</v>
      </c>
      <c r="E19" s="2967">
        <f t="shared" ref="E19" si="1">SUM(E20,E26,E27)</f>
        <v>102016</v>
      </c>
    </row>
    <row r="20" spans="1:5" ht="36" customHeight="1">
      <c r="A20" s="3314" t="str">
        <f>'Phụ lục số 8'!A20</f>
        <v>2.2.1</v>
      </c>
      <c r="B20" s="2312" t="str">
        <f>'Phụ lục số 8'!B20</f>
        <v>Chương trình mục tiêu quốc gia giảm nghèo bền vững</v>
      </c>
      <c r="C20" s="2313">
        <f>SUM(D20:E20)</f>
        <v>70871</v>
      </c>
      <c r="D20" s="2313">
        <f>SUM(D21:D25)+'Phụ lục số 8'!D20</f>
        <v>5216</v>
      </c>
      <c r="E20" s="2968">
        <f>SUM(E21:E25)</f>
        <v>65655</v>
      </c>
    </row>
    <row r="21" spans="1:5" ht="36" hidden="1" customHeight="1">
      <c r="A21" s="2969" t="str">
        <f>'Phụ lục số 8'!A21</f>
        <v>a</v>
      </c>
      <c r="B21" s="2316" t="str">
        <f>'Phụ lục số 8'!B21</f>
        <v>Dự án 2: Đa dạng hóa sinh kế, phát triển mô hình giảm nghèo (các hoạt động kinh tế); 25.125 triệu đồng</v>
      </c>
      <c r="C21" s="2317">
        <f>SUM(D21:E21)</f>
        <v>25125</v>
      </c>
      <c r="D21" s="2317">
        <f>'Phụ lục số 8'!D21</f>
        <v>0</v>
      </c>
      <c r="E21" s="2970">
        <f>'Phụ lục số 8'!E21</f>
        <v>25125</v>
      </c>
    </row>
    <row r="22" spans="1:5" ht="36" hidden="1" customHeight="1">
      <c r="A22" s="2969" t="str">
        <f>'Phụ lục số 8'!A22</f>
        <v>b</v>
      </c>
      <c r="B22" s="2316" t="str">
        <f>'Phụ lục số 8'!B22</f>
        <v>Dự án 3: Hỗ trợ phát triển sản xuất, cải thiện dinh dưỡng (sự nghiệp y tế, dân số và gia đình: 4.025 triệu đồng; các hoạt động kinh tế: 10.387 triệu đồng)</v>
      </c>
      <c r="C22" s="2317">
        <f t="shared" ref="C22:C25" si="2">SUM(D22:E22)</f>
        <v>14412</v>
      </c>
      <c r="D22" s="2317">
        <f>'Phụ lục số 8'!D22</f>
        <v>0</v>
      </c>
      <c r="E22" s="2970">
        <f>'Phụ lục số 8'!E22</f>
        <v>14412</v>
      </c>
    </row>
    <row r="23" spans="1:5" ht="36" hidden="1" customHeight="1">
      <c r="A23" s="2969" t="str">
        <f>'Phụ lục số 8'!A23</f>
        <v>c</v>
      </c>
      <c r="B23" s="2316" t="str">
        <f>'Phụ lục số 8'!B23</f>
        <v xml:space="preserve">Dự án 4: Phát triển giáo dục nghề nghiệp, việc làm bền vững (sự nghiệp giáo dục-đào tạo và dạy nghề 2.237 triệu đồng; các hoạt động kinh tế 9.941 triệu đồng) </v>
      </c>
      <c r="C23" s="2317">
        <f t="shared" si="2"/>
        <v>12178</v>
      </c>
      <c r="D23" s="2317">
        <f>'Phụ lục số 8'!D23</f>
        <v>0</v>
      </c>
      <c r="E23" s="2970">
        <f>'Phụ lục số 8'!E23</f>
        <v>12178</v>
      </c>
    </row>
    <row r="24" spans="1:5" ht="36" hidden="1" customHeight="1">
      <c r="A24" s="2969" t="str">
        <f>'Phụ lục số 8'!A24</f>
        <v>d</v>
      </c>
      <c r="B24" s="2316" t="str">
        <f>'Phụ lục số 8'!B24</f>
        <v>Dự án 6: Truyền thông và giảm nghèo về thông tin (sự nghiệp văn hóa thông tin); 6.372 triệu đồng</v>
      </c>
      <c r="C24" s="2317">
        <f t="shared" si="2"/>
        <v>6372</v>
      </c>
      <c r="D24" s="2317">
        <f>'Phụ lục số 8'!D24</f>
        <v>0</v>
      </c>
      <c r="E24" s="2970">
        <f>'Phụ lục số 8'!E24</f>
        <v>6372</v>
      </c>
    </row>
    <row r="25" spans="1:5" ht="36" hidden="1" customHeight="1">
      <c r="A25" s="2969" t="str">
        <f>'Phụ lục số 8'!A25</f>
        <v>đ</v>
      </c>
      <c r="B25" s="2316" t="str">
        <f>'Phụ lục số 8'!B25</f>
        <v>Dự án 7: Nâng cao năng lực và giám sát, đánh giá chương trình (sự nghiệp giáo dục- đào tạo và dạy nghề); 7.568 triệu đồng</v>
      </c>
      <c r="C25" s="2317">
        <f t="shared" si="2"/>
        <v>7568</v>
      </c>
      <c r="D25" s="2313">
        <f>'Phụ lục số 8'!D25</f>
        <v>0</v>
      </c>
      <c r="E25" s="2968">
        <f>'Phụ lục số 8'!E25</f>
        <v>7568</v>
      </c>
    </row>
    <row r="26" spans="1:5" ht="36" customHeight="1">
      <c r="A26" s="2969" t="str">
        <f>'Phụ lục số 8'!A26</f>
        <v>2.2.2</v>
      </c>
      <c r="B26" s="2316" t="str">
        <f>'Phụ lục số 8'!B26</f>
        <v>Chương trình mục tiêu quốc gia xây dựng nông thôn mới</v>
      </c>
      <c r="C26" s="2317">
        <f>SUM(D26:E26)</f>
        <v>164066</v>
      </c>
      <c r="D26" s="2313">
        <f>'Phụ lục số 8'!D26</f>
        <v>127705</v>
      </c>
      <c r="E26" s="2968">
        <f>'Phụ lục số 8'!E26</f>
        <v>36361</v>
      </c>
    </row>
    <row r="27" spans="1:5" ht="36" customHeight="1">
      <c r="A27" s="2969" t="str">
        <f>'Phụ lục số 8'!A27</f>
        <v>2.2.3</v>
      </c>
      <c r="B27" s="2316" t="str">
        <f>'Phụ lục số 8'!B27</f>
        <v>Chương trình mục tiêu quốc gia phát triển kinh tế xã hội vùng đồng bào dân tộc thiểu số và miền núi</v>
      </c>
      <c r="C27" s="2317">
        <f>SUM(D27:E27)</f>
        <v>0</v>
      </c>
      <c r="D27" s="2313">
        <v>0</v>
      </c>
      <c r="E27" s="2968">
        <f>'Phụ lục số 8'!E27</f>
        <v>0</v>
      </c>
    </row>
    <row r="28" spans="1:5" ht="36" hidden="1" customHeight="1">
      <c r="A28" s="2969"/>
      <c r="B28" s="2316"/>
      <c r="C28" s="2317"/>
      <c r="D28" s="2317"/>
      <c r="E28" s="2970"/>
    </row>
    <row r="29" spans="1:5" s="1239" customFormat="1" ht="36" customHeight="1">
      <c r="A29" s="2961" t="s">
        <v>20</v>
      </c>
      <c r="B29" s="2306" t="str">
        <f>'Phụ lục số 8'!B29</f>
        <v>Ngân sách trung ương bổ sung có mục tiêu (kinh phí sự nghiệp)</v>
      </c>
      <c r="C29" s="2305">
        <f>SUM(C30:C36)</f>
        <v>72469</v>
      </c>
      <c r="D29" s="2305">
        <f>SUM(D30:D36)</f>
        <v>0</v>
      </c>
      <c r="E29" s="2960">
        <f>SUM(E30:E36)</f>
        <v>72469</v>
      </c>
    </row>
    <row r="30" spans="1:5" s="1239" customFormat="1" ht="36" customHeight="1">
      <c r="A30" s="2972">
        <f>'Phụ lục số 8'!A30</f>
        <v>1</v>
      </c>
      <c r="B30" s="2312" t="str">
        <f>'Phụ lục số 8'!B30</f>
        <v>Kinh phí biên chế giáo viên tăng thêm (Sự nghiệp giáo dục - đào tạo)</v>
      </c>
      <c r="C30" s="2313">
        <f t="shared" ref="C30:C36" si="3">SUM(D30:E30)</f>
        <v>11626</v>
      </c>
      <c r="D30" s="2320"/>
      <c r="E30" s="2973">
        <f>'Phụ lục số 8'!E30</f>
        <v>11626</v>
      </c>
    </row>
    <row r="31" spans="1:5" s="1239" customFormat="1" ht="36" hidden="1" customHeight="1">
      <c r="A31" s="2972">
        <f>'Phụ lục số 8'!A31</f>
        <v>0</v>
      </c>
      <c r="B31" s="2312">
        <f>'Phụ lục số 8'!B31</f>
        <v>0</v>
      </c>
      <c r="C31" s="2313">
        <f t="shared" si="3"/>
        <v>0</v>
      </c>
      <c r="D31" s="2320"/>
      <c r="E31" s="2973">
        <f>'Phụ lục số 8'!E31</f>
        <v>0</v>
      </c>
    </row>
    <row r="32" spans="1:5" s="1239" customFormat="1" ht="36" hidden="1" customHeight="1">
      <c r="A32" s="2972">
        <f>'Phụ lục số 8'!A32</f>
        <v>0</v>
      </c>
      <c r="B32" s="2312">
        <f>'Phụ lục số 8'!B32</f>
        <v>0</v>
      </c>
      <c r="C32" s="2313">
        <f t="shared" si="3"/>
        <v>0</v>
      </c>
      <c r="D32" s="2320"/>
      <c r="E32" s="2973">
        <f>'Phụ lục số 8'!E32</f>
        <v>0</v>
      </c>
    </row>
    <row r="33" spans="1:5" s="1239" customFormat="1" ht="36" customHeight="1">
      <c r="A33" s="2972">
        <f>'Phụ lục số 8'!A33</f>
        <v>2</v>
      </c>
      <c r="B33" s="2312" t="str">
        <f>'Phụ lục số 8'!B33</f>
        <v>Hỗ trợ doanh nghiệp nhỏ và vừa (Các hoạt động kinh tế)</v>
      </c>
      <c r="C33" s="2313">
        <f t="shared" si="3"/>
        <v>2000</v>
      </c>
      <c r="D33" s="2313"/>
      <c r="E33" s="2973">
        <f>'Phụ lục số 8'!E33</f>
        <v>2000</v>
      </c>
    </row>
    <row r="34" spans="1:5" s="1239" customFormat="1" ht="36" customHeight="1">
      <c r="A34" s="2972">
        <f>'Phụ lục số 8'!A34</f>
        <v>3</v>
      </c>
      <c r="B34" s="2312" t="str">
        <f>'Phụ lục số 8'!B34</f>
        <v>Kinh phí thực hiện Chương trình Phát triển lâm nghiệp bền vững (Các hoạt động kinh tế)</v>
      </c>
      <c r="C34" s="2313">
        <f t="shared" si="3"/>
        <v>479</v>
      </c>
      <c r="D34" s="2313"/>
      <c r="E34" s="2973">
        <f>'Phụ lục số 8'!E34</f>
        <v>479</v>
      </c>
    </row>
    <row r="35" spans="1:5" s="1239" customFormat="1" ht="36" customHeight="1">
      <c r="A35" s="2972">
        <f>'Phụ lục số 8'!A35</f>
        <v>4</v>
      </c>
      <c r="B35" s="2312" t="str">
        <f>'Phụ lục số 8'!B35</f>
        <v>Bổ sung kinh phí thực hiện nhiệm vụ đảm bảo trật tự an toàn giao thông (Các hoạt động kinh tế)</v>
      </c>
      <c r="C35" s="2313">
        <f t="shared" si="3"/>
        <v>7106</v>
      </c>
      <c r="D35" s="2313"/>
      <c r="E35" s="2973">
        <f>'Phụ lục số 8'!E35</f>
        <v>7106</v>
      </c>
    </row>
    <row r="36" spans="1:5" s="1239" customFormat="1" ht="36" customHeight="1" thickBot="1">
      <c r="A36" s="2974">
        <f>'Phụ lục số 8'!A36</f>
        <v>5</v>
      </c>
      <c r="B36" s="2975" t="str">
        <f>'Phụ lục số 8'!B36</f>
        <v>Phí sử dụng đường bộ (Các hoạt động kinh tế)</v>
      </c>
      <c r="C36" s="2976">
        <f t="shared" si="3"/>
        <v>51258</v>
      </c>
      <c r="D36" s="2976"/>
      <c r="E36" s="2977">
        <f>'Phụ lục số 8'!E36</f>
        <v>51258</v>
      </c>
    </row>
    <row r="37" spans="1:5" ht="18.600000000000001" thickTop="1"/>
  </sheetData>
  <mergeCells count="7">
    <mergeCell ref="A1:E1"/>
    <mergeCell ref="A2:E2"/>
    <mergeCell ref="B4:E4"/>
    <mergeCell ref="A5:A6"/>
    <mergeCell ref="B5:B6"/>
    <mergeCell ref="C5:C6"/>
    <mergeCell ref="D5:E5"/>
  </mergeCells>
  <hyperlinks>
    <hyperlink ref="A5:A6" location="'List danh mục'!A1" display="STT"/>
  </hyperlinks>
  <printOptions horizontalCentered="1"/>
  <pageMargins left="0" right="0" top="0.39370078740157483" bottom="0" header="0.19685039370078741" footer="0.19685039370078741"/>
  <pageSetup paperSize="9" scale="70" orientation="portrait" r:id="rId1"/>
  <headerFooter>
    <oddHeader>&amp;R&amp;A</oddHeader>
    <oddFooter>&amp;C&amp;P/&amp;N</odd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Y23"/>
  <sheetViews>
    <sheetView topLeftCell="A19" zoomScale="80" zoomScaleNormal="80" workbookViewId="0">
      <selection activeCell="AA8" sqref="AA8"/>
    </sheetView>
  </sheetViews>
  <sheetFormatPr defaultColWidth="9" defaultRowHeight="18"/>
  <cols>
    <col min="1" max="1" width="5.69921875" style="1425" customWidth="1"/>
    <col min="2" max="2" width="19.19921875" style="1239" customWidth="1"/>
    <col min="3" max="25" width="8.69921875" style="1239" customWidth="1"/>
    <col min="26" max="16384" width="9" style="1239"/>
  </cols>
  <sheetData>
    <row r="1" spans="1:25" ht="18" customHeight="1">
      <c r="A1" s="4326" t="s">
        <v>2373</v>
      </c>
      <c r="B1" s="4326"/>
      <c r="C1" s="4326"/>
      <c r="D1" s="4326"/>
      <c r="E1" s="4326"/>
      <c r="F1" s="4326"/>
      <c r="G1" s="4326"/>
      <c r="H1" s="4326"/>
      <c r="I1" s="4326"/>
      <c r="J1" s="4326"/>
      <c r="K1" s="4326"/>
      <c r="L1" s="4326"/>
      <c r="M1" s="4326"/>
      <c r="N1" s="4326"/>
      <c r="O1" s="4326"/>
      <c r="P1" s="4326"/>
      <c r="Q1" s="4326"/>
      <c r="R1" s="4326"/>
      <c r="S1" s="4326"/>
      <c r="T1" s="4326"/>
      <c r="U1" s="4326"/>
      <c r="V1" s="4326"/>
      <c r="W1" s="4326"/>
      <c r="X1" s="4326"/>
      <c r="Y1" s="4326"/>
    </row>
    <row r="2" spans="1:25" ht="18" customHeight="1">
      <c r="A2" s="4527" t="str">
        <f>'Phụ lục 6-CKNS'!A2:E2</f>
        <v>(Kèm theo Quyết định số       /QĐ-UBND-HC ngày     /12/2023 của Ủy ban nhân dân tỉnh Đồng Tháp)</v>
      </c>
      <c r="B2" s="4527"/>
      <c r="C2" s="4527"/>
      <c r="D2" s="4527"/>
      <c r="E2" s="4527"/>
      <c r="F2" s="4527"/>
      <c r="G2" s="4527"/>
      <c r="H2" s="4527"/>
      <c r="I2" s="4527"/>
      <c r="J2" s="4527"/>
      <c r="K2" s="4527"/>
      <c r="L2" s="4527"/>
      <c r="M2" s="4527"/>
      <c r="N2" s="4527"/>
      <c r="O2" s="4527"/>
      <c r="P2" s="4527"/>
      <c r="Q2" s="4527"/>
      <c r="R2" s="4527"/>
      <c r="S2" s="4527"/>
      <c r="T2" s="4527"/>
      <c r="U2" s="4527"/>
      <c r="V2" s="4527"/>
      <c r="W2" s="4527"/>
      <c r="X2" s="4527"/>
      <c r="Y2" s="4527"/>
    </row>
    <row r="3" spans="1:25">
      <c r="A3" s="2906"/>
      <c r="B3" s="1828"/>
      <c r="C3" s="1828"/>
      <c r="D3" s="1828"/>
      <c r="E3" s="1828"/>
      <c r="F3" s="1828"/>
      <c r="G3" s="1828"/>
      <c r="H3" s="1828"/>
      <c r="I3" s="1828"/>
      <c r="J3" s="1828"/>
      <c r="K3" s="1828"/>
      <c r="L3" s="1828"/>
      <c r="M3" s="1828"/>
      <c r="N3" s="1828"/>
      <c r="O3" s="1828"/>
      <c r="P3" s="1828"/>
      <c r="Q3" s="1828"/>
      <c r="R3" s="1828"/>
      <c r="S3" s="1828"/>
      <c r="T3" s="1828"/>
      <c r="U3" s="1828"/>
      <c r="V3" s="1828"/>
      <c r="W3" s="1828"/>
      <c r="X3" s="1828"/>
    </row>
    <row r="4" spans="1:25" ht="17.25" customHeight="1" thickBot="1">
      <c r="W4" s="4529" t="s">
        <v>64</v>
      </c>
      <c r="X4" s="4529"/>
      <c r="Y4" s="4529"/>
    </row>
    <row r="5" spans="1:25" s="1429" customFormat="1" thickTop="1">
      <c r="A5" s="4530" t="s">
        <v>244</v>
      </c>
      <c r="B5" s="4532" t="s">
        <v>305</v>
      </c>
      <c r="C5" s="4532" t="s">
        <v>2377</v>
      </c>
      <c r="D5" s="4533" t="s">
        <v>306</v>
      </c>
      <c r="E5" s="4534"/>
      <c r="F5" s="4534"/>
      <c r="G5" s="4534"/>
      <c r="H5" s="4534"/>
      <c r="I5" s="4534"/>
      <c r="J5" s="4534"/>
      <c r="K5" s="4534"/>
      <c r="L5" s="4534"/>
      <c r="M5" s="4534"/>
      <c r="N5" s="4534"/>
      <c r="O5" s="4534"/>
      <c r="P5" s="4535"/>
      <c r="Q5" s="4532" t="s">
        <v>2378</v>
      </c>
      <c r="R5" s="4481" t="s">
        <v>1419</v>
      </c>
      <c r="S5" s="4481"/>
      <c r="T5" s="4481"/>
      <c r="U5" s="4481"/>
      <c r="V5" s="4481"/>
      <c r="W5" s="4481"/>
      <c r="X5" s="4481"/>
      <c r="Y5" s="4536"/>
    </row>
    <row r="6" spans="1:25" s="1429" customFormat="1" ht="17.399999999999999" customHeight="1">
      <c r="A6" s="4531"/>
      <c r="B6" s="4330"/>
      <c r="C6" s="4330"/>
      <c r="D6" s="4537" t="s">
        <v>307</v>
      </c>
      <c r="E6" s="4330" t="s">
        <v>308</v>
      </c>
      <c r="F6" s="4537" t="s">
        <v>309</v>
      </c>
      <c r="G6" s="4537"/>
      <c r="H6" s="4330" t="s">
        <v>310</v>
      </c>
      <c r="I6" s="4330" t="s">
        <v>309</v>
      </c>
      <c r="J6" s="4330"/>
      <c r="K6" s="4330"/>
      <c r="L6" s="4330"/>
      <c r="M6" s="4330"/>
      <c r="N6" s="4330"/>
      <c r="O6" s="4330"/>
      <c r="P6" s="4537" t="s">
        <v>1702</v>
      </c>
      <c r="Q6" s="4330"/>
      <c r="R6" s="4526" t="s">
        <v>93</v>
      </c>
      <c r="S6" s="4526"/>
      <c r="T6" s="4526"/>
      <c r="U6" s="4526" t="s">
        <v>58</v>
      </c>
      <c r="V6" s="4526"/>
      <c r="W6" s="4526"/>
      <c r="X6" s="4330" t="s">
        <v>87</v>
      </c>
      <c r="Y6" s="4525" t="s">
        <v>302</v>
      </c>
    </row>
    <row r="7" spans="1:25" s="1429" customFormat="1" ht="17.399999999999999">
      <c r="A7" s="4531"/>
      <c r="B7" s="4330"/>
      <c r="C7" s="4330"/>
      <c r="D7" s="4538"/>
      <c r="E7" s="4330"/>
      <c r="F7" s="4539"/>
      <c r="G7" s="4539"/>
      <c r="H7" s="4330"/>
      <c r="I7" s="4330" t="s">
        <v>238</v>
      </c>
      <c r="J7" s="4330" t="s">
        <v>311</v>
      </c>
      <c r="K7" s="4330"/>
      <c r="L7" s="4330"/>
      <c r="M7" s="4330"/>
      <c r="N7" s="4330"/>
      <c r="O7" s="4330"/>
      <c r="P7" s="4538"/>
      <c r="Q7" s="4330"/>
      <c r="R7" s="4330" t="s">
        <v>312</v>
      </c>
      <c r="S7" s="4330" t="s">
        <v>309</v>
      </c>
      <c r="T7" s="4330"/>
      <c r="U7" s="4330" t="s">
        <v>312</v>
      </c>
      <c r="V7" s="4526" t="s">
        <v>309</v>
      </c>
      <c r="W7" s="4526"/>
      <c r="X7" s="4330"/>
      <c r="Y7" s="4525"/>
    </row>
    <row r="8" spans="1:25" s="1429" customFormat="1" ht="339" customHeight="1">
      <c r="A8" s="4531"/>
      <c r="B8" s="4330"/>
      <c r="C8" s="4330"/>
      <c r="D8" s="4539"/>
      <c r="E8" s="4330"/>
      <c r="F8" s="1396" t="s">
        <v>313</v>
      </c>
      <c r="G8" s="1396" t="s">
        <v>314</v>
      </c>
      <c r="H8" s="4330"/>
      <c r="I8" s="4330"/>
      <c r="J8" s="4330"/>
      <c r="K8" s="1396" t="s">
        <v>315</v>
      </c>
      <c r="L8" s="1396" t="s">
        <v>316</v>
      </c>
      <c r="M8" s="1396" t="str">
        <f>'Phụ lục số 7'!M8</f>
        <v>Bổ sung nguồn thực hiện điều chỉnh tiền lương cơ sở tăng thêm đến 1,8 triệu đồng/tháng (12 tháng)</v>
      </c>
      <c r="N8" s="1396" t="str">
        <f>'Phụ lục số 7'!N8</f>
        <v>Bổ sung có mục tiêu thực hiện chính sách an sinh xã hội (ngoài chính sách tiền lương)</v>
      </c>
      <c r="O8" s="3167" t="str">
        <f>'Phụ lục số 7'!O8</f>
        <v>Bổ sung có mục tiêu kinh phí diễn tập khu vực phòng thủ cấp huyện năm 2024</v>
      </c>
      <c r="P8" s="4539"/>
      <c r="Q8" s="4330"/>
      <c r="R8" s="4330"/>
      <c r="S8" s="1396" t="s">
        <v>1305</v>
      </c>
      <c r="T8" s="1396" t="s">
        <v>391</v>
      </c>
      <c r="U8" s="4330"/>
      <c r="V8" s="1396" t="s">
        <v>300</v>
      </c>
      <c r="W8" s="1396" t="s">
        <v>301</v>
      </c>
      <c r="X8" s="4330"/>
      <c r="Y8" s="4525"/>
    </row>
    <row r="9" spans="1:25" s="1429" customFormat="1" ht="19.2" customHeight="1">
      <c r="A9" s="3046">
        <f>'Phụ lục số 7'!A9</f>
        <v>1</v>
      </c>
      <c r="B9" s="3039">
        <f>'Phụ lục số 7'!B9</f>
        <v>2</v>
      </c>
      <c r="C9" s="3039">
        <f>'Phụ lục số 7'!C9</f>
        <v>3</v>
      </c>
      <c r="D9" s="3039" t="str">
        <f>'Phụ lục số 7'!D9</f>
        <v>4=5+8+13</v>
      </c>
      <c r="E9" s="3039" t="str">
        <f>'Phụ lục số 7'!E9</f>
        <v>5=6+7</v>
      </c>
      <c r="F9" s="3039">
        <f>'Phụ lục số 7'!F9</f>
        <v>6</v>
      </c>
      <c r="G9" s="3039">
        <f>'Phụ lục số 7'!G9</f>
        <v>7</v>
      </c>
      <c r="H9" s="3039" t="str">
        <f>'Phụ lục số 7'!H9</f>
        <v>8=9+10</v>
      </c>
      <c r="I9" s="3039">
        <f>'Phụ lục số 7'!I9</f>
        <v>9</v>
      </c>
      <c r="J9" s="3039" t="str">
        <f>'Phụ lục số 7'!J9</f>
        <v>10=11+12+13+14+15</v>
      </c>
      <c r="K9" s="3039">
        <f>'Phụ lục số 7'!K9</f>
        <v>11</v>
      </c>
      <c r="L9" s="3039">
        <f>'Phụ lục số 7'!L9</f>
        <v>12</v>
      </c>
      <c r="M9" s="3039">
        <f>'Phụ lục số 7'!M9</f>
        <v>13</v>
      </c>
      <c r="N9" s="3039">
        <f>'Phụ lục số 7'!N9</f>
        <v>14</v>
      </c>
      <c r="O9" s="3039">
        <f>'Phụ lục số 7'!O9</f>
        <v>15</v>
      </c>
      <c r="P9" s="3039">
        <f>'Phụ lục số 7'!P9</f>
        <v>16</v>
      </c>
      <c r="Q9" s="3039" t="str">
        <f>'Phụ lục số 7'!Q9</f>
        <v>17=18+21+24+25</v>
      </c>
      <c r="R9" s="3039" t="str">
        <f>'Phụ lục số 7'!R9</f>
        <v>18=19+20</v>
      </c>
      <c r="S9" s="3039">
        <f>'Phụ lục số 7'!S9</f>
        <v>19</v>
      </c>
      <c r="T9" s="3039">
        <f>'Phụ lục số 7'!T9</f>
        <v>20</v>
      </c>
      <c r="U9" s="3039" t="str">
        <f>'Phụ lục số 7'!U9</f>
        <v>21=22+23</v>
      </c>
      <c r="V9" s="3039">
        <f>'Phụ lục số 7'!V9</f>
        <v>22</v>
      </c>
      <c r="W9" s="3039">
        <f>'Phụ lục số 7'!W9</f>
        <v>23</v>
      </c>
      <c r="X9" s="3039">
        <f>'Phụ lục số 7'!X9</f>
        <v>24</v>
      </c>
      <c r="Y9" s="3047">
        <f>'Phụ lục số 7'!Y9</f>
        <v>25</v>
      </c>
    </row>
    <row r="10" spans="1:25" ht="30" customHeight="1">
      <c r="A10" s="3048">
        <v>1</v>
      </c>
      <c r="B10" s="3040" t="s">
        <v>2362</v>
      </c>
      <c r="C10" s="3041">
        <f>'Phụ lục số 5'!F7</f>
        <v>189200</v>
      </c>
      <c r="D10" s="3041">
        <f>SUM(E10,H10,P10)</f>
        <v>664002</v>
      </c>
      <c r="E10" s="3041">
        <f>'Phụ lục số 5'!H7</f>
        <v>157900</v>
      </c>
      <c r="F10" s="3041">
        <f>E10-G10</f>
        <v>127400</v>
      </c>
      <c r="G10" s="3041">
        <f>'Phụ lục số 5'!H10+'Phụ lục số 5'!H11+'Phụ lục số 5'!H15</f>
        <v>30500</v>
      </c>
      <c r="H10" s="3041">
        <f>SUM(I10:J10)</f>
        <v>469609</v>
      </c>
      <c r="I10" s="3041">
        <f>'Phụ lục số 5'!H37</f>
        <v>413967</v>
      </c>
      <c r="J10" s="3042">
        <f>SUM(K10:O10)</f>
        <v>55642</v>
      </c>
      <c r="K10" s="3041">
        <f>'Phụ lục số 5'!H39</f>
        <v>9300</v>
      </c>
      <c r="L10" s="3041">
        <f>'Phụ lục số 5'!H40</f>
        <v>9500</v>
      </c>
      <c r="M10" s="3041">
        <f>'Phụ lục số 5'!H41</f>
        <v>33411</v>
      </c>
      <c r="N10" s="3041">
        <f>'Phụ lục số 5'!H42</f>
        <v>3431</v>
      </c>
      <c r="O10" s="3041">
        <f>'Phụ lục số 5'!H43</f>
        <v>0</v>
      </c>
      <c r="P10" s="3041">
        <f>'Phụ lục số 5'!H44</f>
        <v>36493</v>
      </c>
      <c r="Q10" s="3041">
        <f>R10+U10+X10+Y10</f>
        <v>664002</v>
      </c>
      <c r="R10" s="3041">
        <f>S10+T10</f>
        <v>117999.59453397225</v>
      </c>
      <c r="S10" s="3041">
        <f>'Phụ lục số 6'!D8</f>
        <v>27999.594533972257</v>
      </c>
      <c r="T10" s="3041">
        <f>'Phụ lục số 6'!D9</f>
        <v>90000</v>
      </c>
      <c r="U10" s="3041">
        <f t="shared" ref="U10:U21" si="0">SUM(V10:W10)</f>
        <v>535564.81160976144</v>
      </c>
      <c r="V10" s="3041">
        <f>'Phụ lục số 6'!D12</f>
        <v>319042.11488564592</v>
      </c>
      <c r="W10" s="3041">
        <f>'Phụ lục số 6'!D13</f>
        <v>216522.69672411552</v>
      </c>
      <c r="X10" s="3041">
        <f>'Phụ lục số 6'!D14</f>
        <v>10437.59385626638</v>
      </c>
      <c r="Y10" s="3049">
        <f>'Phụ lục số 6'!D15</f>
        <v>0</v>
      </c>
    </row>
    <row r="11" spans="1:25" s="1436" customFormat="1" ht="30" customHeight="1">
      <c r="A11" s="2931">
        <v>2</v>
      </c>
      <c r="B11" s="1444" t="s">
        <v>290</v>
      </c>
      <c r="C11" s="1439">
        <f>'Phụ lục số 5'!I7</f>
        <v>430350</v>
      </c>
      <c r="D11" s="3041">
        <f t="shared" ref="D11:D21" si="1">SUM(E11,H11,P11)</f>
        <v>675185</v>
      </c>
      <c r="E11" s="1439">
        <f>'Phụ lục số 5'!K7</f>
        <v>384130</v>
      </c>
      <c r="F11" s="1439">
        <f t="shared" ref="F11:F21" si="2">E11-G11</f>
        <v>312450</v>
      </c>
      <c r="G11" s="1439">
        <f>'Phụ lục số 5'!K10+'Phụ lục số 5'!K11+'Phụ lục số 5'!K15</f>
        <v>71680</v>
      </c>
      <c r="H11" s="1439">
        <f t="shared" ref="H11:H21" si="3">SUM(I11:J11)</f>
        <v>291055</v>
      </c>
      <c r="I11" s="1439">
        <f>'Phụ lục số 5'!K37</f>
        <v>225665</v>
      </c>
      <c r="J11" s="3042">
        <f>SUM(K11:O11)</f>
        <v>65390</v>
      </c>
      <c r="K11" s="1439">
        <f>'Phụ lục số 5'!K39</f>
        <v>5800</v>
      </c>
      <c r="L11" s="1439">
        <f>'Phụ lục số 5'!K40</f>
        <v>7500</v>
      </c>
      <c r="M11" s="1439">
        <f>'Phụ lục số 5'!K41</f>
        <v>46035</v>
      </c>
      <c r="N11" s="1439">
        <f>'Phụ lục số 5'!K42</f>
        <v>4055</v>
      </c>
      <c r="O11" s="1439">
        <f>'Phụ lục số 5'!K43</f>
        <v>2000</v>
      </c>
      <c r="P11" s="1439">
        <f>'Phụ lục số 5'!K44</f>
        <v>0</v>
      </c>
      <c r="Q11" s="3041">
        <f t="shared" ref="Q11:Q21" si="4">R11+U11+X11+Y11</f>
        <v>675185</v>
      </c>
      <c r="R11" s="1439">
        <f t="shared" ref="R11:R21" si="5">S11+T11</f>
        <v>298000.23934054258</v>
      </c>
      <c r="S11" s="1439">
        <f>'Phụ lục số 6'!E8</f>
        <v>28000.239340542557</v>
      </c>
      <c r="T11" s="1439">
        <f>'Phụ lục số 6'!E9</f>
        <v>270000</v>
      </c>
      <c r="U11" s="1439">
        <f t="shared" si="0"/>
        <v>365685.54508638143</v>
      </c>
      <c r="V11" s="1439">
        <f>'Phụ lục số 6'!E12</f>
        <v>186442.40845576092</v>
      </c>
      <c r="W11" s="1439">
        <f>'Phụ lục số 6'!E13</f>
        <v>179243.13663062052</v>
      </c>
      <c r="X11" s="1439">
        <f>'Phụ lục số 6'!E14</f>
        <v>11499.215573075984</v>
      </c>
      <c r="Y11" s="3050">
        <f>'Phụ lục số 6'!E15</f>
        <v>0</v>
      </c>
    </row>
    <row r="12" spans="1:25" s="1436" customFormat="1" ht="30" customHeight="1">
      <c r="A12" s="2931">
        <v>3</v>
      </c>
      <c r="B12" s="1444" t="s">
        <v>2363</v>
      </c>
      <c r="C12" s="1439">
        <f>'Phụ lục số 5'!L7</f>
        <v>101150</v>
      </c>
      <c r="D12" s="3041">
        <f t="shared" si="1"/>
        <v>573785.82400000002</v>
      </c>
      <c r="E12" s="1439">
        <f>'Phụ lục số 5'!N7</f>
        <v>96340</v>
      </c>
      <c r="F12" s="1439">
        <f t="shared" si="2"/>
        <v>51440</v>
      </c>
      <c r="G12" s="1439">
        <f>'Phụ lục số 5'!N10+'Phụ lục số 5'!N11+'Phụ lục số 5'!N15</f>
        <v>44900</v>
      </c>
      <c r="H12" s="1439">
        <f t="shared" si="3"/>
        <v>441196.82400000002</v>
      </c>
      <c r="I12" s="1439">
        <f>'Phụ lục số 5'!N37</f>
        <v>391207</v>
      </c>
      <c r="J12" s="3042">
        <f t="shared" ref="J12:J18" si="6">SUM(K12:O12)</f>
        <v>49989.824000000001</v>
      </c>
      <c r="K12" s="1439">
        <f>'Phụ lục số 5'!N39</f>
        <v>16100</v>
      </c>
      <c r="L12" s="1439">
        <f>'Phụ lục số 5'!N40</f>
        <v>18000</v>
      </c>
      <c r="M12" s="1439">
        <f>'Phụ lục số 5'!N41</f>
        <v>8966</v>
      </c>
      <c r="N12" s="1439">
        <f>'Phụ lục số 5'!N42</f>
        <v>6923.8239999999996</v>
      </c>
      <c r="O12" s="1439">
        <f>'Phụ lục số 5'!N43</f>
        <v>0</v>
      </c>
      <c r="P12" s="1439">
        <f>'Phụ lục số 5'!N44</f>
        <v>36249</v>
      </c>
      <c r="Q12" s="3041">
        <f>R12+U12+X12+Y12</f>
        <v>573785.82400000002</v>
      </c>
      <c r="R12" s="1439">
        <f t="shared" si="5"/>
        <v>58999.51627905004</v>
      </c>
      <c r="S12" s="1439">
        <f>'Phụ lục số 6'!F8</f>
        <v>31999.51627905004</v>
      </c>
      <c r="T12" s="1439">
        <f>'Phụ lục số 6'!F9</f>
        <v>27000</v>
      </c>
      <c r="U12" s="1439">
        <f t="shared" si="0"/>
        <v>504249.08388374688</v>
      </c>
      <c r="V12" s="1439">
        <f>'Phụ lục số 6'!F12</f>
        <v>286155.85849218653</v>
      </c>
      <c r="W12" s="1439">
        <f>'Phụ lục số 6'!F13</f>
        <v>218093.22539156035</v>
      </c>
      <c r="X12" s="1439">
        <f>'Phụ lục số 6'!F14</f>
        <v>10537.223837203137</v>
      </c>
      <c r="Y12" s="3050">
        <f>'Phụ lục số 6'!F15</f>
        <v>0</v>
      </c>
    </row>
    <row r="13" spans="1:25" ht="30" customHeight="1">
      <c r="A13" s="2931">
        <v>4</v>
      </c>
      <c r="B13" s="1444" t="s">
        <v>2364</v>
      </c>
      <c r="C13" s="1439">
        <f>'Phụ lục số 5'!O7</f>
        <v>155300</v>
      </c>
      <c r="D13" s="3041">
        <f t="shared" si="1"/>
        <v>629617.76</v>
      </c>
      <c r="E13" s="1439">
        <f>'Phụ lục số 5'!Q7</f>
        <v>140940</v>
      </c>
      <c r="F13" s="1439">
        <f t="shared" si="2"/>
        <v>86640</v>
      </c>
      <c r="G13" s="1439">
        <f>'Phụ lục số 5'!Q10+'Phụ lục số 5'!Q11+'Phụ lục số 5'!Q15</f>
        <v>54300</v>
      </c>
      <c r="H13" s="1439">
        <f t="shared" si="3"/>
        <v>467064.76</v>
      </c>
      <c r="I13" s="1439">
        <f>'Phụ lục số 5'!Q37</f>
        <v>388772</v>
      </c>
      <c r="J13" s="3042">
        <f t="shared" si="6"/>
        <v>78292.759999999995</v>
      </c>
      <c r="K13" s="1439">
        <f>'Phụ lục số 5'!Q39</f>
        <v>18900</v>
      </c>
      <c r="L13" s="1439">
        <f>'Phụ lục số 5'!Q40</f>
        <v>27000</v>
      </c>
      <c r="M13" s="1439">
        <f>'Phụ lục số 5'!Q41</f>
        <v>30706</v>
      </c>
      <c r="N13" s="1439">
        <f>'Phụ lục số 5'!Q42</f>
        <v>1686.76</v>
      </c>
      <c r="O13" s="1439">
        <f>'Phụ lục số 5'!Q43</f>
        <v>0</v>
      </c>
      <c r="P13" s="1439">
        <f>'Phụ lục số 5'!Q44</f>
        <v>21613</v>
      </c>
      <c r="Q13" s="3041">
        <f t="shared" si="4"/>
        <v>629617.76</v>
      </c>
      <c r="R13" s="1439">
        <f t="shared" si="5"/>
        <v>83999.809682436709</v>
      </c>
      <c r="S13" s="1439">
        <f>'Phụ lục số 6'!G8</f>
        <v>29999.809682436709</v>
      </c>
      <c r="T13" s="1439">
        <f>'Phụ lục số 6'!G9</f>
        <v>54000</v>
      </c>
      <c r="U13" s="1439">
        <f t="shared" si="0"/>
        <v>534028.97233674373</v>
      </c>
      <c r="V13" s="1439">
        <f>'Phụ lục số 6'!G12</f>
        <v>267458.19947370357</v>
      </c>
      <c r="W13" s="1439">
        <f>'Phụ lục số 6'!G13</f>
        <v>266570.77286304015</v>
      </c>
      <c r="X13" s="1439">
        <f>'Phụ lục số 6'!G14</f>
        <v>11588.977980819584</v>
      </c>
      <c r="Y13" s="3050">
        <f>'Phụ lục số 6'!G15</f>
        <v>0</v>
      </c>
    </row>
    <row r="14" spans="1:25" ht="30" customHeight="1">
      <c r="A14" s="2931">
        <v>5</v>
      </c>
      <c r="B14" s="1444" t="s">
        <v>2365</v>
      </c>
      <c r="C14" s="1439">
        <f>'Phụ lục số 5'!R7</f>
        <v>260000</v>
      </c>
      <c r="D14" s="3041">
        <f t="shared" si="1"/>
        <v>767421.35199999996</v>
      </c>
      <c r="E14" s="1439">
        <f>'Phụ lục số 5'!T7</f>
        <v>241850</v>
      </c>
      <c r="F14" s="1439">
        <f t="shared" si="2"/>
        <v>121250</v>
      </c>
      <c r="G14" s="1439">
        <f>'Phụ lục số 5'!T10+'Phụ lục số 5'!T11+'Phụ lục số 5'!T15</f>
        <v>120600</v>
      </c>
      <c r="H14" s="1439">
        <f t="shared" si="3"/>
        <v>486100.35200000001</v>
      </c>
      <c r="I14" s="1439">
        <f>'Phụ lục số 5'!T37</f>
        <v>449761</v>
      </c>
      <c r="J14" s="3042">
        <f t="shared" si="6"/>
        <v>36339.351999999999</v>
      </c>
      <c r="K14" s="1439">
        <f>'Phụ lục số 5'!T39</f>
        <v>13200</v>
      </c>
      <c r="L14" s="1439">
        <f>'Phụ lục số 5'!T40</f>
        <v>19098</v>
      </c>
      <c r="M14" s="1439">
        <f>'Phụ lục số 5'!T41</f>
        <v>0</v>
      </c>
      <c r="N14" s="1439">
        <f>'Phụ lục số 5'!T42</f>
        <v>4041.3519999999999</v>
      </c>
      <c r="O14" s="1439">
        <f>'Phụ lục số 5'!T43</f>
        <v>0</v>
      </c>
      <c r="P14" s="1439">
        <f>'Phụ lục số 5'!T44</f>
        <v>39471</v>
      </c>
      <c r="Q14" s="3041">
        <f t="shared" si="4"/>
        <v>767421.35199999996</v>
      </c>
      <c r="R14" s="1439">
        <f t="shared" si="5"/>
        <v>106999.86288471894</v>
      </c>
      <c r="S14" s="1439">
        <f>'Phụ lục số 6'!H8</f>
        <v>43999.862884718939</v>
      </c>
      <c r="T14" s="1439">
        <f>'Phụ lục số 6'!H9</f>
        <v>63000</v>
      </c>
      <c r="U14" s="1439">
        <f t="shared" si="0"/>
        <v>645402.39632410579</v>
      </c>
      <c r="V14" s="1439">
        <f>'Phụ lục số 6'!H12</f>
        <v>358528.40219701076</v>
      </c>
      <c r="W14" s="1439">
        <f>'Phụ lục số 6'!H13</f>
        <v>286873.99412709504</v>
      </c>
      <c r="X14" s="1439">
        <f>'Phụ lục số 6'!H14</f>
        <v>15019.092791175266</v>
      </c>
      <c r="Y14" s="3050">
        <f>'Phụ lục số 6'!H15</f>
        <v>0</v>
      </c>
    </row>
    <row r="15" spans="1:25" ht="30" customHeight="1">
      <c r="A15" s="2931">
        <v>6</v>
      </c>
      <c r="B15" s="1444" t="s">
        <v>2366</v>
      </c>
      <c r="C15" s="1439">
        <f>'Phụ lục số 5'!U7</f>
        <v>1450250</v>
      </c>
      <c r="D15" s="3041">
        <f t="shared" si="1"/>
        <v>1598566.2</v>
      </c>
      <c r="E15" s="1439">
        <f>'Phụ lục số 5'!W7</f>
        <v>1146450</v>
      </c>
      <c r="F15" s="1439">
        <f t="shared" si="2"/>
        <v>375250</v>
      </c>
      <c r="G15" s="1439">
        <f>'Phụ lục số 5'!W10+'Phụ lục số 5'!W11+'Phụ lục số 5'!W15</f>
        <v>771200</v>
      </c>
      <c r="H15" s="1439">
        <f t="shared" si="3"/>
        <v>56513.2</v>
      </c>
      <c r="I15" s="1439">
        <f>'Phụ lục số 5'!W37</f>
        <v>37354</v>
      </c>
      <c r="J15" s="3042">
        <f t="shared" si="6"/>
        <v>19159.2</v>
      </c>
      <c r="K15" s="1439">
        <f>'Phụ lục số 5'!W39</f>
        <v>5000</v>
      </c>
      <c r="L15" s="1439">
        <f>'Phụ lục số 5'!W40</f>
        <v>3000</v>
      </c>
      <c r="M15" s="1439">
        <f>'Phụ lục số 5'!W41</f>
        <v>0</v>
      </c>
      <c r="N15" s="1439">
        <f>'Phụ lục số 5'!W42</f>
        <v>11159.2</v>
      </c>
      <c r="O15" s="1439">
        <f>'Phụ lục số 5'!W43</f>
        <v>0</v>
      </c>
      <c r="P15" s="1439">
        <f>'Phụ lục số 5'!W44</f>
        <v>395603</v>
      </c>
      <c r="Q15" s="3041">
        <f t="shared" si="4"/>
        <v>1598566.2</v>
      </c>
      <c r="R15" s="1439">
        <f t="shared" si="5"/>
        <v>284000.24258928356</v>
      </c>
      <c r="S15" s="1439">
        <f>'Phụ lục số 6'!I8</f>
        <v>140000.24258928356</v>
      </c>
      <c r="T15" s="1439">
        <f>'Phụ lục số 6'!I9</f>
        <v>144000</v>
      </c>
      <c r="U15" s="1439">
        <f t="shared" si="0"/>
        <v>824431.64142151806</v>
      </c>
      <c r="V15" s="1439">
        <f>'Phụ lục số 6'!I12</f>
        <v>390638.93133133231</v>
      </c>
      <c r="W15" s="1439">
        <f>'Phụ lục số 6'!I13</f>
        <v>433792.71009018575</v>
      </c>
      <c r="X15" s="1439">
        <f>'Phụ lục số 6'!I14</f>
        <v>24840.315989198371</v>
      </c>
      <c r="Y15" s="3050">
        <f>'Phụ lục số 6'!I15</f>
        <v>465294</v>
      </c>
    </row>
    <row r="16" spans="1:25" ht="30" customHeight="1">
      <c r="A16" s="2931">
        <v>7</v>
      </c>
      <c r="B16" s="1444" t="s">
        <v>294</v>
      </c>
      <c r="C16" s="1439">
        <f>'Phụ lục số 5'!X7</f>
        <v>280250</v>
      </c>
      <c r="D16" s="3041">
        <f t="shared" si="1"/>
        <v>960665.2</v>
      </c>
      <c r="E16" s="1439">
        <f>'Phụ lục số 5'!Z7</f>
        <v>259140</v>
      </c>
      <c r="F16" s="1439">
        <f t="shared" si="2"/>
        <v>131750</v>
      </c>
      <c r="G16" s="1439">
        <f>'Phụ lục số 5'!Z10+'Phụ lục số 5'!Z11+'Phụ lục số 5'!Z15</f>
        <v>127390</v>
      </c>
      <c r="H16" s="1439">
        <f t="shared" si="3"/>
        <v>642349.19999999995</v>
      </c>
      <c r="I16" s="1439">
        <f>'Phụ lục số 5'!Z37</f>
        <v>566422</v>
      </c>
      <c r="J16" s="3042">
        <f t="shared" si="6"/>
        <v>75927.199999999997</v>
      </c>
      <c r="K16" s="1439">
        <f>'Phụ lục số 5'!Z39</f>
        <v>21400</v>
      </c>
      <c r="L16" s="1439">
        <f>'Phụ lục số 5'!Z40</f>
        <v>26000</v>
      </c>
      <c r="M16" s="1439">
        <f>'Phụ lục số 5'!Z41</f>
        <v>10606</v>
      </c>
      <c r="N16" s="1439">
        <f>'Phụ lục số 5'!Z42</f>
        <v>17921.2</v>
      </c>
      <c r="O16" s="1439">
        <f>'Phụ lục số 5'!Z43</f>
        <v>0</v>
      </c>
      <c r="P16" s="1439">
        <f>'Phụ lục số 5'!Z44</f>
        <v>59176</v>
      </c>
      <c r="Q16" s="3041">
        <f t="shared" si="4"/>
        <v>960665.2</v>
      </c>
      <c r="R16" s="1439">
        <f t="shared" si="5"/>
        <v>101000.03850993092</v>
      </c>
      <c r="S16" s="1439">
        <f>'Phụ lục số 6'!J8</f>
        <v>47000.038509930921</v>
      </c>
      <c r="T16" s="1439">
        <f>'Phụ lục số 6'!J9</f>
        <v>54000</v>
      </c>
      <c r="U16" s="1439">
        <f t="shared" si="0"/>
        <v>841340.27048818825</v>
      </c>
      <c r="V16" s="1439">
        <f>'Phụ lục số 6'!J12</f>
        <v>446043.65421420382</v>
      </c>
      <c r="W16" s="1439">
        <f>'Phụ lục số 6'!J13</f>
        <v>395296.61627398443</v>
      </c>
      <c r="X16" s="1439">
        <f>'Phụ lục số 6'!J14</f>
        <v>18324.891001880766</v>
      </c>
      <c r="Y16" s="3050">
        <f>'Phụ lục số 6'!J15</f>
        <v>0</v>
      </c>
    </row>
    <row r="17" spans="1:25" s="1436" customFormat="1" ht="30" customHeight="1">
      <c r="A17" s="2931">
        <v>8</v>
      </c>
      <c r="B17" s="1444" t="s">
        <v>412</v>
      </c>
      <c r="C17" s="1439">
        <f>'Phụ lục số 5'!AA7</f>
        <v>275700</v>
      </c>
      <c r="D17" s="3041">
        <f t="shared" si="1"/>
        <v>825155.6</v>
      </c>
      <c r="E17" s="1439">
        <f>'Phụ lục số 5'!AC7</f>
        <v>257750</v>
      </c>
      <c r="F17" s="1439">
        <f t="shared" si="2"/>
        <v>149200</v>
      </c>
      <c r="G17" s="1439">
        <f>'Phụ lục số 5'!AC10+'Phụ lục số 5'!AC11+'Phụ lục số 5'!AC15</f>
        <v>108550</v>
      </c>
      <c r="H17" s="1439">
        <f t="shared" si="3"/>
        <v>540705.6</v>
      </c>
      <c r="I17" s="1439">
        <f>'Phụ lục số 5'!AC37</f>
        <v>441700</v>
      </c>
      <c r="J17" s="3042">
        <f t="shared" si="6"/>
        <v>99005.6</v>
      </c>
      <c r="K17" s="1439">
        <f>'Phụ lục số 5'!AC39</f>
        <v>28600</v>
      </c>
      <c r="L17" s="1439">
        <f>'Phụ lục số 5'!AC40</f>
        <v>33000</v>
      </c>
      <c r="M17" s="1439">
        <f>'Phụ lục số 5'!AC41</f>
        <v>34795</v>
      </c>
      <c r="N17" s="1439">
        <f>'Phụ lục số 5'!AC42</f>
        <v>2610.6</v>
      </c>
      <c r="O17" s="1439">
        <f>'Phụ lục số 5'!AC43</f>
        <v>0</v>
      </c>
      <c r="P17" s="1439">
        <f>'Phụ lục số 5'!AC44</f>
        <v>26700</v>
      </c>
      <c r="Q17" s="3041">
        <f t="shared" si="4"/>
        <v>825155.6</v>
      </c>
      <c r="R17" s="1439">
        <f t="shared" si="5"/>
        <v>130000.33494633662</v>
      </c>
      <c r="S17" s="1439">
        <f>'Phụ lục số 6'!K8</f>
        <v>40000.334946336618</v>
      </c>
      <c r="T17" s="1439">
        <f>'Phụ lục số 6'!K9</f>
        <v>90000</v>
      </c>
      <c r="U17" s="1439">
        <f t="shared" si="0"/>
        <v>679823.93388392578</v>
      </c>
      <c r="V17" s="1439">
        <f>'Phụ lục số 6'!K12</f>
        <v>372742.22567693546</v>
      </c>
      <c r="W17" s="1439">
        <f>'Phụ lục số 6'!K13</f>
        <v>307081.70820699033</v>
      </c>
      <c r="X17" s="1439">
        <f>'Phụ lục số 6'!K14</f>
        <v>15331.331169737576</v>
      </c>
      <c r="Y17" s="3050">
        <f>'Phụ lục số 6'!K15</f>
        <v>0</v>
      </c>
    </row>
    <row r="18" spans="1:25" ht="30" customHeight="1">
      <c r="A18" s="2931">
        <v>9</v>
      </c>
      <c r="B18" s="1444" t="s">
        <v>413</v>
      </c>
      <c r="C18" s="1439">
        <f>'Phụ lục số 5'!AD7</f>
        <v>284000</v>
      </c>
      <c r="D18" s="3041">
        <f t="shared" si="1"/>
        <v>829132.94799999997</v>
      </c>
      <c r="E18" s="1439">
        <f>'Phụ lục số 5'!AF7</f>
        <v>269200</v>
      </c>
      <c r="F18" s="1439">
        <f t="shared" si="2"/>
        <v>106600</v>
      </c>
      <c r="G18" s="1439">
        <f>'Phụ lục số 5'!AF10+'Phụ lục số 5'!AF11+'Phụ lục số 5'!AF15</f>
        <v>162600</v>
      </c>
      <c r="H18" s="1439">
        <f t="shared" si="3"/>
        <v>520654.94799999997</v>
      </c>
      <c r="I18" s="1439">
        <f>'Phụ lục số 5'!AF37</f>
        <v>470689</v>
      </c>
      <c r="J18" s="3042">
        <f t="shared" si="6"/>
        <v>49965.948000000004</v>
      </c>
      <c r="K18" s="1439">
        <f>'Phụ lục số 5'!AF39</f>
        <v>8900</v>
      </c>
      <c r="L18" s="1439">
        <f>'Phụ lục số 5'!AF40</f>
        <v>7000</v>
      </c>
      <c r="M18" s="1439">
        <f>'Phụ lục số 5'!AF41</f>
        <v>9628</v>
      </c>
      <c r="N18" s="1439">
        <f>'Phụ lục số 5'!AF42</f>
        <v>22437.948</v>
      </c>
      <c r="O18" s="1439">
        <f>'Phụ lục số 5'!AF43</f>
        <v>2000</v>
      </c>
      <c r="P18" s="1439">
        <f>'Phụ lục số 5'!AF44</f>
        <v>39278</v>
      </c>
      <c r="Q18" s="3041">
        <f t="shared" si="4"/>
        <v>829132.94799999997</v>
      </c>
      <c r="R18" s="1439">
        <f t="shared" si="5"/>
        <v>96000.351400568732</v>
      </c>
      <c r="S18" s="1439">
        <f>'Phụ lục số 6'!L8</f>
        <v>42000.351400568725</v>
      </c>
      <c r="T18" s="1439">
        <f>'Phụ lục số 6'!L9</f>
        <v>54000</v>
      </c>
      <c r="U18" s="1439">
        <f t="shared" si="0"/>
        <v>716878.32347413257</v>
      </c>
      <c r="V18" s="1439">
        <f>'Phụ lục số 6'!L12</f>
        <v>366671.59034785029</v>
      </c>
      <c r="W18" s="1439">
        <f>'Phụ lục số 6'!L13</f>
        <v>350206.73312628228</v>
      </c>
      <c r="X18" s="1439">
        <f>'Phụ lục số 6'!L14</f>
        <v>16254.273125298643</v>
      </c>
      <c r="Y18" s="3050">
        <f>'Phụ lục số 6'!L15</f>
        <v>0</v>
      </c>
    </row>
    <row r="19" spans="1:25" ht="30" customHeight="1">
      <c r="A19" s="2931">
        <v>10</v>
      </c>
      <c r="B19" s="1444" t="s">
        <v>2368</v>
      </c>
      <c r="C19" s="1439">
        <f>'Phụ lục số 5'!AG7</f>
        <v>195000</v>
      </c>
      <c r="D19" s="3041">
        <f t="shared" si="1"/>
        <v>717257.71200000006</v>
      </c>
      <c r="E19" s="1439">
        <f>'Phụ lục số 5'!AI7</f>
        <v>175430</v>
      </c>
      <c r="F19" s="1439">
        <f t="shared" si="2"/>
        <v>104230</v>
      </c>
      <c r="G19" s="1439">
        <f>'Phụ lục số 5'!AI10+'Phụ lục số 5'!AI11+'Phụ lục số 5'!AI15</f>
        <v>71200</v>
      </c>
      <c r="H19" s="1439">
        <f t="shared" si="3"/>
        <v>519057.712</v>
      </c>
      <c r="I19" s="1439">
        <f>'Phụ lục số 5'!AI37</f>
        <v>440874</v>
      </c>
      <c r="J19" s="3042">
        <f>SUM(K19:O19)</f>
        <v>78183.712</v>
      </c>
      <c r="K19" s="1439">
        <f>'Phụ lục số 5'!AI39</f>
        <v>11300</v>
      </c>
      <c r="L19" s="1439">
        <f>'Phụ lục số 5'!AI40</f>
        <v>7000</v>
      </c>
      <c r="M19" s="1439">
        <f>'Phụ lục số 5'!AI41</f>
        <v>50621</v>
      </c>
      <c r="N19" s="1439">
        <f>'Phụ lục số 5'!AI42</f>
        <v>7262.7119999999995</v>
      </c>
      <c r="O19" s="1439">
        <f>'Phụ lục số 5'!AI43</f>
        <v>2000</v>
      </c>
      <c r="P19" s="1439">
        <f>'Phụ lục số 5'!AI44</f>
        <v>22770</v>
      </c>
      <c r="Q19" s="3041">
        <f t="shared" si="4"/>
        <v>717257.71200000006</v>
      </c>
      <c r="R19" s="1439">
        <f t="shared" si="5"/>
        <v>96999.720817696681</v>
      </c>
      <c r="S19" s="1439">
        <f>'Phụ lục số 6'!M8</f>
        <v>33999.720817696674</v>
      </c>
      <c r="T19" s="1439">
        <f>'Phụ lục số 6'!M9</f>
        <v>63000</v>
      </c>
      <c r="U19" s="1439">
        <f t="shared" si="0"/>
        <v>608806.9670957122</v>
      </c>
      <c r="V19" s="1439">
        <f>'Phụ lục số 6'!M12</f>
        <v>331706.50480976811</v>
      </c>
      <c r="W19" s="1439">
        <f>'Phụ lục số 6'!M13</f>
        <v>277100.46228594409</v>
      </c>
      <c r="X19" s="1439">
        <f>'Phụ lục số 6'!M14</f>
        <v>11451.024086591191</v>
      </c>
      <c r="Y19" s="3050">
        <f>'Phụ lục số 6'!M15</f>
        <v>0</v>
      </c>
    </row>
    <row r="20" spans="1:25" ht="30" customHeight="1">
      <c r="A20" s="2931">
        <v>11</v>
      </c>
      <c r="B20" s="1444" t="s">
        <v>2369</v>
      </c>
      <c r="C20" s="1439">
        <f>'Phụ lục số 5'!AJ7</f>
        <v>930100</v>
      </c>
      <c r="D20" s="3041">
        <f t="shared" si="1"/>
        <v>953865.92</v>
      </c>
      <c r="E20" s="1439">
        <f>'Phụ lục số 5'!AL7</f>
        <v>544440</v>
      </c>
      <c r="F20" s="1439">
        <f t="shared" si="2"/>
        <v>254240</v>
      </c>
      <c r="G20" s="1439">
        <f>'Phụ lục số 5'!AL10+'Phụ lục số 5'!AL11+'Phụ lục số 5'!AL15</f>
        <v>290200</v>
      </c>
      <c r="H20" s="1439">
        <f t="shared" si="3"/>
        <v>234459.92</v>
      </c>
      <c r="I20" s="1439">
        <f>'Phụ lục số 5'!AL37</f>
        <v>224584</v>
      </c>
      <c r="J20" s="3042">
        <f>SUM(K20:O20)</f>
        <v>9875.92</v>
      </c>
      <c r="K20" s="1439">
        <f>'Phụ lục số 5'!AL39</f>
        <v>3000</v>
      </c>
      <c r="L20" s="1439">
        <f>'Phụ lục số 5'!AL40</f>
        <v>1500</v>
      </c>
      <c r="M20" s="1439">
        <f>'Phụ lục số 5'!AL41</f>
        <v>0</v>
      </c>
      <c r="N20" s="1439">
        <f>'Phụ lục số 5'!AL42</f>
        <v>5375.92</v>
      </c>
      <c r="O20" s="1439">
        <f>'Phụ lục số 5'!AL43</f>
        <v>0</v>
      </c>
      <c r="P20" s="1439">
        <f>'Phụ lục số 5'!AL44</f>
        <v>174966</v>
      </c>
      <c r="Q20" s="3041">
        <f t="shared" si="4"/>
        <v>953865.92</v>
      </c>
      <c r="R20" s="1439">
        <f t="shared" si="5"/>
        <v>227000.360400012</v>
      </c>
      <c r="S20" s="1439">
        <f>'Phụ lục số 6'!N8</f>
        <v>83000.360400011981</v>
      </c>
      <c r="T20" s="1439">
        <f>'Phụ lục số 6'!N9</f>
        <v>144000</v>
      </c>
      <c r="U20" s="1439">
        <f t="shared" si="0"/>
        <v>537382.28403784544</v>
      </c>
      <c r="V20" s="1439">
        <f>'Phụ lục số 6'!N12</f>
        <v>221835.73186322945</v>
      </c>
      <c r="W20" s="1439">
        <f>'Phụ lục số 6'!N13</f>
        <v>315546.55217461602</v>
      </c>
      <c r="X20" s="1439">
        <f>'Phụ lục số 6'!N14</f>
        <v>16517.275562142579</v>
      </c>
      <c r="Y20" s="3050">
        <f>'Phụ lục số 6'!N15</f>
        <v>172966</v>
      </c>
    </row>
    <row r="21" spans="1:25" ht="30" customHeight="1">
      <c r="A21" s="3051">
        <v>12</v>
      </c>
      <c r="B21" s="3043" t="s">
        <v>416</v>
      </c>
      <c r="C21" s="1460">
        <f>'Phụ lục số 5'!AM7</f>
        <v>285000</v>
      </c>
      <c r="D21" s="3041">
        <f t="shared" si="1"/>
        <v>713747.83199999994</v>
      </c>
      <c r="E21" s="1460">
        <f>'Phụ lục số 5'!AO7</f>
        <v>265510</v>
      </c>
      <c r="F21" s="1460">
        <f t="shared" si="2"/>
        <v>166550</v>
      </c>
      <c r="G21" s="1460">
        <f>'Phụ lục số 5'!AO10+'Phụ lục số 5'!AO11+'Phụ lục số 5'!AO15</f>
        <v>98960</v>
      </c>
      <c r="H21" s="1460">
        <f t="shared" si="3"/>
        <v>414556.83199999999</v>
      </c>
      <c r="I21" s="1460">
        <f>'Phụ lục số 5'!AO37</f>
        <v>379928</v>
      </c>
      <c r="J21" s="3042">
        <f>SUM(K21:O21)</f>
        <v>34628.832000000002</v>
      </c>
      <c r="K21" s="1460">
        <f>'Phụ lục số 5'!AO39</f>
        <v>7200</v>
      </c>
      <c r="L21" s="1460">
        <f>'Phụ lục số 5'!AO40</f>
        <v>10500</v>
      </c>
      <c r="M21" s="1460">
        <f>'Phụ lục số 5'!AO41</f>
        <v>8166</v>
      </c>
      <c r="N21" s="1460">
        <f>'Phụ lục số 5'!AO42</f>
        <v>6762.8320000000003</v>
      </c>
      <c r="O21" s="1460">
        <f>'Phụ lục số 5'!AO43</f>
        <v>2000</v>
      </c>
      <c r="P21" s="1460">
        <f>'Phụ lục số 5'!AO44</f>
        <v>33681</v>
      </c>
      <c r="Q21" s="3041">
        <f t="shared" si="4"/>
        <v>713747.83200000005</v>
      </c>
      <c r="R21" s="1460">
        <f t="shared" si="5"/>
        <v>123000.33758532717</v>
      </c>
      <c r="S21" s="1460">
        <f>'Phụ lục số 6'!O8</f>
        <v>33000.337585327172</v>
      </c>
      <c r="T21" s="1460">
        <f>'Phụ lục số 6'!O9</f>
        <v>90000</v>
      </c>
      <c r="U21" s="1460">
        <f t="shared" si="0"/>
        <v>576944.16506902024</v>
      </c>
      <c r="V21" s="1460">
        <f>'Phụ lục số 6'!O12</f>
        <v>294004.16143211746</v>
      </c>
      <c r="W21" s="1460">
        <f>'Phụ lục số 6'!O13</f>
        <v>282940.00363690278</v>
      </c>
      <c r="X21" s="1460">
        <f>'Phụ lục số 6'!O14</f>
        <v>13803.329345652623</v>
      </c>
      <c r="Y21" s="3052">
        <f>'Phụ lục số 6'!O15</f>
        <v>0</v>
      </c>
    </row>
    <row r="22" spans="1:25" s="1429" customFormat="1" ht="30" customHeight="1" thickBot="1">
      <c r="A22" s="3053"/>
      <c r="B22" s="3054" t="s">
        <v>312</v>
      </c>
      <c r="C22" s="3055">
        <f t="shared" ref="C22:Y22" si="7">SUM(C10:C21)</f>
        <v>4836300</v>
      </c>
      <c r="D22" s="3055">
        <f t="shared" si="7"/>
        <v>9908403.3480000012</v>
      </c>
      <c r="E22" s="3055">
        <f>SUM(E10:E21)</f>
        <v>3939080</v>
      </c>
      <c r="F22" s="3055">
        <f>SUM(F10:F21)</f>
        <v>1987000</v>
      </c>
      <c r="G22" s="3055">
        <f>SUM(G10:G21)</f>
        <v>1952080</v>
      </c>
      <c r="H22" s="3055">
        <f t="shared" si="7"/>
        <v>5083323.3480000002</v>
      </c>
      <c r="I22" s="3055">
        <f>SUM(I10:I21)</f>
        <v>4430923</v>
      </c>
      <c r="J22" s="3055">
        <f>SUM(J10:J21)</f>
        <v>652400.348</v>
      </c>
      <c r="K22" s="3055">
        <f t="shared" si="7"/>
        <v>148700</v>
      </c>
      <c r="L22" s="3055">
        <f t="shared" si="7"/>
        <v>169098</v>
      </c>
      <c r="M22" s="3055">
        <f t="shared" si="7"/>
        <v>232934</v>
      </c>
      <c r="N22" s="3055">
        <f t="shared" si="7"/>
        <v>93668.347999999998</v>
      </c>
      <c r="O22" s="3055">
        <f>SUM(O10:O21)</f>
        <v>8000</v>
      </c>
      <c r="P22" s="3055">
        <f t="shared" si="7"/>
        <v>886000</v>
      </c>
      <c r="Q22" s="3055">
        <f t="shared" si="7"/>
        <v>9908403.3480000012</v>
      </c>
      <c r="R22" s="3055">
        <f t="shared" si="7"/>
        <v>1724000.4089698766</v>
      </c>
      <c r="S22" s="3055">
        <f t="shared" si="7"/>
        <v>581000.40896987612</v>
      </c>
      <c r="T22" s="3055">
        <f t="shared" si="7"/>
        <v>1143000</v>
      </c>
      <c r="U22" s="3055">
        <f t="shared" si="7"/>
        <v>7370538.3947110819</v>
      </c>
      <c r="V22" s="3055">
        <f t="shared" si="7"/>
        <v>3841269.7831797441</v>
      </c>
      <c r="W22" s="3055">
        <f t="shared" si="7"/>
        <v>3529268.6115313373</v>
      </c>
      <c r="X22" s="3055">
        <f t="shared" si="7"/>
        <v>175604.54431904212</v>
      </c>
      <c r="Y22" s="3056">
        <f t="shared" si="7"/>
        <v>638260</v>
      </c>
    </row>
    <row r="23" spans="1:25" ht="18.600000000000001" thickTop="1">
      <c r="E23" s="3044">
        <f>E22/C22</f>
        <v>0.81448214544176334</v>
      </c>
      <c r="Q23" s="3045"/>
    </row>
  </sheetData>
  <mergeCells count="26">
    <mergeCell ref="W4:Y4"/>
    <mergeCell ref="A5:A8"/>
    <mergeCell ref="B5:B8"/>
    <mergeCell ref="C5:C8"/>
    <mergeCell ref="D5:P5"/>
    <mergeCell ref="Q5:Q8"/>
    <mergeCell ref="R5:Y5"/>
    <mergeCell ref="D6:D8"/>
    <mergeCell ref="V7:W7"/>
    <mergeCell ref="R6:T6"/>
    <mergeCell ref="A1:Y1"/>
    <mergeCell ref="A2:Y2"/>
    <mergeCell ref="E6:E8"/>
    <mergeCell ref="F6:G7"/>
    <mergeCell ref="H6:H8"/>
    <mergeCell ref="I6:O6"/>
    <mergeCell ref="P6:P8"/>
    <mergeCell ref="U6:W6"/>
    <mergeCell ref="X6:X8"/>
    <mergeCell ref="Y6:Y8"/>
    <mergeCell ref="I7:I8"/>
    <mergeCell ref="J7:J8"/>
    <mergeCell ref="K7:O7"/>
    <mergeCell ref="R7:R8"/>
    <mergeCell ref="S7:T7"/>
    <mergeCell ref="U7:U8"/>
  </mergeCells>
  <hyperlinks>
    <hyperlink ref="A5:A8" location="'List danh mục'!A1" display="STT"/>
  </hyperlinks>
  <printOptions horizontalCentered="1"/>
  <pageMargins left="0" right="0" top="0.39370078740157483" bottom="0" header="0.19685039370078741" footer="0.19685039370078741"/>
  <pageSetup paperSize="9" scale="60" orientation="landscape" r:id="rId1"/>
  <headerFooter>
    <oddHeader>&amp;R&amp;A</oddHeader>
    <oddFooter>&amp;C&amp;P/&amp;N</oddFoot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Q27"/>
  <sheetViews>
    <sheetView topLeftCell="A10" workbookViewId="0">
      <selection activeCell="B26" sqref="B26"/>
    </sheetView>
  </sheetViews>
  <sheetFormatPr defaultRowHeight="15.6"/>
  <cols>
    <col min="1" max="1" width="4.19921875" customWidth="1"/>
    <col min="2" max="2" width="17.69921875" customWidth="1"/>
    <col min="3" max="3" width="6.5" customWidth="1"/>
    <col min="4" max="4" width="7" customWidth="1"/>
    <col min="5" max="5" width="7.19921875" customWidth="1"/>
    <col min="6" max="9" width="8.09765625" customWidth="1"/>
    <col min="10" max="10" width="7.19921875" customWidth="1"/>
    <col min="11" max="11" width="8.09765625" customWidth="1"/>
    <col min="12" max="12" width="8.5" customWidth="1"/>
    <col min="13" max="13" width="7.5" customWidth="1"/>
    <col min="14" max="15" width="8.09765625" customWidth="1"/>
    <col min="16" max="16" width="7.59765625" customWidth="1"/>
    <col min="17" max="17" width="8.09765625" customWidth="1"/>
  </cols>
  <sheetData>
    <row r="1" spans="1:17">
      <c r="A1" s="4500" t="s">
        <v>2416</v>
      </c>
      <c r="B1" s="4333"/>
      <c r="C1" s="4333"/>
      <c r="D1" s="4333"/>
      <c r="E1" s="4333"/>
      <c r="F1" s="4333"/>
      <c r="G1" s="4333"/>
      <c r="H1" s="4333"/>
      <c r="I1" s="4333"/>
      <c r="J1" s="4333"/>
      <c r="K1" s="4333"/>
      <c r="L1" s="4333"/>
      <c r="M1" s="4333"/>
      <c r="N1" s="4333"/>
      <c r="O1" s="4333"/>
      <c r="P1" s="4333"/>
      <c r="Q1" s="4333"/>
    </row>
    <row r="2" spans="1:17">
      <c r="A2" s="4498" t="str">
        <f>'Phụ lục 7-CKNS'!A2:X2</f>
        <v>(Kèm theo Quyết định số       /QĐ-UBND-HC ngày     /12/2023 của Ủy ban nhân dân tỉnh Đồng Tháp)</v>
      </c>
      <c r="B2" s="4499"/>
      <c r="C2" s="4499"/>
      <c r="D2" s="4499"/>
      <c r="E2" s="4499"/>
      <c r="F2" s="4499"/>
      <c r="G2" s="4499"/>
      <c r="H2" s="4499"/>
      <c r="I2" s="4499"/>
      <c r="J2" s="4499"/>
      <c r="K2" s="4499"/>
      <c r="L2" s="4499"/>
      <c r="M2" s="4499"/>
      <c r="N2" s="4499"/>
      <c r="O2" s="4499"/>
      <c r="P2" s="4499"/>
      <c r="Q2" s="4499"/>
    </row>
    <row r="3" spans="1:17">
      <c r="A3" s="2144"/>
      <c r="B3" s="286"/>
      <c r="C3" s="286"/>
      <c r="D3" s="286"/>
      <c r="E3" s="286"/>
      <c r="F3" s="286"/>
      <c r="G3" s="286"/>
      <c r="H3" s="286"/>
      <c r="I3" s="286"/>
      <c r="J3" s="286"/>
      <c r="K3" s="286"/>
      <c r="L3" s="286"/>
      <c r="M3" s="286"/>
      <c r="N3" s="286"/>
      <c r="O3" s="286"/>
      <c r="P3" s="286"/>
      <c r="Q3" s="286"/>
    </row>
    <row r="4" spans="1:17">
      <c r="A4" s="245"/>
      <c r="B4" s="245"/>
      <c r="C4" s="245"/>
      <c r="D4" s="245"/>
      <c r="E4" s="245"/>
      <c r="F4" s="245"/>
      <c r="G4" s="245"/>
      <c r="H4" s="245"/>
      <c r="I4" s="245"/>
      <c r="J4" s="245"/>
      <c r="K4" s="245"/>
      <c r="L4" s="245"/>
      <c r="M4" s="245"/>
      <c r="N4" s="245"/>
      <c r="O4" s="245"/>
      <c r="P4" s="4562" t="s">
        <v>2081</v>
      </c>
      <c r="Q4" s="4562"/>
    </row>
    <row r="5" spans="1:17" s="248" customFormat="1">
      <c r="A5" s="4277" t="s">
        <v>1370</v>
      </c>
      <c r="B5" s="4334" t="s">
        <v>2082</v>
      </c>
      <c r="C5" s="4453" t="s">
        <v>2083</v>
      </c>
      <c r="D5" s="4454"/>
      <c r="E5" s="4454"/>
      <c r="F5" s="4454"/>
      <c r="G5" s="4454"/>
      <c r="H5" s="4454"/>
      <c r="I5" s="4454"/>
      <c r="J5" s="4454"/>
      <c r="K5" s="4454"/>
      <c r="L5" s="4454"/>
      <c r="M5" s="4454"/>
      <c r="N5" s="4454"/>
      <c r="O5" s="4454"/>
      <c r="P5" s="4454"/>
      <c r="Q5" s="4455"/>
    </row>
    <row r="6" spans="1:17" s="248" customFormat="1" ht="27" customHeight="1">
      <c r="A6" s="4277"/>
      <c r="B6" s="4334"/>
      <c r="C6" s="4502" t="s">
        <v>352</v>
      </c>
      <c r="D6" s="4503"/>
      <c r="E6" s="4503"/>
      <c r="F6" s="4503"/>
      <c r="G6" s="4504"/>
      <c r="H6" s="4334" t="s">
        <v>2084</v>
      </c>
      <c r="I6" s="4334" t="s">
        <v>97</v>
      </c>
      <c r="J6" s="4334" t="s">
        <v>2085</v>
      </c>
      <c r="K6" s="4792" t="s">
        <v>354</v>
      </c>
      <c r="L6" s="4792" t="s">
        <v>271</v>
      </c>
      <c r="M6" s="4334" t="s">
        <v>2086</v>
      </c>
      <c r="N6" s="4423" t="s">
        <v>2087</v>
      </c>
      <c r="O6" s="4334" t="s">
        <v>2088</v>
      </c>
      <c r="P6" s="4495" t="s">
        <v>2089</v>
      </c>
      <c r="Q6" s="4792" t="s">
        <v>2042</v>
      </c>
    </row>
    <row r="7" spans="1:17" s="256" customFormat="1" ht="99" customHeight="1">
      <c r="A7" s="4277"/>
      <c r="B7" s="4334"/>
      <c r="C7" s="249" t="s">
        <v>2090</v>
      </c>
      <c r="D7" s="249" t="s">
        <v>2091</v>
      </c>
      <c r="E7" s="249" t="s">
        <v>14</v>
      </c>
      <c r="F7" s="249" t="s">
        <v>2092</v>
      </c>
      <c r="G7" s="249" t="s">
        <v>2093</v>
      </c>
      <c r="H7" s="4334"/>
      <c r="I7" s="4334"/>
      <c r="J7" s="4334"/>
      <c r="K7" s="4792"/>
      <c r="L7" s="4792"/>
      <c r="M7" s="4334"/>
      <c r="N7" s="4230"/>
      <c r="O7" s="4334"/>
      <c r="P7" s="4495"/>
      <c r="Q7" s="4792"/>
    </row>
    <row r="8" spans="1:17" s="2364" customFormat="1" ht="20.100000000000001" customHeight="1">
      <c r="A8" s="794">
        <v>1</v>
      </c>
      <c r="B8" s="2201" t="s">
        <v>1850</v>
      </c>
      <c r="C8" s="2365">
        <v>1</v>
      </c>
      <c r="D8" s="2365">
        <v>1</v>
      </c>
      <c r="E8" s="2365">
        <v>0</v>
      </c>
      <c r="F8" s="2365">
        <v>0</v>
      </c>
      <c r="G8" s="2365">
        <v>1</v>
      </c>
      <c r="H8" s="2365">
        <v>1</v>
      </c>
      <c r="I8" s="2365">
        <v>0</v>
      </c>
      <c r="J8" s="2365">
        <v>1</v>
      </c>
      <c r="K8" s="2365">
        <v>0</v>
      </c>
      <c r="L8" s="2365">
        <v>0</v>
      </c>
      <c r="M8" s="2365">
        <v>1</v>
      </c>
      <c r="N8" s="2365">
        <v>1</v>
      </c>
      <c r="O8" s="2365">
        <v>1</v>
      </c>
      <c r="P8" s="2365">
        <v>1</v>
      </c>
      <c r="Q8" s="2365">
        <v>0</v>
      </c>
    </row>
    <row r="9" spans="1:17" s="1557" customFormat="1" ht="20.100000000000001" customHeight="1">
      <c r="A9" s="251">
        <v>2</v>
      </c>
      <c r="B9" s="229" t="s">
        <v>333</v>
      </c>
      <c r="C9" s="2366">
        <v>1</v>
      </c>
      <c r="D9" s="2366">
        <v>1</v>
      </c>
      <c r="E9" s="2366">
        <v>0</v>
      </c>
      <c r="F9" s="2366">
        <v>0</v>
      </c>
      <c r="G9" s="2366">
        <v>1</v>
      </c>
      <c r="H9" s="2366">
        <v>1</v>
      </c>
      <c r="I9" s="2366">
        <v>0</v>
      </c>
      <c r="J9" s="2366">
        <v>1</v>
      </c>
      <c r="K9" s="2366">
        <v>0</v>
      </c>
      <c r="L9" s="2366">
        <v>0</v>
      </c>
      <c r="M9" s="2366">
        <v>1</v>
      </c>
      <c r="N9" s="2366">
        <v>1</v>
      </c>
      <c r="O9" s="2366">
        <v>1</v>
      </c>
      <c r="P9" s="2366">
        <v>1</v>
      </c>
      <c r="Q9" s="2366">
        <v>0</v>
      </c>
    </row>
    <row r="10" spans="1:17" s="2364" customFormat="1" ht="20.100000000000001" customHeight="1">
      <c r="A10" s="251">
        <v>3</v>
      </c>
      <c r="B10" s="229" t="s">
        <v>1853</v>
      </c>
      <c r="C10" s="2366">
        <v>1</v>
      </c>
      <c r="D10" s="2366">
        <v>1</v>
      </c>
      <c r="E10" s="2366">
        <v>0</v>
      </c>
      <c r="F10" s="2366">
        <v>0</v>
      </c>
      <c r="G10" s="2366">
        <v>1</v>
      </c>
      <c r="H10" s="2366">
        <v>1</v>
      </c>
      <c r="I10" s="2366">
        <v>0</v>
      </c>
      <c r="J10" s="2366">
        <v>1</v>
      </c>
      <c r="K10" s="2366">
        <v>0</v>
      </c>
      <c r="L10" s="2366">
        <v>0</v>
      </c>
      <c r="M10" s="2366">
        <v>1</v>
      </c>
      <c r="N10" s="2366">
        <v>1</v>
      </c>
      <c r="O10" s="2366">
        <v>1</v>
      </c>
      <c r="P10" s="2366">
        <v>1</v>
      </c>
      <c r="Q10" s="2366">
        <v>0</v>
      </c>
    </row>
    <row r="11" spans="1:17" s="2364" customFormat="1" ht="20.100000000000001" customHeight="1">
      <c r="A11" s="251">
        <v>4</v>
      </c>
      <c r="B11" s="229" t="s">
        <v>1854</v>
      </c>
      <c r="C11" s="2366">
        <v>1</v>
      </c>
      <c r="D11" s="2366">
        <v>1</v>
      </c>
      <c r="E11" s="2366">
        <v>0</v>
      </c>
      <c r="F11" s="2366">
        <v>0</v>
      </c>
      <c r="G11" s="2366">
        <v>1</v>
      </c>
      <c r="H11" s="2366">
        <v>1</v>
      </c>
      <c r="I11" s="2366">
        <v>0</v>
      </c>
      <c r="J11" s="2366">
        <v>1</v>
      </c>
      <c r="K11" s="2366">
        <v>0</v>
      </c>
      <c r="L11" s="2366">
        <v>0</v>
      </c>
      <c r="M11" s="2366">
        <v>1</v>
      </c>
      <c r="N11" s="2366">
        <v>1</v>
      </c>
      <c r="O11" s="2366">
        <v>1</v>
      </c>
      <c r="P11" s="2366">
        <v>1</v>
      </c>
      <c r="Q11" s="2366">
        <v>0</v>
      </c>
    </row>
    <row r="12" spans="1:17" s="2364" customFormat="1" ht="20.100000000000001" customHeight="1">
      <c r="A12" s="251">
        <v>5</v>
      </c>
      <c r="B12" s="229" t="s">
        <v>1855</v>
      </c>
      <c r="C12" s="2366">
        <v>1</v>
      </c>
      <c r="D12" s="2366">
        <v>1</v>
      </c>
      <c r="E12" s="2366">
        <v>0</v>
      </c>
      <c r="F12" s="2366">
        <v>0</v>
      </c>
      <c r="G12" s="2366">
        <v>1</v>
      </c>
      <c r="H12" s="2366">
        <v>1</v>
      </c>
      <c r="I12" s="2366">
        <v>0</v>
      </c>
      <c r="J12" s="2366">
        <v>1</v>
      </c>
      <c r="K12" s="2366">
        <v>0</v>
      </c>
      <c r="L12" s="2366">
        <v>0</v>
      </c>
      <c r="M12" s="2366">
        <v>1</v>
      </c>
      <c r="N12" s="2366">
        <v>1</v>
      </c>
      <c r="O12" s="2366">
        <v>1</v>
      </c>
      <c r="P12" s="2366">
        <v>1</v>
      </c>
      <c r="Q12" s="2366">
        <v>0</v>
      </c>
    </row>
    <row r="13" spans="1:17" s="1557" customFormat="1" ht="20.100000000000001" customHeight="1">
      <c r="A13" s="251">
        <v>6</v>
      </c>
      <c r="B13" s="229" t="s">
        <v>334</v>
      </c>
      <c r="C13" s="2366">
        <v>1</v>
      </c>
      <c r="D13" s="2366">
        <v>1</v>
      </c>
      <c r="E13" s="2366">
        <v>0</v>
      </c>
      <c r="F13" s="2366">
        <v>0</v>
      </c>
      <c r="G13" s="2366">
        <v>1</v>
      </c>
      <c r="H13" s="2366">
        <v>1</v>
      </c>
      <c r="I13" s="2366">
        <v>0</v>
      </c>
      <c r="J13" s="2366">
        <v>1</v>
      </c>
      <c r="K13" s="2366">
        <v>0</v>
      </c>
      <c r="L13" s="2366">
        <v>0</v>
      </c>
      <c r="M13" s="2366">
        <v>1</v>
      </c>
      <c r="N13" s="2366">
        <v>1</v>
      </c>
      <c r="O13" s="2366">
        <v>1</v>
      </c>
      <c r="P13" s="2366">
        <v>1</v>
      </c>
      <c r="Q13" s="2366">
        <v>0</v>
      </c>
    </row>
    <row r="14" spans="1:17" s="1557" customFormat="1" ht="20.100000000000001" customHeight="1">
      <c r="A14" s="251">
        <v>7</v>
      </c>
      <c r="B14" s="229" t="s">
        <v>1856</v>
      </c>
      <c r="C14" s="2366">
        <v>1</v>
      </c>
      <c r="D14" s="2366">
        <v>1</v>
      </c>
      <c r="E14" s="2366">
        <v>0</v>
      </c>
      <c r="F14" s="2366">
        <v>0</v>
      </c>
      <c r="G14" s="2366">
        <v>1</v>
      </c>
      <c r="H14" s="2366">
        <v>1</v>
      </c>
      <c r="I14" s="2366">
        <v>0</v>
      </c>
      <c r="J14" s="2366">
        <v>1</v>
      </c>
      <c r="K14" s="2366">
        <v>0</v>
      </c>
      <c r="L14" s="2366">
        <v>0</v>
      </c>
      <c r="M14" s="2366">
        <v>1</v>
      </c>
      <c r="N14" s="2366">
        <v>1</v>
      </c>
      <c r="O14" s="2366">
        <v>1</v>
      </c>
      <c r="P14" s="2366">
        <v>1</v>
      </c>
      <c r="Q14" s="2366">
        <v>0</v>
      </c>
    </row>
    <row r="15" spans="1:17" s="1557" customFormat="1" ht="20.100000000000001" customHeight="1">
      <c r="A15" s="251">
        <v>8</v>
      </c>
      <c r="B15" s="229" t="s">
        <v>1857</v>
      </c>
      <c r="C15" s="2366">
        <v>1</v>
      </c>
      <c r="D15" s="2366">
        <v>1</v>
      </c>
      <c r="E15" s="2366">
        <v>0</v>
      </c>
      <c r="F15" s="2366">
        <v>0</v>
      </c>
      <c r="G15" s="2366">
        <v>1</v>
      </c>
      <c r="H15" s="2366">
        <v>1</v>
      </c>
      <c r="I15" s="2366">
        <v>0</v>
      </c>
      <c r="J15" s="2366">
        <v>1</v>
      </c>
      <c r="K15" s="2366">
        <v>0</v>
      </c>
      <c r="L15" s="2366">
        <v>0</v>
      </c>
      <c r="M15" s="2366">
        <v>1</v>
      </c>
      <c r="N15" s="2366">
        <v>1</v>
      </c>
      <c r="O15" s="2366">
        <v>1</v>
      </c>
      <c r="P15" s="2366">
        <v>1</v>
      </c>
      <c r="Q15" s="2366">
        <v>0</v>
      </c>
    </row>
    <row r="16" spans="1:17" s="1557" customFormat="1" ht="20.100000000000001" customHeight="1">
      <c r="A16" s="251">
        <v>9</v>
      </c>
      <c r="B16" s="229" t="s">
        <v>1858</v>
      </c>
      <c r="C16" s="2366">
        <v>1</v>
      </c>
      <c r="D16" s="2366">
        <v>1</v>
      </c>
      <c r="E16" s="2366">
        <v>0</v>
      </c>
      <c r="F16" s="2366">
        <v>0</v>
      </c>
      <c r="G16" s="2366">
        <v>1</v>
      </c>
      <c r="H16" s="2366">
        <v>1</v>
      </c>
      <c r="I16" s="2366">
        <v>0</v>
      </c>
      <c r="J16" s="2366">
        <v>1</v>
      </c>
      <c r="K16" s="2366">
        <v>0</v>
      </c>
      <c r="L16" s="2366">
        <v>0</v>
      </c>
      <c r="M16" s="2366">
        <v>1</v>
      </c>
      <c r="N16" s="2366">
        <v>1</v>
      </c>
      <c r="O16" s="2366">
        <v>1</v>
      </c>
      <c r="P16" s="2366">
        <v>1</v>
      </c>
      <c r="Q16" s="2366">
        <v>0</v>
      </c>
    </row>
    <row r="17" spans="1:17" s="1557" customFormat="1" ht="20.100000000000001" customHeight="1">
      <c r="A17" s="251">
        <v>10</v>
      </c>
      <c r="B17" s="229" t="s">
        <v>1859</v>
      </c>
      <c r="C17" s="2366">
        <v>1</v>
      </c>
      <c r="D17" s="2366">
        <v>1</v>
      </c>
      <c r="E17" s="2366">
        <v>0</v>
      </c>
      <c r="F17" s="2366">
        <v>0</v>
      </c>
      <c r="G17" s="2366">
        <v>1</v>
      </c>
      <c r="H17" s="2366">
        <v>1</v>
      </c>
      <c r="I17" s="2366">
        <v>0</v>
      </c>
      <c r="J17" s="2366">
        <v>1</v>
      </c>
      <c r="K17" s="2366">
        <v>0</v>
      </c>
      <c r="L17" s="2366">
        <v>0</v>
      </c>
      <c r="M17" s="2366">
        <v>1</v>
      </c>
      <c r="N17" s="2366">
        <v>1</v>
      </c>
      <c r="O17" s="2366">
        <v>1</v>
      </c>
      <c r="P17" s="2366">
        <v>1</v>
      </c>
      <c r="Q17" s="2366">
        <v>0</v>
      </c>
    </row>
    <row r="18" spans="1:17" s="1557" customFormat="1" ht="20.100000000000001" customHeight="1">
      <c r="A18" s="251">
        <v>11</v>
      </c>
      <c r="B18" s="229" t="s">
        <v>2094</v>
      </c>
      <c r="C18" s="2366">
        <v>1</v>
      </c>
      <c r="D18" s="2366">
        <v>1</v>
      </c>
      <c r="E18" s="2366">
        <v>0</v>
      </c>
      <c r="F18" s="2366">
        <v>0</v>
      </c>
      <c r="G18" s="2366">
        <v>1</v>
      </c>
      <c r="H18" s="2366">
        <v>1</v>
      </c>
      <c r="I18" s="2366">
        <v>0</v>
      </c>
      <c r="J18" s="2366">
        <v>1</v>
      </c>
      <c r="K18" s="2366">
        <v>0</v>
      </c>
      <c r="L18" s="2366">
        <v>0</v>
      </c>
      <c r="M18" s="2366">
        <v>1</v>
      </c>
      <c r="N18" s="2366">
        <v>1</v>
      </c>
      <c r="O18" s="2366">
        <v>1</v>
      </c>
      <c r="P18" s="2366">
        <v>1</v>
      </c>
      <c r="Q18" s="2366">
        <v>0</v>
      </c>
    </row>
    <row r="19" spans="1:17" s="2364" customFormat="1" ht="20.100000000000001" customHeight="1">
      <c r="A19" s="1232">
        <v>12</v>
      </c>
      <c r="B19" s="253" t="s">
        <v>1860</v>
      </c>
      <c r="C19" s="2367">
        <v>1</v>
      </c>
      <c r="D19" s="2367">
        <v>1</v>
      </c>
      <c r="E19" s="2367">
        <v>0</v>
      </c>
      <c r="F19" s="2367">
        <v>0</v>
      </c>
      <c r="G19" s="2367">
        <v>1</v>
      </c>
      <c r="H19" s="2367">
        <v>1</v>
      </c>
      <c r="I19" s="2367">
        <v>0</v>
      </c>
      <c r="J19" s="2367">
        <v>1</v>
      </c>
      <c r="K19" s="2367">
        <v>0</v>
      </c>
      <c r="L19" s="2367">
        <v>0</v>
      </c>
      <c r="M19" s="2367">
        <v>1</v>
      </c>
      <c r="N19" s="2367">
        <v>1</v>
      </c>
      <c r="O19" s="2367">
        <v>1</v>
      </c>
      <c r="P19" s="2367">
        <v>1</v>
      </c>
      <c r="Q19" s="2367">
        <v>0</v>
      </c>
    </row>
    <row r="20" spans="1:17">
      <c r="A20" s="245"/>
      <c r="B20" s="1231" t="s">
        <v>2095</v>
      </c>
      <c r="C20" s="245"/>
      <c r="D20" s="245"/>
      <c r="E20" s="245"/>
      <c r="F20" s="245"/>
      <c r="G20" s="245"/>
      <c r="H20" s="245"/>
      <c r="I20" s="245"/>
      <c r="J20" s="245"/>
      <c r="K20" s="245"/>
      <c r="L20" s="245"/>
      <c r="M20" s="4494"/>
      <c r="N20" s="4494"/>
      <c r="O20" s="4494"/>
      <c r="P20" s="4494"/>
      <c r="Q20" s="245"/>
    </row>
    <row r="21" spans="1:17">
      <c r="A21" s="245"/>
      <c r="B21" s="1160" t="s">
        <v>2649</v>
      </c>
      <c r="C21" s="245"/>
      <c r="D21" s="245"/>
      <c r="E21" s="245"/>
      <c r="F21" s="245"/>
      <c r="G21" s="245"/>
      <c r="H21" s="245"/>
      <c r="I21" s="245"/>
      <c r="J21" s="245"/>
      <c r="K21" s="245"/>
      <c r="L21" s="245"/>
      <c r="M21" s="4333"/>
      <c r="N21" s="4333"/>
      <c r="O21" s="4333"/>
      <c r="P21" s="4333"/>
      <c r="Q21" s="245"/>
    </row>
    <row r="22" spans="1:17">
      <c r="A22" s="245"/>
      <c r="B22" s="1160" t="s">
        <v>2650</v>
      </c>
      <c r="C22" s="245"/>
      <c r="D22" s="245"/>
      <c r="E22" s="245"/>
      <c r="F22" s="245"/>
      <c r="G22" s="245"/>
      <c r="H22" s="245"/>
      <c r="I22" s="245"/>
      <c r="J22" s="245"/>
      <c r="K22" s="245"/>
      <c r="L22" s="245"/>
      <c r="M22" s="4333"/>
      <c r="N22" s="4333"/>
      <c r="O22" s="4333"/>
      <c r="P22" s="4333"/>
      <c r="Q22" s="245"/>
    </row>
    <row r="23" spans="1:17">
      <c r="A23" s="245"/>
      <c r="B23" s="1160" t="s">
        <v>2651</v>
      </c>
      <c r="C23" s="245"/>
      <c r="D23" s="245"/>
      <c r="E23" s="245"/>
      <c r="F23" s="245"/>
      <c r="G23" s="245"/>
      <c r="H23" s="245"/>
      <c r="I23" s="245"/>
      <c r="J23" s="245"/>
      <c r="K23" s="245"/>
      <c r="L23" s="245"/>
      <c r="M23" s="245"/>
      <c r="N23" s="245"/>
      <c r="O23" s="245"/>
      <c r="P23" s="245"/>
      <c r="Q23" s="245"/>
    </row>
    <row r="24" spans="1:17">
      <c r="A24" s="245"/>
      <c r="B24" s="1160" t="s">
        <v>2652</v>
      </c>
      <c r="C24" s="245"/>
      <c r="D24" s="245"/>
      <c r="E24" s="245"/>
      <c r="F24" s="245"/>
      <c r="G24" s="245"/>
      <c r="H24" s="245"/>
      <c r="I24" s="245"/>
      <c r="J24" s="245"/>
      <c r="K24" s="245"/>
      <c r="L24" s="245"/>
      <c r="M24" s="245"/>
      <c r="N24" s="245"/>
      <c r="O24" s="245"/>
      <c r="P24" s="245"/>
      <c r="Q24" s="245"/>
    </row>
    <row r="25" spans="1:17">
      <c r="A25" s="245"/>
      <c r="B25" s="1160" t="s">
        <v>2653</v>
      </c>
      <c r="C25" s="245"/>
      <c r="D25" s="245"/>
      <c r="E25" s="245"/>
      <c r="F25" s="245"/>
      <c r="G25" s="245"/>
      <c r="H25" s="245"/>
      <c r="I25" s="245"/>
      <c r="J25" s="245"/>
      <c r="K25" s="245"/>
      <c r="L25" s="245"/>
      <c r="M25" s="245"/>
      <c r="N25" s="245"/>
      <c r="O25" s="245"/>
      <c r="P25" s="245"/>
      <c r="Q25" s="245"/>
    </row>
    <row r="26" spans="1:17">
      <c r="A26" s="245"/>
      <c r="B26" s="1160" t="s">
        <v>2654</v>
      </c>
      <c r="C26" s="245"/>
      <c r="D26" s="245"/>
      <c r="E26" s="245"/>
      <c r="F26" s="245"/>
      <c r="G26" s="245"/>
      <c r="H26" s="245"/>
      <c r="I26" s="245"/>
      <c r="J26" s="245"/>
      <c r="K26" s="245"/>
      <c r="L26" s="245"/>
      <c r="M26" s="245"/>
      <c r="N26" s="245"/>
      <c r="O26" s="245"/>
      <c r="P26" s="245"/>
      <c r="Q26" s="245"/>
    </row>
    <row r="27" spans="1:17" ht="28.95" customHeight="1">
      <c r="A27" s="245"/>
      <c r="B27" s="4497" t="s">
        <v>2102</v>
      </c>
      <c r="C27" s="4497"/>
      <c r="D27" s="4497"/>
      <c r="E27" s="4497"/>
      <c r="F27" s="4497"/>
      <c r="G27" s="4497"/>
      <c r="H27" s="4497"/>
      <c r="I27" s="4497"/>
      <c r="J27" s="4497"/>
      <c r="K27" s="4497"/>
      <c r="L27" s="4497"/>
      <c r="M27" s="4497"/>
      <c r="N27" s="4497"/>
      <c r="O27" s="4497"/>
      <c r="P27" s="4497"/>
      <c r="Q27" s="4497"/>
    </row>
  </sheetData>
  <mergeCells count="21">
    <mergeCell ref="M20:P20"/>
    <mergeCell ref="M21:P21"/>
    <mergeCell ref="M22:P22"/>
    <mergeCell ref="B27:Q27"/>
    <mergeCell ref="L6:L7"/>
    <mergeCell ref="M6:M7"/>
    <mergeCell ref="N6:N7"/>
    <mergeCell ref="O6:O7"/>
    <mergeCell ref="P6:P7"/>
    <mergeCell ref="Q6:Q7"/>
    <mergeCell ref="A1:Q1"/>
    <mergeCell ref="P4:Q4"/>
    <mergeCell ref="A5:A7"/>
    <mergeCell ref="B5:B7"/>
    <mergeCell ref="C5:Q5"/>
    <mergeCell ref="C6:G6"/>
    <mergeCell ref="H6:H7"/>
    <mergeCell ref="I6:I7"/>
    <mergeCell ref="J6:J7"/>
    <mergeCell ref="K6:K7"/>
    <mergeCell ref="A2:Q2"/>
  </mergeCells>
  <hyperlinks>
    <hyperlink ref="A5:A7" location="'List danh mục'!A1" display="'List danh mục'!A1"/>
  </hyperlinks>
  <printOptions horizontalCentered="1"/>
  <pageMargins left="0" right="0" top="0.39370078740157483" bottom="0" header="0" footer="0"/>
  <pageSetup paperSize="9" scale="90" orientation="landscape" verticalDpi="0" r:id="rId1"/>
  <headerFooter>
    <oddHeader>&amp;R&amp;A</oddHeader>
    <oddFooter>&amp;C&amp;P/&amp;N</oddFooter>
  </headerFooter>
</worksheet>
</file>

<file path=xl/worksheets/sheet1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G167"/>
  <sheetViews>
    <sheetView topLeftCell="A19" workbookViewId="0">
      <selection activeCell="C19" sqref="C19:F23"/>
    </sheetView>
  </sheetViews>
  <sheetFormatPr defaultColWidth="9" defaultRowHeight="15.6"/>
  <cols>
    <col min="1" max="1" width="4.19921875" style="246" customWidth="1"/>
    <col min="2" max="2" width="28.19921875" style="245" customWidth="1"/>
    <col min="3" max="7" width="13.8984375" style="245" customWidth="1"/>
    <col min="8" max="16384" width="9" style="245"/>
  </cols>
  <sheetData>
    <row r="1" spans="1:7">
      <c r="A1" s="4333" t="s">
        <v>2104</v>
      </c>
      <c r="B1" s="4333"/>
      <c r="C1" s="4333"/>
      <c r="D1" s="4333"/>
      <c r="E1" s="4333"/>
      <c r="F1" s="4333"/>
      <c r="G1" s="4333"/>
    </row>
    <row r="2" spans="1:7">
      <c r="A2" s="4500" t="s">
        <v>2418</v>
      </c>
      <c r="B2" s="4333"/>
      <c r="C2" s="4333"/>
      <c r="D2" s="4333"/>
      <c r="E2" s="4333"/>
      <c r="F2" s="4333"/>
      <c r="G2" s="4333"/>
    </row>
    <row r="3" spans="1:7">
      <c r="A3" s="4498" t="str">
        <f>'Phụ lục 8-CKNS'!A2:Q2</f>
        <v>(Kèm theo Quyết định số       /QĐ-UBND-HC ngày     /12/2023 của Ủy ban nhân dân tỉnh Đồng Tháp)</v>
      </c>
      <c r="B3" s="4499"/>
      <c r="C3" s="4499"/>
      <c r="D3" s="4499"/>
      <c r="E3" s="4499"/>
      <c r="F3" s="4499"/>
      <c r="G3" s="4499"/>
    </row>
    <row r="4" spans="1:7">
      <c r="F4" s="4793" t="s">
        <v>2105</v>
      </c>
      <c r="G4" s="4793"/>
    </row>
    <row r="5" spans="1:7">
      <c r="A5" s="4277" t="s">
        <v>1370</v>
      </c>
      <c r="B5" s="4334" t="s">
        <v>2106</v>
      </c>
      <c r="C5" s="4496"/>
      <c r="D5" s="4496"/>
      <c r="E5" s="4496"/>
      <c r="F5" s="4496"/>
      <c r="G5" s="4496"/>
    </row>
    <row r="6" spans="1:7" s="2137" customFormat="1" ht="62.4">
      <c r="A6" s="4277"/>
      <c r="B6" s="4334"/>
      <c r="C6" s="249" t="s">
        <v>271</v>
      </c>
      <c r="D6" s="249" t="s">
        <v>2107</v>
      </c>
      <c r="E6" s="249" t="s">
        <v>354</v>
      </c>
      <c r="F6" s="249" t="s">
        <v>2108</v>
      </c>
      <c r="G6" s="249" t="s">
        <v>2109</v>
      </c>
    </row>
    <row r="7" spans="1:7" s="248" customFormat="1">
      <c r="A7" s="1209" t="s">
        <v>9</v>
      </c>
      <c r="B7" s="1210" t="s">
        <v>1850</v>
      </c>
      <c r="C7" s="2177"/>
      <c r="D7" s="2177"/>
      <c r="E7" s="2177"/>
      <c r="F7" s="2177"/>
      <c r="G7" s="2177"/>
    </row>
    <row r="8" spans="1:7" s="248" customFormat="1">
      <c r="A8" s="809">
        <v>1</v>
      </c>
      <c r="B8" s="1211" t="s">
        <v>2110</v>
      </c>
      <c r="C8" s="2174">
        <v>1</v>
      </c>
      <c r="D8" s="2174">
        <v>1</v>
      </c>
      <c r="E8" s="2174">
        <v>1</v>
      </c>
      <c r="F8" s="2174">
        <v>1</v>
      </c>
      <c r="G8" s="2174">
        <v>1</v>
      </c>
    </row>
    <row r="9" spans="1:7">
      <c r="A9" s="809">
        <v>2</v>
      </c>
      <c r="B9" s="1211" t="s">
        <v>2111</v>
      </c>
      <c r="C9" s="2174">
        <v>1</v>
      </c>
      <c r="D9" s="2174">
        <v>1</v>
      </c>
      <c r="E9" s="2174">
        <v>1</v>
      </c>
      <c r="F9" s="2174">
        <v>1</v>
      </c>
      <c r="G9" s="2174">
        <v>1</v>
      </c>
    </row>
    <row r="10" spans="1:7">
      <c r="A10" s="809">
        <v>3</v>
      </c>
      <c r="B10" s="1211" t="s">
        <v>2112</v>
      </c>
      <c r="C10" s="2174">
        <v>1</v>
      </c>
      <c r="D10" s="2174">
        <v>1</v>
      </c>
      <c r="E10" s="2174">
        <v>1</v>
      </c>
      <c r="F10" s="2174">
        <v>1</v>
      </c>
      <c r="G10" s="2174">
        <v>1</v>
      </c>
    </row>
    <row r="11" spans="1:7">
      <c r="A11" s="809">
        <v>4</v>
      </c>
      <c r="B11" s="1211" t="s">
        <v>2113</v>
      </c>
      <c r="C11" s="2174">
        <v>1</v>
      </c>
      <c r="D11" s="2174">
        <v>1</v>
      </c>
      <c r="E11" s="2174">
        <v>1</v>
      </c>
      <c r="F11" s="2174">
        <v>1</v>
      </c>
      <c r="G11" s="2174">
        <v>1</v>
      </c>
    </row>
    <row r="12" spans="1:7">
      <c r="A12" s="809">
        <v>5</v>
      </c>
      <c r="B12" s="1211" t="s">
        <v>2114</v>
      </c>
      <c r="C12" s="2174">
        <v>1</v>
      </c>
      <c r="D12" s="2174">
        <v>1</v>
      </c>
      <c r="E12" s="2174">
        <v>1</v>
      </c>
      <c r="F12" s="2174">
        <v>1</v>
      </c>
      <c r="G12" s="2174">
        <v>1</v>
      </c>
    </row>
    <row r="13" spans="1:7">
      <c r="A13" s="809">
        <v>6</v>
      </c>
      <c r="B13" s="1211" t="s">
        <v>2115</v>
      </c>
      <c r="C13" s="2174">
        <v>1</v>
      </c>
      <c r="D13" s="2174">
        <v>1</v>
      </c>
      <c r="E13" s="2174">
        <v>1</v>
      </c>
      <c r="F13" s="2174">
        <v>1</v>
      </c>
      <c r="G13" s="2174">
        <v>1</v>
      </c>
    </row>
    <row r="14" spans="1:7">
      <c r="A14" s="809">
        <v>7</v>
      </c>
      <c r="B14" s="1211" t="s">
        <v>2116</v>
      </c>
      <c r="C14" s="2174">
        <v>1</v>
      </c>
      <c r="D14" s="2174">
        <v>1</v>
      </c>
      <c r="E14" s="2174">
        <v>1</v>
      </c>
      <c r="F14" s="2174">
        <v>1</v>
      </c>
      <c r="G14" s="2174">
        <v>1</v>
      </c>
    </row>
    <row r="15" spans="1:7">
      <c r="A15" s="809">
        <v>8</v>
      </c>
      <c r="B15" s="1211" t="s">
        <v>2117</v>
      </c>
      <c r="C15" s="2174">
        <v>1</v>
      </c>
      <c r="D15" s="2174">
        <v>1</v>
      </c>
      <c r="E15" s="2174">
        <v>1</v>
      </c>
      <c r="F15" s="2174">
        <v>1</v>
      </c>
      <c r="G15" s="2174">
        <v>1</v>
      </c>
    </row>
    <row r="16" spans="1:7">
      <c r="A16" s="809">
        <v>9</v>
      </c>
      <c r="B16" s="1211" t="s">
        <v>2118</v>
      </c>
      <c r="C16" s="2174">
        <v>1</v>
      </c>
      <c r="D16" s="2174">
        <v>1</v>
      </c>
      <c r="E16" s="2174">
        <v>1</v>
      </c>
      <c r="F16" s="2174">
        <v>1</v>
      </c>
      <c r="G16" s="2174">
        <v>1</v>
      </c>
    </row>
    <row r="17" spans="1:7">
      <c r="A17" s="809">
        <v>10</v>
      </c>
      <c r="B17" s="1211" t="s">
        <v>2119</v>
      </c>
      <c r="C17" s="2174">
        <v>1</v>
      </c>
      <c r="D17" s="2174">
        <v>1</v>
      </c>
      <c r="E17" s="2174">
        <v>1</v>
      </c>
      <c r="F17" s="2174">
        <v>1</v>
      </c>
      <c r="G17" s="2174">
        <v>1</v>
      </c>
    </row>
    <row r="18" spans="1:7" s="248" customFormat="1">
      <c r="A18" s="1093" t="s">
        <v>20</v>
      </c>
      <c r="B18" s="1094" t="s">
        <v>333</v>
      </c>
      <c r="C18" s="2178"/>
      <c r="D18" s="2178"/>
      <c r="E18" s="2178"/>
      <c r="F18" s="2178"/>
      <c r="G18" s="2178"/>
    </row>
    <row r="19" spans="1:7" ht="15.75" customHeight="1">
      <c r="A19" s="2179">
        <v>1</v>
      </c>
      <c r="B19" s="2180" t="s">
        <v>2120</v>
      </c>
      <c r="C19" s="4794" t="s">
        <v>2121</v>
      </c>
      <c r="D19" s="4795"/>
      <c r="E19" s="4795"/>
      <c r="F19" s="4796"/>
      <c r="G19" s="2181">
        <v>1</v>
      </c>
    </row>
    <row r="20" spans="1:7">
      <c r="A20" s="2179">
        <v>2</v>
      </c>
      <c r="B20" s="2180" t="s">
        <v>2122</v>
      </c>
      <c r="C20" s="4797"/>
      <c r="D20" s="4798"/>
      <c r="E20" s="4798"/>
      <c r="F20" s="4799"/>
      <c r="G20" s="2181">
        <v>1</v>
      </c>
    </row>
    <row r="21" spans="1:7">
      <c r="A21" s="2182">
        <v>3</v>
      </c>
      <c r="B21" s="2183" t="s">
        <v>2123</v>
      </c>
      <c r="C21" s="4797"/>
      <c r="D21" s="4798"/>
      <c r="E21" s="4798"/>
      <c r="F21" s="4799"/>
      <c r="G21" s="2184">
        <v>1</v>
      </c>
    </row>
    <row r="22" spans="1:7">
      <c r="A22" s="2179">
        <v>4</v>
      </c>
      <c r="B22" s="2180" t="s">
        <v>2124</v>
      </c>
      <c r="C22" s="4797"/>
      <c r="D22" s="4798"/>
      <c r="E22" s="4798"/>
      <c r="F22" s="4799"/>
      <c r="G22" s="2181">
        <v>1</v>
      </c>
    </row>
    <row r="23" spans="1:7">
      <c r="A23" s="2179">
        <v>5</v>
      </c>
      <c r="B23" s="2180" t="s">
        <v>2125</v>
      </c>
      <c r="C23" s="4800"/>
      <c r="D23" s="4801"/>
      <c r="E23" s="4801"/>
      <c r="F23" s="4802"/>
      <c r="G23" s="2181">
        <v>1</v>
      </c>
    </row>
    <row r="24" spans="1:7">
      <c r="A24" s="809">
        <v>6</v>
      </c>
      <c r="B24" s="1211" t="s">
        <v>2126</v>
      </c>
      <c r="C24" s="2174">
        <v>1</v>
      </c>
      <c r="D24" s="2174">
        <v>1</v>
      </c>
      <c r="E24" s="2174">
        <v>1</v>
      </c>
      <c r="F24" s="2174">
        <v>1</v>
      </c>
      <c r="G24" s="2174">
        <v>1</v>
      </c>
    </row>
    <row r="25" spans="1:7">
      <c r="A25" s="809">
        <v>7</v>
      </c>
      <c r="B25" s="1211" t="s">
        <v>2127</v>
      </c>
      <c r="C25" s="2174">
        <v>1</v>
      </c>
      <c r="D25" s="2174">
        <v>1</v>
      </c>
      <c r="E25" s="2174">
        <v>1</v>
      </c>
      <c r="F25" s="2174">
        <v>1</v>
      </c>
      <c r="G25" s="2174">
        <v>1</v>
      </c>
    </row>
    <row r="26" spans="1:7" s="248" customFormat="1">
      <c r="A26" s="1093" t="s">
        <v>49</v>
      </c>
      <c r="B26" s="1094" t="s">
        <v>1853</v>
      </c>
      <c r="C26" s="2178"/>
      <c r="D26" s="2178"/>
      <c r="E26" s="2178"/>
      <c r="F26" s="2178"/>
      <c r="G26" s="2178"/>
    </row>
    <row r="27" spans="1:7">
      <c r="A27" s="809">
        <v>1</v>
      </c>
      <c r="B27" s="1211" t="s">
        <v>2128</v>
      </c>
      <c r="C27" s="2174">
        <v>1</v>
      </c>
      <c r="D27" s="2174">
        <v>1</v>
      </c>
      <c r="E27" s="2174">
        <v>1</v>
      </c>
      <c r="F27" s="2174">
        <v>1</v>
      </c>
      <c r="G27" s="2174">
        <v>1</v>
      </c>
    </row>
    <row r="28" spans="1:7">
      <c r="A28" s="809">
        <v>2</v>
      </c>
      <c r="B28" s="1211" t="s">
        <v>2129</v>
      </c>
      <c r="C28" s="2174">
        <v>1</v>
      </c>
      <c r="D28" s="2174">
        <v>1</v>
      </c>
      <c r="E28" s="2174">
        <v>1</v>
      </c>
      <c r="F28" s="2174">
        <v>1</v>
      </c>
      <c r="G28" s="2174">
        <v>1</v>
      </c>
    </row>
    <row r="29" spans="1:7">
      <c r="A29" s="809">
        <v>3</v>
      </c>
      <c r="B29" s="1211" t="s">
        <v>2130</v>
      </c>
      <c r="C29" s="2174">
        <v>1</v>
      </c>
      <c r="D29" s="2174">
        <v>1</v>
      </c>
      <c r="E29" s="2174">
        <v>1</v>
      </c>
      <c r="F29" s="2174">
        <v>1</v>
      </c>
      <c r="G29" s="2174">
        <v>1</v>
      </c>
    </row>
    <row r="30" spans="1:7">
      <c r="A30" s="809">
        <v>4</v>
      </c>
      <c r="B30" s="1211" t="s">
        <v>2131</v>
      </c>
      <c r="C30" s="2174">
        <v>1</v>
      </c>
      <c r="D30" s="2174">
        <v>1</v>
      </c>
      <c r="E30" s="2174">
        <v>1</v>
      </c>
      <c r="F30" s="2174">
        <v>1</v>
      </c>
      <c r="G30" s="2174">
        <v>1</v>
      </c>
    </row>
    <row r="31" spans="1:7">
      <c r="A31" s="809">
        <v>5</v>
      </c>
      <c r="B31" s="1211" t="s">
        <v>2132</v>
      </c>
      <c r="C31" s="2174">
        <v>1</v>
      </c>
      <c r="D31" s="2174">
        <v>1</v>
      </c>
      <c r="E31" s="2174">
        <v>1</v>
      </c>
      <c r="F31" s="2174">
        <v>1</v>
      </c>
      <c r="G31" s="2174">
        <v>1</v>
      </c>
    </row>
    <row r="32" spans="1:7">
      <c r="A32" s="809">
        <v>6</v>
      </c>
      <c r="B32" s="1211" t="s">
        <v>2133</v>
      </c>
      <c r="C32" s="2174">
        <v>1</v>
      </c>
      <c r="D32" s="2174">
        <v>1</v>
      </c>
      <c r="E32" s="2174">
        <v>1</v>
      </c>
      <c r="F32" s="2174">
        <v>1</v>
      </c>
      <c r="G32" s="2174">
        <v>1</v>
      </c>
    </row>
    <row r="33" spans="1:7">
      <c r="A33" s="809">
        <v>7</v>
      </c>
      <c r="B33" s="1211" t="s">
        <v>2134</v>
      </c>
      <c r="C33" s="2174">
        <v>1</v>
      </c>
      <c r="D33" s="2174">
        <v>1</v>
      </c>
      <c r="E33" s="2174">
        <v>1</v>
      </c>
      <c r="F33" s="2174">
        <v>1</v>
      </c>
      <c r="G33" s="2174">
        <v>1</v>
      </c>
    </row>
    <row r="34" spans="1:7">
      <c r="A34" s="809">
        <v>8</v>
      </c>
      <c r="B34" s="1211" t="s">
        <v>2135</v>
      </c>
      <c r="C34" s="2174">
        <v>1</v>
      </c>
      <c r="D34" s="2174">
        <v>1</v>
      </c>
      <c r="E34" s="2174">
        <v>1</v>
      </c>
      <c r="F34" s="2174">
        <v>1</v>
      </c>
      <c r="G34" s="2174">
        <v>1</v>
      </c>
    </row>
    <row r="35" spans="1:7">
      <c r="A35" s="809">
        <v>9</v>
      </c>
      <c r="B35" s="1211" t="s">
        <v>2136</v>
      </c>
      <c r="C35" s="2174">
        <v>1</v>
      </c>
      <c r="D35" s="2174">
        <v>1</v>
      </c>
      <c r="E35" s="2174">
        <v>1</v>
      </c>
      <c r="F35" s="2174">
        <v>1</v>
      </c>
      <c r="G35" s="2174">
        <v>1</v>
      </c>
    </row>
    <row r="36" spans="1:7" s="248" customFormat="1">
      <c r="A36" s="1093" t="s">
        <v>50</v>
      </c>
      <c r="B36" s="1094" t="s">
        <v>2137</v>
      </c>
      <c r="C36" s="2178"/>
      <c r="D36" s="2178"/>
      <c r="E36" s="2178"/>
      <c r="F36" s="2178"/>
      <c r="G36" s="2178"/>
    </row>
    <row r="37" spans="1:7">
      <c r="A37" s="809">
        <v>1</v>
      </c>
      <c r="B37" s="1211" t="s">
        <v>2138</v>
      </c>
      <c r="C37" s="2174">
        <v>1</v>
      </c>
      <c r="D37" s="2174">
        <v>1</v>
      </c>
      <c r="E37" s="2174">
        <v>1</v>
      </c>
      <c r="F37" s="2174">
        <v>1</v>
      </c>
      <c r="G37" s="2174">
        <v>1</v>
      </c>
    </row>
    <row r="38" spans="1:7">
      <c r="A38" s="809">
        <v>2</v>
      </c>
      <c r="B38" s="1211" t="s">
        <v>2139</v>
      </c>
      <c r="C38" s="2174">
        <v>1</v>
      </c>
      <c r="D38" s="2174">
        <v>1</v>
      </c>
      <c r="E38" s="2174">
        <v>1</v>
      </c>
      <c r="F38" s="2174">
        <v>1</v>
      </c>
      <c r="G38" s="2174">
        <v>1</v>
      </c>
    </row>
    <row r="39" spans="1:7">
      <c r="A39" s="809">
        <v>3</v>
      </c>
      <c r="B39" s="1211" t="s">
        <v>2140</v>
      </c>
      <c r="C39" s="2174">
        <v>1</v>
      </c>
      <c r="D39" s="2174">
        <v>1</v>
      </c>
      <c r="E39" s="2174">
        <v>1</v>
      </c>
      <c r="F39" s="2174">
        <v>1</v>
      </c>
      <c r="G39" s="2174">
        <v>1</v>
      </c>
    </row>
    <row r="40" spans="1:7">
      <c r="A40" s="809">
        <v>4</v>
      </c>
      <c r="B40" s="1211" t="s">
        <v>2141</v>
      </c>
      <c r="C40" s="2174">
        <v>1</v>
      </c>
      <c r="D40" s="2174">
        <v>1</v>
      </c>
      <c r="E40" s="2174">
        <v>1</v>
      </c>
      <c r="F40" s="2174">
        <v>1</v>
      </c>
      <c r="G40" s="2174">
        <v>1</v>
      </c>
    </row>
    <row r="41" spans="1:7">
      <c r="A41" s="809">
        <v>5</v>
      </c>
      <c r="B41" s="1211" t="s">
        <v>2142</v>
      </c>
      <c r="C41" s="2174">
        <v>1</v>
      </c>
      <c r="D41" s="2174">
        <v>1</v>
      </c>
      <c r="E41" s="2174">
        <v>1</v>
      </c>
      <c r="F41" s="2174">
        <v>1</v>
      </c>
      <c r="G41" s="2174">
        <v>1</v>
      </c>
    </row>
    <row r="42" spans="1:7">
      <c r="A42" s="809">
        <v>6</v>
      </c>
      <c r="B42" s="1211" t="s">
        <v>2143</v>
      </c>
      <c r="C42" s="2174">
        <v>1</v>
      </c>
      <c r="D42" s="2174">
        <v>1</v>
      </c>
      <c r="E42" s="2174">
        <v>1</v>
      </c>
      <c r="F42" s="2174">
        <v>1</v>
      </c>
      <c r="G42" s="2174">
        <v>1</v>
      </c>
    </row>
    <row r="43" spans="1:7">
      <c r="A43" s="809">
        <v>7</v>
      </c>
      <c r="B43" s="1211" t="s">
        <v>2144</v>
      </c>
      <c r="C43" s="2174">
        <v>1</v>
      </c>
      <c r="D43" s="2174">
        <v>1</v>
      </c>
      <c r="E43" s="2174">
        <v>1</v>
      </c>
      <c r="F43" s="2174">
        <v>1</v>
      </c>
      <c r="G43" s="2174">
        <v>1</v>
      </c>
    </row>
    <row r="44" spans="1:7">
      <c r="A44" s="809">
        <v>8</v>
      </c>
      <c r="B44" s="1211" t="s">
        <v>2145</v>
      </c>
      <c r="C44" s="2174">
        <v>1</v>
      </c>
      <c r="D44" s="2174">
        <v>1</v>
      </c>
      <c r="E44" s="2174">
        <v>1</v>
      </c>
      <c r="F44" s="2174">
        <v>1</v>
      </c>
      <c r="G44" s="2174">
        <v>1</v>
      </c>
    </row>
    <row r="45" spans="1:7">
      <c r="A45" s="809">
        <v>9</v>
      </c>
      <c r="B45" s="1211" t="s">
        <v>2146</v>
      </c>
      <c r="C45" s="2174">
        <v>1</v>
      </c>
      <c r="D45" s="2174">
        <v>1</v>
      </c>
      <c r="E45" s="2174">
        <v>1</v>
      </c>
      <c r="F45" s="2174">
        <v>1</v>
      </c>
      <c r="G45" s="2174">
        <v>1</v>
      </c>
    </row>
    <row r="46" spans="1:7">
      <c r="A46" s="809">
        <v>10</v>
      </c>
      <c r="B46" s="1211" t="s">
        <v>2147</v>
      </c>
      <c r="C46" s="2174">
        <v>1</v>
      </c>
      <c r="D46" s="2174">
        <v>1</v>
      </c>
      <c r="E46" s="2174">
        <v>1</v>
      </c>
      <c r="F46" s="2174">
        <v>1</v>
      </c>
      <c r="G46" s="2174">
        <v>1</v>
      </c>
    </row>
    <row r="47" spans="1:7">
      <c r="A47" s="809">
        <v>11</v>
      </c>
      <c r="B47" s="1211" t="s">
        <v>2148</v>
      </c>
      <c r="C47" s="2174">
        <v>1</v>
      </c>
      <c r="D47" s="2174">
        <v>1</v>
      </c>
      <c r="E47" s="2174">
        <v>1</v>
      </c>
      <c r="F47" s="2174">
        <v>1</v>
      </c>
      <c r="G47" s="2174">
        <v>1</v>
      </c>
    </row>
    <row r="48" spans="1:7">
      <c r="A48" s="809">
        <v>12</v>
      </c>
      <c r="B48" s="1211" t="s">
        <v>2149</v>
      </c>
      <c r="C48" s="2174">
        <v>1</v>
      </c>
      <c r="D48" s="2174">
        <v>1</v>
      </c>
      <c r="E48" s="2174">
        <v>1</v>
      </c>
      <c r="F48" s="2174">
        <v>1</v>
      </c>
      <c r="G48" s="2174">
        <v>1</v>
      </c>
    </row>
    <row r="49" spans="1:7" s="248" customFormat="1">
      <c r="A49" s="1093" t="s">
        <v>72</v>
      </c>
      <c r="B49" s="1094" t="s">
        <v>1855</v>
      </c>
      <c r="C49" s="2178"/>
      <c r="D49" s="2178"/>
      <c r="E49" s="2178"/>
      <c r="F49" s="2178"/>
      <c r="G49" s="2178"/>
    </row>
    <row r="50" spans="1:7">
      <c r="A50" s="809">
        <v>1</v>
      </c>
      <c r="B50" s="2185" t="s">
        <v>2150</v>
      </c>
      <c r="C50" s="2174">
        <v>1</v>
      </c>
      <c r="D50" s="2174">
        <v>1</v>
      </c>
      <c r="E50" s="2174">
        <v>1</v>
      </c>
      <c r="F50" s="2174">
        <v>1</v>
      </c>
      <c r="G50" s="2174">
        <v>1</v>
      </c>
    </row>
    <row r="51" spans="1:7">
      <c r="A51" s="809">
        <v>2</v>
      </c>
      <c r="B51" s="2185" t="s">
        <v>2151</v>
      </c>
      <c r="C51" s="2174">
        <v>1</v>
      </c>
      <c r="D51" s="2174">
        <v>1</v>
      </c>
      <c r="E51" s="2174">
        <v>1</v>
      </c>
      <c r="F51" s="2174">
        <v>1</v>
      </c>
      <c r="G51" s="2174">
        <v>1</v>
      </c>
    </row>
    <row r="52" spans="1:7">
      <c r="A52" s="809">
        <v>3</v>
      </c>
      <c r="B52" s="2185" t="s">
        <v>2152</v>
      </c>
      <c r="C52" s="2174">
        <v>1</v>
      </c>
      <c r="D52" s="2174">
        <v>1</v>
      </c>
      <c r="E52" s="2174">
        <v>1</v>
      </c>
      <c r="F52" s="2174">
        <v>1</v>
      </c>
      <c r="G52" s="2174">
        <v>1</v>
      </c>
    </row>
    <row r="53" spans="1:7">
      <c r="A53" s="809">
        <v>4</v>
      </c>
      <c r="B53" s="2185" t="s">
        <v>2153</v>
      </c>
      <c r="C53" s="2174">
        <v>1</v>
      </c>
      <c r="D53" s="2174">
        <v>1</v>
      </c>
      <c r="E53" s="2174">
        <v>1</v>
      </c>
      <c r="F53" s="2174">
        <v>1</v>
      </c>
      <c r="G53" s="2174">
        <v>1</v>
      </c>
    </row>
    <row r="54" spans="1:7">
      <c r="A54" s="809">
        <v>5</v>
      </c>
      <c r="B54" s="2185" t="s">
        <v>2154</v>
      </c>
      <c r="C54" s="2174">
        <v>1</v>
      </c>
      <c r="D54" s="2174">
        <v>1</v>
      </c>
      <c r="E54" s="2174">
        <v>1</v>
      </c>
      <c r="F54" s="2174">
        <v>1</v>
      </c>
      <c r="G54" s="2174">
        <v>1</v>
      </c>
    </row>
    <row r="55" spans="1:7">
      <c r="A55" s="809">
        <v>6</v>
      </c>
      <c r="B55" s="2185" t="s">
        <v>2155</v>
      </c>
      <c r="C55" s="2174">
        <v>1</v>
      </c>
      <c r="D55" s="2174">
        <v>1</v>
      </c>
      <c r="E55" s="2174">
        <v>1</v>
      </c>
      <c r="F55" s="2174">
        <v>1</v>
      </c>
      <c r="G55" s="2174">
        <v>1</v>
      </c>
    </row>
    <row r="56" spans="1:7">
      <c r="A56" s="809">
        <v>7</v>
      </c>
      <c r="B56" s="2185" t="s">
        <v>2156</v>
      </c>
      <c r="C56" s="2174">
        <v>1</v>
      </c>
      <c r="D56" s="2174">
        <v>1</v>
      </c>
      <c r="E56" s="2174">
        <v>1</v>
      </c>
      <c r="F56" s="2174">
        <v>1</v>
      </c>
      <c r="G56" s="2174">
        <v>1</v>
      </c>
    </row>
    <row r="57" spans="1:7">
      <c r="A57" s="809">
        <v>8</v>
      </c>
      <c r="B57" s="2185" t="s">
        <v>2157</v>
      </c>
      <c r="C57" s="2174">
        <v>1</v>
      </c>
      <c r="D57" s="2174">
        <v>1</v>
      </c>
      <c r="E57" s="2174">
        <v>1</v>
      </c>
      <c r="F57" s="2174">
        <v>1</v>
      </c>
      <c r="G57" s="2174">
        <v>1</v>
      </c>
    </row>
    <row r="58" spans="1:7">
      <c r="A58" s="809">
        <v>9</v>
      </c>
      <c r="B58" s="2185" t="s">
        <v>2158</v>
      </c>
      <c r="C58" s="2174">
        <v>1</v>
      </c>
      <c r="D58" s="2174">
        <v>1</v>
      </c>
      <c r="E58" s="2174">
        <v>1</v>
      </c>
      <c r="F58" s="2174">
        <v>1</v>
      </c>
      <c r="G58" s="2174">
        <v>1</v>
      </c>
    </row>
    <row r="59" spans="1:7">
      <c r="A59" s="809">
        <v>10</v>
      </c>
      <c r="B59" s="2185" t="s">
        <v>2159</v>
      </c>
      <c r="C59" s="2174">
        <v>1</v>
      </c>
      <c r="D59" s="2174">
        <v>1</v>
      </c>
      <c r="E59" s="2174">
        <v>1</v>
      </c>
      <c r="F59" s="2174">
        <v>1</v>
      </c>
      <c r="G59" s="2174">
        <v>1</v>
      </c>
    </row>
    <row r="60" spans="1:7">
      <c r="A60" s="809">
        <v>11</v>
      </c>
      <c r="B60" s="2185" t="s">
        <v>2160</v>
      </c>
      <c r="C60" s="2174">
        <v>1</v>
      </c>
      <c r="D60" s="2174">
        <v>1</v>
      </c>
      <c r="E60" s="2174">
        <v>1</v>
      </c>
      <c r="F60" s="2174">
        <v>1</v>
      </c>
      <c r="G60" s="2174">
        <v>1</v>
      </c>
    </row>
    <row r="61" spans="1:7">
      <c r="A61" s="809">
        <v>12</v>
      </c>
      <c r="B61" s="2185" t="s">
        <v>2161</v>
      </c>
      <c r="C61" s="2174">
        <v>1</v>
      </c>
      <c r="D61" s="2174">
        <v>1</v>
      </c>
      <c r="E61" s="2174">
        <v>1</v>
      </c>
      <c r="F61" s="2174">
        <v>1</v>
      </c>
      <c r="G61" s="2174">
        <v>1</v>
      </c>
    </row>
    <row r="62" spans="1:7">
      <c r="A62" s="809">
        <v>13</v>
      </c>
      <c r="B62" s="2185" t="s">
        <v>2162</v>
      </c>
      <c r="C62" s="2174">
        <v>1</v>
      </c>
      <c r="D62" s="2174">
        <v>1</v>
      </c>
      <c r="E62" s="2174">
        <v>1</v>
      </c>
      <c r="F62" s="2174">
        <v>1</v>
      </c>
      <c r="G62" s="2174">
        <v>1</v>
      </c>
    </row>
    <row r="63" spans="1:7">
      <c r="A63" s="1093" t="s">
        <v>100</v>
      </c>
      <c r="B63" s="2168" t="s">
        <v>2163</v>
      </c>
      <c r="C63" s="2174"/>
      <c r="D63" s="2174"/>
      <c r="E63" s="2174"/>
      <c r="F63" s="2174"/>
      <c r="G63" s="2174"/>
    </row>
    <row r="64" spans="1:7" ht="15.75" customHeight="1">
      <c r="A64" s="2186">
        <v>1</v>
      </c>
      <c r="B64" s="2187" t="s">
        <v>2164</v>
      </c>
      <c r="C64" s="4803" t="s">
        <v>2165</v>
      </c>
      <c r="D64" s="4804"/>
      <c r="E64" s="4804"/>
      <c r="F64" s="4804"/>
      <c r="G64" s="2181">
        <v>1</v>
      </c>
    </row>
    <row r="65" spans="1:7">
      <c r="A65" s="2186">
        <v>2</v>
      </c>
      <c r="B65" s="2187" t="s">
        <v>2166</v>
      </c>
      <c r="C65" s="4804"/>
      <c r="D65" s="4804"/>
      <c r="E65" s="4804"/>
      <c r="F65" s="4804"/>
      <c r="G65" s="2181">
        <v>1</v>
      </c>
    </row>
    <row r="66" spans="1:7">
      <c r="A66" s="2186">
        <v>3</v>
      </c>
      <c r="B66" s="2187" t="s">
        <v>2167</v>
      </c>
      <c r="C66" s="4804"/>
      <c r="D66" s="4804"/>
      <c r="E66" s="4804"/>
      <c r="F66" s="4804"/>
      <c r="G66" s="2181">
        <v>1</v>
      </c>
    </row>
    <row r="67" spans="1:7">
      <c r="A67" s="2186">
        <v>4</v>
      </c>
      <c r="B67" s="2187" t="s">
        <v>2168</v>
      </c>
      <c r="C67" s="4804"/>
      <c r="D67" s="4804"/>
      <c r="E67" s="4804"/>
      <c r="F67" s="4804"/>
      <c r="G67" s="2181">
        <v>1</v>
      </c>
    </row>
    <row r="68" spans="1:7">
      <c r="A68" s="2186">
        <v>5</v>
      </c>
      <c r="B68" s="2187" t="s">
        <v>2169</v>
      </c>
      <c r="C68" s="4804"/>
      <c r="D68" s="4804"/>
      <c r="E68" s="4804"/>
      <c r="F68" s="4804"/>
      <c r="G68" s="2181">
        <v>1</v>
      </c>
    </row>
    <row r="69" spans="1:7">
      <c r="A69" s="2186">
        <v>6</v>
      </c>
      <c r="B69" s="2187" t="s">
        <v>2170</v>
      </c>
      <c r="C69" s="4804"/>
      <c r="D69" s="4804"/>
      <c r="E69" s="4804"/>
      <c r="F69" s="4804"/>
      <c r="G69" s="2181">
        <v>1</v>
      </c>
    </row>
    <row r="70" spans="1:7">
      <c r="A70" s="2186">
        <v>7</v>
      </c>
      <c r="B70" s="2187" t="s">
        <v>2171</v>
      </c>
      <c r="C70" s="4804"/>
      <c r="D70" s="4804"/>
      <c r="E70" s="4804"/>
      <c r="F70" s="4804"/>
      <c r="G70" s="2181">
        <v>1</v>
      </c>
    </row>
    <row r="71" spans="1:7">
      <c r="A71" s="2186">
        <v>8</v>
      </c>
      <c r="B71" s="2187" t="s">
        <v>2172</v>
      </c>
      <c r="C71" s="4804"/>
      <c r="D71" s="4804"/>
      <c r="E71" s="4804"/>
      <c r="F71" s="4804"/>
      <c r="G71" s="2181">
        <v>1</v>
      </c>
    </row>
    <row r="72" spans="1:7">
      <c r="A72" s="809">
        <v>9</v>
      </c>
      <c r="B72" s="2185" t="s">
        <v>2173</v>
      </c>
      <c r="C72" s="2174">
        <v>1</v>
      </c>
      <c r="D72" s="2174">
        <v>1</v>
      </c>
      <c r="E72" s="2174">
        <v>1</v>
      </c>
      <c r="F72" s="2174">
        <v>1</v>
      </c>
      <c r="G72" s="2174">
        <v>1</v>
      </c>
    </row>
    <row r="73" spans="1:7">
      <c r="A73" s="809">
        <v>10</v>
      </c>
      <c r="B73" s="2185" t="s">
        <v>2174</v>
      </c>
      <c r="C73" s="2174">
        <v>1</v>
      </c>
      <c r="D73" s="2174">
        <v>1</v>
      </c>
      <c r="E73" s="2174">
        <v>1</v>
      </c>
      <c r="F73" s="2174">
        <v>1</v>
      </c>
      <c r="G73" s="2174">
        <v>1</v>
      </c>
    </row>
    <row r="74" spans="1:7">
      <c r="A74" s="809">
        <v>11</v>
      </c>
      <c r="B74" s="2185" t="s">
        <v>2175</v>
      </c>
      <c r="C74" s="2174">
        <v>1</v>
      </c>
      <c r="D74" s="2174">
        <v>1</v>
      </c>
      <c r="E74" s="2174">
        <v>1</v>
      </c>
      <c r="F74" s="2174">
        <v>1</v>
      </c>
      <c r="G74" s="2174">
        <v>1</v>
      </c>
    </row>
    <row r="75" spans="1:7">
      <c r="A75" s="809">
        <v>12</v>
      </c>
      <c r="B75" s="2185" t="s">
        <v>2176</v>
      </c>
      <c r="C75" s="2174">
        <v>1</v>
      </c>
      <c r="D75" s="2174">
        <v>1</v>
      </c>
      <c r="E75" s="2174">
        <v>1</v>
      </c>
      <c r="F75" s="2174">
        <v>1</v>
      </c>
      <c r="G75" s="2174">
        <v>1</v>
      </c>
    </row>
    <row r="76" spans="1:7">
      <c r="A76" s="809">
        <v>13</v>
      </c>
      <c r="B76" s="2185" t="s">
        <v>2177</v>
      </c>
      <c r="C76" s="2174">
        <v>1</v>
      </c>
      <c r="D76" s="2174">
        <v>1</v>
      </c>
      <c r="E76" s="2174">
        <v>1</v>
      </c>
      <c r="F76" s="2174">
        <v>1</v>
      </c>
      <c r="G76" s="2174">
        <v>1</v>
      </c>
    </row>
    <row r="77" spans="1:7">
      <c r="A77" s="809">
        <v>14</v>
      </c>
      <c r="B77" s="2185" t="s">
        <v>2178</v>
      </c>
      <c r="C77" s="2174">
        <v>1</v>
      </c>
      <c r="D77" s="2174">
        <v>1</v>
      </c>
      <c r="E77" s="2174">
        <v>1</v>
      </c>
      <c r="F77" s="2174">
        <v>1</v>
      </c>
      <c r="G77" s="2174">
        <v>1</v>
      </c>
    </row>
    <row r="78" spans="1:7">
      <c r="A78" s="809">
        <v>15</v>
      </c>
      <c r="B78" s="2185" t="s">
        <v>2179</v>
      </c>
      <c r="C78" s="2174">
        <v>1</v>
      </c>
      <c r="D78" s="2174">
        <v>1</v>
      </c>
      <c r="E78" s="2174">
        <v>1</v>
      </c>
      <c r="F78" s="2174">
        <v>1</v>
      </c>
      <c r="G78" s="2174">
        <v>1</v>
      </c>
    </row>
    <row r="79" spans="1:7">
      <c r="A79" s="1093" t="s">
        <v>151</v>
      </c>
      <c r="B79" s="2168" t="s">
        <v>2180</v>
      </c>
      <c r="C79" s="2174"/>
      <c r="D79" s="2174"/>
      <c r="E79" s="2174"/>
      <c r="F79" s="2174"/>
      <c r="G79" s="2174"/>
    </row>
    <row r="80" spans="1:7">
      <c r="A80" s="809">
        <v>1</v>
      </c>
      <c r="B80" s="2185" t="s">
        <v>2181</v>
      </c>
      <c r="C80" s="2174">
        <v>1</v>
      </c>
      <c r="D80" s="2174">
        <v>1</v>
      </c>
      <c r="E80" s="2174">
        <v>1</v>
      </c>
      <c r="F80" s="2174">
        <v>1</v>
      </c>
      <c r="G80" s="2174">
        <v>1</v>
      </c>
    </row>
    <row r="81" spans="1:7">
      <c r="A81" s="809">
        <v>2</v>
      </c>
      <c r="B81" s="2185" t="s">
        <v>2182</v>
      </c>
      <c r="C81" s="2174">
        <v>1</v>
      </c>
      <c r="D81" s="2174">
        <v>1</v>
      </c>
      <c r="E81" s="2174">
        <v>1</v>
      </c>
      <c r="F81" s="2174">
        <v>1</v>
      </c>
      <c r="G81" s="2174">
        <v>1</v>
      </c>
    </row>
    <row r="82" spans="1:7">
      <c r="A82" s="809">
        <v>3</v>
      </c>
      <c r="B82" s="2185" t="s">
        <v>2183</v>
      </c>
      <c r="C82" s="2174">
        <v>1</v>
      </c>
      <c r="D82" s="2174">
        <v>1</v>
      </c>
      <c r="E82" s="2174">
        <v>1</v>
      </c>
      <c r="F82" s="2174">
        <v>1</v>
      </c>
      <c r="G82" s="2174">
        <v>1</v>
      </c>
    </row>
    <row r="83" spans="1:7">
      <c r="A83" s="809">
        <v>4</v>
      </c>
      <c r="B83" s="2185" t="s">
        <v>2184</v>
      </c>
      <c r="C83" s="2174">
        <v>1</v>
      </c>
      <c r="D83" s="2174">
        <v>1</v>
      </c>
      <c r="E83" s="2174">
        <v>1</v>
      </c>
      <c r="F83" s="2174">
        <v>1</v>
      </c>
      <c r="G83" s="2174">
        <v>1</v>
      </c>
    </row>
    <row r="84" spans="1:7">
      <c r="A84" s="809">
        <v>5</v>
      </c>
      <c r="B84" s="2185" t="s">
        <v>2185</v>
      </c>
      <c r="C84" s="2174">
        <v>1</v>
      </c>
      <c r="D84" s="2174">
        <v>1</v>
      </c>
      <c r="E84" s="2174">
        <v>1</v>
      </c>
      <c r="F84" s="2174">
        <v>1</v>
      </c>
      <c r="G84" s="2174">
        <v>1</v>
      </c>
    </row>
    <row r="85" spans="1:7">
      <c r="A85" s="809">
        <v>6</v>
      </c>
      <c r="B85" s="2185" t="s">
        <v>2186</v>
      </c>
      <c r="C85" s="2174">
        <v>1</v>
      </c>
      <c r="D85" s="2174">
        <v>1</v>
      </c>
      <c r="E85" s="2174">
        <v>1</v>
      </c>
      <c r="F85" s="2174">
        <v>1</v>
      </c>
      <c r="G85" s="2174">
        <v>1</v>
      </c>
    </row>
    <row r="86" spans="1:7">
      <c r="A86" s="809">
        <v>7</v>
      </c>
      <c r="B86" s="2185" t="s">
        <v>2187</v>
      </c>
      <c r="C86" s="2174">
        <v>1</v>
      </c>
      <c r="D86" s="2174">
        <v>1</v>
      </c>
      <c r="E86" s="2174">
        <v>1</v>
      </c>
      <c r="F86" s="2174">
        <v>1</v>
      </c>
      <c r="G86" s="2174">
        <v>1</v>
      </c>
    </row>
    <row r="87" spans="1:7">
      <c r="A87" s="809">
        <v>8</v>
      </c>
      <c r="B87" s="2185" t="s">
        <v>2188</v>
      </c>
      <c r="C87" s="2174">
        <v>1</v>
      </c>
      <c r="D87" s="2174">
        <v>1</v>
      </c>
      <c r="E87" s="2174">
        <v>1</v>
      </c>
      <c r="F87" s="2174">
        <v>1</v>
      </c>
      <c r="G87" s="2174">
        <v>1</v>
      </c>
    </row>
    <row r="88" spans="1:7">
      <c r="A88" s="809">
        <v>9</v>
      </c>
      <c r="B88" s="2185" t="s">
        <v>2189</v>
      </c>
      <c r="C88" s="2174">
        <v>1</v>
      </c>
      <c r="D88" s="2174">
        <v>1</v>
      </c>
      <c r="E88" s="2174">
        <v>1</v>
      </c>
      <c r="F88" s="2174">
        <v>1</v>
      </c>
      <c r="G88" s="2174">
        <v>1</v>
      </c>
    </row>
    <row r="89" spans="1:7">
      <c r="A89" s="809">
        <v>10</v>
      </c>
      <c r="B89" s="2185" t="s">
        <v>2190</v>
      </c>
      <c r="C89" s="2174">
        <v>1</v>
      </c>
      <c r="D89" s="2174">
        <v>1</v>
      </c>
      <c r="E89" s="2174">
        <v>1</v>
      </c>
      <c r="F89" s="2174">
        <v>1</v>
      </c>
      <c r="G89" s="2174">
        <v>1</v>
      </c>
    </row>
    <row r="90" spans="1:7">
      <c r="A90" s="809">
        <v>11</v>
      </c>
      <c r="B90" s="2185" t="s">
        <v>2191</v>
      </c>
      <c r="C90" s="2174">
        <v>1</v>
      </c>
      <c r="D90" s="2174">
        <v>1</v>
      </c>
      <c r="E90" s="2174">
        <v>1</v>
      </c>
      <c r="F90" s="2174">
        <v>1</v>
      </c>
      <c r="G90" s="2174">
        <v>1</v>
      </c>
    </row>
    <row r="91" spans="1:7">
      <c r="A91" s="809">
        <v>12</v>
      </c>
      <c r="B91" s="2185" t="s">
        <v>2192</v>
      </c>
      <c r="C91" s="2174">
        <v>1</v>
      </c>
      <c r="D91" s="2174">
        <v>1</v>
      </c>
      <c r="E91" s="2174">
        <v>1</v>
      </c>
      <c r="F91" s="2174">
        <v>1</v>
      </c>
      <c r="G91" s="2174">
        <v>1</v>
      </c>
    </row>
    <row r="92" spans="1:7">
      <c r="A92" s="809">
        <v>13</v>
      </c>
      <c r="B92" s="2185" t="s">
        <v>2193</v>
      </c>
      <c r="C92" s="2174">
        <v>1</v>
      </c>
      <c r="D92" s="2174">
        <v>1</v>
      </c>
      <c r="E92" s="2174">
        <v>1</v>
      </c>
      <c r="F92" s="2174">
        <v>1</v>
      </c>
      <c r="G92" s="2174">
        <v>1</v>
      </c>
    </row>
    <row r="93" spans="1:7">
      <c r="A93" s="809">
        <v>14</v>
      </c>
      <c r="B93" s="2185" t="s">
        <v>2194</v>
      </c>
      <c r="C93" s="2174">
        <v>1</v>
      </c>
      <c r="D93" s="2174">
        <v>1</v>
      </c>
      <c r="E93" s="2174">
        <v>1</v>
      </c>
      <c r="F93" s="2174">
        <v>1</v>
      </c>
      <c r="G93" s="2174">
        <v>1</v>
      </c>
    </row>
    <row r="94" spans="1:7">
      <c r="A94" s="809">
        <v>15</v>
      </c>
      <c r="B94" s="2185" t="s">
        <v>2195</v>
      </c>
      <c r="C94" s="2174">
        <v>1</v>
      </c>
      <c r="D94" s="2174">
        <v>1</v>
      </c>
      <c r="E94" s="2174">
        <v>1</v>
      </c>
      <c r="F94" s="2174">
        <v>1</v>
      </c>
      <c r="G94" s="2174">
        <v>1</v>
      </c>
    </row>
    <row r="95" spans="1:7">
      <c r="A95" s="809">
        <v>16</v>
      </c>
      <c r="B95" s="2185" t="s">
        <v>2196</v>
      </c>
      <c r="C95" s="2174">
        <v>1</v>
      </c>
      <c r="D95" s="2174">
        <v>1</v>
      </c>
      <c r="E95" s="2174">
        <v>1</v>
      </c>
      <c r="F95" s="2174">
        <v>1</v>
      </c>
      <c r="G95" s="2174">
        <v>1</v>
      </c>
    </row>
    <row r="96" spans="1:7">
      <c r="A96" s="809">
        <v>17</v>
      </c>
      <c r="B96" s="2185" t="s">
        <v>2126</v>
      </c>
      <c r="C96" s="2174">
        <v>1</v>
      </c>
      <c r="D96" s="2174">
        <v>1</v>
      </c>
      <c r="E96" s="2174">
        <v>1</v>
      </c>
      <c r="F96" s="2174">
        <v>1</v>
      </c>
      <c r="G96" s="2174">
        <v>1</v>
      </c>
    </row>
    <row r="97" spans="1:7">
      <c r="A97" s="809">
        <v>18</v>
      </c>
      <c r="B97" s="2185" t="s">
        <v>2197</v>
      </c>
      <c r="C97" s="2174">
        <v>1</v>
      </c>
      <c r="D97" s="2174">
        <v>1</v>
      </c>
      <c r="E97" s="2174">
        <v>1</v>
      </c>
      <c r="F97" s="2174">
        <v>1</v>
      </c>
      <c r="G97" s="2174">
        <v>1</v>
      </c>
    </row>
    <row r="98" spans="1:7">
      <c r="A98" s="1093" t="s">
        <v>229</v>
      </c>
      <c r="B98" s="2168" t="s">
        <v>1857</v>
      </c>
      <c r="C98" s="2185"/>
      <c r="D98" s="2185"/>
      <c r="E98" s="2185"/>
      <c r="F98" s="2185"/>
      <c r="G98" s="2185"/>
    </row>
    <row r="99" spans="1:7">
      <c r="A99" s="809">
        <v>1</v>
      </c>
      <c r="B99" s="2185" t="s">
        <v>2198</v>
      </c>
      <c r="C99" s="2174">
        <v>1</v>
      </c>
      <c r="D99" s="2174">
        <v>1</v>
      </c>
      <c r="E99" s="2174">
        <v>1</v>
      </c>
      <c r="F99" s="2174">
        <v>1</v>
      </c>
      <c r="G99" s="2174">
        <v>1</v>
      </c>
    </row>
    <row r="100" spans="1:7">
      <c r="A100" s="809">
        <v>2</v>
      </c>
      <c r="B100" s="2185" t="s">
        <v>2199</v>
      </c>
      <c r="C100" s="2174">
        <v>1</v>
      </c>
      <c r="D100" s="2174">
        <v>1</v>
      </c>
      <c r="E100" s="2174">
        <v>1</v>
      </c>
      <c r="F100" s="2174">
        <v>1</v>
      </c>
      <c r="G100" s="2174">
        <v>1</v>
      </c>
    </row>
    <row r="101" spans="1:7">
      <c r="A101" s="809">
        <v>3</v>
      </c>
      <c r="B101" s="2185" t="s">
        <v>2200</v>
      </c>
      <c r="C101" s="2174">
        <v>1</v>
      </c>
      <c r="D101" s="2174">
        <v>1</v>
      </c>
      <c r="E101" s="2174">
        <v>1</v>
      </c>
      <c r="F101" s="2174">
        <v>1</v>
      </c>
      <c r="G101" s="2174">
        <v>1</v>
      </c>
    </row>
    <row r="102" spans="1:7">
      <c r="A102" s="809">
        <v>4</v>
      </c>
      <c r="B102" s="2185" t="s">
        <v>2201</v>
      </c>
      <c r="C102" s="2174">
        <v>1</v>
      </c>
      <c r="D102" s="2174">
        <v>1</v>
      </c>
      <c r="E102" s="2174">
        <v>1</v>
      </c>
      <c r="F102" s="2174">
        <v>1</v>
      </c>
      <c r="G102" s="2174">
        <v>1</v>
      </c>
    </row>
    <row r="103" spans="1:7">
      <c r="A103" s="809">
        <v>5</v>
      </c>
      <c r="B103" s="2185" t="s">
        <v>2202</v>
      </c>
      <c r="C103" s="2174">
        <v>1</v>
      </c>
      <c r="D103" s="2174">
        <v>1</v>
      </c>
      <c r="E103" s="2174">
        <v>1</v>
      </c>
      <c r="F103" s="2174">
        <v>1</v>
      </c>
      <c r="G103" s="2174">
        <v>1</v>
      </c>
    </row>
    <row r="104" spans="1:7">
      <c r="A104" s="809">
        <v>6</v>
      </c>
      <c r="B104" s="2185" t="s">
        <v>2203</v>
      </c>
      <c r="C104" s="2174">
        <v>1</v>
      </c>
      <c r="D104" s="2174">
        <v>1</v>
      </c>
      <c r="E104" s="2174">
        <v>1</v>
      </c>
      <c r="F104" s="2174">
        <v>1</v>
      </c>
      <c r="G104" s="2174">
        <v>1</v>
      </c>
    </row>
    <row r="105" spans="1:7">
      <c r="A105" s="809">
        <v>7</v>
      </c>
      <c r="B105" s="2185" t="s">
        <v>2204</v>
      </c>
      <c r="C105" s="2174">
        <v>1</v>
      </c>
      <c r="D105" s="2174">
        <v>1</v>
      </c>
      <c r="E105" s="2174">
        <v>1</v>
      </c>
      <c r="F105" s="2174">
        <v>1</v>
      </c>
      <c r="G105" s="2174">
        <v>1</v>
      </c>
    </row>
    <row r="106" spans="1:7">
      <c r="A106" s="809">
        <v>8</v>
      </c>
      <c r="B106" s="2185" t="s">
        <v>2205</v>
      </c>
      <c r="C106" s="2174">
        <v>1</v>
      </c>
      <c r="D106" s="2174">
        <v>1</v>
      </c>
      <c r="E106" s="2174">
        <v>1</v>
      </c>
      <c r="F106" s="2174">
        <v>1</v>
      </c>
      <c r="G106" s="2174">
        <v>1</v>
      </c>
    </row>
    <row r="107" spans="1:7">
      <c r="A107" s="809">
        <v>9</v>
      </c>
      <c r="B107" s="2185" t="s">
        <v>2206</v>
      </c>
      <c r="C107" s="2174">
        <v>1</v>
      </c>
      <c r="D107" s="2174">
        <v>1</v>
      </c>
      <c r="E107" s="2174">
        <v>1</v>
      </c>
      <c r="F107" s="2174">
        <v>1</v>
      </c>
      <c r="G107" s="2174">
        <v>1</v>
      </c>
    </row>
    <row r="108" spans="1:7">
      <c r="A108" s="809">
        <v>10</v>
      </c>
      <c r="B108" s="2185" t="s">
        <v>2207</v>
      </c>
      <c r="C108" s="2174">
        <v>1</v>
      </c>
      <c r="D108" s="2174">
        <v>1</v>
      </c>
      <c r="E108" s="2174">
        <v>1</v>
      </c>
      <c r="F108" s="2174">
        <v>1</v>
      </c>
      <c r="G108" s="2174">
        <v>1</v>
      </c>
    </row>
    <row r="109" spans="1:7">
      <c r="A109" s="809">
        <v>11</v>
      </c>
      <c r="B109" s="2185" t="s">
        <v>2208</v>
      </c>
      <c r="C109" s="2174">
        <v>1</v>
      </c>
      <c r="D109" s="2174">
        <v>1</v>
      </c>
      <c r="E109" s="2174">
        <v>1</v>
      </c>
      <c r="F109" s="2174">
        <v>1</v>
      </c>
      <c r="G109" s="2174">
        <v>1</v>
      </c>
    </row>
    <row r="110" spans="1:7">
      <c r="A110" s="809">
        <v>12</v>
      </c>
      <c r="B110" s="2185" t="s">
        <v>2209</v>
      </c>
      <c r="C110" s="2174">
        <v>1</v>
      </c>
      <c r="D110" s="2174">
        <v>1</v>
      </c>
      <c r="E110" s="2174">
        <v>1</v>
      </c>
      <c r="F110" s="2174">
        <v>1</v>
      </c>
      <c r="G110" s="2174">
        <v>1</v>
      </c>
    </row>
    <row r="111" spans="1:7">
      <c r="A111" s="809">
        <v>13</v>
      </c>
      <c r="B111" s="2185" t="s">
        <v>2210</v>
      </c>
      <c r="C111" s="2174">
        <v>1</v>
      </c>
      <c r="D111" s="2174">
        <v>1</v>
      </c>
      <c r="E111" s="2174">
        <v>1</v>
      </c>
      <c r="F111" s="2174">
        <v>1</v>
      </c>
      <c r="G111" s="2174">
        <v>1</v>
      </c>
    </row>
    <row r="112" spans="1:7">
      <c r="A112" s="1093" t="s">
        <v>2211</v>
      </c>
      <c r="B112" s="2168" t="s">
        <v>1858</v>
      </c>
      <c r="C112" s="2185"/>
      <c r="D112" s="2185"/>
      <c r="E112" s="2185"/>
      <c r="F112" s="2185"/>
      <c r="G112" s="2185"/>
    </row>
    <row r="113" spans="1:7">
      <c r="A113" s="809">
        <v>1</v>
      </c>
      <c r="B113" s="2185" t="s">
        <v>2212</v>
      </c>
      <c r="C113" s="2174">
        <v>1</v>
      </c>
      <c r="D113" s="2174">
        <v>1</v>
      </c>
      <c r="E113" s="2174">
        <v>1</v>
      </c>
      <c r="F113" s="2174">
        <v>1</v>
      </c>
      <c r="G113" s="2174">
        <v>1</v>
      </c>
    </row>
    <row r="114" spans="1:7">
      <c r="A114" s="809">
        <v>2</v>
      </c>
      <c r="B114" s="2185" t="s">
        <v>2151</v>
      </c>
      <c r="C114" s="2174">
        <v>1</v>
      </c>
      <c r="D114" s="2174">
        <v>1</v>
      </c>
      <c r="E114" s="2174">
        <v>1</v>
      </c>
      <c r="F114" s="2174">
        <v>1</v>
      </c>
      <c r="G114" s="2174">
        <v>1</v>
      </c>
    </row>
    <row r="115" spans="1:7">
      <c r="A115" s="809">
        <v>3</v>
      </c>
      <c r="B115" s="2185" t="s">
        <v>2213</v>
      </c>
      <c r="C115" s="2174">
        <v>1</v>
      </c>
      <c r="D115" s="2174">
        <v>1</v>
      </c>
      <c r="E115" s="2174">
        <v>1</v>
      </c>
      <c r="F115" s="2174">
        <v>1</v>
      </c>
      <c r="G115" s="2174">
        <v>1</v>
      </c>
    </row>
    <row r="116" spans="1:7">
      <c r="A116" s="809">
        <v>4</v>
      </c>
      <c r="B116" s="2185" t="s">
        <v>2214</v>
      </c>
      <c r="C116" s="2174">
        <v>1</v>
      </c>
      <c r="D116" s="2174">
        <v>1</v>
      </c>
      <c r="E116" s="2174">
        <v>1</v>
      </c>
      <c r="F116" s="2174">
        <v>1</v>
      </c>
      <c r="G116" s="2174">
        <v>1</v>
      </c>
    </row>
    <row r="117" spans="1:7">
      <c r="A117" s="809">
        <v>5</v>
      </c>
      <c r="B117" s="2185" t="s">
        <v>2215</v>
      </c>
      <c r="C117" s="2174">
        <v>1</v>
      </c>
      <c r="D117" s="2174">
        <v>1</v>
      </c>
      <c r="E117" s="2174">
        <v>1</v>
      </c>
      <c r="F117" s="2174">
        <v>1</v>
      </c>
      <c r="G117" s="2174">
        <v>1</v>
      </c>
    </row>
    <row r="118" spans="1:7">
      <c r="A118" s="809">
        <v>6</v>
      </c>
      <c r="B118" s="2185" t="s">
        <v>2216</v>
      </c>
      <c r="C118" s="2174">
        <v>1</v>
      </c>
      <c r="D118" s="2174">
        <v>1</v>
      </c>
      <c r="E118" s="2174">
        <v>1</v>
      </c>
      <c r="F118" s="2174">
        <v>1</v>
      </c>
      <c r="G118" s="2174">
        <v>1</v>
      </c>
    </row>
    <row r="119" spans="1:7">
      <c r="A119" s="809">
        <v>7</v>
      </c>
      <c r="B119" s="2185" t="s">
        <v>2217</v>
      </c>
      <c r="C119" s="2174">
        <v>1</v>
      </c>
      <c r="D119" s="2174">
        <v>1</v>
      </c>
      <c r="E119" s="2174">
        <v>1</v>
      </c>
      <c r="F119" s="2174">
        <v>1</v>
      </c>
      <c r="G119" s="2174">
        <v>1</v>
      </c>
    </row>
    <row r="120" spans="1:7">
      <c r="A120" s="809">
        <v>8</v>
      </c>
      <c r="B120" s="2185" t="s">
        <v>2218</v>
      </c>
      <c r="C120" s="2174">
        <v>1</v>
      </c>
      <c r="D120" s="2174">
        <v>1</v>
      </c>
      <c r="E120" s="2174">
        <v>1</v>
      </c>
      <c r="F120" s="2174">
        <v>1</v>
      </c>
      <c r="G120" s="2174">
        <v>1</v>
      </c>
    </row>
    <row r="121" spans="1:7">
      <c r="A121" s="809">
        <v>9</v>
      </c>
      <c r="B121" s="2185" t="s">
        <v>2219</v>
      </c>
      <c r="C121" s="2174">
        <v>1</v>
      </c>
      <c r="D121" s="2174">
        <v>1</v>
      </c>
      <c r="E121" s="2174">
        <v>1</v>
      </c>
      <c r="F121" s="2174">
        <v>1</v>
      </c>
      <c r="G121" s="2174">
        <v>1</v>
      </c>
    </row>
    <row r="122" spans="1:7">
      <c r="A122" s="809">
        <v>10</v>
      </c>
      <c r="B122" s="2185" t="s">
        <v>2220</v>
      </c>
      <c r="C122" s="2174">
        <v>1</v>
      </c>
      <c r="D122" s="2174">
        <v>1</v>
      </c>
      <c r="E122" s="2174">
        <v>1</v>
      </c>
      <c r="F122" s="2174">
        <v>1</v>
      </c>
      <c r="G122" s="2174">
        <v>1</v>
      </c>
    </row>
    <row r="123" spans="1:7">
      <c r="A123" s="809">
        <v>11</v>
      </c>
      <c r="B123" s="2185" t="s">
        <v>2221</v>
      </c>
      <c r="C123" s="2174">
        <v>1</v>
      </c>
      <c r="D123" s="2174">
        <v>1</v>
      </c>
      <c r="E123" s="2174">
        <v>1</v>
      </c>
      <c r="F123" s="2174">
        <v>1</v>
      </c>
      <c r="G123" s="2174">
        <v>1</v>
      </c>
    </row>
    <row r="124" spans="1:7">
      <c r="A124" s="809">
        <v>12</v>
      </c>
      <c r="B124" s="2185" t="s">
        <v>2222</v>
      </c>
      <c r="C124" s="2174">
        <v>1</v>
      </c>
      <c r="D124" s="2174">
        <v>1</v>
      </c>
      <c r="E124" s="2174">
        <v>1</v>
      </c>
      <c r="F124" s="2174">
        <v>1</v>
      </c>
      <c r="G124" s="2174">
        <v>1</v>
      </c>
    </row>
    <row r="125" spans="1:7">
      <c r="A125" s="809">
        <v>13</v>
      </c>
      <c r="B125" s="2185" t="s">
        <v>2223</v>
      </c>
      <c r="C125" s="2174">
        <v>1</v>
      </c>
      <c r="D125" s="2174">
        <v>1</v>
      </c>
      <c r="E125" s="2174">
        <v>1</v>
      </c>
      <c r="F125" s="2174">
        <v>1</v>
      </c>
      <c r="G125" s="2174">
        <v>1</v>
      </c>
    </row>
    <row r="126" spans="1:7">
      <c r="A126" s="1093" t="s">
        <v>2224</v>
      </c>
      <c r="B126" s="2168" t="s">
        <v>2225</v>
      </c>
      <c r="C126" s="2185"/>
      <c r="D126" s="2185"/>
      <c r="E126" s="2185"/>
      <c r="F126" s="2185"/>
      <c r="G126" s="2185"/>
    </row>
    <row r="127" spans="1:7">
      <c r="A127" s="809">
        <v>1</v>
      </c>
      <c r="B127" s="2185" t="s">
        <v>2226</v>
      </c>
      <c r="C127" s="2174">
        <v>1</v>
      </c>
      <c r="D127" s="2174">
        <v>1</v>
      </c>
      <c r="E127" s="2174">
        <v>1</v>
      </c>
      <c r="F127" s="2174">
        <v>1</v>
      </c>
      <c r="G127" s="2174">
        <v>1</v>
      </c>
    </row>
    <row r="128" spans="1:7">
      <c r="A128" s="809">
        <v>2</v>
      </c>
      <c r="B128" s="2185" t="s">
        <v>2227</v>
      </c>
      <c r="C128" s="2174">
        <v>1</v>
      </c>
      <c r="D128" s="2174">
        <v>1</v>
      </c>
      <c r="E128" s="2174">
        <v>1</v>
      </c>
      <c r="F128" s="2174">
        <v>1</v>
      </c>
      <c r="G128" s="2174">
        <v>1</v>
      </c>
    </row>
    <row r="129" spans="1:7">
      <c r="A129" s="809">
        <v>3</v>
      </c>
      <c r="B129" s="2185" t="s">
        <v>2228</v>
      </c>
      <c r="C129" s="2174">
        <v>1</v>
      </c>
      <c r="D129" s="2174">
        <v>1</v>
      </c>
      <c r="E129" s="2174">
        <v>1</v>
      </c>
      <c r="F129" s="2174">
        <v>1</v>
      </c>
      <c r="G129" s="2174">
        <v>1</v>
      </c>
    </row>
    <row r="130" spans="1:7">
      <c r="A130" s="809">
        <v>4</v>
      </c>
      <c r="B130" s="2185" t="s">
        <v>2134</v>
      </c>
      <c r="C130" s="2174">
        <v>1</v>
      </c>
      <c r="D130" s="2174">
        <v>1</v>
      </c>
      <c r="E130" s="2174">
        <v>1</v>
      </c>
      <c r="F130" s="2174">
        <v>1</v>
      </c>
      <c r="G130" s="2174">
        <v>1</v>
      </c>
    </row>
    <row r="131" spans="1:7">
      <c r="A131" s="809">
        <v>5</v>
      </c>
      <c r="B131" s="2185" t="s">
        <v>2229</v>
      </c>
      <c r="C131" s="2174">
        <v>1</v>
      </c>
      <c r="D131" s="2174">
        <v>1</v>
      </c>
      <c r="E131" s="2174">
        <v>1</v>
      </c>
      <c r="F131" s="2174">
        <v>1</v>
      </c>
      <c r="G131" s="2174">
        <v>1</v>
      </c>
    </row>
    <row r="132" spans="1:7">
      <c r="A132" s="809">
        <v>6</v>
      </c>
      <c r="B132" s="2185" t="s">
        <v>2230</v>
      </c>
      <c r="C132" s="2174">
        <v>1</v>
      </c>
      <c r="D132" s="2174">
        <v>1</v>
      </c>
      <c r="E132" s="2174">
        <v>1</v>
      </c>
      <c r="F132" s="2174">
        <v>1</v>
      </c>
      <c r="G132" s="2174">
        <v>1</v>
      </c>
    </row>
    <row r="133" spans="1:7">
      <c r="A133" s="809">
        <v>7</v>
      </c>
      <c r="B133" s="2185" t="s">
        <v>2231</v>
      </c>
      <c r="C133" s="2174">
        <v>1</v>
      </c>
      <c r="D133" s="2174">
        <v>1</v>
      </c>
      <c r="E133" s="2174">
        <v>1</v>
      </c>
      <c r="F133" s="2174">
        <v>1</v>
      </c>
      <c r="G133" s="2174">
        <v>1</v>
      </c>
    </row>
    <row r="134" spans="1:7">
      <c r="A134" s="809">
        <v>8</v>
      </c>
      <c r="B134" s="2185" t="s">
        <v>2232</v>
      </c>
      <c r="C134" s="2174">
        <v>1</v>
      </c>
      <c r="D134" s="2174">
        <v>1</v>
      </c>
      <c r="E134" s="2174">
        <v>1</v>
      </c>
      <c r="F134" s="2174">
        <v>1</v>
      </c>
      <c r="G134" s="2174">
        <v>1</v>
      </c>
    </row>
    <row r="135" spans="1:7">
      <c r="A135" s="809">
        <v>9</v>
      </c>
      <c r="B135" s="2185" t="s">
        <v>2233</v>
      </c>
      <c r="C135" s="2174">
        <v>1</v>
      </c>
      <c r="D135" s="2174">
        <v>1</v>
      </c>
      <c r="E135" s="2174">
        <v>1</v>
      </c>
      <c r="F135" s="2174">
        <v>1</v>
      </c>
      <c r="G135" s="2174">
        <v>1</v>
      </c>
    </row>
    <row r="136" spans="1:7">
      <c r="A136" s="809">
        <v>10</v>
      </c>
      <c r="B136" s="2185" t="s">
        <v>2234</v>
      </c>
      <c r="C136" s="2174">
        <v>1</v>
      </c>
      <c r="D136" s="2174">
        <v>1</v>
      </c>
      <c r="E136" s="2174">
        <v>1</v>
      </c>
      <c r="F136" s="2174">
        <v>1</v>
      </c>
      <c r="G136" s="2174">
        <v>1</v>
      </c>
    </row>
    <row r="137" spans="1:7">
      <c r="A137" s="809">
        <v>11</v>
      </c>
      <c r="B137" s="2185" t="s">
        <v>2235</v>
      </c>
      <c r="C137" s="2174">
        <v>1</v>
      </c>
      <c r="D137" s="2174">
        <v>1</v>
      </c>
      <c r="E137" s="2174">
        <v>1</v>
      </c>
      <c r="F137" s="2174">
        <v>1</v>
      </c>
      <c r="G137" s="2174">
        <v>1</v>
      </c>
    </row>
    <row r="138" spans="1:7">
      <c r="A138" s="809">
        <v>12</v>
      </c>
      <c r="B138" s="2185" t="s">
        <v>2236</v>
      </c>
      <c r="C138" s="2174">
        <v>1</v>
      </c>
      <c r="D138" s="2174">
        <v>1</v>
      </c>
      <c r="E138" s="2174">
        <v>1</v>
      </c>
      <c r="F138" s="2174">
        <v>1</v>
      </c>
      <c r="G138" s="2174">
        <v>1</v>
      </c>
    </row>
    <row r="139" spans="1:7">
      <c r="A139" s="1093" t="s">
        <v>2237</v>
      </c>
      <c r="B139" s="2168" t="s">
        <v>335</v>
      </c>
      <c r="C139" s="2185"/>
      <c r="D139" s="2185"/>
      <c r="E139" s="2185"/>
      <c r="F139" s="2185"/>
      <c r="G139" s="2185"/>
    </row>
    <row r="140" spans="1:7" ht="15.75" customHeight="1">
      <c r="A140" s="2186">
        <v>1</v>
      </c>
      <c r="B140" s="2187" t="s">
        <v>2164</v>
      </c>
      <c r="C140" s="4803" t="s">
        <v>2238</v>
      </c>
      <c r="D140" s="4804"/>
      <c r="E140" s="4804"/>
      <c r="F140" s="4804"/>
      <c r="G140" s="2181">
        <v>1</v>
      </c>
    </row>
    <row r="141" spans="1:7">
      <c r="A141" s="2186">
        <v>2</v>
      </c>
      <c r="B141" s="2187" t="s">
        <v>2166</v>
      </c>
      <c r="C141" s="4804"/>
      <c r="D141" s="4804"/>
      <c r="E141" s="4804"/>
      <c r="F141" s="4804"/>
      <c r="G141" s="2181">
        <v>1</v>
      </c>
    </row>
    <row r="142" spans="1:7">
      <c r="A142" s="2186">
        <v>3</v>
      </c>
      <c r="B142" s="2187" t="s">
        <v>2167</v>
      </c>
      <c r="C142" s="4804"/>
      <c r="D142" s="4804"/>
      <c r="E142" s="4804"/>
      <c r="F142" s="4804"/>
      <c r="G142" s="2181">
        <v>1</v>
      </c>
    </row>
    <row r="143" spans="1:7">
      <c r="A143" s="2186">
        <v>4</v>
      </c>
      <c r="B143" s="2187" t="s">
        <v>2168</v>
      </c>
      <c r="C143" s="4804"/>
      <c r="D143" s="4804"/>
      <c r="E143" s="4804"/>
      <c r="F143" s="4804"/>
      <c r="G143" s="2181">
        <v>1</v>
      </c>
    </row>
    <row r="144" spans="1:7">
      <c r="A144" s="2186">
        <v>5</v>
      </c>
      <c r="B144" s="2187" t="s">
        <v>2239</v>
      </c>
      <c r="C144" s="4804"/>
      <c r="D144" s="4804"/>
      <c r="E144" s="4804"/>
      <c r="F144" s="4804"/>
      <c r="G144" s="2181">
        <v>1</v>
      </c>
    </row>
    <row r="145" spans="1:7">
      <c r="A145" s="2188">
        <v>6</v>
      </c>
      <c r="B145" s="2189" t="s">
        <v>2240</v>
      </c>
      <c r="C145" s="4804"/>
      <c r="D145" s="4804"/>
      <c r="E145" s="4804"/>
      <c r="F145" s="4804"/>
      <c r="G145" s="2184">
        <v>1</v>
      </c>
    </row>
    <row r="146" spans="1:7">
      <c r="A146" s="809">
        <v>7</v>
      </c>
      <c r="B146" s="2185" t="s">
        <v>2241</v>
      </c>
      <c r="C146" s="2174">
        <v>1</v>
      </c>
      <c r="D146" s="2174">
        <v>1</v>
      </c>
      <c r="E146" s="2174">
        <v>1</v>
      </c>
      <c r="F146" s="2174">
        <v>1</v>
      </c>
      <c r="G146" s="2174">
        <v>1</v>
      </c>
    </row>
    <row r="147" spans="1:7">
      <c r="A147" s="809">
        <v>8</v>
      </c>
      <c r="B147" s="2185" t="s">
        <v>2242</v>
      </c>
      <c r="C147" s="2174">
        <v>1</v>
      </c>
      <c r="D147" s="2174">
        <v>1</v>
      </c>
      <c r="E147" s="2174">
        <v>1</v>
      </c>
      <c r="F147" s="2174">
        <v>1</v>
      </c>
      <c r="G147" s="2174">
        <v>1</v>
      </c>
    </row>
    <row r="148" spans="1:7">
      <c r="A148" s="809">
        <v>9</v>
      </c>
      <c r="B148" s="2185" t="s">
        <v>2243</v>
      </c>
      <c r="C148" s="2174">
        <v>1</v>
      </c>
      <c r="D148" s="2174">
        <v>1</v>
      </c>
      <c r="E148" s="2174">
        <v>1</v>
      </c>
      <c r="F148" s="2174">
        <v>1</v>
      </c>
      <c r="G148" s="2174">
        <v>1</v>
      </c>
    </row>
    <row r="149" spans="1:7">
      <c r="A149" s="1093" t="s">
        <v>2244</v>
      </c>
      <c r="B149" s="2168" t="s">
        <v>2245</v>
      </c>
      <c r="C149" s="2185"/>
      <c r="D149" s="2185"/>
      <c r="E149" s="2185"/>
      <c r="F149" s="2185"/>
      <c r="G149" s="2185"/>
    </row>
    <row r="150" spans="1:7">
      <c r="A150" s="809">
        <v>1</v>
      </c>
      <c r="B150" s="2185" t="s">
        <v>2246</v>
      </c>
      <c r="C150" s="2174">
        <v>1</v>
      </c>
      <c r="D150" s="2174">
        <v>1</v>
      </c>
      <c r="E150" s="2174">
        <v>1</v>
      </c>
      <c r="F150" s="2174">
        <v>1</v>
      </c>
      <c r="G150" s="2174">
        <v>1</v>
      </c>
    </row>
    <row r="151" spans="1:7">
      <c r="A151" s="809">
        <v>2</v>
      </c>
      <c r="B151" s="2185" t="s">
        <v>2162</v>
      </c>
      <c r="C151" s="2174">
        <v>1</v>
      </c>
      <c r="D151" s="2174">
        <v>1</v>
      </c>
      <c r="E151" s="2174">
        <v>1</v>
      </c>
      <c r="F151" s="2174">
        <v>1</v>
      </c>
      <c r="G151" s="2174">
        <v>1</v>
      </c>
    </row>
    <row r="152" spans="1:7">
      <c r="A152" s="809">
        <v>3</v>
      </c>
      <c r="B152" s="2185" t="s">
        <v>2247</v>
      </c>
      <c r="C152" s="2174">
        <v>1</v>
      </c>
      <c r="D152" s="2174">
        <v>1</v>
      </c>
      <c r="E152" s="2174">
        <v>1</v>
      </c>
      <c r="F152" s="2174">
        <v>1</v>
      </c>
      <c r="G152" s="2174">
        <v>1</v>
      </c>
    </row>
    <row r="153" spans="1:7">
      <c r="A153" s="809">
        <v>4</v>
      </c>
      <c r="B153" s="2185" t="s">
        <v>2248</v>
      </c>
      <c r="C153" s="2174">
        <v>1</v>
      </c>
      <c r="D153" s="2174">
        <v>1</v>
      </c>
      <c r="E153" s="2174">
        <v>1</v>
      </c>
      <c r="F153" s="2174">
        <v>1</v>
      </c>
      <c r="G153" s="2174">
        <v>1</v>
      </c>
    </row>
    <row r="154" spans="1:7">
      <c r="A154" s="809">
        <v>5</v>
      </c>
      <c r="B154" s="2185" t="s">
        <v>2249</v>
      </c>
      <c r="C154" s="2174">
        <v>1</v>
      </c>
      <c r="D154" s="2174">
        <v>1</v>
      </c>
      <c r="E154" s="2174">
        <v>1</v>
      </c>
      <c r="F154" s="2174">
        <v>1</v>
      </c>
      <c r="G154" s="2174">
        <v>1</v>
      </c>
    </row>
    <row r="155" spans="1:7">
      <c r="A155" s="809">
        <v>6</v>
      </c>
      <c r="B155" s="2185" t="s">
        <v>2250</v>
      </c>
      <c r="C155" s="2174">
        <v>1</v>
      </c>
      <c r="D155" s="2174">
        <v>1</v>
      </c>
      <c r="E155" s="2174">
        <v>1</v>
      </c>
      <c r="F155" s="2174">
        <v>1</v>
      </c>
      <c r="G155" s="2174">
        <v>1</v>
      </c>
    </row>
    <row r="156" spans="1:7">
      <c r="A156" s="809">
        <v>7</v>
      </c>
      <c r="B156" s="2185" t="s">
        <v>2251</v>
      </c>
      <c r="C156" s="2174">
        <v>1</v>
      </c>
      <c r="D156" s="2174">
        <v>1</v>
      </c>
      <c r="E156" s="2174">
        <v>1</v>
      </c>
      <c r="F156" s="2174">
        <v>1</v>
      </c>
      <c r="G156" s="2174">
        <v>1</v>
      </c>
    </row>
    <row r="157" spans="1:7">
      <c r="A157" s="809">
        <v>8</v>
      </c>
      <c r="B157" s="2185" t="s">
        <v>2252</v>
      </c>
      <c r="C157" s="2174">
        <v>1</v>
      </c>
      <c r="D157" s="2174">
        <v>1</v>
      </c>
      <c r="E157" s="2174">
        <v>1</v>
      </c>
      <c r="F157" s="2174">
        <v>1</v>
      </c>
      <c r="G157" s="2174">
        <v>1</v>
      </c>
    </row>
    <row r="158" spans="1:7">
      <c r="A158" s="809">
        <v>9</v>
      </c>
      <c r="B158" s="2185" t="s">
        <v>2253</v>
      </c>
      <c r="C158" s="2174">
        <v>1</v>
      </c>
      <c r="D158" s="2174">
        <v>1</v>
      </c>
      <c r="E158" s="2174">
        <v>1</v>
      </c>
      <c r="F158" s="2174">
        <v>1</v>
      </c>
      <c r="G158" s="2174">
        <v>1</v>
      </c>
    </row>
    <row r="159" spans="1:7">
      <c r="A159" s="809">
        <v>10</v>
      </c>
      <c r="B159" s="2185" t="s">
        <v>2254</v>
      </c>
      <c r="C159" s="2174">
        <v>1</v>
      </c>
      <c r="D159" s="2174">
        <v>1</v>
      </c>
      <c r="E159" s="2174">
        <v>1</v>
      </c>
      <c r="F159" s="2174">
        <v>1</v>
      </c>
      <c r="G159" s="2174">
        <v>1</v>
      </c>
    </row>
    <row r="160" spans="1:7">
      <c r="A160" s="809">
        <v>11</v>
      </c>
      <c r="B160" s="2185" t="s">
        <v>2255</v>
      </c>
      <c r="C160" s="2174">
        <v>1</v>
      </c>
      <c r="D160" s="2174">
        <v>1</v>
      </c>
      <c r="E160" s="2174">
        <v>1</v>
      </c>
      <c r="F160" s="2174">
        <v>1</v>
      </c>
      <c r="G160" s="2174">
        <v>1</v>
      </c>
    </row>
    <row r="161" spans="1:7">
      <c r="A161" s="1212">
        <v>12</v>
      </c>
      <c r="B161" s="2190" t="s">
        <v>2256</v>
      </c>
      <c r="C161" s="2175">
        <v>1</v>
      </c>
      <c r="D161" s="2175">
        <v>1</v>
      </c>
      <c r="E161" s="2175">
        <v>1</v>
      </c>
      <c r="F161" s="2175">
        <v>1</v>
      </c>
      <c r="G161" s="2175">
        <v>1</v>
      </c>
    </row>
    <row r="162" spans="1:7">
      <c r="B162" s="248" t="s">
        <v>2257</v>
      </c>
      <c r="E162" s="4494"/>
      <c r="F162" s="4494"/>
      <c r="G162" s="4494"/>
    </row>
    <row r="163" spans="1:7">
      <c r="B163" s="245" t="s">
        <v>2258</v>
      </c>
      <c r="E163" s="2191"/>
      <c r="F163" s="2191"/>
      <c r="G163" s="2191"/>
    </row>
    <row r="164" spans="1:7">
      <c r="B164" s="245" t="s">
        <v>2259</v>
      </c>
      <c r="E164" s="4333"/>
      <c r="F164" s="4333"/>
      <c r="G164" s="4333"/>
    </row>
    <row r="165" spans="1:7">
      <c r="B165" s="245" t="s">
        <v>2260</v>
      </c>
      <c r="E165" s="4333"/>
      <c r="F165" s="4333"/>
      <c r="G165" s="4333"/>
    </row>
    <row r="166" spans="1:7">
      <c r="B166" s="245" t="s">
        <v>2261</v>
      </c>
    </row>
    <row r="167" spans="1:7">
      <c r="B167" s="245" t="s">
        <v>2262</v>
      </c>
    </row>
  </sheetData>
  <mergeCells count="13">
    <mergeCell ref="E165:G165"/>
    <mergeCell ref="A1:G1"/>
    <mergeCell ref="A2:G2"/>
    <mergeCell ref="F4:G4"/>
    <mergeCell ref="A5:A6"/>
    <mergeCell ref="B5:B6"/>
    <mergeCell ref="C5:G5"/>
    <mergeCell ref="C19:F23"/>
    <mergeCell ref="C64:F71"/>
    <mergeCell ref="C140:F145"/>
    <mergeCell ref="E162:G162"/>
    <mergeCell ref="E164:G164"/>
    <mergeCell ref="A3:G3"/>
  </mergeCells>
  <hyperlinks>
    <hyperlink ref="A5:A6" location="'List danh mục'!A1" display="'List danh mục'!A1"/>
  </hyperlinks>
  <printOptions horizontalCentered="1"/>
  <pageMargins left="0" right="0" top="0.39370078740157483" bottom="0" header="0" footer="0"/>
  <pageSetup paperSize="9" scale="90" orientation="portrait" verticalDpi="0" r:id="rId1"/>
  <headerFooter>
    <oddHeader>&amp;R&amp;A</oddHeader>
    <oddFooter>&amp;C&amp;P/&amp;N</oddFoot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V42"/>
  <sheetViews>
    <sheetView workbookViewId="0">
      <selection activeCell="A4" sqref="A4:A5"/>
    </sheetView>
  </sheetViews>
  <sheetFormatPr defaultColWidth="7.59765625" defaultRowHeight="18"/>
  <cols>
    <col min="1" max="1" width="4" style="37" customWidth="1"/>
    <col min="2" max="2" width="57.8984375" style="37" customWidth="1"/>
    <col min="3" max="9" width="12.5" style="37" customWidth="1"/>
    <col min="10" max="10" width="12.8984375" style="37" customWidth="1"/>
    <col min="11" max="16384" width="7.59765625" style="37"/>
  </cols>
  <sheetData>
    <row r="1" spans="1:100">
      <c r="B1" s="4287" t="s">
        <v>789</v>
      </c>
      <c r="C1" s="4287"/>
      <c r="D1" s="4287"/>
      <c r="E1" s="4287"/>
      <c r="F1" s="4287"/>
      <c r="G1" s="4287"/>
      <c r="H1" s="4287"/>
      <c r="I1" s="4287"/>
      <c r="AE1" s="37" t="s">
        <v>635</v>
      </c>
      <c r="AJ1" s="762"/>
      <c r="AR1" s="762"/>
      <c r="AZ1" s="762"/>
      <c r="BH1" s="762"/>
      <c r="BP1" s="762"/>
      <c r="BX1" s="762"/>
      <c r="CF1" s="762"/>
      <c r="CN1" s="762"/>
      <c r="CV1" s="762"/>
    </row>
    <row r="2" spans="1:100">
      <c r="B2" s="4287" t="s">
        <v>790</v>
      </c>
      <c r="C2" s="4287"/>
      <c r="D2" s="4287"/>
      <c r="E2" s="4287"/>
      <c r="F2" s="4287"/>
      <c r="G2" s="4287"/>
      <c r="H2" s="4287"/>
      <c r="I2" s="4287"/>
    </row>
    <row r="3" spans="1:100">
      <c r="B3" s="763"/>
      <c r="C3" s="764"/>
      <c r="D3" s="763"/>
      <c r="E3" s="763"/>
      <c r="F3" s="763"/>
      <c r="G3" s="763"/>
      <c r="H3" s="763"/>
    </row>
    <row r="4" spans="1:100" ht="67.5" customHeight="1">
      <c r="A4" s="4285" t="s">
        <v>288</v>
      </c>
      <c r="B4" s="4288" t="s">
        <v>791</v>
      </c>
      <c r="C4" s="4289" t="s">
        <v>792</v>
      </c>
      <c r="D4" s="4289"/>
      <c r="E4" s="4289" t="s">
        <v>145</v>
      </c>
      <c r="F4" s="4289"/>
      <c r="G4" s="4289"/>
      <c r="H4" s="4290" t="s">
        <v>793</v>
      </c>
      <c r="I4" s="4290"/>
    </row>
    <row r="5" spans="1:100" ht="52.2">
      <c r="A5" s="4285"/>
      <c r="B5" s="4288"/>
      <c r="C5" s="765" t="s">
        <v>794</v>
      </c>
      <c r="D5" s="765" t="s">
        <v>795</v>
      </c>
      <c r="E5" s="765" t="s">
        <v>796</v>
      </c>
      <c r="F5" s="765" t="s">
        <v>797</v>
      </c>
      <c r="G5" s="765" t="s">
        <v>798</v>
      </c>
      <c r="H5" s="766" t="s">
        <v>799</v>
      </c>
      <c r="I5" s="766" t="s">
        <v>800</v>
      </c>
    </row>
    <row r="6" spans="1:100">
      <c r="B6" s="767">
        <v>1</v>
      </c>
      <c r="C6" s="768">
        <f>B6+1</f>
        <v>2</v>
      </c>
      <c r="D6" s="768">
        <f>C6+1</f>
        <v>3</v>
      </c>
      <c r="E6" s="768">
        <v>3</v>
      </c>
      <c r="F6" s="768">
        <f>E6+1</f>
        <v>4</v>
      </c>
      <c r="G6" s="768">
        <f>F6+1</f>
        <v>5</v>
      </c>
      <c r="H6" s="768" t="s">
        <v>801</v>
      </c>
      <c r="I6" s="768" t="s">
        <v>802</v>
      </c>
    </row>
    <row r="7" spans="1:100" ht="24" customHeight="1">
      <c r="B7" s="769" t="s">
        <v>803</v>
      </c>
      <c r="C7" s="770" t="e">
        <f t="shared" ref="C7:H7" si="0">SUM(C8,C12,C13,C16,C17)</f>
        <v>#REF!</v>
      </c>
      <c r="D7" s="770" t="e">
        <f t="shared" si="0"/>
        <v>#REF!</v>
      </c>
      <c r="E7" s="770" t="e">
        <f>SUM(E8,E12,E13,E16,E17)</f>
        <v>#REF!</v>
      </c>
      <c r="F7" s="770">
        <f t="shared" si="0"/>
        <v>0</v>
      </c>
      <c r="G7" s="770">
        <f t="shared" si="0"/>
        <v>13532552</v>
      </c>
      <c r="H7" s="770" t="e">
        <f t="shared" si="0"/>
        <v>#REF!</v>
      </c>
      <c r="I7" s="771" t="e">
        <f>E7/C7%</f>
        <v>#REF!</v>
      </c>
    </row>
    <row r="8" spans="1:100" ht="24" customHeight="1">
      <c r="B8" s="772" t="s">
        <v>804</v>
      </c>
      <c r="C8" s="773">
        <f>'[1]Phụ lục số 3-thu bs'!C8</f>
        <v>5809777</v>
      </c>
      <c r="D8" s="773" t="e">
        <f>#REF!</f>
        <v>#REF!</v>
      </c>
      <c r="E8" s="773">
        <f>'[1]Phụ lục số 3-thu bs'!I8</f>
        <v>6704000</v>
      </c>
      <c r="F8" s="773"/>
      <c r="G8" s="773">
        <f>E8</f>
        <v>6704000</v>
      </c>
      <c r="H8" s="774">
        <f>E8-C8</f>
        <v>894223</v>
      </c>
      <c r="I8" s="773">
        <f>E8/C8%</f>
        <v>115.39169231452429</v>
      </c>
    </row>
    <row r="9" spans="1:100" ht="24" customHeight="1">
      <c r="B9" s="229" t="s">
        <v>805</v>
      </c>
      <c r="C9" s="773">
        <f>'[1]Phụ lục số 3-thu bs'!C9</f>
        <v>800000</v>
      </c>
      <c r="D9" s="773"/>
      <c r="E9" s="773">
        <f>'[1]Phụ lục số 3-thu bs'!I9</f>
        <v>900000</v>
      </c>
      <c r="F9" s="773"/>
      <c r="G9" s="773"/>
      <c r="H9" s="774">
        <f>E9-C9</f>
        <v>100000</v>
      </c>
      <c r="I9" s="773"/>
    </row>
    <row r="10" spans="1:100" ht="24" customHeight="1">
      <c r="B10" s="229" t="s">
        <v>199</v>
      </c>
      <c r="C10" s="773">
        <f>'[1]Phụ lục số 3-thu bs'!C10</f>
        <v>1500000</v>
      </c>
      <c r="D10" s="773"/>
      <c r="E10" s="773">
        <f>'[1]Phụ lục số 3-thu bs'!I10</f>
        <v>1600000</v>
      </c>
      <c r="F10" s="773"/>
      <c r="G10" s="773"/>
      <c r="H10" s="774">
        <f>E10-C10</f>
        <v>100000</v>
      </c>
      <c r="I10" s="773"/>
    </row>
    <row r="11" spans="1:100" ht="24" customHeight="1">
      <c r="B11" s="229" t="s">
        <v>200</v>
      </c>
      <c r="C11" s="773">
        <f>C8-C9-C10</f>
        <v>3509777</v>
      </c>
      <c r="D11" s="773"/>
      <c r="E11" s="773">
        <f>E8-E9-E10</f>
        <v>4204000</v>
      </c>
      <c r="F11" s="773"/>
      <c r="G11" s="773"/>
      <c r="H11" s="774">
        <f>E11-C11</f>
        <v>694223</v>
      </c>
      <c r="I11" s="773"/>
    </row>
    <row r="12" spans="1:100" ht="24" customHeight="1">
      <c r="B12" s="772" t="s">
        <v>806</v>
      </c>
      <c r="C12" s="773">
        <f>'[1]Phụ lục số 3'!C14</f>
        <v>6803512</v>
      </c>
      <c r="D12" s="773">
        <f>C12</f>
        <v>6803512</v>
      </c>
      <c r="E12" s="773">
        <f>C12</f>
        <v>6803512</v>
      </c>
      <c r="F12" s="773"/>
      <c r="G12" s="773">
        <f>E12</f>
        <v>6803512</v>
      </c>
      <c r="H12" s="774">
        <f>E12-C12</f>
        <v>0</v>
      </c>
      <c r="I12" s="773">
        <f>E12/C12%</f>
        <v>100</v>
      </c>
    </row>
    <row r="13" spans="1:100" ht="38.25" customHeight="1">
      <c r="B13" s="772" t="s">
        <v>807</v>
      </c>
      <c r="C13" s="773" t="e">
        <f t="shared" ref="C13:H13" si="1">SUM(C14:C15)</f>
        <v>#REF!</v>
      </c>
      <c r="D13" s="773" t="e">
        <f t="shared" si="1"/>
        <v>#REF!</v>
      </c>
      <c r="E13" s="773" t="e">
        <f t="shared" si="1"/>
        <v>#REF!</v>
      </c>
      <c r="F13" s="773">
        <f t="shared" si="1"/>
        <v>0</v>
      </c>
      <c r="G13" s="773">
        <f t="shared" si="1"/>
        <v>0</v>
      </c>
      <c r="H13" s="773" t="e">
        <f t="shared" si="1"/>
        <v>#REF!</v>
      </c>
      <c r="I13" s="773"/>
    </row>
    <row r="14" spans="1:100" s="47" customFormat="1" ht="24" customHeight="1">
      <c r="B14" s="775" t="s">
        <v>808</v>
      </c>
      <c r="C14" s="776" t="e">
        <f>'[1]Phụ lục số 1'!#REF!</f>
        <v>#REF!</v>
      </c>
      <c r="D14" s="776" t="e">
        <f>C14</f>
        <v>#REF!</v>
      </c>
      <c r="E14" s="776" t="e">
        <f>'[1]Phụ lục số 1'!#REF!</f>
        <v>#REF!</v>
      </c>
      <c r="F14" s="776"/>
      <c r="G14" s="776"/>
      <c r="H14" s="777" t="e">
        <f>E14-C14</f>
        <v>#REF!</v>
      </c>
      <c r="I14" s="776">
        <v>0</v>
      </c>
    </row>
    <row r="15" spans="1:100" s="47" customFormat="1" ht="24" customHeight="1">
      <c r="B15" s="775" t="s">
        <v>809</v>
      </c>
      <c r="C15" s="776"/>
      <c r="D15" s="776">
        <f>C15</f>
        <v>0</v>
      </c>
      <c r="E15" s="776">
        <f>C15</f>
        <v>0</v>
      </c>
      <c r="F15" s="776"/>
      <c r="G15" s="776">
        <v>0</v>
      </c>
      <c r="H15" s="777">
        <f>E15-C15</f>
        <v>0</v>
      </c>
      <c r="I15" s="776"/>
    </row>
    <row r="16" spans="1:100" ht="39.75" customHeight="1">
      <c r="B16" s="772" t="s">
        <v>810</v>
      </c>
      <c r="C16" s="773"/>
      <c r="D16" s="773"/>
      <c r="E16" s="773"/>
      <c r="F16" s="773"/>
      <c r="G16" s="773">
        <v>25040</v>
      </c>
      <c r="H16" s="777">
        <f>E16-C16</f>
        <v>0</v>
      </c>
      <c r="I16" s="773"/>
    </row>
    <row r="17" spans="2:10" ht="24" customHeight="1">
      <c r="B17" s="772" t="s">
        <v>811</v>
      </c>
      <c r="C17" s="773">
        <f>'[1]Phụ lục số 3-thu bs'!C16</f>
        <v>179391</v>
      </c>
      <c r="D17" s="773">
        <f>C17</f>
        <v>179391</v>
      </c>
      <c r="E17" s="773">
        <f>'[1]Phụ lục số 3-thu bs'!I16</f>
        <v>0</v>
      </c>
      <c r="F17" s="773"/>
      <c r="G17" s="773"/>
      <c r="H17" s="777">
        <f>E17-C17</f>
        <v>-179391</v>
      </c>
      <c r="I17" s="773">
        <f t="shared" ref="I17:I22" si="2">E17/C17%</f>
        <v>0</v>
      </c>
    </row>
    <row r="18" spans="2:10" ht="24" customHeight="1">
      <c r="B18" s="778" t="s">
        <v>812</v>
      </c>
      <c r="C18" s="779">
        <f t="shared" ref="C18:H18" si="3">SUM(C19,C20,C21,C28,C32,C33,C34)</f>
        <v>12751903</v>
      </c>
      <c r="D18" s="779">
        <f t="shared" si="3"/>
        <v>11386829</v>
      </c>
      <c r="E18" s="779">
        <f t="shared" si="3"/>
        <v>13191488</v>
      </c>
      <c r="F18" s="779">
        <f t="shared" si="3"/>
        <v>335747</v>
      </c>
      <c r="G18" s="779">
        <f t="shared" si="3"/>
        <v>11530866</v>
      </c>
      <c r="H18" s="779">
        <f t="shared" si="3"/>
        <v>439585</v>
      </c>
      <c r="I18" s="779">
        <f t="shared" si="2"/>
        <v>103.44721097705965</v>
      </c>
      <c r="J18" s="54" t="e">
        <f>+H18-H7</f>
        <v>#REF!</v>
      </c>
    </row>
    <row r="19" spans="2:10" s="2" customFormat="1" ht="24" customHeight="1">
      <c r="B19" s="780" t="s">
        <v>813</v>
      </c>
      <c r="C19" s="781">
        <f>'[1]Phụ lục số 3-thu bs'!C29</f>
        <v>0</v>
      </c>
      <c r="D19" s="779"/>
      <c r="E19" s="781">
        <f>'[1]Phụ lục số 3-thu bs'!I29</f>
        <v>0</v>
      </c>
      <c r="F19" s="779"/>
      <c r="G19" s="781"/>
      <c r="H19" s="782">
        <f>E19-C19</f>
        <v>0</v>
      </c>
      <c r="I19" s="781" t="e">
        <f t="shared" si="2"/>
        <v>#DIV/0!</v>
      </c>
    </row>
    <row r="20" spans="2:10" ht="24" customHeight="1">
      <c r="B20" s="783" t="s">
        <v>814</v>
      </c>
      <c r="C20" s="781"/>
      <c r="D20" s="781">
        <f>'[1]Phụ lục số 3-thu bs'!F32</f>
        <v>2000</v>
      </c>
      <c r="E20" s="781">
        <f>'[1]Phụ lục số 3'!I32</f>
        <v>0</v>
      </c>
      <c r="F20" s="781"/>
      <c r="G20" s="781">
        <v>3850</v>
      </c>
      <c r="H20" s="782">
        <f>E20-C20</f>
        <v>0</v>
      </c>
      <c r="I20" s="781"/>
    </row>
    <row r="21" spans="2:10">
      <c r="B21" s="780" t="s">
        <v>815</v>
      </c>
      <c r="C21" s="781">
        <f>SUM(C22,C25,C26)</f>
        <v>3336180</v>
      </c>
      <c r="D21" s="781">
        <v>3077087.75</v>
      </c>
      <c r="E21" s="781">
        <f>SUM(E22,E25,E26)</f>
        <v>3561000</v>
      </c>
      <c r="F21" s="781">
        <f>SUM(F22,F25,F26)</f>
        <v>0</v>
      </c>
      <c r="G21" s="781">
        <f>SUM(G22,G25,G26)</f>
        <v>3142144.5</v>
      </c>
      <c r="H21" s="781">
        <f>SUM(H22,H25,H26)</f>
        <v>224820</v>
      </c>
      <c r="I21" s="781">
        <f t="shared" si="2"/>
        <v>106.73884502634749</v>
      </c>
    </row>
    <row r="22" spans="2:10">
      <c r="B22" s="784" t="s">
        <v>816</v>
      </c>
      <c r="C22" s="773">
        <f>'[1]Phụ lục số 3-thu bs'!C21</f>
        <v>1036180</v>
      </c>
      <c r="D22" s="773">
        <v>1077087.75</v>
      </c>
      <c r="E22" s="773">
        <f>'[1]Phụ lục số 3'!I21</f>
        <v>1061000</v>
      </c>
      <c r="F22" s="773"/>
      <c r="G22" s="773">
        <v>1082144.5</v>
      </c>
      <c r="H22" s="774">
        <f>E22-C22</f>
        <v>24820</v>
      </c>
      <c r="I22" s="773">
        <f t="shared" si="2"/>
        <v>102.39533671755873</v>
      </c>
    </row>
    <row r="23" spans="2:10" s="47" customFormat="1">
      <c r="B23" s="785" t="s">
        <v>817</v>
      </c>
      <c r="C23" s="776"/>
      <c r="D23" s="776"/>
      <c r="E23" s="776">
        <v>72661</v>
      </c>
      <c r="F23" s="776"/>
      <c r="G23" s="776"/>
      <c r="H23" s="777">
        <f t="shared" ref="H23:H28" si="4">E23-C23</f>
        <v>72661</v>
      </c>
      <c r="I23" s="776"/>
    </row>
    <row r="24" spans="2:10" ht="36">
      <c r="B24" s="775" t="s">
        <v>818</v>
      </c>
      <c r="C24" s="773"/>
      <c r="D24" s="776"/>
      <c r="E24" s="776">
        <v>0</v>
      </c>
      <c r="F24" s="776"/>
      <c r="G24" s="773"/>
      <c r="H24" s="774">
        <f t="shared" si="4"/>
        <v>0</v>
      </c>
      <c r="I24" s="773">
        <v>0</v>
      </c>
    </row>
    <row r="25" spans="2:10">
      <c r="B25" s="784" t="s">
        <v>819</v>
      </c>
      <c r="C25" s="773">
        <f>'[1]Phụ lục số 3-thu bs'!C22</f>
        <v>800000</v>
      </c>
      <c r="D25" s="773">
        <v>600000</v>
      </c>
      <c r="E25" s="773">
        <f>'[1]Phụ lục số 3-thu bs'!I22</f>
        <v>900000</v>
      </c>
      <c r="F25" s="773"/>
      <c r="G25" s="773">
        <v>600000</v>
      </c>
      <c r="H25" s="774">
        <f t="shared" si="4"/>
        <v>100000</v>
      </c>
      <c r="I25" s="773">
        <f t="shared" ref="I25:I33" si="5">E25/C25%</f>
        <v>112.5</v>
      </c>
    </row>
    <row r="26" spans="2:10">
      <c r="B26" s="784" t="s">
        <v>820</v>
      </c>
      <c r="C26" s="773">
        <f>'[1]Phụ lục số 3-thu bs'!C23</f>
        <v>1500000</v>
      </c>
      <c r="D26" s="773">
        <v>1400000</v>
      </c>
      <c r="E26" s="773">
        <f>'[1]Phụ lục số 3-thu bs'!I23</f>
        <v>1600000</v>
      </c>
      <c r="F26" s="781"/>
      <c r="G26" s="773">
        <v>1460000</v>
      </c>
      <c r="H26" s="774">
        <f t="shared" si="4"/>
        <v>100000</v>
      </c>
      <c r="I26" s="773">
        <f t="shared" si="5"/>
        <v>106.66666666666667</v>
      </c>
    </row>
    <row r="27" spans="2:10">
      <c r="B27" s="604" t="s">
        <v>821</v>
      </c>
      <c r="C27" s="773"/>
      <c r="D27" s="773"/>
      <c r="E27" s="773">
        <f>'[1]Phụ lục số 3-thu bs'!I24</f>
        <v>0</v>
      </c>
      <c r="F27" s="781"/>
      <c r="G27" s="773">
        <v>1460000</v>
      </c>
      <c r="H27" s="774">
        <f>E27-C27</f>
        <v>0</v>
      </c>
      <c r="I27" s="773"/>
    </row>
    <row r="28" spans="2:10">
      <c r="B28" s="780" t="s">
        <v>822</v>
      </c>
      <c r="C28" s="781">
        <f>'[1]Phụ lục số 3-thu bs'!C25</f>
        <v>9140657</v>
      </c>
      <c r="D28" s="781">
        <v>7924031.25</v>
      </c>
      <c r="E28" s="781">
        <f>'[1]Phụ lục số 3'!I25</f>
        <v>9353865</v>
      </c>
      <c r="F28" s="781">
        <v>335747</v>
      </c>
      <c r="G28" s="781">
        <v>8152854.1799999997</v>
      </c>
      <c r="H28" s="782">
        <f t="shared" si="4"/>
        <v>213208</v>
      </c>
      <c r="I28" s="781">
        <f t="shared" si="5"/>
        <v>102.33252379998505</v>
      </c>
    </row>
    <row r="29" spans="2:10">
      <c r="B29" s="784" t="s">
        <v>823</v>
      </c>
      <c r="C29" s="773">
        <f>'[1]Phụ lục số 3-thu bs'!C26</f>
        <v>4090257</v>
      </c>
      <c r="D29" s="773">
        <v>3488552.239303261</v>
      </c>
      <c r="E29" s="773">
        <f>'[1]Phụ lục số 3'!I26</f>
        <v>4179745</v>
      </c>
      <c r="F29" s="773">
        <v>179758.94380000001</v>
      </c>
      <c r="G29" s="773">
        <v>3701535.4901442449</v>
      </c>
      <c r="H29" s="774">
        <f>E29-C29</f>
        <v>89488</v>
      </c>
      <c r="I29" s="773">
        <f t="shared" si="5"/>
        <v>102.18783318505415</v>
      </c>
    </row>
    <row r="30" spans="2:10">
      <c r="B30" s="784" t="s">
        <v>824</v>
      </c>
      <c r="C30" s="773">
        <f>'[1]Phụ lục số 3-thu bs'!C27</f>
        <v>31000</v>
      </c>
      <c r="D30" s="773">
        <v>25596.764994279518</v>
      </c>
      <c r="E30" s="773">
        <f>'[1]Phụ lục số 3'!I27</f>
        <v>31000</v>
      </c>
      <c r="F30" s="773">
        <v>369.32170000000002</v>
      </c>
      <c r="G30" s="773">
        <v>27848.201767388306</v>
      </c>
      <c r="H30" s="774">
        <f>E30-C30</f>
        <v>0</v>
      </c>
      <c r="I30" s="773">
        <f t="shared" si="5"/>
        <v>100</v>
      </c>
    </row>
    <row r="31" spans="2:10">
      <c r="B31" s="784" t="s">
        <v>825</v>
      </c>
      <c r="C31" s="773">
        <f>C28-C29-C30</f>
        <v>5019400</v>
      </c>
      <c r="D31" s="773">
        <v>4337959.759604821</v>
      </c>
      <c r="E31" s="773">
        <f>E28-E29-E30</f>
        <v>5143120</v>
      </c>
      <c r="F31" s="773">
        <v>155484.4357</v>
      </c>
      <c r="G31" s="773">
        <v>4346477.8463016739</v>
      </c>
      <c r="H31" s="773">
        <f>H28-H29-H30</f>
        <v>123720</v>
      </c>
      <c r="I31" s="773">
        <f t="shared" si="5"/>
        <v>102.46483643463363</v>
      </c>
    </row>
    <row r="32" spans="2:10">
      <c r="B32" s="780" t="s">
        <v>826</v>
      </c>
      <c r="C32" s="781">
        <f>'[1]Phụ lục số 3-thu bs'!C31</f>
        <v>273066</v>
      </c>
      <c r="D32" s="781"/>
      <c r="E32" s="781">
        <f>'[1]Phụ lục số 3'!I31</f>
        <v>274623</v>
      </c>
      <c r="F32" s="781"/>
      <c r="G32" s="781">
        <v>230617.32</v>
      </c>
      <c r="H32" s="782">
        <f>E32-C32</f>
        <v>1557</v>
      </c>
      <c r="I32" s="781">
        <f t="shared" si="5"/>
        <v>100.57019182175738</v>
      </c>
    </row>
    <row r="33" spans="2:9">
      <c r="B33" s="780" t="s">
        <v>827</v>
      </c>
      <c r="C33" s="781">
        <f>'[1]Phụ lục số 3-thu bs'!C30</f>
        <v>2000</v>
      </c>
      <c r="D33" s="781">
        <v>1400</v>
      </c>
      <c r="E33" s="781">
        <f>'[1]Phụ lục số 3'!I30</f>
        <v>2000</v>
      </c>
      <c r="F33" s="781"/>
      <c r="G33" s="781">
        <v>1400</v>
      </c>
      <c r="H33" s="782">
        <f>E33-C33</f>
        <v>0</v>
      </c>
      <c r="I33" s="781">
        <f t="shared" si="5"/>
        <v>100</v>
      </c>
    </row>
    <row r="34" spans="2:9">
      <c r="B34" s="780" t="s">
        <v>828</v>
      </c>
      <c r="C34" s="781"/>
      <c r="D34" s="781">
        <v>382310</v>
      </c>
      <c r="E34" s="779"/>
      <c r="F34" s="779"/>
      <c r="G34" s="773"/>
      <c r="H34" s="782">
        <v>0</v>
      </c>
      <c r="I34" s="781"/>
    </row>
    <row r="35" spans="2:9">
      <c r="B35" s="780" t="s">
        <v>829</v>
      </c>
      <c r="C35" s="779">
        <v>0</v>
      </c>
      <c r="D35" s="779"/>
      <c r="E35" s="779"/>
      <c r="F35" s="779"/>
      <c r="G35" s="779"/>
      <c r="H35" s="782"/>
      <c r="I35" s="781"/>
    </row>
    <row r="36" spans="2:9">
      <c r="B36" s="786"/>
      <c r="C36" s="787"/>
      <c r="D36" s="787"/>
      <c r="E36" s="787"/>
      <c r="F36" s="787"/>
      <c r="G36" s="788"/>
      <c r="H36" s="789"/>
      <c r="I36" s="788"/>
    </row>
    <row r="37" spans="2:9">
      <c r="B37" s="790"/>
      <c r="C37" s="791"/>
      <c r="D37" s="792"/>
      <c r="E37" s="792"/>
      <c r="F37" s="792"/>
      <c r="G37" s="792"/>
      <c r="H37" s="792"/>
      <c r="I37" s="792"/>
    </row>
    <row r="38" spans="2:9">
      <c r="B38" s="4286"/>
      <c r="C38" s="4286"/>
      <c r="D38" s="4286"/>
      <c r="E38" s="4286"/>
      <c r="F38" s="4286"/>
      <c r="G38" s="4286"/>
      <c r="H38" s="4286"/>
      <c r="I38" s="4286"/>
    </row>
    <row r="39" spans="2:9">
      <c r="B39" s="4286"/>
      <c r="C39" s="4286"/>
      <c r="D39" s="4286"/>
      <c r="E39" s="4286"/>
      <c r="F39" s="4286"/>
      <c r="G39" s="4286"/>
      <c r="H39" s="4286"/>
      <c r="I39" s="4286"/>
    </row>
    <row r="40" spans="2:9">
      <c r="B40" s="793"/>
      <c r="C40" s="793"/>
      <c r="D40" s="793"/>
      <c r="E40" s="793"/>
      <c r="F40" s="793"/>
      <c r="G40" s="793"/>
      <c r="H40" s="793"/>
      <c r="I40" s="793"/>
    </row>
    <row r="41" spans="2:9">
      <c r="C41" s="54"/>
      <c r="E41" s="54"/>
      <c r="F41" s="162"/>
    </row>
    <row r="42" spans="2:9">
      <c r="C42" s="54" t="e">
        <f>C18-C7</f>
        <v>#REF!</v>
      </c>
    </row>
  </sheetData>
  <mergeCells count="9">
    <mergeCell ref="A4:A5"/>
    <mergeCell ref="B38:I38"/>
    <mergeCell ref="B39:I39"/>
    <mergeCell ref="B1:I1"/>
    <mergeCell ref="B2:I2"/>
    <mergeCell ref="B4:B5"/>
    <mergeCell ref="C4:D4"/>
    <mergeCell ref="E4:G4"/>
    <mergeCell ref="H4:I4"/>
  </mergeCells>
  <hyperlinks>
    <hyperlink ref="A4:A5" location="'List danh mục'!A1" display="Số TT"/>
  </hyperlinks>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37"/>
  <sheetViews>
    <sheetView topLeftCell="A20" workbookViewId="0">
      <selection activeCell="H35" sqref="H35"/>
    </sheetView>
  </sheetViews>
  <sheetFormatPr defaultColWidth="9" defaultRowHeight="18"/>
  <cols>
    <col min="1" max="1" width="5.69921875" style="37" customWidth="1"/>
    <col min="2" max="2" width="80.69921875" style="37" customWidth="1"/>
    <col min="3" max="5" width="12.69921875" style="37" customWidth="1"/>
    <col min="6" max="16384" width="9" style="37"/>
  </cols>
  <sheetData>
    <row r="1" spans="1:5" ht="39" customHeight="1">
      <c r="A1" s="4475" t="s">
        <v>2655</v>
      </c>
      <c r="B1" s="4514"/>
      <c r="C1" s="4514"/>
      <c r="D1" s="4514"/>
      <c r="E1" s="4514"/>
    </row>
    <row r="2" spans="1:5">
      <c r="A2" s="4515" t="str">
        <f>'Phụ lục 9-CKNS'!A3:G3</f>
        <v>(Kèm theo Quyết định số       /QĐ-UBND-HC ngày     /12/2023 của Ủy ban nhân dân tỉnh Đồng Tháp)</v>
      </c>
      <c r="B2" s="4514"/>
      <c r="C2" s="4514"/>
      <c r="D2" s="4514"/>
      <c r="E2" s="4514"/>
    </row>
    <row r="3" spans="1:5">
      <c r="A3" s="70"/>
      <c r="B3" s="2207"/>
      <c r="C3" s="2207"/>
      <c r="D3" s="2207"/>
      <c r="E3" s="2207"/>
    </row>
    <row r="4" spans="1:5" ht="18.600000000000001" thickBot="1">
      <c r="B4" s="4516" t="s">
        <v>64</v>
      </c>
      <c r="C4" s="4516"/>
      <c r="D4" s="4516"/>
      <c r="E4" s="4516"/>
    </row>
    <row r="5" spans="1:5" s="70" customFormat="1" thickTop="1">
      <c r="A5" s="4731" t="s">
        <v>244</v>
      </c>
      <c r="B5" s="4519" t="s">
        <v>326</v>
      </c>
      <c r="C5" s="4519" t="s">
        <v>1700</v>
      </c>
      <c r="D5" s="4519" t="s">
        <v>327</v>
      </c>
      <c r="E5" s="4520"/>
    </row>
    <row r="6" spans="1:5" s="70" customFormat="1" ht="52.2">
      <c r="A6" s="4732"/>
      <c r="B6" s="4318"/>
      <c r="C6" s="4318"/>
      <c r="D6" s="2304" t="s">
        <v>328</v>
      </c>
      <c r="E6" s="2957" t="s">
        <v>329</v>
      </c>
    </row>
    <row r="7" spans="1:5" ht="36" customHeight="1">
      <c r="A7" s="2958"/>
      <c r="B7" s="2959" t="str">
        <f>'Phụ lục số 8'!B7</f>
        <v>BỔ SUNG CÓ MỤC TIÊU TỪ NGÂN SÁCH TRUNG ƯƠNG ĐỂ THỰC HIỆN CÁC MỤC TIÊU, NHIỆM VỤ QUAN TRỌNG (I+II)</v>
      </c>
      <c r="C7" s="3300">
        <f>C8</f>
        <v>1988976</v>
      </c>
      <c r="D7" s="3300">
        <f>D8</f>
        <v>1814491</v>
      </c>
      <c r="E7" s="3299">
        <f>E8</f>
        <v>174485</v>
      </c>
    </row>
    <row r="8" spans="1:5" ht="36" customHeight="1">
      <c r="A8" s="2961" t="str">
        <f>'Phụ lục số 8'!A8</f>
        <v>I</v>
      </c>
      <c r="B8" s="2306" t="str">
        <f>'Phụ lục số 8'!B8</f>
        <v>Đầu tư phát triển từ nguồn ngân sách trung ương bổ sung có mục tiêu</v>
      </c>
      <c r="C8" s="2305">
        <f>SUM(C9,C12)</f>
        <v>1988976</v>
      </c>
      <c r="D8" s="2305">
        <f>SUM(D9,D12)</f>
        <v>1814491</v>
      </c>
      <c r="E8" s="3299">
        <f>SUM(E9,E12)</f>
        <v>174485</v>
      </c>
    </row>
    <row r="9" spans="1:5" s="2" customFormat="1" ht="36" customHeight="1">
      <c r="A9" s="2961">
        <f>'Phụ lục số 8'!A9</f>
        <v>1</v>
      </c>
      <c r="B9" s="2307" t="str">
        <f>'Phụ lục số 8'!B9</f>
        <v>Bổ sung vốn đầu tư theo ngành, lĩnh vực (vốn ngoài nước)</v>
      </c>
      <c r="C9" s="2308">
        <f>SUM(D9:E9)</f>
        <v>85000</v>
      </c>
      <c r="D9" s="2308">
        <f>'Phụ lục số 8'!D9</f>
        <v>85000</v>
      </c>
      <c r="E9" s="2962">
        <f>'Phụ lục số 8'!E9</f>
        <v>0</v>
      </c>
    </row>
    <row r="10" spans="1:5" s="2" customFormat="1" ht="36" customHeight="1">
      <c r="A10" s="2961"/>
      <c r="B10" s="2307" t="str">
        <f>'Phụ lục số 8'!B10</f>
        <v>Trong đó:</v>
      </c>
      <c r="C10" s="2308"/>
      <c r="D10" s="2308"/>
      <c r="E10" s="2963"/>
    </row>
    <row r="11" spans="1:5" s="47" customFormat="1" ht="36" customHeight="1">
      <c r="A11" s="2964"/>
      <c r="B11" s="2309" t="str">
        <f>'Phụ lục số 8'!B11</f>
        <v>Chương trình mục tiêu ứng phó biến đổi khí hậu và tăng trưởng xanh (giải ngân theo cơ chế tài chính trong nước)</v>
      </c>
      <c r="C11" s="2310">
        <f>SUM(D11:E11)</f>
        <v>0</v>
      </c>
      <c r="D11" s="2310"/>
      <c r="E11" s="2962"/>
    </row>
    <row r="12" spans="1:5" s="2" customFormat="1" ht="36" customHeight="1">
      <c r="A12" s="2965">
        <f>'Phụ lục số 8'!A12</f>
        <v>2</v>
      </c>
      <c r="B12" s="2307" t="str">
        <f>'Phụ lục số 8'!B12</f>
        <v>Bổ sung vốn đầu tư theo ngành, lĩnh vực (vốn trong nước)</v>
      </c>
      <c r="C12" s="2308">
        <f>C13+C19+C29</f>
        <v>1903976</v>
      </c>
      <c r="D12" s="2308">
        <f>D13+D19+D29</f>
        <v>1729491</v>
      </c>
      <c r="E12" s="2963">
        <f t="shared" ref="E12" si="0">E13+E19+E29</f>
        <v>174485</v>
      </c>
    </row>
    <row r="13" spans="1:5" s="48" customFormat="1" ht="36" customHeight="1">
      <c r="A13" s="2966" t="str">
        <f>'Phụ lục số 8'!A13</f>
        <v>2.1</v>
      </c>
      <c r="B13" s="2306" t="str">
        <f>'Phụ lục số 8'!B13</f>
        <v>Bổ sung vốn đầu tư để thực hiện các chương trình, mục tiêu nhiệm vụ</v>
      </c>
      <c r="C13" s="2314">
        <f>SUM(D13:E13)</f>
        <v>1596570</v>
      </c>
      <c r="D13" s="2314">
        <f>'Phụ lục số 8'!D13</f>
        <v>1596570</v>
      </c>
      <c r="E13" s="2963">
        <f>'Phụ lục số 8'!E13</f>
        <v>0</v>
      </c>
    </row>
    <row r="14" spans="1:5" ht="36" customHeight="1">
      <c r="A14" s="2966"/>
      <c r="B14" s="2312" t="str">
        <f>'Phụ lục số 8'!B14</f>
        <v>Trong đó:</v>
      </c>
      <c r="C14" s="2313"/>
      <c r="D14" s="2313"/>
      <c r="E14" s="2968"/>
    </row>
    <row r="15" spans="1:5" s="47" customFormat="1" ht="36" customHeight="1">
      <c r="A15" s="3314" t="str">
        <f>'Phụ lục số 8'!A15</f>
        <v>2.1.1</v>
      </c>
      <c r="B15" s="2312" t="str">
        <f>'Phụ lục số 8'!B15</f>
        <v>Đầu tư các dự án theo ngành, lĩnh vực và Chương trình phục hồi phát triển kinh tế - xã hội</v>
      </c>
      <c r="C15" s="2313">
        <f>SUM(D15:E15)</f>
        <v>558070</v>
      </c>
      <c r="D15" s="2313">
        <f>'Phụ lục số 8'!D15</f>
        <v>558070</v>
      </c>
      <c r="E15" s="2962">
        <f>'Phụ lục số 8'!E15</f>
        <v>0</v>
      </c>
    </row>
    <row r="16" spans="1:5" s="47" customFormat="1" ht="36" hidden="1" customHeight="1">
      <c r="A16" s="3553"/>
      <c r="B16" s="2309" t="str">
        <f>'Phụ lục số 8'!B16</f>
        <v>Thu hồi các khoản vốn ứng trước của các chương trình mục tiêu (số vốn thiểu địa phương phải bố trí)</v>
      </c>
      <c r="C16" s="2310">
        <f>SUM(D16:E16)</f>
        <v>0</v>
      </c>
      <c r="D16" s="2310">
        <f>'Phụ lục số 8'!D16</f>
        <v>0</v>
      </c>
      <c r="E16" s="2962">
        <f>'Phụ lục số 8'!E16</f>
        <v>0</v>
      </c>
    </row>
    <row r="17" spans="1:5" ht="36" customHeight="1">
      <c r="A17" s="3314" t="str">
        <f>'Phụ lục số 8'!A17</f>
        <v>2.1.2</v>
      </c>
      <c r="B17" s="2312" t="str">
        <f>'Phụ lục số 8'!B17</f>
        <v>Dự án quan trọng quốc gia, đường bộ cao tốc</v>
      </c>
      <c r="C17" s="2313">
        <f>SUM(D17:E17)</f>
        <v>882000</v>
      </c>
      <c r="D17" s="2313">
        <f>'Phụ lục số 8'!D17</f>
        <v>882000</v>
      </c>
      <c r="E17" s="2968">
        <f>'Phụ lục số 8'!E17</f>
        <v>0</v>
      </c>
    </row>
    <row r="18" spans="1:5" ht="36" customHeight="1">
      <c r="A18" s="3314" t="str">
        <f>'Phụ lục số 8'!A18</f>
        <v>2.1.3</v>
      </c>
      <c r="B18" s="2312" t="str">
        <f>'Phụ lục số 8'!B18</f>
        <v>Dự án trọng điểm, liên vùng, đường ven biển</v>
      </c>
      <c r="C18" s="2313">
        <f>SUM(D18:E18)</f>
        <v>156500</v>
      </c>
      <c r="D18" s="2313">
        <f>'Phụ lục số 8'!D18</f>
        <v>156500</v>
      </c>
      <c r="E18" s="2968"/>
    </row>
    <row r="19" spans="1:5" s="48" customFormat="1" ht="36" customHeight="1">
      <c r="A19" s="2966" t="str">
        <f>'Phụ lục số 8'!A19</f>
        <v>2.2</v>
      </c>
      <c r="B19" s="2306" t="str">
        <f>'Phụ lục số 8'!B19</f>
        <v>Vốn thực hiện 03 chương trình mục tiêu quốc gia</v>
      </c>
      <c r="C19" s="2314">
        <f>SUM(C20,C26,C27)</f>
        <v>234937</v>
      </c>
      <c r="D19" s="2314">
        <f>SUM(D20,D26,D27)</f>
        <v>132921</v>
      </c>
      <c r="E19" s="2967">
        <f t="shared" ref="E19" si="1">SUM(E20,E26,E27)</f>
        <v>102016</v>
      </c>
    </row>
    <row r="20" spans="1:5" ht="36" customHeight="1">
      <c r="A20" s="3314" t="str">
        <f>'Phụ lục số 8'!A20</f>
        <v>2.2.1</v>
      </c>
      <c r="B20" s="2312" t="str">
        <f>'Phụ lục số 8'!B20</f>
        <v>Chương trình mục tiêu quốc gia giảm nghèo bền vững</v>
      </c>
      <c r="C20" s="2313">
        <f>SUM(D20:E20)</f>
        <v>70871</v>
      </c>
      <c r="D20" s="2313">
        <f>SUM(D21:D25)+'Phụ lục số 8'!D20</f>
        <v>5216</v>
      </c>
      <c r="E20" s="2968">
        <f>SUM(E21:E25)</f>
        <v>65655</v>
      </c>
    </row>
    <row r="21" spans="1:5" ht="36" hidden="1" customHeight="1">
      <c r="A21" s="2969" t="str">
        <f>'Phụ lục số 8'!A21</f>
        <v>a</v>
      </c>
      <c r="B21" s="2316" t="str">
        <f>'Phụ lục số 8'!B21</f>
        <v>Dự án 2: Đa dạng hóa sinh kế, phát triển mô hình giảm nghèo (các hoạt động kinh tế); 25.125 triệu đồng</v>
      </c>
      <c r="C21" s="2317">
        <f>SUM(D21:E21)</f>
        <v>25125</v>
      </c>
      <c r="D21" s="2317">
        <f>'Phụ lục số 8'!D21</f>
        <v>0</v>
      </c>
      <c r="E21" s="2970">
        <f>'Phụ lục số 8'!E21</f>
        <v>25125</v>
      </c>
    </row>
    <row r="22" spans="1:5" ht="36" hidden="1" customHeight="1">
      <c r="A22" s="2969" t="str">
        <f>'Phụ lục số 8'!A22</f>
        <v>b</v>
      </c>
      <c r="B22" s="2316" t="str">
        <f>'Phụ lục số 8'!B22</f>
        <v>Dự án 3: Hỗ trợ phát triển sản xuất, cải thiện dinh dưỡng (sự nghiệp y tế, dân số và gia đình: 4.025 triệu đồng; các hoạt động kinh tế: 10.387 triệu đồng)</v>
      </c>
      <c r="C22" s="2317">
        <f t="shared" ref="C22:C25" si="2">SUM(D22:E22)</f>
        <v>14412</v>
      </c>
      <c r="D22" s="2317">
        <f>'Phụ lục số 8'!D22</f>
        <v>0</v>
      </c>
      <c r="E22" s="2970">
        <f>'Phụ lục số 8'!E22</f>
        <v>14412</v>
      </c>
    </row>
    <row r="23" spans="1:5" ht="36" hidden="1" customHeight="1">
      <c r="A23" s="2969" t="str">
        <f>'Phụ lục số 8'!A23</f>
        <v>c</v>
      </c>
      <c r="B23" s="2316" t="str">
        <f>'Phụ lục số 8'!B23</f>
        <v xml:space="preserve">Dự án 4: Phát triển giáo dục nghề nghiệp, việc làm bền vững (sự nghiệp giáo dục-đào tạo và dạy nghề 2.237 triệu đồng; các hoạt động kinh tế 9.941 triệu đồng) </v>
      </c>
      <c r="C23" s="2317">
        <f t="shared" si="2"/>
        <v>12178</v>
      </c>
      <c r="D23" s="2317">
        <f>'Phụ lục số 8'!D23</f>
        <v>0</v>
      </c>
      <c r="E23" s="2970">
        <f>'Phụ lục số 8'!E23</f>
        <v>12178</v>
      </c>
    </row>
    <row r="24" spans="1:5" ht="36" hidden="1" customHeight="1">
      <c r="A24" s="2969" t="str">
        <f>'Phụ lục số 8'!A24</f>
        <v>d</v>
      </c>
      <c r="B24" s="2316" t="str">
        <f>'Phụ lục số 8'!B24</f>
        <v>Dự án 6: Truyền thông và giảm nghèo về thông tin (sự nghiệp văn hóa thông tin); 6.372 triệu đồng</v>
      </c>
      <c r="C24" s="2317">
        <f t="shared" si="2"/>
        <v>6372</v>
      </c>
      <c r="D24" s="2317">
        <f>'Phụ lục số 8'!D24</f>
        <v>0</v>
      </c>
      <c r="E24" s="2970">
        <f>'Phụ lục số 8'!E24</f>
        <v>6372</v>
      </c>
    </row>
    <row r="25" spans="1:5" ht="36" hidden="1" customHeight="1">
      <c r="A25" s="2969" t="str">
        <f>'Phụ lục số 8'!A25</f>
        <v>đ</v>
      </c>
      <c r="B25" s="2316" t="str">
        <f>'Phụ lục số 8'!B25</f>
        <v>Dự án 7: Nâng cao năng lực và giám sát, đánh giá chương trình (sự nghiệp giáo dục- đào tạo và dạy nghề); 7.568 triệu đồng</v>
      </c>
      <c r="C25" s="2317">
        <f t="shared" si="2"/>
        <v>7568</v>
      </c>
      <c r="D25" s="2313">
        <f>'Phụ lục số 8'!D25</f>
        <v>0</v>
      </c>
      <c r="E25" s="2968">
        <f>'Phụ lục số 8'!E25</f>
        <v>7568</v>
      </c>
    </row>
    <row r="26" spans="1:5" ht="36" customHeight="1">
      <c r="A26" s="2969" t="str">
        <f>'Phụ lục số 8'!A26</f>
        <v>2.2.2</v>
      </c>
      <c r="B26" s="2316" t="str">
        <f>'Phụ lục số 8'!B26</f>
        <v>Chương trình mục tiêu quốc gia xây dựng nông thôn mới</v>
      </c>
      <c r="C26" s="2317">
        <f>SUM(D26:E26)</f>
        <v>164066</v>
      </c>
      <c r="D26" s="2313">
        <f>'Phụ lục số 8'!D26</f>
        <v>127705</v>
      </c>
      <c r="E26" s="2968">
        <f>'Phụ lục số 8'!E26</f>
        <v>36361</v>
      </c>
    </row>
    <row r="27" spans="1:5" s="2" customFormat="1" ht="36" hidden="1" customHeight="1">
      <c r="A27" s="2971" t="str">
        <f>'Phụ lục số 8'!A27</f>
        <v>2.2.3</v>
      </c>
      <c r="B27" s="2318" t="str">
        <f>'Phụ lục số 8'!B27</f>
        <v>Chương trình mục tiêu quốc gia phát triển kinh tế xã hội vùng đồng bào dân tộc thiểu số và miền núi</v>
      </c>
      <c r="C27" s="2319">
        <f>SUM(D27:E27)</f>
        <v>0</v>
      </c>
      <c r="D27" s="2308">
        <v>0</v>
      </c>
      <c r="E27" s="2963">
        <f>'Phụ lục số 8'!E27</f>
        <v>0</v>
      </c>
    </row>
    <row r="28" spans="1:5" ht="36" hidden="1" customHeight="1">
      <c r="A28" s="2969"/>
      <c r="B28" s="2316"/>
      <c r="C28" s="2317"/>
      <c r="D28" s="2317"/>
      <c r="E28" s="2970"/>
    </row>
    <row r="29" spans="1:5" s="1239" customFormat="1" ht="36" customHeight="1">
      <c r="A29" s="2961" t="s">
        <v>20</v>
      </c>
      <c r="B29" s="2306" t="str">
        <f>'Phụ lục số 8'!B29</f>
        <v>Ngân sách trung ương bổ sung có mục tiêu (kinh phí sự nghiệp)</v>
      </c>
      <c r="C29" s="2305">
        <f>SUM(C30:C36)</f>
        <v>72469</v>
      </c>
      <c r="D29" s="2305">
        <f>SUM(D30:D36)</f>
        <v>0</v>
      </c>
      <c r="E29" s="2960">
        <f>SUM(E30:E36)</f>
        <v>72469</v>
      </c>
    </row>
    <row r="30" spans="1:5" s="1239" customFormat="1" ht="36" customHeight="1">
      <c r="A30" s="2972">
        <f>'Phụ lục số 8'!A30</f>
        <v>1</v>
      </c>
      <c r="B30" s="2312" t="str">
        <f>'Phụ lục số 8'!B30</f>
        <v>Kinh phí biên chế giáo viên tăng thêm (Sự nghiệp giáo dục - đào tạo)</v>
      </c>
      <c r="C30" s="2313">
        <f t="shared" ref="C30:C36" si="3">SUM(D30:E30)</f>
        <v>11626</v>
      </c>
      <c r="D30" s="2320"/>
      <c r="E30" s="2973">
        <f>'Phụ lục số 8'!E30</f>
        <v>11626</v>
      </c>
    </row>
    <row r="31" spans="1:5" s="1239" customFormat="1" ht="36" hidden="1" customHeight="1">
      <c r="A31" s="2972">
        <f>'Phụ lục số 8'!A31</f>
        <v>0</v>
      </c>
      <c r="B31" s="2312">
        <f>'Phụ lục số 8'!B31</f>
        <v>0</v>
      </c>
      <c r="C31" s="2313">
        <f t="shared" si="3"/>
        <v>0</v>
      </c>
      <c r="D31" s="2320"/>
      <c r="E31" s="2973">
        <f>'Phụ lục số 8'!E31</f>
        <v>0</v>
      </c>
    </row>
    <row r="32" spans="1:5" s="1239" customFormat="1" ht="36" hidden="1" customHeight="1">
      <c r="A32" s="2972">
        <f>'Phụ lục số 8'!A32</f>
        <v>0</v>
      </c>
      <c r="B32" s="2312">
        <f>'Phụ lục số 8'!B32</f>
        <v>0</v>
      </c>
      <c r="C32" s="2313">
        <f t="shared" si="3"/>
        <v>0</v>
      </c>
      <c r="D32" s="2320"/>
      <c r="E32" s="2973">
        <f>'Phụ lục số 8'!E32</f>
        <v>0</v>
      </c>
    </row>
    <row r="33" spans="1:5" s="1239" customFormat="1" ht="36" customHeight="1">
      <c r="A33" s="2972">
        <f>'Phụ lục số 8'!A33</f>
        <v>2</v>
      </c>
      <c r="B33" s="2312" t="str">
        <f>'Phụ lục số 8'!B33</f>
        <v>Hỗ trợ doanh nghiệp nhỏ và vừa (Các hoạt động kinh tế)</v>
      </c>
      <c r="C33" s="2313">
        <f t="shared" si="3"/>
        <v>2000</v>
      </c>
      <c r="D33" s="2313"/>
      <c r="E33" s="2973">
        <f>'Phụ lục số 8'!E33</f>
        <v>2000</v>
      </c>
    </row>
    <row r="34" spans="1:5" s="1239" customFormat="1" ht="36" customHeight="1">
      <c r="A34" s="2972">
        <f>'Phụ lục số 8'!A34</f>
        <v>3</v>
      </c>
      <c r="B34" s="2312" t="str">
        <f>'Phụ lục số 8'!B34</f>
        <v>Kinh phí thực hiện Chương trình Phát triển lâm nghiệp bền vững (Các hoạt động kinh tế)</v>
      </c>
      <c r="C34" s="2313">
        <f t="shared" si="3"/>
        <v>479</v>
      </c>
      <c r="D34" s="2313"/>
      <c r="E34" s="2973">
        <f>'Phụ lục số 8'!E34</f>
        <v>479</v>
      </c>
    </row>
    <row r="35" spans="1:5" s="1239" customFormat="1" ht="36" customHeight="1">
      <c r="A35" s="2972">
        <f>'Phụ lục số 8'!A35</f>
        <v>4</v>
      </c>
      <c r="B35" s="2312" t="str">
        <f>'Phụ lục số 8'!B35</f>
        <v>Bổ sung kinh phí thực hiện nhiệm vụ đảm bảo trật tự an toàn giao thông (Các hoạt động kinh tế)</v>
      </c>
      <c r="C35" s="2313">
        <f t="shared" si="3"/>
        <v>7106</v>
      </c>
      <c r="D35" s="2313"/>
      <c r="E35" s="2973">
        <f>'Phụ lục số 8'!E35</f>
        <v>7106</v>
      </c>
    </row>
    <row r="36" spans="1:5" s="1239" customFormat="1" ht="36" customHeight="1" thickBot="1">
      <c r="A36" s="2974">
        <f>'Phụ lục số 8'!A36</f>
        <v>5</v>
      </c>
      <c r="B36" s="2975" t="str">
        <f>'Phụ lục số 8'!B36</f>
        <v>Phí sử dụng đường bộ (Các hoạt động kinh tế)</v>
      </c>
      <c r="C36" s="2976">
        <f t="shared" si="3"/>
        <v>51258</v>
      </c>
      <c r="D36" s="2976"/>
      <c r="E36" s="2977">
        <f>'Phụ lục số 8'!E36</f>
        <v>51258</v>
      </c>
    </row>
    <row r="37" spans="1:5" ht="18.600000000000001" thickTop="1"/>
  </sheetData>
  <mergeCells count="7">
    <mergeCell ref="A1:E1"/>
    <mergeCell ref="A2:E2"/>
    <mergeCell ref="B4:E4"/>
    <mergeCell ref="A5:A6"/>
    <mergeCell ref="B5:B6"/>
    <mergeCell ref="C5:C6"/>
    <mergeCell ref="D5:E5"/>
  </mergeCells>
  <hyperlinks>
    <hyperlink ref="A5:A6" location="'List danh mục'!A1" display="STT"/>
  </hyperlinks>
  <printOptions horizontalCentered="1"/>
  <pageMargins left="0" right="0" top="0.39370078740157483" bottom="0" header="0.19685039370078741" footer="0.19685039370078741"/>
  <pageSetup paperSize="9" scale="70" orientation="portrait" r:id="rId1"/>
  <headerFooter>
    <oddHeader>&amp;R&amp;A</oddHeader>
    <oddFooter>&amp;C&amp;P/&amp;N</oddFoot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12"/>
  <sheetViews>
    <sheetView workbookViewId="0">
      <selection activeCell="AA8" sqref="AA8"/>
    </sheetView>
  </sheetViews>
  <sheetFormatPr defaultRowHeight="15.6"/>
  <cols>
    <col min="1" max="1" width="8.69921875" style="286" customWidth="1"/>
    <col min="2" max="2" width="66.69921875" customWidth="1"/>
    <col min="3" max="3" width="14.69921875" customWidth="1"/>
    <col min="4" max="4" width="14.19921875" customWidth="1"/>
    <col min="5" max="5" width="15.3984375" customWidth="1"/>
    <col min="6" max="6" width="15.5" customWidth="1"/>
    <col min="7" max="7" width="17.09765625" customWidth="1"/>
  </cols>
  <sheetData>
    <row r="2" spans="1:7">
      <c r="A2" s="4333" t="s">
        <v>2816</v>
      </c>
      <c r="B2" s="4333"/>
      <c r="C2" s="4333"/>
      <c r="D2" s="4333"/>
      <c r="E2" s="4333"/>
      <c r="F2" s="4333"/>
      <c r="G2" s="4333"/>
    </row>
    <row r="4" spans="1:7" s="261" customFormat="1" ht="44.4" customHeight="1">
      <c r="A4" s="3882" t="s">
        <v>288</v>
      </c>
      <c r="B4" s="3882" t="s">
        <v>791</v>
      </c>
      <c r="C4" s="3882" t="s">
        <v>166</v>
      </c>
      <c r="D4" s="3882" t="s">
        <v>167</v>
      </c>
      <c r="E4" s="3882" t="s">
        <v>2706</v>
      </c>
      <c r="F4" s="3882" t="s">
        <v>2707</v>
      </c>
      <c r="G4" s="3882" t="s">
        <v>185</v>
      </c>
    </row>
    <row r="5" spans="1:7" s="1559" customFormat="1" ht="38.4" customHeight="1">
      <c r="A5" s="3883" t="s">
        <v>9</v>
      </c>
      <c r="B5" s="3883" t="s">
        <v>28</v>
      </c>
      <c r="C5" s="3884">
        <v>14124109</v>
      </c>
      <c r="D5" s="3884">
        <v>14054453</v>
      </c>
      <c r="E5" s="3884">
        <f>'Phụ lục số 2'!C7</f>
        <v>15819995</v>
      </c>
      <c r="F5" s="3884">
        <f>'Phụ lục số 2'!X7</f>
        <v>18627408.915999997</v>
      </c>
      <c r="G5" s="3884">
        <f>'Phụ lục số 2'!AC7</f>
        <v>19478786.610194877</v>
      </c>
    </row>
    <row r="6" spans="1:7" s="1559" customFormat="1" ht="38.4" customHeight="1">
      <c r="A6" s="3885" t="s">
        <v>20</v>
      </c>
      <c r="B6" s="3885" t="s">
        <v>2807</v>
      </c>
      <c r="C6" s="3886">
        <v>8465821</v>
      </c>
      <c r="D6" s="3886">
        <v>9140657</v>
      </c>
      <c r="E6" s="3886">
        <f>'Phụ lục số 2'!C15</f>
        <v>9353865</v>
      </c>
      <c r="F6" s="3886">
        <f>'Phụ lục số 2'!X15</f>
        <v>10664978.394711081</v>
      </c>
      <c r="G6" s="3886">
        <f>'Phụ lục số 2'!AC15</f>
        <v>11071000</v>
      </c>
    </row>
    <row r="7" spans="1:7" s="1559" customFormat="1" ht="38.4" customHeight="1">
      <c r="A7" s="3885">
        <v>1</v>
      </c>
      <c r="B7" s="1215" t="s">
        <v>2805</v>
      </c>
      <c r="C7" s="3886">
        <v>747585</v>
      </c>
      <c r="D7" s="3886">
        <v>518200</v>
      </c>
      <c r="E7" s="3886">
        <v>649840</v>
      </c>
      <c r="F7" s="3886">
        <v>746570</v>
      </c>
      <c r="G7" s="1215"/>
    </row>
    <row r="8" spans="1:7" s="2364" customFormat="1" ht="38.4" customHeight="1">
      <c r="A8" s="3885" t="s">
        <v>2810</v>
      </c>
      <c r="B8" s="3887" t="s">
        <v>2808</v>
      </c>
      <c r="C8" s="3888">
        <f t="shared" ref="C8:D8" si="0">C7/C5</f>
        <v>5.2929710468816123E-2</v>
      </c>
      <c r="D8" s="3888">
        <f t="shared" si="0"/>
        <v>3.6870876440370889E-2</v>
      </c>
      <c r="E8" s="3888">
        <f>E7/E5</f>
        <v>4.1077130555350998E-2</v>
      </c>
      <c r="F8" s="3888">
        <f>F7/F5</f>
        <v>4.0079111559028179E-2</v>
      </c>
      <c r="G8" s="3888">
        <f>G7/G5</f>
        <v>0</v>
      </c>
    </row>
    <row r="9" spans="1:7" s="2364" customFormat="1" ht="38.4" customHeight="1">
      <c r="A9" s="3885" t="s">
        <v>2811</v>
      </c>
      <c r="B9" s="3887" t="s">
        <v>2809</v>
      </c>
      <c r="C9" s="3888">
        <f t="shared" ref="C9:D9" si="1">C7/C6</f>
        <v>8.8306261141122638E-2</v>
      </c>
      <c r="D9" s="3888">
        <f t="shared" si="1"/>
        <v>5.6691767342325609E-2</v>
      </c>
      <c r="E9" s="3888">
        <f>E7/E6</f>
        <v>6.9472886341635245E-2</v>
      </c>
      <c r="F9" s="3888">
        <f>F7/F6</f>
        <v>7.0002017103966668E-2</v>
      </c>
      <c r="G9" s="3888">
        <f>G7/G6</f>
        <v>0</v>
      </c>
    </row>
    <row r="10" spans="1:7" s="1559" customFormat="1" ht="38.4" customHeight="1">
      <c r="A10" s="3885">
        <v>2</v>
      </c>
      <c r="B10" s="1215" t="s">
        <v>2806</v>
      </c>
      <c r="C10" s="3886">
        <f>3653191</f>
        <v>3653191</v>
      </c>
      <c r="D10" s="3886">
        <v>4090257</v>
      </c>
      <c r="E10" s="3886">
        <f>'Phụ lục số 2'!C20</f>
        <v>4179745</v>
      </c>
      <c r="F10" s="3886">
        <f>'Phụ lục số 2'!X20</f>
        <v>4797945.7831797441</v>
      </c>
      <c r="G10" s="3886">
        <f>'Phụ lục số 2'!AC20</f>
        <v>4916000</v>
      </c>
    </row>
    <row r="11" spans="1:7" s="2364" customFormat="1" ht="38.4" customHeight="1">
      <c r="A11" s="3885" t="s">
        <v>2814</v>
      </c>
      <c r="B11" s="1216" t="s">
        <v>2812</v>
      </c>
      <c r="C11" s="3888">
        <f t="shared" ref="C11:E11" si="2">C10/C5</f>
        <v>0.25864930665714914</v>
      </c>
      <c r="D11" s="3888">
        <f t="shared" si="2"/>
        <v>0.29102925599452356</v>
      </c>
      <c r="E11" s="3888">
        <f t="shared" si="2"/>
        <v>0.2642064678275815</v>
      </c>
      <c r="F11" s="3888">
        <f>F10/F5</f>
        <v>0.25757451317120938</v>
      </c>
      <c r="G11" s="3888">
        <f>G10/G5</f>
        <v>0.2523771166232216</v>
      </c>
    </row>
    <row r="12" spans="1:7" s="2364" customFormat="1" ht="38.4" customHeight="1">
      <c r="A12" s="3881" t="s">
        <v>2815</v>
      </c>
      <c r="B12" s="3889" t="s">
        <v>2813</v>
      </c>
      <c r="C12" s="3890">
        <f t="shared" ref="C12:E12" si="3">C10/C6</f>
        <v>0.43152235323662053</v>
      </c>
      <c r="D12" s="3890">
        <f t="shared" si="3"/>
        <v>0.44747954113145261</v>
      </c>
      <c r="E12" s="3890">
        <f t="shared" si="3"/>
        <v>0.44684683817865661</v>
      </c>
      <c r="F12" s="3890">
        <f>F10/F6</f>
        <v>0.44987862193505385</v>
      </c>
      <c r="G12" s="3890">
        <f>G10/G6</f>
        <v>0.44404299521271789</v>
      </c>
    </row>
  </sheetData>
  <mergeCells count="1">
    <mergeCell ref="A2:G2"/>
  </mergeCells>
  <printOptions horizontalCentered="1"/>
  <pageMargins left="0" right="0" top="0.39370078740157483" bottom="0" header="0" footer="0"/>
  <pageSetup paperSize="9" scale="85" orientation="landscape" verticalDpi="0"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
  <sheetViews>
    <sheetView workbookViewId="0">
      <selection activeCell="A4" sqref="A4"/>
    </sheetView>
  </sheetViews>
  <sheetFormatPr defaultRowHeight="15.6"/>
  <cols>
    <col min="1" max="1" width="8.69921875" style="2141"/>
  </cols>
  <sheetData>
    <row r="4" spans="1:1">
      <c r="A4" s="2170" t="s">
        <v>288</v>
      </c>
    </row>
  </sheetData>
  <hyperlinks>
    <hyperlink ref="A4" location="'List danh mục'!A1" display="Số TT"/>
  </hyperlinks>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
  <sheetViews>
    <sheetView workbookViewId="0">
      <selection activeCell="A4" sqref="A4"/>
    </sheetView>
  </sheetViews>
  <sheetFormatPr defaultRowHeight="15.6"/>
  <sheetData>
    <row r="4" spans="1:1">
      <c r="A4" s="2170" t="s">
        <v>288</v>
      </c>
    </row>
  </sheetData>
  <hyperlinks>
    <hyperlink ref="A4" location="'List danh mục'!A1" display="Số TT"/>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CY62"/>
  <sheetViews>
    <sheetView topLeftCell="A16" workbookViewId="0">
      <selection activeCell="H28" sqref="H28"/>
    </sheetView>
  </sheetViews>
  <sheetFormatPr defaultColWidth="9" defaultRowHeight="18"/>
  <cols>
    <col min="1" max="1" width="5.59765625" style="722" bestFit="1" customWidth="1"/>
    <col min="2" max="2" width="41" style="722" customWidth="1"/>
    <col min="3" max="6" width="12.69921875" style="722" customWidth="1"/>
    <col min="7" max="7" width="11.69921875" style="726" customWidth="1"/>
    <col min="8" max="12" width="11.69921875" style="722" customWidth="1"/>
    <col min="13" max="16384" width="9" style="722"/>
  </cols>
  <sheetData>
    <row r="1" spans="1:103">
      <c r="A1" s="4279" t="s">
        <v>1800</v>
      </c>
      <c r="B1" s="4279"/>
      <c r="C1" s="4279"/>
      <c r="D1" s="4279"/>
      <c r="E1" s="4279"/>
      <c r="F1" s="4279"/>
      <c r="G1" s="4279"/>
      <c r="H1" s="4279"/>
      <c r="I1" s="4279"/>
      <c r="J1" s="4279"/>
      <c r="K1" s="4279"/>
      <c r="L1" s="4279"/>
      <c r="AH1" s="722" t="s">
        <v>635</v>
      </c>
      <c r="AM1" s="1237"/>
      <c r="AU1" s="1237"/>
      <c r="BC1" s="1237"/>
      <c r="BK1" s="1237"/>
      <c r="BS1" s="1237"/>
      <c r="CA1" s="1237"/>
      <c r="CI1" s="1237"/>
      <c r="CQ1" s="1237"/>
      <c r="CY1" s="1237"/>
    </row>
    <row r="2" spans="1:103" ht="17.25" customHeight="1">
      <c r="A2" s="723"/>
      <c r="B2" s="723"/>
      <c r="C2" s="723"/>
      <c r="D2" s="723"/>
      <c r="E2" s="723"/>
      <c r="F2" s="723"/>
      <c r="G2" s="725"/>
    </row>
    <row r="3" spans="1:103" ht="17.25" customHeight="1" thickBot="1">
      <c r="B3" s="4291"/>
      <c r="C3" s="4291"/>
      <c r="D3" s="4291"/>
      <c r="E3" s="4291"/>
      <c r="F3" s="4291"/>
      <c r="G3" s="4291"/>
      <c r="H3" s="4291"/>
      <c r="I3" s="4291"/>
      <c r="L3" s="1928" t="s">
        <v>224</v>
      </c>
    </row>
    <row r="4" spans="1:103" s="723" customFormat="1">
      <c r="A4" s="4292" t="s">
        <v>244</v>
      </c>
      <c r="B4" s="4293" t="s">
        <v>640</v>
      </c>
      <c r="C4" s="4297" t="s">
        <v>687</v>
      </c>
      <c r="D4" s="4298"/>
      <c r="E4" s="4297" t="s">
        <v>368</v>
      </c>
      <c r="F4" s="4298"/>
      <c r="G4" s="4293" t="s">
        <v>568</v>
      </c>
      <c r="H4" s="4293"/>
      <c r="I4" s="4293" t="s">
        <v>688</v>
      </c>
      <c r="J4" s="4293" t="s">
        <v>1799</v>
      </c>
      <c r="K4" s="4293" t="s">
        <v>648</v>
      </c>
      <c r="L4" s="4295" t="s">
        <v>1704</v>
      </c>
    </row>
    <row r="5" spans="1:103" s="723" customFormat="1" ht="144.75" customHeight="1">
      <c r="A5" s="4261"/>
      <c r="B5" s="4294"/>
      <c r="C5" s="1962" t="s">
        <v>649</v>
      </c>
      <c r="D5" s="1962" t="s">
        <v>692</v>
      </c>
      <c r="E5" s="1962" t="s">
        <v>649</v>
      </c>
      <c r="F5" s="1962" t="s">
        <v>692</v>
      </c>
      <c r="G5" s="1238" t="s">
        <v>649</v>
      </c>
      <c r="H5" s="1238" t="s">
        <v>650</v>
      </c>
      <c r="I5" s="4294"/>
      <c r="J5" s="4294"/>
      <c r="K5" s="4294"/>
      <c r="L5" s="4296"/>
    </row>
    <row r="6" spans="1:103" s="723" customFormat="1">
      <c r="A6" s="1989"/>
      <c r="B6" s="1238"/>
      <c r="C6" s="1962"/>
      <c r="D6" s="1962"/>
      <c r="E6" s="1962"/>
      <c r="F6" s="1962"/>
      <c r="G6" s="1238">
        <v>1</v>
      </c>
      <c r="H6" s="1238">
        <v>2</v>
      </c>
      <c r="I6" s="1238">
        <v>3</v>
      </c>
      <c r="J6" s="1238" t="s">
        <v>651</v>
      </c>
      <c r="K6" s="1238">
        <v>5</v>
      </c>
      <c r="L6" s="1990">
        <v>6</v>
      </c>
    </row>
    <row r="7" spans="1:103" s="727" customFormat="1" ht="17.399999999999999">
      <c r="A7" s="1991" t="s">
        <v>7</v>
      </c>
      <c r="B7" s="1934" t="s">
        <v>652</v>
      </c>
      <c r="C7" s="1963">
        <v>1296088</v>
      </c>
      <c r="D7" s="1963">
        <v>1139200</v>
      </c>
      <c r="E7" s="1964">
        <v>1161955.4000000001</v>
      </c>
      <c r="F7" s="1964">
        <v>1339134</v>
      </c>
      <c r="G7" s="1935">
        <f>'Phụ lục số 1'!E8*20%</f>
        <v>1340800</v>
      </c>
      <c r="H7" s="1935">
        <f>'Phụ lục số 1'!W8*20%</f>
        <v>1490079.96</v>
      </c>
      <c r="I7" s="1935">
        <f>'Phụ lục số 1'!AH8*20%</f>
        <v>1696986</v>
      </c>
      <c r="J7" s="1936">
        <f>I7/G7</f>
        <v>1.2656518496420048</v>
      </c>
      <c r="K7" s="1937">
        <f>'Phụ lục số 1'!AN8*20%</f>
        <v>1822879.8440779501</v>
      </c>
      <c r="L7" s="1992">
        <f>'Phụ lục số 1'!AT8*20%</f>
        <v>1982200.0466493485</v>
      </c>
    </row>
    <row r="8" spans="1:103" s="727" customFormat="1" ht="18" customHeight="1">
      <c r="A8" s="1993" t="s">
        <v>22</v>
      </c>
      <c r="B8" s="1938" t="s">
        <v>653</v>
      </c>
      <c r="C8" s="1933">
        <v>123200</v>
      </c>
      <c r="D8" s="1933">
        <v>123200</v>
      </c>
      <c r="E8" s="1965">
        <v>72661</v>
      </c>
      <c r="F8" s="1965">
        <v>286642.34025999997</v>
      </c>
      <c r="G8" s="1940">
        <v>247800</v>
      </c>
      <c r="H8" s="1940">
        <v>247800</v>
      </c>
      <c r="I8" s="1940">
        <v>0</v>
      </c>
      <c r="J8" s="1941"/>
      <c r="K8" s="1940">
        <v>0</v>
      </c>
      <c r="L8" s="1994">
        <v>0</v>
      </c>
    </row>
    <row r="9" spans="1:103" s="727" customFormat="1" ht="18" customHeight="1">
      <c r="A9" s="1993" t="s">
        <v>26</v>
      </c>
      <c r="B9" s="1938" t="s">
        <v>654</v>
      </c>
      <c r="C9" s="1933">
        <v>123200</v>
      </c>
      <c r="D9" s="1933">
        <v>123200</v>
      </c>
      <c r="E9" s="1965">
        <v>72661</v>
      </c>
      <c r="F9" s="1965">
        <v>286642.34025999997</v>
      </c>
      <c r="G9" s="1940">
        <f>247800</f>
        <v>247800</v>
      </c>
      <c r="H9" s="1940">
        <f>247800</f>
        <v>247800</v>
      </c>
      <c r="I9" s="1940">
        <v>0</v>
      </c>
      <c r="J9" s="1941"/>
      <c r="K9" s="1940">
        <v>0</v>
      </c>
      <c r="L9" s="1994">
        <v>0</v>
      </c>
    </row>
    <row r="10" spans="1:103" s="727" customFormat="1" ht="18" customHeight="1">
      <c r="A10" s="1993" t="s">
        <v>9</v>
      </c>
      <c r="B10" s="1938" t="s">
        <v>655</v>
      </c>
      <c r="C10" s="1965">
        <f t="shared" ref="C10:F10" si="0">SUM(C12,C16:C19)</f>
        <v>518207.90068093996</v>
      </c>
      <c r="D10" s="1965">
        <f t="shared" si="0"/>
        <v>518207.90068093996</v>
      </c>
      <c r="E10" s="1965">
        <f t="shared" si="0"/>
        <v>217182.32823394</v>
      </c>
      <c r="F10" s="1965">
        <f t="shared" si="0"/>
        <v>406330.47345300007</v>
      </c>
      <c r="G10" s="1939">
        <f>SUM(G12,G16:G19)</f>
        <v>367690.68025999999</v>
      </c>
      <c r="H10" s="1939">
        <f t="shared" ref="H10:L10" si="1">SUM(H12,H16:H19)</f>
        <v>367690.68025999999</v>
      </c>
      <c r="I10" s="1939">
        <f t="shared" si="1"/>
        <v>106649</v>
      </c>
      <c r="J10" s="1941"/>
      <c r="K10" s="1939">
        <f t="shared" si="1"/>
        <v>93649</v>
      </c>
      <c r="L10" s="1995">
        <f t="shared" si="1"/>
        <v>80149</v>
      </c>
    </row>
    <row r="11" spans="1:103" s="723" customFormat="1" ht="18" customHeight="1">
      <c r="A11" s="1996"/>
      <c r="B11" s="1942" t="s">
        <v>656</v>
      </c>
      <c r="C11" s="1966">
        <f t="shared" ref="C11:D11" si="2">C10/C7</f>
        <v>0.39982462663101576</v>
      </c>
      <c r="D11" s="1966">
        <f t="shared" si="2"/>
        <v>0.45488755326627456</v>
      </c>
      <c r="E11" s="1966">
        <f t="shared" ref="E11" si="3">E10/E7</f>
        <v>0.18691107097048645</v>
      </c>
      <c r="F11" s="1966">
        <f t="shared" ref="F11" si="4">F10/F7</f>
        <v>0.30342779247857204</v>
      </c>
      <c r="G11" s="1943">
        <f t="shared" ref="G11:I11" si="5">G10/G7</f>
        <v>0.27423230926312647</v>
      </c>
      <c r="H11" s="1943">
        <f t="shared" si="5"/>
        <v>0.24675902644848671</v>
      </c>
      <c r="I11" s="1943">
        <f t="shared" si="5"/>
        <v>6.2846128371123869E-2</v>
      </c>
      <c r="J11" s="1944"/>
      <c r="K11" s="1943">
        <f t="shared" ref="K11" si="6">K10/K7</f>
        <v>5.1374203463953258E-2</v>
      </c>
      <c r="L11" s="1997">
        <f>L10/L7</f>
        <v>4.0434364904531943E-2</v>
      </c>
    </row>
    <row r="12" spans="1:103" s="727" customFormat="1" ht="18" customHeight="1">
      <c r="A12" s="1998">
        <v>1</v>
      </c>
      <c r="B12" s="1945" t="s">
        <v>681</v>
      </c>
      <c r="C12" s="1930">
        <f t="shared" ref="C12" si="7">SUM(C13:C15)</f>
        <v>512199.90844699997</v>
      </c>
      <c r="D12" s="1930">
        <f t="shared" ref="D12" si="8">SUM(D13:D15)</f>
        <v>512199.90844699997</v>
      </c>
      <c r="E12" s="1930">
        <f t="shared" ref="E12" si="9">SUM(E13:E15)</f>
        <v>186484.33600000001</v>
      </c>
      <c r="F12" s="1930">
        <f t="shared" ref="F12" si="10">SUM(F13:F15)</f>
        <v>339054.34426000004</v>
      </c>
      <c r="G12" s="1929">
        <f t="shared" ref="G12:I12" si="11">SUM(G13:G15)</f>
        <v>272642.68025999999</v>
      </c>
      <c r="H12" s="1929">
        <f t="shared" si="11"/>
        <v>272642.68025999999</v>
      </c>
      <c r="I12" s="1929">
        <f t="shared" si="11"/>
        <v>0</v>
      </c>
      <c r="J12" s="1941"/>
      <c r="K12" s="1929">
        <f t="shared" ref="K12" si="12">SUM(K13:K15)</f>
        <v>0</v>
      </c>
      <c r="L12" s="1999">
        <f t="shared" ref="L12" si="13">SUM(L13:L15)</f>
        <v>0</v>
      </c>
    </row>
    <row r="13" spans="1:103" s="731" customFormat="1" ht="18" customHeight="1">
      <c r="A13" s="2000"/>
      <c r="B13" s="1946" t="s">
        <v>657</v>
      </c>
      <c r="C13" s="1967">
        <v>34792</v>
      </c>
      <c r="D13" s="1967">
        <v>34792</v>
      </c>
      <c r="E13" s="1967">
        <v>6250</v>
      </c>
      <c r="F13" s="1967">
        <v>0</v>
      </c>
      <c r="G13" s="1947">
        <v>0</v>
      </c>
      <c r="H13" s="1947">
        <v>0</v>
      </c>
      <c r="I13" s="1948">
        <f>6250-6250</f>
        <v>0</v>
      </c>
      <c r="J13" s="1949"/>
      <c r="K13" s="1948">
        <v>0</v>
      </c>
      <c r="L13" s="2001">
        <v>0</v>
      </c>
    </row>
    <row r="14" spans="1:103" s="731" customFormat="1" ht="18" customHeight="1">
      <c r="A14" s="2000"/>
      <c r="B14" s="1946" t="s">
        <v>658</v>
      </c>
      <c r="C14" s="1967">
        <v>230762.57244699995</v>
      </c>
      <c r="D14" s="1967">
        <v>230762.57244699995</v>
      </c>
      <c r="E14" s="1967">
        <v>0</v>
      </c>
      <c r="F14" s="1967">
        <v>225231.34026000003</v>
      </c>
      <c r="G14" s="1950">
        <v>225231.34025999997</v>
      </c>
      <c r="H14" s="1950">
        <f>G14</f>
        <v>225231.34025999997</v>
      </c>
      <c r="I14" s="1948">
        <v>0</v>
      </c>
      <c r="J14" s="1949"/>
      <c r="K14" s="1948">
        <v>0</v>
      </c>
      <c r="L14" s="2001">
        <v>0</v>
      </c>
    </row>
    <row r="15" spans="1:103" s="731" customFormat="1" ht="18" customHeight="1">
      <c r="A15" s="2000"/>
      <c r="B15" s="1946" t="s">
        <v>659</v>
      </c>
      <c r="C15" s="1967">
        <v>246645.33600000001</v>
      </c>
      <c r="D15" s="1967">
        <v>246645.33600000001</v>
      </c>
      <c r="E15" s="1967">
        <v>180234.33600000001</v>
      </c>
      <c r="F15" s="1967">
        <v>113823.00400000002</v>
      </c>
      <c r="G15" s="1950">
        <v>47411.340000000026</v>
      </c>
      <c r="H15" s="1950">
        <f>G15</f>
        <v>47411.340000000026</v>
      </c>
      <c r="I15" s="1948">
        <f>180234.336-180234.336</f>
        <v>0</v>
      </c>
      <c r="J15" s="1949"/>
      <c r="K15" s="1948">
        <f>113823.336-113823.336</f>
        <v>0</v>
      </c>
      <c r="L15" s="2001">
        <f>47412.002668-47412.002668</f>
        <v>0</v>
      </c>
    </row>
    <row r="16" spans="1:103" s="727" customFormat="1" ht="17.399999999999999">
      <c r="A16" s="1998">
        <v>2</v>
      </c>
      <c r="B16" s="1945" t="s">
        <v>660</v>
      </c>
      <c r="C16" s="1933">
        <v>0</v>
      </c>
      <c r="D16" s="1933">
        <v>0</v>
      </c>
      <c r="E16" s="1933">
        <v>0</v>
      </c>
      <c r="F16" s="1933">
        <v>0</v>
      </c>
      <c r="G16" s="1940">
        <v>0</v>
      </c>
      <c r="H16" s="1940">
        <v>0</v>
      </c>
      <c r="I16" s="1940">
        <v>0</v>
      </c>
      <c r="J16" s="1941"/>
      <c r="K16" s="1940">
        <v>0</v>
      </c>
      <c r="L16" s="1994">
        <v>0</v>
      </c>
    </row>
    <row r="17" spans="1:12" s="724" customFormat="1" ht="17.399999999999999">
      <c r="A17" s="1998">
        <v>3</v>
      </c>
      <c r="B17" s="1951" t="s">
        <v>661</v>
      </c>
      <c r="C17" s="1968">
        <v>0</v>
      </c>
      <c r="D17" s="1968">
        <v>0</v>
      </c>
      <c r="E17" s="1968">
        <v>0</v>
      </c>
      <c r="F17" s="1968">
        <v>0</v>
      </c>
      <c r="G17" s="2072">
        <v>0</v>
      </c>
      <c r="H17" s="2072">
        <v>0</v>
      </c>
      <c r="I17" s="1940">
        <v>0</v>
      </c>
      <c r="J17" s="1953"/>
      <c r="K17" s="1940">
        <v>0</v>
      </c>
      <c r="L17" s="1994">
        <v>0</v>
      </c>
    </row>
    <row r="18" spans="1:12" s="724" customFormat="1" ht="17.399999999999999">
      <c r="A18" s="1998">
        <v>4</v>
      </c>
      <c r="B18" s="1951" t="s">
        <v>662</v>
      </c>
      <c r="C18" s="1974">
        <v>6007.99223394</v>
      </c>
      <c r="D18" s="1974">
        <v>6007.99223394</v>
      </c>
      <c r="E18" s="1974">
        <v>30697.99223394</v>
      </c>
      <c r="F18" s="1974">
        <v>67276.129193000001</v>
      </c>
      <c r="G18" s="2072">
        <v>95048</v>
      </c>
      <c r="H18" s="2072">
        <v>95048</v>
      </c>
      <c r="I18" s="1975">
        <f>H53</f>
        <v>106649</v>
      </c>
      <c r="J18" s="1976"/>
      <c r="K18" s="1975">
        <f>I53</f>
        <v>93649</v>
      </c>
      <c r="L18" s="2002">
        <f>K53</f>
        <v>80149</v>
      </c>
    </row>
    <row r="19" spans="1:12" s="724" customFormat="1" ht="17.399999999999999">
      <c r="A19" s="1998">
        <v>5</v>
      </c>
      <c r="B19" s="1951" t="s">
        <v>663</v>
      </c>
      <c r="C19" s="1968">
        <v>0</v>
      </c>
      <c r="D19" s="1968">
        <v>0</v>
      </c>
      <c r="E19" s="1968">
        <v>0</v>
      </c>
      <c r="F19" s="1968">
        <v>0</v>
      </c>
      <c r="G19" s="2072">
        <v>0</v>
      </c>
      <c r="H19" s="2072">
        <v>0</v>
      </c>
      <c r="I19" s="1940">
        <v>0</v>
      </c>
      <c r="J19" s="1953"/>
      <c r="K19" s="1940">
        <v>0</v>
      </c>
      <c r="L19" s="1994">
        <v>0</v>
      </c>
    </row>
    <row r="20" spans="1:12" s="724" customFormat="1" ht="17.399999999999999">
      <c r="A20" s="1998" t="s">
        <v>20</v>
      </c>
      <c r="B20" s="1954" t="s">
        <v>664</v>
      </c>
      <c r="C20" s="1969">
        <f t="shared" ref="C20:F20" si="14">C21</f>
        <v>325715.57244700001</v>
      </c>
      <c r="D20" s="1969">
        <f t="shared" si="14"/>
        <v>325715.57244700001</v>
      </c>
      <c r="E20" s="1969">
        <f t="shared" si="14"/>
        <v>72661</v>
      </c>
      <c r="F20" s="1969">
        <f t="shared" si="14"/>
        <v>78116.021756999995</v>
      </c>
      <c r="G20" s="2073">
        <f>G21</f>
        <v>285142.68025999999</v>
      </c>
      <c r="H20" s="2073">
        <f>H21</f>
        <v>285142.68025999999</v>
      </c>
      <c r="I20" s="1955">
        <f>I21</f>
        <v>13000.000000000002</v>
      </c>
      <c r="J20" s="1953"/>
      <c r="K20" s="1955">
        <f>K21</f>
        <v>13500.000000000002</v>
      </c>
      <c r="L20" s="2003">
        <f>L21</f>
        <v>14000.000000000002</v>
      </c>
    </row>
    <row r="21" spans="1:12" s="724" customFormat="1" ht="17.399999999999999">
      <c r="A21" s="1998">
        <v>1</v>
      </c>
      <c r="B21" s="1954" t="s">
        <v>665</v>
      </c>
      <c r="C21" s="1969">
        <f t="shared" ref="C21:F21" si="15">SUM(C22,C26:C29)</f>
        <v>325715.57244700001</v>
      </c>
      <c r="D21" s="1969">
        <f t="shared" si="15"/>
        <v>325715.57244700001</v>
      </c>
      <c r="E21" s="1969">
        <f t="shared" si="15"/>
        <v>72661</v>
      </c>
      <c r="F21" s="1969">
        <f t="shared" si="15"/>
        <v>78116.021756999995</v>
      </c>
      <c r="G21" s="1955">
        <f>SUM(G22,G26:G29)</f>
        <v>285142.68025999999</v>
      </c>
      <c r="H21" s="1955">
        <f>SUM(H22,H26:H29)</f>
        <v>285142.68025999999</v>
      </c>
      <c r="I21" s="1955">
        <f>SUM(I22,I26:I29)</f>
        <v>13000.000000000002</v>
      </c>
      <c r="J21" s="1953"/>
      <c r="K21" s="1955">
        <f>SUM(K22,K26:K29)</f>
        <v>13500.000000000002</v>
      </c>
      <c r="L21" s="2003">
        <f>SUM(L22,L26:L29)</f>
        <v>14000.000000000002</v>
      </c>
    </row>
    <row r="22" spans="1:12">
      <c r="A22" s="1998" t="s">
        <v>137</v>
      </c>
      <c r="B22" s="1956" t="s">
        <v>666</v>
      </c>
      <c r="C22" s="1931">
        <f t="shared" ref="C22" si="16">SUM(C23:C25)</f>
        <v>325715.57244700001</v>
      </c>
      <c r="D22" s="1931">
        <f t="shared" ref="D22" si="17">SUM(D23:D25)</f>
        <v>325715.57244700001</v>
      </c>
      <c r="E22" s="1931">
        <f t="shared" ref="E22" si="18">SUM(E23:E25)</f>
        <v>72661</v>
      </c>
      <c r="F22" s="1931">
        <f t="shared" ref="F22" si="19">SUM(F23:F25)</f>
        <v>66411</v>
      </c>
      <c r="G22" s="1957">
        <f t="shared" ref="G22" si="20">SUM(G23:G25)</f>
        <v>272642.68025999999</v>
      </c>
      <c r="H22" s="1957">
        <f>SUM(H23:H25)</f>
        <v>272642.68025999999</v>
      </c>
      <c r="I22" s="1957">
        <f>SUM(I23:I25)</f>
        <v>0</v>
      </c>
      <c r="J22" s="1958"/>
      <c r="K22" s="1957">
        <f>SUM(K23:K25)</f>
        <v>0</v>
      </c>
      <c r="L22" s="2004">
        <f>SUM(L23:L25)</f>
        <v>0</v>
      </c>
    </row>
    <row r="23" spans="1:12" s="732" customFormat="1">
      <c r="A23" s="2005"/>
      <c r="B23" s="1946" t="s">
        <v>657</v>
      </c>
      <c r="C23" s="1970">
        <v>28542</v>
      </c>
      <c r="D23" s="1970">
        <v>28542</v>
      </c>
      <c r="E23" s="1970">
        <v>6250</v>
      </c>
      <c r="F23" s="1970">
        <v>0</v>
      </c>
      <c r="G23" s="1959">
        <v>0</v>
      </c>
      <c r="H23" s="1959">
        <v>0</v>
      </c>
      <c r="I23" s="1959">
        <f>6250-6250</f>
        <v>0</v>
      </c>
      <c r="J23" s="1960"/>
      <c r="K23" s="1959">
        <v>0</v>
      </c>
      <c r="L23" s="2006">
        <v>0</v>
      </c>
    </row>
    <row r="24" spans="1:12" s="732" customFormat="1">
      <c r="A24" s="2005"/>
      <c r="B24" s="1946" t="s">
        <v>658</v>
      </c>
      <c r="C24" s="1970">
        <v>230762.57244700001</v>
      </c>
      <c r="D24" s="1970">
        <v>230762.57244700001</v>
      </c>
      <c r="E24" s="1970">
        <v>0</v>
      </c>
      <c r="F24" s="1970">
        <v>0</v>
      </c>
      <c r="G24" s="1950">
        <v>225231.34025999997</v>
      </c>
      <c r="H24" s="1950">
        <f>G24</f>
        <v>225231.34025999997</v>
      </c>
      <c r="I24" s="1959">
        <v>0</v>
      </c>
      <c r="J24" s="1960"/>
      <c r="K24" s="1959">
        <v>0</v>
      </c>
      <c r="L24" s="2006">
        <v>0</v>
      </c>
    </row>
    <row r="25" spans="1:12" s="732" customFormat="1">
      <c r="A25" s="2005"/>
      <c r="B25" s="1946" t="s">
        <v>659</v>
      </c>
      <c r="C25" s="1970">
        <v>66411</v>
      </c>
      <c r="D25" s="1970">
        <v>66411</v>
      </c>
      <c r="E25" s="1970">
        <v>66411</v>
      </c>
      <c r="F25" s="1970">
        <v>66411</v>
      </c>
      <c r="G25" s="1950">
        <v>47411.340000000026</v>
      </c>
      <c r="H25" s="1950">
        <f>G25</f>
        <v>47411.340000000026</v>
      </c>
      <c r="I25" s="1959">
        <f>66411-66411</f>
        <v>0</v>
      </c>
      <c r="J25" s="1960"/>
      <c r="K25" s="1959">
        <f>66411.333332-66411.333332</f>
        <v>0</v>
      </c>
      <c r="L25" s="2006">
        <f>47412-47412</f>
        <v>0</v>
      </c>
    </row>
    <row r="26" spans="1:12">
      <c r="A26" s="1998" t="s">
        <v>137</v>
      </c>
      <c r="B26" s="1956" t="s">
        <v>667</v>
      </c>
      <c r="C26" s="1931">
        <v>0</v>
      </c>
      <c r="D26" s="1931">
        <v>0</v>
      </c>
      <c r="E26" s="1971">
        <v>0</v>
      </c>
      <c r="F26" s="1971">
        <v>0</v>
      </c>
      <c r="G26" s="1957">
        <v>0</v>
      </c>
      <c r="H26" s="1957">
        <v>0</v>
      </c>
      <c r="I26" s="1957">
        <v>0</v>
      </c>
      <c r="J26" s="1957">
        <v>0</v>
      </c>
      <c r="K26" s="1957">
        <v>0</v>
      </c>
      <c r="L26" s="2004">
        <v>0</v>
      </c>
    </row>
    <row r="27" spans="1:12">
      <c r="A27" s="1998" t="s">
        <v>137</v>
      </c>
      <c r="B27" s="1961" t="s">
        <v>668</v>
      </c>
      <c r="C27" s="1931">
        <v>0</v>
      </c>
      <c r="D27" s="1931">
        <v>0</v>
      </c>
      <c r="E27" s="1972">
        <v>0</v>
      </c>
      <c r="F27" s="1972">
        <v>0</v>
      </c>
      <c r="G27" s="1957">
        <v>0</v>
      </c>
      <c r="H27" s="1957">
        <v>0</v>
      </c>
      <c r="I27" s="1957">
        <v>0</v>
      </c>
      <c r="J27" s="1957">
        <v>0</v>
      </c>
      <c r="K27" s="1957">
        <v>0</v>
      </c>
      <c r="L27" s="2004">
        <v>0</v>
      </c>
    </row>
    <row r="28" spans="1:12">
      <c r="A28" s="2007" t="s">
        <v>137</v>
      </c>
      <c r="B28" s="1961" t="s">
        <v>669</v>
      </c>
      <c r="C28" s="1931">
        <v>0</v>
      </c>
      <c r="D28" s="1931">
        <v>0</v>
      </c>
      <c r="E28" s="1972">
        <v>0</v>
      </c>
      <c r="F28" s="1972">
        <v>11705.021757</v>
      </c>
      <c r="G28" s="1957">
        <v>12500</v>
      </c>
      <c r="H28" s="1957">
        <f>G28</f>
        <v>12500</v>
      </c>
      <c r="I28" s="1957">
        <f>H28*1.1-750</f>
        <v>13000.000000000002</v>
      </c>
      <c r="J28" s="1957">
        <v>0</v>
      </c>
      <c r="K28" s="1957">
        <f>I28*1.05-150</f>
        <v>13500.000000000002</v>
      </c>
      <c r="L28" s="2004">
        <f>K28*1.05-175</f>
        <v>14000.000000000002</v>
      </c>
    </row>
    <row r="29" spans="1:12">
      <c r="A29" s="2007" t="s">
        <v>137</v>
      </c>
      <c r="B29" s="1961" t="s">
        <v>670</v>
      </c>
      <c r="C29" s="1931">
        <v>0</v>
      </c>
      <c r="D29" s="1931">
        <v>0</v>
      </c>
      <c r="E29" s="1972">
        <v>0</v>
      </c>
      <c r="F29" s="1972">
        <v>0</v>
      </c>
      <c r="G29" s="1957">
        <v>0</v>
      </c>
      <c r="H29" s="1957">
        <v>0</v>
      </c>
      <c r="I29" s="1957">
        <v>0</v>
      </c>
      <c r="J29" s="1957">
        <v>0</v>
      </c>
      <c r="K29" s="1957">
        <v>0</v>
      </c>
      <c r="L29" s="2004">
        <v>0</v>
      </c>
    </row>
    <row r="30" spans="1:12" s="724" customFormat="1" ht="17.399999999999999">
      <c r="A30" s="2008">
        <v>2</v>
      </c>
      <c r="B30" s="1951" t="s">
        <v>671</v>
      </c>
      <c r="C30" s="1973">
        <f t="shared" ref="C30:F30" si="21">SUM(C31:C34)</f>
        <v>325715.57244700001</v>
      </c>
      <c r="D30" s="1973">
        <f t="shared" si="21"/>
        <v>325715.57244700001</v>
      </c>
      <c r="E30" s="1973">
        <f t="shared" si="21"/>
        <v>72661</v>
      </c>
      <c r="F30" s="1973">
        <f t="shared" si="21"/>
        <v>66411</v>
      </c>
      <c r="G30" s="1952">
        <f>SUM(G31:G34)</f>
        <v>272642.68025999999</v>
      </c>
      <c r="H30" s="1952">
        <f>SUM(H31:H34)</f>
        <v>285142.68025999999</v>
      </c>
      <c r="I30" s="1952">
        <f>SUM(I31:I34)</f>
        <v>13000.000000000002</v>
      </c>
      <c r="J30" s="1953"/>
      <c r="K30" s="1952">
        <f>SUM(K31:K34)</f>
        <v>13500.000000000002</v>
      </c>
      <c r="L30" s="2009">
        <f>SUM(L31:L34)</f>
        <v>14000.000000000002</v>
      </c>
    </row>
    <row r="31" spans="1:12">
      <c r="A31" s="2007" t="s">
        <v>137</v>
      </c>
      <c r="B31" s="1961" t="s">
        <v>672</v>
      </c>
      <c r="C31" s="1985">
        <v>0</v>
      </c>
      <c r="D31" s="1985">
        <v>0</v>
      </c>
      <c r="E31" s="1972"/>
      <c r="F31" s="1972">
        <v>0</v>
      </c>
      <c r="G31" s="1986">
        <v>0</v>
      </c>
      <c r="H31" s="1986">
        <v>0</v>
      </c>
      <c r="I31" s="1986"/>
      <c r="J31" s="1987"/>
      <c r="K31" s="1986"/>
      <c r="L31" s="2010"/>
    </row>
    <row r="32" spans="1:12">
      <c r="A32" s="2007" t="s">
        <v>137</v>
      </c>
      <c r="B32" s="1961" t="s">
        <v>673</v>
      </c>
      <c r="C32" s="1931">
        <v>325715.57244700001</v>
      </c>
      <c r="D32" s="1931">
        <v>325715.57244700001</v>
      </c>
      <c r="E32" s="1931">
        <v>72661</v>
      </c>
      <c r="F32" s="1931">
        <v>66411</v>
      </c>
      <c r="G32" s="1957">
        <f>G22</f>
        <v>272642.68025999999</v>
      </c>
      <c r="H32" s="1957">
        <f>H22</f>
        <v>272642.68025999999</v>
      </c>
      <c r="I32" s="1957">
        <f>I22</f>
        <v>0</v>
      </c>
      <c r="J32" s="1957"/>
      <c r="K32" s="1957">
        <f t="shared" ref="K32:L32" si="22">K22</f>
        <v>0</v>
      </c>
      <c r="L32" s="1957">
        <f t="shared" si="22"/>
        <v>0</v>
      </c>
    </row>
    <row r="33" spans="1:12">
      <c r="A33" s="2007" t="s">
        <v>137</v>
      </c>
      <c r="B33" s="1961" t="s">
        <v>674</v>
      </c>
      <c r="C33" s="1985">
        <v>0</v>
      </c>
      <c r="D33" s="1985">
        <v>0</v>
      </c>
      <c r="E33" s="1972"/>
      <c r="F33" s="1972">
        <v>0</v>
      </c>
      <c r="G33" s="1986">
        <v>0</v>
      </c>
      <c r="H33" s="1986">
        <f>H28</f>
        <v>12500</v>
      </c>
      <c r="I33" s="1986">
        <f>I28</f>
        <v>13000.000000000002</v>
      </c>
      <c r="J33" s="1986"/>
      <c r="K33" s="1986">
        <f t="shared" ref="K33:L33" si="23">K28</f>
        <v>13500.000000000002</v>
      </c>
      <c r="L33" s="2010">
        <f t="shared" si="23"/>
        <v>14000.000000000002</v>
      </c>
    </row>
    <row r="34" spans="1:12">
      <c r="A34" s="2007" t="s">
        <v>137</v>
      </c>
      <c r="B34" s="1961" t="s">
        <v>675</v>
      </c>
      <c r="C34" s="1985">
        <v>0</v>
      </c>
      <c r="D34" s="1985">
        <v>0</v>
      </c>
      <c r="E34" s="1972"/>
      <c r="F34" s="1972">
        <v>0</v>
      </c>
      <c r="G34" s="1986">
        <v>0</v>
      </c>
      <c r="H34" s="1986">
        <v>0</v>
      </c>
      <c r="I34" s="1957"/>
      <c r="J34" s="1958"/>
      <c r="K34" s="1957"/>
      <c r="L34" s="2004"/>
    </row>
    <row r="35" spans="1:12" s="724" customFormat="1" ht="17.399999999999999">
      <c r="A35" s="2008" t="s">
        <v>49</v>
      </c>
      <c r="B35" s="1951" t="s">
        <v>676</v>
      </c>
      <c r="C35" s="1973">
        <f t="shared" ref="C35:F35" si="24">SUM(C36,C39)</f>
        <v>30900</v>
      </c>
      <c r="D35" s="1973">
        <f t="shared" si="24"/>
        <v>24690</v>
      </c>
      <c r="E35" s="1973">
        <f t="shared" si="24"/>
        <v>61200</v>
      </c>
      <c r="F35" s="1973">
        <f t="shared" si="24"/>
        <v>48300</v>
      </c>
      <c r="G35" s="1952">
        <f>SUM(G36,G39)</f>
        <v>31500</v>
      </c>
      <c r="H35" s="1952">
        <f>SUM(H36,H39)</f>
        <v>24101</v>
      </c>
      <c r="I35" s="1952">
        <f>SUM(I36,I39)</f>
        <v>0</v>
      </c>
      <c r="J35" s="1953"/>
      <c r="K35" s="1952">
        <f t="shared" ref="K35:L35" si="25">SUM(K36,K39)</f>
        <v>0</v>
      </c>
      <c r="L35" s="2009">
        <f t="shared" si="25"/>
        <v>0</v>
      </c>
    </row>
    <row r="36" spans="1:12" s="724" customFormat="1" ht="17.399999999999999">
      <c r="A36" s="2008">
        <v>1</v>
      </c>
      <c r="B36" s="1951" t="s">
        <v>677</v>
      </c>
      <c r="C36" s="1952">
        <f t="shared" ref="C36" si="26">SUM(C37:C38)</f>
        <v>0</v>
      </c>
      <c r="D36" s="1952">
        <f t="shared" ref="D36" si="27">SUM(D37:D38)</f>
        <v>0</v>
      </c>
      <c r="E36" s="1952">
        <f t="shared" ref="E36" si="28">SUM(E37:E38)</f>
        <v>0</v>
      </c>
      <c r="F36" s="1952">
        <f t="shared" ref="F36" si="29">SUM(F37:F38)</f>
        <v>0</v>
      </c>
      <c r="G36" s="1952">
        <f t="shared" ref="G36" si="30">SUM(G37:G38)</f>
        <v>0</v>
      </c>
      <c r="H36" s="1952">
        <f t="shared" ref="H36:I36" si="31">SUM(H37:H38)</f>
        <v>0</v>
      </c>
      <c r="I36" s="1952">
        <f t="shared" si="31"/>
        <v>0</v>
      </c>
      <c r="J36" s="1953"/>
      <c r="K36" s="1952">
        <f t="shared" ref="K36" si="32">SUM(K37:K38)</f>
        <v>0</v>
      </c>
      <c r="L36" s="2009">
        <f t="shared" ref="L36" si="33">SUM(L37:L38)</f>
        <v>0</v>
      </c>
    </row>
    <row r="37" spans="1:12">
      <c r="A37" s="2007" t="s">
        <v>137</v>
      </c>
      <c r="B37" s="1961" t="s">
        <v>678</v>
      </c>
      <c r="C37" s="1985">
        <v>0</v>
      </c>
      <c r="D37" s="1985">
        <v>0</v>
      </c>
      <c r="E37" s="1988"/>
      <c r="F37" s="1988">
        <v>0</v>
      </c>
      <c r="G37" s="1986">
        <v>0</v>
      </c>
      <c r="H37" s="1986">
        <v>0</v>
      </c>
      <c r="I37" s="1986"/>
      <c r="J37" s="1987"/>
      <c r="K37" s="1986"/>
      <c r="L37" s="2010"/>
    </row>
    <row r="38" spans="1:12">
      <c r="A38" s="2007" t="s">
        <v>137</v>
      </c>
      <c r="B38" s="1961" t="s">
        <v>679</v>
      </c>
      <c r="C38" s="1985">
        <v>0</v>
      </c>
      <c r="D38" s="1985">
        <v>0</v>
      </c>
      <c r="E38" s="1988"/>
      <c r="F38" s="1988">
        <v>0</v>
      </c>
      <c r="G38" s="1986">
        <v>0</v>
      </c>
      <c r="H38" s="1986">
        <v>0</v>
      </c>
      <c r="I38" s="1986"/>
      <c r="J38" s="1987"/>
      <c r="K38" s="1986"/>
      <c r="L38" s="2010"/>
    </row>
    <row r="39" spans="1:12" s="724" customFormat="1" ht="17.399999999999999">
      <c r="A39" s="2008">
        <v>2</v>
      </c>
      <c r="B39" s="1951" t="s">
        <v>680</v>
      </c>
      <c r="C39" s="1973">
        <f t="shared" ref="C39" si="34">SUM(C40:C44)</f>
        <v>30900</v>
      </c>
      <c r="D39" s="1973">
        <f t="shared" ref="D39" si="35">SUM(D40:D44)</f>
        <v>24690</v>
      </c>
      <c r="E39" s="1973">
        <f t="shared" ref="E39" si="36">SUM(E40:E44)</f>
        <v>61200</v>
      </c>
      <c r="F39" s="1973">
        <f t="shared" ref="F39" si="37">SUM(F40:F44)</f>
        <v>48300</v>
      </c>
      <c r="G39" s="1952">
        <f t="shared" ref="G39:I39" si="38">SUM(G40:G44)</f>
        <v>31500</v>
      </c>
      <c r="H39" s="1952">
        <f t="shared" si="38"/>
        <v>24101</v>
      </c>
      <c r="I39" s="1952">
        <f t="shared" si="38"/>
        <v>0</v>
      </c>
      <c r="J39" s="1953"/>
      <c r="K39" s="1952">
        <f t="shared" ref="K39" si="39">SUM(K40:K44)</f>
        <v>0</v>
      </c>
      <c r="L39" s="2009">
        <f t="shared" ref="L39" si="40">SUM(L40:L44)</f>
        <v>0</v>
      </c>
    </row>
    <row r="40" spans="1:12">
      <c r="A40" s="2007" t="s">
        <v>137</v>
      </c>
      <c r="B40" s="1956" t="s">
        <v>681</v>
      </c>
      <c r="C40" s="1985">
        <v>0</v>
      </c>
      <c r="D40" s="1985">
        <v>0</v>
      </c>
      <c r="E40" s="1971"/>
      <c r="F40" s="1971">
        <v>0</v>
      </c>
      <c r="G40" s="1986">
        <v>0</v>
      </c>
      <c r="H40" s="1986">
        <v>0</v>
      </c>
      <c r="I40" s="1986"/>
      <c r="J40" s="1987"/>
      <c r="K40" s="1986"/>
      <c r="L40" s="2010"/>
    </row>
    <row r="41" spans="1:12">
      <c r="A41" s="2007" t="s">
        <v>137</v>
      </c>
      <c r="B41" s="1956" t="s">
        <v>660</v>
      </c>
      <c r="C41" s="1985">
        <v>0</v>
      </c>
      <c r="D41" s="1985">
        <v>0</v>
      </c>
      <c r="E41" s="1971">
        <v>0</v>
      </c>
      <c r="F41" s="1971">
        <v>0</v>
      </c>
      <c r="G41" s="1986">
        <v>0</v>
      </c>
      <c r="H41" s="1986">
        <v>0</v>
      </c>
      <c r="I41" s="1986">
        <v>0</v>
      </c>
      <c r="J41" s="1987"/>
      <c r="K41" s="1986">
        <v>0</v>
      </c>
      <c r="L41" s="2010">
        <v>0</v>
      </c>
    </row>
    <row r="42" spans="1:12">
      <c r="A42" s="2007" t="s">
        <v>137</v>
      </c>
      <c r="B42" s="1961" t="s">
        <v>661</v>
      </c>
      <c r="C42" s="1985">
        <v>0</v>
      </c>
      <c r="D42" s="1985">
        <v>0</v>
      </c>
      <c r="E42" s="1971">
        <v>0</v>
      </c>
      <c r="F42" s="1971">
        <v>0</v>
      </c>
      <c r="G42" s="1986">
        <v>0</v>
      </c>
      <c r="H42" s="1986">
        <v>0</v>
      </c>
      <c r="I42" s="1986">
        <v>0</v>
      </c>
      <c r="J42" s="1987"/>
      <c r="K42" s="1986">
        <v>0</v>
      </c>
      <c r="L42" s="2010">
        <v>0</v>
      </c>
    </row>
    <row r="43" spans="1:12">
      <c r="A43" s="2007" t="s">
        <v>137</v>
      </c>
      <c r="B43" s="1961" t="s">
        <v>662</v>
      </c>
      <c r="C43" s="1931">
        <v>30900</v>
      </c>
      <c r="D43" s="1931">
        <v>24690</v>
      </c>
      <c r="E43" s="1931">
        <v>61200</v>
      </c>
      <c r="F43" s="1931">
        <v>48300</v>
      </c>
      <c r="G43" s="1957">
        <v>31500</v>
      </c>
      <c r="H43" s="1957">
        <v>24101</v>
      </c>
      <c r="I43" s="1986">
        <f>61200-61200</f>
        <v>0</v>
      </c>
      <c r="J43" s="1987"/>
      <c r="K43" s="1986">
        <f>45810-45810</f>
        <v>0</v>
      </c>
      <c r="L43" s="2010">
        <f>35791-35791</f>
        <v>0</v>
      </c>
    </row>
    <row r="44" spans="1:12">
      <c r="A44" s="2007" t="s">
        <v>137</v>
      </c>
      <c r="B44" s="1961" t="s">
        <v>663</v>
      </c>
      <c r="C44" s="1985">
        <v>0</v>
      </c>
      <c r="D44" s="1985">
        <v>0</v>
      </c>
      <c r="E44" s="1971">
        <v>0</v>
      </c>
      <c r="F44" s="1971">
        <v>0</v>
      </c>
      <c r="G44" s="1986">
        <v>0</v>
      </c>
      <c r="H44" s="1986">
        <v>0</v>
      </c>
      <c r="I44" s="1986">
        <v>0</v>
      </c>
      <c r="J44" s="1987"/>
      <c r="K44" s="1986">
        <v>0</v>
      </c>
      <c r="L44" s="2010">
        <v>0</v>
      </c>
    </row>
    <row r="45" spans="1:12" s="724" customFormat="1" ht="17.399999999999999">
      <c r="A45" s="2008" t="s">
        <v>50</v>
      </c>
      <c r="B45" s="1951" t="s">
        <v>682</v>
      </c>
      <c r="C45" s="1973">
        <f t="shared" ref="C45:F45" si="41">SUM(C47,C51:C54)</f>
        <v>223392.32823394</v>
      </c>
      <c r="D45" s="1973">
        <f t="shared" si="41"/>
        <v>217182.32823394</v>
      </c>
      <c r="E45" s="1973">
        <f t="shared" si="41"/>
        <v>205721.32823394</v>
      </c>
      <c r="F45" s="1973">
        <f t="shared" si="41"/>
        <v>376514.45169600006</v>
      </c>
      <c r="G45" s="1952">
        <f>SUM(G47,G51:G54)</f>
        <v>114048</v>
      </c>
      <c r="H45" s="1952">
        <f>SUM(H47,H51:H54)</f>
        <v>106649</v>
      </c>
      <c r="I45" s="1952">
        <f>SUM(I47,I51:I54)</f>
        <v>93649</v>
      </c>
      <c r="J45" s="1953"/>
      <c r="K45" s="1952">
        <f>SUM(K47,K51:K54)</f>
        <v>80149</v>
      </c>
      <c r="L45" s="2009">
        <f>SUM(L47,L51:L54)</f>
        <v>66149</v>
      </c>
    </row>
    <row r="46" spans="1:12">
      <c r="A46" s="1996"/>
      <c r="B46" s="1942" t="s">
        <v>683</v>
      </c>
      <c r="C46" s="1966">
        <f t="shared" ref="C46:F46" si="42">C45/C7</f>
        <v>0.17235892025382535</v>
      </c>
      <c r="D46" s="1966">
        <f t="shared" si="42"/>
        <v>0.19064459992445576</v>
      </c>
      <c r="E46" s="1966">
        <f t="shared" si="42"/>
        <v>0.1770475254333686</v>
      </c>
      <c r="F46" s="1966">
        <f t="shared" si="42"/>
        <v>0.28116264070361896</v>
      </c>
      <c r="G46" s="1943">
        <f>G45/G7</f>
        <v>8.5059665871121723E-2</v>
      </c>
      <c r="H46" s="1943">
        <f t="shared" ref="H46:I46" si="43">H45/H7</f>
        <v>7.1572669160653635E-2</v>
      </c>
      <c r="I46" s="1943">
        <f t="shared" si="43"/>
        <v>5.5185487682279051E-2</v>
      </c>
      <c r="J46" s="1958"/>
      <c r="K46" s="1943">
        <f t="shared" ref="K46" si="44">K45/K7</f>
        <v>4.3968339581120883E-2</v>
      </c>
      <c r="L46" s="1997">
        <f t="shared" ref="L46" si="45">L45/L7</f>
        <v>3.3371505621653218E-2</v>
      </c>
    </row>
    <row r="47" spans="1:12" s="724" customFormat="1" ht="17.399999999999999">
      <c r="A47" s="1998">
        <v>1</v>
      </c>
      <c r="B47" s="1945" t="s">
        <v>681</v>
      </c>
      <c r="C47" s="1930">
        <f t="shared" ref="C47:F47" si="46">SUM(C48:C50)</f>
        <v>186484.33600000001</v>
      </c>
      <c r="D47" s="1930">
        <f t="shared" si="46"/>
        <v>186484.33600000001</v>
      </c>
      <c r="E47" s="1930">
        <f t="shared" si="46"/>
        <v>113823.33600000001</v>
      </c>
      <c r="F47" s="1930">
        <f t="shared" si="46"/>
        <v>272643.34426000004</v>
      </c>
      <c r="G47" s="1929">
        <f>SUM(G48:G50)</f>
        <v>0</v>
      </c>
      <c r="H47" s="1929">
        <f>SUM(H48:H50)</f>
        <v>0</v>
      </c>
      <c r="I47" s="1929">
        <f>SUM(I48:I50)</f>
        <v>0</v>
      </c>
      <c r="J47" s="1953"/>
      <c r="K47" s="1929">
        <f>SUM(K48:K50)</f>
        <v>0</v>
      </c>
      <c r="L47" s="1999">
        <f>SUM(L48:L50)</f>
        <v>0</v>
      </c>
    </row>
    <row r="48" spans="1:12" s="732" customFormat="1">
      <c r="A48" s="2000"/>
      <c r="B48" s="1946" t="s">
        <v>657</v>
      </c>
      <c r="C48" s="1977">
        <v>6250</v>
      </c>
      <c r="D48" s="1977">
        <v>6250</v>
      </c>
      <c r="E48" s="1978">
        <v>0</v>
      </c>
      <c r="F48" s="1978">
        <v>0</v>
      </c>
      <c r="G48" s="1979">
        <v>0</v>
      </c>
      <c r="H48" s="1979">
        <v>0</v>
      </c>
      <c r="I48" s="1979">
        <v>0</v>
      </c>
      <c r="J48" s="1980"/>
      <c r="K48" s="1979">
        <v>0</v>
      </c>
      <c r="L48" s="2011">
        <v>0</v>
      </c>
    </row>
    <row r="49" spans="1:12" s="732" customFormat="1">
      <c r="A49" s="2000"/>
      <c r="B49" s="1946" t="s">
        <v>658</v>
      </c>
      <c r="C49" s="1977">
        <v>0</v>
      </c>
      <c r="D49" s="1977">
        <v>0</v>
      </c>
      <c r="E49" s="1978">
        <v>0</v>
      </c>
      <c r="F49" s="1978">
        <v>225231.34026000003</v>
      </c>
      <c r="G49" s="1979">
        <v>0</v>
      </c>
      <c r="H49" s="1979">
        <v>0</v>
      </c>
      <c r="I49" s="1979">
        <v>0</v>
      </c>
      <c r="J49" s="1980"/>
      <c r="K49" s="1979">
        <v>0</v>
      </c>
      <c r="L49" s="2011">
        <v>0</v>
      </c>
    </row>
    <row r="50" spans="1:12" s="732" customFormat="1">
      <c r="A50" s="2000"/>
      <c r="B50" s="1946" t="s">
        <v>659</v>
      </c>
      <c r="C50" s="1977">
        <v>180234.33600000001</v>
      </c>
      <c r="D50" s="1977">
        <v>180234.33600000001</v>
      </c>
      <c r="E50" s="1978">
        <v>113823.33600000001</v>
      </c>
      <c r="F50" s="1978">
        <v>47412.004000000015</v>
      </c>
      <c r="G50" s="1979">
        <f>113823.336-113823.336</f>
        <v>0</v>
      </c>
      <c r="H50" s="1979">
        <f>113823.336-113823.336</f>
        <v>0</v>
      </c>
      <c r="I50" s="1979">
        <f>113823.336-113823.336</f>
        <v>0</v>
      </c>
      <c r="J50" s="1980"/>
      <c r="K50" s="1979">
        <f>47412.002668-47412.002668</f>
        <v>0</v>
      </c>
      <c r="L50" s="2011">
        <v>0</v>
      </c>
    </row>
    <row r="51" spans="1:12" s="724" customFormat="1" ht="17.399999999999999">
      <c r="A51" s="1998">
        <v>2</v>
      </c>
      <c r="B51" s="1945" t="s">
        <v>660</v>
      </c>
      <c r="C51" s="1981">
        <v>0</v>
      </c>
      <c r="D51" s="1981">
        <v>0</v>
      </c>
      <c r="E51" s="1982">
        <v>0</v>
      </c>
      <c r="F51" s="1982">
        <v>0</v>
      </c>
      <c r="G51" s="1983">
        <v>0</v>
      </c>
      <c r="H51" s="1983">
        <v>0</v>
      </c>
      <c r="I51" s="1983">
        <v>0</v>
      </c>
      <c r="J51" s="1984"/>
      <c r="K51" s="1983">
        <v>0</v>
      </c>
      <c r="L51" s="2012">
        <v>0</v>
      </c>
    </row>
    <row r="52" spans="1:12" s="724" customFormat="1" ht="17.399999999999999">
      <c r="A52" s="1998">
        <v>3</v>
      </c>
      <c r="B52" s="1951" t="s">
        <v>661</v>
      </c>
      <c r="C52" s="1981">
        <v>0</v>
      </c>
      <c r="D52" s="1981">
        <v>0</v>
      </c>
      <c r="E52" s="1982">
        <v>0</v>
      </c>
      <c r="F52" s="1982">
        <v>0</v>
      </c>
      <c r="G52" s="1983">
        <v>0</v>
      </c>
      <c r="H52" s="1983">
        <v>0</v>
      </c>
      <c r="I52" s="1983">
        <v>0</v>
      </c>
      <c r="J52" s="1984"/>
      <c r="K52" s="1983">
        <v>0</v>
      </c>
      <c r="L52" s="2012">
        <v>0</v>
      </c>
    </row>
    <row r="53" spans="1:12" s="724" customFormat="1" ht="17.399999999999999">
      <c r="A53" s="1998">
        <v>4</v>
      </c>
      <c r="B53" s="1951" t="s">
        <v>662</v>
      </c>
      <c r="C53" s="1982">
        <f t="shared" ref="C53:F53" si="47">C18-C28+C43</f>
        <v>36907.99223394</v>
      </c>
      <c r="D53" s="1982">
        <f t="shared" si="47"/>
        <v>30697.99223394</v>
      </c>
      <c r="E53" s="1982">
        <f t="shared" si="47"/>
        <v>91897.992233939993</v>
      </c>
      <c r="F53" s="1982">
        <f t="shared" si="47"/>
        <v>103871.10743599999</v>
      </c>
      <c r="G53" s="1983">
        <f>G18-G28+G43</f>
        <v>114048</v>
      </c>
      <c r="H53" s="1983">
        <f>H18-H28+H43</f>
        <v>106649</v>
      </c>
      <c r="I53" s="1983">
        <f>I18-I28+I43</f>
        <v>93649</v>
      </c>
      <c r="J53" s="1984"/>
      <c r="K53" s="1983">
        <f>K18-K28+K43</f>
        <v>80149</v>
      </c>
      <c r="L53" s="2012">
        <f>L18-L28+L43</f>
        <v>66149</v>
      </c>
    </row>
    <row r="54" spans="1:12" s="724" customFormat="1" ht="17.399999999999999">
      <c r="A54" s="1998">
        <v>5</v>
      </c>
      <c r="B54" s="1951" t="s">
        <v>663</v>
      </c>
      <c r="C54" s="1981">
        <v>0</v>
      </c>
      <c r="D54" s="1981">
        <v>0</v>
      </c>
      <c r="E54" s="1982">
        <v>0</v>
      </c>
      <c r="F54" s="1982">
        <v>0</v>
      </c>
      <c r="G54" s="1983">
        <v>0</v>
      </c>
      <c r="H54" s="1983">
        <v>0</v>
      </c>
      <c r="I54" s="1983">
        <v>0</v>
      </c>
      <c r="J54" s="1984"/>
      <c r="K54" s="1983">
        <v>0</v>
      </c>
      <c r="L54" s="2012">
        <v>0</v>
      </c>
    </row>
    <row r="55" spans="1:12" s="724" customFormat="1" thickBot="1">
      <c r="A55" s="2013" t="s">
        <v>130</v>
      </c>
      <c r="B55" s="2014" t="s">
        <v>684</v>
      </c>
      <c r="C55" s="2015">
        <v>3849.53</v>
      </c>
      <c r="D55" s="2015">
        <v>690.70482526364992</v>
      </c>
      <c r="E55" s="2016">
        <v>2067.7048252636496</v>
      </c>
      <c r="F55" s="2016">
        <v>2000</v>
      </c>
      <c r="G55" s="2017">
        <v>2100</v>
      </c>
      <c r="H55" s="2018">
        <f>2400</f>
        <v>2400</v>
      </c>
      <c r="I55" s="2017">
        <f>2000</f>
        <v>2000</v>
      </c>
      <c r="J55" s="2018"/>
      <c r="K55" s="2017">
        <f>K53*2.25%</f>
        <v>1803.3525</v>
      </c>
      <c r="L55" s="2019">
        <f>L53*2.25%</f>
        <v>1488.3525</v>
      </c>
    </row>
    <row r="57" spans="1:12">
      <c r="E57" s="36">
        <f>E55/E53</f>
        <v>2.2499999999999996E-2</v>
      </c>
      <c r="F57" s="36">
        <f>F55/F53</f>
        <v>1.9254632489908673E-2</v>
      </c>
      <c r="G57" s="36">
        <f>G55/G53</f>
        <v>1.8413299663299663E-2</v>
      </c>
      <c r="H57" s="36">
        <f>H55/H53</f>
        <v>2.2503727179814158E-2</v>
      </c>
      <c r="I57" s="36">
        <f>I55/I53</f>
        <v>2.13563412316202E-2</v>
      </c>
      <c r="J57" s="1932"/>
      <c r="K57" s="36">
        <f>K55/K53</f>
        <v>2.2499999999999999E-2</v>
      </c>
      <c r="L57" s="36">
        <f>L55/L53</f>
        <v>2.2499999999999999E-2</v>
      </c>
    </row>
    <row r="58" spans="1:12">
      <c r="G58" s="1808"/>
    </row>
    <row r="59" spans="1:12">
      <c r="I59" s="55">
        <v>8175930</v>
      </c>
    </row>
    <row r="60" spans="1:12">
      <c r="I60" s="3323">
        <f>I59*20%+14</f>
        <v>1635200</v>
      </c>
    </row>
    <row r="61" spans="1:12">
      <c r="I61" s="55">
        <f>'Phụ lục số 1'!AH8</f>
        <v>8484930</v>
      </c>
      <c r="J61" s="3323">
        <f>I61-I59</f>
        <v>309000</v>
      </c>
    </row>
    <row r="62" spans="1:12">
      <c r="I62" s="3323">
        <f>I61*20%+14</f>
        <v>1697000</v>
      </c>
    </row>
  </sheetData>
  <mergeCells count="12">
    <mergeCell ref="A1:L1"/>
    <mergeCell ref="B3:G3"/>
    <mergeCell ref="H3:I3"/>
    <mergeCell ref="A4:A5"/>
    <mergeCell ref="B4:B5"/>
    <mergeCell ref="G4:H4"/>
    <mergeCell ref="I4:I5"/>
    <mergeCell ref="J4:J5"/>
    <mergeCell ref="K4:K5"/>
    <mergeCell ref="L4:L5"/>
    <mergeCell ref="C4:D4"/>
    <mergeCell ref="E4:F4"/>
  </mergeCells>
  <hyperlinks>
    <hyperlink ref="A4:A5" location="'List danh mục'!A1" display="STT"/>
  </hyperlinks>
  <printOptions horizontalCentered="1"/>
  <pageMargins left="0" right="0" top="0.39370078740157483" bottom="0" header="0.19685039370078741" footer="0.19685039370078741"/>
  <pageSetup paperSize="9" scale="80" orientation="landscape" r:id="rId1"/>
  <headerFooter>
    <oddHeader>&amp;R&amp;A</oddHeader>
    <oddFooter>&amp;C&amp;P/&amp;N</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I17"/>
  <sheetViews>
    <sheetView zoomScale="92" zoomScaleNormal="92" workbookViewId="0">
      <selection activeCell="A2" sqref="A2:I2"/>
    </sheetView>
  </sheetViews>
  <sheetFormatPr defaultColWidth="8.69921875" defaultRowHeight="18"/>
  <cols>
    <col min="1" max="1" width="5.69921875" style="37" customWidth="1"/>
    <col min="2" max="2" width="35.09765625" style="37" customWidth="1"/>
    <col min="3" max="3" width="14.59765625" style="37" customWidth="1"/>
    <col min="4" max="4" width="11.5" style="37" customWidth="1"/>
    <col min="5" max="8" width="9.69921875" style="37" customWidth="1"/>
    <col min="9" max="9" width="33.09765625" style="37" customWidth="1"/>
    <col min="10" max="16384" width="8.69921875" style="37"/>
  </cols>
  <sheetData>
    <row r="1" spans="1:9">
      <c r="A1" s="4299" t="str">
        <f>'Biểu mẫu số 04'!A1:B1</f>
        <v>UBND TỈNH ĐỒNG THÁP</v>
      </c>
      <c r="B1" s="4299"/>
    </row>
    <row r="2" spans="1:9" ht="48" customHeight="1">
      <c r="A2" s="4302" t="s">
        <v>1515</v>
      </c>
      <c r="B2" s="4303"/>
      <c r="C2" s="4303"/>
      <c r="D2" s="4303"/>
      <c r="E2" s="4303"/>
      <c r="F2" s="4303"/>
      <c r="G2" s="4303"/>
      <c r="H2" s="4303"/>
      <c r="I2" s="4303"/>
    </row>
    <row r="3" spans="1:9" ht="18.600000000000001" thickBot="1">
      <c r="A3" s="1239"/>
      <c r="B3" s="1239"/>
      <c r="C3" s="1239"/>
      <c r="D3" s="1239"/>
      <c r="E3" s="1239"/>
      <c r="F3" s="1239"/>
      <c r="G3" s="1239"/>
      <c r="H3" s="1239"/>
      <c r="I3" s="1239"/>
    </row>
    <row r="4" spans="1:9" ht="52.95" customHeight="1">
      <c r="A4" s="4304" t="s">
        <v>244</v>
      </c>
      <c r="B4" s="4306" t="s">
        <v>642</v>
      </c>
      <c r="C4" s="4306" t="s">
        <v>643</v>
      </c>
      <c r="D4" s="4306" t="s">
        <v>644</v>
      </c>
      <c r="E4" s="4306" t="s">
        <v>645</v>
      </c>
      <c r="F4" s="4308" t="s">
        <v>646</v>
      </c>
      <c r="G4" s="4308"/>
      <c r="H4" s="4308"/>
      <c r="I4" s="4309" t="s">
        <v>1514</v>
      </c>
    </row>
    <row r="5" spans="1:9">
      <c r="A5" s="4305"/>
      <c r="B5" s="4307"/>
      <c r="C5" s="4307"/>
      <c r="D5" s="4307"/>
      <c r="E5" s="4307"/>
      <c r="F5" s="4311" t="s">
        <v>1516</v>
      </c>
      <c r="G5" s="4311" t="s">
        <v>1517</v>
      </c>
      <c r="H5" s="4301" t="s">
        <v>1518</v>
      </c>
      <c r="I5" s="4310"/>
    </row>
    <row r="6" spans="1:9" ht="127.35" customHeight="1">
      <c r="A6" s="4305"/>
      <c r="B6" s="4307"/>
      <c r="C6" s="4307"/>
      <c r="D6" s="4307"/>
      <c r="E6" s="4307"/>
      <c r="F6" s="4311"/>
      <c r="G6" s="4311"/>
      <c r="H6" s="4301"/>
      <c r="I6" s="4310"/>
    </row>
    <row r="7" spans="1:9">
      <c r="A7" s="1240">
        <v>1</v>
      </c>
      <c r="B7" s="1241">
        <v>2</v>
      </c>
      <c r="C7" s="1241">
        <v>3</v>
      </c>
      <c r="D7" s="1241">
        <v>4</v>
      </c>
      <c r="E7" s="1241">
        <v>5</v>
      </c>
      <c r="F7" s="1241">
        <v>6</v>
      </c>
      <c r="G7" s="1241">
        <v>7</v>
      </c>
      <c r="H7" s="1241">
        <v>8</v>
      </c>
      <c r="I7" s="1242">
        <v>9</v>
      </c>
    </row>
    <row r="8" spans="1:9">
      <c r="A8" s="1243"/>
      <c r="B8" s="1244" t="s">
        <v>4</v>
      </c>
      <c r="C8" s="1245"/>
      <c r="D8" s="1246"/>
      <c r="E8" s="1245"/>
      <c r="F8" s="1246"/>
      <c r="G8" s="1245"/>
      <c r="H8" s="1246"/>
      <c r="I8" s="1247"/>
    </row>
    <row r="9" spans="1:9" ht="162">
      <c r="A9" s="2064">
        <v>1</v>
      </c>
      <c r="B9" s="2065" t="s">
        <v>1834</v>
      </c>
      <c r="C9" s="2066"/>
      <c r="D9" s="2067">
        <v>171090</v>
      </c>
      <c r="E9" s="2067">
        <v>121319.486255</v>
      </c>
      <c r="F9" s="2067">
        <v>31500</v>
      </c>
      <c r="G9" s="2071">
        <v>5651</v>
      </c>
      <c r="H9" s="2067">
        <v>24100.714</v>
      </c>
      <c r="I9" s="2068">
        <v>0</v>
      </c>
    </row>
    <row r="10" spans="1:9" ht="54">
      <c r="A10" s="2064">
        <v>2</v>
      </c>
      <c r="B10" s="2065" t="s">
        <v>1835</v>
      </c>
      <c r="C10" s="2069"/>
      <c r="D10" s="2069"/>
      <c r="E10" s="2069"/>
      <c r="F10" s="2069"/>
      <c r="G10" s="2069"/>
      <c r="H10" s="2069"/>
      <c r="I10" s="2070"/>
    </row>
    <row r="11" spans="1:9">
      <c r="A11" s="1243"/>
      <c r="B11" s="1252"/>
      <c r="C11" s="1248"/>
      <c r="D11" s="1248"/>
      <c r="E11" s="1248"/>
      <c r="F11" s="1248"/>
      <c r="G11" s="1248"/>
      <c r="H11" s="1248"/>
      <c r="I11" s="1247"/>
    </row>
    <row r="12" spans="1:9">
      <c r="A12" s="1243"/>
      <c r="B12" s="1252"/>
      <c r="C12" s="1248"/>
      <c r="D12" s="1248"/>
      <c r="E12" s="1248"/>
      <c r="F12" s="1248"/>
      <c r="G12" s="1248"/>
      <c r="H12" s="1248"/>
      <c r="I12" s="1247"/>
    </row>
    <row r="13" spans="1:9" ht="18.600000000000001" thickBot="1">
      <c r="A13" s="1249"/>
      <c r="B13" s="1253"/>
      <c r="C13" s="1250"/>
      <c r="D13" s="1250"/>
      <c r="E13" s="1250"/>
      <c r="F13" s="1250"/>
      <c r="G13" s="1250"/>
      <c r="H13" s="1250"/>
      <c r="I13" s="1251"/>
    </row>
    <row r="14" spans="1:9">
      <c r="A14" s="1254"/>
      <c r="B14" s="1255"/>
      <c r="C14" s="1256"/>
      <c r="D14" s="1256"/>
      <c r="E14" s="1256"/>
      <c r="F14" s="1256"/>
      <c r="G14" s="1256"/>
      <c r="H14" s="1256"/>
      <c r="I14" s="1256"/>
    </row>
    <row r="15" spans="1:9">
      <c r="F15" s="4300" t="s">
        <v>1519</v>
      </c>
      <c r="G15" s="4300"/>
      <c r="H15" s="4300"/>
      <c r="I15" s="4300"/>
    </row>
    <row r="16" spans="1:9">
      <c r="F16" s="4299" t="s">
        <v>1521</v>
      </c>
      <c r="G16" s="4299"/>
      <c r="H16" s="4299"/>
      <c r="I16" s="4299"/>
    </row>
    <row r="17" spans="6:9">
      <c r="F17" s="4299" t="s">
        <v>1520</v>
      </c>
      <c r="G17" s="4299"/>
      <c r="H17" s="4299"/>
      <c r="I17" s="4299"/>
    </row>
  </sheetData>
  <mergeCells count="15">
    <mergeCell ref="A1:B1"/>
    <mergeCell ref="F16:I16"/>
    <mergeCell ref="F15:I15"/>
    <mergeCell ref="F17:I17"/>
    <mergeCell ref="H5:H6"/>
    <mergeCell ref="A2:I2"/>
    <mergeCell ref="A4:A6"/>
    <mergeCell ref="B4:B6"/>
    <mergeCell ref="C4:C6"/>
    <mergeCell ref="D4:D6"/>
    <mergeCell ref="E4:E6"/>
    <mergeCell ref="F4:H4"/>
    <mergeCell ref="I4:I6"/>
    <mergeCell ref="F5:F6"/>
    <mergeCell ref="G5:G6"/>
  </mergeCells>
  <hyperlinks>
    <hyperlink ref="A4:A6" location="'List danh mục'!A1" display="STT"/>
  </hyperlinks>
  <printOptions horizontalCentered="1"/>
  <pageMargins left="0" right="0" top="0.39370078740157483" bottom="0.19685039370078741" header="0.19685039370078741" footer="0.39370078740157483"/>
  <pageSetup paperSize="9" scale="90" orientation="landscape" verticalDpi="0" r:id="rId1"/>
  <headerFooter>
    <oddHeader>&amp;R&amp;10&amp;A</oddHeader>
    <oddFooter>&amp;C&amp;10&amp;P/&amp;N</oddFooter>
  </headerFooter>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30"/>
  <sheetViews>
    <sheetView zoomScale="70" zoomScaleNormal="70" workbookViewId="0">
      <selection activeCell="A6" sqref="A6:A7"/>
    </sheetView>
  </sheetViews>
  <sheetFormatPr defaultColWidth="8.69921875" defaultRowHeight="18"/>
  <cols>
    <col min="1" max="1" width="5.19921875" style="20" customWidth="1"/>
    <col min="2" max="2" width="72" style="37" customWidth="1"/>
    <col min="3" max="8" width="18.59765625" style="37" customWidth="1"/>
    <col min="9" max="16384" width="8.69921875" style="37"/>
  </cols>
  <sheetData>
    <row r="1" spans="1:8">
      <c r="A1" s="4299" t="s">
        <v>1531</v>
      </c>
      <c r="B1" s="4299"/>
    </row>
    <row r="3" spans="1:8" ht="36.6" customHeight="1">
      <c r="A3" s="4316" t="s">
        <v>1530</v>
      </c>
      <c r="B3" s="4299"/>
      <c r="C3" s="4299"/>
      <c r="D3" s="4299"/>
      <c r="E3" s="4299"/>
      <c r="F3" s="4299"/>
      <c r="G3" s="4299"/>
      <c r="H3" s="4299"/>
    </row>
    <row r="5" spans="1:8" ht="18.600000000000001" thickBot="1">
      <c r="H5" s="2020" t="s">
        <v>224</v>
      </c>
    </row>
    <row r="6" spans="1:8" s="154" customFormat="1" ht="35.4" customHeight="1">
      <c r="A6" s="4319" t="s">
        <v>244</v>
      </c>
      <c r="B6" s="4317" t="s">
        <v>1522</v>
      </c>
      <c r="C6" s="4317" t="s">
        <v>1523</v>
      </c>
      <c r="D6" s="4317" t="s">
        <v>1524</v>
      </c>
      <c r="E6" s="4317" t="s">
        <v>1525</v>
      </c>
      <c r="F6" s="4317" t="s">
        <v>1528</v>
      </c>
      <c r="G6" s="4317"/>
      <c r="H6" s="4314" t="s">
        <v>1529</v>
      </c>
    </row>
    <row r="7" spans="1:8" s="154" customFormat="1" ht="44.4" customHeight="1">
      <c r="A7" s="4320"/>
      <c r="B7" s="4318"/>
      <c r="C7" s="4318"/>
      <c r="D7" s="4318"/>
      <c r="E7" s="4318"/>
      <c r="F7" s="7" t="s">
        <v>1526</v>
      </c>
      <c r="G7" s="7" t="s">
        <v>1527</v>
      </c>
      <c r="H7" s="4315"/>
    </row>
    <row r="8" spans="1:8" s="38" customFormat="1" ht="17.399999999999999">
      <c r="A8" s="2029">
        <v>1</v>
      </c>
      <c r="B8" s="129">
        <v>2</v>
      </c>
      <c r="C8" s="129">
        <v>3</v>
      </c>
      <c r="D8" s="129">
        <v>4</v>
      </c>
      <c r="E8" s="129">
        <v>5</v>
      </c>
      <c r="F8" s="129">
        <v>6</v>
      </c>
      <c r="G8" s="129">
        <v>7</v>
      </c>
      <c r="H8" s="2030">
        <v>8</v>
      </c>
    </row>
    <row r="9" spans="1:8" s="2" customFormat="1" ht="17.399999999999999">
      <c r="A9" s="2031"/>
      <c r="B9" s="2021" t="s">
        <v>4</v>
      </c>
      <c r="C9" s="2028">
        <f>SUM(C10:C30)</f>
        <v>3426.3999999999996</v>
      </c>
      <c r="D9" s="2028">
        <f t="shared" ref="D9:G9" si="0">SUM(D10:D30)</f>
        <v>7517.78</v>
      </c>
      <c r="E9" s="2022">
        <f t="shared" si="0"/>
        <v>30660.991999999998</v>
      </c>
      <c r="F9" s="2022">
        <f t="shared" si="0"/>
        <v>19480.103999999999</v>
      </c>
      <c r="G9" s="2022">
        <f t="shared" si="0"/>
        <v>49557.479999999996</v>
      </c>
      <c r="H9" s="2032"/>
    </row>
    <row r="10" spans="1:8">
      <c r="A10" s="2033">
        <v>1</v>
      </c>
      <c r="B10" s="2023" t="s">
        <v>1801</v>
      </c>
      <c r="C10" s="2023">
        <v>80</v>
      </c>
      <c r="D10" s="2023">
        <v>80</v>
      </c>
      <c r="E10" s="2024">
        <f>5.3*C10*1.2+30</f>
        <v>538.79999999999995</v>
      </c>
      <c r="F10" s="2025"/>
      <c r="G10" s="2025"/>
      <c r="H10" s="2034" t="s">
        <v>1804</v>
      </c>
    </row>
    <row r="11" spans="1:8">
      <c r="A11" s="2033">
        <v>2</v>
      </c>
      <c r="B11" s="2023" t="s">
        <v>1801</v>
      </c>
      <c r="C11" s="2023">
        <v>97.2</v>
      </c>
      <c r="D11" s="2023">
        <v>80</v>
      </c>
      <c r="E11" s="2024">
        <f>5.3*C11*1.2+30</f>
        <v>648.19199999999989</v>
      </c>
      <c r="F11" s="2025"/>
      <c r="G11" s="2025"/>
      <c r="H11" s="2034" t="s">
        <v>1804</v>
      </c>
    </row>
    <row r="12" spans="1:8">
      <c r="A12" s="2033">
        <v>3</v>
      </c>
      <c r="B12" s="2023" t="s">
        <v>1801</v>
      </c>
      <c r="C12" s="2023">
        <v>100</v>
      </c>
      <c r="D12" s="2023">
        <v>80</v>
      </c>
      <c r="E12" s="2024">
        <f>5.3*C12*1.2</f>
        <v>636</v>
      </c>
      <c r="F12" s="2025"/>
      <c r="G12" s="2025"/>
      <c r="H12" s="2034" t="s">
        <v>1804</v>
      </c>
    </row>
    <row r="13" spans="1:8">
      <c r="A13" s="4312">
        <v>4</v>
      </c>
      <c r="B13" s="4313" t="s">
        <v>1805</v>
      </c>
      <c r="C13" s="2023">
        <v>163.69999999999999</v>
      </c>
      <c r="D13" s="2023">
        <v>326</v>
      </c>
      <c r="E13" s="2024">
        <f>32*C13*1.2+100</f>
        <v>6386.079999999999</v>
      </c>
      <c r="F13" s="2025"/>
      <c r="G13" s="2025"/>
      <c r="H13" s="2034" t="s">
        <v>1804</v>
      </c>
    </row>
    <row r="14" spans="1:8">
      <c r="A14" s="4312"/>
      <c r="B14" s="4313"/>
      <c r="C14" s="2023">
        <v>269.10000000000002</v>
      </c>
      <c r="D14" s="2023">
        <v>686</v>
      </c>
      <c r="E14" s="2024">
        <f>32*C14*1.2+100</f>
        <v>10433.44</v>
      </c>
      <c r="F14" s="2025"/>
      <c r="G14" s="2025"/>
      <c r="H14" s="2034" t="s">
        <v>1804</v>
      </c>
    </row>
    <row r="15" spans="1:8">
      <c r="A15" s="2033">
        <v>5</v>
      </c>
      <c r="B15" s="2023" t="s">
        <v>1802</v>
      </c>
      <c r="C15" s="2023">
        <v>67.7</v>
      </c>
      <c r="D15" s="2023">
        <v>136.91999999999999</v>
      </c>
      <c r="E15" s="2024">
        <f>32*C15*1.2+100</f>
        <v>2699.68</v>
      </c>
      <c r="F15" s="2025"/>
      <c r="G15" s="2025"/>
      <c r="H15" s="2034" t="s">
        <v>1804</v>
      </c>
    </row>
    <row r="16" spans="1:8" ht="36">
      <c r="A16" s="2033">
        <v>6</v>
      </c>
      <c r="B16" s="2023" t="s">
        <v>1833</v>
      </c>
      <c r="C16" s="2023">
        <v>48.8</v>
      </c>
      <c r="D16" s="2023">
        <v>210</v>
      </c>
      <c r="E16" s="2024">
        <f>15*C16*1.2+30</f>
        <v>908.4</v>
      </c>
      <c r="F16" s="2025"/>
      <c r="G16" s="2025"/>
      <c r="H16" s="2034" t="s">
        <v>1804</v>
      </c>
    </row>
    <row r="17" spans="1:8">
      <c r="A17" s="2033">
        <v>7</v>
      </c>
      <c r="B17" s="2023" t="s">
        <v>1832</v>
      </c>
      <c r="C17" s="2023">
        <v>206</v>
      </c>
      <c r="D17" s="2023">
        <v>654</v>
      </c>
      <c r="E17" s="2024">
        <f>32*C17*1.2+500</f>
        <v>8410.4</v>
      </c>
      <c r="F17" s="2024"/>
      <c r="G17" s="2025"/>
      <c r="H17" s="2034" t="s">
        <v>1804</v>
      </c>
    </row>
    <row r="18" spans="1:8">
      <c r="A18" s="2033">
        <v>8</v>
      </c>
      <c r="B18" s="2023" t="s">
        <v>1830</v>
      </c>
      <c r="C18" s="2023">
        <v>56.8</v>
      </c>
      <c r="D18" s="2023">
        <v>233.2</v>
      </c>
      <c r="E18" s="2026"/>
      <c r="F18" s="2024">
        <f>C18*32*1.2+100</f>
        <v>2281.12</v>
      </c>
      <c r="G18" s="2025"/>
      <c r="H18" s="2034" t="s">
        <v>1804</v>
      </c>
    </row>
    <row r="19" spans="1:8">
      <c r="A19" s="2033">
        <v>9</v>
      </c>
      <c r="B19" s="2023" t="s">
        <v>1831</v>
      </c>
      <c r="C19" s="2023">
        <v>57.1</v>
      </c>
      <c r="D19" s="2023">
        <v>233.2</v>
      </c>
      <c r="E19" s="2026"/>
      <c r="F19" s="2024">
        <f>C19*32*1.2+100</f>
        <v>2292.64</v>
      </c>
      <c r="G19" s="2025"/>
      <c r="H19" s="2034" t="s">
        <v>1804</v>
      </c>
    </row>
    <row r="20" spans="1:8">
      <c r="A20" s="2033">
        <v>10</v>
      </c>
      <c r="B20" s="2023" t="s">
        <v>1806</v>
      </c>
      <c r="C20" s="2023">
        <v>102.1</v>
      </c>
      <c r="D20" s="2023">
        <v>233.3</v>
      </c>
      <c r="E20" s="2026"/>
      <c r="F20" s="2024">
        <f>C20*12*1.2+100</f>
        <v>1570.2399999999998</v>
      </c>
      <c r="G20" s="2025"/>
      <c r="H20" s="2034" t="s">
        <v>1804</v>
      </c>
    </row>
    <row r="21" spans="1:8">
      <c r="A21" s="2033">
        <v>11</v>
      </c>
      <c r="B21" s="2023" t="s">
        <v>1803</v>
      </c>
      <c r="C21" s="2023">
        <v>62.7</v>
      </c>
      <c r="D21" s="2023">
        <v>121.3</v>
      </c>
      <c r="E21" s="2026"/>
      <c r="F21" s="2027">
        <f>C21*32*1.2+50</f>
        <v>2457.6799999999998</v>
      </c>
      <c r="G21" s="2025"/>
      <c r="H21" s="2034" t="s">
        <v>1804</v>
      </c>
    </row>
    <row r="22" spans="1:8" ht="36">
      <c r="A22" s="2033">
        <v>12</v>
      </c>
      <c r="B22" s="2023" t="s">
        <v>1829</v>
      </c>
      <c r="C22" s="2023">
        <v>220.7</v>
      </c>
      <c r="D22" s="2023">
        <v>0</v>
      </c>
      <c r="E22" s="2026"/>
      <c r="F22" s="2024">
        <f>5.3*1.2*C22</f>
        <v>1403.6519999999998</v>
      </c>
      <c r="G22" s="2025"/>
      <c r="H22" s="2034" t="s">
        <v>1804</v>
      </c>
    </row>
    <row r="23" spans="1:8" ht="36">
      <c r="A23" s="2033">
        <v>13</v>
      </c>
      <c r="B23" s="2023" t="s">
        <v>1828</v>
      </c>
      <c r="C23" s="2023">
        <v>58.3</v>
      </c>
      <c r="D23" s="2023">
        <v>0</v>
      </c>
      <c r="E23" s="2026"/>
      <c r="F23" s="2024">
        <f>5.3*1.2*C23</f>
        <v>370.78799999999995</v>
      </c>
      <c r="G23" s="2025"/>
      <c r="H23" s="2034" t="s">
        <v>1804</v>
      </c>
    </row>
    <row r="24" spans="1:8" ht="36">
      <c r="A24" s="2033">
        <v>14</v>
      </c>
      <c r="B24" s="2023" t="s">
        <v>1827</v>
      </c>
      <c r="C24" s="2023">
        <v>700.9</v>
      </c>
      <c r="D24" s="2023">
        <v>1433.01</v>
      </c>
      <c r="E24" s="2026"/>
      <c r="F24" s="2024">
        <f>4.8*1.2*C24+800*5</f>
        <v>8037.1839999999993</v>
      </c>
      <c r="G24" s="2025"/>
      <c r="H24" s="2034" t="s">
        <v>1804</v>
      </c>
    </row>
    <row r="25" spans="1:8" ht="36">
      <c r="A25" s="2033">
        <v>15</v>
      </c>
      <c r="B25" s="2023" t="s">
        <v>1826</v>
      </c>
      <c r="C25" s="2023">
        <v>180</v>
      </c>
      <c r="D25" s="2023">
        <v>180</v>
      </c>
      <c r="E25" s="2026"/>
      <c r="F25" s="2024">
        <f>4.8*1.2*C25+30</f>
        <v>1066.8</v>
      </c>
      <c r="G25" s="2024"/>
      <c r="H25" s="2034" t="s">
        <v>1804</v>
      </c>
    </row>
    <row r="26" spans="1:8" ht="36">
      <c r="A26" s="2033">
        <v>16</v>
      </c>
      <c r="B26" s="2023" t="s">
        <v>1825</v>
      </c>
      <c r="C26" s="2023">
        <v>243</v>
      </c>
      <c r="D26" s="2023">
        <v>607.32000000000005</v>
      </c>
      <c r="E26" s="2026"/>
      <c r="F26" s="2024"/>
      <c r="G26" s="2024">
        <f>C26*32*1.2+800*3</f>
        <v>11731.199999999999</v>
      </c>
      <c r="H26" s="2034" t="s">
        <v>1804</v>
      </c>
    </row>
    <row r="27" spans="1:8" ht="36">
      <c r="A27" s="2033">
        <v>17</v>
      </c>
      <c r="B27" s="2023" t="s">
        <v>1824</v>
      </c>
      <c r="C27" s="2023">
        <v>74.099999999999994</v>
      </c>
      <c r="D27" s="2023">
        <v>119.25</v>
      </c>
      <c r="E27" s="2026"/>
      <c r="F27" s="2024"/>
      <c r="G27" s="2024">
        <f>19710600000/1000000</f>
        <v>19710.599999999999</v>
      </c>
      <c r="H27" s="2034" t="s">
        <v>1804</v>
      </c>
    </row>
    <row r="28" spans="1:8" ht="36">
      <c r="A28" s="2033">
        <v>18</v>
      </c>
      <c r="B28" s="2023" t="s">
        <v>1823</v>
      </c>
      <c r="C28" s="2023">
        <v>106</v>
      </c>
      <c r="D28" s="2023">
        <v>441</v>
      </c>
      <c r="E28" s="2026"/>
      <c r="F28" s="2024"/>
      <c r="G28" s="2024">
        <f>C28*32*1.2+800</f>
        <v>4870.3999999999996</v>
      </c>
      <c r="H28" s="2034" t="s">
        <v>1804</v>
      </c>
    </row>
    <row r="29" spans="1:8" ht="36">
      <c r="A29" s="2033">
        <v>19</v>
      </c>
      <c r="B29" s="2023" t="s">
        <v>1822</v>
      </c>
      <c r="C29" s="2023">
        <v>219.2</v>
      </c>
      <c r="D29" s="2023">
        <f>226.8+231.84+231.84</f>
        <v>690.48</v>
      </c>
      <c r="E29" s="2026"/>
      <c r="F29" s="2024"/>
      <c r="G29" s="2024">
        <f>C29*2*1.2+100*3</f>
        <v>826.07999999999993</v>
      </c>
      <c r="H29" s="2034" t="s">
        <v>1804</v>
      </c>
    </row>
    <row r="30" spans="1:8" ht="18.600000000000001" thickBot="1">
      <c r="A30" s="2035">
        <v>20</v>
      </c>
      <c r="B30" s="2036" t="s">
        <v>1821</v>
      </c>
      <c r="C30" s="2036">
        <f>145+168</f>
        <v>313</v>
      </c>
      <c r="D30" s="2036">
        <f>450+522.8</f>
        <v>972.8</v>
      </c>
      <c r="E30" s="2037"/>
      <c r="F30" s="2038"/>
      <c r="G30" s="2038">
        <f>C30*32*1.2+100*4</f>
        <v>12419.199999999999</v>
      </c>
      <c r="H30" s="2039" t="s">
        <v>1804</v>
      </c>
    </row>
  </sheetData>
  <mergeCells count="11">
    <mergeCell ref="A13:A14"/>
    <mergeCell ref="B13:B14"/>
    <mergeCell ref="H6:H7"/>
    <mergeCell ref="A3:H3"/>
    <mergeCell ref="A1:B1"/>
    <mergeCell ref="F6:G6"/>
    <mergeCell ref="E6:E7"/>
    <mergeCell ref="D6:D7"/>
    <mergeCell ref="B6:B7"/>
    <mergeCell ref="A6:A7"/>
    <mergeCell ref="C6:C7"/>
  </mergeCells>
  <hyperlinks>
    <hyperlink ref="A6:A7" location="'List danh mục'!A1" display="STT"/>
  </hyperlinks>
  <printOptions horizontalCentered="1"/>
  <pageMargins left="0" right="0" top="0.39370078740157483" bottom="0" header="0.31496062992125984" footer="0.19685039370078741"/>
  <pageSetup paperSize="9" scale="70" orientation="landscape" verticalDpi="0" r:id="rId1"/>
  <headerFooter>
    <oddHeader>&amp;R&amp;A</oddHeader>
    <oddFooter>&amp;C&amp;P/&amp;N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L14"/>
  <sheetViews>
    <sheetView workbookViewId="0">
      <selection activeCell="A6" sqref="A6:A7"/>
    </sheetView>
  </sheetViews>
  <sheetFormatPr defaultColWidth="7.8984375" defaultRowHeight="18"/>
  <cols>
    <col min="1" max="1" width="6.3984375" style="1239" customWidth="1"/>
    <col min="2" max="2" width="66.5" style="1239" customWidth="1"/>
    <col min="3" max="3" width="11.69921875" style="1239" customWidth="1"/>
    <col min="4" max="4" width="11.8984375" style="1239" customWidth="1"/>
    <col min="5" max="5" width="13.19921875" style="1239" customWidth="1"/>
    <col min="6" max="9" width="11.3984375" style="1239" customWidth="1"/>
    <col min="10" max="10" width="33.09765625" style="1239" customWidth="1"/>
    <col min="11" max="11" width="9.59765625" style="1239" customWidth="1"/>
    <col min="12" max="12" width="15.59765625" style="1239" bestFit="1" customWidth="1"/>
    <col min="13" max="256" width="7.8984375" style="1239"/>
    <col min="257" max="257" width="6.09765625" style="1239" customWidth="1"/>
    <col min="258" max="258" width="32.09765625" style="1239" customWidth="1"/>
    <col min="259" max="259" width="8.3984375" style="1239" customWidth="1"/>
    <col min="260" max="260" width="10" style="1239" bestFit="1" customWidth="1"/>
    <col min="261" max="261" width="11.8984375" style="1239" customWidth="1"/>
    <col min="262" max="262" width="9.3984375" style="1239" customWidth="1"/>
    <col min="263" max="263" width="9.59765625" style="1239" customWidth="1"/>
    <col min="264" max="264" width="9.19921875" style="1239" customWidth="1"/>
    <col min="265" max="265" width="9.59765625" style="1239" customWidth="1"/>
    <col min="266" max="266" width="7.8984375" style="1239"/>
    <col min="267" max="267" width="9.59765625" style="1239" customWidth="1"/>
    <col min="268" max="268" width="15.59765625" style="1239" bestFit="1" customWidth="1"/>
    <col min="269" max="512" width="7.8984375" style="1239"/>
    <col min="513" max="513" width="6.09765625" style="1239" customWidth="1"/>
    <col min="514" max="514" width="32.09765625" style="1239" customWidth="1"/>
    <col min="515" max="515" width="8.3984375" style="1239" customWidth="1"/>
    <col min="516" max="516" width="10" style="1239" bestFit="1" customWidth="1"/>
    <col min="517" max="517" width="11.8984375" style="1239" customWidth="1"/>
    <col min="518" max="518" width="9.3984375" style="1239" customWidth="1"/>
    <col min="519" max="519" width="9.59765625" style="1239" customWidth="1"/>
    <col min="520" max="520" width="9.19921875" style="1239" customWidth="1"/>
    <col min="521" max="521" width="9.59765625" style="1239" customWidth="1"/>
    <col min="522" max="522" width="7.8984375" style="1239"/>
    <col min="523" max="523" width="9.59765625" style="1239" customWidth="1"/>
    <col min="524" max="524" width="15.59765625" style="1239" bestFit="1" customWidth="1"/>
    <col min="525" max="768" width="7.8984375" style="1239"/>
    <col min="769" max="769" width="6.09765625" style="1239" customWidth="1"/>
    <col min="770" max="770" width="32.09765625" style="1239" customWidth="1"/>
    <col min="771" max="771" width="8.3984375" style="1239" customWidth="1"/>
    <col min="772" max="772" width="10" style="1239" bestFit="1" customWidth="1"/>
    <col min="773" max="773" width="11.8984375" style="1239" customWidth="1"/>
    <col min="774" max="774" width="9.3984375" style="1239" customWidth="1"/>
    <col min="775" max="775" width="9.59765625" style="1239" customWidth="1"/>
    <col min="776" max="776" width="9.19921875" style="1239" customWidth="1"/>
    <col min="777" max="777" width="9.59765625" style="1239" customWidth="1"/>
    <col min="778" max="778" width="7.8984375" style="1239"/>
    <col min="779" max="779" width="9.59765625" style="1239" customWidth="1"/>
    <col min="780" max="780" width="15.59765625" style="1239" bestFit="1" customWidth="1"/>
    <col min="781" max="1024" width="7.8984375" style="1239"/>
    <col min="1025" max="1025" width="6.09765625" style="1239" customWidth="1"/>
    <col min="1026" max="1026" width="32.09765625" style="1239" customWidth="1"/>
    <col min="1027" max="1027" width="8.3984375" style="1239" customWidth="1"/>
    <col min="1028" max="1028" width="10" style="1239" bestFit="1" customWidth="1"/>
    <col min="1029" max="1029" width="11.8984375" style="1239" customWidth="1"/>
    <col min="1030" max="1030" width="9.3984375" style="1239" customWidth="1"/>
    <col min="1031" max="1031" width="9.59765625" style="1239" customWidth="1"/>
    <col min="1032" max="1032" width="9.19921875" style="1239" customWidth="1"/>
    <col min="1033" max="1033" width="9.59765625" style="1239" customWidth="1"/>
    <col min="1034" max="1034" width="7.8984375" style="1239"/>
    <col min="1035" max="1035" width="9.59765625" style="1239" customWidth="1"/>
    <col min="1036" max="1036" width="15.59765625" style="1239" bestFit="1" customWidth="1"/>
    <col min="1037" max="1280" width="7.8984375" style="1239"/>
    <col min="1281" max="1281" width="6.09765625" style="1239" customWidth="1"/>
    <col min="1282" max="1282" width="32.09765625" style="1239" customWidth="1"/>
    <col min="1283" max="1283" width="8.3984375" style="1239" customWidth="1"/>
    <col min="1284" max="1284" width="10" style="1239" bestFit="1" customWidth="1"/>
    <col min="1285" max="1285" width="11.8984375" style="1239" customWidth="1"/>
    <col min="1286" max="1286" width="9.3984375" style="1239" customWidth="1"/>
    <col min="1287" max="1287" width="9.59765625" style="1239" customWidth="1"/>
    <col min="1288" max="1288" width="9.19921875" style="1239" customWidth="1"/>
    <col min="1289" max="1289" width="9.59765625" style="1239" customWidth="1"/>
    <col min="1290" max="1290" width="7.8984375" style="1239"/>
    <col min="1291" max="1291" width="9.59765625" style="1239" customWidth="1"/>
    <col min="1292" max="1292" width="15.59765625" style="1239" bestFit="1" customWidth="1"/>
    <col min="1293" max="1536" width="7.8984375" style="1239"/>
    <col min="1537" max="1537" width="6.09765625" style="1239" customWidth="1"/>
    <col min="1538" max="1538" width="32.09765625" style="1239" customWidth="1"/>
    <col min="1539" max="1539" width="8.3984375" style="1239" customWidth="1"/>
    <col min="1540" max="1540" width="10" style="1239" bestFit="1" customWidth="1"/>
    <col min="1541" max="1541" width="11.8984375" style="1239" customWidth="1"/>
    <col min="1542" max="1542" width="9.3984375" style="1239" customWidth="1"/>
    <col min="1543" max="1543" width="9.59765625" style="1239" customWidth="1"/>
    <col min="1544" max="1544" width="9.19921875" style="1239" customWidth="1"/>
    <col min="1545" max="1545" width="9.59765625" style="1239" customWidth="1"/>
    <col min="1546" max="1546" width="7.8984375" style="1239"/>
    <col min="1547" max="1547" width="9.59765625" style="1239" customWidth="1"/>
    <col min="1548" max="1548" width="15.59765625" style="1239" bestFit="1" customWidth="1"/>
    <col min="1549" max="1792" width="7.8984375" style="1239"/>
    <col min="1793" max="1793" width="6.09765625" style="1239" customWidth="1"/>
    <col min="1794" max="1794" width="32.09765625" style="1239" customWidth="1"/>
    <col min="1795" max="1795" width="8.3984375" style="1239" customWidth="1"/>
    <col min="1796" max="1796" width="10" style="1239" bestFit="1" customWidth="1"/>
    <col min="1797" max="1797" width="11.8984375" style="1239" customWidth="1"/>
    <col min="1798" max="1798" width="9.3984375" style="1239" customWidth="1"/>
    <col min="1799" max="1799" width="9.59765625" style="1239" customWidth="1"/>
    <col min="1800" max="1800" width="9.19921875" style="1239" customWidth="1"/>
    <col min="1801" max="1801" width="9.59765625" style="1239" customWidth="1"/>
    <col min="1802" max="1802" width="7.8984375" style="1239"/>
    <col min="1803" max="1803" width="9.59765625" style="1239" customWidth="1"/>
    <col min="1804" max="1804" width="15.59765625" style="1239" bestFit="1" customWidth="1"/>
    <col min="1805" max="2048" width="7.8984375" style="1239"/>
    <col min="2049" max="2049" width="6.09765625" style="1239" customWidth="1"/>
    <col min="2050" max="2050" width="32.09765625" style="1239" customWidth="1"/>
    <col min="2051" max="2051" width="8.3984375" style="1239" customWidth="1"/>
    <col min="2052" max="2052" width="10" style="1239" bestFit="1" customWidth="1"/>
    <col min="2053" max="2053" width="11.8984375" style="1239" customWidth="1"/>
    <col min="2054" max="2054" width="9.3984375" style="1239" customWidth="1"/>
    <col min="2055" max="2055" width="9.59765625" style="1239" customWidth="1"/>
    <col min="2056" max="2056" width="9.19921875" style="1239" customWidth="1"/>
    <col min="2057" max="2057" width="9.59765625" style="1239" customWidth="1"/>
    <col min="2058" max="2058" width="7.8984375" style="1239"/>
    <col min="2059" max="2059" width="9.59765625" style="1239" customWidth="1"/>
    <col min="2060" max="2060" width="15.59765625" style="1239" bestFit="1" customWidth="1"/>
    <col min="2061" max="2304" width="7.8984375" style="1239"/>
    <col min="2305" max="2305" width="6.09765625" style="1239" customWidth="1"/>
    <col min="2306" max="2306" width="32.09765625" style="1239" customWidth="1"/>
    <col min="2307" max="2307" width="8.3984375" style="1239" customWidth="1"/>
    <col min="2308" max="2308" width="10" style="1239" bestFit="1" customWidth="1"/>
    <col min="2309" max="2309" width="11.8984375" style="1239" customWidth="1"/>
    <col min="2310" max="2310" width="9.3984375" style="1239" customWidth="1"/>
    <col min="2311" max="2311" width="9.59765625" style="1239" customWidth="1"/>
    <col min="2312" max="2312" width="9.19921875" style="1239" customWidth="1"/>
    <col min="2313" max="2313" width="9.59765625" style="1239" customWidth="1"/>
    <col min="2314" max="2314" width="7.8984375" style="1239"/>
    <col min="2315" max="2315" width="9.59765625" style="1239" customWidth="1"/>
    <col min="2316" max="2316" width="15.59765625" style="1239" bestFit="1" customWidth="1"/>
    <col min="2317" max="2560" width="7.8984375" style="1239"/>
    <col min="2561" max="2561" width="6.09765625" style="1239" customWidth="1"/>
    <col min="2562" max="2562" width="32.09765625" style="1239" customWidth="1"/>
    <col min="2563" max="2563" width="8.3984375" style="1239" customWidth="1"/>
    <col min="2564" max="2564" width="10" style="1239" bestFit="1" customWidth="1"/>
    <col min="2565" max="2565" width="11.8984375" style="1239" customWidth="1"/>
    <col min="2566" max="2566" width="9.3984375" style="1239" customWidth="1"/>
    <col min="2567" max="2567" width="9.59765625" style="1239" customWidth="1"/>
    <col min="2568" max="2568" width="9.19921875" style="1239" customWidth="1"/>
    <col min="2569" max="2569" width="9.59765625" style="1239" customWidth="1"/>
    <col min="2570" max="2570" width="7.8984375" style="1239"/>
    <col min="2571" max="2571" width="9.59765625" style="1239" customWidth="1"/>
    <col min="2572" max="2572" width="15.59765625" style="1239" bestFit="1" customWidth="1"/>
    <col min="2573" max="2816" width="7.8984375" style="1239"/>
    <col min="2817" max="2817" width="6.09765625" style="1239" customWidth="1"/>
    <col min="2818" max="2818" width="32.09765625" style="1239" customWidth="1"/>
    <col min="2819" max="2819" width="8.3984375" style="1239" customWidth="1"/>
    <col min="2820" max="2820" width="10" style="1239" bestFit="1" customWidth="1"/>
    <col min="2821" max="2821" width="11.8984375" style="1239" customWidth="1"/>
    <col min="2822" max="2822" width="9.3984375" style="1239" customWidth="1"/>
    <col min="2823" max="2823" width="9.59765625" style="1239" customWidth="1"/>
    <col min="2824" max="2824" width="9.19921875" style="1239" customWidth="1"/>
    <col min="2825" max="2825" width="9.59765625" style="1239" customWidth="1"/>
    <col min="2826" max="2826" width="7.8984375" style="1239"/>
    <col min="2827" max="2827" width="9.59765625" style="1239" customWidth="1"/>
    <col min="2828" max="2828" width="15.59765625" style="1239" bestFit="1" customWidth="1"/>
    <col min="2829" max="3072" width="7.8984375" style="1239"/>
    <col min="3073" max="3073" width="6.09765625" style="1239" customWidth="1"/>
    <col min="3074" max="3074" width="32.09765625" style="1239" customWidth="1"/>
    <col min="3075" max="3075" width="8.3984375" style="1239" customWidth="1"/>
    <col min="3076" max="3076" width="10" style="1239" bestFit="1" customWidth="1"/>
    <col min="3077" max="3077" width="11.8984375" style="1239" customWidth="1"/>
    <col min="3078" max="3078" width="9.3984375" style="1239" customWidth="1"/>
    <col min="3079" max="3079" width="9.59765625" style="1239" customWidth="1"/>
    <col min="3080" max="3080" width="9.19921875" style="1239" customWidth="1"/>
    <col min="3081" max="3081" width="9.59765625" style="1239" customWidth="1"/>
    <col min="3082" max="3082" width="7.8984375" style="1239"/>
    <col min="3083" max="3083" width="9.59765625" style="1239" customWidth="1"/>
    <col min="3084" max="3084" width="15.59765625" style="1239" bestFit="1" customWidth="1"/>
    <col min="3085" max="3328" width="7.8984375" style="1239"/>
    <col min="3329" max="3329" width="6.09765625" style="1239" customWidth="1"/>
    <col min="3330" max="3330" width="32.09765625" style="1239" customWidth="1"/>
    <col min="3331" max="3331" width="8.3984375" style="1239" customWidth="1"/>
    <col min="3332" max="3332" width="10" style="1239" bestFit="1" customWidth="1"/>
    <col min="3333" max="3333" width="11.8984375" style="1239" customWidth="1"/>
    <col min="3334" max="3334" width="9.3984375" style="1239" customWidth="1"/>
    <col min="3335" max="3335" width="9.59765625" style="1239" customWidth="1"/>
    <col min="3336" max="3336" width="9.19921875" style="1239" customWidth="1"/>
    <col min="3337" max="3337" width="9.59765625" style="1239" customWidth="1"/>
    <col min="3338" max="3338" width="7.8984375" style="1239"/>
    <col min="3339" max="3339" width="9.59765625" style="1239" customWidth="1"/>
    <col min="3340" max="3340" width="15.59765625" style="1239" bestFit="1" customWidth="1"/>
    <col min="3341" max="3584" width="7.8984375" style="1239"/>
    <col min="3585" max="3585" width="6.09765625" style="1239" customWidth="1"/>
    <col min="3586" max="3586" width="32.09765625" style="1239" customWidth="1"/>
    <col min="3587" max="3587" width="8.3984375" style="1239" customWidth="1"/>
    <col min="3588" max="3588" width="10" style="1239" bestFit="1" customWidth="1"/>
    <col min="3589" max="3589" width="11.8984375" style="1239" customWidth="1"/>
    <col min="3590" max="3590" width="9.3984375" style="1239" customWidth="1"/>
    <col min="3591" max="3591" width="9.59765625" style="1239" customWidth="1"/>
    <col min="3592" max="3592" width="9.19921875" style="1239" customWidth="1"/>
    <col min="3593" max="3593" width="9.59765625" style="1239" customWidth="1"/>
    <col min="3594" max="3594" width="7.8984375" style="1239"/>
    <col min="3595" max="3595" width="9.59765625" style="1239" customWidth="1"/>
    <col min="3596" max="3596" width="15.59765625" style="1239" bestFit="1" customWidth="1"/>
    <col min="3597" max="3840" width="7.8984375" style="1239"/>
    <col min="3841" max="3841" width="6.09765625" style="1239" customWidth="1"/>
    <col min="3842" max="3842" width="32.09765625" style="1239" customWidth="1"/>
    <col min="3843" max="3843" width="8.3984375" style="1239" customWidth="1"/>
    <col min="3844" max="3844" width="10" style="1239" bestFit="1" customWidth="1"/>
    <col min="3845" max="3845" width="11.8984375" style="1239" customWidth="1"/>
    <col min="3846" max="3846" width="9.3984375" style="1239" customWidth="1"/>
    <col min="3847" max="3847" width="9.59765625" style="1239" customWidth="1"/>
    <col min="3848" max="3848" width="9.19921875" style="1239" customWidth="1"/>
    <col min="3849" max="3849" width="9.59765625" style="1239" customWidth="1"/>
    <col min="3850" max="3850" width="7.8984375" style="1239"/>
    <col min="3851" max="3851" width="9.59765625" style="1239" customWidth="1"/>
    <col min="3852" max="3852" width="15.59765625" style="1239" bestFit="1" customWidth="1"/>
    <col min="3853" max="4096" width="7.8984375" style="1239"/>
    <col min="4097" max="4097" width="6.09765625" style="1239" customWidth="1"/>
    <col min="4098" max="4098" width="32.09765625" style="1239" customWidth="1"/>
    <col min="4099" max="4099" width="8.3984375" style="1239" customWidth="1"/>
    <col min="4100" max="4100" width="10" style="1239" bestFit="1" customWidth="1"/>
    <col min="4101" max="4101" width="11.8984375" style="1239" customWidth="1"/>
    <col min="4102" max="4102" width="9.3984375" style="1239" customWidth="1"/>
    <col min="4103" max="4103" width="9.59765625" style="1239" customWidth="1"/>
    <col min="4104" max="4104" width="9.19921875" style="1239" customWidth="1"/>
    <col min="4105" max="4105" width="9.59765625" style="1239" customWidth="1"/>
    <col min="4106" max="4106" width="7.8984375" style="1239"/>
    <col min="4107" max="4107" width="9.59765625" style="1239" customWidth="1"/>
    <col min="4108" max="4108" width="15.59765625" style="1239" bestFit="1" customWidth="1"/>
    <col min="4109" max="4352" width="7.8984375" style="1239"/>
    <col min="4353" max="4353" width="6.09765625" style="1239" customWidth="1"/>
    <col min="4354" max="4354" width="32.09765625" style="1239" customWidth="1"/>
    <col min="4355" max="4355" width="8.3984375" style="1239" customWidth="1"/>
    <col min="4356" max="4356" width="10" style="1239" bestFit="1" customWidth="1"/>
    <col min="4357" max="4357" width="11.8984375" style="1239" customWidth="1"/>
    <col min="4358" max="4358" width="9.3984375" style="1239" customWidth="1"/>
    <col min="4359" max="4359" width="9.59765625" style="1239" customWidth="1"/>
    <col min="4360" max="4360" width="9.19921875" style="1239" customWidth="1"/>
    <col min="4361" max="4361" width="9.59765625" style="1239" customWidth="1"/>
    <col min="4362" max="4362" width="7.8984375" style="1239"/>
    <col min="4363" max="4363" width="9.59765625" style="1239" customWidth="1"/>
    <col min="4364" max="4364" width="15.59765625" style="1239" bestFit="1" customWidth="1"/>
    <col min="4365" max="4608" width="7.8984375" style="1239"/>
    <col min="4609" max="4609" width="6.09765625" style="1239" customWidth="1"/>
    <col min="4610" max="4610" width="32.09765625" style="1239" customWidth="1"/>
    <col min="4611" max="4611" width="8.3984375" style="1239" customWidth="1"/>
    <col min="4612" max="4612" width="10" style="1239" bestFit="1" customWidth="1"/>
    <col min="4613" max="4613" width="11.8984375" style="1239" customWidth="1"/>
    <col min="4614" max="4614" width="9.3984375" style="1239" customWidth="1"/>
    <col min="4615" max="4615" width="9.59765625" style="1239" customWidth="1"/>
    <col min="4616" max="4616" width="9.19921875" style="1239" customWidth="1"/>
    <col min="4617" max="4617" width="9.59765625" style="1239" customWidth="1"/>
    <col min="4618" max="4618" width="7.8984375" style="1239"/>
    <col min="4619" max="4619" width="9.59765625" style="1239" customWidth="1"/>
    <col min="4620" max="4620" width="15.59765625" style="1239" bestFit="1" customWidth="1"/>
    <col min="4621" max="4864" width="7.8984375" style="1239"/>
    <col min="4865" max="4865" width="6.09765625" style="1239" customWidth="1"/>
    <col min="4866" max="4866" width="32.09765625" style="1239" customWidth="1"/>
    <col min="4867" max="4867" width="8.3984375" style="1239" customWidth="1"/>
    <col min="4868" max="4868" width="10" style="1239" bestFit="1" customWidth="1"/>
    <col min="4869" max="4869" width="11.8984375" style="1239" customWidth="1"/>
    <col min="4870" max="4870" width="9.3984375" style="1239" customWidth="1"/>
    <col min="4871" max="4871" width="9.59765625" style="1239" customWidth="1"/>
    <col min="4872" max="4872" width="9.19921875" style="1239" customWidth="1"/>
    <col min="4873" max="4873" width="9.59765625" style="1239" customWidth="1"/>
    <col min="4874" max="4874" width="7.8984375" style="1239"/>
    <col min="4875" max="4875" width="9.59765625" style="1239" customWidth="1"/>
    <col min="4876" max="4876" width="15.59765625" style="1239" bestFit="1" customWidth="1"/>
    <col min="4877" max="5120" width="7.8984375" style="1239"/>
    <col min="5121" max="5121" width="6.09765625" style="1239" customWidth="1"/>
    <col min="5122" max="5122" width="32.09765625" style="1239" customWidth="1"/>
    <col min="5123" max="5123" width="8.3984375" style="1239" customWidth="1"/>
    <col min="5124" max="5124" width="10" style="1239" bestFit="1" customWidth="1"/>
    <col min="5125" max="5125" width="11.8984375" style="1239" customWidth="1"/>
    <col min="5126" max="5126" width="9.3984375" style="1239" customWidth="1"/>
    <col min="5127" max="5127" width="9.59765625" style="1239" customWidth="1"/>
    <col min="5128" max="5128" width="9.19921875" style="1239" customWidth="1"/>
    <col min="5129" max="5129" width="9.59765625" style="1239" customWidth="1"/>
    <col min="5130" max="5130" width="7.8984375" style="1239"/>
    <col min="5131" max="5131" width="9.59765625" style="1239" customWidth="1"/>
    <col min="5132" max="5132" width="15.59765625" style="1239" bestFit="1" customWidth="1"/>
    <col min="5133" max="5376" width="7.8984375" style="1239"/>
    <col min="5377" max="5377" width="6.09765625" style="1239" customWidth="1"/>
    <col min="5378" max="5378" width="32.09765625" style="1239" customWidth="1"/>
    <col min="5379" max="5379" width="8.3984375" style="1239" customWidth="1"/>
    <col min="5380" max="5380" width="10" style="1239" bestFit="1" customWidth="1"/>
    <col min="5381" max="5381" width="11.8984375" style="1239" customWidth="1"/>
    <col min="5382" max="5382" width="9.3984375" style="1239" customWidth="1"/>
    <col min="5383" max="5383" width="9.59765625" style="1239" customWidth="1"/>
    <col min="5384" max="5384" width="9.19921875" style="1239" customWidth="1"/>
    <col min="5385" max="5385" width="9.59765625" style="1239" customWidth="1"/>
    <col min="5386" max="5386" width="7.8984375" style="1239"/>
    <col min="5387" max="5387" width="9.59765625" style="1239" customWidth="1"/>
    <col min="5388" max="5388" width="15.59765625" style="1239" bestFit="1" customWidth="1"/>
    <col min="5389" max="5632" width="7.8984375" style="1239"/>
    <col min="5633" max="5633" width="6.09765625" style="1239" customWidth="1"/>
    <col min="5634" max="5634" width="32.09765625" style="1239" customWidth="1"/>
    <col min="5635" max="5635" width="8.3984375" style="1239" customWidth="1"/>
    <col min="5636" max="5636" width="10" style="1239" bestFit="1" customWidth="1"/>
    <col min="5637" max="5637" width="11.8984375" style="1239" customWidth="1"/>
    <col min="5638" max="5638" width="9.3984375" style="1239" customWidth="1"/>
    <col min="5639" max="5639" width="9.59765625" style="1239" customWidth="1"/>
    <col min="5640" max="5640" width="9.19921875" style="1239" customWidth="1"/>
    <col min="5641" max="5641" width="9.59765625" style="1239" customWidth="1"/>
    <col min="5642" max="5642" width="7.8984375" style="1239"/>
    <col min="5643" max="5643" width="9.59765625" style="1239" customWidth="1"/>
    <col min="5644" max="5644" width="15.59765625" style="1239" bestFit="1" customWidth="1"/>
    <col min="5645" max="5888" width="7.8984375" style="1239"/>
    <col min="5889" max="5889" width="6.09765625" style="1239" customWidth="1"/>
    <col min="5890" max="5890" width="32.09765625" style="1239" customWidth="1"/>
    <col min="5891" max="5891" width="8.3984375" style="1239" customWidth="1"/>
    <col min="5892" max="5892" width="10" style="1239" bestFit="1" customWidth="1"/>
    <col min="5893" max="5893" width="11.8984375" style="1239" customWidth="1"/>
    <col min="5894" max="5894" width="9.3984375" style="1239" customWidth="1"/>
    <col min="5895" max="5895" width="9.59765625" style="1239" customWidth="1"/>
    <col min="5896" max="5896" width="9.19921875" style="1239" customWidth="1"/>
    <col min="5897" max="5897" width="9.59765625" style="1239" customWidth="1"/>
    <col min="5898" max="5898" width="7.8984375" style="1239"/>
    <col min="5899" max="5899" width="9.59765625" style="1239" customWidth="1"/>
    <col min="5900" max="5900" width="15.59765625" style="1239" bestFit="1" customWidth="1"/>
    <col min="5901" max="6144" width="7.8984375" style="1239"/>
    <col min="6145" max="6145" width="6.09765625" style="1239" customWidth="1"/>
    <col min="6146" max="6146" width="32.09765625" style="1239" customWidth="1"/>
    <col min="6147" max="6147" width="8.3984375" style="1239" customWidth="1"/>
    <col min="6148" max="6148" width="10" style="1239" bestFit="1" customWidth="1"/>
    <col min="6149" max="6149" width="11.8984375" style="1239" customWidth="1"/>
    <col min="6150" max="6150" width="9.3984375" style="1239" customWidth="1"/>
    <col min="6151" max="6151" width="9.59765625" style="1239" customWidth="1"/>
    <col min="6152" max="6152" width="9.19921875" style="1239" customWidth="1"/>
    <col min="6153" max="6153" width="9.59765625" style="1239" customWidth="1"/>
    <col min="6154" max="6154" width="7.8984375" style="1239"/>
    <col min="6155" max="6155" width="9.59765625" style="1239" customWidth="1"/>
    <col min="6156" max="6156" width="15.59765625" style="1239" bestFit="1" customWidth="1"/>
    <col min="6157" max="6400" width="7.8984375" style="1239"/>
    <col min="6401" max="6401" width="6.09765625" style="1239" customWidth="1"/>
    <col min="6402" max="6402" width="32.09765625" style="1239" customWidth="1"/>
    <col min="6403" max="6403" width="8.3984375" style="1239" customWidth="1"/>
    <col min="6404" max="6404" width="10" style="1239" bestFit="1" customWidth="1"/>
    <col min="6405" max="6405" width="11.8984375" style="1239" customWidth="1"/>
    <col min="6406" max="6406" width="9.3984375" style="1239" customWidth="1"/>
    <col min="6407" max="6407" width="9.59765625" style="1239" customWidth="1"/>
    <col min="6408" max="6408" width="9.19921875" style="1239" customWidth="1"/>
    <col min="6409" max="6409" width="9.59765625" style="1239" customWidth="1"/>
    <col min="6410" max="6410" width="7.8984375" style="1239"/>
    <col min="6411" max="6411" width="9.59765625" style="1239" customWidth="1"/>
    <col min="6412" max="6412" width="15.59765625" style="1239" bestFit="1" customWidth="1"/>
    <col min="6413" max="6656" width="7.8984375" style="1239"/>
    <col min="6657" max="6657" width="6.09765625" style="1239" customWidth="1"/>
    <col min="6658" max="6658" width="32.09765625" style="1239" customWidth="1"/>
    <col min="6659" max="6659" width="8.3984375" style="1239" customWidth="1"/>
    <col min="6660" max="6660" width="10" style="1239" bestFit="1" customWidth="1"/>
    <col min="6661" max="6661" width="11.8984375" style="1239" customWidth="1"/>
    <col min="6662" max="6662" width="9.3984375" style="1239" customWidth="1"/>
    <col min="6663" max="6663" width="9.59765625" style="1239" customWidth="1"/>
    <col min="6664" max="6664" width="9.19921875" style="1239" customWidth="1"/>
    <col min="6665" max="6665" width="9.59765625" style="1239" customWidth="1"/>
    <col min="6666" max="6666" width="7.8984375" style="1239"/>
    <col min="6667" max="6667" width="9.59765625" style="1239" customWidth="1"/>
    <col min="6668" max="6668" width="15.59765625" style="1239" bestFit="1" customWidth="1"/>
    <col min="6669" max="6912" width="7.8984375" style="1239"/>
    <col min="6913" max="6913" width="6.09765625" style="1239" customWidth="1"/>
    <col min="6914" max="6914" width="32.09765625" style="1239" customWidth="1"/>
    <col min="6915" max="6915" width="8.3984375" style="1239" customWidth="1"/>
    <col min="6916" max="6916" width="10" style="1239" bestFit="1" customWidth="1"/>
    <col min="6917" max="6917" width="11.8984375" style="1239" customWidth="1"/>
    <col min="6918" max="6918" width="9.3984375" style="1239" customWidth="1"/>
    <col min="6919" max="6919" width="9.59765625" style="1239" customWidth="1"/>
    <col min="6920" max="6920" width="9.19921875" style="1239" customWidth="1"/>
    <col min="6921" max="6921" width="9.59765625" style="1239" customWidth="1"/>
    <col min="6922" max="6922" width="7.8984375" style="1239"/>
    <col min="6923" max="6923" width="9.59765625" style="1239" customWidth="1"/>
    <col min="6924" max="6924" width="15.59765625" style="1239" bestFit="1" customWidth="1"/>
    <col min="6925" max="7168" width="7.8984375" style="1239"/>
    <col min="7169" max="7169" width="6.09765625" style="1239" customWidth="1"/>
    <col min="7170" max="7170" width="32.09765625" style="1239" customWidth="1"/>
    <col min="7171" max="7171" width="8.3984375" style="1239" customWidth="1"/>
    <col min="7172" max="7172" width="10" style="1239" bestFit="1" customWidth="1"/>
    <col min="7173" max="7173" width="11.8984375" style="1239" customWidth="1"/>
    <col min="7174" max="7174" width="9.3984375" style="1239" customWidth="1"/>
    <col min="7175" max="7175" width="9.59765625" style="1239" customWidth="1"/>
    <col min="7176" max="7176" width="9.19921875" style="1239" customWidth="1"/>
    <col min="7177" max="7177" width="9.59765625" style="1239" customWidth="1"/>
    <col min="7178" max="7178" width="7.8984375" style="1239"/>
    <col min="7179" max="7179" width="9.59765625" style="1239" customWidth="1"/>
    <col min="7180" max="7180" width="15.59765625" style="1239" bestFit="1" customWidth="1"/>
    <col min="7181" max="7424" width="7.8984375" style="1239"/>
    <col min="7425" max="7425" width="6.09765625" style="1239" customWidth="1"/>
    <col min="7426" max="7426" width="32.09765625" style="1239" customWidth="1"/>
    <col min="7427" max="7427" width="8.3984375" style="1239" customWidth="1"/>
    <col min="7428" max="7428" width="10" style="1239" bestFit="1" customWidth="1"/>
    <col min="7429" max="7429" width="11.8984375" style="1239" customWidth="1"/>
    <col min="7430" max="7430" width="9.3984375" style="1239" customWidth="1"/>
    <col min="7431" max="7431" width="9.59765625" style="1239" customWidth="1"/>
    <col min="7432" max="7432" width="9.19921875" style="1239" customWidth="1"/>
    <col min="7433" max="7433" width="9.59765625" style="1239" customWidth="1"/>
    <col min="7434" max="7434" width="7.8984375" style="1239"/>
    <col min="7435" max="7435" width="9.59765625" style="1239" customWidth="1"/>
    <col min="7436" max="7436" width="15.59765625" style="1239" bestFit="1" customWidth="1"/>
    <col min="7437" max="7680" width="7.8984375" style="1239"/>
    <col min="7681" max="7681" width="6.09765625" style="1239" customWidth="1"/>
    <col min="7682" max="7682" width="32.09765625" style="1239" customWidth="1"/>
    <col min="7683" max="7683" width="8.3984375" style="1239" customWidth="1"/>
    <col min="7684" max="7684" width="10" style="1239" bestFit="1" customWidth="1"/>
    <col min="7685" max="7685" width="11.8984375" style="1239" customWidth="1"/>
    <col min="7686" max="7686" width="9.3984375" style="1239" customWidth="1"/>
    <col min="7687" max="7687" width="9.59765625" style="1239" customWidth="1"/>
    <col min="7688" max="7688" width="9.19921875" style="1239" customWidth="1"/>
    <col min="7689" max="7689" width="9.59765625" style="1239" customWidth="1"/>
    <col min="7690" max="7690" width="7.8984375" style="1239"/>
    <col min="7691" max="7691" width="9.59765625" style="1239" customWidth="1"/>
    <col min="7692" max="7692" width="15.59765625" style="1239" bestFit="1" customWidth="1"/>
    <col min="7693" max="7936" width="7.8984375" style="1239"/>
    <col min="7937" max="7937" width="6.09765625" style="1239" customWidth="1"/>
    <col min="7938" max="7938" width="32.09765625" style="1239" customWidth="1"/>
    <col min="7939" max="7939" width="8.3984375" style="1239" customWidth="1"/>
    <col min="7940" max="7940" width="10" style="1239" bestFit="1" customWidth="1"/>
    <col min="7941" max="7941" width="11.8984375" style="1239" customWidth="1"/>
    <col min="7942" max="7942" width="9.3984375" style="1239" customWidth="1"/>
    <col min="7943" max="7943" width="9.59765625" style="1239" customWidth="1"/>
    <col min="7944" max="7944" width="9.19921875" style="1239" customWidth="1"/>
    <col min="7945" max="7945" width="9.59765625" style="1239" customWidth="1"/>
    <col min="7946" max="7946" width="7.8984375" style="1239"/>
    <col min="7947" max="7947" width="9.59765625" style="1239" customWidth="1"/>
    <col min="7948" max="7948" width="15.59765625" style="1239" bestFit="1" customWidth="1"/>
    <col min="7949" max="8192" width="7.8984375" style="1239"/>
    <col min="8193" max="8193" width="6.09765625" style="1239" customWidth="1"/>
    <col min="8194" max="8194" width="32.09765625" style="1239" customWidth="1"/>
    <col min="8195" max="8195" width="8.3984375" style="1239" customWidth="1"/>
    <col min="8196" max="8196" width="10" style="1239" bestFit="1" customWidth="1"/>
    <col min="8197" max="8197" width="11.8984375" style="1239" customWidth="1"/>
    <col min="8198" max="8198" width="9.3984375" style="1239" customWidth="1"/>
    <col min="8199" max="8199" width="9.59765625" style="1239" customWidth="1"/>
    <col min="8200" max="8200" width="9.19921875" style="1239" customWidth="1"/>
    <col min="8201" max="8201" width="9.59765625" style="1239" customWidth="1"/>
    <col min="8202" max="8202" width="7.8984375" style="1239"/>
    <col min="8203" max="8203" width="9.59765625" style="1239" customWidth="1"/>
    <col min="8204" max="8204" width="15.59765625" style="1239" bestFit="1" customWidth="1"/>
    <col min="8205" max="8448" width="7.8984375" style="1239"/>
    <col min="8449" max="8449" width="6.09765625" style="1239" customWidth="1"/>
    <col min="8450" max="8450" width="32.09765625" style="1239" customWidth="1"/>
    <col min="8451" max="8451" width="8.3984375" style="1239" customWidth="1"/>
    <col min="8452" max="8452" width="10" style="1239" bestFit="1" customWidth="1"/>
    <col min="8453" max="8453" width="11.8984375" style="1239" customWidth="1"/>
    <col min="8454" max="8454" width="9.3984375" style="1239" customWidth="1"/>
    <col min="8455" max="8455" width="9.59765625" style="1239" customWidth="1"/>
    <col min="8456" max="8456" width="9.19921875" style="1239" customWidth="1"/>
    <col min="8457" max="8457" width="9.59765625" style="1239" customWidth="1"/>
    <col min="8458" max="8458" width="7.8984375" style="1239"/>
    <col min="8459" max="8459" width="9.59765625" style="1239" customWidth="1"/>
    <col min="8460" max="8460" width="15.59765625" style="1239" bestFit="1" customWidth="1"/>
    <col min="8461" max="8704" width="7.8984375" style="1239"/>
    <col min="8705" max="8705" width="6.09765625" style="1239" customWidth="1"/>
    <col min="8706" max="8706" width="32.09765625" style="1239" customWidth="1"/>
    <col min="8707" max="8707" width="8.3984375" style="1239" customWidth="1"/>
    <col min="8708" max="8708" width="10" style="1239" bestFit="1" customWidth="1"/>
    <col min="8709" max="8709" width="11.8984375" style="1239" customWidth="1"/>
    <col min="8710" max="8710" width="9.3984375" style="1239" customWidth="1"/>
    <col min="8711" max="8711" width="9.59765625" style="1239" customWidth="1"/>
    <col min="8712" max="8712" width="9.19921875" style="1239" customWidth="1"/>
    <col min="8713" max="8713" width="9.59765625" style="1239" customWidth="1"/>
    <col min="8714" max="8714" width="7.8984375" style="1239"/>
    <col min="8715" max="8715" width="9.59765625" style="1239" customWidth="1"/>
    <col min="8716" max="8716" width="15.59765625" style="1239" bestFit="1" customWidth="1"/>
    <col min="8717" max="8960" width="7.8984375" style="1239"/>
    <col min="8961" max="8961" width="6.09765625" style="1239" customWidth="1"/>
    <col min="8962" max="8962" width="32.09765625" style="1239" customWidth="1"/>
    <col min="8963" max="8963" width="8.3984375" style="1239" customWidth="1"/>
    <col min="8964" max="8964" width="10" style="1239" bestFit="1" customWidth="1"/>
    <col min="8965" max="8965" width="11.8984375" style="1239" customWidth="1"/>
    <col min="8966" max="8966" width="9.3984375" style="1239" customWidth="1"/>
    <col min="8967" max="8967" width="9.59765625" style="1239" customWidth="1"/>
    <col min="8968" max="8968" width="9.19921875" style="1239" customWidth="1"/>
    <col min="8969" max="8969" width="9.59765625" style="1239" customWidth="1"/>
    <col min="8970" max="8970" width="7.8984375" style="1239"/>
    <col min="8971" max="8971" width="9.59765625" style="1239" customWidth="1"/>
    <col min="8972" max="8972" width="15.59765625" style="1239" bestFit="1" customWidth="1"/>
    <col min="8973" max="9216" width="7.8984375" style="1239"/>
    <col min="9217" max="9217" width="6.09765625" style="1239" customWidth="1"/>
    <col min="9218" max="9218" width="32.09765625" style="1239" customWidth="1"/>
    <col min="9219" max="9219" width="8.3984375" style="1239" customWidth="1"/>
    <col min="9220" max="9220" width="10" style="1239" bestFit="1" customWidth="1"/>
    <col min="9221" max="9221" width="11.8984375" style="1239" customWidth="1"/>
    <col min="9222" max="9222" width="9.3984375" style="1239" customWidth="1"/>
    <col min="9223" max="9223" width="9.59765625" style="1239" customWidth="1"/>
    <col min="9224" max="9224" width="9.19921875" style="1239" customWidth="1"/>
    <col min="9225" max="9225" width="9.59765625" style="1239" customWidth="1"/>
    <col min="9226" max="9226" width="7.8984375" style="1239"/>
    <col min="9227" max="9227" width="9.59765625" style="1239" customWidth="1"/>
    <col min="9228" max="9228" width="15.59765625" style="1239" bestFit="1" customWidth="1"/>
    <col min="9229" max="9472" width="7.8984375" style="1239"/>
    <col min="9473" max="9473" width="6.09765625" style="1239" customWidth="1"/>
    <col min="9474" max="9474" width="32.09765625" style="1239" customWidth="1"/>
    <col min="9475" max="9475" width="8.3984375" style="1239" customWidth="1"/>
    <col min="9476" max="9476" width="10" style="1239" bestFit="1" customWidth="1"/>
    <col min="9477" max="9477" width="11.8984375" style="1239" customWidth="1"/>
    <col min="9478" max="9478" width="9.3984375" style="1239" customWidth="1"/>
    <col min="9479" max="9479" width="9.59765625" style="1239" customWidth="1"/>
    <col min="9480" max="9480" width="9.19921875" style="1239" customWidth="1"/>
    <col min="9481" max="9481" width="9.59765625" style="1239" customWidth="1"/>
    <col min="9482" max="9482" width="7.8984375" style="1239"/>
    <col min="9483" max="9483" width="9.59765625" style="1239" customWidth="1"/>
    <col min="9484" max="9484" width="15.59765625" style="1239" bestFit="1" customWidth="1"/>
    <col min="9485" max="9728" width="7.8984375" style="1239"/>
    <col min="9729" max="9729" width="6.09765625" style="1239" customWidth="1"/>
    <col min="9730" max="9730" width="32.09765625" style="1239" customWidth="1"/>
    <col min="9731" max="9731" width="8.3984375" style="1239" customWidth="1"/>
    <col min="9732" max="9732" width="10" style="1239" bestFit="1" customWidth="1"/>
    <col min="9733" max="9733" width="11.8984375" style="1239" customWidth="1"/>
    <col min="9734" max="9734" width="9.3984375" style="1239" customWidth="1"/>
    <col min="9735" max="9735" width="9.59765625" style="1239" customWidth="1"/>
    <col min="9736" max="9736" width="9.19921875" style="1239" customWidth="1"/>
    <col min="9737" max="9737" width="9.59765625" style="1239" customWidth="1"/>
    <col min="9738" max="9738" width="7.8984375" style="1239"/>
    <col min="9739" max="9739" width="9.59765625" style="1239" customWidth="1"/>
    <col min="9740" max="9740" width="15.59765625" style="1239" bestFit="1" customWidth="1"/>
    <col min="9741" max="9984" width="7.8984375" style="1239"/>
    <col min="9985" max="9985" width="6.09765625" style="1239" customWidth="1"/>
    <col min="9986" max="9986" width="32.09765625" style="1239" customWidth="1"/>
    <col min="9987" max="9987" width="8.3984375" style="1239" customWidth="1"/>
    <col min="9988" max="9988" width="10" style="1239" bestFit="1" customWidth="1"/>
    <col min="9989" max="9989" width="11.8984375" style="1239" customWidth="1"/>
    <col min="9990" max="9990" width="9.3984375" style="1239" customWidth="1"/>
    <col min="9991" max="9991" width="9.59765625" style="1239" customWidth="1"/>
    <col min="9992" max="9992" width="9.19921875" style="1239" customWidth="1"/>
    <col min="9993" max="9993" width="9.59765625" style="1239" customWidth="1"/>
    <col min="9994" max="9994" width="7.8984375" style="1239"/>
    <col min="9995" max="9995" width="9.59765625" style="1239" customWidth="1"/>
    <col min="9996" max="9996" width="15.59765625" style="1239" bestFit="1" customWidth="1"/>
    <col min="9997" max="10240" width="7.8984375" style="1239"/>
    <col min="10241" max="10241" width="6.09765625" style="1239" customWidth="1"/>
    <col min="10242" max="10242" width="32.09765625" style="1239" customWidth="1"/>
    <col min="10243" max="10243" width="8.3984375" style="1239" customWidth="1"/>
    <col min="10244" max="10244" width="10" style="1239" bestFit="1" customWidth="1"/>
    <col min="10245" max="10245" width="11.8984375" style="1239" customWidth="1"/>
    <col min="10246" max="10246" width="9.3984375" style="1239" customWidth="1"/>
    <col min="10247" max="10247" width="9.59765625" style="1239" customWidth="1"/>
    <col min="10248" max="10248" width="9.19921875" style="1239" customWidth="1"/>
    <col min="10249" max="10249" width="9.59765625" style="1239" customWidth="1"/>
    <col min="10250" max="10250" width="7.8984375" style="1239"/>
    <col min="10251" max="10251" width="9.59765625" style="1239" customWidth="1"/>
    <col min="10252" max="10252" width="15.59765625" style="1239" bestFit="1" customWidth="1"/>
    <col min="10253" max="10496" width="7.8984375" style="1239"/>
    <col min="10497" max="10497" width="6.09765625" style="1239" customWidth="1"/>
    <col min="10498" max="10498" width="32.09765625" style="1239" customWidth="1"/>
    <col min="10499" max="10499" width="8.3984375" style="1239" customWidth="1"/>
    <col min="10500" max="10500" width="10" style="1239" bestFit="1" customWidth="1"/>
    <col min="10501" max="10501" width="11.8984375" style="1239" customWidth="1"/>
    <col min="10502" max="10502" width="9.3984375" style="1239" customWidth="1"/>
    <col min="10503" max="10503" width="9.59765625" style="1239" customWidth="1"/>
    <col min="10504" max="10504" width="9.19921875" style="1239" customWidth="1"/>
    <col min="10505" max="10505" width="9.59765625" style="1239" customWidth="1"/>
    <col min="10506" max="10506" width="7.8984375" style="1239"/>
    <col min="10507" max="10507" width="9.59765625" style="1239" customWidth="1"/>
    <col min="10508" max="10508" width="15.59765625" style="1239" bestFit="1" customWidth="1"/>
    <col min="10509" max="10752" width="7.8984375" style="1239"/>
    <col min="10753" max="10753" width="6.09765625" style="1239" customWidth="1"/>
    <col min="10754" max="10754" width="32.09765625" style="1239" customWidth="1"/>
    <col min="10755" max="10755" width="8.3984375" style="1239" customWidth="1"/>
    <col min="10756" max="10756" width="10" style="1239" bestFit="1" customWidth="1"/>
    <col min="10757" max="10757" width="11.8984375" style="1239" customWidth="1"/>
    <col min="10758" max="10758" width="9.3984375" style="1239" customWidth="1"/>
    <col min="10759" max="10759" width="9.59765625" style="1239" customWidth="1"/>
    <col min="10760" max="10760" width="9.19921875" style="1239" customWidth="1"/>
    <col min="10761" max="10761" width="9.59765625" style="1239" customWidth="1"/>
    <col min="10762" max="10762" width="7.8984375" style="1239"/>
    <col min="10763" max="10763" width="9.59765625" style="1239" customWidth="1"/>
    <col min="10764" max="10764" width="15.59765625" style="1239" bestFit="1" customWidth="1"/>
    <col min="10765" max="11008" width="7.8984375" style="1239"/>
    <col min="11009" max="11009" width="6.09765625" style="1239" customWidth="1"/>
    <col min="11010" max="11010" width="32.09765625" style="1239" customWidth="1"/>
    <col min="11011" max="11011" width="8.3984375" style="1239" customWidth="1"/>
    <col min="11012" max="11012" width="10" style="1239" bestFit="1" customWidth="1"/>
    <col min="11013" max="11013" width="11.8984375" style="1239" customWidth="1"/>
    <col min="11014" max="11014" width="9.3984375" style="1239" customWidth="1"/>
    <col min="11015" max="11015" width="9.59765625" style="1239" customWidth="1"/>
    <col min="11016" max="11016" width="9.19921875" style="1239" customWidth="1"/>
    <col min="11017" max="11017" width="9.59765625" style="1239" customWidth="1"/>
    <col min="11018" max="11018" width="7.8984375" style="1239"/>
    <col min="11019" max="11019" width="9.59765625" style="1239" customWidth="1"/>
    <col min="11020" max="11020" width="15.59765625" style="1239" bestFit="1" customWidth="1"/>
    <col min="11021" max="11264" width="7.8984375" style="1239"/>
    <col min="11265" max="11265" width="6.09765625" style="1239" customWidth="1"/>
    <col min="11266" max="11266" width="32.09765625" style="1239" customWidth="1"/>
    <col min="11267" max="11267" width="8.3984375" style="1239" customWidth="1"/>
    <col min="11268" max="11268" width="10" style="1239" bestFit="1" customWidth="1"/>
    <col min="11269" max="11269" width="11.8984375" style="1239" customWidth="1"/>
    <col min="11270" max="11270" width="9.3984375" style="1239" customWidth="1"/>
    <col min="11271" max="11271" width="9.59765625" style="1239" customWidth="1"/>
    <col min="11272" max="11272" width="9.19921875" style="1239" customWidth="1"/>
    <col min="11273" max="11273" width="9.59765625" style="1239" customWidth="1"/>
    <col min="11274" max="11274" width="7.8984375" style="1239"/>
    <col min="11275" max="11275" width="9.59765625" style="1239" customWidth="1"/>
    <col min="11276" max="11276" width="15.59765625" style="1239" bestFit="1" customWidth="1"/>
    <col min="11277" max="11520" width="7.8984375" style="1239"/>
    <col min="11521" max="11521" width="6.09765625" style="1239" customWidth="1"/>
    <col min="11522" max="11522" width="32.09765625" style="1239" customWidth="1"/>
    <col min="11523" max="11523" width="8.3984375" style="1239" customWidth="1"/>
    <col min="11524" max="11524" width="10" style="1239" bestFit="1" customWidth="1"/>
    <col min="11525" max="11525" width="11.8984375" style="1239" customWidth="1"/>
    <col min="11526" max="11526" width="9.3984375" style="1239" customWidth="1"/>
    <col min="11527" max="11527" width="9.59765625" style="1239" customWidth="1"/>
    <col min="11528" max="11528" width="9.19921875" style="1239" customWidth="1"/>
    <col min="11529" max="11529" width="9.59765625" style="1239" customWidth="1"/>
    <col min="11530" max="11530" width="7.8984375" style="1239"/>
    <col min="11531" max="11531" width="9.59765625" style="1239" customWidth="1"/>
    <col min="11532" max="11532" width="15.59765625" style="1239" bestFit="1" customWidth="1"/>
    <col min="11533" max="11776" width="7.8984375" style="1239"/>
    <col min="11777" max="11777" width="6.09765625" style="1239" customWidth="1"/>
    <col min="11778" max="11778" width="32.09765625" style="1239" customWidth="1"/>
    <col min="11779" max="11779" width="8.3984375" style="1239" customWidth="1"/>
    <col min="11780" max="11780" width="10" style="1239" bestFit="1" customWidth="1"/>
    <col min="11781" max="11781" width="11.8984375" style="1239" customWidth="1"/>
    <col min="11782" max="11782" width="9.3984375" style="1239" customWidth="1"/>
    <col min="11783" max="11783" width="9.59765625" style="1239" customWidth="1"/>
    <col min="11784" max="11784" width="9.19921875" style="1239" customWidth="1"/>
    <col min="11785" max="11785" width="9.59765625" style="1239" customWidth="1"/>
    <col min="11786" max="11786" width="7.8984375" style="1239"/>
    <col min="11787" max="11787" width="9.59765625" style="1239" customWidth="1"/>
    <col min="11788" max="11788" width="15.59765625" style="1239" bestFit="1" customWidth="1"/>
    <col min="11789" max="12032" width="7.8984375" style="1239"/>
    <col min="12033" max="12033" width="6.09765625" style="1239" customWidth="1"/>
    <col min="12034" max="12034" width="32.09765625" style="1239" customWidth="1"/>
    <col min="12035" max="12035" width="8.3984375" style="1239" customWidth="1"/>
    <col min="12036" max="12036" width="10" style="1239" bestFit="1" customWidth="1"/>
    <col min="12037" max="12037" width="11.8984375" style="1239" customWidth="1"/>
    <col min="12038" max="12038" width="9.3984375" style="1239" customWidth="1"/>
    <col min="12039" max="12039" width="9.59765625" style="1239" customWidth="1"/>
    <col min="12040" max="12040" width="9.19921875" style="1239" customWidth="1"/>
    <col min="12041" max="12041" width="9.59765625" style="1239" customWidth="1"/>
    <col min="12042" max="12042" width="7.8984375" style="1239"/>
    <col min="12043" max="12043" width="9.59765625" style="1239" customWidth="1"/>
    <col min="12044" max="12044" width="15.59765625" style="1239" bestFit="1" customWidth="1"/>
    <col min="12045" max="12288" width="7.8984375" style="1239"/>
    <col min="12289" max="12289" width="6.09765625" style="1239" customWidth="1"/>
    <col min="12290" max="12290" width="32.09765625" style="1239" customWidth="1"/>
    <col min="12291" max="12291" width="8.3984375" style="1239" customWidth="1"/>
    <col min="12292" max="12292" width="10" style="1239" bestFit="1" customWidth="1"/>
    <col min="12293" max="12293" width="11.8984375" style="1239" customWidth="1"/>
    <col min="12294" max="12294" width="9.3984375" style="1239" customWidth="1"/>
    <col min="12295" max="12295" width="9.59765625" style="1239" customWidth="1"/>
    <col min="12296" max="12296" width="9.19921875" style="1239" customWidth="1"/>
    <col min="12297" max="12297" width="9.59765625" style="1239" customWidth="1"/>
    <col min="12298" max="12298" width="7.8984375" style="1239"/>
    <col min="12299" max="12299" width="9.59765625" style="1239" customWidth="1"/>
    <col min="12300" max="12300" width="15.59765625" style="1239" bestFit="1" customWidth="1"/>
    <col min="12301" max="12544" width="7.8984375" style="1239"/>
    <col min="12545" max="12545" width="6.09765625" style="1239" customWidth="1"/>
    <col min="12546" max="12546" width="32.09765625" style="1239" customWidth="1"/>
    <col min="12547" max="12547" width="8.3984375" style="1239" customWidth="1"/>
    <col min="12548" max="12548" width="10" style="1239" bestFit="1" customWidth="1"/>
    <col min="12549" max="12549" width="11.8984375" style="1239" customWidth="1"/>
    <col min="12550" max="12550" width="9.3984375" style="1239" customWidth="1"/>
    <col min="12551" max="12551" width="9.59765625" style="1239" customWidth="1"/>
    <col min="12552" max="12552" width="9.19921875" style="1239" customWidth="1"/>
    <col min="12553" max="12553" width="9.59765625" style="1239" customWidth="1"/>
    <col min="12554" max="12554" width="7.8984375" style="1239"/>
    <col min="12555" max="12555" width="9.59765625" style="1239" customWidth="1"/>
    <col min="12556" max="12556" width="15.59765625" style="1239" bestFit="1" customWidth="1"/>
    <col min="12557" max="12800" width="7.8984375" style="1239"/>
    <col min="12801" max="12801" width="6.09765625" style="1239" customWidth="1"/>
    <col min="12802" max="12802" width="32.09765625" style="1239" customWidth="1"/>
    <col min="12803" max="12803" width="8.3984375" style="1239" customWidth="1"/>
    <col min="12804" max="12804" width="10" style="1239" bestFit="1" customWidth="1"/>
    <col min="12805" max="12805" width="11.8984375" style="1239" customWidth="1"/>
    <col min="12806" max="12806" width="9.3984375" style="1239" customWidth="1"/>
    <col min="12807" max="12807" width="9.59765625" style="1239" customWidth="1"/>
    <col min="12808" max="12808" width="9.19921875" style="1239" customWidth="1"/>
    <col min="12809" max="12809" width="9.59765625" style="1239" customWidth="1"/>
    <col min="12810" max="12810" width="7.8984375" style="1239"/>
    <col min="12811" max="12811" width="9.59765625" style="1239" customWidth="1"/>
    <col min="12812" max="12812" width="15.59765625" style="1239" bestFit="1" customWidth="1"/>
    <col min="12813" max="13056" width="7.8984375" style="1239"/>
    <col min="13057" max="13057" width="6.09765625" style="1239" customWidth="1"/>
    <col min="13058" max="13058" width="32.09765625" style="1239" customWidth="1"/>
    <col min="13059" max="13059" width="8.3984375" style="1239" customWidth="1"/>
    <col min="13060" max="13060" width="10" style="1239" bestFit="1" customWidth="1"/>
    <col min="13061" max="13061" width="11.8984375" style="1239" customWidth="1"/>
    <col min="13062" max="13062" width="9.3984375" style="1239" customWidth="1"/>
    <col min="13063" max="13063" width="9.59765625" style="1239" customWidth="1"/>
    <col min="13064" max="13064" width="9.19921875" style="1239" customWidth="1"/>
    <col min="13065" max="13065" width="9.59765625" style="1239" customWidth="1"/>
    <col min="13066" max="13066" width="7.8984375" style="1239"/>
    <col min="13067" max="13067" width="9.59765625" style="1239" customWidth="1"/>
    <col min="13068" max="13068" width="15.59765625" style="1239" bestFit="1" customWidth="1"/>
    <col min="13069" max="13312" width="7.8984375" style="1239"/>
    <col min="13313" max="13313" width="6.09765625" style="1239" customWidth="1"/>
    <col min="13314" max="13314" width="32.09765625" style="1239" customWidth="1"/>
    <col min="13315" max="13315" width="8.3984375" style="1239" customWidth="1"/>
    <col min="13316" max="13316" width="10" style="1239" bestFit="1" customWidth="1"/>
    <col min="13317" max="13317" width="11.8984375" style="1239" customWidth="1"/>
    <col min="13318" max="13318" width="9.3984375" style="1239" customWidth="1"/>
    <col min="13319" max="13319" width="9.59765625" style="1239" customWidth="1"/>
    <col min="13320" max="13320" width="9.19921875" style="1239" customWidth="1"/>
    <col min="13321" max="13321" width="9.59765625" style="1239" customWidth="1"/>
    <col min="13322" max="13322" width="7.8984375" style="1239"/>
    <col min="13323" max="13323" width="9.59765625" style="1239" customWidth="1"/>
    <col min="13324" max="13324" width="15.59765625" style="1239" bestFit="1" customWidth="1"/>
    <col min="13325" max="13568" width="7.8984375" style="1239"/>
    <col min="13569" max="13569" width="6.09765625" style="1239" customWidth="1"/>
    <col min="13570" max="13570" width="32.09765625" style="1239" customWidth="1"/>
    <col min="13571" max="13571" width="8.3984375" style="1239" customWidth="1"/>
    <col min="13572" max="13572" width="10" style="1239" bestFit="1" customWidth="1"/>
    <col min="13573" max="13573" width="11.8984375" style="1239" customWidth="1"/>
    <col min="13574" max="13574" width="9.3984375" style="1239" customWidth="1"/>
    <col min="13575" max="13575" width="9.59765625" style="1239" customWidth="1"/>
    <col min="13576" max="13576" width="9.19921875" style="1239" customWidth="1"/>
    <col min="13577" max="13577" width="9.59765625" style="1239" customWidth="1"/>
    <col min="13578" max="13578" width="7.8984375" style="1239"/>
    <col min="13579" max="13579" width="9.59765625" style="1239" customWidth="1"/>
    <col min="13580" max="13580" width="15.59765625" style="1239" bestFit="1" customWidth="1"/>
    <col min="13581" max="13824" width="7.8984375" style="1239"/>
    <col min="13825" max="13825" width="6.09765625" style="1239" customWidth="1"/>
    <col min="13826" max="13826" width="32.09765625" style="1239" customWidth="1"/>
    <col min="13827" max="13827" width="8.3984375" style="1239" customWidth="1"/>
    <col min="13828" max="13828" width="10" style="1239" bestFit="1" customWidth="1"/>
    <col min="13829" max="13829" width="11.8984375" style="1239" customWidth="1"/>
    <col min="13830" max="13830" width="9.3984375" style="1239" customWidth="1"/>
    <col min="13831" max="13831" width="9.59765625" style="1239" customWidth="1"/>
    <col min="13832" max="13832" width="9.19921875" style="1239" customWidth="1"/>
    <col min="13833" max="13833" width="9.59765625" style="1239" customWidth="1"/>
    <col min="13834" max="13834" width="7.8984375" style="1239"/>
    <col min="13835" max="13835" width="9.59765625" style="1239" customWidth="1"/>
    <col min="13836" max="13836" width="15.59765625" style="1239" bestFit="1" customWidth="1"/>
    <col min="13837" max="14080" width="7.8984375" style="1239"/>
    <col min="14081" max="14081" width="6.09765625" style="1239" customWidth="1"/>
    <col min="14082" max="14082" width="32.09765625" style="1239" customWidth="1"/>
    <col min="14083" max="14083" width="8.3984375" style="1239" customWidth="1"/>
    <col min="14084" max="14084" width="10" style="1239" bestFit="1" customWidth="1"/>
    <col min="14085" max="14085" width="11.8984375" style="1239" customWidth="1"/>
    <col min="14086" max="14086" width="9.3984375" style="1239" customWidth="1"/>
    <col min="14087" max="14087" width="9.59765625" style="1239" customWidth="1"/>
    <col min="14088" max="14088" width="9.19921875" style="1239" customWidth="1"/>
    <col min="14089" max="14089" width="9.59765625" style="1239" customWidth="1"/>
    <col min="14090" max="14090" width="7.8984375" style="1239"/>
    <col min="14091" max="14091" width="9.59765625" style="1239" customWidth="1"/>
    <col min="14092" max="14092" width="15.59765625" style="1239" bestFit="1" customWidth="1"/>
    <col min="14093" max="14336" width="7.8984375" style="1239"/>
    <col min="14337" max="14337" width="6.09765625" style="1239" customWidth="1"/>
    <col min="14338" max="14338" width="32.09765625" style="1239" customWidth="1"/>
    <col min="14339" max="14339" width="8.3984375" style="1239" customWidth="1"/>
    <col min="14340" max="14340" width="10" style="1239" bestFit="1" customWidth="1"/>
    <col min="14341" max="14341" width="11.8984375" style="1239" customWidth="1"/>
    <col min="14342" max="14342" width="9.3984375" style="1239" customWidth="1"/>
    <col min="14343" max="14343" width="9.59765625" style="1239" customWidth="1"/>
    <col min="14344" max="14344" width="9.19921875" style="1239" customWidth="1"/>
    <col min="14345" max="14345" width="9.59765625" style="1239" customWidth="1"/>
    <col min="14346" max="14346" width="7.8984375" style="1239"/>
    <col min="14347" max="14347" width="9.59765625" style="1239" customWidth="1"/>
    <col min="14348" max="14348" width="15.59765625" style="1239" bestFit="1" customWidth="1"/>
    <col min="14349" max="14592" width="7.8984375" style="1239"/>
    <col min="14593" max="14593" width="6.09765625" style="1239" customWidth="1"/>
    <col min="14594" max="14594" width="32.09765625" style="1239" customWidth="1"/>
    <col min="14595" max="14595" width="8.3984375" style="1239" customWidth="1"/>
    <col min="14596" max="14596" width="10" style="1239" bestFit="1" customWidth="1"/>
    <col min="14597" max="14597" width="11.8984375" style="1239" customWidth="1"/>
    <col min="14598" max="14598" width="9.3984375" style="1239" customWidth="1"/>
    <col min="14599" max="14599" width="9.59765625" style="1239" customWidth="1"/>
    <col min="14600" max="14600" width="9.19921875" style="1239" customWidth="1"/>
    <col min="14601" max="14601" width="9.59765625" style="1239" customWidth="1"/>
    <col min="14602" max="14602" width="7.8984375" style="1239"/>
    <col min="14603" max="14603" width="9.59765625" style="1239" customWidth="1"/>
    <col min="14604" max="14604" width="15.59765625" style="1239" bestFit="1" customWidth="1"/>
    <col min="14605" max="14848" width="7.8984375" style="1239"/>
    <col min="14849" max="14849" width="6.09765625" style="1239" customWidth="1"/>
    <col min="14850" max="14850" width="32.09765625" style="1239" customWidth="1"/>
    <col min="14851" max="14851" width="8.3984375" style="1239" customWidth="1"/>
    <col min="14852" max="14852" width="10" style="1239" bestFit="1" customWidth="1"/>
    <col min="14853" max="14853" width="11.8984375" style="1239" customWidth="1"/>
    <col min="14854" max="14854" width="9.3984375" style="1239" customWidth="1"/>
    <col min="14855" max="14855" width="9.59765625" style="1239" customWidth="1"/>
    <col min="14856" max="14856" width="9.19921875" style="1239" customWidth="1"/>
    <col min="14857" max="14857" width="9.59765625" style="1239" customWidth="1"/>
    <col min="14858" max="14858" width="7.8984375" style="1239"/>
    <col min="14859" max="14859" width="9.59765625" style="1239" customWidth="1"/>
    <col min="14860" max="14860" width="15.59765625" style="1239" bestFit="1" customWidth="1"/>
    <col min="14861" max="15104" width="7.8984375" style="1239"/>
    <col min="15105" max="15105" width="6.09765625" style="1239" customWidth="1"/>
    <col min="15106" max="15106" width="32.09765625" style="1239" customWidth="1"/>
    <col min="15107" max="15107" width="8.3984375" style="1239" customWidth="1"/>
    <col min="15108" max="15108" width="10" style="1239" bestFit="1" customWidth="1"/>
    <col min="15109" max="15109" width="11.8984375" style="1239" customWidth="1"/>
    <col min="15110" max="15110" width="9.3984375" style="1239" customWidth="1"/>
    <col min="15111" max="15111" width="9.59765625" style="1239" customWidth="1"/>
    <col min="15112" max="15112" width="9.19921875" style="1239" customWidth="1"/>
    <col min="15113" max="15113" width="9.59765625" style="1239" customWidth="1"/>
    <col min="15114" max="15114" width="7.8984375" style="1239"/>
    <col min="15115" max="15115" width="9.59765625" style="1239" customWidth="1"/>
    <col min="15116" max="15116" width="15.59765625" style="1239" bestFit="1" customWidth="1"/>
    <col min="15117" max="15360" width="7.8984375" style="1239"/>
    <col min="15361" max="15361" width="6.09765625" style="1239" customWidth="1"/>
    <col min="15362" max="15362" width="32.09765625" style="1239" customWidth="1"/>
    <col min="15363" max="15363" width="8.3984375" style="1239" customWidth="1"/>
    <col min="15364" max="15364" width="10" style="1239" bestFit="1" customWidth="1"/>
    <col min="15365" max="15365" width="11.8984375" style="1239" customWidth="1"/>
    <col min="15366" max="15366" width="9.3984375" style="1239" customWidth="1"/>
    <col min="15367" max="15367" width="9.59765625" style="1239" customWidth="1"/>
    <col min="15368" max="15368" width="9.19921875" style="1239" customWidth="1"/>
    <col min="15369" max="15369" width="9.59765625" style="1239" customWidth="1"/>
    <col min="15370" max="15370" width="7.8984375" style="1239"/>
    <col min="15371" max="15371" width="9.59765625" style="1239" customWidth="1"/>
    <col min="15372" max="15372" width="15.59765625" style="1239" bestFit="1" customWidth="1"/>
    <col min="15373" max="15616" width="7.8984375" style="1239"/>
    <col min="15617" max="15617" width="6.09765625" style="1239" customWidth="1"/>
    <col min="15618" max="15618" width="32.09765625" style="1239" customWidth="1"/>
    <col min="15619" max="15619" width="8.3984375" style="1239" customWidth="1"/>
    <col min="15620" max="15620" width="10" style="1239" bestFit="1" customWidth="1"/>
    <col min="15621" max="15621" width="11.8984375" style="1239" customWidth="1"/>
    <col min="15622" max="15622" width="9.3984375" style="1239" customWidth="1"/>
    <col min="15623" max="15623" width="9.59765625" style="1239" customWidth="1"/>
    <col min="15624" max="15624" width="9.19921875" style="1239" customWidth="1"/>
    <col min="15625" max="15625" width="9.59765625" style="1239" customWidth="1"/>
    <col min="15626" max="15626" width="7.8984375" style="1239"/>
    <col min="15627" max="15627" width="9.59765625" style="1239" customWidth="1"/>
    <col min="15628" max="15628" width="15.59765625" style="1239" bestFit="1" customWidth="1"/>
    <col min="15629" max="15872" width="7.8984375" style="1239"/>
    <col min="15873" max="15873" width="6.09765625" style="1239" customWidth="1"/>
    <col min="15874" max="15874" width="32.09765625" style="1239" customWidth="1"/>
    <col min="15875" max="15875" width="8.3984375" style="1239" customWidth="1"/>
    <col min="15876" max="15876" width="10" style="1239" bestFit="1" customWidth="1"/>
    <col min="15877" max="15877" width="11.8984375" style="1239" customWidth="1"/>
    <col min="15878" max="15878" width="9.3984375" style="1239" customWidth="1"/>
    <col min="15879" max="15879" width="9.59765625" style="1239" customWidth="1"/>
    <col min="15880" max="15880" width="9.19921875" style="1239" customWidth="1"/>
    <col min="15881" max="15881" width="9.59765625" style="1239" customWidth="1"/>
    <col min="15882" max="15882" width="7.8984375" style="1239"/>
    <col min="15883" max="15883" width="9.59765625" style="1239" customWidth="1"/>
    <col min="15884" max="15884" width="15.59765625" style="1239" bestFit="1" customWidth="1"/>
    <col min="15885" max="16128" width="7.8984375" style="1239"/>
    <col min="16129" max="16129" width="6.09765625" style="1239" customWidth="1"/>
    <col min="16130" max="16130" width="32.09765625" style="1239" customWidth="1"/>
    <col min="16131" max="16131" width="8.3984375" style="1239" customWidth="1"/>
    <col min="16132" max="16132" width="10" style="1239" bestFit="1" customWidth="1"/>
    <col min="16133" max="16133" width="11.8984375" style="1239" customWidth="1"/>
    <col min="16134" max="16134" width="9.3984375" style="1239" customWidth="1"/>
    <col min="16135" max="16135" width="9.59765625" style="1239" customWidth="1"/>
    <col min="16136" max="16136" width="9.19921875" style="1239" customWidth="1"/>
    <col min="16137" max="16137" width="9.59765625" style="1239" customWidth="1"/>
    <col min="16138" max="16138" width="7.8984375" style="1239"/>
    <col min="16139" max="16139" width="9.59765625" style="1239" customWidth="1"/>
    <col min="16140" max="16140" width="15.59765625" style="1239" bestFit="1" customWidth="1"/>
    <col min="16141" max="16384" width="7.8984375" style="1239"/>
  </cols>
  <sheetData>
    <row r="1" spans="1:12">
      <c r="A1" s="4325" t="s">
        <v>1531</v>
      </c>
      <c r="B1" s="4325"/>
    </row>
    <row r="3" spans="1:12" ht="36" customHeight="1">
      <c r="A3" s="4326" t="s">
        <v>1812</v>
      </c>
      <c r="B3" s="4325"/>
      <c r="C3" s="4325"/>
      <c r="D3" s="4325"/>
      <c r="E3" s="4325"/>
      <c r="F3" s="4325"/>
      <c r="G3" s="4325"/>
      <c r="H3" s="4325"/>
      <c r="I3" s="4325"/>
      <c r="J3" s="4325"/>
    </row>
    <row r="4" spans="1:12">
      <c r="A4" s="4323"/>
      <c r="B4" s="4323"/>
      <c r="C4" s="4323"/>
      <c r="D4" s="4323"/>
      <c r="E4" s="4323"/>
      <c r="F4" s="4323"/>
      <c r="G4" s="4323"/>
      <c r="H4" s="4323"/>
      <c r="I4" s="4323"/>
      <c r="J4" s="4323"/>
    </row>
    <row r="5" spans="1:12" ht="18.600000000000001" thickBot="1">
      <c r="I5" s="4324" t="s">
        <v>224</v>
      </c>
      <c r="J5" s="4324"/>
    </row>
    <row r="6" spans="1:12" ht="42.6" customHeight="1">
      <c r="A6" s="4319" t="s">
        <v>244</v>
      </c>
      <c r="B6" s="4327" t="s">
        <v>1807</v>
      </c>
      <c r="C6" s="4329" t="s">
        <v>1808</v>
      </c>
      <c r="D6" s="4329" t="s">
        <v>1809</v>
      </c>
      <c r="E6" s="4329" t="s">
        <v>1810</v>
      </c>
      <c r="F6" s="4329" t="s">
        <v>1816</v>
      </c>
      <c r="G6" s="4327"/>
      <c r="H6" s="4329" t="s">
        <v>1815</v>
      </c>
      <c r="I6" s="4327"/>
      <c r="J6" s="4321" t="s">
        <v>395</v>
      </c>
      <c r="L6" s="2040"/>
    </row>
    <row r="7" spans="1:12" ht="34.799999999999997">
      <c r="A7" s="4320"/>
      <c r="B7" s="4328"/>
      <c r="C7" s="4328"/>
      <c r="D7" s="4330"/>
      <c r="E7" s="4330"/>
      <c r="F7" s="1396" t="s">
        <v>1817</v>
      </c>
      <c r="G7" s="1396" t="s">
        <v>1818</v>
      </c>
      <c r="H7" s="1396" t="s">
        <v>1819</v>
      </c>
      <c r="I7" s="1396" t="s">
        <v>1527</v>
      </c>
      <c r="J7" s="4322"/>
      <c r="L7" s="2040"/>
    </row>
    <row r="8" spans="1:12" s="1436" customFormat="1" ht="25.2" customHeight="1">
      <c r="A8" s="1243"/>
      <c r="B8" s="1829" t="s">
        <v>312</v>
      </c>
      <c r="C8" s="1829"/>
      <c r="D8" s="2041"/>
      <c r="E8" s="1396"/>
      <c r="F8" s="2041">
        <f>SUM(F10:F14)</f>
        <v>30000</v>
      </c>
      <c r="G8" s="2041">
        <f>SUM(G10:G14)</f>
        <v>30000</v>
      </c>
      <c r="H8" s="2041">
        <f>SUM(H10:H14)</f>
        <v>30000</v>
      </c>
      <c r="I8" s="2041">
        <f>SUM(I10:I14)</f>
        <v>60000</v>
      </c>
      <c r="J8" s="2042"/>
      <c r="L8" s="2062"/>
    </row>
    <row r="9" spans="1:12" s="2043" customFormat="1" ht="25.2" customHeight="1">
      <c r="A9" s="2046">
        <v>1</v>
      </c>
      <c r="B9" s="2047" t="s">
        <v>334</v>
      </c>
      <c r="C9" s="2047"/>
      <c r="D9" s="2047"/>
      <c r="E9" s="2047"/>
      <c r="F9" s="2047"/>
      <c r="G9" s="2047"/>
      <c r="H9" s="2047"/>
      <c r="I9" s="2047"/>
      <c r="J9" s="2048"/>
    </row>
    <row r="10" spans="1:12" s="1436" customFormat="1" ht="36">
      <c r="A10" s="2049"/>
      <c r="B10" s="2050" t="s">
        <v>1814</v>
      </c>
      <c r="C10" s="2051"/>
      <c r="D10" s="2051">
        <v>851451</v>
      </c>
      <c r="E10" s="2051" t="s">
        <v>1811</v>
      </c>
      <c r="F10" s="2052">
        <v>10000</v>
      </c>
      <c r="G10" s="2052">
        <v>10000</v>
      </c>
      <c r="H10" s="2052">
        <v>10000</v>
      </c>
      <c r="I10" s="2052">
        <v>20000</v>
      </c>
      <c r="J10" s="2053"/>
      <c r="K10" s="2044"/>
    </row>
    <row r="11" spans="1:12" s="2043" customFormat="1" ht="25.2" customHeight="1">
      <c r="A11" s="2054">
        <v>2</v>
      </c>
      <c r="B11" s="2055" t="s">
        <v>335</v>
      </c>
      <c r="C11" s="2056"/>
      <c r="D11" s="2056"/>
      <c r="E11" s="2056"/>
      <c r="F11" s="2052"/>
      <c r="G11" s="2052"/>
      <c r="H11" s="2052"/>
      <c r="I11" s="2052"/>
      <c r="J11" s="2057"/>
      <c r="K11" s="2045"/>
    </row>
    <row r="12" spans="1:12" s="1436" customFormat="1" ht="36">
      <c r="A12" s="2049"/>
      <c r="B12" s="2050" t="s">
        <v>1813</v>
      </c>
      <c r="C12" s="2051"/>
      <c r="D12" s="2051">
        <v>597622</v>
      </c>
      <c r="E12" s="2051" t="s">
        <v>1811</v>
      </c>
      <c r="F12" s="2052">
        <v>10000</v>
      </c>
      <c r="G12" s="2052">
        <v>10000</v>
      </c>
      <c r="H12" s="2052">
        <v>10000</v>
      </c>
      <c r="I12" s="2052">
        <v>20000</v>
      </c>
      <c r="J12" s="2053"/>
      <c r="K12" s="2044"/>
    </row>
    <row r="13" spans="1:12" s="2043" customFormat="1" ht="25.2" customHeight="1">
      <c r="A13" s="2054">
        <v>3</v>
      </c>
      <c r="B13" s="2055" t="s">
        <v>333</v>
      </c>
      <c r="C13" s="2056"/>
      <c r="D13" s="2056"/>
      <c r="E13" s="2056"/>
      <c r="F13" s="2052"/>
      <c r="G13" s="2052"/>
      <c r="H13" s="2052"/>
      <c r="I13" s="2052"/>
      <c r="J13" s="2057"/>
      <c r="K13" s="2045"/>
    </row>
    <row r="14" spans="1:12" s="1436" customFormat="1" ht="54.6" thickBot="1">
      <c r="A14" s="2058"/>
      <c r="B14" s="2063" t="s">
        <v>1820</v>
      </c>
      <c r="C14" s="2059"/>
      <c r="D14" s="2059">
        <v>333326</v>
      </c>
      <c r="E14" s="2059" t="s">
        <v>1811</v>
      </c>
      <c r="F14" s="2060">
        <v>10000</v>
      </c>
      <c r="G14" s="2060">
        <v>10000</v>
      </c>
      <c r="H14" s="2060">
        <v>10000</v>
      </c>
      <c r="I14" s="2060">
        <v>20000</v>
      </c>
      <c r="J14" s="2061"/>
      <c r="K14" s="2044"/>
    </row>
  </sheetData>
  <mergeCells count="12">
    <mergeCell ref="J6:J7"/>
    <mergeCell ref="A4:J4"/>
    <mergeCell ref="I5:J5"/>
    <mergeCell ref="A1:B1"/>
    <mergeCell ref="A3:J3"/>
    <mergeCell ref="A6:A7"/>
    <mergeCell ref="B6:B7"/>
    <mergeCell ref="C6:C7"/>
    <mergeCell ref="D6:D7"/>
    <mergeCell ref="E6:E7"/>
    <mergeCell ref="F6:G6"/>
    <mergeCell ref="H6:I6"/>
  </mergeCells>
  <hyperlinks>
    <hyperlink ref="A6:A7" location="'List danh mục'!A1" display="STT"/>
  </hyperlinks>
  <printOptions horizontalCentered="1"/>
  <pageMargins left="0" right="0" top="0.39370078740157483" bottom="0" header="0.11811023622047245" footer="0.11811023622047245"/>
  <pageSetup paperSize="9" scale="70" orientation="landscape" verticalDpi="0" r:id="rId1"/>
  <headerFooter>
    <oddHeader>&amp;R&amp;A</oddHeader>
    <oddFooter>&amp;C&amp;P/&amp;N</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K16"/>
  <sheetViews>
    <sheetView workbookViewId="0">
      <selection activeCell="A3" sqref="A3:A4"/>
    </sheetView>
  </sheetViews>
  <sheetFormatPr defaultColWidth="9" defaultRowHeight="15.6"/>
  <cols>
    <col min="1" max="1" width="5.19921875" style="246" customWidth="1"/>
    <col min="2" max="2" width="36.5" style="245" customWidth="1"/>
    <col min="3" max="3" width="10" style="245" customWidth="1"/>
    <col min="4" max="4" width="8.59765625" style="245" customWidth="1"/>
    <col min="5" max="5" width="10.19921875" style="245" customWidth="1"/>
    <col min="6" max="6" width="9" style="245" customWidth="1"/>
    <col min="7" max="7" width="9.19921875" style="245" customWidth="1"/>
    <col min="8" max="8" width="9.09765625" style="245" customWidth="1"/>
    <col min="9" max="16384" width="9" style="245"/>
  </cols>
  <sheetData>
    <row r="1" spans="1:11">
      <c r="A1" s="4333" t="s">
        <v>830</v>
      </c>
      <c r="B1" s="4333"/>
      <c r="C1" s="4333"/>
      <c r="D1" s="4333"/>
      <c r="E1" s="4333"/>
      <c r="F1" s="4333"/>
      <c r="G1" s="4333"/>
      <c r="H1" s="4333"/>
      <c r="I1" s="4333"/>
      <c r="J1" s="4333"/>
      <c r="K1" s="4333"/>
    </row>
    <row r="3" spans="1:11" ht="15.9" customHeight="1">
      <c r="A3" s="4277" t="s">
        <v>244</v>
      </c>
      <c r="B3" s="4334" t="s">
        <v>791</v>
      </c>
      <c r="C3" s="4334" t="s">
        <v>831</v>
      </c>
      <c r="D3" s="4334"/>
      <c r="E3" s="4334"/>
      <c r="F3" s="4334"/>
      <c r="G3" s="4334" t="s">
        <v>832</v>
      </c>
      <c r="H3" s="4334"/>
      <c r="I3" s="4334"/>
      <c r="J3" s="4334" t="s">
        <v>833</v>
      </c>
      <c r="K3" s="4334" t="s">
        <v>395</v>
      </c>
    </row>
    <row r="4" spans="1:11" ht="78">
      <c r="A4" s="4277"/>
      <c r="B4" s="4334"/>
      <c r="C4" s="249" t="s">
        <v>834</v>
      </c>
      <c r="D4" s="249" t="s">
        <v>835</v>
      </c>
      <c r="E4" s="249" t="s">
        <v>836</v>
      </c>
      <c r="F4" s="249" t="s">
        <v>837</v>
      </c>
      <c r="G4" s="249" t="s">
        <v>838</v>
      </c>
      <c r="H4" s="249" t="s">
        <v>836</v>
      </c>
      <c r="I4" s="249" t="s">
        <v>839</v>
      </c>
      <c r="J4" s="4334"/>
      <c r="K4" s="4334"/>
    </row>
    <row r="5" spans="1:11">
      <c r="A5" s="249">
        <v>1</v>
      </c>
      <c r="B5" s="249">
        <v>2</v>
      </c>
      <c r="C5" s="249">
        <v>3</v>
      </c>
      <c r="D5" s="249"/>
      <c r="E5" s="249"/>
      <c r="F5" s="249">
        <v>4</v>
      </c>
      <c r="G5" s="249">
        <v>5</v>
      </c>
      <c r="H5" s="249"/>
      <c r="I5" s="249">
        <v>6</v>
      </c>
      <c r="J5" s="249">
        <v>7</v>
      </c>
      <c r="K5" s="249">
        <v>8</v>
      </c>
    </row>
    <row r="6" spans="1:11" ht="46.8">
      <c r="A6" s="794">
        <v>1</v>
      </c>
      <c r="B6" s="795" t="s">
        <v>840</v>
      </c>
      <c r="C6" s="796">
        <v>17203.289000000004</v>
      </c>
      <c r="D6" s="796"/>
      <c r="E6" s="796">
        <v>34795</v>
      </c>
      <c r="F6" s="796">
        <v>6944</v>
      </c>
      <c r="G6" s="796"/>
      <c r="H6" s="796">
        <v>11361</v>
      </c>
      <c r="I6" s="796">
        <v>5247.8249999999998</v>
      </c>
      <c r="J6" s="796">
        <f>+C6+E6+F6-H6-I6</f>
        <v>42333.464000000007</v>
      </c>
      <c r="K6" s="797"/>
    </row>
    <row r="7" spans="1:11" ht="140.4">
      <c r="A7" s="251">
        <v>2</v>
      </c>
      <c r="B7" s="798" t="s">
        <v>841</v>
      </c>
      <c r="C7" s="799">
        <v>64550</v>
      </c>
      <c r="D7" s="799">
        <v>220096</v>
      </c>
      <c r="E7" s="799">
        <v>36121</v>
      </c>
      <c r="F7" s="799">
        <v>99696</v>
      </c>
      <c r="G7" s="799">
        <v>185647</v>
      </c>
      <c r="H7" s="799">
        <v>72878</v>
      </c>
      <c r="I7" s="799">
        <v>24865</v>
      </c>
      <c r="J7" s="799">
        <f>+C7+D7+E7+F7-G7-H7-I7</f>
        <v>137073</v>
      </c>
      <c r="K7" s="800" t="s">
        <v>842</v>
      </c>
    </row>
    <row r="8" spans="1:11">
      <c r="A8" s="251">
        <v>3</v>
      </c>
      <c r="B8" s="801" t="s">
        <v>843</v>
      </c>
      <c r="C8" s="799"/>
      <c r="D8" s="799"/>
      <c r="E8" s="799"/>
      <c r="F8" s="799"/>
      <c r="G8" s="799"/>
      <c r="H8" s="799"/>
      <c r="I8" s="799"/>
      <c r="J8" s="799"/>
      <c r="K8" s="800"/>
    </row>
    <row r="9" spans="1:11" ht="31.2">
      <c r="A9" s="251">
        <v>4</v>
      </c>
      <c r="B9" s="801" t="s">
        <v>844</v>
      </c>
      <c r="C9" s="799">
        <v>1719.92</v>
      </c>
      <c r="D9" s="799"/>
      <c r="E9" s="799"/>
      <c r="F9" s="799"/>
      <c r="G9" s="799">
        <v>922</v>
      </c>
      <c r="H9" s="799"/>
      <c r="I9" s="799"/>
      <c r="J9" s="799">
        <f>+C9+F9-G9-I9</f>
        <v>797.92000000000007</v>
      </c>
      <c r="K9" s="800"/>
    </row>
    <row r="10" spans="1:11" ht="46.8">
      <c r="A10" s="251">
        <v>5</v>
      </c>
      <c r="B10" s="801" t="s">
        <v>845</v>
      </c>
      <c r="C10" s="799">
        <v>14306</v>
      </c>
      <c r="D10" s="799">
        <v>14187</v>
      </c>
      <c r="E10" s="799"/>
      <c r="F10" s="799"/>
      <c r="G10" s="799">
        <v>7503</v>
      </c>
      <c r="H10" s="799"/>
      <c r="I10" s="799">
        <v>156</v>
      </c>
      <c r="J10" s="799">
        <f>+C10+D10-G10-I10</f>
        <v>20834</v>
      </c>
      <c r="K10" s="800"/>
    </row>
    <row r="11" spans="1:11" ht="46.8">
      <c r="A11" s="251">
        <v>6</v>
      </c>
      <c r="B11" s="802" t="s">
        <v>846</v>
      </c>
      <c r="C11" s="799">
        <v>-1618</v>
      </c>
      <c r="D11" s="799">
        <v>1144</v>
      </c>
      <c r="E11" s="799">
        <v>2037</v>
      </c>
      <c r="F11" s="799">
        <v>2200</v>
      </c>
      <c r="G11" s="799">
        <v>1175</v>
      </c>
      <c r="H11" s="799">
        <v>298</v>
      </c>
      <c r="I11" s="799">
        <v>500</v>
      </c>
      <c r="J11" s="799">
        <f>+C11+D11+E11+F11-G11-H11-I11</f>
        <v>1790</v>
      </c>
      <c r="K11" s="800"/>
    </row>
    <row r="12" spans="1:11" ht="72">
      <c r="A12" s="251">
        <v>7</v>
      </c>
      <c r="B12" s="803" t="s">
        <v>847</v>
      </c>
      <c r="C12" s="799">
        <v>-19927</v>
      </c>
      <c r="D12" s="799"/>
      <c r="E12" s="799"/>
      <c r="F12" s="799">
        <v>21454</v>
      </c>
      <c r="G12" s="799"/>
      <c r="H12" s="799"/>
      <c r="I12" s="799"/>
      <c r="J12" s="799">
        <f>+C12+D12+E12+F12-G12-H12-I12</f>
        <v>1527</v>
      </c>
      <c r="K12" s="800"/>
    </row>
    <row r="13" spans="1:11" ht="126">
      <c r="A13" s="251">
        <v>8</v>
      </c>
      <c r="B13" s="803" t="s">
        <v>848</v>
      </c>
      <c r="C13" s="799">
        <v>-3729.03</v>
      </c>
      <c r="D13" s="799"/>
      <c r="E13" s="799"/>
      <c r="F13" s="799">
        <v>14915</v>
      </c>
      <c r="G13" s="799"/>
      <c r="H13" s="799"/>
      <c r="I13" s="799">
        <v>1832.01</v>
      </c>
      <c r="J13" s="799">
        <f>+C13+D13+E13+F13-G13-H13-I13</f>
        <v>9353.9599999999991</v>
      </c>
      <c r="K13" s="800"/>
    </row>
    <row r="14" spans="1:11">
      <c r="A14" s="4331" t="s">
        <v>849</v>
      </c>
      <c r="B14" s="4331"/>
      <c r="C14" s="804">
        <f>+C6+C7+C8+C9+C10+C11+C12+C13</f>
        <v>72505.179000000004</v>
      </c>
      <c r="D14" s="804">
        <f t="shared" ref="D14:J14" si="0">+D6+D7+D8+D9+D10+D11+D12+D13</f>
        <v>235427</v>
      </c>
      <c r="E14" s="804">
        <f t="shared" si="0"/>
        <v>72953</v>
      </c>
      <c r="F14" s="804">
        <f t="shared" si="0"/>
        <v>145209</v>
      </c>
      <c r="G14" s="804">
        <f t="shared" si="0"/>
        <v>195247</v>
      </c>
      <c r="H14" s="804">
        <f t="shared" si="0"/>
        <v>84537</v>
      </c>
      <c r="I14" s="804">
        <f t="shared" si="0"/>
        <v>32600.834999999999</v>
      </c>
      <c r="J14" s="804">
        <f t="shared" si="0"/>
        <v>213709.34400000001</v>
      </c>
      <c r="K14" s="805"/>
    </row>
    <row r="16" spans="1:11">
      <c r="A16" s="245"/>
      <c r="B16" s="4332" t="s">
        <v>850</v>
      </c>
      <c r="C16" s="4332"/>
      <c r="D16" s="4332"/>
      <c r="E16" s="4332"/>
      <c r="F16" s="4332"/>
      <c r="G16" s="4332"/>
      <c r="H16" s="4332"/>
      <c r="I16" s="4332"/>
      <c r="J16" s="4332"/>
    </row>
  </sheetData>
  <mergeCells count="9">
    <mergeCell ref="A14:B14"/>
    <mergeCell ref="B16:J16"/>
    <mergeCell ref="A1:K1"/>
    <mergeCell ref="A3:A4"/>
    <mergeCell ref="B3:B4"/>
    <mergeCell ref="C3:F3"/>
    <mergeCell ref="G3:I3"/>
    <mergeCell ref="J3:J4"/>
    <mergeCell ref="K3:K4"/>
  </mergeCells>
  <hyperlinks>
    <hyperlink ref="A3:A4" location="'List danh mục'!A1" display="STT"/>
  </hyperlinks>
  <pageMargins left="0.7" right="0.7" top="0.75" bottom="0.75" header="0.3" footer="0.3"/>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J65"/>
  <sheetViews>
    <sheetView workbookViewId="0">
      <selection activeCell="A4" sqref="A4:A5"/>
    </sheetView>
  </sheetViews>
  <sheetFormatPr defaultRowHeight="17.399999999999999"/>
  <cols>
    <col min="1" max="1" width="5.59765625" style="738" bestFit="1" customWidth="1"/>
    <col min="2" max="2" width="38.09765625" style="734" customWidth="1"/>
    <col min="3" max="3" width="9.5" style="734" customWidth="1"/>
    <col min="4" max="4" width="11.19921875" style="734" customWidth="1"/>
    <col min="5" max="5" width="10.5" style="734" customWidth="1"/>
    <col min="6" max="6" width="14.5" style="734" customWidth="1"/>
    <col min="7" max="7" width="11.09765625" style="734" customWidth="1"/>
    <col min="8" max="8" width="10.59765625" style="734" customWidth="1"/>
    <col min="9" max="10" width="10" style="734" bestFit="1" customWidth="1"/>
    <col min="11" max="256" width="8.69921875" style="734"/>
    <col min="257" max="257" width="5.59765625" style="734" bestFit="1" customWidth="1"/>
    <col min="258" max="258" width="38.09765625" style="734" customWidth="1"/>
    <col min="259" max="259" width="9.5" style="734" customWidth="1"/>
    <col min="260" max="260" width="11.19921875" style="734" customWidth="1"/>
    <col min="261" max="261" width="10.5" style="734" customWidth="1"/>
    <col min="262" max="262" width="14.5" style="734" customWidth="1"/>
    <col min="263" max="263" width="11.09765625" style="734" customWidth="1"/>
    <col min="264" max="264" width="10.59765625" style="734" customWidth="1"/>
    <col min="265" max="265" width="11" style="734" customWidth="1"/>
    <col min="266" max="512" width="8.69921875" style="734"/>
    <col min="513" max="513" width="5.59765625" style="734" bestFit="1" customWidth="1"/>
    <col min="514" max="514" width="38.09765625" style="734" customWidth="1"/>
    <col min="515" max="515" width="9.5" style="734" customWidth="1"/>
    <col min="516" max="516" width="11.19921875" style="734" customWidth="1"/>
    <col min="517" max="517" width="10.5" style="734" customWidth="1"/>
    <col min="518" max="518" width="14.5" style="734" customWidth="1"/>
    <col min="519" max="519" width="11.09765625" style="734" customWidth="1"/>
    <col min="520" max="520" width="10.59765625" style="734" customWidth="1"/>
    <col min="521" max="521" width="11" style="734" customWidth="1"/>
    <col min="522" max="768" width="8.69921875" style="734"/>
    <col min="769" max="769" width="5.59765625" style="734" bestFit="1" customWidth="1"/>
    <col min="770" max="770" width="38.09765625" style="734" customWidth="1"/>
    <col min="771" max="771" width="9.5" style="734" customWidth="1"/>
    <col min="772" max="772" width="11.19921875" style="734" customWidth="1"/>
    <col min="773" max="773" width="10.5" style="734" customWidth="1"/>
    <col min="774" max="774" width="14.5" style="734" customWidth="1"/>
    <col min="775" max="775" width="11.09765625" style="734" customWidth="1"/>
    <col min="776" max="776" width="10.59765625" style="734" customWidth="1"/>
    <col min="777" max="777" width="11" style="734" customWidth="1"/>
    <col min="778" max="1024" width="8.69921875" style="734"/>
    <col min="1025" max="1025" width="5.59765625" style="734" bestFit="1" customWidth="1"/>
    <col min="1026" max="1026" width="38.09765625" style="734" customWidth="1"/>
    <col min="1027" max="1027" width="9.5" style="734" customWidth="1"/>
    <col min="1028" max="1028" width="11.19921875" style="734" customWidth="1"/>
    <col min="1029" max="1029" width="10.5" style="734" customWidth="1"/>
    <col min="1030" max="1030" width="14.5" style="734" customWidth="1"/>
    <col min="1031" max="1031" width="11.09765625" style="734" customWidth="1"/>
    <col min="1032" max="1032" width="10.59765625" style="734" customWidth="1"/>
    <col min="1033" max="1033" width="11" style="734" customWidth="1"/>
    <col min="1034" max="1280" width="8.69921875" style="734"/>
    <col min="1281" max="1281" width="5.59765625" style="734" bestFit="1" customWidth="1"/>
    <col min="1282" max="1282" width="38.09765625" style="734" customWidth="1"/>
    <col min="1283" max="1283" width="9.5" style="734" customWidth="1"/>
    <col min="1284" max="1284" width="11.19921875" style="734" customWidth="1"/>
    <col min="1285" max="1285" width="10.5" style="734" customWidth="1"/>
    <col min="1286" max="1286" width="14.5" style="734" customWidth="1"/>
    <col min="1287" max="1287" width="11.09765625" style="734" customWidth="1"/>
    <col min="1288" max="1288" width="10.59765625" style="734" customWidth="1"/>
    <col min="1289" max="1289" width="11" style="734" customWidth="1"/>
    <col min="1290" max="1536" width="8.69921875" style="734"/>
    <col min="1537" max="1537" width="5.59765625" style="734" bestFit="1" customWidth="1"/>
    <col min="1538" max="1538" width="38.09765625" style="734" customWidth="1"/>
    <col min="1539" max="1539" width="9.5" style="734" customWidth="1"/>
    <col min="1540" max="1540" width="11.19921875" style="734" customWidth="1"/>
    <col min="1541" max="1541" width="10.5" style="734" customWidth="1"/>
    <col min="1542" max="1542" width="14.5" style="734" customWidth="1"/>
    <col min="1543" max="1543" width="11.09765625" style="734" customWidth="1"/>
    <col min="1544" max="1544" width="10.59765625" style="734" customWidth="1"/>
    <col min="1545" max="1545" width="11" style="734" customWidth="1"/>
    <col min="1546" max="1792" width="8.69921875" style="734"/>
    <col min="1793" max="1793" width="5.59765625" style="734" bestFit="1" customWidth="1"/>
    <col min="1794" max="1794" width="38.09765625" style="734" customWidth="1"/>
    <col min="1795" max="1795" width="9.5" style="734" customWidth="1"/>
    <col min="1796" max="1796" width="11.19921875" style="734" customWidth="1"/>
    <col min="1797" max="1797" width="10.5" style="734" customWidth="1"/>
    <col min="1798" max="1798" width="14.5" style="734" customWidth="1"/>
    <col min="1799" max="1799" width="11.09765625" style="734" customWidth="1"/>
    <col min="1800" max="1800" width="10.59765625" style="734" customWidth="1"/>
    <col min="1801" max="1801" width="11" style="734" customWidth="1"/>
    <col min="1802" max="2048" width="8.69921875" style="734"/>
    <col min="2049" max="2049" width="5.59765625" style="734" bestFit="1" customWidth="1"/>
    <col min="2050" max="2050" width="38.09765625" style="734" customWidth="1"/>
    <col min="2051" max="2051" width="9.5" style="734" customWidth="1"/>
    <col min="2052" max="2052" width="11.19921875" style="734" customWidth="1"/>
    <col min="2053" max="2053" width="10.5" style="734" customWidth="1"/>
    <col min="2054" max="2054" width="14.5" style="734" customWidth="1"/>
    <col min="2055" max="2055" width="11.09765625" style="734" customWidth="1"/>
    <col min="2056" max="2056" width="10.59765625" style="734" customWidth="1"/>
    <col min="2057" max="2057" width="11" style="734" customWidth="1"/>
    <col min="2058" max="2304" width="8.69921875" style="734"/>
    <col min="2305" max="2305" width="5.59765625" style="734" bestFit="1" customWidth="1"/>
    <col min="2306" max="2306" width="38.09765625" style="734" customWidth="1"/>
    <col min="2307" max="2307" width="9.5" style="734" customWidth="1"/>
    <col min="2308" max="2308" width="11.19921875" style="734" customWidth="1"/>
    <col min="2309" max="2309" width="10.5" style="734" customWidth="1"/>
    <col min="2310" max="2310" width="14.5" style="734" customWidth="1"/>
    <col min="2311" max="2311" width="11.09765625" style="734" customWidth="1"/>
    <col min="2312" max="2312" width="10.59765625" style="734" customWidth="1"/>
    <col min="2313" max="2313" width="11" style="734" customWidth="1"/>
    <col min="2314" max="2560" width="8.69921875" style="734"/>
    <col min="2561" max="2561" width="5.59765625" style="734" bestFit="1" customWidth="1"/>
    <col min="2562" max="2562" width="38.09765625" style="734" customWidth="1"/>
    <col min="2563" max="2563" width="9.5" style="734" customWidth="1"/>
    <col min="2564" max="2564" width="11.19921875" style="734" customWidth="1"/>
    <col min="2565" max="2565" width="10.5" style="734" customWidth="1"/>
    <col min="2566" max="2566" width="14.5" style="734" customWidth="1"/>
    <col min="2567" max="2567" width="11.09765625" style="734" customWidth="1"/>
    <col min="2568" max="2568" width="10.59765625" style="734" customWidth="1"/>
    <col min="2569" max="2569" width="11" style="734" customWidth="1"/>
    <col min="2570" max="2816" width="8.69921875" style="734"/>
    <col min="2817" max="2817" width="5.59765625" style="734" bestFit="1" customWidth="1"/>
    <col min="2818" max="2818" width="38.09765625" style="734" customWidth="1"/>
    <col min="2819" max="2819" width="9.5" style="734" customWidth="1"/>
    <col min="2820" max="2820" width="11.19921875" style="734" customWidth="1"/>
    <col min="2821" max="2821" width="10.5" style="734" customWidth="1"/>
    <col min="2822" max="2822" width="14.5" style="734" customWidth="1"/>
    <col min="2823" max="2823" width="11.09765625" style="734" customWidth="1"/>
    <col min="2824" max="2824" width="10.59765625" style="734" customWidth="1"/>
    <col min="2825" max="2825" width="11" style="734" customWidth="1"/>
    <col min="2826" max="3072" width="8.69921875" style="734"/>
    <col min="3073" max="3073" width="5.59765625" style="734" bestFit="1" customWidth="1"/>
    <col min="3074" max="3074" width="38.09765625" style="734" customWidth="1"/>
    <col min="3075" max="3075" width="9.5" style="734" customWidth="1"/>
    <col min="3076" max="3076" width="11.19921875" style="734" customWidth="1"/>
    <col min="3077" max="3077" width="10.5" style="734" customWidth="1"/>
    <col min="3078" max="3078" width="14.5" style="734" customWidth="1"/>
    <col min="3079" max="3079" width="11.09765625" style="734" customWidth="1"/>
    <col min="3080" max="3080" width="10.59765625" style="734" customWidth="1"/>
    <col min="3081" max="3081" width="11" style="734" customWidth="1"/>
    <col min="3082" max="3328" width="8.69921875" style="734"/>
    <col min="3329" max="3329" width="5.59765625" style="734" bestFit="1" customWidth="1"/>
    <col min="3330" max="3330" width="38.09765625" style="734" customWidth="1"/>
    <col min="3331" max="3331" width="9.5" style="734" customWidth="1"/>
    <col min="3332" max="3332" width="11.19921875" style="734" customWidth="1"/>
    <col min="3333" max="3333" width="10.5" style="734" customWidth="1"/>
    <col min="3334" max="3334" width="14.5" style="734" customWidth="1"/>
    <col min="3335" max="3335" width="11.09765625" style="734" customWidth="1"/>
    <col min="3336" max="3336" width="10.59765625" style="734" customWidth="1"/>
    <col min="3337" max="3337" width="11" style="734" customWidth="1"/>
    <col min="3338" max="3584" width="8.69921875" style="734"/>
    <col min="3585" max="3585" width="5.59765625" style="734" bestFit="1" customWidth="1"/>
    <col min="3586" max="3586" width="38.09765625" style="734" customWidth="1"/>
    <col min="3587" max="3587" width="9.5" style="734" customWidth="1"/>
    <col min="3588" max="3588" width="11.19921875" style="734" customWidth="1"/>
    <col min="3589" max="3589" width="10.5" style="734" customWidth="1"/>
    <col min="3590" max="3590" width="14.5" style="734" customWidth="1"/>
    <col min="3591" max="3591" width="11.09765625" style="734" customWidth="1"/>
    <col min="3592" max="3592" width="10.59765625" style="734" customWidth="1"/>
    <col min="3593" max="3593" width="11" style="734" customWidth="1"/>
    <col min="3594" max="3840" width="8.69921875" style="734"/>
    <col min="3841" max="3841" width="5.59765625" style="734" bestFit="1" customWidth="1"/>
    <col min="3842" max="3842" width="38.09765625" style="734" customWidth="1"/>
    <col min="3843" max="3843" width="9.5" style="734" customWidth="1"/>
    <col min="3844" max="3844" width="11.19921875" style="734" customWidth="1"/>
    <col min="3845" max="3845" width="10.5" style="734" customWidth="1"/>
    <col min="3846" max="3846" width="14.5" style="734" customWidth="1"/>
    <col min="3847" max="3847" width="11.09765625" style="734" customWidth="1"/>
    <col min="3848" max="3848" width="10.59765625" style="734" customWidth="1"/>
    <col min="3849" max="3849" width="11" style="734" customWidth="1"/>
    <col min="3850" max="4096" width="8.69921875" style="734"/>
    <col min="4097" max="4097" width="5.59765625" style="734" bestFit="1" customWidth="1"/>
    <col min="4098" max="4098" width="38.09765625" style="734" customWidth="1"/>
    <col min="4099" max="4099" width="9.5" style="734" customWidth="1"/>
    <col min="4100" max="4100" width="11.19921875" style="734" customWidth="1"/>
    <col min="4101" max="4101" width="10.5" style="734" customWidth="1"/>
    <col min="4102" max="4102" width="14.5" style="734" customWidth="1"/>
    <col min="4103" max="4103" width="11.09765625" style="734" customWidth="1"/>
    <col min="4104" max="4104" width="10.59765625" style="734" customWidth="1"/>
    <col min="4105" max="4105" width="11" style="734" customWidth="1"/>
    <col min="4106" max="4352" width="8.69921875" style="734"/>
    <col min="4353" max="4353" width="5.59765625" style="734" bestFit="1" customWidth="1"/>
    <col min="4354" max="4354" width="38.09765625" style="734" customWidth="1"/>
    <col min="4355" max="4355" width="9.5" style="734" customWidth="1"/>
    <col min="4356" max="4356" width="11.19921875" style="734" customWidth="1"/>
    <col min="4357" max="4357" width="10.5" style="734" customWidth="1"/>
    <col min="4358" max="4358" width="14.5" style="734" customWidth="1"/>
    <col min="4359" max="4359" width="11.09765625" style="734" customWidth="1"/>
    <col min="4360" max="4360" width="10.59765625" style="734" customWidth="1"/>
    <col min="4361" max="4361" width="11" style="734" customWidth="1"/>
    <col min="4362" max="4608" width="8.69921875" style="734"/>
    <col min="4609" max="4609" width="5.59765625" style="734" bestFit="1" customWidth="1"/>
    <col min="4610" max="4610" width="38.09765625" style="734" customWidth="1"/>
    <col min="4611" max="4611" width="9.5" style="734" customWidth="1"/>
    <col min="4612" max="4612" width="11.19921875" style="734" customWidth="1"/>
    <col min="4613" max="4613" width="10.5" style="734" customWidth="1"/>
    <col min="4614" max="4614" width="14.5" style="734" customWidth="1"/>
    <col min="4615" max="4615" width="11.09765625" style="734" customWidth="1"/>
    <col min="4616" max="4616" width="10.59765625" style="734" customWidth="1"/>
    <col min="4617" max="4617" width="11" style="734" customWidth="1"/>
    <col min="4618" max="4864" width="8.69921875" style="734"/>
    <col min="4865" max="4865" width="5.59765625" style="734" bestFit="1" customWidth="1"/>
    <col min="4866" max="4866" width="38.09765625" style="734" customWidth="1"/>
    <col min="4867" max="4867" width="9.5" style="734" customWidth="1"/>
    <col min="4868" max="4868" width="11.19921875" style="734" customWidth="1"/>
    <col min="4869" max="4869" width="10.5" style="734" customWidth="1"/>
    <col min="4870" max="4870" width="14.5" style="734" customWidth="1"/>
    <col min="4871" max="4871" width="11.09765625" style="734" customWidth="1"/>
    <col min="4872" max="4872" width="10.59765625" style="734" customWidth="1"/>
    <col min="4873" max="4873" width="11" style="734" customWidth="1"/>
    <col min="4874" max="5120" width="8.69921875" style="734"/>
    <col min="5121" max="5121" width="5.59765625" style="734" bestFit="1" customWidth="1"/>
    <col min="5122" max="5122" width="38.09765625" style="734" customWidth="1"/>
    <col min="5123" max="5123" width="9.5" style="734" customWidth="1"/>
    <col min="5124" max="5124" width="11.19921875" style="734" customWidth="1"/>
    <col min="5125" max="5125" width="10.5" style="734" customWidth="1"/>
    <col min="5126" max="5126" width="14.5" style="734" customWidth="1"/>
    <col min="5127" max="5127" width="11.09765625" style="734" customWidth="1"/>
    <col min="5128" max="5128" width="10.59765625" style="734" customWidth="1"/>
    <col min="5129" max="5129" width="11" style="734" customWidth="1"/>
    <col min="5130" max="5376" width="8.69921875" style="734"/>
    <col min="5377" max="5377" width="5.59765625" style="734" bestFit="1" customWidth="1"/>
    <col min="5378" max="5378" width="38.09765625" style="734" customWidth="1"/>
    <col min="5379" max="5379" width="9.5" style="734" customWidth="1"/>
    <col min="5380" max="5380" width="11.19921875" style="734" customWidth="1"/>
    <col min="5381" max="5381" width="10.5" style="734" customWidth="1"/>
    <col min="5382" max="5382" width="14.5" style="734" customWidth="1"/>
    <col min="5383" max="5383" width="11.09765625" style="734" customWidth="1"/>
    <col min="5384" max="5384" width="10.59765625" style="734" customWidth="1"/>
    <col min="5385" max="5385" width="11" style="734" customWidth="1"/>
    <col min="5386" max="5632" width="8.69921875" style="734"/>
    <col min="5633" max="5633" width="5.59765625" style="734" bestFit="1" customWidth="1"/>
    <col min="5634" max="5634" width="38.09765625" style="734" customWidth="1"/>
    <col min="5635" max="5635" width="9.5" style="734" customWidth="1"/>
    <col min="5636" max="5636" width="11.19921875" style="734" customWidth="1"/>
    <col min="5637" max="5637" width="10.5" style="734" customWidth="1"/>
    <col min="5638" max="5638" width="14.5" style="734" customWidth="1"/>
    <col min="5639" max="5639" width="11.09765625" style="734" customWidth="1"/>
    <col min="5640" max="5640" width="10.59765625" style="734" customWidth="1"/>
    <col min="5641" max="5641" width="11" style="734" customWidth="1"/>
    <col min="5642" max="5888" width="8.69921875" style="734"/>
    <col min="5889" max="5889" width="5.59765625" style="734" bestFit="1" customWidth="1"/>
    <col min="5890" max="5890" width="38.09765625" style="734" customWidth="1"/>
    <col min="5891" max="5891" width="9.5" style="734" customWidth="1"/>
    <col min="5892" max="5892" width="11.19921875" style="734" customWidth="1"/>
    <col min="5893" max="5893" width="10.5" style="734" customWidth="1"/>
    <col min="5894" max="5894" width="14.5" style="734" customWidth="1"/>
    <col min="5895" max="5895" width="11.09765625" style="734" customWidth="1"/>
    <col min="5896" max="5896" width="10.59765625" style="734" customWidth="1"/>
    <col min="5897" max="5897" width="11" style="734" customWidth="1"/>
    <col min="5898" max="6144" width="8.69921875" style="734"/>
    <col min="6145" max="6145" width="5.59765625" style="734" bestFit="1" customWidth="1"/>
    <col min="6146" max="6146" width="38.09765625" style="734" customWidth="1"/>
    <col min="6147" max="6147" width="9.5" style="734" customWidth="1"/>
    <col min="6148" max="6148" width="11.19921875" style="734" customWidth="1"/>
    <col min="6149" max="6149" width="10.5" style="734" customWidth="1"/>
    <col min="6150" max="6150" width="14.5" style="734" customWidth="1"/>
    <col min="6151" max="6151" width="11.09765625" style="734" customWidth="1"/>
    <col min="6152" max="6152" width="10.59765625" style="734" customWidth="1"/>
    <col min="6153" max="6153" width="11" style="734" customWidth="1"/>
    <col min="6154" max="6400" width="8.69921875" style="734"/>
    <col min="6401" max="6401" width="5.59765625" style="734" bestFit="1" customWidth="1"/>
    <col min="6402" max="6402" width="38.09765625" style="734" customWidth="1"/>
    <col min="6403" max="6403" width="9.5" style="734" customWidth="1"/>
    <col min="6404" max="6404" width="11.19921875" style="734" customWidth="1"/>
    <col min="6405" max="6405" width="10.5" style="734" customWidth="1"/>
    <col min="6406" max="6406" width="14.5" style="734" customWidth="1"/>
    <col min="6407" max="6407" width="11.09765625" style="734" customWidth="1"/>
    <col min="6408" max="6408" width="10.59765625" style="734" customWidth="1"/>
    <col min="6409" max="6409" width="11" style="734" customWidth="1"/>
    <col min="6410" max="6656" width="8.69921875" style="734"/>
    <col min="6657" max="6657" width="5.59765625" style="734" bestFit="1" customWidth="1"/>
    <col min="6658" max="6658" width="38.09765625" style="734" customWidth="1"/>
    <col min="6659" max="6659" width="9.5" style="734" customWidth="1"/>
    <col min="6660" max="6660" width="11.19921875" style="734" customWidth="1"/>
    <col min="6661" max="6661" width="10.5" style="734" customWidth="1"/>
    <col min="6662" max="6662" width="14.5" style="734" customWidth="1"/>
    <col min="6663" max="6663" width="11.09765625" style="734" customWidth="1"/>
    <col min="6664" max="6664" width="10.59765625" style="734" customWidth="1"/>
    <col min="6665" max="6665" width="11" style="734" customWidth="1"/>
    <col min="6666" max="6912" width="8.69921875" style="734"/>
    <col min="6913" max="6913" width="5.59765625" style="734" bestFit="1" customWidth="1"/>
    <col min="6914" max="6914" width="38.09765625" style="734" customWidth="1"/>
    <col min="6915" max="6915" width="9.5" style="734" customWidth="1"/>
    <col min="6916" max="6916" width="11.19921875" style="734" customWidth="1"/>
    <col min="6917" max="6917" width="10.5" style="734" customWidth="1"/>
    <col min="6918" max="6918" width="14.5" style="734" customWidth="1"/>
    <col min="6919" max="6919" width="11.09765625" style="734" customWidth="1"/>
    <col min="6920" max="6920" width="10.59765625" style="734" customWidth="1"/>
    <col min="6921" max="6921" width="11" style="734" customWidth="1"/>
    <col min="6922" max="7168" width="8.69921875" style="734"/>
    <col min="7169" max="7169" width="5.59765625" style="734" bestFit="1" customWidth="1"/>
    <col min="7170" max="7170" width="38.09765625" style="734" customWidth="1"/>
    <col min="7171" max="7171" width="9.5" style="734" customWidth="1"/>
    <col min="7172" max="7172" width="11.19921875" style="734" customWidth="1"/>
    <col min="7173" max="7173" width="10.5" style="734" customWidth="1"/>
    <col min="7174" max="7174" width="14.5" style="734" customWidth="1"/>
    <col min="7175" max="7175" width="11.09765625" style="734" customWidth="1"/>
    <col min="7176" max="7176" width="10.59765625" style="734" customWidth="1"/>
    <col min="7177" max="7177" width="11" style="734" customWidth="1"/>
    <col min="7178" max="7424" width="8.69921875" style="734"/>
    <col min="7425" max="7425" width="5.59765625" style="734" bestFit="1" customWidth="1"/>
    <col min="7426" max="7426" width="38.09765625" style="734" customWidth="1"/>
    <col min="7427" max="7427" width="9.5" style="734" customWidth="1"/>
    <col min="7428" max="7428" width="11.19921875" style="734" customWidth="1"/>
    <col min="7429" max="7429" width="10.5" style="734" customWidth="1"/>
    <col min="7430" max="7430" width="14.5" style="734" customWidth="1"/>
    <col min="7431" max="7431" width="11.09765625" style="734" customWidth="1"/>
    <col min="7432" max="7432" width="10.59765625" style="734" customWidth="1"/>
    <col min="7433" max="7433" width="11" style="734" customWidth="1"/>
    <col min="7434" max="7680" width="8.69921875" style="734"/>
    <col min="7681" max="7681" width="5.59765625" style="734" bestFit="1" customWidth="1"/>
    <col min="7682" max="7682" width="38.09765625" style="734" customWidth="1"/>
    <col min="7683" max="7683" width="9.5" style="734" customWidth="1"/>
    <col min="7684" max="7684" width="11.19921875" style="734" customWidth="1"/>
    <col min="7685" max="7685" width="10.5" style="734" customWidth="1"/>
    <col min="7686" max="7686" width="14.5" style="734" customWidth="1"/>
    <col min="7687" max="7687" width="11.09765625" style="734" customWidth="1"/>
    <col min="7688" max="7688" width="10.59765625" style="734" customWidth="1"/>
    <col min="7689" max="7689" width="11" style="734" customWidth="1"/>
    <col min="7690" max="7936" width="8.69921875" style="734"/>
    <col min="7937" max="7937" width="5.59765625" style="734" bestFit="1" customWidth="1"/>
    <col min="7938" max="7938" width="38.09765625" style="734" customWidth="1"/>
    <col min="7939" max="7939" width="9.5" style="734" customWidth="1"/>
    <col min="7940" max="7940" width="11.19921875" style="734" customWidth="1"/>
    <col min="7941" max="7941" width="10.5" style="734" customWidth="1"/>
    <col min="7942" max="7942" width="14.5" style="734" customWidth="1"/>
    <col min="7943" max="7943" width="11.09765625" style="734" customWidth="1"/>
    <col min="7944" max="7944" width="10.59765625" style="734" customWidth="1"/>
    <col min="7945" max="7945" width="11" style="734" customWidth="1"/>
    <col min="7946" max="8192" width="8.69921875" style="734"/>
    <col min="8193" max="8193" width="5.59765625" style="734" bestFit="1" customWidth="1"/>
    <col min="8194" max="8194" width="38.09765625" style="734" customWidth="1"/>
    <col min="8195" max="8195" width="9.5" style="734" customWidth="1"/>
    <col min="8196" max="8196" width="11.19921875" style="734" customWidth="1"/>
    <col min="8197" max="8197" width="10.5" style="734" customWidth="1"/>
    <col min="8198" max="8198" width="14.5" style="734" customWidth="1"/>
    <col min="8199" max="8199" width="11.09765625" style="734" customWidth="1"/>
    <col min="8200" max="8200" width="10.59765625" style="734" customWidth="1"/>
    <col min="8201" max="8201" width="11" style="734" customWidth="1"/>
    <col min="8202" max="8448" width="8.69921875" style="734"/>
    <col min="8449" max="8449" width="5.59765625" style="734" bestFit="1" customWidth="1"/>
    <col min="8450" max="8450" width="38.09765625" style="734" customWidth="1"/>
    <col min="8451" max="8451" width="9.5" style="734" customWidth="1"/>
    <col min="8452" max="8452" width="11.19921875" style="734" customWidth="1"/>
    <col min="8453" max="8453" width="10.5" style="734" customWidth="1"/>
    <col min="8454" max="8454" width="14.5" style="734" customWidth="1"/>
    <col min="8455" max="8455" width="11.09765625" style="734" customWidth="1"/>
    <col min="8456" max="8456" width="10.59765625" style="734" customWidth="1"/>
    <col min="8457" max="8457" width="11" style="734" customWidth="1"/>
    <col min="8458" max="8704" width="8.69921875" style="734"/>
    <col min="8705" max="8705" width="5.59765625" style="734" bestFit="1" customWidth="1"/>
    <col min="8706" max="8706" width="38.09765625" style="734" customWidth="1"/>
    <col min="8707" max="8707" width="9.5" style="734" customWidth="1"/>
    <col min="8708" max="8708" width="11.19921875" style="734" customWidth="1"/>
    <col min="8709" max="8709" width="10.5" style="734" customWidth="1"/>
    <col min="8710" max="8710" width="14.5" style="734" customWidth="1"/>
    <col min="8711" max="8711" width="11.09765625" style="734" customWidth="1"/>
    <col min="8712" max="8712" width="10.59765625" style="734" customWidth="1"/>
    <col min="8713" max="8713" width="11" style="734" customWidth="1"/>
    <col min="8714" max="8960" width="8.69921875" style="734"/>
    <col min="8961" max="8961" width="5.59765625" style="734" bestFit="1" customWidth="1"/>
    <col min="8962" max="8962" width="38.09765625" style="734" customWidth="1"/>
    <col min="8963" max="8963" width="9.5" style="734" customWidth="1"/>
    <col min="8964" max="8964" width="11.19921875" style="734" customWidth="1"/>
    <col min="8965" max="8965" width="10.5" style="734" customWidth="1"/>
    <col min="8966" max="8966" width="14.5" style="734" customWidth="1"/>
    <col min="8967" max="8967" width="11.09765625" style="734" customWidth="1"/>
    <col min="8968" max="8968" width="10.59765625" style="734" customWidth="1"/>
    <col min="8969" max="8969" width="11" style="734" customWidth="1"/>
    <col min="8970" max="9216" width="8.69921875" style="734"/>
    <col min="9217" max="9217" width="5.59765625" style="734" bestFit="1" customWidth="1"/>
    <col min="9218" max="9218" width="38.09765625" style="734" customWidth="1"/>
    <col min="9219" max="9219" width="9.5" style="734" customWidth="1"/>
    <col min="9220" max="9220" width="11.19921875" style="734" customWidth="1"/>
    <col min="9221" max="9221" width="10.5" style="734" customWidth="1"/>
    <col min="9222" max="9222" width="14.5" style="734" customWidth="1"/>
    <col min="9223" max="9223" width="11.09765625" style="734" customWidth="1"/>
    <col min="9224" max="9224" width="10.59765625" style="734" customWidth="1"/>
    <col min="9225" max="9225" width="11" style="734" customWidth="1"/>
    <col min="9226" max="9472" width="8.69921875" style="734"/>
    <col min="9473" max="9473" width="5.59765625" style="734" bestFit="1" customWidth="1"/>
    <col min="9474" max="9474" width="38.09765625" style="734" customWidth="1"/>
    <col min="9475" max="9475" width="9.5" style="734" customWidth="1"/>
    <col min="9476" max="9476" width="11.19921875" style="734" customWidth="1"/>
    <col min="9477" max="9477" width="10.5" style="734" customWidth="1"/>
    <col min="9478" max="9478" width="14.5" style="734" customWidth="1"/>
    <col min="9479" max="9479" width="11.09765625" style="734" customWidth="1"/>
    <col min="9480" max="9480" width="10.59765625" style="734" customWidth="1"/>
    <col min="9481" max="9481" width="11" style="734" customWidth="1"/>
    <col min="9482" max="9728" width="8.69921875" style="734"/>
    <col min="9729" max="9729" width="5.59765625" style="734" bestFit="1" customWidth="1"/>
    <col min="9730" max="9730" width="38.09765625" style="734" customWidth="1"/>
    <col min="9731" max="9731" width="9.5" style="734" customWidth="1"/>
    <col min="9732" max="9732" width="11.19921875" style="734" customWidth="1"/>
    <col min="9733" max="9733" width="10.5" style="734" customWidth="1"/>
    <col min="9734" max="9734" width="14.5" style="734" customWidth="1"/>
    <col min="9735" max="9735" width="11.09765625" style="734" customWidth="1"/>
    <col min="9736" max="9736" width="10.59765625" style="734" customWidth="1"/>
    <col min="9737" max="9737" width="11" style="734" customWidth="1"/>
    <col min="9738" max="9984" width="8.69921875" style="734"/>
    <col min="9985" max="9985" width="5.59765625" style="734" bestFit="1" customWidth="1"/>
    <col min="9986" max="9986" width="38.09765625" style="734" customWidth="1"/>
    <col min="9987" max="9987" width="9.5" style="734" customWidth="1"/>
    <col min="9988" max="9988" width="11.19921875" style="734" customWidth="1"/>
    <col min="9989" max="9989" width="10.5" style="734" customWidth="1"/>
    <col min="9990" max="9990" width="14.5" style="734" customWidth="1"/>
    <col min="9991" max="9991" width="11.09765625" style="734" customWidth="1"/>
    <col min="9992" max="9992" width="10.59765625" style="734" customWidth="1"/>
    <col min="9993" max="9993" width="11" style="734" customWidth="1"/>
    <col min="9994" max="10240" width="8.69921875" style="734"/>
    <col min="10241" max="10241" width="5.59765625" style="734" bestFit="1" customWidth="1"/>
    <col min="10242" max="10242" width="38.09765625" style="734" customWidth="1"/>
    <col min="10243" max="10243" width="9.5" style="734" customWidth="1"/>
    <col min="10244" max="10244" width="11.19921875" style="734" customWidth="1"/>
    <col min="10245" max="10245" width="10.5" style="734" customWidth="1"/>
    <col min="10246" max="10246" width="14.5" style="734" customWidth="1"/>
    <col min="10247" max="10247" width="11.09765625" style="734" customWidth="1"/>
    <col min="10248" max="10248" width="10.59765625" style="734" customWidth="1"/>
    <col min="10249" max="10249" width="11" style="734" customWidth="1"/>
    <col min="10250" max="10496" width="8.69921875" style="734"/>
    <col min="10497" max="10497" width="5.59765625" style="734" bestFit="1" customWidth="1"/>
    <col min="10498" max="10498" width="38.09765625" style="734" customWidth="1"/>
    <col min="10499" max="10499" width="9.5" style="734" customWidth="1"/>
    <col min="10500" max="10500" width="11.19921875" style="734" customWidth="1"/>
    <col min="10501" max="10501" width="10.5" style="734" customWidth="1"/>
    <col min="10502" max="10502" width="14.5" style="734" customWidth="1"/>
    <col min="10503" max="10503" width="11.09765625" style="734" customWidth="1"/>
    <col min="10504" max="10504" width="10.59765625" style="734" customWidth="1"/>
    <col min="10505" max="10505" width="11" style="734" customWidth="1"/>
    <col min="10506" max="10752" width="8.69921875" style="734"/>
    <col min="10753" max="10753" width="5.59765625" style="734" bestFit="1" customWidth="1"/>
    <col min="10754" max="10754" width="38.09765625" style="734" customWidth="1"/>
    <col min="10755" max="10755" width="9.5" style="734" customWidth="1"/>
    <col min="10756" max="10756" width="11.19921875" style="734" customWidth="1"/>
    <col min="10757" max="10757" width="10.5" style="734" customWidth="1"/>
    <col min="10758" max="10758" width="14.5" style="734" customWidth="1"/>
    <col min="10759" max="10759" width="11.09765625" style="734" customWidth="1"/>
    <col min="10760" max="10760" width="10.59765625" style="734" customWidth="1"/>
    <col min="10761" max="10761" width="11" style="734" customWidth="1"/>
    <col min="10762" max="11008" width="8.69921875" style="734"/>
    <col min="11009" max="11009" width="5.59765625" style="734" bestFit="1" customWidth="1"/>
    <col min="11010" max="11010" width="38.09765625" style="734" customWidth="1"/>
    <col min="11011" max="11011" width="9.5" style="734" customWidth="1"/>
    <col min="11012" max="11012" width="11.19921875" style="734" customWidth="1"/>
    <col min="11013" max="11013" width="10.5" style="734" customWidth="1"/>
    <col min="11014" max="11014" width="14.5" style="734" customWidth="1"/>
    <col min="11015" max="11015" width="11.09765625" style="734" customWidth="1"/>
    <col min="11016" max="11016" width="10.59765625" style="734" customWidth="1"/>
    <col min="11017" max="11017" width="11" style="734" customWidth="1"/>
    <col min="11018" max="11264" width="8.69921875" style="734"/>
    <col min="11265" max="11265" width="5.59765625" style="734" bestFit="1" customWidth="1"/>
    <col min="11266" max="11266" width="38.09765625" style="734" customWidth="1"/>
    <col min="11267" max="11267" width="9.5" style="734" customWidth="1"/>
    <col min="11268" max="11268" width="11.19921875" style="734" customWidth="1"/>
    <col min="11269" max="11269" width="10.5" style="734" customWidth="1"/>
    <col min="11270" max="11270" width="14.5" style="734" customWidth="1"/>
    <col min="11271" max="11271" width="11.09765625" style="734" customWidth="1"/>
    <col min="11272" max="11272" width="10.59765625" style="734" customWidth="1"/>
    <col min="11273" max="11273" width="11" style="734" customWidth="1"/>
    <col min="11274" max="11520" width="8.69921875" style="734"/>
    <col min="11521" max="11521" width="5.59765625" style="734" bestFit="1" customWidth="1"/>
    <col min="11522" max="11522" width="38.09765625" style="734" customWidth="1"/>
    <col min="11523" max="11523" width="9.5" style="734" customWidth="1"/>
    <col min="11524" max="11524" width="11.19921875" style="734" customWidth="1"/>
    <col min="11525" max="11525" width="10.5" style="734" customWidth="1"/>
    <col min="11526" max="11526" width="14.5" style="734" customWidth="1"/>
    <col min="11527" max="11527" width="11.09765625" style="734" customWidth="1"/>
    <col min="11528" max="11528" width="10.59765625" style="734" customWidth="1"/>
    <col min="11529" max="11529" width="11" style="734" customWidth="1"/>
    <col min="11530" max="11776" width="8.69921875" style="734"/>
    <col min="11777" max="11777" width="5.59765625" style="734" bestFit="1" customWidth="1"/>
    <col min="11778" max="11778" width="38.09765625" style="734" customWidth="1"/>
    <col min="11779" max="11779" width="9.5" style="734" customWidth="1"/>
    <col min="11780" max="11780" width="11.19921875" style="734" customWidth="1"/>
    <col min="11781" max="11781" width="10.5" style="734" customWidth="1"/>
    <col min="11782" max="11782" width="14.5" style="734" customWidth="1"/>
    <col min="11783" max="11783" width="11.09765625" style="734" customWidth="1"/>
    <col min="11784" max="11784" width="10.59765625" style="734" customWidth="1"/>
    <col min="11785" max="11785" width="11" style="734" customWidth="1"/>
    <col min="11786" max="12032" width="8.69921875" style="734"/>
    <col min="12033" max="12033" width="5.59765625" style="734" bestFit="1" customWidth="1"/>
    <col min="12034" max="12034" width="38.09765625" style="734" customWidth="1"/>
    <col min="12035" max="12035" width="9.5" style="734" customWidth="1"/>
    <col min="12036" max="12036" width="11.19921875" style="734" customWidth="1"/>
    <col min="12037" max="12037" width="10.5" style="734" customWidth="1"/>
    <col min="12038" max="12038" width="14.5" style="734" customWidth="1"/>
    <col min="12039" max="12039" width="11.09765625" style="734" customWidth="1"/>
    <col min="12040" max="12040" width="10.59765625" style="734" customWidth="1"/>
    <col min="12041" max="12041" width="11" style="734" customWidth="1"/>
    <col min="12042" max="12288" width="8.69921875" style="734"/>
    <col min="12289" max="12289" width="5.59765625" style="734" bestFit="1" customWidth="1"/>
    <col min="12290" max="12290" width="38.09765625" style="734" customWidth="1"/>
    <col min="12291" max="12291" width="9.5" style="734" customWidth="1"/>
    <col min="12292" max="12292" width="11.19921875" style="734" customWidth="1"/>
    <col min="12293" max="12293" width="10.5" style="734" customWidth="1"/>
    <col min="12294" max="12294" width="14.5" style="734" customWidth="1"/>
    <col min="12295" max="12295" width="11.09765625" style="734" customWidth="1"/>
    <col min="12296" max="12296" width="10.59765625" style="734" customWidth="1"/>
    <col min="12297" max="12297" width="11" style="734" customWidth="1"/>
    <col min="12298" max="12544" width="8.69921875" style="734"/>
    <col min="12545" max="12545" width="5.59765625" style="734" bestFit="1" customWidth="1"/>
    <col min="12546" max="12546" width="38.09765625" style="734" customWidth="1"/>
    <col min="12547" max="12547" width="9.5" style="734" customWidth="1"/>
    <col min="12548" max="12548" width="11.19921875" style="734" customWidth="1"/>
    <col min="12549" max="12549" width="10.5" style="734" customWidth="1"/>
    <col min="12550" max="12550" width="14.5" style="734" customWidth="1"/>
    <col min="12551" max="12551" width="11.09765625" style="734" customWidth="1"/>
    <col min="12552" max="12552" width="10.59765625" style="734" customWidth="1"/>
    <col min="12553" max="12553" width="11" style="734" customWidth="1"/>
    <col min="12554" max="12800" width="8.69921875" style="734"/>
    <col min="12801" max="12801" width="5.59765625" style="734" bestFit="1" customWidth="1"/>
    <col min="12802" max="12802" width="38.09765625" style="734" customWidth="1"/>
    <col min="12803" max="12803" width="9.5" style="734" customWidth="1"/>
    <col min="12804" max="12804" width="11.19921875" style="734" customWidth="1"/>
    <col min="12805" max="12805" width="10.5" style="734" customWidth="1"/>
    <col min="12806" max="12806" width="14.5" style="734" customWidth="1"/>
    <col min="12807" max="12807" width="11.09765625" style="734" customWidth="1"/>
    <col min="12808" max="12808" width="10.59765625" style="734" customWidth="1"/>
    <col min="12809" max="12809" width="11" style="734" customWidth="1"/>
    <col min="12810" max="13056" width="8.69921875" style="734"/>
    <col min="13057" max="13057" width="5.59765625" style="734" bestFit="1" customWidth="1"/>
    <col min="13058" max="13058" width="38.09765625" style="734" customWidth="1"/>
    <col min="13059" max="13059" width="9.5" style="734" customWidth="1"/>
    <col min="13060" max="13060" width="11.19921875" style="734" customWidth="1"/>
    <col min="13061" max="13061" width="10.5" style="734" customWidth="1"/>
    <col min="13062" max="13062" width="14.5" style="734" customWidth="1"/>
    <col min="13063" max="13063" width="11.09765625" style="734" customWidth="1"/>
    <col min="13064" max="13064" width="10.59765625" style="734" customWidth="1"/>
    <col min="13065" max="13065" width="11" style="734" customWidth="1"/>
    <col min="13066" max="13312" width="8.69921875" style="734"/>
    <col min="13313" max="13313" width="5.59765625" style="734" bestFit="1" customWidth="1"/>
    <col min="13314" max="13314" width="38.09765625" style="734" customWidth="1"/>
    <col min="13315" max="13315" width="9.5" style="734" customWidth="1"/>
    <col min="13316" max="13316" width="11.19921875" style="734" customWidth="1"/>
    <col min="13317" max="13317" width="10.5" style="734" customWidth="1"/>
    <col min="13318" max="13318" width="14.5" style="734" customWidth="1"/>
    <col min="13319" max="13319" width="11.09765625" style="734" customWidth="1"/>
    <col min="13320" max="13320" width="10.59765625" style="734" customWidth="1"/>
    <col min="13321" max="13321" width="11" style="734" customWidth="1"/>
    <col min="13322" max="13568" width="8.69921875" style="734"/>
    <col min="13569" max="13569" width="5.59765625" style="734" bestFit="1" customWidth="1"/>
    <col min="13570" max="13570" width="38.09765625" style="734" customWidth="1"/>
    <col min="13571" max="13571" width="9.5" style="734" customWidth="1"/>
    <col min="13572" max="13572" width="11.19921875" style="734" customWidth="1"/>
    <col min="13573" max="13573" width="10.5" style="734" customWidth="1"/>
    <col min="13574" max="13574" width="14.5" style="734" customWidth="1"/>
    <col min="13575" max="13575" width="11.09765625" style="734" customWidth="1"/>
    <col min="13576" max="13576" width="10.59765625" style="734" customWidth="1"/>
    <col min="13577" max="13577" width="11" style="734" customWidth="1"/>
    <col min="13578" max="13824" width="8.69921875" style="734"/>
    <col min="13825" max="13825" width="5.59765625" style="734" bestFit="1" customWidth="1"/>
    <col min="13826" max="13826" width="38.09765625" style="734" customWidth="1"/>
    <col min="13827" max="13827" width="9.5" style="734" customWidth="1"/>
    <col min="13828" max="13828" width="11.19921875" style="734" customWidth="1"/>
    <col min="13829" max="13829" width="10.5" style="734" customWidth="1"/>
    <col min="13830" max="13830" width="14.5" style="734" customWidth="1"/>
    <col min="13831" max="13831" width="11.09765625" style="734" customWidth="1"/>
    <col min="13832" max="13832" width="10.59765625" style="734" customWidth="1"/>
    <col min="13833" max="13833" width="11" style="734" customWidth="1"/>
    <col min="13834" max="14080" width="8.69921875" style="734"/>
    <col min="14081" max="14081" width="5.59765625" style="734" bestFit="1" customWidth="1"/>
    <col min="14082" max="14082" width="38.09765625" style="734" customWidth="1"/>
    <col min="14083" max="14083" width="9.5" style="734" customWidth="1"/>
    <col min="14084" max="14084" width="11.19921875" style="734" customWidth="1"/>
    <col min="14085" max="14085" width="10.5" style="734" customWidth="1"/>
    <col min="14086" max="14086" width="14.5" style="734" customWidth="1"/>
    <col min="14087" max="14087" width="11.09765625" style="734" customWidth="1"/>
    <col min="14088" max="14088" width="10.59765625" style="734" customWidth="1"/>
    <col min="14089" max="14089" width="11" style="734" customWidth="1"/>
    <col min="14090" max="14336" width="8.69921875" style="734"/>
    <col min="14337" max="14337" width="5.59765625" style="734" bestFit="1" customWidth="1"/>
    <col min="14338" max="14338" width="38.09765625" style="734" customWidth="1"/>
    <col min="14339" max="14339" width="9.5" style="734" customWidth="1"/>
    <col min="14340" max="14340" width="11.19921875" style="734" customWidth="1"/>
    <col min="14341" max="14341" width="10.5" style="734" customWidth="1"/>
    <col min="14342" max="14342" width="14.5" style="734" customWidth="1"/>
    <col min="14343" max="14343" width="11.09765625" style="734" customWidth="1"/>
    <col min="14344" max="14344" width="10.59765625" style="734" customWidth="1"/>
    <col min="14345" max="14345" width="11" style="734" customWidth="1"/>
    <col min="14346" max="14592" width="8.69921875" style="734"/>
    <col min="14593" max="14593" width="5.59765625" style="734" bestFit="1" customWidth="1"/>
    <col min="14594" max="14594" width="38.09765625" style="734" customWidth="1"/>
    <col min="14595" max="14595" width="9.5" style="734" customWidth="1"/>
    <col min="14596" max="14596" width="11.19921875" style="734" customWidth="1"/>
    <col min="14597" max="14597" width="10.5" style="734" customWidth="1"/>
    <col min="14598" max="14598" width="14.5" style="734" customWidth="1"/>
    <col min="14599" max="14599" width="11.09765625" style="734" customWidth="1"/>
    <col min="14600" max="14600" width="10.59765625" style="734" customWidth="1"/>
    <col min="14601" max="14601" width="11" style="734" customWidth="1"/>
    <col min="14602" max="14848" width="8.69921875" style="734"/>
    <col min="14849" max="14849" width="5.59765625" style="734" bestFit="1" customWidth="1"/>
    <col min="14850" max="14850" width="38.09765625" style="734" customWidth="1"/>
    <col min="14851" max="14851" width="9.5" style="734" customWidth="1"/>
    <col min="14852" max="14852" width="11.19921875" style="734" customWidth="1"/>
    <col min="14853" max="14853" width="10.5" style="734" customWidth="1"/>
    <col min="14854" max="14854" width="14.5" style="734" customWidth="1"/>
    <col min="14855" max="14855" width="11.09765625" style="734" customWidth="1"/>
    <col min="14856" max="14856" width="10.59765625" style="734" customWidth="1"/>
    <col min="14857" max="14857" width="11" style="734" customWidth="1"/>
    <col min="14858" max="15104" width="8.69921875" style="734"/>
    <col min="15105" max="15105" width="5.59765625" style="734" bestFit="1" customWidth="1"/>
    <col min="15106" max="15106" width="38.09765625" style="734" customWidth="1"/>
    <col min="15107" max="15107" width="9.5" style="734" customWidth="1"/>
    <col min="15108" max="15108" width="11.19921875" style="734" customWidth="1"/>
    <col min="15109" max="15109" width="10.5" style="734" customWidth="1"/>
    <col min="15110" max="15110" width="14.5" style="734" customWidth="1"/>
    <col min="15111" max="15111" width="11.09765625" style="734" customWidth="1"/>
    <col min="15112" max="15112" width="10.59765625" style="734" customWidth="1"/>
    <col min="15113" max="15113" width="11" style="734" customWidth="1"/>
    <col min="15114" max="15360" width="8.69921875" style="734"/>
    <col min="15361" max="15361" width="5.59765625" style="734" bestFit="1" customWidth="1"/>
    <col min="15362" max="15362" width="38.09765625" style="734" customWidth="1"/>
    <col min="15363" max="15363" width="9.5" style="734" customWidth="1"/>
    <col min="15364" max="15364" width="11.19921875" style="734" customWidth="1"/>
    <col min="15365" max="15365" width="10.5" style="734" customWidth="1"/>
    <col min="15366" max="15366" width="14.5" style="734" customWidth="1"/>
    <col min="15367" max="15367" width="11.09765625" style="734" customWidth="1"/>
    <col min="15368" max="15368" width="10.59765625" style="734" customWidth="1"/>
    <col min="15369" max="15369" width="11" style="734" customWidth="1"/>
    <col min="15370" max="15616" width="8.69921875" style="734"/>
    <col min="15617" max="15617" width="5.59765625" style="734" bestFit="1" customWidth="1"/>
    <col min="15618" max="15618" width="38.09765625" style="734" customWidth="1"/>
    <col min="15619" max="15619" width="9.5" style="734" customWidth="1"/>
    <col min="15620" max="15620" width="11.19921875" style="734" customWidth="1"/>
    <col min="15621" max="15621" width="10.5" style="734" customWidth="1"/>
    <col min="15622" max="15622" width="14.5" style="734" customWidth="1"/>
    <col min="15623" max="15623" width="11.09765625" style="734" customWidth="1"/>
    <col min="15624" max="15624" width="10.59765625" style="734" customWidth="1"/>
    <col min="15625" max="15625" width="11" style="734" customWidth="1"/>
    <col min="15626" max="15872" width="8.69921875" style="734"/>
    <col min="15873" max="15873" width="5.59765625" style="734" bestFit="1" customWidth="1"/>
    <col min="15874" max="15874" width="38.09765625" style="734" customWidth="1"/>
    <col min="15875" max="15875" width="9.5" style="734" customWidth="1"/>
    <col min="15876" max="15876" width="11.19921875" style="734" customWidth="1"/>
    <col min="15877" max="15877" width="10.5" style="734" customWidth="1"/>
    <col min="15878" max="15878" width="14.5" style="734" customWidth="1"/>
    <col min="15879" max="15879" width="11.09765625" style="734" customWidth="1"/>
    <col min="15880" max="15880" width="10.59765625" style="734" customWidth="1"/>
    <col min="15881" max="15881" width="11" style="734" customWidth="1"/>
    <col min="15882" max="16128" width="8.69921875" style="734"/>
    <col min="16129" max="16129" width="5.59765625" style="734" bestFit="1" customWidth="1"/>
    <col min="16130" max="16130" width="38.09765625" style="734" customWidth="1"/>
    <col min="16131" max="16131" width="9.5" style="734" customWidth="1"/>
    <col min="16132" max="16132" width="11.19921875" style="734" customWidth="1"/>
    <col min="16133" max="16133" width="10.5" style="734" customWidth="1"/>
    <col min="16134" max="16134" width="14.5" style="734" customWidth="1"/>
    <col min="16135" max="16135" width="11.09765625" style="734" customWidth="1"/>
    <col min="16136" max="16136" width="10.59765625" style="734" customWidth="1"/>
    <col min="16137" max="16137" width="11" style="734" customWidth="1"/>
    <col min="16138" max="16384" width="8.69921875" style="734"/>
  </cols>
  <sheetData>
    <row r="1" spans="1:10">
      <c r="A1" s="733"/>
    </row>
    <row r="2" spans="1:10">
      <c r="A2" s="4336" t="s">
        <v>851</v>
      </c>
      <c r="B2" s="4336"/>
      <c r="C2" s="4336"/>
      <c r="D2" s="4336"/>
      <c r="E2" s="4336"/>
      <c r="F2" s="4336"/>
      <c r="G2" s="4336"/>
      <c r="H2" s="4336"/>
      <c r="I2" s="4336"/>
      <c r="J2" s="4336"/>
    </row>
    <row r="3" spans="1:10">
      <c r="A3" s="735"/>
      <c r="B3" s="735"/>
      <c r="C3" s="736"/>
      <c r="D3" s="735"/>
      <c r="E3" s="735"/>
      <c r="F3" s="735"/>
      <c r="G3" s="735"/>
      <c r="H3" s="735"/>
      <c r="I3" s="735"/>
      <c r="J3" s="806" t="s">
        <v>779</v>
      </c>
    </row>
    <row r="4" spans="1:10">
      <c r="A4" s="4337" t="s">
        <v>244</v>
      </c>
      <c r="B4" s="4338" t="s">
        <v>640</v>
      </c>
      <c r="C4" s="4339" t="s">
        <v>852</v>
      </c>
      <c r="D4" s="4341" t="s">
        <v>853</v>
      </c>
      <c r="E4" s="4342"/>
      <c r="F4" s="4342"/>
      <c r="G4" s="4342"/>
      <c r="H4" s="4342"/>
      <c r="I4" s="4343"/>
      <c r="J4" s="4338" t="s">
        <v>854</v>
      </c>
    </row>
    <row r="5" spans="1:10" ht="51" customHeight="1">
      <c r="A5" s="4337"/>
      <c r="B5" s="4338"/>
      <c r="C5" s="4340"/>
      <c r="D5" s="807" t="s">
        <v>855</v>
      </c>
      <c r="E5" s="807" t="s">
        <v>856</v>
      </c>
      <c r="F5" s="807" t="s">
        <v>857</v>
      </c>
      <c r="G5" s="807" t="s">
        <v>163</v>
      </c>
      <c r="H5" s="807" t="s">
        <v>164</v>
      </c>
      <c r="I5" s="807" t="s">
        <v>165</v>
      </c>
      <c r="J5" s="4338"/>
    </row>
    <row r="6" spans="1:10" s="738" customFormat="1">
      <c r="A6" s="808" t="s">
        <v>7</v>
      </c>
      <c r="B6" s="808" t="s">
        <v>22</v>
      </c>
      <c r="C6" s="737">
        <v>2</v>
      </c>
      <c r="D6" s="808" t="s">
        <v>858</v>
      </c>
      <c r="E6" s="737">
        <v>4</v>
      </c>
      <c r="F6" s="808">
        <v>5</v>
      </c>
      <c r="G6" s="737">
        <v>6</v>
      </c>
      <c r="H6" s="808">
        <v>7</v>
      </c>
      <c r="I6" s="737">
        <v>8</v>
      </c>
      <c r="J6" s="808">
        <v>9</v>
      </c>
    </row>
    <row r="7" spans="1:10" s="738" customFormat="1" ht="33.6">
      <c r="A7" s="739" t="s">
        <v>7</v>
      </c>
      <c r="B7" s="740" t="s">
        <v>859</v>
      </c>
      <c r="C7" s="741"/>
      <c r="D7" s="741"/>
      <c r="E7" s="742"/>
      <c r="F7" s="742"/>
      <c r="G7" s="742"/>
      <c r="H7" s="742"/>
      <c r="I7" s="742"/>
      <c r="J7" s="742"/>
    </row>
    <row r="8" spans="1:10" s="738" customFormat="1">
      <c r="A8" s="739" t="s">
        <v>22</v>
      </c>
      <c r="B8" s="740" t="s">
        <v>860</v>
      </c>
      <c r="C8" s="741"/>
      <c r="D8" s="741"/>
      <c r="E8" s="742"/>
      <c r="F8" s="742"/>
      <c r="G8" s="742"/>
      <c r="H8" s="742"/>
      <c r="I8" s="742"/>
      <c r="J8" s="742"/>
    </row>
    <row r="9" spans="1:10">
      <c r="A9" s="739" t="s">
        <v>137</v>
      </c>
      <c r="B9" s="743" t="s">
        <v>861</v>
      </c>
      <c r="C9" s="744"/>
      <c r="D9" s="744"/>
      <c r="E9" s="745"/>
      <c r="F9" s="745"/>
      <c r="G9" s="745"/>
      <c r="H9" s="745"/>
      <c r="I9" s="745"/>
      <c r="J9" s="745"/>
    </row>
    <row r="10" spans="1:10" s="746" customFormat="1">
      <c r="A10" s="739" t="s">
        <v>137</v>
      </c>
      <c r="B10" s="743" t="s">
        <v>862</v>
      </c>
      <c r="C10" s="744"/>
      <c r="D10" s="744"/>
      <c r="E10" s="745"/>
      <c r="F10" s="745"/>
      <c r="G10" s="745"/>
      <c r="H10" s="745"/>
      <c r="I10" s="745"/>
      <c r="J10" s="745"/>
    </row>
    <row r="11" spans="1:10" s="746" customFormat="1">
      <c r="A11" s="739" t="s">
        <v>137</v>
      </c>
      <c r="B11" s="743" t="s">
        <v>863</v>
      </c>
      <c r="C11" s="744"/>
      <c r="D11" s="744"/>
      <c r="E11" s="745"/>
      <c r="F11" s="745"/>
      <c r="G11" s="745"/>
      <c r="H11" s="745"/>
      <c r="I11" s="745"/>
      <c r="J11" s="745"/>
    </row>
    <row r="12" spans="1:10" s="747" customFormat="1">
      <c r="A12" s="739">
        <v>1</v>
      </c>
      <c r="B12" s="740" t="s">
        <v>10</v>
      </c>
      <c r="C12" s="741"/>
      <c r="D12" s="741"/>
      <c r="E12" s="742"/>
      <c r="F12" s="742"/>
      <c r="G12" s="742"/>
      <c r="H12" s="742"/>
      <c r="I12" s="742"/>
      <c r="J12" s="742"/>
    </row>
    <row r="13" spans="1:10">
      <c r="A13" s="739" t="s">
        <v>137</v>
      </c>
      <c r="B13" s="743" t="s">
        <v>864</v>
      </c>
      <c r="C13" s="744"/>
      <c r="D13" s="744"/>
      <c r="E13" s="745"/>
      <c r="F13" s="745"/>
      <c r="G13" s="745"/>
      <c r="H13" s="745"/>
      <c r="I13" s="745"/>
      <c r="J13" s="745"/>
    </row>
    <row r="14" spans="1:10" ht="33.6">
      <c r="A14" s="739" t="s">
        <v>137</v>
      </c>
      <c r="B14" s="743" t="s">
        <v>865</v>
      </c>
      <c r="C14" s="744"/>
      <c r="D14" s="744"/>
      <c r="E14" s="745"/>
      <c r="F14" s="745"/>
      <c r="G14" s="745"/>
      <c r="H14" s="745"/>
      <c r="I14" s="745"/>
      <c r="J14" s="745"/>
    </row>
    <row r="15" spans="1:10" s="746" customFormat="1">
      <c r="A15" s="748"/>
      <c r="B15" s="749" t="s">
        <v>360</v>
      </c>
      <c r="C15" s="750"/>
      <c r="D15" s="750"/>
      <c r="E15" s="751"/>
      <c r="F15" s="751"/>
      <c r="G15" s="751"/>
      <c r="H15" s="751"/>
      <c r="I15" s="751"/>
      <c r="J15" s="751"/>
    </row>
    <row r="16" spans="1:10" s="746" customFormat="1">
      <c r="A16" s="748"/>
      <c r="B16" s="749" t="s">
        <v>199</v>
      </c>
      <c r="C16" s="750"/>
      <c r="D16" s="750"/>
      <c r="E16" s="751"/>
      <c r="F16" s="751"/>
      <c r="G16" s="751"/>
      <c r="H16" s="751"/>
      <c r="I16" s="751"/>
      <c r="J16" s="751"/>
    </row>
    <row r="17" spans="1:10" s="747" customFormat="1">
      <c r="A17" s="739" t="s">
        <v>20</v>
      </c>
      <c r="B17" s="740" t="s">
        <v>866</v>
      </c>
      <c r="C17" s="741"/>
      <c r="D17" s="741"/>
      <c r="E17" s="742"/>
      <c r="F17" s="742"/>
      <c r="G17" s="742"/>
      <c r="H17" s="742"/>
      <c r="I17" s="742"/>
      <c r="J17" s="742"/>
    </row>
    <row r="18" spans="1:10" s="746" customFormat="1">
      <c r="A18" s="739" t="s">
        <v>137</v>
      </c>
      <c r="B18" s="743" t="s">
        <v>864</v>
      </c>
      <c r="C18" s="744"/>
      <c r="D18" s="744"/>
      <c r="E18" s="745"/>
      <c r="F18" s="745"/>
      <c r="G18" s="745"/>
      <c r="H18" s="745"/>
      <c r="I18" s="745"/>
      <c r="J18" s="745"/>
    </row>
    <row r="19" spans="1:10" s="746" customFormat="1" ht="33.6">
      <c r="A19" s="739" t="s">
        <v>137</v>
      </c>
      <c r="B19" s="743" t="s">
        <v>865</v>
      </c>
      <c r="C19" s="744"/>
      <c r="D19" s="744"/>
      <c r="E19" s="745"/>
      <c r="F19" s="745"/>
      <c r="G19" s="745"/>
      <c r="H19" s="745"/>
      <c r="I19" s="745"/>
      <c r="J19" s="745"/>
    </row>
    <row r="20" spans="1:10" s="738" customFormat="1" ht="33.6">
      <c r="A20" s="739" t="s">
        <v>49</v>
      </c>
      <c r="B20" s="740" t="s">
        <v>867</v>
      </c>
      <c r="C20" s="741"/>
      <c r="D20" s="741"/>
      <c r="E20" s="742"/>
      <c r="F20" s="742"/>
      <c r="G20" s="742"/>
      <c r="H20" s="742"/>
      <c r="I20" s="742"/>
      <c r="J20" s="742"/>
    </row>
    <row r="21" spans="1:10" s="746" customFormat="1">
      <c r="A21" s="739" t="s">
        <v>137</v>
      </c>
      <c r="B21" s="743" t="s">
        <v>864</v>
      </c>
      <c r="C21" s="744"/>
      <c r="D21" s="744"/>
      <c r="E21" s="745"/>
      <c r="F21" s="745"/>
      <c r="G21" s="745"/>
      <c r="H21" s="745"/>
      <c r="I21" s="745"/>
      <c r="J21" s="745"/>
    </row>
    <row r="22" spans="1:10" ht="33.6">
      <c r="A22" s="739" t="s">
        <v>137</v>
      </c>
      <c r="B22" s="743" t="s">
        <v>865</v>
      </c>
      <c r="C22" s="744"/>
      <c r="D22" s="744"/>
      <c r="E22" s="745"/>
      <c r="F22" s="745"/>
      <c r="G22" s="745"/>
      <c r="H22" s="745"/>
      <c r="I22" s="745"/>
      <c r="J22" s="745"/>
    </row>
    <row r="23" spans="1:10" s="747" customFormat="1">
      <c r="A23" s="739" t="s">
        <v>50</v>
      </c>
      <c r="B23" s="740" t="s">
        <v>868</v>
      </c>
      <c r="C23" s="741"/>
      <c r="D23" s="741"/>
      <c r="E23" s="742"/>
      <c r="F23" s="742"/>
      <c r="G23" s="742"/>
      <c r="H23" s="742"/>
      <c r="I23" s="742"/>
      <c r="J23" s="742"/>
    </row>
    <row r="24" spans="1:10">
      <c r="A24" s="739" t="s">
        <v>137</v>
      </c>
      <c r="B24" s="743" t="s">
        <v>864</v>
      </c>
      <c r="C24" s="744"/>
      <c r="D24" s="744"/>
      <c r="E24" s="745"/>
      <c r="F24" s="745"/>
      <c r="G24" s="745"/>
      <c r="H24" s="745"/>
      <c r="I24" s="745"/>
      <c r="J24" s="745"/>
    </row>
    <row r="25" spans="1:10" ht="33.6">
      <c r="A25" s="739" t="s">
        <v>137</v>
      </c>
      <c r="B25" s="743" t="s">
        <v>865</v>
      </c>
      <c r="C25" s="744"/>
      <c r="D25" s="744"/>
      <c r="E25" s="745"/>
      <c r="F25" s="745"/>
      <c r="G25" s="745"/>
      <c r="H25" s="745"/>
      <c r="I25" s="745"/>
      <c r="J25" s="745"/>
    </row>
    <row r="26" spans="1:10" s="738" customFormat="1">
      <c r="A26" s="739" t="s">
        <v>26</v>
      </c>
      <c r="B26" s="740" t="s">
        <v>869</v>
      </c>
      <c r="C26" s="741"/>
      <c r="D26" s="741"/>
      <c r="E26" s="742"/>
      <c r="F26" s="742"/>
      <c r="G26" s="742"/>
      <c r="H26" s="742"/>
      <c r="I26" s="742"/>
      <c r="J26" s="742"/>
    </row>
    <row r="27" spans="1:10">
      <c r="A27" s="739" t="s">
        <v>137</v>
      </c>
      <c r="B27" s="743" t="s">
        <v>870</v>
      </c>
      <c r="C27" s="744"/>
      <c r="D27" s="744"/>
      <c r="E27" s="745"/>
      <c r="F27" s="745"/>
      <c r="G27" s="745"/>
      <c r="H27" s="745"/>
      <c r="I27" s="745"/>
      <c r="J27" s="745"/>
    </row>
    <row r="28" spans="1:10">
      <c r="A28" s="739" t="s">
        <v>137</v>
      </c>
      <c r="B28" s="743" t="s">
        <v>871</v>
      </c>
      <c r="C28" s="744"/>
      <c r="D28" s="744"/>
      <c r="E28" s="745"/>
      <c r="F28" s="745"/>
      <c r="G28" s="745"/>
      <c r="H28" s="745"/>
      <c r="I28" s="745"/>
      <c r="J28" s="745"/>
    </row>
    <row r="29" spans="1:10" s="738" customFormat="1">
      <c r="A29" s="739" t="s">
        <v>9</v>
      </c>
      <c r="B29" s="740" t="s">
        <v>872</v>
      </c>
      <c r="C29" s="741"/>
      <c r="D29" s="741"/>
      <c r="E29" s="742"/>
      <c r="F29" s="742"/>
      <c r="G29" s="742"/>
      <c r="H29" s="742"/>
      <c r="I29" s="742"/>
      <c r="J29" s="742"/>
    </row>
    <row r="30" spans="1:10">
      <c r="A30" s="739" t="s">
        <v>137</v>
      </c>
      <c r="B30" s="743" t="s">
        <v>873</v>
      </c>
      <c r="C30" s="744"/>
      <c r="D30" s="744"/>
      <c r="E30" s="745"/>
      <c r="F30" s="745"/>
      <c r="G30" s="745"/>
      <c r="H30" s="745"/>
      <c r="I30" s="745"/>
      <c r="J30" s="745"/>
    </row>
    <row r="31" spans="1:10">
      <c r="A31" s="739" t="s">
        <v>137</v>
      </c>
      <c r="B31" s="743" t="s">
        <v>874</v>
      </c>
      <c r="C31" s="744"/>
      <c r="D31" s="744"/>
      <c r="E31" s="745"/>
      <c r="F31" s="745"/>
      <c r="G31" s="745"/>
      <c r="H31" s="745"/>
      <c r="I31" s="745"/>
      <c r="J31" s="745"/>
    </row>
    <row r="32" spans="1:10" s="738" customFormat="1">
      <c r="A32" s="739" t="s">
        <v>20</v>
      </c>
      <c r="B32" s="740" t="s">
        <v>875</v>
      </c>
      <c r="C32" s="741"/>
      <c r="D32" s="741"/>
      <c r="E32" s="742"/>
      <c r="F32" s="742"/>
      <c r="G32" s="742"/>
      <c r="H32" s="742"/>
      <c r="I32" s="742"/>
      <c r="J32" s="742"/>
    </row>
    <row r="33" spans="1:10">
      <c r="A33" s="739" t="s">
        <v>137</v>
      </c>
      <c r="B33" s="743" t="s">
        <v>873</v>
      </c>
      <c r="C33" s="744"/>
      <c r="D33" s="744"/>
      <c r="E33" s="745"/>
      <c r="F33" s="745"/>
      <c r="G33" s="745"/>
      <c r="H33" s="745"/>
      <c r="I33" s="745"/>
      <c r="J33" s="745"/>
    </row>
    <row r="34" spans="1:10">
      <c r="A34" s="739" t="s">
        <v>137</v>
      </c>
      <c r="B34" s="743" t="s">
        <v>874</v>
      </c>
      <c r="C34" s="744"/>
      <c r="D34" s="744"/>
      <c r="E34" s="745"/>
      <c r="F34" s="745"/>
      <c r="G34" s="745"/>
      <c r="H34" s="745"/>
      <c r="I34" s="745"/>
      <c r="J34" s="745"/>
    </row>
    <row r="35" spans="1:10">
      <c r="A35" s="739" t="s">
        <v>137</v>
      </c>
      <c r="B35" s="743" t="s">
        <v>876</v>
      </c>
      <c r="C35" s="744"/>
      <c r="D35" s="744"/>
      <c r="E35" s="745"/>
      <c r="F35" s="745"/>
      <c r="G35" s="745"/>
      <c r="H35" s="745"/>
      <c r="I35" s="745"/>
      <c r="J35" s="745"/>
    </row>
    <row r="36" spans="1:10" s="752" customFormat="1">
      <c r="A36" s="739" t="s">
        <v>877</v>
      </c>
      <c r="B36" s="743" t="s">
        <v>285</v>
      </c>
      <c r="C36" s="744"/>
      <c r="D36" s="744"/>
      <c r="E36" s="745"/>
      <c r="F36" s="745"/>
      <c r="G36" s="745"/>
      <c r="H36" s="745"/>
      <c r="I36" s="745"/>
      <c r="J36" s="745"/>
    </row>
    <row r="37" spans="1:10" s="753" customFormat="1">
      <c r="A37" s="739" t="s">
        <v>130</v>
      </c>
      <c r="B37" s="740" t="s">
        <v>878</v>
      </c>
      <c r="C37" s="741"/>
      <c r="D37" s="741"/>
      <c r="E37" s="742"/>
      <c r="F37" s="742"/>
      <c r="G37" s="742"/>
      <c r="H37" s="742"/>
      <c r="I37" s="742"/>
      <c r="J37" s="742"/>
    </row>
    <row r="38" spans="1:10" s="752" customFormat="1">
      <c r="A38" s="739" t="s">
        <v>137</v>
      </c>
      <c r="B38" s="743" t="s">
        <v>870</v>
      </c>
      <c r="C38" s="744"/>
      <c r="D38" s="744"/>
      <c r="E38" s="745"/>
      <c r="F38" s="745"/>
      <c r="G38" s="745"/>
      <c r="H38" s="745"/>
      <c r="I38" s="745"/>
      <c r="J38" s="745"/>
    </row>
    <row r="39" spans="1:10" s="752" customFormat="1">
      <c r="A39" s="739" t="s">
        <v>137</v>
      </c>
      <c r="B39" s="743" t="s">
        <v>879</v>
      </c>
      <c r="C39" s="744"/>
      <c r="D39" s="744"/>
      <c r="E39" s="745"/>
      <c r="F39" s="745"/>
      <c r="G39" s="745"/>
      <c r="H39" s="745"/>
      <c r="I39" s="745"/>
      <c r="J39" s="745"/>
    </row>
    <row r="40" spans="1:10" s="738" customFormat="1">
      <c r="A40" s="739" t="s">
        <v>9</v>
      </c>
      <c r="B40" s="740" t="s">
        <v>880</v>
      </c>
      <c r="C40" s="741"/>
      <c r="D40" s="741"/>
      <c r="E40" s="742"/>
      <c r="F40" s="742"/>
      <c r="G40" s="742"/>
      <c r="H40" s="742"/>
      <c r="I40" s="742"/>
      <c r="J40" s="742"/>
    </row>
    <row r="41" spans="1:10">
      <c r="A41" s="739" t="s">
        <v>137</v>
      </c>
      <c r="B41" s="743" t="s">
        <v>873</v>
      </c>
      <c r="C41" s="744"/>
      <c r="D41" s="744"/>
      <c r="E41" s="745"/>
      <c r="F41" s="745"/>
      <c r="G41" s="745"/>
      <c r="H41" s="745"/>
      <c r="I41" s="745"/>
      <c r="J41" s="745"/>
    </row>
    <row r="42" spans="1:10">
      <c r="A42" s="739" t="s">
        <v>137</v>
      </c>
      <c r="B42" s="743" t="s">
        <v>881</v>
      </c>
      <c r="C42" s="744"/>
      <c r="D42" s="744"/>
      <c r="E42" s="745"/>
      <c r="F42" s="745"/>
      <c r="G42" s="745"/>
      <c r="H42" s="745"/>
      <c r="I42" s="745"/>
      <c r="J42" s="745"/>
    </row>
    <row r="43" spans="1:10" s="738" customFormat="1">
      <c r="A43" s="739" t="s">
        <v>20</v>
      </c>
      <c r="B43" s="740" t="s">
        <v>58</v>
      </c>
      <c r="C43" s="741"/>
      <c r="D43" s="741"/>
      <c r="E43" s="742"/>
      <c r="F43" s="742"/>
      <c r="G43" s="742"/>
      <c r="H43" s="742"/>
      <c r="I43" s="742"/>
      <c r="J43" s="742"/>
    </row>
    <row r="44" spans="1:10">
      <c r="A44" s="739" t="s">
        <v>137</v>
      </c>
      <c r="B44" s="743" t="s">
        <v>873</v>
      </c>
      <c r="C44" s="744"/>
      <c r="D44" s="744"/>
      <c r="E44" s="745"/>
      <c r="F44" s="745"/>
      <c r="G44" s="745"/>
      <c r="H44" s="745"/>
      <c r="I44" s="745"/>
      <c r="J44" s="745"/>
    </row>
    <row r="45" spans="1:10">
      <c r="A45" s="739" t="s">
        <v>137</v>
      </c>
      <c r="B45" s="743" t="s">
        <v>881</v>
      </c>
      <c r="C45" s="744"/>
      <c r="D45" s="744"/>
      <c r="E45" s="745"/>
      <c r="F45" s="745"/>
      <c r="G45" s="745"/>
      <c r="H45" s="745"/>
      <c r="I45" s="745"/>
      <c r="J45" s="745"/>
    </row>
    <row r="46" spans="1:10" s="738" customFormat="1" ht="33.6">
      <c r="A46" s="739" t="s">
        <v>49</v>
      </c>
      <c r="B46" s="740" t="s">
        <v>882</v>
      </c>
      <c r="C46" s="741"/>
      <c r="D46" s="741"/>
      <c r="E46" s="742"/>
      <c r="F46" s="742"/>
      <c r="G46" s="742"/>
      <c r="H46" s="742"/>
      <c r="I46" s="742"/>
      <c r="J46" s="742"/>
    </row>
    <row r="47" spans="1:10">
      <c r="A47" s="739" t="s">
        <v>137</v>
      </c>
      <c r="B47" s="743" t="s">
        <v>873</v>
      </c>
      <c r="C47" s="744"/>
      <c r="D47" s="744"/>
      <c r="E47" s="745"/>
      <c r="F47" s="745"/>
      <c r="G47" s="745"/>
      <c r="H47" s="745"/>
      <c r="I47" s="745"/>
      <c r="J47" s="745"/>
    </row>
    <row r="48" spans="1:10">
      <c r="A48" s="739" t="s">
        <v>137</v>
      </c>
      <c r="B48" s="743" t="s">
        <v>881</v>
      </c>
      <c r="C48" s="744"/>
      <c r="D48" s="744"/>
      <c r="E48" s="745"/>
      <c r="F48" s="745"/>
      <c r="G48" s="745"/>
      <c r="H48" s="745"/>
      <c r="I48" s="745"/>
      <c r="J48" s="745"/>
    </row>
    <row r="49" spans="1:10" s="738" customFormat="1">
      <c r="A49" s="739" t="s">
        <v>50</v>
      </c>
      <c r="B49" s="740" t="s">
        <v>143</v>
      </c>
      <c r="C49" s="741"/>
      <c r="D49" s="741"/>
      <c r="E49" s="742"/>
      <c r="F49" s="742"/>
      <c r="G49" s="742"/>
      <c r="H49" s="742"/>
      <c r="I49" s="742"/>
      <c r="J49" s="742"/>
    </row>
    <row r="50" spans="1:10" s="738" customFormat="1">
      <c r="A50" s="739" t="s">
        <v>217</v>
      </c>
      <c r="B50" s="740" t="s">
        <v>883</v>
      </c>
      <c r="C50" s="741"/>
      <c r="D50" s="741"/>
      <c r="E50" s="742"/>
      <c r="F50" s="742"/>
      <c r="G50" s="742"/>
      <c r="H50" s="742"/>
      <c r="I50" s="742"/>
      <c r="J50" s="742"/>
    </row>
    <row r="51" spans="1:10" s="738" customFormat="1" ht="33.6">
      <c r="A51" s="739" t="s">
        <v>884</v>
      </c>
      <c r="B51" s="740" t="s">
        <v>885</v>
      </c>
      <c r="C51" s="741"/>
      <c r="D51" s="741"/>
      <c r="E51" s="742"/>
      <c r="F51" s="742"/>
      <c r="G51" s="742"/>
      <c r="H51" s="742"/>
      <c r="I51" s="742"/>
      <c r="J51" s="742"/>
    </row>
    <row r="52" spans="1:10" s="738" customFormat="1">
      <c r="A52" s="739" t="s">
        <v>9</v>
      </c>
      <c r="B52" s="740" t="s">
        <v>526</v>
      </c>
      <c r="C52" s="741"/>
      <c r="D52" s="741"/>
      <c r="E52" s="742"/>
      <c r="F52" s="742"/>
      <c r="G52" s="742"/>
      <c r="H52" s="742"/>
      <c r="I52" s="742"/>
      <c r="J52" s="742"/>
    </row>
    <row r="53" spans="1:10" s="738" customFormat="1">
      <c r="A53" s="739" t="s">
        <v>20</v>
      </c>
      <c r="B53" s="740" t="s">
        <v>527</v>
      </c>
      <c r="C53" s="741"/>
      <c r="D53" s="741"/>
      <c r="E53" s="742"/>
      <c r="F53" s="742"/>
      <c r="G53" s="742"/>
      <c r="H53" s="742"/>
      <c r="I53" s="742"/>
      <c r="J53" s="742"/>
    </row>
    <row r="54" spans="1:10" ht="33.6">
      <c r="A54" s="739" t="s">
        <v>137</v>
      </c>
      <c r="B54" s="743" t="s">
        <v>528</v>
      </c>
      <c r="C54" s="744"/>
      <c r="D54" s="744"/>
      <c r="E54" s="745"/>
      <c r="F54" s="745"/>
      <c r="G54" s="745"/>
      <c r="H54" s="745"/>
      <c r="I54" s="745"/>
      <c r="J54" s="745"/>
    </row>
    <row r="55" spans="1:10" ht="33.6">
      <c r="A55" s="739" t="s">
        <v>137</v>
      </c>
      <c r="B55" s="743" t="s">
        <v>529</v>
      </c>
      <c r="C55" s="744"/>
      <c r="D55" s="744"/>
      <c r="E55" s="745"/>
      <c r="F55" s="745"/>
      <c r="G55" s="745"/>
      <c r="H55" s="745"/>
      <c r="I55" s="745"/>
      <c r="J55" s="745"/>
    </row>
    <row r="56" spans="1:10" s="738" customFormat="1">
      <c r="A56" s="739" t="s">
        <v>49</v>
      </c>
      <c r="B56" s="740" t="s">
        <v>530</v>
      </c>
      <c r="C56" s="741"/>
      <c r="D56" s="741"/>
      <c r="E56" s="742"/>
      <c r="F56" s="742"/>
      <c r="G56" s="742"/>
      <c r="H56" s="742"/>
      <c r="I56" s="742"/>
      <c r="J56" s="742"/>
    </row>
    <row r="57" spans="1:10">
      <c r="A57" s="739" t="s">
        <v>137</v>
      </c>
      <c r="B57" s="743" t="s">
        <v>531</v>
      </c>
      <c r="C57" s="744"/>
      <c r="D57" s="744"/>
      <c r="E57" s="745"/>
      <c r="F57" s="745"/>
      <c r="G57" s="745"/>
      <c r="H57" s="745"/>
      <c r="I57" s="745"/>
      <c r="J57" s="745"/>
    </row>
    <row r="58" spans="1:10" ht="33.6">
      <c r="A58" s="739" t="s">
        <v>137</v>
      </c>
      <c r="B58" s="743" t="s">
        <v>532</v>
      </c>
      <c r="C58" s="744"/>
      <c r="D58" s="744"/>
      <c r="E58" s="745"/>
      <c r="F58" s="745"/>
      <c r="G58" s="745"/>
      <c r="H58" s="745"/>
      <c r="I58" s="745"/>
      <c r="J58" s="745"/>
    </row>
    <row r="59" spans="1:10" s="738" customFormat="1">
      <c r="A59" s="739" t="s">
        <v>50</v>
      </c>
      <c r="B59" s="740" t="s">
        <v>533</v>
      </c>
      <c r="C59" s="741"/>
      <c r="D59" s="741"/>
      <c r="E59" s="742"/>
      <c r="F59" s="742"/>
      <c r="G59" s="742"/>
      <c r="H59" s="742"/>
      <c r="I59" s="742"/>
      <c r="J59" s="742"/>
    </row>
    <row r="60" spans="1:10">
      <c r="A60" s="739" t="s">
        <v>137</v>
      </c>
      <c r="B60" s="743" t="s">
        <v>534</v>
      </c>
      <c r="C60" s="744"/>
      <c r="D60" s="744"/>
      <c r="E60" s="745"/>
      <c r="F60" s="745"/>
      <c r="G60" s="745"/>
      <c r="H60" s="745"/>
      <c r="I60" s="745"/>
      <c r="J60" s="745"/>
    </row>
    <row r="61" spans="1:10">
      <c r="A61" s="739" t="s">
        <v>137</v>
      </c>
      <c r="B61" s="743" t="s">
        <v>535</v>
      </c>
      <c r="C61" s="744"/>
      <c r="D61" s="744"/>
      <c r="E61" s="745"/>
      <c r="F61" s="745"/>
      <c r="G61" s="745"/>
      <c r="H61" s="745"/>
      <c r="I61" s="745"/>
      <c r="J61" s="745"/>
    </row>
    <row r="62" spans="1:10" s="738" customFormat="1">
      <c r="A62" s="739" t="s">
        <v>72</v>
      </c>
      <c r="B62" s="740" t="s">
        <v>536</v>
      </c>
      <c r="C62" s="741"/>
      <c r="D62" s="741"/>
      <c r="E62" s="742"/>
      <c r="F62" s="742"/>
      <c r="G62" s="742"/>
      <c r="H62" s="742"/>
      <c r="I62" s="742"/>
      <c r="J62" s="742"/>
    </row>
    <row r="63" spans="1:10" ht="33.6">
      <c r="A63" s="754" t="s">
        <v>137</v>
      </c>
      <c r="B63" s="755" t="s">
        <v>537</v>
      </c>
      <c r="C63" s="756"/>
      <c r="D63" s="756"/>
      <c r="E63" s="757"/>
      <c r="F63" s="757"/>
      <c r="G63" s="757"/>
      <c r="H63" s="757"/>
      <c r="I63" s="757"/>
      <c r="J63" s="757"/>
    </row>
    <row r="64" spans="1:10" ht="33.6">
      <c r="A64" s="758" t="s">
        <v>137</v>
      </c>
      <c r="B64" s="759" t="s">
        <v>538</v>
      </c>
      <c r="C64" s="760"/>
      <c r="D64" s="760"/>
      <c r="E64" s="761"/>
      <c r="F64" s="761"/>
      <c r="G64" s="761"/>
      <c r="H64" s="761"/>
      <c r="I64" s="761"/>
      <c r="J64" s="761"/>
    </row>
    <row r="65" spans="1:10" ht="42.75" customHeight="1">
      <c r="A65" s="4335" t="s">
        <v>886</v>
      </c>
      <c r="B65" s="4335"/>
      <c r="C65" s="4335"/>
      <c r="D65" s="4335"/>
      <c r="E65" s="4335"/>
      <c r="F65" s="4335"/>
      <c r="G65" s="4335"/>
      <c r="H65" s="4335"/>
      <c r="I65" s="4335"/>
      <c r="J65" s="4335"/>
    </row>
  </sheetData>
  <mergeCells count="7">
    <mergeCell ref="A65:J65"/>
    <mergeCell ref="A2:J2"/>
    <mergeCell ref="A4:A5"/>
    <mergeCell ref="B4:B5"/>
    <mergeCell ref="C4:C5"/>
    <mergeCell ref="D4:I4"/>
    <mergeCell ref="J4:J5"/>
  </mergeCells>
  <hyperlinks>
    <hyperlink ref="A4:A5" location="'List danh mục'!A1" display="STT"/>
  </hyperlinks>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4"/>
  <sheetViews>
    <sheetView workbookViewId="0">
      <selection activeCell="A4" sqref="A4"/>
    </sheetView>
  </sheetViews>
  <sheetFormatPr defaultRowHeight="15.6"/>
  <sheetData>
    <row r="4" spans="1:1">
      <c r="A4" s="2165" t="s">
        <v>288</v>
      </c>
    </row>
  </sheetData>
  <hyperlinks>
    <hyperlink ref="A4" location="'List danh mục'!A1" display="Số TT"/>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136"/>
  <sheetViews>
    <sheetView workbookViewId="0">
      <pane xSplit="2" ySplit="4" topLeftCell="C29" activePane="bottomRight" state="frozen"/>
      <selection activeCell="C41" sqref="C41"/>
      <selection pane="topRight" activeCell="C41" sqref="C41"/>
      <selection pane="bottomLeft" activeCell="C41" sqref="C41"/>
      <selection pane="bottomRight" activeCell="C41" sqref="C41"/>
    </sheetView>
  </sheetViews>
  <sheetFormatPr defaultColWidth="8.69921875" defaultRowHeight="18"/>
  <cols>
    <col min="1" max="1" width="5.8984375" style="20" customWidth="1"/>
    <col min="2" max="2" width="27.19921875" style="37" customWidth="1"/>
    <col min="3" max="3" width="52.69921875" style="37" customWidth="1"/>
    <col min="4" max="4" width="19.3984375" style="37" customWidth="1"/>
    <col min="5" max="5" width="64.19921875" style="37" customWidth="1"/>
    <col min="6" max="16384" width="8.69921875" style="37"/>
  </cols>
  <sheetData>
    <row r="2" spans="1:7" s="2" customFormat="1" ht="17.399999999999999">
      <c r="A2" s="4299" t="s">
        <v>1940</v>
      </c>
      <c r="B2" s="4299"/>
      <c r="C2" s="4299"/>
      <c r="D2" s="4299"/>
      <c r="E2" s="4299"/>
      <c r="F2" s="4299"/>
      <c r="G2" s="4299"/>
    </row>
    <row r="3" spans="1:7" s="2" customFormat="1" ht="17.399999999999999">
      <c r="A3" s="38"/>
      <c r="B3" s="38"/>
      <c r="C3" s="38"/>
      <c r="D3" s="38"/>
      <c r="E3" s="38"/>
      <c r="F3" s="38"/>
      <c r="G3" s="38"/>
    </row>
    <row r="4" spans="1:7" s="38" customFormat="1" ht="17.399999999999999">
      <c r="A4" s="129" t="s">
        <v>288</v>
      </c>
      <c r="B4" s="129" t="s">
        <v>1941</v>
      </c>
      <c r="C4" s="129" t="s">
        <v>1942</v>
      </c>
      <c r="D4" s="129" t="s">
        <v>1943</v>
      </c>
      <c r="E4" s="129" t="s">
        <v>395</v>
      </c>
    </row>
    <row r="5" spans="1:7" s="38" customFormat="1" ht="17.399999999999999">
      <c r="A5" s="129"/>
      <c r="B5" s="129"/>
      <c r="C5" s="129"/>
      <c r="D5" s="129"/>
      <c r="E5" s="129"/>
    </row>
    <row r="6" spans="1:7">
      <c r="A6" s="1233">
        <v>1</v>
      </c>
      <c r="B6" s="2202" t="s">
        <v>1884</v>
      </c>
      <c r="C6" s="2266" t="s">
        <v>1886</v>
      </c>
      <c r="D6" s="4357" t="s">
        <v>1922</v>
      </c>
      <c r="E6" s="1234" t="s">
        <v>1888</v>
      </c>
    </row>
    <row r="7" spans="1:7">
      <c r="A7" s="1233">
        <v>2</v>
      </c>
      <c r="B7" s="2202" t="s">
        <v>1885</v>
      </c>
      <c r="C7" s="2266" t="s">
        <v>1887</v>
      </c>
      <c r="D7" s="4357"/>
      <c r="E7" s="1234" t="s">
        <v>1889</v>
      </c>
    </row>
    <row r="8" spans="1:7">
      <c r="A8" s="1233">
        <v>3</v>
      </c>
      <c r="B8" s="2202" t="s">
        <v>1053</v>
      </c>
      <c r="C8" s="2266" t="s">
        <v>1890</v>
      </c>
      <c r="D8" s="4357"/>
      <c r="E8" s="1234"/>
    </row>
    <row r="9" spans="1:7">
      <c r="A9" s="1233">
        <v>4</v>
      </c>
      <c r="B9" s="2202" t="s">
        <v>1893</v>
      </c>
      <c r="C9" s="2266" t="s">
        <v>1891</v>
      </c>
      <c r="D9" s="4357"/>
      <c r="E9" s="1234" t="s">
        <v>1892</v>
      </c>
    </row>
    <row r="10" spans="1:7">
      <c r="A10" s="1233">
        <v>5</v>
      </c>
      <c r="B10" s="2202" t="s">
        <v>1894</v>
      </c>
      <c r="C10" s="2266" t="s">
        <v>1895</v>
      </c>
      <c r="D10" s="4357"/>
      <c r="E10" s="1234"/>
    </row>
    <row r="11" spans="1:7">
      <c r="A11" s="1233">
        <v>6</v>
      </c>
      <c r="B11" s="2202" t="s">
        <v>1896</v>
      </c>
      <c r="C11" s="2266" t="s">
        <v>1897</v>
      </c>
      <c r="D11" s="4357"/>
      <c r="E11" s="1234"/>
    </row>
    <row r="12" spans="1:7">
      <c r="A12" s="1233">
        <v>7</v>
      </c>
      <c r="B12" s="2202" t="s">
        <v>1898</v>
      </c>
      <c r="C12" s="2266" t="s">
        <v>1899</v>
      </c>
      <c r="D12" s="4357"/>
      <c r="E12" s="1234"/>
    </row>
    <row r="13" spans="1:7">
      <c r="A13" s="1233">
        <v>8</v>
      </c>
      <c r="B13" s="2202" t="s">
        <v>1900</v>
      </c>
      <c r="C13" s="2266" t="s">
        <v>1901</v>
      </c>
      <c r="D13" s="4357"/>
      <c r="E13" s="1234"/>
    </row>
    <row r="14" spans="1:7">
      <c r="A14" s="1233">
        <v>9</v>
      </c>
      <c r="B14" s="2202" t="s">
        <v>1902</v>
      </c>
      <c r="C14" s="2266" t="s">
        <v>1903</v>
      </c>
      <c r="D14" s="4357"/>
      <c r="E14" s="1234"/>
    </row>
    <row r="15" spans="1:7">
      <c r="A15" s="1233">
        <v>10</v>
      </c>
      <c r="B15" s="2202" t="s">
        <v>2008</v>
      </c>
      <c r="C15" s="2266" t="s">
        <v>2009</v>
      </c>
      <c r="D15" s="2203"/>
      <c r="E15" s="1234" t="s">
        <v>2424</v>
      </c>
      <c r="F15" s="37" t="s">
        <v>2350</v>
      </c>
    </row>
    <row r="16" spans="1:7">
      <c r="A16" s="1233">
        <v>11</v>
      </c>
      <c r="B16" s="2202" t="s">
        <v>2010</v>
      </c>
      <c r="C16" s="2266" t="s">
        <v>2011</v>
      </c>
      <c r="D16" s="2203"/>
      <c r="E16" s="1234"/>
      <c r="F16" s="37" t="s">
        <v>2350</v>
      </c>
    </row>
    <row r="17" spans="1:6">
      <c r="A17" s="1233">
        <v>12</v>
      </c>
      <c r="B17" s="2202" t="s">
        <v>2012</v>
      </c>
      <c r="C17" s="2266" t="s">
        <v>2013</v>
      </c>
      <c r="D17" s="2203"/>
      <c r="E17" s="1234" t="s">
        <v>2409</v>
      </c>
      <c r="F17" s="37" t="s">
        <v>2350</v>
      </c>
    </row>
    <row r="18" spans="1:6">
      <c r="A18" s="1233">
        <v>13</v>
      </c>
      <c r="B18" s="2202" t="s">
        <v>2014</v>
      </c>
      <c r="C18" s="2266" t="s">
        <v>2017</v>
      </c>
      <c r="D18" s="2203"/>
      <c r="E18" s="1234" t="s">
        <v>2410</v>
      </c>
      <c r="F18" s="37" t="s">
        <v>2350</v>
      </c>
    </row>
    <row r="19" spans="1:6">
      <c r="A19" s="1233">
        <v>14</v>
      </c>
      <c r="B19" s="2362" t="s">
        <v>2015</v>
      </c>
      <c r="C19" s="2266" t="s">
        <v>2016</v>
      </c>
      <c r="D19" s="2204"/>
      <c r="E19" s="1234" t="s">
        <v>2411</v>
      </c>
      <c r="F19" s="37" t="s">
        <v>2350</v>
      </c>
    </row>
    <row r="20" spans="1:6">
      <c r="A20" s="1233">
        <v>15</v>
      </c>
      <c r="B20" s="2362" t="s">
        <v>2413</v>
      </c>
      <c r="C20" s="2266" t="s">
        <v>2018</v>
      </c>
      <c r="D20" s="2204"/>
      <c r="E20" s="1234" t="s">
        <v>2409</v>
      </c>
      <c r="F20" s="37" t="s">
        <v>2350</v>
      </c>
    </row>
    <row r="21" spans="1:6">
      <c r="A21" s="1233">
        <v>16</v>
      </c>
      <c r="B21" s="2363" t="s">
        <v>2412</v>
      </c>
      <c r="C21" s="2266"/>
      <c r="D21" s="2204"/>
      <c r="E21" s="1234" t="s">
        <v>2409</v>
      </c>
      <c r="F21" s="37" t="s">
        <v>2350</v>
      </c>
    </row>
    <row r="22" spans="1:6">
      <c r="A22" s="2368">
        <v>16</v>
      </c>
      <c r="B22" s="2202" t="s">
        <v>2019</v>
      </c>
      <c r="C22" s="2266" t="s">
        <v>2020</v>
      </c>
      <c r="D22" s="2204"/>
      <c r="E22" s="1234"/>
      <c r="F22" s="37" t="s">
        <v>2425</v>
      </c>
    </row>
    <row r="23" spans="1:6">
      <c r="A23" s="1233">
        <v>17</v>
      </c>
      <c r="B23" s="2202" t="s">
        <v>2021</v>
      </c>
      <c r="C23" s="2266" t="s">
        <v>2022</v>
      </c>
      <c r="D23" s="2204"/>
      <c r="E23" s="1234"/>
    </row>
    <row r="24" spans="1:6">
      <c r="A24" s="1233"/>
      <c r="B24" s="2202"/>
      <c r="C24" s="2266"/>
      <c r="D24" s="2204"/>
      <c r="E24" s="1234"/>
    </row>
    <row r="25" spans="1:6">
      <c r="A25" s="1233"/>
      <c r="B25" s="2202"/>
      <c r="C25" s="2266"/>
      <c r="D25" s="2204"/>
      <c r="E25" s="1234"/>
    </row>
    <row r="26" spans="1:6">
      <c r="A26" s="1233"/>
      <c r="B26" s="1234"/>
      <c r="C26" s="2266"/>
      <c r="D26" s="1234"/>
      <c r="E26" s="1234"/>
    </row>
    <row r="27" spans="1:6">
      <c r="A27" s="1233">
        <v>1</v>
      </c>
      <c r="B27" s="2202" t="s">
        <v>1904</v>
      </c>
      <c r="C27" s="2266" t="s">
        <v>1905</v>
      </c>
      <c r="D27" s="4358" t="s">
        <v>1923</v>
      </c>
      <c r="E27" s="1234" t="s">
        <v>2349</v>
      </c>
      <c r="F27" s="37" t="s">
        <v>2350</v>
      </c>
    </row>
    <row r="28" spans="1:6">
      <c r="A28" s="1233">
        <v>2</v>
      </c>
      <c r="B28" s="2202" t="s">
        <v>1906</v>
      </c>
      <c r="C28" s="2266" t="s">
        <v>1907</v>
      </c>
      <c r="D28" s="4358"/>
      <c r="E28" s="2266" t="s">
        <v>2352</v>
      </c>
      <c r="F28" s="37" t="s">
        <v>2350</v>
      </c>
    </row>
    <row r="29" spans="1:6">
      <c r="A29" s="1233">
        <v>3</v>
      </c>
      <c r="B29" s="2202" t="s">
        <v>1908</v>
      </c>
      <c r="C29" s="2266" t="s">
        <v>1909</v>
      </c>
      <c r="D29" s="4358"/>
      <c r="E29" s="1234" t="s">
        <v>2354</v>
      </c>
      <c r="F29" s="37" t="s">
        <v>2350</v>
      </c>
    </row>
    <row r="30" spans="1:6">
      <c r="A30" s="1233">
        <v>4</v>
      </c>
      <c r="B30" s="2202" t="s">
        <v>1910</v>
      </c>
      <c r="C30" s="2266" t="s">
        <v>1911</v>
      </c>
      <c r="D30" s="4358"/>
      <c r="E30" s="1234" t="s">
        <v>2357</v>
      </c>
      <c r="F30" s="37" t="s">
        <v>2350</v>
      </c>
    </row>
    <row r="31" spans="1:6">
      <c r="A31" s="1233">
        <v>5</v>
      </c>
      <c r="B31" s="2202" t="s">
        <v>1912</v>
      </c>
      <c r="C31" s="2266" t="s">
        <v>1913</v>
      </c>
      <c r="D31" s="4358"/>
      <c r="E31" s="1234" t="s">
        <v>2359</v>
      </c>
      <c r="F31" s="37" t="s">
        <v>2350</v>
      </c>
    </row>
    <row r="32" spans="1:6">
      <c r="A32" s="1233">
        <v>6</v>
      </c>
      <c r="B32" s="2202" t="s">
        <v>1914</v>
      </c>
      <c r="C32" s="2266" t="s">
        <v>1915</v>
      </c>
      <c r="D32" s="4358"/>
      <c r="E32" s="1234" t="s">
        <v>2372</v>
      </c>
      <c r="F32" s="37" t="s">
        <v>2350</v>
      </c>
    </row>
    <row r="33" spans="1:7">
      <c r="A33" s="1233">
        <v>7</v>
      </c>
      <c r="B33" s="2202" t="s">
        <v>1916</v>
      </c>
      <c r="C33" s="2266" t="s">
        <v>1917</v>
      </c>
      <c r="D33" s="4358"/>
      <c r="E33" s="1234" t="s">
        <v>2379</v>
      </c>
      <c r="F33" s="37" t="s">
        <v>2350</v>
      </c>
    </row>
    <row r="34" spans="1:7">
      <c r="A34" s="1233">
        <v>8</v>
      </c>
      <c r="B34" s="2202" t="s">
        <v>1918</v>
      </c>
      <c r="C34" s="2266" t="s">
        <v>1919</v>
      </c>
      <c r="D34" s="4358"/>
      <c r="E34" s="1234" t="s">
        <v>2387</v>
      </c>
      <c r="F34" s="37" t="s">
        <v>2350</v>
      </c>
    </row>
    <row r="35" spans="1:7">
      <c r="A35" s="1233">
        <v>9</v>
      </c>
      <c r="B35" s="2202" t="s">
        <v>1920</v>
      </c>
      <c r="C35" s="2266" t="s">
        <v>1921</v>
      </c>
      <c r="D35" s="4358"/>
      <c r="E35" s="1234" t="s">
        <v>2388</v>
      </c>
      <c r="F35" s="37" t="s">
        <v>2350</v>
      </c>
      <c r="G35" s="37" t="s">
        <v>2390</v>
      </c>
    </row>
    <row r="36" spans="1:7">
      <c r="A36" s="1233"/>
      <c r="B36" s="1234"/>
      <c r="C36" s="2266"/>
      <c r="D36" s="1234"/>
      <c r="E36" s="1234"/>
    </row>
    <row r="37" spans="1:7">
      <c r="A37" s="1233"/>
      <c r="B37" s="1234"/>
      <c r="C37" s="2266"/>
      <c r="D37" s="1234"/>
      <c r="E37" s="1234"/>
    </row>
    <row r="38" spans="1:7">
      <c r="A38" s="1233">
        <v>1</v>
      </c>
      <c r="B38" s="2202" t="s">
        <v>1924</v>
      </c>
      <c r="C38" s="2266" t="s">
        <v>1929</v>
      </c>
      <c r="D38" s="4359" t="s">
        <v>1936</v>
      </c>
      <c r="E38" s="1234"/>
    </row>
    <row r="39" spans="1:7">
      <c r="A39" s="1233">
        <v>2</v>
      </c>
      <c r="B39" s="2202" t="s">
        <v>1925</v>
      </c>
      <c r="C39" s="2266" t="s">
        <v>1927</v>
      </c>
      <c r="D39" s="4359"/>
      <c r="E39" s="1234"/>
    </row>
    <row r="40" spans="1:7">
      <c r="A40" s="1233">
        <v>3</v>
      </c>
      <c r="B40" s="2202" t="s">
        <v>1926</v>
      </c>
      <c r="C40" s="2266" t="s">
        <v>1928</v>
      </c>
      <c r="D40" s="4359"/>
      <c r="E40" s="1234"/>
    </row>
    <row r="41" spans="1:7">
      <c r="A41" s="1233">
        <v>4</v>
      </c>
      <c r="B41" s="2202" t="s">
        <v>1931</v>
      </c>
      <c r="C41" s="2266" t="s">
        <v>1930</v>
      </c>
      <c r="D41" s="4359"/>
      <c r="E41" s="1234"/>
    </row>
    <row r="42" spans="1:7">
      <c r="A42" s="1233">
        <v>5</v>
      </c>
      <c r="B42" s="2202" t="s">
        <v>1932</v>
      </c>
      <c r="C42" s="2266" t="s">
        <v>1933</v>
      </c>
      <c r="D42" s="4359"/>
      <c r="E42" s="1234"/>
    </row>
    <row r="43" spans="1:7">
      <c r="A43" s="1233">
        <v>6</v>
      </c>
      <c r="B43" s="2202" t="s">
        <v>1934</v>
      </c>
      <c r="C43" s="2266" t="s">
        <v>1935</v>
      </c>
      <c r="D43" s="4359"/>
      <c r="E43" s="1234"/>
    </row>
    <row r="44" spans="1:7">
      <c r="A44" s="1233">
        <v>7</v>
      </c>
      <c r="B44" s="2202" t="s">
        <v>1937</v>
      </c>
      <c r="C44" s="2266" t="s">
        <v>1938</v>
      </c>
      <c r="D44" s="4359"/>
      <c r="E44" s="1234"/>
    </row>
    <row r="45" spans="1:7">
      <c r="A45" s="1233">
        <v>8</v>
      </c>
      <c r="B45" s="2362" t="s">
        <v>1939</v>
      </c>
      <c r="C45" s="2266" t="s">
        <v>2484</v>
      </c>
      <c r="D45" s="4359"/>
      <c r="E45" s="1234"/>
    </row>
    <row r="46" spans="1:7">
      <c r="A46" s="1233"/>
      <c r="B46" s="1234"/>
      <c r="C46" s="2266"/>
      <c r="D46" s="4359"/>
      <c r="E46" s="1234"/>
    </row>
    <row r="47" spans="1:7">
      <c r="A47" s="1233"/>
      <c r="B47" s="1234"/>
      <c r="C47" s="2266"/>
      <c r="D47" s="1234"/>
      <c r="E47" s="1234"/>
    </row>
    <row r="48" spans="1:7">
      <c r="A48" s="1233">
        <v>1</v>
      </c>
      <c r="B48" s="2202" t="s">
        <v>2050</v>
      </c>
      <c r="C48" s="2266" t="s">
        <v>2051</v>
      </c>
      <c r="D48" s="4345" t="s">
        <v>2064</v>
      </c>
      <c r="E48" s="1234" t="s">
        <v>2393</v>
      </c>
      <c r="F48" s="37" t="s">
        <v>2350</v>
      </c>
    </row>
    <row r="49" spans="1:6">
      <c r="A49" s="1233">
        <v>2</v>
      </c>
      <c r="B49" s="2202" t="s">
        <v>2052</v>
      </c>
      <c r="C49" s="2266" t="s">
        <v>2053</v>
      </c>
      <c r="D49" s="4346"/>
      <c r="E49" s="1234" t="s">
        <v>2392</v>
      </c>
      <c r="F49" s="37" t="s">
        <v>2350</v>
      </c>
    </row>
    <row r="50" spans="1:6">
      <c r="A50" s="1233">
        <v>3</v>
      </c>
      <c r="B50" s="2202" t="s">
        <v>2054</v>
      </c>
      <c r="C50" s="2266" t="s">
        <v>2057</v>
      </c>
      <c r="D50" s="4346"/>
      <c r="E50" s="1234" t="s">
        <v>2394</v>
      </c>
      <c r="F50" s="37" t="s">
        <v>2350</v>
      </c>
    </row>
    <row r="51" spans="1:6">
      <c r="A51" s="1233">
        <v>4</v>
      </c>
      <c r="B51" s="2202" t="s">
        <v>2055</v>
      </c>
      <c r="C51" s="2266" t="s">
        <v>2058</v>
      </c>
      <c r="D51" s="4346"/>
      <c r="E51" s="1234" t="s">
        <v>2407</v>
      </c>
      <c r="F51" s="37" t="s">
        <v>2350</v>
      </c>
    </row>
    <row r="52" spans="1:6">
      <c r="A52" s="1233">
        <v>5</v>
      </c>
      <c r="B52" s="2202" t="s">
        <v>2056</v>
      </c>
      <c r="C52" s="2266" t="s">
        <v>2059</v>
      </c>
      <c r="D52" s="4347"/>
      <c r="E52" s="1234" t="s">
        <v>2408</v>
      </c>
      <c r="F52" s="37" t="s">
        <v>2350</v>
      </c>
    </row>
    <row r="53" spans="1:6">
      <c r="A53" s="1233"/>
      <c r="B53" s="1234"/>
      <c r="C53" s="2266"/>
      <c r="D53" s="1234"/>
      <c r="E53" s="1234"/>
    </row>
    <row r="54" spans="1:6">
      <c r="A54" s="1233">
        <v>1</v>
      </c>
      <c r="B54" s="2202" t="s">
        <v>1944</v>
      </c>
      <c r="C54" s="2266" t="s">
        <v>1945</v>
      </c>
      <c r="D54" s="4348"/>
      <c r="E54" s="1234"/>
    </row>
    <row r="55" spans="1:6">
      <c r="A55" s="1233">
        <v>2</v>
      </c>
      <c r="B55" s="2202" t="s">
        <v>1946</v>
      </c>
      <c r="C55" s="2266" t="s">
        <v>1947</v>
      </c>
      <c r="D55" s="4349"/>
      <c r="E55" s="1234"/>
    </row>
    <row r="56" spans="1:6">
      <c r="A56" s="1233">
        <v>3</v>
      </c>
      <c r="B56" s="2202" t="s">
        <v>1975</v>
      </c>
      <c r="C56" s="2266" t="s">
        <v>1976</v>
      </c>
      <c r="D56" s="4349"/>
      <c r="E56" s="1234"/>
    </row>
    <row r="57" spans="1:6">
      <c r="A57" s="1233">
        <v>4</v>
      </c>
      <c r="B57" s="2202" t="s">
        <v>1983</v>
      </c>
      <c r="C57" s="2266" t="s">
        <v>1984</v>
      </c>
      <c r="D57" s="4349"/>
      <c r="E57" s="1234"/>
    </row>
    <row r="58" spans="1:6">
      <c r="A58" s="1233">
        <v>5</v>
      </c>
      <c r="B58" s="2202" t="s">
        <v>1985</v>
      </c>
      <c r="C58" s="2266" t="s">
        <v>1986</v>
      </c>
      <c r="D58" s="4349"/>
      <c r="E58" s="1234"/>
    </row>
    <row r="59" spans="1:6">
      <c r="A59" s="1233">
        <v>6</v>
      </c>
      <c r="B59" s="2202" t="s">
        <v>1987</v>
      </c>
      <c r="C59" s="2266" t="s">
        <v>1990</v>
      </c>
      <c r="D59" s="4349"/>
      <c r="E59" s="1234"/>
    </row>
    <row r="60" spans="1:6">
      <c r="A60" s="1233">
        <v>7</v>
      </c>
      <c r="B60" s="2202" t="s">
        <v>1988</v>
      </c>
      <c r="C60" s="2266" t="s">
        <v>1989</v>
      </c>
      <c r="D60" s="4349"/>
      <c r="E60" s="1234"/>
    </row>
    <row r="61" spans="1:6">
      <c r="A61" s="1233">
        <v>8</v>
      </c>
      <c r="B61" s="2202" t="s">
        <v>1977</v>
      </c>
      <c r="C61" s="2266" t="s">
        <v>1978</v>
      </c>
      <c r="D61" s="4349"/>
      <c r="E61" s="1234"/>
    </row>
    <row r="62" spans="1:6">
      <c r="A62" s="1233">
        <v>9</v>
      </c>
      <c r="B62" s="2202" t="s">
        <v>1979</v>
      </c>
      <c r="C62" s="2266" t="s">
        <v>1980</v>
      </c>
      <c r="D62" s="4349"/>
      <c r="E62" s="1234"/>
    </row>
    <row r="63" spans="1:6">
      <c r="A63" s="1233">
        <v>10</v>
      </c>
      <c r="B63" s="2202" t="s">
        <v>1981</v>
      </c>
      <c r="C63" s="2266" t="s">
        <v>1982</v>
      </c>
      <c r="D63" s="4350"/>
      <c r="E63" s="1234"/>
    </row>
    <row r="64" spans="1:6">
      <c r="A64" s="1233"/>
      <c r="B64" s="1234"/>
      <c r="C64" s="2266"/>
      <c r="D64" s="2205"/>
      <c r="E64" s="1234"/>
    </row>
    <row r="65" spans="1:5">
      <c r="A65" s="1233"/>
      <c r="B65" s="1234"/>
      <c r="C65" s="2266"/>
      <c r="D65" s="2205"/>
      <c r="E65" s="1234"/>
    </row>
    <row r="66" spans="1:5">
      <c r="A66" s="1233">
        <v>1</v>
      </c>
      <c r="B66" s="2202" t="s">
        <v>1991</v>
      </c>
      <c r="C66" s="2266" t="s">
        <v>1992</v>
      </c>
      <c r="D66" s="4351"/>
      <c r="E66" s="1234"/>
    </row>
    <row r="67" spans="1:5">
      <c r="A67" s="1233">
        <v>2</v>
      </c>
      <c r="B67" s="2202" t="s">
        <v>1994</v>
      </c>
      <c r="C67" s="2266" t="s">
        <v>1993</v>
      </c>
      <c r="D67" s="4352"/>
      <c r="E67" s="1234" t="s">
        <v>1995</v>
      </c>
    </row>
    <row r="68" spans="1:5">
      <c r="A68" s="1233">
        <v>3</v>
      </c>
      <c r="B68" s="2202" t="s">
        <v>1996</v>
      </c>
      <c r="C68" s="2266" t="s">
        <v>1997</v>
      </c>
      <c r="D68" s="4352"/>
      <c r="E68" s="1234"/>
    </row>
    <row r="69" spans="1:5">
      <c r="A69" s="1233">
        <v>4</v>
      </c>
      <c r="B69" s="2202" t="s">
        <v>1998</v>
      </c>
      <c r="C69" s="2266" t="s">
        <v>1999</v>
      </c>
      <c r="D69" s="4352"/>
      <c r="E69" s="1234"/>
    </row>
    <row r="70" spans="1:5">
      <c r="A70" s="1233">
        <v>5</v>
      </c>
      <c r="B70" s="2202" t="s">
        <v>2000</v>
      </c>
      <c r="C70" s="2266" t="s">
        <v>2001</v>
      </c>
      <c r="D70" s="4352"/>
      <c r="E70" s="1234"/>
    </row>
    <row r="71" spans="1:5">
      <c r="A71" s="1233">
        <v>6</v>
      </c>
      <c r="B71" s="2202" t="s">
        <v>2002</v>
      </c>
      <c r="C71" s="2266" t="s">
        <v>2003</v>
      </c>
      <c r="D71" s="4352"/>
      <c r="E71" s="1234"/>
    </row>
    <row r="72" spans="1:5">
      <c r="A72" s="1233">
        <v>7</v>
      </c>
      <c r="B72" s="2202" t="s">
        <v>2004</v>
      </c>
      <c r="C72" s="2266" t="s">
        <v>2005</v>
      </c>
      <c r="D72" s="4352"/>
      <c r="E72" s="1234"/>
    </row>
    <row r="73" spans="1:5">
      <c r="A73" s="1233">
        <v>8</v>
      </c>
      <c r="B73" s="2202" t="s">
        <v>2023</v>
      </c>
      <c r="C73" s="2266" t="s">
        <v>2024</v>
      </c>
      <c r="D73" s="4352"/>
      <c r="E73" s="1234"/>
    </row>
    <row r="74" spans="1:5">
      <c r="A74" s="1233">
        <v>9</v>
      </c>
      <c r="B74" s="2202" t="s">
        <v>2025</v>
      </c>
      <c r="C74" s="2266" t="s">
        <v>2026</v>
      </c>
      <c r="D74" s="4352"/>
      <c r="E74" s="1234"/>
    </row>
    <row r="75" spans="1:5">
      <c r="A75" s="1233">
        <v>10</v>
      </c>
      <c r="B75" s="2202" t="s">
        <v>2027</v>
      </c>
      <c r="C75" s="2266" t="s">
        <v>2028</v>
      </c>
      <c r="D75" s="4352"/>
      <c r="E75" s="1234"/>
    </row>
    <row r="76" spans="1:5">
      <c r="A76" s="1233">
        <v>11</v>
      </c>
      <c r="B76" s="2202" t="s">
        <v>2029</v>
      </c>
      <c r="C76" s="2266" t="s">
        <v>2030</v>
      </c>
      <c r="D76" s="4352"/>
      <c r="E76" s="1234"/>
    </row>
    <row r="77" spans="1:5">
      <c r="A77" s="1233">
        <v>12</v>
      </c>
      <c r="B77" s="2202" t="s">
        <v>2062</v>
      </c>
      <c r="C77" s="2266" t="s">
        <v>2060</v>
      </c>
      <c r="D77" s="4352"/>
      <c r="E77" s="1234"/>
    </row>
    <row r="78" spans="1:5">
      <c r="A78" s="1233">
        <v>13</v>
      </c>
      <c r="B78" s="2202" t="s">
        <v>2061</v>
      </c>
      <c r="C78" s="2266" t="s">
        <v>2063</v>
      </c>
      <c r="D78" s="4353"/>
      <c r="E78" s="1234"/>
    </row>
    <row r="79" spans="1:5">
      <c r="A79" s="1233"/>
      <c r="B79" s="1234"/>
      <c r="C79" s="2266"/>
      <c r="D79" s="1234"/>
      <c r="E79" s="1234"/>
    </row>
    <row r="80" spans="1:5">
      <c r="A80" s="1233">
        <v>1</v>
      </c>
      <c r="B80" s="2202" t="s">
        <v>2031</v>
      </c>
      <c r="C80" s="2266" t="s">
        <v>2032</v>
      </c>
      <c r="D80" s="4354"/>
      <c r="E80" s="1234"/>
    </row>
    <row r="81" spans="1:6">
      <c r="A81" s="1233">
        <v>2</v>
      </c>
      <c r="B81" s="2202" t="s">
        <v>2033</v>
      </c>
      <c r="C81" s="2266" t="s">
        <v>2034</v>
      </c>
      <c r="D81" s="4355"/>
      <c r="E81" s="1234"/>
    </row>
    <row r="82" spans="1:6">
      <c r="A82" s="1233">
        <v>3</v>
      </c>
      <c r="B82" s="2202" t="s">
        <v>2035</v>
      </c>
      <c r="C82" s="2266" t="s">
        <v>2036</v>
      </c>
      <c r="D82" s="4355"/>
      <c r="E82" s="1234"/>
    </row>
    <row r="83" spans="1:6">
      <c r="A83" s="1233">
        <v>4</v>
      </c>
      <c r="B83" s="2202" t="s">
        <v>2037</v>
      </c>
      <c r="C83" s="2266" t="s">
        <v>2038</v>
      </c>
      <c r="D83" s="4356"/>
      <c r="E83" s="1234"/>
    </row>
    <row r="84" spans="1:6">
      <c r="A84" s="1233"/>
      <c r="B84" s="1234"/>
      <c r="C84" s="2266"/>
      <c r="D84" s="1234"/>
      <c r="E84" s="1234"/>
    </row>
    <row r="85" spans="1:6">
      <c r="A85" s="1233"/>
      <c r="B85" s="1234"/>
      <c r="C85" s="2266"/>
      <c r="D85" s="1234"/>
      <c r="E85" s="1234"/>
    </row>
    <row r="86" spans="1:6">
      <c r="A86" s="1233">
        <v>1</v>
      </c>
      <c r="B86" s="2202" t="s">
        <v>2065</v>
      </c>
      <c r="C86" s="2266" t="s">
        <v>2070</v>
      </c>
      <c r="D86" s="1234"/>
      <c r="E86" s="1234" t="s">
        <v>1904</v>
      </c>
      <c r="F86" s="37" t="s">
        <v>2350</v>
      </c>
    </row>
    <row r="87" spans="1:6">
      <c r="A87" s="1233">
        <v>2</v>
      </c>
      <c r="B87" s="2202" t="s">
        <v>2066</v>
      </c>
      <c r="C87" s="2266" t="s">
        <v>2069</v>
      </c>
      <c r="D87" s="1234"/>
      <c r="E87" s="1234" t="s">
        <v>1906</v>
      </c>
      <c r="F87" s="37" t="s">
        <v>2350</v>
      </c>
    </row>
    <row r="88" spans="1:6">
      <c r="A88" s="1233">
        <v>3</v>
      </c>
      <c r="B88" s="2202" t="s">
        <v>2067</v>
      </c>
      <c r="C88" s="2266" t="s">
        <v>2068</v>
      </c>
      <c r="D88" s="1234"/>
      <c r="E88" s="1234" t="s">
        <v>1908</v>
      </c>
      <c r="F88" s="37" t="s">
        <v>2350</v>
      </c>
    </row>
    <row r="89" spans="1:6">
      <c r="A89" s="1233">
        <v>4</v>
      </c>
      <c r="B89" s="2202" t="s">
        <v>2074</v>
      </c>
      <c r="C89" s="2266" t="s">
        <v>2072</v>
      </c>
      <c r="D89" s="1234"/>
      <c r="E89" s="1234" t="s">
        <v>2415</v>
      </c>
      <c r="F89" s="37" t="s">
        <v>2350</v>
      </c>
    </row>
    <row r="90" spans="1:6">
      <c r="A90" s="1233">
        <v>5</v>
      </c>
      <c r="B90" s="2202" t="s">
        <v>2073</v>
      </c>
      <c r="C90" s="2266" t="s">
        <v>2075</v>
      </c>
      <c r="D90" s="1234"/>
      <c r="E90" s="1234" t="s">
        <v>1920</v>
      </c>
      <c r="F90" s="37" t="s">
        <v>2350</v>
      </c>
    </row>
    <row r="91" spans="1:6">
      <c r="A91" s="1233">
        <v>6</v>
      </c>
      <c r="B91" s="2202" t="s">
        <v>2076</v>
      </c>
      <c r="C91" s="2266" t="s">
        <v>1919</v>
      </c>
      <c r="D91" s="1234"/>
      <c r="E91" s="1234" t="s">
        <v>1918</v>
      </c>
      <c r="F91" s="37" t="s">
        <v>2350</v>
      </c>
    </row>
    <row r="92" spans="1:6">
      <c r="A92" s="1233">
        <v>7</v>
      </c>
      <c r="B92" s="2202" t="s">
        <v>2077</v>
      </c>
      <c r="C92" s="2266" t="s">
        <v>2078</v>
      </c>
      <c r="D92" s="1234"/>
      <c r="E92" s="1234" t="s">
        <v>2079</v>
      </c>
      <c r="F92" s="37" t="s">
        <v>2350</v>
      </c>
    </row>
    <row r="93" spans="1:6">
      <c r="A93" s="1233">
        <v>8</v>
      </c>
      <c r="B93" s="2202" t="s">
        <v>2080</v>
      </c>
      <c r="C93" s="2266" t="s">
        <v>2103</v>
      </c>
      <c r="D93" s="1234"/>
      <c r="E93" s="1234" t="s">
        <v>2417</v>
      </c>
      <c r="F93" s="37" t="s">
        <v>2350</v>
      </c>
    </row>
    <row r="94" spans="1:6">
      <c r="A94" s="1233">
        <v>9</v>
      </c>
      <c r="B94" s="2202" t="s">
        <v>2263</v>
      </c>
      <c r="C94" s="2266" t="s">
        <v>2264</v>
      </c>
      <c r="D94" s="1234"/>
      <c r="E94" s="1234" t="s">
        <v>2419</v>
      </c>
      <c r="F94" s="37" t="s">
        <v>2350</v>
      </c>
    </row>
    <row r="95" spans="1:6">
      <c r="A95" s="1233">
        <v>10</v>
      </c>
      <c r="B95" s="2202" t="s">
        <v>2265</v>
      </c>
      <c r="C95" s="2266" t="s">
        <v>2266</v>
      </c>
      <c r="D95" s="1234"/>
      <c r="E95" s="1234" t="s">
        <v>2267</v>
      </c>
      <c r="F95" s="37" t="s">
        <v>2350</v>
      </c>
    </row>
    <row r="96" spans="1:6">
      <c r="A96" s="1233"/>
      <c r="B96" s="2202"/>
      <c r="C96" s="2266"/>
      <c r="D96" s="1234"/>
      <c r="E96" s="1234"/>
    </row>
    <row r="97" spans="1:6" s="154" customFormat="1">
      <c r="A97" s="1235">
        <v>1</v>
      </c>
      <c r="B97" s="2397" t="s">
        <v>2276</v>
      </c>
      <c r="C97" s="2398" t="s">
        <v>2070</v>
      </c>
      <c r="D97" s="1236"/>
      <c r="E97" s="2398" t="s">
        <v>2430</v>
      </c>
      <c r="F97" s="154" t="s">
        <v>2350</v>
      </c>
    </row>
    <row r="98" spans="1:6" s="154" customFormat="1">
      <c r="A98" s="1235">
        <v>2</v>
      </c>
      <c r="B98" s="2397" t="s">
        <v>2286</v>
      </c>
      <c r="C98" s="2398" t="s">
        <v>2287</v>
      </c>
      <c r="D98" s="1236"/>
      <c r="E98" s="2398" t="s">
        <v>2432</v>
      </c>
      <c r="F98" s="154" t="s">
        <v>2350</v>
      </c>
    </row>
    <row r="99" spans="1:6">
      <c r="A99" s="1233">
        <v>3</v>
      </c>
      <c r="B99" s="2202" t="s">
        <v>2297</v>
      </c>
      <c r="C99" s="2266" t="s">
        <v>2298</v>
      </c>
      <c r="D99" s="1234"/>
      <c r="E99" s="1234" t="s">
        <v>2433</v>
      </c>
      <c r="F99" s="37" t="s">
        <v>2350</v>
      </c>
    </row>
    <row r="100" spans="1:6">
      <c r="A100" s="1233">
        <v>4</v>
      </c>
      <c r="B100" s="2362" t="s">
        <v>2300</v>
      </c>
      <c r="C100" s="2266" t="s">
        <v>2301</v>
      </c>
      <c r="D100" s="1234"/>
      <c r="E100" s="1234" t="s">
        <v>2434</v>
      </c>
      <c r="F100" s="37" t="s">
        <v>2350</v>
      </c>
    </row>
    <row r="101" spans="1:6">
      <c r="A101" s="1233">
        <v>5</v>
      </c>
      <c r="B101" s="2202" t="s">
        <v>2305</v>
      </c>
      <c r="C101" s="2266" t="s">
        <v>2306</v>
      </c>
      <c r="D101" s="1234"/>
      <c r="E101" s="1234" t="s">
        <v>2436</v>
      </c>
      <c r="F101" s="37" t="s">
        <v>2350</v>
      </c>
    </row>
    <row r="102" spans="1:6">
      <c r="A102" s="1233">
        <v>6</v>
      </c>
      <c r="B102" s="2362" t="s">
        <v>2307</v>
      </c>
      <c r="C102" s="2266" t="s">
        <v>2439</v>
      </c>
      <c r="D102" s="1234"/>
      <c r="E102" s="1234" t="s">
        <v>2437</v>
      </c>
      <c r="F102" s="37" t="s">
        <v>2350</v>
      </c>
    </row>
    <row r="103" spans="1:6">
      <c r="A103" s="1233">
        <v>7</v>
      </c>
      <c r="B103" s="1234" t="s">
        <v>2309</v>
      </c>
      <c r="C103" s="2266"/>
      <c r="D103" s="1234"/>
      <c r="E103" s="1234" t="s">
        <v>2438</v>
      </c>
      <c r="F103" s="37" t="s">
        <v>2350</v>
      </c>
    </row>
    <row r="104" spans="1:6">
      <c r="A104" s="1233">
        <v>8</v>
      </c>
      <c r="B104" s="2362" t="s">
        <v>2310</v>
      </c>
      <c r="C104" s="2266" t="s">
        <v>2308</v>
      </c>
      <c r="D104" s="1234"/>
      <c r="E104" s="1234" t="s">
        <v>2437</v>
      </c>
      <c r="F104" s="37" t="s">
        <v>2350</v>
      </c>
    </row>
    <row r="105" spans="1:6">
      <c r="A105" s="1233">
        <v>9</v>
      </c>
      <c r="B105" s="2202" t="s">
        <v>2315</v>
      </c>
      <c r="C105" s="2266" t="s">
        <v>2316</v>
      </c>
      <c r="D105" s="1234"/>
      <c r="E105" s="1234" t="s">
        <v>2277</v>
      </c>
    </row>
    <row r="106" spans="1:6">
      <c r="A106" s="1233">
        <v>10</v>
      </c>
      <c r="B106" s="2202" t="s">
        <v>2317</v>
      </c>
      <c r="C106" s="2266" t="s">
        <v>2318</v>
      </c>
      <c r="D106" s="1234"/>
      <c r="E106" s="1234" t="s">
        <v>2444</v>
      </c>
      <c r="F106" s="37" t="s">
        <v>2350</v>
      </c>
    </row>
    <row r="107" spans="1:6">
      <c r="A107" s="1233">
        <v>11</v>
      </c>
      <c r="B107" s="2202" t="s">
        <v>2319</v>
      </c>
      <c r="C107" s="2266" t="s">
        <v>2320</v>
      </c>
      <c r="D107" s="1234"/>
      <c r="E107" s="1234" t="s">
        <v>2445</v>
      </c>
      <c r="F107" s="37" t="s">
        <v>2350</v>
      </c>
    </row>
    <row r="108" spans="1:6">
      <c r="A108" s="1233">
        <v>12</v>
      </c>
      <c r="B108" s="2362" t="s">
        <v>2321</v>
      </c>
      <c r="C108" s="2266" t="s">
        <v>2322</v>
      </c>
      <c r="D108" s="1234"/>
      <c r="E108" s="1234" t="s">
        <v>2446</v>
      </c>
      <c r="F108" s="37" t="s">
        <v>2350</v>
      </c>
    </row>
    <row r="109" spans="1:6">
      <c r="A109" s="1233">
        <v>13</v>
      </c>
      <c r="B109" s="1234" t="s">
        <v>2323</v>
      </c>
      <c r="C109" s="2266"/>
      <c r="D109" s="1234"/>
      <c r="E109" s="1234" t="s">
        <v>2438</v>
      </c>
      <c r="F109" s="37" t="s">
        <v>2350</v>
      </c>
    </row>
    <row r="110" spans="1:6">
      <c r="A110" s="1233">
        <v>14</v>
      </c>
      <c r="B110" s="2202" t="s">
        <v>2324</v>
      </c>
      <c r="C110" s="2266" t="s">
        <v>2325</v>
      </c>
      <c r="D110" s="1234"/>
      <c r="E110" s="1234" t="s">
        <v>2447</v>
      </c>
      <c r="F110" s="37" t="s">
        <v>2350</v>
      </c>
    </row>
    <row r="111" spans="1:6">
      <c r="A111" s="1233">
        <v>15</v>
      </c>
      <c r="B111" s="2202" t="s">
        <v>2326</v>
      </c>
      <c r="C111" s="2266" t="s">
        <v>2327</v>
      </c>
      <c r="D111" s="1234"/>
      <c r="E111" s="1234" t="s">
        <v>2448</v>
      </c>
      <c r="F111" s="37" t="s">
        <v>2350</v>
      </c>
    </row>
    <row r="112" spans="1:6">
      <c r="A112" s="1233">
        <v>16</v>
      </c>
      <c r="B112" s="2202" t="s">
        <v>2328</v>
      </c>
      <c r="C112" s="2266" t="s">
        <v>2329</v>
      </c>
      <c r="D112" s="1234"/>
      <c r="E112" s="1234" t="s">
        <v>2449</v>
      </c>
      <c r="F112" s="37" t="s">
        <v>2350</v>
      </c>
    </row>
    <row r="113" spans="1:6">
      <c r="A113" s="1233">
        <v>17</v>
      </c>
      <c r="B113" s="2202" t="s">
        <v>2330</v>
      </c>
      <c r="C113" s="2266" t="s">
        <v>2331</v>
      </c>
      <c r="D113" s="1234"/>
      <c r="E113" s="1234" t="s">
        <v>2450</v>
      </c>
      <c r="F113" s="37" t="s">
        <v>2350</v>
      </c>
    </row>
    <row r="114" spans="1:6">
      <c r="A114" s="1233">
        <v>18</v>
      </c>
      <c r="B114" s="2202" t="s">
        <v>2332</v>
      </c>
      <c r="C114" s="2266" t="s">
        <v>2333</v>
      </c>
      <c r="D114" s="1234"/>
      <c r="E114" s="1234" t="s">
        <v>2451</v>
      </c>
    </row>
    <row r="115" spans="1:6">
      <c r="A115" s="1233">
        <v>19</v>
      </c>
      <c r="B115" s="2202" t="s">
        <v>2334</v>
      </c>
      <c r="C115" s="2266" t="s">
        <v>2335</v>
      </c>
      <c r="D115" s="1234"/>
      <c r="E115" s="1234" t="s">
        <v>2452</v>
      </c>
    </row>
    <row r="116" spans="1:6">
      <c r="A116" s="1233">
        <v>20</v>
      </c>
      <c r="B116" s="1234" t="s">
        <v>2336</v>
      </c>
      <c r="C116" s="2266"/>
      <c r="D116" s="1234"/>
      <c r="E116" s="1234" t="s">
        <v>2438</v>
      </c>
      <c r="F116" s="37" t="s">
        <v>2350</v>
      </c>
    </row>
    <row r="117" spans="1:6">
      <c r="A117" s="1233">
        <v>21</v>
      </c>
      <c r="B117" s="2202" t="s">
        <v>2337</v>
      </c>
      <c r="C117" s="2266" t="s">
        <v>2338</v>
      </c>
      <c r="D117" s="1234"/>
      <c r="E117" s="1234" t="s">
        <v>2453</v>
      </c>
      <c r="F117" s="37" t="s">
        <v>2350</v>
      </c>
    </row>
    <row r="118" spans="1:6">
      <c r="A118" s="1233">
        <v>22</v>
      </c>
      <c r="B118" s="2202" t="s">
        <v>2339</v>
      </c>
      <c r="C118" s="2266" t="s">
        <v>2340</v>
      </c>
      <c r="D118" s="1234"/>
      <c r="E118" s="1234" t="s">
        <v>2454</v>
      </c>
      <c r="F118" s="37" t="s">
        <v>2350</v>
      </c>
    </row>
    <row r="119" spans="1:6">
      <c r="A119" s="1233">
        <v>23</v>
      </c>
      <c r="B119" s="2202" t="s">
        <v>2341</v>
      </c>
      <c r="C119" s="2266" t="s">
        <v>2342</v>
      </c>
      <c r="D119" s="1234"/>
      <c r="E119" s="1234" t="s">
        <v>2440</v>
      </c>
      <c r="F119" s="37" t="s">
        <v>2350</v>
      </c>
    </row>
    <row r="120" spans="1:6">
      <c r="A120" s="1233">
        <v>24</v>
      </c>
      <c r="B120" s="2202" t="s">
        <v>2343</v>
      </c>
      <c r="C120" s="2266" t="s">
        <v>2344</v>
      </c>
      <c r="D120" s="1234"/>
      <c r="E120" s="2266" t="s">
        <v>2442</v>
      </c>
      <c r="F120" s="37" t="s">
        <v>2350</v>
      </c>
    </row>
    <row r="121" spans="1:6">
      <c r="A121" s="1233">
        <v>25</v>
      </c>
      <c r="B121" s="2202" t="s">
        <v>2346</v>
      </c>
      <c r="C121" s="2266" t="s">
        <v>2345</v>
      </c>
      <c r="D121" s="1234"/>
      <c r="E121" s="1234" t="s">
        <v>2407</v>
      </c>
      <c r="F121" s="37" t="s">
        <v>2350</v>
      </c>
    </row>
    <row r="122" spans="1:6">
      <c r="A122" s="1233"/>
      <c r="B122" s="1234"/>
      <c r="C122" s="2266"/>
      <c r="D122" s="1234"/>
      <c r="E122" s="1234"/>
    </row>
    <row r="123" spans="1:6">
      <c r="C123" s="2575"/>
    </row>
    <row r="124" spans="1:6">
      <c r="A124" s="1233">
        <v>1</v>
      </c>
      <c r="B124" s="2202" t="s">
        <v>247</v>
      </c>
      <c r="C124" s="2266" t="s">
        <v>2497</v>
      </c>
      <c r="D124" s="4344" t="s">
        <v>2519</v>
      </c>
      <c r="E124" s="1234" t="s">
        <v>2517</v>
      </c>
    </row>
    <row r="125" spans="1:6">
      <c r="A125" s="1233">
        <v>2</v>
      </c>
      <c r="B125" s="2202" t="s">
        <v>2496</v>
      </c>
      <c r="C125" s="2266" t="s">
        <v>2498</v>
      </c>
      <c r="D125" s="4344"/>
      <c r="E125" s="1234" t="s">
        <v>2517</v>
      </c>
    </row>
    <row r="126" spans="1:6">
      <c r="A126" s="1233">
        <v>3</v>
      </c>
      <c r="B126" s="2202" t="s">
        <v>249</v>
      </c>
      <c r="C126" s="2266" t="s">
        <v>2499</v>
      </c>
      <c r="D126" s="4344"/>
      <c r="E126" s="1234" t="s">
        <v>2517</v>
      </c>
    </row>
    <row r="127" spans="1:6">
      <c r="A127" s="1233">
        <v>4</v>
      </c>
      <c r="B127" s="2202" t="s">
        <v>2510</v>
      </c>
      <c r="C127" s="2266" t="s">
        <v>2500</v>
      </c>
      <c r="D127" s="4344"/>
      <c r="E127" s="1234" t="s">
        <v>2517</v>
      </c>
    </row>
    <row r="128" spans="1:6">
      <c r="A128" s="1233">
        <v>5</v>
      </c>
      <c r="B128" s="2202" t="s">
        <v>2511</v>
      </c>
      <c r="C128" s="2266" t="s">
        <v>2501</v>
      </c>
      <c r="D128" s="4344"/>
      <c r="E128" s="1234" t="s">
        <v>2517</v>
      </c>
    </row>
    <row r="129" spans="1:5">
      <c r="A129" s="1233">
        <v>6</v>
      </c>
      <c r="B129" s="2202" t="s">
        <v>2512</v>
      </c>
      <c r="C129" s="2266" t="s">
        <v>2502</v>
      </c>
      <c r="D129" s="4344"/>
      <c r="E129" s="1234" t="s">
        <v>2517</v>
      </c>
    </row>
    <row r="130" spans="1:5">
      <c r="A130" s="1233">
        <v>7</v>
      </c>
      <c r="B130" s="2202" t="s">
        <v>253</v>
      </c>
      <c r="C130" s="2266" t="s">
        <v>2503</v>
      </c>
      <c r="D130" s="4344"/>
      <c r="E130" s="1234" t="s">
        <v>2517</v>
      </c>
    </row>
    <row r="131" spans="1:5">
      <c r="A131" s="1233">
        <v>8</v>
      </c>
      <c r="B131" s="2202" t="s">
        <v>254</v>
      </c>
      <c r="C131" s="2266" t="s">
        <v>2504</v>
      </c>
      <c r="D131" s="4344"/>
      <c r="E131" s="1234" t="s">
        <v>2517</v>
      </c>
    </row>
    <row r="132" spans="1:5">
      <c r="A132" s="1233">
        <v>9</v>
      </c>
      <c r="B132" s="2202" t="s">
        <v>2513</v>
      </c>
      <c r="C132" s="2266" t="s">
        <v>2505</v>
      </c>
      <c r="D132" s="4344"/>
      <c r="E132" s="1234" t="s">
        <v>2517</v>
      </c>
    </row>
    <row r="133" spans="1:5">
      <c r="A133" s="1233">
        <v>10</v>
      </c>
      <c r="B133" s="2202" t="s">
        <v>2514</v>
      </c>
      <c r="C133" s="2266" t="s">
        <v>2506</v>
      </c>
      <c r="D133" s="4344"/>
      <c r="E133" s="1234" t="s">
        <v>2517</v>
      </c>
    </row>
    <row r="134" spans="1:5">
      <c r="A134" s="1233">
        <v>11</v>
      </c>
      <c r="B134" s="2202" t="s">
        <v>2515</v>
      </c>
      <c r="C134" s="2266" t="s">
        <v>2507</v>
      </c>
      <c r="D134" s="4344"/>
      <c r="E134" s="1234" t="s">
        <v>2517</v>
      </c>
    </row>
    <row r="135" spans="1:5">
      <c r="A135" s="1233">
        <v>12</v>
      </c>
      <c r="B135" s="2202" t="s">
        <v>258</v>
      </c>
      <c r="C135" s="2266" t="s">
        <v>2508</v>
      </c>
      <c r="D135" s="4344"/>
      <c r="E135" s="1234" t="s">
        <v>2517</v>
      </c>
    </row>
    <row r="136" spans="1:5">
      <c r="A136" s="1233">
        <v>13</v>
      </c>
      <c r="B136" s="2202" t="s">
        <v>2516</v>
      </c>
      <c r="C136" s="2266" t="s">
        <v>2509</v>
      </c>
      <c r="D136" s="4344"/>
      <c r="E136" s="1234" t="s">
        <v>2517</v>
      </c>
    </row>
  </sheetData>
  <mergeCells count="9">
    <mergeCell ref="D124:D136"/>
    <mergeCell ref="A2:G2"/>
    <mergeCell ref="D48:D52"/>
    <mergeCell ref="D54:D63"/>
    <mergeCell ref="D66:D78"/>
    <mergeCell ref="D80:D83"/>
    <mergeCell ref="D6:D14"/>
    <mergeCell ref="D27:D35"/>
    <mergeCell ref="D38:D46"/>
  </mergeCells>
  <hyperlinks>
    <hyperlink ref="B6" location="'Phụ lục số 1'!Print_Area" display="Phụ lục số 01"/>
    <hyperlink ref="B7" location="'Phụ lục số 2'!Print_Area" display="Phụ lục số 02"/>
    <hyperlink ref="B8" location="'Phụ lục số 3'!Print_Area" display="Phụ lục số 03"/>
    <hyperlink ref="B9" location="'Phụ lục số 3.1'!Print_Area" display="Phụ lục số 03.1"/>
    <hyperlink ref="B10" location="'Phụ lục số 4'!A1" display="Phụ lục số 04"/>
    <hyperlink ref="B11" location="'Phụ lục số 5'!A1" display="Phụ lục số 05"/>
    <hyperlink ref="B12" location="'Phụ lục số 6'!A1" display="Phụ lục số 06"/>
    <hyperlink ref="B13" location="'Phụ lục số 7'!A1" display="Phụ lục số 07"/>
    <hyperlink ref="B14" location="'Phụ lục số 8'!A1" display="Phụ lục số 8"/>
    <hyperlink ref="B27" location="'Phụ lục 1-HĐND'!A1" display="Phụ lục 1 - HĐND"/>
    <hyperlink ref="B28" location="'Phụ lục 2-HĐND'!A1" display="Phụ lục 2 - HĐND"/>
    <hyperlink ref="B29" location="'Phụ lục 3-HĐND'!A1" display="Phụ lục 3 - HĐND"/>
    <hyperlink ref="B30" location="'Phụ lục 4-HĐND'!A1" display="Phụ lục 4 - HĐND"/>
    <hyperlink ref="B31" location="'Phụ lục 5-HĐND'!Print_Area" display="Phụ lục 5 - HĐND"/>
    <hyperlink ref="B32" location="'Phụ lục 6-HĐND'!A1" display="Phụ lục 6 - HĐND"/>
    <hyperlink ref="B33" location="'Phụ lục 7-HĐND'!A1" display="Phụ lục 7 - HĐND "/>
    <hyperlink ref="B34" location="'Phụ lục 8-HĐND'!A1" display="Phụ lục 8 - HĐND"/>
    <hyperlink ref="B35" location="'Phụ lục 9-HĐND'!A1" display="Phụ lục 9 - HĐND"/>
    <hyperlink ref="B38" location="'Phụ lục số 5.1 Thu'!A1" display="Phụ lục 5.1 - Thu"/>
    <hyperlink ref="B39" location="'Phụ lục 6.1 Chi'!A1" display="Phụ lục 6.1 - CĐ Chi"/>
    <hyperlink ref="B40" location="'Phụ lục 7.1-CĐH'!A1" display="Phụ lục 7.1 -"/>
    <hyperlink ref="B41" location="'Phụ lục 7.2-CCTL'!A1" display="Phụ lục 7.2 - CCTL"/>
    <hyperlink ref="B42" location="'Phụ lục 7.3-CĐCS'!A1" display="Phụ lục 7.3 - CĐCS"/>
    <hyperlink ref="B43" location="'Phụ lục 7.4 - 10%TK'!A1" display="Phụ lục 7.4 - 10%"/>
    <hyperlink ref="B44" location="'Phụ luc 3.2'!A1" display="Phụ lục 3.2"/>
    <hyperlink ref="B54" location="'PL-VAY TRA NO'!A1" display="PL-VAY TRA NO"/>
    <hyperlink ref="B55" location="'PL-DP DU TRU'!A1" display="PL-DP DU TRU"/>
    <hyperlink ref="B56" location="'PL QUYTCNGOAINS'!A1" display="PL-QUYTCNGOAINS"/>
    <hyperlink ref="B61" location="'Biểu mẫu số 3'!A1" display="Biểu mẫu số 03"/>
    <hyperlink ref="B62" location="'Biểu mẫu số 04'!A1" display="Biểu mẫu số 04"/>
    <hyperlink ref="B63" location="'Biểu mẫu số 05'!A1" display="Biểu mẫu số 05"/>
    <hyperlink ref="B57" location="'PL-CĐNAMTHEOTW'!A1" display="PL-CĐNAMTHEOTW"/>
    <hyperlink ref="B58" location="'PL-NSTWBSTRONGNAM'!A1" display="PL-NSTWBSMT"/>
    <hyperlink ref="B59" location="'Biễu mẩu số 01-KTXH'!A1" display="Biểu mẫu số 01-KTXH"/>
    <hyperlink ref="B60" location="'Biểu mẫu số 01-KTXH.1'!A1" display="Biểu mẫu số 01-KTXH.1"/>
    <hyperlink ref="B66" location="PL1.1!A1" display="PL1.1"/>
    <hyperlink ref="B67" location="PL2.1!A1" display="PL2.2"/>
    <hyperlink ref="B68" location="'PL-TổngThu21-25'!A1" display="PL-TổngThu21-25"/>
    <hyperlink ref="B69" location="'PL-TổngChi21-25'!A1" display="PL-TổngChi21-25"/>
    <hyperlink ref="B70" location="'PL-CĐ21-25'!A1" display="PL-CĐ21-25"/>
    <hyperlink ref="B71" location="'PL-NSTWBSGĐ'!A1" display="PL-NSTWBSGĐ"/>
    <hyperlink ref="B72" location="'PL-KHTC5NAM'!A1" display="PL-KHTC5NAM"/>
    <hyperlink ref="B15" location="'UTH2023-DT2024'!A1" display="Phụ lục UTH…/DT"/>
    <hyperlink ref="B16" location="'CĐNS2023-2024'!A1" display="Phụ lục CĐNS"/>
    <hyperlink ref="B17" location="CĐ03nam!A1" display="CĐ03nam"/>
    <hyperlink ref="B18" location="Thu03nam!A1" display="Thu03nam"/>
    <hyperlink ref="B22" location="'Dự toán TW-ĐP'!A1" display="DTTW-DTĐP"/>
    <hyperlink ref="B23" location="'NC Tiền lương'!A1" display="NCTienluong"/>
    <hyperlink ref="B73" location="'PL-SosanhĐM'!A1" display="PL-SosanhĐM"/>
    <hyperlink ref="B74" location="'PL-ĐP Xác định lại ĐM'!A1" display="PL-ĐP Xác định lại ĐM"/>
    <hyperlink ref="B75" location="'PL-TW Xác định lại ĐM'!A1" display="PL-TW Xác định lại ĐM"/>
    <hyperlink ref="B76" location="'PL-Định mức chi TX'!A1" display="PL-Định mức chi TX"/>
    <hyperlink ref="B83" location="'PL3-CĐ6Thang-KBS'!A1" display="PL3-CĐ6T-KBS"/>
    <hyperlink ref="B82" location="'PL3-CĐ6Thang'!A1" display="PL3-CĐ6T"/>
    <hyperlink ref="B81" location="'PL2-Chi6T'!A1" display="PL2-Chi6T"/>
    <hyperlink ref="B80" location="'PL1-Thu6T'!A1" display="PL1-Thu6T"/>
    <hyperlink ref="B48" location="'Phụ lục 1-KQPB'!A1" display="Phụ lục 1-KQPB"/>
    <hyperlink ref="B49" location="'Phụ lục 2-KQPB'!A1" display="Phụ lục 2-KQPB"/>
    <hyperlink ref="B50" location="'Phụ lục 3-KQPB'!A1" display="Phụ lục 3-KQPB"/>
    <hyperlink ref="B51" location="'Phụ lục 4-KQPB'!A1" display="Phụ lục 4-KQPB"/>
    <hyperlink ref="B52" location="'Phụ lục 5-KQPB'!A1" display="Phụ lục 5-KQPB"/>
    <hyperlink ref="B78" location="'PL-Theo dõi nguồn chưa PB'!A1" display="PL-Theo dõi 2"/>
    <hyperlink ref="B77" location="'PL-Theo dõi ĐA-ĐU Địa phương'!A1" display="PL-Theo dõi 1"/>
    <hyperlink ref="B86" location="'Phụ lục 1-CKNS'!A1" display="Phụ lục 1 - CKNS"/>
    <hyperlink ref="B87" location="'Phụ lục 2-CKNS'!A1" display="Phụ lục 2 - CKNS"/>
    <hyperlink ref="B88" location="'Phụ lục 3-CKNS'!A1" display="Phụ lục 3 - CKNS"/>
    <hyperlink ref="B89" location="'Phụ lục 4-CKNS'!A1" display="Phụ lục 4 - CKNS"/>
    <hyperlink ref="B90" location="'Phụ lục 5-CKNS'!A1" display="Phụ lục 5 - CKNS"/>
    <hyperlink ref="B91" location="'Phụ lục 6-CKNS'!A1" display="Phụ lục 6 - CKNS"/>
    <hyperlink ref="B92" location="'Phụ lục 7-CKNS'!A1" display="Phụ lục 7 - CKNS"/>
    <hyperlink ref="B93" location="'Phụ lục 8-CKNS'!A1" display="Phụ lục 8 - CKNS"/>
    <hyperlink ref="B94" location="'Phụ lục 9-CKNS'!A1" display="Phụ lục 9 - CKNS"/>
    <hyperlink ref="B95" location="'Phụ lục 10-CKNS'!A1" display="Phụ lục 10 - CKNS"/>
    <hyperlink ref="B97" location="'Biểu số 33-CK-NSNN'!A1" display="Biểu số 33 - CK-NSNN"/>
    <hyperlink ref="B98" location="'Biểu số 34-CK-NSNN'!A1" display="Biểu số 34 - CK-NSNN"/>
    <hyperlink ref="B99" location="'Biểu số 35-CK-NSNN'!A1" display="Biểu số 35 - CK-NSNN"/>
    <hyperlink ref="B101" location="'Biểu số 37-CK-NSNN'!A1" display="Biểu số 37 - CK-NSNN"/>
    <hyperlink ref="B105" location="'Biểu số 41-CK-NSNN'!A1" display="Biểu số 41 - CK-NSNN"/>
    <hyperlink ref="B106" location="'Biểu số 42-CK-NSNN'!A1" display="Biểu số 42 - CK-NSNN"/>
    <hyperlink ref="B107" location="'Biểu số 43-CK-NSNN'!A1" display="Biểu số 43 - CK-NSNN"/>
    <hyperlink ref="B110" location="'Biểu số 46-CK-NSNN'!A1" display="Biểu số 46 - CK-NSNN"/>
    <hyperlink ref="B111" location="'Biểu số 47-CK-NSNN'!A1" display="Biểu số 47 - CK-NSNN"/>
    <hyperlink ref="B112" location="'Biểu số 48-CK-NSNN'!A1" display="Biểu số 48 - CK-NSNN"/>
    <hyperlink ref="B113" location="'Biểu số 49-CK-NSNN'!A1" display="Biểu số 49 - CK-NSNN"/>
    <hyperlink ref="B114" location="'Biểu số 50-CK-NSNN'!A1" display="Biểu số 50 - CK-NSNN"/>
    <hyperlink ref="B115" location="'Biểu số 51-CK-NSNN'!A1" display="Biểu số 51 - CK-NSNN"/>
    <hyperlink ref="B117" location="'Biểu số 53-CK-NSNN'!A1" display="Biểu số 53 - CK-NSNN"/>
    <hyperlink ref="B118" location="'Biểu số 54-CK-NSNN '!A1" display="Biểu số 54 - CK-NSNN"/>
    <hyperlink ref="B119" location="'Biểu số 55-CK-NSNN'!A1" display="Biểu số 55 - CK-NSNN"/>
    <hyperlink ref="B120" location="'Biểu số 56-CK-NSNN'!A1" display="Biểu số 56 - CK-NSNN"/>
    <hyperlink ref="B121" location="'Biểu số 57-CK-NSNN'!A1" display="Biểu số 57 - CK-NSNN"/>
    <hyperlink ref="B19" location="ChiNSĐP03nam!Print_Area" display="Chi03nam"/>
    <hyperlink ref="B20" location="CĐNSĐP03namBS!Print_Area" display="CĐNSĐP03namBS"/>
    <hyperlink ref="B21" location="'CĐNSĐP03nam-BS'!Print_Area" display="CĐNSĐP03nam-BS"/>
    <hyperlink ref="B100" location="'Phụ lục 36-CK-NSNN'!Print_Area" display="Biểu số 36 - CK-NSNN"/>
    <hyperlink ref="B102" location="'Phụ lục 38-CK-NSNN'!Print_Titles" display="Biểu số 38 - CK-NSNN"/>
    <hyperlink ref="B104" location="'Phụ lục 40-CK-NSNN'!Print_Titles" display="Biểu số 40 - CK-NSNN"/>
    <hyperlink ref="B108" location="'Biểu số 44-CK-NSNN '!Print_Area" display="Biểu số 44 - CK-NSNN"/>
    <hyperlink ref="B45" location="'Phụ lục 3.3-XSKT'!A1" display="Phụ lục 3.3"/>
    <hyperlink ref="B124" location="'TỔNG CỘNG'!A1" display="TỔNG CỘNG"/>
    <hyperlink ref="B125" location="'H. HỒNG NGỰ'!A1" display="H. HỒNG NGỰ"/>
    <hyperlink ref="B126" location="'TP. HỒNG NGỰ'!A1" display="TP. HỒNG NGỰ"/>
    <hyperlink ref="B127" location="'H. TÂN HỒNG'!A1" display="H. TÂN HỒNG"/>
    <hyperlink ref="B128" location="'H. TAM NÔNG'!A1" display="H. TAM NÔNG"/>
    <hyperlink ref="B129" location="'H. THANH BÌNH'!A1" display="H. THANH BÌNH"/>
    <hyperlink ref="B130" location="'TP. CAO LÃNH'!A1" display="TP. CAO LÃNH"/>
    <hyperlink ref="B131" location="'H. CAO LÃNH'!A1" display="H. CAO LÃNH"/>
    <hyperlink ref="B132" location="'H. THÁP MƯỜI'!A1" display="H. THÁP MƯỜI"/>
    <hyperlink ref="B133" location="'H. LẤP VÒ'!A1" display="H. LẤP VÒ"/>
    <hyperlink ref="B134" location="'H. LAI VUNG'!A1" display="H. LAI VUNG"/>
    <hyperlink ref="B135" location="'TP. SA ĐÉC'!A1" display="TP. SA ĐÉC"/>
    <hyperlink ref="B136" location="'H. CHÂU THÀNH'!A1" display="H. CHÂU THÀNH"/>
  </hyperlinks>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137"/>
  <sheetViews>
    <sheetView topLeftCell="A118" workbookViewId="0">
      <selection activeCell="B135" sqref="B135"/>
    </sheetView>
  </sheetViews>
  <sheetFormatPr defaultColWidth="7.8984375" defaultRowHeight="13.8"/>
  <cols>
    <col min="1" max="1" width="5.3984375" style="1355" customWidth="1"/>
    <col min="2" max="2" width="80.19921875" style="1355" customWidth="1"/>
    <col min="3" max="3" width="12.69921875" style="1355" customWidth="1"/>
    <col min="4" max="7" width="10.19921875" style="1355" customWidth="1"/>
    <col min="8" max="16384" width="7.8984375" style="1355"/>
  </cols>
  <sheetData>
    <row r="1" spans="1:8">
      <c r="A1" s="4197" t="s">
        <v>1574</v>
      </c>
      <c r="B1" s="4197"/>
      <c r="C1" s="4197"/>
      <c r="F1" s="4198" t="s">
        <v>1575</v>
      </c>
      <c r="G1" s="4198"/>
      <c r="H1" s="1356"/>
    </row>
    <row r="2" spans="1:8">
      <c r="A2" s="1357"/>
    </row>
    <row r="3" spans="1:8">
      <c r="A3" s="4199" t="s">
        <v>1576</v>
      </c>
      <c r="B3" s="4199"/>
      <c r="C3" s="4199"/>
      <c r="D3" s="4199"/>
      <c r="E3" s="4199"/>
      <c r="F3" s="4199"/>
      <c r="G3" s="4199"/>
    </row>
    <row r="4" spans="1:8" ht="14.4" thickBot="1">
      <c r="A4" s="4200" t="s">
        <v>1577</v>
      </c>
      <c r="B4" s="4200"/>
      <c r="C4" s="4200"/>
      <c r="D4" s="4200"/>
      <c r="E4" s="4200"/>
      <c r="F4" s="4200"/>
      <c r="G4" s="4200"/>
    </row>
    <row r="5" spans="1:8" ht="67.95" customHeight="1" thickBot="1">
      <c r="A5" s="2164" t="s">
        <v>244</v>
      </c>
      <c r="B5" s="1358" t="s">
        <v>791</v>
      </c>
      <c r="C5" s="1358" t="s">
        <v>1081</v>
      </c>
      <c r="D5" s="1358" t="s">
        <v>1578</v>
      </c>
      <c r="E5" s="1358" t="s">
        <v>1579</v>
      </c>
      <c r="F5" s="1358" t="s">
        <v>1580</v>
      </c>
      <c r="G5" s="1359" t="s">
        <v>1581</v>
      </c>
    </row>
    <row r="6" spans="1:8" ht="14.4" thickBot="1">
      <c r="A6" s="1360" t="s">
        <v>7</v>
      </c>
      <c r="B6" s="1361" t="s">
        <v>22</v>
      </c>
      <c r="C6" s="1361" t="s">
        <v>26</v>
      </c>
      <c r="D6" s="1361">
        <v>1</v>
      </c>
      <c r="E6" s="1361">
        <v>2</v>
      </c>
      <c r="F6" s="1361">
        <v>3</v>
      </c>
      <c r="G6" s="1362">
        <v>4</v>
      </c>
    </row>
    <row r="7" spans="1:8">
      <c r="A7" s="1363">
        <v>1</v>
      </c>
      <c r="B7" s="1364" t="s">
        <v>1582</v>
      </c>
      <c r="C7" s="1365" t="s">
        <v>743</v>
      </c>
      <c r="D7" s="1365"/>
      <c r="E7" s="1365"/>
      <c r="F7" s="1365"/>
      <c r="G7" s="1366"/>
    </row>
    <row r="8" spans="1:8">
      <c r="A8" s="1367"/>
      <c r="B8" s="1368" t="s">
        <v>718</v>
      </c>
      <c r="C8" s="1369"/>
      <c r="D8" s="1369"/>
      <c r="E8" s="1369"/>
      <c r="F8" s="1369"/>
      <c r="G8" s="1370"/>
    </row>
    <row r="9" spans="1:8">
      <c r="A9" s="1367"/>
      <c r="B9" s="1368" t="s">
        <v>1583</v>
      </c>
      <c r="C9" s="1369" t="s">
        <v>743</v>
      </c>
      <c r="D9" s="1369"/>
      <c r="E9" s="1369"/>
      <c r="F9" s="1369"/>
      <c r="G9" s="1370"/>
    </row>
    <row r="10" spans="1:8">
      <c r="A10" s="1367"/>
      <c r="B10" s="1368" t="s">
        <v>1584</v>
      </c>
      <c r="C10" s="1369" t="s">
        <v>743</v>
      </c>
      <c r="D10" s="1369"/>
      <c r="E10" s="1369"/>
      <c r="F10" s="1369"/>
      <c r="G10" s="1370"/>
    </row>
    <row r="11" spans="1:8">
      <c r="A11" s="1367"/>
      <c r="B11" s="1368" t="s">
        <v>1585</v>
      </c>
      <c r="C11" s="1369" t="s">
        <v>743</v>
      </c>
      <c r="D11" s="1369"/>
      <c r="E11" s="1369"/>
      <c r="F11" s="1369"/>
      <c r="G11" s="1370"/>
    </row>
    <row r="12" spans="1:8">
      <c r="A12" s="1367"/>
      <c r="B12" s="1368" t="s">
        <v>1586</v>
      </c>
      <c r="C12" s="1369" t="s">
        <v>743</v>
      </c>
      <c r="D12" s="1369"/>
      <c r="E12" s="1369"/>
      <c r="F12" s="1369"/>
      <c r="G12" s="1370"/>
    </row>
    <row r="13" spans="1:8">
      <c r="A13" s="1367"/>
      <c r="B13" s="1368" t="s">
        <v>1587</v>
      </c>
      <c r="C13" s="1369" t="s">
        <v>743</v>
      </c>
      <c r="D13" s="1369"/>
      <c r="E13" s="1369"/>
      <c r="F13" s="1369"/>
      <c r="G13" s="1370"/>
    </row>
    <row r="14" spans="1:8">
      <c r="A14" s="1367">
        <v>2</v>
      </c>
      <c r="B14" s="1368" t="s">
        <v>1588</v>
      </c>
      <c r="C14" s="1369" t="s">
        <v>1099</v>
      </c>
      <c r="D14" s="1369"/>
      <c r="E14" s="1369"/>
      <c r="F14" s="1369"/>
      <c r="G14" s="1370"/>
    </row>
    <row r="15" spans="1:8">
      <c r="A15" s="1367"/>
      <c r="B15" s="1368" t="s">
        <v>718</v>
      </c>
      <c r="C15" s="1369"/>
      <c r="D15" s="1369"/>
      <c r="E15" s="1369"/>
      <c r="F15" s="1369"/>
      <c r="G15" s="1370"/>
    </row>
    <row r="16" spans="1:8">
      <c r="A16" s="1367"/>
      <c r="B16" s="1371" t="s">
        <v>1589</v>
      </c>
      <c r="C16" s="1372" t="s">
        <v>1099</v>
      </c>
      <c r="D16" s="1369"/>
      <c r="E16" s="1369"/>
      <c r="F16" s="1369"/>
      <c r="G16" s="1370"/>
    </row>
    <row r="17" spans="1:7">
      <c r="A17" s="1367"/>
      <c r="B17" s="1371" t="s">
        <v>1590</v>
      </c>
      <c r="C17" s="1372" t="s">
        <v>1099</v>
      </c>
      <c r="D17" s="1369"/>
      <c r="E17" s="1369"/>
      <c r="F17" s="1369"/>
      <c r="G17" s="1370"/>
    </row>
    <row r="18" spans="1:7">
      <c r="A18" s="1367"/>
      <c r="B18" s="1371" t="s">
        <v>1591</v>
      </c>
      <c r="C18" s="1372" t="s">
        <v>1099</v>
      </c>
      <c r="D18" s="1369"/>
      <c r="E18" s="1369"/>
      <c r="F18" s="1369"/>
      <c r="G18" s="1370"/>
    </row>
    <row r="19" spans="1:7">
      <c r="A19" s="1367"/>
      <c r="B19" s="1371" t="s">
        <v>1592</v>
      </c>
      <c r="C19" s="1372" t="s">
        <v>1099</v>
      </c>
      <c r="D19" s="1369"/>
      <c r="E19" s="1369"/>
      <c r="F19" s="1369"/>
      <c r="G19" s="1370"/>
    </row>
    <row r="20" spans="1:7">
      <c r="A20" s="1367"/>
      <c r="B20" s="1368" t="s">
        <v>1593</v>
      </c>
      <c r="C20" s="1369" t="s">
        <v>695</v>
      </c>
      <c r="D20" s="1369"/>
      <c r="E20" s="1369"/>
      <c r="F20" s="1369"/>
      <c r="G20" s="1370"/>
    </row>
    <row r="21" spans="1:7">
      <c r="A21" s="1367"/>
      <c r="B21" s="1368" t="s">
        <v>1594</v>
      </c>
      <c r="C21" s="1369" t="s">
        <v>1099</v>
      </c>
      <c r="D21" s="1369"/>
      <c r="E21" s="1369"/>
      <c r="F21" s="1369"/>
      <c r="G21" s="1370"/>
    </row>
    <row r="22" spans="1:7">
      <c r="A22" s="1367"/>
      <c r="B22" s="1368" t="s">
        <v>1595</v>
      </c>
      <c r="C22" s="1369" t="s">
        <v>1099</v>
      </c>
      <c r="D22" s="1369"/>
      <c r="E22" s="1369"/>
      <c r="F22" s="1369"/>
      <c r="G22" s="1370"/>
    </row>
    <row r="23" spans="1:7">
      <c r="A23" s="1367"/>
      <c r="B23" s="1368" t="s">
        <v>1596</v>
      </c>
      <c r="C23" s="1369" t="s">
        <v>1099</v>
      </c>
      <c r="D23" s="1369"/>
      <c r="E23" s="1369"/>
      <c r="F23" s="1369"/>
      <c r="G23" s="1370"/>
    </row>
    <row r="24" spans="1:7">
      <c r="A24" s="1367"/>
      <c r="B24" s="1368" t="s">
        <v>1597</v>
      </c>
      <c r="C24" s="1369" t="s">
        <v>1099</v>
      </c>
      <c r="D24" s="1369"/>
      <c r="E24" s="1369"/>
      <c r="F24" s="1369"/>
      <c r="G24" s="1370"/>
    </row>
    <row r="25" spans="1:7">
      <c r="A25" s="1367"/>
      <c r="B25" s="1368" t="s">
        <v>1598</v>
      </c>
      <c r="C25" s="1369" t="s">
        <v>1099</v>
      </c>
      <c r="D25" s="1369"/>
      <c r="E25" s="1369"/>
      <c r="F25" s="1369"/>
      <c r="G25" s="1370"/>
    </row>
    <row r="26" spans="1:7">
      <c r="A26" s="1367"/>
      <c r="B26" s="1368" t="s">
        <v>1599</v>
      </c>
      <c r="C26" s="1369" t="s">
        <v>1099</v>
      </c>
      <c r="D26" s="1369"/>
      <c r="E26" s="1369"/>
      <c r="F26" s="1369"/>
      <c r="G26" s="1370"/>
    </row>
    <row r="27" spans="1:7">
      <c r="A27" s="1367"/>
      <c r="B27" s="1368" t="s">
        <v>1600</v>
      </c>
      <c r="C27" s="1369" t="s">
        <v>1099</v>
      </c>
      <c r="D27" s="1369"/>
      <c r="E27" s="1369"/>
      <c r="F27" s="1369"/>
      <c r="G27" s="1370"/>
    </row>
    <row r="28" spans="1:7">
      <c r="A28" s="1367"/>
      <c r="B28" s="1368" t="s">
        <v>1601</v>
      </c>
      <c r="C28" s="1369" t="s">
        <v>1099</v>
      </c>
      <c r="D28" s="1369"/>
      <c r="E28" s="1369"/>
      <c r="F28" s="1369"/>
      <c r="G28" s="1370"/>
    </row>
    <row r="29" spans="1:7">
      <c r="A29" s="1367"/>
      <c r="B29" s="1368" t="s">
        <v>1602</v>
      </c>
      <c r="C29" s="1369" t="s">
        <v>1099</v>
      </c>
      <c r="D29" s="1369"/>
      <c r="E29" s="1369"/>
      <c r="F29" s="1369"/>
      <c r="G29" s="1370"/>
    </row>
    <row r="30" spans="1:7">
      <c r="A30" s="1367"/>
      <c r="B30" s="1368" t="s">
        <v>1603</v>
      </c>
      <c r="C30" s="1369" t="s">
        <v>1099</v>
      </c>
      <c r="D30" s="1369"/>
      <c r="E30" s="1369"/>
      <c r="F30" s="1369"/>
      <c r="G30" s="1370"/>
    </row>
    <row r="31" spans="1:7">
      <c r="A31" s="1367"/>
      <c r="B31" s="1368" t="s">
        <v>1604</v>
      </c>
      <c r="C31" s="1369" t="s">
        <v>1099</v>
      </c>
      <c r="D31" s="1369"/>
      <c r="E31" s="1369"/>
      <c r="F31" s="1369"/>
      <c r="G31" s="1370"/>
    </row>
    <row r="32" spans="1:7">
      <c r="A32" s="1367">
        <v>3</v>
      </c>
      <c r="B32" s="1368" t="s">
        <v>1605</v>
      </c>
      <c r="C32" s="1369" t="s">
        <v>1606</v>
      </c>
      <c r="D32" s="1369"/>
      <c r="E32" s="1369"/>
      <c r="F32" s="1369"/>
      <c r="G32" s="1370"/>
    </row>
    <row r="33" spans="1:7">
      <c r="A33" s="1367"/>
      <c r="B33" s="1368" t="s">
        <v>718</v>
      </c>
      <c r="C33" s="1369"/>
      <c r="D33" s="1369"/>
      <c r="E33" s="1369"/>
      <c r="F33" s="1369"/>
      <c r="G33" s="1370"/>
    </row>
    <row r="34" spans="1:7">
      <c r="A34" s="1367"/>
      <c r="B34" s="1368" t="s">
        <v>1607</v>
      </c>
      <c r="C34" s="1369" t="s">
        <v>1210</v>
      </c>
      <c r="D34" s="1369"/>
      <c r="E34" s="1369"/>
      <c r="F34" s="1369"/>
      <c r="G34" s="1370"/>
    </row>
    <row r="35" spans="1:7">
      <c r="A35" s="1367"/>
      <c r="B35" s="1368" t="s">
        <v>1608</v>
      </c>
      <c r="C35" s="1369" t="s">
        <v>1210</v>
      </c>
      <c r="D35" s="1369"/>
      <c r="E35" s="1369"/>
      <c r="F35" s="1369"/>
      <c r="G35" s="1370"/>
    </row>
    <row r="36" spans="1:7">
      <c r="A36" s="1367"/>
      <c r="B36" s="1368" t="s">
        <v>1609</v>
      </c>
      <c r="C36" s="1369" t="s">
        <v>1210</v>
      </c>
      <c r="D36" s="1369"/>
      <c r="E36" s="1369"/>
      <c r="F36" s="1369"/>
      <c r="G36" s="1370"/>
    </row>
    <row r="37" spans="1:7">
      <c r="A37" s="1367"/>
      <c r="B37" s="1368" t="s">
        <v>1610</v>
      </c>
      <c r="C37" s="1369" t="s">
        <v>1210</v>
      </c>
      <c r="D37" s="1369"/>
      <c r="E37" s="1369"/>
      <c r="F37" s="1369"/>
      <c r="G37" s="1370"/>
    </row>
    <row r="38" spans="1:7">
      <c r="A38" s="1367"/>
      <c r="B38" s="1368" t="s">
        <v>1611</v>
      </c>
      <c r="C38" s="1369" t="s">
        <v>1210</v>
      </c>
      <c r="D38" s="1369"/>
      <c r="E38" s="1369"/>
      <c r="F38" s="1369"/>
      <c r="G38" s="1370"/>
    </row>
    <row r="39" spans="1:7">
      <c r="A39" s="1367"/>
      <c r="B39" s="1368" t="s">
        <v>1612</v>
      </c>
      <c r="C39" s="1369" t="s">
        <v>1606</v>
      </c>
      <c r="D39" s="1369"/>
      <c r="E39" s="1369"/>
      <c r="F39" s="1369" t="s">
        <v>1613</v>
      </c>
      <c r="G39" s="1370"/>
    </row>
    <row r="40" spans="1:7">
      <c r="A40" s="1367"/>
      <c r="B40" s="1368" t="s">
        <v>1614</v>
      </c>
      <c r="C40" s="1369" t="s">
        <v>1606</v>
      </c>
      <c r="D40" s="1369"/>
      <c r="E40" s="1369"/>
      <c r="F40" s="1369"/>
      <c r="G40" s="1370"/>
    </row>
    <row r="41" spans="1:7">
      <c r="A41" s="1367"/>
      <c r="B41" s="1368" t="s">
        <v>1615</v>
      </c>
      <c r="C41" s="1369" t="s">
        <v>1606</v>
      </c>
      <c r="D41" s="1369"/>
      <c r="E41" s="1369"/>
      <c r="F41" s="1369"/>
      <c r="G41" s="1370"/>
    </row>
    <row r="42" spans="1:7">
      <c r="A42" s="1367">
        <v>4</v>
      </c>
      <c r="B42" s="1368" t="s">
        <v>1616</v>
      </c>
      <c r="C42" s="1369" t="s">
        <v>1617</v>
      </c>
      <c r="D42" s="1369"/>
      <c r="E42" s="1369"/>
      <c r="F42" s="1369"/>
      <c r="G42" s="1370"/>
    </row>
    <row r="43" spans="1:7">
      <c r="A43" s="1367"/>
      <c r="B43" s="1368" t="s">
        <v>718</v>
      </c>
      <c r="C43" s="1369"/>
      <c r="D43" s="1369"/>
      <c r="E43" s="1369"/>
      <c r="F43" s="1369"/>
      <c r="G43" s="1370"/>
    </row>
    <row r="44" spans="1:7">
      <c r="A44" s="1367"/>
      <c r="B44" s="1368" t="s">
        <v>1618</v>
      </c>
      <c r="C44" s="1369" t="s">
        <v>1617</v>
      </c>
      <c r="D44" s="1369"/>
      <c r="E44" s="1369"/>
      <c r="F44" s="1369"/>
      <c r="G44" s="1370"/>
    </row>
    <row r="45" spans="1:7">
      <c r="A45" s="1367"/>
      <c r="B45" s="1371" t="s">
        <v>1619</v>
      </c>
      <c r="C45" s="1372" t="s">
        <v>1617</v>
      </c>
      <c r="D45" s="1369"/>
      <c r="E45" s="1369"/>
      <c r="F45" s="1369"/>
      <c r="G45" s="1370"/>
    </row>
    <row r="46" spans="1:7">
      <c r="A46" s="1367"/>
      <c r="B46" s="1371" t="s">
        <v>1620</v>
      </c>
      <c r="C46" s="1372" t="s">
        <v>1617</v>
      </c>
      <c r="D46" s="1369"/>
      <c r="E46" s="1369"/>
      <c r="F46" s="1369"/>
      <c r="G46" s="1370"/>
    </row>
    <row r="47" spans="1:7">
      <c r="A47" s="1367"/>
      <c r="B47" s="1368" t="s">
        <v>1621</v>
      </c>
      <c r="C47" s="1369" t="s">
        <v>1617</v>
      </c>
      <c r="D47" s="1369"/>
      <c r="E47" s="1369"/>
      <c r="F47" s="1369"/>
      <c r="G47" s="1370"/>
    </row>
    <row r="48" spans="1:7">
      <c r="A48" s="1367"/>
      <c r="B48" s="1368" t="s">
        <v>1622</v>
      </c>
      <c r="C48" s="1369" t="s">
        <v>1617</v>
      </c>
      <c r="D48" s="1369"/>
      <c r="E48" s="1369"/>
      <c r="F48" s="1369"/>
      <c r="G48" s="1370"/>
    </row>
    <row r="49" spans="1:7">
      <c r="A49" s="1367"/>
      <c r="B49" s="1368" t="s">
        <v>1623</v>
      </c>
      <c r="C49" s="1369" t="s">
        <v>1617</v>
      </c>
      <c r="D49" s="1369"/>
      <c r="E49" s="1369"/>
      <c r="F49" s="1369"/>
      <c r="G49" s="1370"/>
    </row>
    <row r="50" spans="1:7">
      <c r="A50" s="1367">
        <v>5</v>
      </c>
      <c r="B50" s="1368" t="s">
        <v>1624</v>
      </c>
      <c r="C50" s="1369" t="s">
        <v>1147</v>
      </c>
      <c r="D50" s="1369"/>
      <c r="E50" s="1369"/>
      <c r="F50" s="1369"/>
      <c r="G50" s="1370"/>
    </row>
    <row r="51" spans="1:7">
      <c r="A51" s="1367"/>
      <c r="B51" s="1368" t="s">
        <v>1625</v>
      </c>
      <c r="C51" s="1369" t="s">
        <v>1147</v>
      </c>
      <c r="D51" s="1369"/>
      <c r="E51" s="1369"/>
      <c r="F51" s="1369"/>
      <c r="G51" s="1370"/>
    </row>
    <row r="52" spans="1:7">
      <c r="A52" s="1367"/>
      <c r="B52" s="1368" t="s">
        <v>1626</v>
      </c>
      <c r="C52" s="1369" t="s">
        <v>1147</v>
      </c>
      <c r="D52" s="1369"/>
      <c r="E52" s="1369"/>
      <c r="F52" s="1369"/>
      <c r="G52" s="1370"/>
    </row>
    <row r="53" spans="1:7">
      <c r="A53" s="1367">
        <v>6</v>
      </c>
      <c r="B53" s="1368" t="s">
        <v>1627</v>
      </c>
      <c r="C53" s="1369" t="s">
        <v>695</v>
      </c>
      <c r="D53" s="1369"/>
      <c r="E53" s="1369"/>
      <c r="F53" s="1369"/>
      <c r="G53" s="1370"/>
    </row>
    <row r="54" spans="1:7">
      <c r="A54" s="1367"/>
      <c r="B54" s="1368" t="s">
        <v>718</v>
      </c>
      <c r="C54" s="1369"/>
      <c r="D54" s="1369"/>
      <c r="E54" s="1369"/>
      <c r="F54" s="1369"/>
      <c r="G54" s="1370"/>
    </row>
    <row r="55" spans="1:7">
      <c r="A55" s="1367"/>
      <c r="B55" s="1368" t="s">
        <v>1628</v>
      </c>
      <c r="C55" s="1369" t="s">
        <v>695</v>
      </c>
      <c r="D55" s="1369"/>
      <c r="E55" s="1369"/>
      <c r="F55" s="1369"/>
      <c r="G55" s="1370"/>
    </row>
    <row r="56" spans="1:7">
      <c r="A56" s="1367"/>
      <c r="B56" s="1368" t="s">
        <v>1629</v>
      </c>
      <c r="C56" s="1369" t="s">
        <v>695</v>
      </c>
      <c r="D56" s="1369"/>
      <c r="E56" s="1369"/>
      <c r="F56" s="1369"/>
      <c r="G56" s="1370"/>
    </row>
    <row r="57" spans="1:7">
      <c r="A57" s="1367"/>
      <c r="B57" s="1368" t="s">
        <v>1630</v>
      </c>
      <c r="C57" s="1369" t="s">
        <v>695</v>
      </c>
      <c r="D57" s="1369"/>
      <c r="E57" s="1369"/>
      <c r="F57" s="1369"/>
      <c r="G57" s="1370"/>
    </row>
    <row r="58" spans="1:7">
      <c r="A58" s="1367">
        <v>7</v>
      </c>
      <c r="B58" s="1368" t="s">
        <v>1631</v>
      </c>
      <c r="C58" s="1369"/>
      <c r="D58" s="1369"/>
      <c r="E58" s="1369"/>
      <c r="F58" s="1369"/>
      <c r="G58" s="1370"/>
    </row>
    <row r="59" spans="1:7">
      <c r="A59" s="1367"/>
      <c r="B59" s="1368" t="s">
        <v>1632</v>
      </c>
      <c r="C59" s="1369" t="s">
        <v>1633</v>
      </c>
      <c r="D59" s="1369"/>
      <c r="E59" s="1369"/>
      <c r="F59" s="1369"/>
      <c r="G59" s="1370"/>
    </row>
    <row r="60" spans="1:7">
      <c r="A60" s="1367"/>
      <c r="B60" s="1368" t="s">
        <v>1634</v>
      </c>
      <c r="C60" s="1369" t="s">
        <v>1633</v>
      </c>
      <c r="D60" s="1369"/>
      <c r="E60" s="1369"/>
      <c r="F60" s="1369"/>
      <c r="G60" s="1370"/>
    </row>
    <row r="61" spans="1:7">
      <c r="A61" s="1367"/>
      <c r="B61" s="1368" t="s">
        <v>1635</v>
      </c>
      <c r="C61" s="1369" t="s">
        <v>1633</v>
      </c>
      <c r="D61" s="1369"/>
      <c r="E61" s="1369"/>
      <c r="F61" s="1369"/>
      <c r="G61" s="1370"/>
    </row>
    <row r="62" spans="1:7">
      <c r="A62" s="1367"/>
      <c r="B62" s="1368" t="s">
        <v>1636</v>
      </c>
      <c r="C62" s="1369" t="s">
        <v>695</v>
      </c>
      <c r="D62" s="1369"/>
      <c r="E62" s="1369"/>
      <c r="F62" s="1369"/>
      <c r="G62" s="1370"/>
    </row>
    <row r="63" spans="1:7">
      <c r="A63" s="1367"/>
      <c r="B63" s="1368" t="s">
        <v>1637</v>
      </c>
      <c r="C63" s="1369" t="s">
        <v>695</v>
      </c>
      <c r="D63" s="1369"/>
      <c r="E63" s="1369"/>
      <c r="F63" s="1369"/>
      <c r="G63" s="1370"/>
    </row>
    <row r="64" spans="1:7">
      <c r="A64" s="1367"/>
      <c r="B64" s="1368" t="s">
        <v>1638</v>
      </c>
      <c r="C64" s="1369" t="s">
        <v>695</v>
      </c>
      <c r="D64" s="1369"/>
      <c r="E64" s="1369"/>
      <c r="F64" s="1369"/>
      <c r="G64" s="1370"/>
    </row>
    <row r="65" spans="1:7">
      <c r="A65" s="1367">
        <v>8</v>
      </c>
      <c r="B65" s="1368" t="s">
        <v>700</v>
      </c>
      <c r="C65" s="1369" t="s">
        <v>695</v>
      </c>
      <c r="D65" s="1369"/>
      <c r="E65" s="1369"/>
      <c r="F65" s="1369"/>
      <c r="G65" s="1370"/>
    </row>
    <row r="66" spans="1:7">
      <c r="A66" s="1367">
        <v>9</v>
      </c>
      <c r="B66" s="1368" t="s">
        <v>1639</v>
      </c>
      <c r="C66" s="1369" t="s">
        <v>1640</v>
      </c>
      <c r="D66" s="1369"/>
      <c r="E66" s="1369"/>
      <c r="F66" s="1369"/>
      <c r="G66" s="1370"/>
    </row>
    <row r="67" spans="1:7">
      <c r="A67" s="1367"/>
      <c r="B67" s="1368" t="s">
        <v>718</v>
      </c>
      <c r="C67" s="1369"/>
      <c r="D67" s="1369"/>
      <c r="E67" s="1369"/>
      <c r="F67" s="1369"/>
      <c r="G67" s="1370"/>
    </row>
    <row r="68" spans="1:7">
      <c r="A68" s="1367"/>
      <c r="B68" s="1368" t="s">
        <v>1641</v>
      </c>
      <c r="C68" s="1369" t="s">
        <v>1640</v>
      </c>
      <c r="D68" s="1369"/>
      <c r="E68" s="1369"/>
      <c r="F68" s="1369"/>
      <c r="G68" s="1370"/>
    </row>
    <row r="69" spans="1:7">
      <c r="A69" s="1367"/>
      <c r="B69" s="1368" t="s">
        <v>1642</v>
      </c>
      <c r="C69" s="1369" t="s">
        <v>1640</v>
      </c>
      <c r="D69" s="1369"/>
      <c r="E69" s="1369"/>
      <c r="F69" s="1369"/>
      <c r="G69" s="1370"/>
    </row>
    <row r="70" spans="1:7">
      <c r="A70" s="1367">
        <v>10</v>
      </c>
      <c r="B70" s="1368" t="s">
        <v>1643</v>
      </c>
      <c r="C70" s="1369" t="s">
        <v>1644</v>
      </c>
      <c r="D70" s="1369"/>
      <c r="E70" s="1369"/>
      <c r="F70" s="1369"/>
      <c r="G70" s="1370"/>
    </row>
    <row r="71" spans="1:7">
      <c r="A71" s="1367"/>
      <c r="B71" s="1368" t="s">
        <v>1645</v>
      </c>
      <c r="C71" s="1369" t="s">
        <v>1633</v>
      </c>
      <c r="D71" s="1369"/>
      <c r="E71" s="1369"/>
      <c r="F71" s="1369"/>
      <c r="G71" s="1370"/>
    </row>
    <row r="72" spans="1:7">
      <c r="A72" s="1367"/>
      <c r="B72" s="1368" t="s">
        <v>1646</v>
      </c>
      <c r="C72" s="1369" t="s">
        <v>1644</v>
      </c>
      <c r="D72" s="1369"/>
      <c r="E72" s="1369"/>
      <c r="F72" s="1369"/>
      <c r="G72" s="1370"/>
    </row>
    <row r="73" spans="1:7">
      <c r="A73" s="1367">
        <v>11</v>
      </c>
      <c r="B73" s="1368" t="s">
        <v>1647</v>
      </c>
      <c r="C73" s="1369" t="s">
        <v>1099</v>
      </c>
      <c r="D73" s="1369"/>
      <c r="E73" s="1369"/>
      <c r="F73" s="1369"/>
      <c r="G73" s="1370"/>
    </row>
    <row r="74" spans="1:7">
      <c r="A74" s="1367">
        <v>12</v>
      </c>
      <c r="B74" s="1368" t="s">
        <v>1648</v>
      </c>
      <c r="C74" s="1369" t="s">
        <v>1099</v>
      </c>
      <c r="D74" s="1369"/>
      <c r="E74" s="1369"/>
      <c r="F74" s="1369"/>
      <c r="G74" s="1370"/>
    </row>
    <row r="75" spans="1:7">
      <c r="A75" s="1367">
        <v>13</v>
      </c>
      <c r="B75" s="1368" t="s">
        <v>1649</v>
      </c>
      <c r="C75" s="1369" t="s">
        <v>1650</v>
      </c>
      <c r="D75" s="1369"/>
      <c r="E75" s="1369"/>
      <c r="F75" s="1369"/>
      <c r="G75" s="1370"/>
    </row>
    <row r="76" spans="1:7">
      <c r="A76" s="1367"/>
      <c r="B76" s="1368" t="s">
        <v>718</v>
      </c>
      <c r="C76" s="1369"/>
      <c r="D76" s="1369"/>
      <c r="E76" s="1369"/>
      <c r="F76" s="1369"/>
      <c r="G76" s="1370"/>
    </row>
    <row r="77" spans="1:7">
      <c r="A77" s="1367"/>
      <c r="B77" s="1368" t="s">
        <v>1651</v>
      </c>
      <c r="C77" s="1369" t="s">
        <v>1099</v>
      </c>
      <c r="D77" s="1369"/>
      <c r="E77" s="1369"/>
      <c r="F77" s="1369"/>
      <c r="G77" s="1370"/>
    </row>
    <row r="78" spans="1:7">
      <c r="A78" s="1367"/>
      <c r="B78" s="1368" t="s">
        <v>1652</v>
      </c>
      <c r="C78" s="1369" t="s">
        <v>1099</v>
      </c>
      <c r="D78" s="1369"/>
      <c r="E78" s="1369"/>
      <c r="F78" s="1369"/>
      <c r="G78" s="1370"/>
    </row>
    <row r="79" spans="1:7">
      <c r="A79" s="1367"/>
      <c r="B79" s="1368" t="s">
        <v>1653</v>
      </c>
      <c r="C79" s="1369" t="s">
        <v>695</v>
      </c>
      <c r="D79" s="1369"/>
      <c r="E79" s="1369"/>
      <c r="F79" s="1369"/>
      <c r="G79" s="1370"/>
    </row>
    <row r="80" spans="1:7">
      <c r="A80" s="1367">
        <v>14</v>
      </c>
      <c r="B80" s="1368" t="s">
        <v>714</v>
      </c>
      <c r="C80" s="1369"/>
      <c r="D80" s="1369"/>
      <c r="E80" s="1369"/>
      <c r="F80" s="1369"/>
      <c r="G80" s="1370"/>
    </row>
    <row r="81" spans="1:7">
      <c r="A81" s="1367"/>
      <c r="B81" s="1368" t="s">
        <v>1654</v>
      </c>
      <c r="C81" s="1369" t="s">
        <v>1099</v>
      </c>
      <c r="D81" s="1369"/>
      <c r="E81" s="1369"/>
      <c r="F81" s="1369"/>
      <c r="G81" s="1370"/>
    </row>
    <row r="82" spans="1:7">
      <c r="A82" s="1367"/>
      <c r="B82" s="1368" t="s">
        <v>717</v>
      </c>
      <c r="C82" s="1369" t="s">
        <v>1655</v>
      </c>
      <c r="D82" s="1369"/>
      <c r="E82" s="1369"/>
      <c r="F82" s="1369"/>
      <c r="G82" s="1370"/>
    </row>
    <row r="83" spans="1:7">
      <c r="A83" s="1367"/>
      <c r="B83" s="1368" t="s">
        <v>718</v>
      </c>
      <c r="C83" s="1369"/>
      <c r="D83" s="1369"/>
      <c r="E83" s="1369"/>
      <c r="F83" s="1369"/>
      <c r="G83" s="1370"/>
    </row>
    <row r="84" spans="1:7">
      <c r="A84" s="1367"/>
      <c r="B84" s="1368" t="s">
        <v>1656</v>
      </c>
      <c r="C84" s="1369" t="s">
        <v>1655</v>
      </c>
      <c r="D84" s="1369"/>
      <c r="E84" s="1369"/>
      <c r="F84" s="1369"/>
      <c r="G84" s="1370"/>
    </row>
    <row r="85" spans="1:7">
      <c r="A85" s="1367"/>
      <c r="B85" s="1368" t="s">
        <v>720</v>
      </c>
      <c r="C85" s="1369" t="s">
        <v>1655</v>
      </c>
      <c r="D85" s="1369"/>
      <c r="E85" s="1369"/>
      <c r="F85" s="1369"/>
      <c r="G85" s="1370"/>
    </row>
    <row r="86" spans="1:7">
      <c r="A86" s="1367"/>
      <c r="B86" s="1368" t="s">
        <v>721</v>
      </c>
      <c r="C86" s="1369" t="s">
        <v>1655</v>
      </c>
      <c r="D86" s="1369"/>
      <c r="E86" s="1369"/>
      <c r="F86" s="1369"/>
      <c r="G86" s="1370"/>
    </row>
    <row r="87" spans="1:7">
      <c r="A87" s="1367"/>
      <c r="B87" s="1368" t="s">
        <v>722</v>
      </c>
      <c r="C87" s="1369" t="s">
        <v>1657</v>
      </c>
      <c r="D87" s="1369"/>
      <c r="E87" s="1369"/>
      <c r="F87" s="1369"/>
      <c r="G87" s="1370"/>
    </row>
    <row r="88" spans="1:7">
      <c r="A88" s="1367">
        <v>15</v>
      </c>
      <c r="B88" s="1368" t="s">
        <v>724</v>
      </c>
      <c r="C88" s="1369"/>
      <c r="D88" s="1369"/>
      <c r="E88" s="1369"/>
      <c r="F88" s="1369"/>
      <c r="G88" s="1370"/>
    </row>
    <row r="89" spans="1:7">
      <c r="A89" s="1367"/>
      <c r="B89" s="1368" t="s">
        <v>725</v>
      </c>
      <c r="C89" s="1369" t="s">
        <v>1658</v>
      </c>
      <c r="D89" s="1369"/>
      <c r="E89" s="1369"/>
      <c r="F89" s="1369"/>
      <c r="G89" s="1370"/>
    </row>
    <row r="90" spans="1:7">
      <c r="A90" s="1367"/>
      <c r="B90" s="1368" t="s">
        <v>727</v>
      </c>
      <c r="C90" s="1369" t="s">
        <v>1659</v>
      </c>
      <c r="D90" s="1369"/>
      <c r="E90" s="1369"/>
      <c r="F90" s="1369"/>
      <c r="G90" s="1370"/>
    </row>
    <row r="91" spans="1:7">
      <c r="A91" s="1367"/>
      <c r="B91" s="1368" t="s">
        <v>718</v>
      </c>
      <c r="C91" s="1369"/>
      <c r="D91" s="1369"/>
      <c r="E91" s="1369"/>
      <c r="F91" s="1369"/>
      <c r="G91" s="1370"/>
    </row>
    <row r="92" spans="1:7">
      <c r="A92" s="1367"/>
      <c r="B92" s="1368" t="s">
        <v>729</v>
      </c>
      <c r="C92" s="1369" t="s">
        <v>1659</v>
      </c>
      <c r="D92" s="1369"/>
      <c r="E92" s="1369"/>
      <c r="F92" s="1369"/>
      <c r="G92" s="1370"/>
    </row>
    <row r="93" spans="1:7">
      <c r="A93" s="1367"/>
      <c r="B93" s="1368" t="s">
        <v>730</v>
      </c>
      <c r="C93" s="1369" t="s">
        <v>1659</v>
      </c>
      <c r="D93" s="1369"/>
      <c r="E93" s="1369"/>
      <c r="F93" s="1369"/>
      <c r="G93" s="1370"/>
    </row>
    <row r="94" spans="1:7">
      <c r="A94" s="1367"/>
      <c r="B94" s="1368" t="s">
        <v>731</v>
      </c>
      <c r="C94" s="1369" t="s">
        <v>1659</v>
      </c>
      <c r="D94" s="1369"/>
      <c r="E94" s="1369"/>
      <c r="F94" s="1369"/>
      <c r="G94" s="1370"/>
    </row>
    <row r="95" spans="1:7">
      <c r="A95" s="1367"/>
      <c r="B95" s="1368" t="s">
        <v>732</v>
      </c>
      <c r="C95" s="1369" t="s">
        <v>1659</v>
      </c>
      <c r="D95" s="1369"/>
      <c r="E95" s="1369"/>
      <c r="F95" s="1369"/>
      <c r="G95" s="1370"/>
    </row>
    <row r="96" spans="1:7">
      <c r="A96" s="1367"/>
      <c r="B96" s="1368" t="s">
        <v>733</v>
      </c>
      <c r="C96" s="1369"/>
      <c r="D96" s="1369"/>
      <c r="E96" s="1369"/>
      <c r="F96" s="1369"/>
      <c r="G96" s="1370"/>
    </row>
    <row r="97" spans="1:7">
      <c r="A97" s="1367"/>
      <c r="B97" s="1368" t="s">
        <v>734</v>
      </c>
      <c r="C97" s="1369" t="s">
        <v>1099</v>
      </c>
      <c r="D97" s="1369"/>
      <c r="E97" s="1369"/>
      <c r="F97" s="1369"/>
      <c r="G97" s="1370"/>
    </row>
    <row r="98" spans="1:7">
      <c r="A98" s="1367"/>
      <c r="B98" s="1368" t="s">
        <v>735</v>
      </c>
      <c r="C98" s="1369" t="s">
        <v>1099</v>
      </c>
      <c r="D98" s="1369"/>
      <c r="E98" s="1369"/>
      <c r="F98" s="1369"/>
      <c r="G98" s="1370"/>
    </row>
    <row r="99" spans="1:7">
      <c r="A99" s="1367"/>
      <c r="B99" s="1368" t="s">
        <v>736</v>
      </c>
      <c r="C99" s="1369" t="s">
        <v>1099</v>
      </c>
      <c r="D99" s="1369"/>
      <c r="E99" s="1369"/>
      <c r="F99" s="1369"/>
      <c r="G99" s="1370"/>
    </row>
    <row r="100" spans="1:7" ht="27.6">
      <c r="A100" s="1367"/>
      <c r="B100" s="1368" t="s">
        <v>1660</v>
      </c>
      <c r="C100" s="1369" t="s">
        <v>710</v>
      </c>
      <c r="D100" s="1369"/>
      <c r="E100" s="1369"/>
      <c r="F100" s="1369"/>
      <c r="G100" s="1370"/>
    </row>
    <row r="101" spans="1:7">
      <c r="A101" s="1367"/>
      <c r="B101" s="1368" t="s">
        <v>1661</v>
      </c>
      <c r="C101" s="1369" t="s">
        <v>1662</v>
      </c>
      <c r="D101" s="1369"/>
      <c r="E101" s="1369"/>
      <c r="F101" s="1369"/>
      <c r="G101" s="1370"/>
    </row>
    <row r="102" spans="1:7">
      <c r="A102" s="1367"/>
      <c r="B102" s="1368" t="s">
        <v>739</v>
      </c>
      <c r="C102" s="1369" t="s">
        <v>1099</v>
      </c>
      <c r="D102" s="1369"/>
      <c r="E102" s="1369"/>
      <c r="F102" s="1369"/>
      <c r="G102" s="1370"/>
    </row>
    <row r="103" spans="1:7" ht="27.6">
      <c r="A103" s="1367"/>
      <c r="B103" s="1368" t="s">
        <v>740</v>
      </c>
      <c r="C103" s="1369" t="s">
        <v>1099</v>
      </c>
      <c r="D103" s="1369"/>
      <c r="E103" s="1369"/>
      <c r="F103" s="1369"/>
      <c r="G103" s="1370"/>
    </row>
    <row r="104" spans="1:7">
      <c r="A104" s="1367"/>
      <c r="B104" s="1368" t="s">
        <v>741</v>
      </c>
      <c r="C104" s="1369" t="s">
        <v>1099</v>
      </c>
      <c r="D104" s="1369"/>
      <c r="E104" s="1369"/>
      <c r="F104" s="1369"/>
      <c r="G104" s="1370"/>
    </row>
    <row r="105" spans="1:7">
      <c r="A105" s="1367"/>
      <c r="B105" s="1368" t="s">
        <v>742</v>
      </c>
      <c r="C105" s="1369" t="s">
        <v>1099</v>
      </c>
      <c r="D105" s="1369"/>
      <c r="E105" s="1369"/>
      <c r="F105" s="1369"/>
      <c r="G105" s="1370"/>
    </row>
    <row r="106" spans="1:7">
      <c r="A106" s="1367">
        <v>16</v>
      </c>
      <c r="B106" s="1368" t="s">
        <v>1663</v>
      </c>
      <c r="C106" s="1369"/>
      <c r="D106" s="1369"/>
      <c r="E106" s="1369"/>
      <c r="F106" s="1369"/>
      <c r="G106" s="1370"/>
    </row>
    <row r="107" spans="1:7">
      <c r="A107" s="1367"/>
      <c r="B107" s="1368" t="s">
        <v>1664</v>
      </c>
      <c r="C107" s="1369" t="s">
        <v>1658</v>
      </c>
      <c r="D107" s="1369"/>
      <c r="E107" s="1369"/>
      <c r="F107" s="1369"/>
      <c r="G107" s="1370"/>
    </row>
    <row r="108" spans="1:7">
      <c r="A108" s="1367"/>
      <c r="B108" s="1368" t="s">
        <v>1665</v>
      </c>
      <c r="C108" s="1369" t="s">
        <v>1099</v>
      </c>
      <c r="D108" s="1369"/>
      <c r="E108" s="1369"/>
      <c r="F108" s="1369"/>
      <c r="G108" s="1370"/>
    </row>
    <row r="109" spans="1:7">
      <c r="A109" s="1373"/>
      <c r="B109" s="1368" t="s">
        <v>1666</v>
      </c>
      <c r="C109" s="1369" t="s">
        <v>1099</v>
      </c>
      <c r="D109" s="1369"/>
      <c r="E109" s="1369"/>
      <c r="F109" s="1369"/>
      <c r="G109" s="1370"/>
    </row>
    <row r="110" spans="1:7">
      <c r="A110" s="1373"/>
      <c r="B110" s="1368" t="s">
        <v>1667</v>
      </c>
      <c r="C110" s="1369" t="s">
        <v>1668</v>
      </c>
      <c r="D110" s="1369"/>
      <c r="E110" s="1369"/>
      <c r="F110" s="1369"/>
      <c r="G110" s="1370"/>
    </row>
    <row r="111" spans="1:7">
      <c r="A111" s="1373"/>
      <c r="B111" s="1368" t="s">
        <v>1669</v>
      </c>
      <c r="C111" s="1369" t="s">
        <v>1668</v>
      </c>
      <c r="D111" s="1369"/>
      <c r="E111" s="1369"/>
      <c r="F111" s="1369"/>
      <c r="G111" s="1370"/>
    </row>
    <row r="112" spans="1:7">
      <c r="A112" s="1367"/>
      <c r="B112" s="1368" t="s">
        <v>1670</v>
      </c>
      <c r="C112" s="1369" t="s">
        <v>1668</v>
      </c>
      <c r="D112" s="1369"/>
      <c r="E112" s="1369"/>
      <c r="F112" s="1369"/>
      <c r="G112" s="1370"/>
    </row>
    <row r="113" spans="1:7">
      <c r="A113" s="1367"/>
      <c r="B113" s="1368" t="s">
        <v>1671</v>
      </c>
      <c r="C113" s="1369" t="s">
        <v>1668</v>
      </c>
      <c r="D113" s="1369"/>
      <c r="E113" s="1369"/>
      <c r="F113" s="1369"/>
      <c r="G113" s="1370"/>
    </row>
    <row r="114" spans="1:7">
      <c r="A114" s="1367"/>
      <c r="B114" s="1368" t="s">
        <v>1672</v>
      </c>
      <c r="C114" s="1369" t="s">
        <v>1668</v>
      </c>
      <c r="D114" s="1369"/>
      <c r="E114" s="1369"/>
      <c r="F114" s="1369"/>
      <c r="G114" s="1370"/>
    </row>
    <row r="115" spans="1:7">
      <c r="A115" s="1367"/>
      <c r="B115" s="1368" t="s">
        <v>1673</v>
      </c>
      <c r="C115" s="1369" t="s">
        <v>1668</v>
      </c>
      <c r="D115" s="1369"/>
      <c r="E115" s="1369"/>
      <c r="F115" s="1369"/>
      <c r="G115" s="1370"/>
    </row>
    <row r="116" spans="1:7">
      <c r="A116" s="1367"/>
      <c r="B116" s="1368" t="s">
        <v>1674</v>
      </c>
      <c r="C116" s="1369" t="s">
        <v>1668</v>
      </c>
      <c r="D116" s="1369"/>
      <c r="E116" s="1369"/>
      <c r="F116" s="1369"/>
      <c r="G116" s="1370"/>
    </row>
    <row r="117" spans="1:7">
      <c r="A117" s="1367"/>
      <c r="B117" s="1368" t="s">
        <v>1675</v>
      </c>
      <c r="C117" s="1369" t="s">
        <v>1668</v>
      </c>
      <c r="D117" s="1369"/>
      <c r="E117" s="1369"/>
      <c r="F117" s="1369"/>
      <c r="G117" s="1370"/>
    </row>
    <row r="118" spans="1:7">
      <c r="A118" s="1367"/>
      <c r="B118" s="1368" t="s">
        <v>1676</v>
      </c>
      <c r="C118" s="1369" t="s">
        <v>1099</v>
      </c>
      <c r="D118" s="1369"/>
      <c r="E118" s="1369"/>
      <c r="F118" s="1369"/>
      <c r="G118" s="1370"/>
    </row>
    <row r="119" spans="1:7">
      <c r="A119" s="1367"/>
      <c r="B119" s="1368" t="s">
        <v>1677</v>
      </c>
      <c r="C119" s="1369" t="s">
        <v>1678</v>
      </c>
      <c r="D119" s="1369"/>
      <c r="E119" s="1369"/>
      <c r="F119" s="1369"/>
      <c r="G119" s="1370"/>
    </row>
    <row r="120" spans="1:7">
      <c r="A120" s="1367"/>
      <c r="B120" s="1368" t="s">
        <v>1679</v>
      </c>
      <c r="C120" s="1369" t="s">
        <v>1678</v>
      </c>
      <c r="D120" s="1369"/>
      <c r="E120" s="1369"/>
      <c r="F120" s="1369"/>
      <c r="G120" s="1370"/>
    </row>
    <row r="121" spans="1:7">
      <c r="A121" s="1367"/>
      <c r="B121" s="1368" t="s">
        <v>1680</v>
      </c>
      <c r="C121" s="1369" t="s">
        <v>1099</v>
      </c>
      <c r="D121" s="1369"/>
      <c r="E121" s="1369"/>
      <c r="F121" s="1369"/>
      <c r="G121" s="1370"/>
    </row>
    <row r="122" spans="1:7">
      <c r="A122" s="1367">
        <v>17</v>
      </c>
      <c r="B122" s="1368" t="s">
        <v>1681</v>
      </c>
      <c r="C122" s="1369"/>
      <c r="D122" s="1369"/>
      <c r="E122" s="1369"/>
      <c r="F122" s="1369"/>
      <c r="G122" s="1370"/>
    </row>
    <row r="123" spans="1:7">
      <c r="A123" s="1367"/>
      <c r="B123" s="1368" t="s">
        <v>1682</v>
      </c>
      <c r="C123" s="1369" t="s">
        <v>1683</v>
      </c>
      <c r="D123" s="1369"/>
      <c r="E123" s="1369"/>
      <c r="F123" s="1369"/>
      <c r="G123" s="1370"/>
    </row>
    <row r="124" spans="1:7">
      <c r="A124" s="1367"/>
      <c r="B124" s="1368" t="s">
        <v>1684</v>
      </c>
      <c r="C124" s="1369" t="s">
        <v>1683</v>
      </c>
      <c r="D124" s="1369"/>
      <c r="E124" s="1369"/>
      <c r="F124" s="1369"/>
      <c r="G124" s="1370"/>
    </row>
    <row r="125" spans="1:7">
      <c r="A125" s="1367"/>
      <c r="B125" s="1368" t="s">
        <v>1685</v>
      </c>
      <c r="C125" s="1369" t="s">
        <v>1686</v>
      </c>
      <c r="D125" s="1369"/>
      <c r="E125" s="1369"/>
      <c r="F125" s="1369"/>
      <c r="G125" s="1370"/>
    </row>
    <row r="126" spans="1:7">
      <c r="A126" s="1367"/>
      <c r="B126" s="1368" t="s">
        <v>1687</v>
      </c>
      <c r="C126" s="1369" t="s">
        <v>1688</v>
      </c>
      <c r="D126" s="1369"/>
      <c r="E126" s="1369"/>
      <c r="F126" s="1369"/>
      <c r="G126" s="1370"/>
    </row>
    <row r="127" spans="1:7">
      <c r="A127" s="1367"/>
      <c r="B127" s="1368" t="s">
        <v>1689</v>
      </c>
      <c r="C127" s="1369" t="s">
        <v>1688</v>
      </c>
      <c r="D127" s="1369"/>
      <c r="E127" s="1369"/>
      <c r="F127" s="1369"/>
      <c r="G127" s="1370"/>
    </row>
    <row r="128" spans="1:7">
      <c r="A128" s="1367">
        <v>18</v>
      </c>
      <c r="B128" s="1368" t="s">
        <v>1690</v>
      </c>
      <c r="C128" s="1369"/>
      <c r="D128" s="1369"/>
      <c r="E128" s="1369"/>
      <c r="F128" s="1369"/>
      <c r="G128" s="1370"/>
    </row>
    <row r="129" spans="1:7">
      <c r="A129" s="1367"/>
      <c r="B129" s="1368" t="s">
        <v>1691</v>
      </c>
      <c r="C129" s="1369" t="s">
        <v>1606</v>
      </c>
      <c r="D129" s="1369"/>
      <c r="E129" s="1369"/>
      <c r="F129" s="1369"/>
      <c r="G129" s="1370"/>
    </row>
    <row r="130" spans="1:7">
      <c r="A130" s="1367">
        <v>19</v>
      </c>
      <c r="B130" s="1368" t="s">
        <v>1692</v>
      </c>
      <c r="C130" s="1369"/>
      <c r="D130" s="1369"/>
      <c r="E130" s="1369"/>
      <c r="F130" s="1369"/>
      <c r="G130" s="1370"/>
    </row>
    <row r="131" spans="1:7">
      <c r="A131" s="1367"/>
      <c r="B131" s="1368" t="s">
        <v>1693</v>
      </c>
      <c r="C131" s="1369" t="s">
        <v>1099</v>
      </c>
      <c r="D131" s="1369"/>
      <c r="E131" s="1369"/>
      <c r="F131" s="1369"/>
      <c r="G131" s="1370"/>
    </row>
    <row r="132" spans="1:7" ht="14.4" thickBot="1">
      <c r="A132" s="1374"/>
      <c r="B132" s="1375" t="s">
        <v>1694</v>
      </c>
      <c r="C132" s="1376" t="s">
        <v>1099</v>
      </c>
      <c r="D132" s="1376"/>
      <c r="E132" s="1376"/>
      <c r="F132" s="1376"/>
      <c r="G132" s="1377"/>
    </row>
    <row r="133" spans="1:7">
      <c r="A133" s="1357"/>
    </row>
    <row r="134" spans="1:7">
      <c r="A134" s="1378"/>
      <c r="D134" s="4196" t="s">
        <v>1695</v>
      </c>
      <c r="E134" s="4196"/>
      <c r="F134" s="4196"/>
      <c r="G134" s="4196"/>
    </row>
    <row r="135" spans="1:7">
      <c r="A135" s="1378"/>
      <c r="D135" s="4195" t="s">
        <v>1696</v>
      </c>
      <c r="E135" s="4195"/>
      <c r="F135" s="4195"/>
      <c r="G135" s="4195"/>
    </row>
    <row r="136" spans="1:7">
      <c r="A136" s="1378"/>
      <c r="D136" s="4195" t="s">
        <v>1520</v>
      </c>
      <c r="E136" s="4195"/>
      <c r="F136" s="4195"/>
      <c r="G136" s="4195"/>
    </row>
    <row r="137" spans="1:7">
      <c r="A137" s="1378"/>
      <c r="D137" s="4196" t="s">
        <v>1697</v>
      </c>
      <c r="E137" s="4196"/>
      <c r="F137" s="4196"/>
      <c r="G137" s="4196"/>
    </row>
  </sheetData>
  <mergeCells count="8">
    <mergeCell ref="D136:G136"/>
    <mergeCell ref="D137:G137"/>
    <mergeCell ref="A1:C1"/>
    <mergeCell ref="F1:G1"/>
    <mergeCell ref="A3:G3"/>
    <mergeCell ref="A4:G4"/>
    <mergeCell ref="D134:G134"/>
    <mergeCell ref="D135:G135"/>
  </mergeCells>
  <hyperlinks>
    <hyperlink ref="A5" location="'List danh mục'!A1" display="STT"/>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I41"/>
  <sheetViews>
    <sheetView topLeftCell="S4" workbookViewId="0">
      <selection activeCell="AL31" sqref="AL31"/>
    </sheetView>
  </sheetViews>
  <sheetFormatPr defaultColWidth="8.69921875" defaultRowHeight="18"/>
  <cols>
    <col min="1" max="1" width="4.69921875" style="20" customWidth="1"/>
    <col min="2" max="2" width="31.09765625" style="37" customWidth="1"/>
    <col min="3" max="20" width="8.69921875" style="37" customWidth="1"/>
    <col min="21" max="22" width="0" style="37" hidden="1" customWidth="1"/>
    <col min="23" max="23" width="9.19921875" style="37" hidden="1" customWidth="1"/>
    <col min="24" max="24" width="10.8984375" style="37" customWidth="1"/>
    <col min="25" max="33" width="10" style="37" customWidth="1"/>
    <col min="34" max="16384" width="8.69921875" style="37"/>
  </cols>
  <sheetData>
    <row r="1" spans="1:35" s="2" customFormat="1" ht="17.399999999999999">
      <c r="A1" s="4299" t="s">
        <v>2732</v>
      </c>
      <c r="B1" s="4299"/>
      <c r="C1" s="4299"/>
      <c r="D1" s="4299"/>
      <c r="E1" s="4299"/>
      <c r="F1" s="4299"/>
      <c r="G1" s="4299"/>
      <c r="H1" s="4299"/>
      <c r="I1" s="4299"/>
      <c r="J1" s="4299"/>
      <c r="K1" s="4299"/>
      <c r="L1" s="4299"/>
      <c r="M1" s="4299"/>
      <c r="N1" s="4299"/>
      <c r="O1" s="4299"/>
      <c r="P1" s="4299"/>
      <c r="Q1" s="4299"/>
      <c r="R1" s="4299"/>
      <c r="S1" s="4299"/>
      <c r="T1" s="4299"/>
    </row>
    <row r="2" spans="1:35" s="2" customFormat="1" ht="17.399999999999999">
      <c r="A2" s="38"/>
      <c r="B2" s="38"/>
      <c r="C2" s="38"/>
      <c r="D2" s="38"/>
      <c r="E2" s="38"/>
      <c r="F2" s="38"/>
      <c r="G2" s="38"/>
      <c r="H2" s="38"/>
      <c r="I2" s="38"/>
      <c r="J2" s="38"/>
      <c r="K2" s="38"/>
    </row>
    <row r="4" spans="1:35">
      <c r="A4" s="4360" t="s">
        <v>183</v>
      </c>
      <c r="B4" s="4360" t="s">
        <v>640</v>
      </c>
      <c r="C4" s="4362" t="s">
        <v>363</v>
      </c>
      <c r="D4" s="4362"/>
      <c r="E4" s="4362"/>
      <c r="F4" s="4362" t="s">
        <v>166</v>
      </c>
      <c r="G4" s="4362"/>
      <c r="H4" s="4362"/>
      <c r="I4" s="4362" t="s">
        <v>167</v>
      </c>
      <c r="J4" s="4362"/>
      <c r="K4" s="4362"/>
      <c r="L4" s="4362" t="s">
        <v>2706</v>
      </c>
      <c r="M4" s="4362"/>
      <c r="N4" s="4362"/>
      <c r="O4" s="4362" t="s">
        <v>2707</v>
      </c>
      <c r="P4" s="4362"/>
      <c r="Q4" s="4362"/>
      <c r="R4" s="4362" t="s">
        <v>2708</v>
      </c>
      <c r="S4" s="4362"/>
      <c r="T4" s="4362"/>
      <c r="W4" s="1234"/>
      <c r="X4" s="4318" t="s">
        <v>2709</v>
      </c>
      <c r="Y4" s="4362" t="s">
        <v>513</v>
      </c>
      <c r="Z4" s="4362"/>
      <c r="AA4" s="4362"/>
      <c r="AB4" s="4362"/>
      <c r="AC4" s="4362"/>
      <c r="AD4" s="4362"/>
      <c r="AE4" s="4362"/>
      <c r="AF4" s="4362"/>
      <c r="AG4" s="4362"/>
    </row>
    <row r="5" spans="1:35" s="70" customFormat="1" ht="156.6" customHeight="1">
      <c r="A5" s="4361"/>
      <c r="B5" s="4361"/>
      <c r="C5" s="7" t="s">
        <v>2693</v>
      </c>
      <c r="D5" s="7" t="s">
        <v>2741</v>
      </c>
      <c r="E5" s="7" t="s">
        <v>2694</v>
      </c>
      <c r="F5" s="7" t="s">
        <v>2693</v>
      </c>
      <c r="G5" s="7" t="s">
        <v>2741</v>
      </c>
      <c r="H5" s="7" t="s">
        <v>2694</v>
      </c>
      <c r="I5" s="7" t="s">
        <v>2693</v>
      </c>
      <c r="J5" s="7" t="s">
        <v>2741</v>
      </c>
      <c r="K5" s="7" t="s">
        <v>2694</v>
      </c>
      <c r="L5" s="7" t="s">
        <v>2693</v>
      </c>
      <c r="M5" s="7" t="s">
        <v>2741</v>
      </c>
      <c r="N5" s="7" t="s">
        <v>2694</v>
      </c>
      <c r="O5" s="7" t="s">
        <v>2693</v>
      </c>
      <c r="P5" s="7" t="s">
        <v>2741</v>
      </c>
      <c r="Q5" s="7" t="s">
        <v>2694</v>
      </c>
      <c r="R5" s="7" t="s">
        <v>2693</v>
      </c>
      <c r="S5" s="7" t="s">
        <v>2741</v>
      </c>
      <c r="T5" s="7" t="s">
        <v>2694</v>
      </c>
      <c r="W5" s="7"/>
      <c r="X5" s="4318"/>
      <c r="Y5" s="250" t="s">
        <v>2710</v>
      </c>
      <c r="Z5" s="250" t="s">
        <v>2711</v>
      </c>
      <c r="AA5" s="250" t="s">
        <v>2712</v>
      </c>
      <c r="AB5" s="250" t="s">
        <v>2713</v>
      </c>
      <c r="AC5" s="250" t="s">
        <v>2714</v>
      </c>
      <c r="AD5" s="250" t="s">
        <v>2715</v>
      </c>
      <c r="AE5" s="250" t="s">
        <v>2716</v>
      </c>
      <c r="AF5" s="250" t="s">
        <v>2717</v>
      </c>
      <c r="AG5" s="250" t="s">
        <v>2723</v>
      </c>
    </row>
    <row r="6" spans="1:35" s="2" customFormat="1" ht="17.399999999999999">
      <c r="A6" s="129" t="s">
        <v>7</v>
      </c>
      <c r="B6" s="129" t="s">
        <v>22</v>
      </c>
      <c r="C6" s="3485">
        <v>1</v>
      </c>
      <c r="D6" s="3485">
        <v>2</v>
      </c>
      <c r="E6" s="3485" t="s">
        <v>2722</v>
      </c>
      <c r="F6" s="3485">
        <v>1</v>
      </c>
      <c r="G6" s="3485">
        <v>2</v>
      </c>
      <c r="H6" s="3485" t="s">
        <v>2722</v>
      </c>
      <c r="I6" s="3485">
        <v>1</v>
      </c>
      <c r="J6" s="3485">
        <v>2</v>
      </c>
      <c r="K6" s="3485" t="s">
        <v>2722</v>
      </c>
      <c r="L6" s="3485">
        <v>1</v>
      </c>
      <c r="M6" s="3485">
        <v>2</v>
      </c>
      <c r="N6" s="3485" t="s">
        <v>2722</v>
      </c>
      <c r="O6" s="3485">
        <v>1</v>
      </c>
      <c r="P6" s="3485">
        <v>2</v>
      </c>
      <c r="Q6" s="3485" t="s">
        <v>2722</v>
      </c>
      <c r="R6" s="3485">
        <v>1</v>
      </c>
      <c r="S6" s="3485">
        <v>2</v>
      </c>
      <c r="T6" s="3485" t="s">
        <v>2722</v>
      </c>
      <c r="W6" s="3467"/>
      <c r="X6" s="3468"/>
      <c r="Y6" s="3468"/>
      <c r="Z6" s="3468"/>
      <c r="AA6" s="3468"/>
      <c r="AB6" s="3468"/>
      <c r="AC6" s="3468"/>
      <c r="AD6" s="3468"/>
      <c r="AE6" s="3468"/>
      <c r="AF6" s="3468"/>
      <c r="AG6" s="3467"/>
    </row>
    <row r="7" spans="1:35" s="2" customFormat="1" ht="17.399999999999999">
      <c r="A7" s="2021"/>
      <c r="B7" s="2021" t="s">
        <v>2704</v>
      </c>
      <c r="C7" s="3469">
        <f>C8+C21+C28+C31</f>
        <v>32667151</v>
      </c>
      <c r="D7" s="3469">
        <f t="shared" ref="D7:E7" si="0">D8+D21+D28+D31</f>
        <v>32659698</v>
      </c>
      <c r="E7" s="3469">
        <f t="shared" si="0"/>
        <v>-7453</v>
      </c>
      <c r="F7" s="3469">
        <f>F8+F21+F28+F31</f>
        <v>5095667</v>
      </c>
      <c r="G7" s="3469">
        <f t="shared" ref="G7" si="1">G8+G21+G28+G31</f>
        <v>5122961</v>
      </c>
      <c r="H7" s="3469">
        <f t="shared" ref="H7" si="2">H8+H21+H28+H31</f>
        <v>27294</v>
      </c>
      <c r="I7" s="3469">
        <f t="shared" ref="I7" si="3">I8+I21+I28+I31</f>
        <v>5729518</v>
      </c>
      <c r="J7" s="3469">
        <f t="shared" ref="J7" si="4">J8+J21+J28+J31</f>
        <v>4636730</v>
      </c>
      <c r="K7" s="3469">
        <f t="shared" ref="K7" si="5">K8+K21+K28+K31</f>
        <v>-1092788</v>
      </c>
      <c r="L7" s="3469">
        <f t="shared" ref="L7" si="6">L8+L21+L28+L31</f>
        <v>6314372</v>
      </c>
      <c r="M7" s="3469">
        <f t="shared" ref="M7" si="7">M8+M21+M28+M31</f>
        <v>6189507</v>
      </c>
      <c r="N7" s="3469">
        <f t="shared" ref="N7" si="8">N8+N21+N28+N31</f>
        <v>-124865</v>
      </c>
      <c r="O7" s="3469">
        <f t="shared" ref="O7" si="9">O8+O21+O28+O31</f>
        <v>7193372</v>
      </c>
      <c r="P7" s="3469">
        <f t="shared" ref="P7" si="10">P8+P21+P28+P31</f>
        <v>7312162</v>
      </c>
      <c r="Q7" s="3469">
        <f t="shared" ref="Q7" si="11">Q8+Q21+Q28+Q31</f>
        <v>118790</v>
      </c>
      <c r="R7" s="3469">
        <f t="shared" ref="R7" si="12">R8+R21+R28+R31</f>
        <v>8334222</v>
      </c>
      <c r="S7" s="3469">
        <f t="shared" ref="S7" si="13">S8+S21+S28+S31</f>
        <v>9398338</v>
      </c>
      <c r="T7" s="3469">
        <f t="shared" ref="T7" si="14">T8+T21+T28+T31</f>
        <v>1064116</v>
      </c>
      <c r="W7" s="3469">
        <f>W8+W21+W28+W31</f>
        <v>-8478900</v>
      </c>
      <c r="X7" s="3469">
        <f t="shared" ref="X7:AF7" si="15">X8+X21+X28+X31</f>
        <v>0</v>
      </c>
      <c r="Y7" s="3469">
        <f t="shared" si="15"/>
        <v>24062155</v>
      </c>
      <c r="Z7" s="3469">
        <f t="shared" si="15"/>
        <v>20188361</v>
      </c>
      <c r="AA7" s="3469">
        <f t="shared" si="15"/>
        <v>2016865</v>
      </c>
      <c r="AB7" s="3469">
        <f t="shared" si="15"/>
        <v>25399374</v>
      </c>
      <c r="AC7" s="3469">
        <f t="shared" si="15"/>
        <v>26279874</v>
      </c>
      <c r="AD7" s="3469">
        <f t="shared" si="15"/>
        <v>26344654</v>
      </c>
      <c r="AE7" s="3469">
        <f t="shared" si="15"/>
        <v>26554819</v>
      </c>
      <c r="AF7" s="3469">
        <f t="shared" si="15"/>
        <v>28146284</v>
      </c>
      <c r="AG7" s="3469">
        <f t="shared" ref="AG7:AI7" si="16">AG8+AG21+AG28+AG31</f>
        <v>28396284</v>
      </c>
      <c r="AI7" s="3469">
        <f t="shared" si="16"/>
        <v>-4520867</v>
      </c>
    </row>
    <row r="8" spans="1:35" s="1319" customFormat="1" ht="17.399999999999999">
      <c r="A8" s="133" t="s">
        <v>9</v>
      </c>
      <c r="B8" s="134" t="s">
        <v>2699</v>
      </c>
      <c r="C8" s="3470">
        <f>C9+C12+C15+C18</f>
        <v>17449365</v>
      </c>
      <c r="D8" s="3470">
        <f>D9+D12+D15+D18</f>
        <v>20435628</v>
      </c>
      <c r="E8" s="3470">
        <f t="shared" ref="E8" si="17">E9+E12+E15+E18</f>
        <v>2986263</v>
      </c>
      <c r="F8" s="3470">
        <f>F9+F12+F15+F18</f>
        <v>3252329</v>
      </c>
      <c r="G8" s="3470">
        <f t="shared" ref="G8:K8" si="18">G9+G12+G15+G18</f>
        <v>3381485</v>
      </c>
      <c r="H8" s="3470">
        <f t="shared" si="18"/>
        <v>129156</v>
      </c>
      <c r="I8" s="3470">
        <f t="shared" si="18"/>
        <v>3380084</v>
      </c>
      <c r="J8" s="3470">
        <f t="shared" si="18"/>
        <v>3374957</v>
      </c>
      <c r="K8" s="3470">
        <f t="shared" si="18"/>
        <v>-5127</v>
      </c>
      <c r="L8" s="3470">
        <f t="shared" ref="L8" si="19">L9+L12+L15+L18</f>
        <v>3484034</v>
      </c>
      <c r="M8" s="3470">
        <f t="shared" ref="M8" si="20">M9+M12+M15+M18</f>
        <v>3561000</v>
      </c>
      <c r="N8" s="3470">
        <f t="shared" ref="N8" si="21">N9+N12+N15+N18</f>
        <v>76966</v>
      </c>
      <c r="O8" s="3470">
        <f t="shared" ref="O8" si="22">O9+O12+O15+O18</f>
        <v>3602034</v>
      </c>
      <c r="P8" s="3470">
        <f t="shared" ref="P8" si="23">P9+P12+P15+P18</f>
        <v>5323186</v>
      </c>
      <c r="Q8" s="3470">
        <f t="shared" ref="Q8" si="24">Q9+Q12+Q15+Q18</f>
        <v>1721152</v>
      </c>
      <c r="R8" s="3470">
        <f t="shared" ref="R8" si="25">R9+R12+R15+R18</f>
        <v>3730884</v>
      </c>
      <c r="S8" s="3470">
        <f t="shared" ref="S8" si="26">S9+S12+S15+S18</f>
        <v>4795000</v>
      </c>
      <c r="T8" s="3470">
        <f t="shared" ref="T8" si="27">T9+T12+T15+T18</f>
        <v>1064116</v>
      </c>
      <c r="W8" s="3470">
        <f>W9+W12+W15+W18</f>
        <v>-365</v>
      </c>
      <c r="X8" s="3470">
        <f t="shared" ref="X8:AF8" si="28">X9+X12+X15+X18</f>
        <v>0</v>
      </c>
      <c r="Y8" s="3470">
        <f t="shared" si="28"/>
        <v>17449000</v>
      </c>
      <c r="Z8" s="3470">
        <f t="shared" si="28"/>
        <v>15580206</v>
      </c>
      <c r="AA8" s="3470">
        <f t="shared" si="28"/>
        <v>1031865</v>
      </c>
      <c r="AB8" s="3470">
        <f t="shared" si="28"/>
        <v>17487777</v>
      </c>
      <c r="AC8" s="3470">
        <f t="shared" si="28"/>
        <v>17487777</v>
      </c>
      <c r="AD8" s="3470">
        <f t="shared" si="28"/>
        <v>17487777</v>
      </c>
      <c r="AE8" s="3470">
        <f t="shared" si="28"/>
        <v>17487777</v>
      </c>
      <c r="AF8" s="3470">
        <f t="shared" si="28"/>
        <v>17487777</v>
      </c>
      <c r="AG8" s="3470">
        <f t="shared" ref="AG8" si="29">AG9+AG12+AG15+AG18</f>
        <v>17487777</v>
      </c>
      <c r="AI8" s="3470">
        <f>AI9+AI12+AI15+AI18</f>
        <v>38412</v>
      </c>
    </row>
    <row r="9" spans="1:35" s="2208" customFormat="1" ht="17.399999999999999">
      <c r="A9" s="3471">
        <v>1</v>
      </c>
      <c r="B9" s="2348" t="s">
        <v>1305</v>
      </c>
      <c r="C9" s="3472">
        <f t="shared" ref="C9:E9" si="30">SUM(C10:C11)</f>
        <v>6637365</v>
      </c>
      <c r="D9" s="3472">
        <f t="shared" si="30"/>
        <v>5584851</v>
      </c>
      <c r="E9" s="3472">
        <f t="shared" si="30"/>
        <v>-1052514</v>
      </c>
      <c r="F9" s="3472">
        <f>SUM(F10:F11)</f>
        <v>1159329</v>
      </c>
      <c r="G9" s="3472">
        <f t="shared" ref="G9:K9" si="31">SUM(G10:G11)</f>
        <v>1131485</v>
      </c>
      <c r="H9" s="3472">
        <f t="shared" si="31"/>
        <v>-27844</v>
      </c>
      <c r="I9" s="3472">
        <f t="shared" si="31"/>
        <v>1253084</v>
      </c>
      <c r="J9" s="3472">
        <f t="shared" si="31"/>
        <v>1036180</v>
      </c>
      <c r="K9" s="3472">
        <f t="shared" si="31"/>
        <v>-216904</v>
      </c>
      <c r="L9" s="3472">
        <f t="shared" ref="L9" si="32">SUM(L10:L11)</f>
        <v>1323034</v>
      </c>
      <c r="M9" s="3472">
        <f t="shared" ref="M9" si="33">SUM(M10:M11)</f>
        <v>1061000</v>
      </c>
      <c r="N9" s="3472">
        <f t="shared" ref="N9" si="34">SUM(N10:N11)</f>
        <v>-262034</v>
      </c>
      <c r="O9" s="3472">
        <f t="shared" ref="O9" si="35">SUM(O10:O11)</f>
        <v>1406034</v>
      </c>
      <c r="P9" s="3472">
        <f t="shared" ref="P9" si="36">SUM(P10:P11)</f>
        <v>1143186</v>
      </c>
      <c r="Q9" s="3472">
        <f t="shared" ref="Q9" si="37">SUM(Q10:Q11)</f>
        <v>-262848</v>
      </c>
      <c r="R9" s="3472">
        <f t="shared" ref="R9" si="38">SUM(R10:R11)</f>
        <v>1495884</v>
      </c>
      <c r="S9" s="3472">
        <f t="shared" ref="S9" si="39">SUM(S10:S11)</f>
        <v>1213000</v>
      </c>
      <c r="T9" s="3472">
        <f t="shared" ref="T9" si="40">SUM(T10:T11)</f>
        <v>-282884</v>
      </c>
      <c r="W9" s="3472">
        <f t="shared" ref="W9" si="41">SUM(W10:W11)</f>
        <v>-365</v>
      </c>
      <c r="X9" s="3472">
        <f t="shared" ref="X9:AG9" si="42">SUM(X10:X11)</f>
        <v>0</v>
      </c>
      <c r="Y9" s="3472">
        <f t="shared" si="42"/>
        <v>6637000</v>
      </c>
      <c r="Z9" s="3472">
        <f t="shared" si="42"/>
        <v>5728421</v>
      </c>
      <c r="AA9" s="3472">
        <f t="shared" si="42"/>
        <v>620372</v>
      </c>
      <c r="AB9" s="3472">
        <f t="shared" si="42"/>
        <v>6637000</v>
      </c>
      <c r="AC9" s="3472">
        <f t="shared" si="42"/>
        <v>6637000</v>
      </c>
      <c r="AD9" s="3472">
        <f t="shared" si="42"/>
        <v>6637000</v>
      </c>
      <c r="AE9" s="3472">
        <f t="shared" si="42"/>
        <v>6637000</v>
      </c>
      <c r="AF9" s="3472">
        <f t="shared" si="42"/>
        <v>6637000</v>
      </c>
      <c r="AG9" s="3472">
        <f t="shared" si="42"/>
        <v>6637000</v>
      </c>
      <c r="AI9" s="3472">
        <f t="shared" ref="AI9" si="43">SUM(AI10:AI11)</f>
        <v>-365</v>
      </c>
    </row>
    <row r="10" spans="1:35">
      <c r="A10" s="1802" t="s">
        <v>137</v>
      </c>
      <c r="B10" s="2303" t="s">
        <v>2695</v>
      </c>
      <c r="C10" s="3430">
        <f>F10+I10+L10+O10+R10</f>
        <v>4009365</v>
      </c>
      <c r="D10" s="3430">
        <f t="shared" ref="D10" si="44">G10+J10+M10+P10+S10</f>
        <v>2891359</v>
      </c>
      <c r="E10" s="3430">
        <f>D10-C10</f>
        <v>-1118006</v>
      </c>
      <c r="F10" s="3474">
        <f>'[18]Phụ lục số 2'!$S$14</f>
        <v>651329</v>
      </c>
      <c r="G10" s="3430">
        <f>[19]Sheet1!$L$11</f>
        <v>626239</v>
      </c>
      <c r="H10" s="3430">
        <f>G10-F10</f>
        <v>-25090</v>
      </c>
      <c r="I10" s="3430">
        <f>'[18]Phụ lục số 3-thu bs'!$P$20</f>
        <v>745084</v>
      </c>
      <c r="J10" s="3430">
        <f>[19]Sheet1!$M$11</f>
        <v>530934</v>
      </c>
      <c r="K10" s="3430">
        <f>J10-I10</f>
        <v>-214150</v>
      </c>
      <c r="L10" s="3430">
        <f>'[18]Phụ lục số 3-thu bs'!$S$20</f>
        <v>805034</v>
      </c>
      <c r="M10" s="3430">
        <f>[19]Sheet1!$N$11</f>
        <v>540000</v>
      </c>
      <c r="N10" s="3430">
        <f>M10-L10</f>
        <v>-265034</v>
      </c>
      <c r="O10" s="3430">
        <f>'[18]Phụ lục số 3-thu bs'!$V$20</f>
        <v>869034</v>
      </c>
      <c r="P10" s="3430">
        <f>[19]Sheet1!$O$11</f>
        <v>562186</v>
      </c>
      <c r="Q10" s="3430">
        <f>P10-O10</f>
        <v>-306848</v>
      </c>
      <c r="R10" s="3430">
        <f>'[18]Phụ lục số 3-thu bs'!$Y$20</f>
        <v>938884</v>
      </c>
      <c r="S10" s="3430">
        <f>'Phụ lục số 2'!AF10</f>
        <v>632000</v>
      </c>
      <c r="T10" s="3430">
        <f>S10-R10</f>
        <v>-306884</v>
      </c>
      <c r="W10" s="2558">
        <f>Y10-C10</f>
        <v>-365</v>
      </c>
      <c r="X10" s="16"/>
      <c r="Y10" s="16">
        <f>[19]Sheet1!$C$11</f>
        <v>4009000</v>
      </c>
      <c r="Z10" s="16">
        <f>[19]Sheet1!$D$11</f>
        <v>3100421</v>
      </c>
      <c r="AA10" s="16">
        <f>[19]Sheet1!$E$11</f>
        <v>620372</v>
      </c>
      <c r="AB10" s="16">
        <f>[19]Sheet1!$F$11</f>
        <v>4009000</v>
      </c>
      <c r="AC10" s="16">
        <f>[19]Sheet1!$G$11</f>
        <v>4009000</v>
      </c>
      <c r="AD10" s="16">
        <f>[19]Sheet1!$H$11</f>
        <v>4009000</v>
      </c>
      <c r="AE10" s="16">
        <f>[19]Sheet1!$I$11</f>
        <v>4009000</v>
      </c>
      <c r="AF10" s="16">
        <f>[19]Sheet1!$J$11</f>
        <v>4009000</v>
      </c>
      <c r="AG10" s="16">
        <f>AF10</f>
        <v>4009000</v>
      </c>
      <c r="AI10" s="1">
        <f>AG10-C10</f>
        <v>-365</v>
      </c>
    </row>
    <row r="11" spans="1:35">
      <c r="A11" s="1802" t="s">
        <v>137</v>
      </c>
      <c r="B11" s="2303" t="s">
        <v>2696</v>
      </c>
      <c r="C11" s="3430">
        <f>F11+I11+L11+O11+R11</f>
        <v>2628000</v>
      </c>
      <c r="D11" s="3430">
        <f>G11+J11+M11+P11+S11</f>
        <v>2693492</v>
      </c>
      <c r="E11" s="3430">
        <f>D11-C11</f>
        <v>65492</v>
      </c>
      <c r="F11" s="3474">
        <f>'[18]Phụ lục số 2'!$Y$14</f>
        <v>508000</v>
      </c>
      <c r="G11" s="3430">
        <f>[19]Sheet1!$L$12</f>
        <v>505246</v>
      </c>
      <c r="H11" s="3430">
        <f>G11-F11</f>
        <v>-2754</v>
      </c>
      <c r="I11" s="3430">
        <f>'[18]Phụ lục số 3-thu bs'!$Q$20</f>
        <v>508000</v>
      </c>
      <c r="J11" s="3430">
        <f>[19]Sheet1!$M$12</f>
        <v>505246</v>
      </c>
      <c r="K11" s="3430">
        <f>J11-I11</f>
        <v>-2754</v>
      </c>
      <c r="L11" s="3430">
        <f>'[18]Phụ lục số 3-thu bs'!$T$20</f>
        <v>518000</v>
      </c>
      <c r="M11" s="3430">
        <f>[19]Sheet1!$N$12</f>
        <v>521000</v>
      </c>
      <c r="N11" s="3430">
        <f>M11-L11</f>
        <v>3000</v>
      </c>
      <c r="O11" s="3430">
        <f>'[18]Phụ lục số 3-thu bs'!$W$20</f>
        <v>537000</v>
      </c>
      <c r="P11" s="3430">
        <f>[19]Sheet1!$O$12</f>
        <v>581000</v>
      </c>
      <c r="Q11" s="3430">
        <f>P11-O11</f>
        <v>44000</v>
      </c>
      <c r="R11" s="3430">
        <f>'[18]Phụ lục số 3-thu bs'!$Z$20</f>
        <v>557000</v>
      </c>
      <c r="S11" s="3430">
        <f>'Phụ lục số 2'!AG10</f>
        <v>581000</v>
      </c>
      <c r="T11" s="3430">
        <f>S11-R11</f>
        <v>24000</v>
      </c>
      <c r="W11" s="2558">
        <f>Y11-C11</f>
        <v>0</v>
      </c>
      <c r="X11" s="16"/>
      <c r="Y11" s="16">
        <f>[19]Sheet1!$C$12</f>
        <v>2628000</v>
      </c>
      <c r="Z11" s="16">
        <f>[19]Sheet1!$D$12</f>
        <v>2628000</v>
      </c>
      <c r="AA11" s="16">
        <f>[19]Sheet1!$E$12</f>
        <v>0</v>
      </c>
      <c r="AB11" s="16">
        <f>[19]Sheet1!$F$12</f>
        <v>2628000</v>
      </c>
      <c r="AC11" s="16">
        <f>[19]Sheet1!$G$12</f>
        <v>2628000</v>
      </c>
      <c r="AD11" s="16">
        <f>[19]Sheet1!$H$12</f>
        <v>2628000</v>
      </c>
      <c r="AE11" s="16">
        <f>[19]Sheet1!$I$12</f>
        <v>2628000</v>
      </c>
      <c r="AF11" s="16">
        <f>[19]Sheet1!$J$12</f>
        <v>2628000</v>
      </c>
      <c r="AG11" s="16">
        <f>AF11</f>
        <v>2628000</v>
      </c>
      <c r="AI11" s="1">
        <f>AG11-C11</f>
        <v>0</v>
      </c>
    </row>
    <row r="12" spans="1:35" s="2208" customFormat="1" ht="17.399999999999999">
      <c r="A12" s="3471">
        <v>2</v>
      </c>
      <c r="B12" s="2348" t="s">
        <v>2697</v>
      </c>
      <c r="C12" s="3472">
        <f t="shared" ref="C12:E12" si="45">C13+C14</f>
        <v>3287000</v>
      </c>
      <c r="D12" s="3472">
        <f t="shared" si="45"/>
        <v>5420000</v>
      </c>
      <c r="E12" s="3472">
        <f t="shared" si="45"/>
        <v>2133000</v>
      </c>
      <c r="F12" s="3472">
        <f>F13+F14</f>
        <v>618000</v>
      </c>
      <c r="G12" s="3472">
        <f t="shared" ref="G12:H12" si="46">G13+G14</f>
        <v>750000</v>
      </c>
      <c r="H12" s="3472">
        <f t="shared" si="46"/>
        <v>132000</v>
      </c>
      <c r="I12" s="3472">
        <f t="shared" ref="I12" si="47">I13+I14</f>
        <v>637000</v>
      </c>
      <c r="J12" s="3472">
        <f t="shared" ref="J12" si="48">J13+J14</f>
        <v>800000</v>
      </c>
      <c r="K12" s="3472">
        <f t="shared" ref="K12" si="49">K13+K14</f>
        <v>163000</v>
      </c>
      <c r="L12" s="3472">
        <f t="shared" ref="L12" si="50">L13+L14</f>
        <v>656000</v>
      </c>
      <c r="M12" s="3472">
        <f t="shared" ref="M12" si="51">M13+M14</f>
        <v>900000</v>
      </c>
      <c r="N12" s="3472">
        <f t="shared" ref="N12" si="52">N13+N14</f>
        <v>244000</v>
      </c>
      <c r="O12" s="3472">
        <f t="shared" ref="O12" si="53">O13+O14</f>
        <v>676000</v>
      </c>
      <c r="P12" s="3472">
        <f t="shared" ref="P12" si="54">P13+P14</f>
        <v>1770000</v>
      </c>
      <c r="Q12" s="3472">
        <f t="shared" ref="Q12" si="55">Q13+Q14</f>
        <v>1094000</v>
      </c>
      <c r="R12" s="3472">
        <f t="shared" ref="R12" si="56">R13+R14</f>
        <v>700000</v>
      </c>
      <c r="S12" s="3472">
        <f t="shared" ref="S12" si="57">S13+S14</f>
        <v>1200000</v>
      </c>
      <c r="T12" s="3472">
        <f t="shared" ref="T12" si="58">T13+T14</f>
        <v>500000</v>
      </c>
      <c r="W12" s="3472">
        <f t="shared" ref="W12:AI12" si="59">W13+W14</f>
        <v>0</v>
      </c>
      <c r="X12" s="3472">
        <f t="shared" si="59"/>
        <v>0</v>
      </c>
      <c r="Y12" s="3472">
        <f t="shared" si="59"/>
        <v>3287000</v>
      </c>
      <c r="Z12" s="3472">
        <f t="shared" si="59"/>
        <v>3287000</v>
      </c>
      <c r="AA12" s="3472">
        <f t="shared" si="59"/>
        <v>0</v>
      </c>
      <c r="AB12" s="3472">
        <f t="shared" si="59"/>
        <v>3287000</v>
      </c>
      <c r="AC12" s="3472">
        <f t="shared" si="59"/>
        <v>3287000</v>
      </c>
      <c r="AD12" s="3472">
        <f t="shared" si="59"/>
        <v>3287000</v>
      </c>
      <c r="AE12" s="3472">
        <f t="shared" si="59"/>
        <v>3287000</v>
      </c>
      <c r="AF12" s="3472">
        <f t="shared" si="59"/>
        <v>3287000</v>
      </c>
      <c r="AG12" s="3472">
        <f t="shared" si="59"/>
        <v>3287000</v>
      </c>
      <c r="AI12" s="3472">
        <f t="shared" si="59"/>
        <v>0</v>
      </c>
    </row>
    <row r="13" spans="1:35">
      <c r="A13" s="2347" t="s">
        <v>137</v>
      </c>
      <c r="B13" s="2303" t="s">
        <v>2695</v>
      </c>
      <c r="C13" s="3430">
        <f>F13+I13+L13+O13+R13</f>
        <v>787000</v>
      </c>
      <c r="D13" s="3430">
        <f t="shared" ref="D13" si="60">G13+J13+M13+P13+S13</f>
        <v>1352099.7457627119</v>
      </c>
      <c r="E13" s="3430">
        <f>D13-C13</f>
        <v>565099.74576271186</v>
      </c>
      <c r="F13" s="3474">
        <f>'[18]Phụ lục số 2'!$S$15</f>
        <v>118000</v>
      </c>
      <c r="G13" s="3430">
        <f>[19]Sheet1!$L$14</f>
        <v>100000</v>
      </c>
      <c r="H13" s="3430">
        <f>G13-F13</f>
        <v>-18000</v>
      </c>
      <c r="I13" s="3430">
        <f>'[18]Phụ lục số 3-thu bs'!$P$21</f>
        <v>137000</v>
      </c>
      <c r="J13" s="3430">
        <f>[19]Sheet1!$M$14</f>
        <v>100000</v>
      </c>
      <c r="K13" s="3430">
        <f>J13-I13</f>
        <v>-37000</v>
      </c>
      <c r="L13" s="3430">
        <f>'[18]Phụ lục số 3-thu bs'!$S$21</f>
        <v>156000</v>
      </c>
      <c r="M13" s="3430">
        <f>[19]Sheet1!$N$14</f>
        <v>100000</v>
      </c>
      <c r="N13" s="3430">
        <f>M13-L13</f>
        <v>-56000</v>
      </c>
      <c r="O13" s="3430">
        <f>'[18]Phụ lục số 3-thu bs'!$V$21</f>
        <v>176000</v>
      </c>
      <c r="P13" s="3430">
        <f>[19]Sheet1!$O$14</f>
        <v>627000</v>
      </c>
      <c r="Q13" s="3430">
        <f>P13-O13</f>
        <v>451000</v>
      </c>
      <c r="R13" s="3430">
        <f>'[18]Phụ lục số 3-thu bs'!$Y$21</f>
        <v>200000</v>
      </c>
      <c r="S13" s="3430">
        <f>'Phụ lục số 2'!AF11</f>
        <v>425099.74576271186</v>
      </c>
      <c r="T13" s="3430">
        <f>S13-R13</f>
        <v>225099.74576271186</v>
      </c>
      <c r="W13" s="2558">
        <f>Y13-C13</f>
        <v>-287000</v>
      </c>
      <c r="X13" s="16"/>
      <c r="Y13" s="16">
        <f>[19]Sheet1!$C$14</f>
        <v>500000</v>
      </c>
      <c r="Z13" s="16">
        <f>[19]Sheet1!$D$14</f>
        <v>500000</v>
      </c>
      <c r="AA13" s="3481">
        <f>[19]Sheet1!$E$14</f>
        <v>0</v>
      </c>
      <c r="AB13" s="16">
        <f>[19]Sheet1!$F$14</f>
        <v>500000</v>
      </c>
      <c r="AC13" s="16">
        <f>[19]Sheet1!$G$14</f>
        <v>500000</v>
      </c>
      <c r="AD13" s="16">
        <f>[19]Sheet1!$H$14</f>
        <v>500000</v>
      </c>
      <c r="AE13" s="16">
        <f>[19]Sheet1!$I$14</f>
        <v>500000</v>
      </c>
      <c r="AF13" s="16">
        <f>[19]Sheet1!$J$14</f>
        <v>500000</v>
      </c>
      <c r="AG13" s="16">
        <f>AF13</f>
        <v>500000</v>
      </c>
      <c r="AI13" s="1">
        <f>AG13-C13</f>
        <v>-287000</v>
      </c>
    </row>
    <row r="14" spans="1:35">
      <c r="A14" s="1802" t="s">
        <v>137</v>
      </c>
      <c r="B14" s="2303" t="s">
        <v>2696</v>
      </c>
      <c r="C14" s="3430">
        <f>F14+I14+L14+O14+R14</f>
        <v>2500000</v>
      </c>
      <c r="D14" s="3430">
        <f>G14+J14+M14+P14+S14</f>
        <v>4067900.2542372881</v>
      </c>
      <c r="E14" s="3430">
        <f>D14-C14</f>
        <v>1567900.2542372881</v>
      </c>
      <c r="F14" s="3474">
        <f>'[18]Phụ lục số 2'!$T$15</f>
        <v>500000</v>
      </c>
      <c r="G14" s="3430">
        <f>[19]Sheet1!$L$15</f>
        <v>650000</v>
      </c>
      <c r="H14" s="3430">
        <f>G14-F14</f>
        <v>150000</v>
      </c>
      <c r="I14" s="3430">
        <f>'[18]Phụ lục số 3-thu bs'!$Q$21</f>
        <v>500000</v>
      </c>
      <c r="J14" s="3430">
        <f>[19]Sheet1!$M$15</f>
        <v>700000</v>
      </c>
      <c r="K14" s="3430">
        <f>J14-I14</f>
        <v>200000</v>
      </c>
      <c r="L14" s="3430">
        <f>'[18]Phụ lục số 3-thu bs'!$T$21</f>
        <v>500000</v>
      </c>
      <c r="M14" s="3430">
        <f>[19]Sheet1!$N$15</f>
        <v>800000</v>
      </c>
      <c r="N14" s="3430">
        <f>M14-L14</f>
        <v>300000</v>
      </c>
      <c r="O14" s="3430">
        <f>'[18]Phụ lục số 3-thu bs'!$W$21</f>
        <v>500000</v>
      </c>
      <c r="P14" s="3430">
        <f>[19]Sheet1!$O$15</f>
        <v>1143000</v>
      </c>
      <c r="Q14" s="3430">
        <f>P14-O14</f>
        <v>643000</v>
      </c>
      <c r="R14" s="3430">
        <f>'[18]Phụ lục số 3-thu bs'!$Z$21</f>
        <v>500000</v>
      </c>
      <c r="S14" s="3430">
        <f>'Phụ lục số 2'!AG11</f>
        <v>774900.25423728814</v>
      </c>
      <c r="T14" s="3430">
        <f>S14-R14</f>
        <v>274900.25423728814</v>
      </c>
      <c r="W14" s="2558">
        <f>Y14-C14</f>
        <v>287000</v>
      </c>
      <c r="X14" s="16"/>
      <c r="Y14" s="16">
        <f>[19]Sheet1!$C$15</f>
        <v>2787000</v>
      </c>
      <c r="Z14" s="16">
        <f>[19]Sheet1!$D$15</f>
        <v>2787000</v>
      </c>
      <c r="AA14" s="16">
        <f>[19]Sheet1!$E$15</f>
        <v>0</v>
      </c>
      <c r="AB14" s="16">
        <f>[19]Sheet1!$F$15</f>
        <v>2787000</v>
      </c>
      <c r="AC14" s="16">
        <f>[19]Sheet1!$G$15</f>
        <v>2787000</v>
      </c>
      <c r="AD14" s="16">
        <f>[19]Sheet1!$H$15</f>
        <v>2787000</v>
      </c>
      <c r="AE14" s="16">
        <f>[19]Sheet1!$I$15</f>
        <v>2787000</v>
      </c>
      <c r="AF14" s="16">
        <f>[19]Sheet1!$J$15</f>
        <v>2787000</v>
      </c>
      <c r="AG14" s="16">
        <f>AF14</f>
        <v>2787000</v>
      </c>
      <c r="AI14" s="1">
        <f>AG14-C14</f>
        <v>287000</v>
      </c>
    </row>
    <row r="15" spans="1:35" s="2208" customFormat="1" ht="17.399999999999999">
      <c r="A15" s="3471">
        <v>3</v>
      </c>
      <c r="B15" s="2348" t="s">
        <v>1378</v>
      </c>
      <c r="C15" s="3472">
        <f t="shared" ref="C15:E15" si="61">C16</f>
        <v>7525000</v>
      </c>
      <c r="D15" s="3472">
        <f t="shared" si="61"/>
        <v>8772000</v>
      </c>
      <c r="E15" s="3472">
        <f t="shared" si="61"/>
        <v>1247000</v>
      </c>
      <c r="F15" s="3472">
        <f>F16</f>
        <v>1475000</v>
      </c>
      <c r="G15" s="3472">
        <f t="shared" ref="G15:H15" si="62">G16</f>
        <v>1500000</v>
      </c>
      <c r="H15" s="3472">
        <f t="shared" si="62"/>
        <v>25000</v>
      </c>
      <c r="I15" s="3472">
        <f t="shared" ref="I15" si="63">I16</f>
        <v>1490000</v>
      </c>
      <c r="J15" s="3472">
        <f t="shared" ref="J15" si="64">J16</f>
        <v>1500000</v>
      </c>
      <c r="K15" s="3472">
        <f t="shared" ref="K15" si="65">K16</f>
        <v>10000</v>
      </c>
      <c r="L15" s="3472">
        <f t="shared" ref="L15" si="66">L16</f>
        <v>1505000</v>
      </c>
      <c r="M15" s="3472">
        <f t="shared" ref="M15" si="67">M16</f>
        <v>1600000</v>
      </c>
      <c r="N15" s="3472">
        <f t="shared" ref="N15" si="68">N16</f>
        <v>95000</v>
      </c>
      <c r="O15" s="3472">
        <f t="shared" ref="O15" si="69">O16</f>
        <v>1520000</v>
      </c>
      <c r="P15" s="3472">
        <f t="shared" ref="P15" si="70">P16</f>
        <v>1850000</v>
      </c>
      <c r="Q15" s="3472">
        <f t="shared" ref="Q15" si="71">Q16</f>
        <v>330000</v>
      </c>
      <c r="R15" s="3472">
        <f t="shared" ref="R15" si="72">R16</f>
        <v>1535000</v>
      </c>
      <c r="S15" s="3472">
        <f t="shared" ref="S15" si="73">S16</f>
        <v>2322000</v>
      </c>
      <c r="T15" s="3472">
        <f t="shared" ref="T15" si="74">T16</f>
        <v>787000</v>
      </c>
      <c r="W15" s="3472">
        <f t="shared" ref="W15:AI15" si="75">W16</f>
        <v>0</v>
      </c>
      <c r="X15" s="3472">
        <f t="shared" si="75"/>
        <v>0</v>
      </c>
      <c r="Y15" s="3472">
        <f t="shared" si="75"/>
        <v>7525000</v>
      </c>
      <c r="Z15" s="3472">
        <f t="shared" si="75"/>
        <v>6564785</v>
      </c>
      <c r="AA15" s="3472">
        <f t="shared" si="75"/>
        <v>411493</v>
      </c>
      <c r="AB15" s="3472">
        <f t="shared" si="75"/>
        <v>7525000</v>
      </c>
      <c r="AC15" s="3472">
        <f t="shared" si="75"/>
        <v>7525000</v>
      </c>
      <c r="AD15" s="3472">
        <f t="shared" si="75"/>
        <v>7525000</v>
      </c>
      <c r="AE15" s="3472">
        <f t="shared" si="75"/>
        <v>7525000</v>
      </c>
      <c r="AF15" s="3472">
        <f t="shared" si="75"/>
        <v>7525000</v>
      </c>
      <c r="AG15" s="3472">
        <f t="shared" si="75"/>
        <v>7525000</v>
      </c>
      <c r="AI15" s="3472">
        <f t="shared" si="75"/>
        <v>0</v>
      </c>
    </row>
    <row r="16" spans="1:35">
      <c r="A16" s="2347" t="s">
        <v>137</v>
      </c>
      <c r="B16" s="2303" t="s">
        <v>2695</v>
      </c>
      <c r="C16" s="3430">
        <f>F16+I16+L16+O16+R16</f>
        <v>7525000</v>
      </c>
      <c r="D16" s="3430">
        <f t="shared" ref="D16" si="76">G16+J16+M16+P16+S16</f>
        <v>8772000</v>
      </c>
      <c r="E16" s="3430">
        <f>D16-C16</f>
        <v>1247000</v>
      </c>
      <c r="F16" s="3474">
        <f>'[18]Phụ lục số 2'!$S$16</f>
        <v>1475000</v>
      </c>
      <c r="G16" s="3430">
        <f>[19]Sheet1!$L$16</f>
        <v>1500000</v>
      </c>
      <c r="H16" s="3430">
        <f>G16-F16</f>
        <v>25000</v>
      </c>
      <c r="I16" s="3430">
        <f>'[18]Phụ lục số 3-thu bs'!$P$22</f>
        <v>1490000</v>
      </c>
      <c r="J16" s="3430">
        <f>[19]Sheet1!$M$16</f>
        <v>1500000</v>
      </c>
      <c r="K16" s="3430">
        <f>J16-I16</f>
        <v>10000</v>
      </c>
      <c r="L16" s="3430">
        <f>'[18]Phụ lục số 3-thu bs'!$S$22</f>
        <v>1505000</v>
      </c>
      <c r="M16" s="3430">
        <f>[19]Sheet1!$N$16</f>
        <v>1600000</v>
      </c>
      <c r="N16" s="3430">
        <f>M16-L16</f>
        <v>95000</v>
      </c>
      <c r="O16" s="3430">
        <f>'[18]Phụ lục số 3-thu bs'!$V$22</f>
        <v>1520000</v>
      </c>
      <c r="P16" s="3430">
        <f>[19]Sheet1!$O$16</f>
        <v>1850000</v>
      </c>
      <c r="Q16" s="3430">
        <f>P16-O16</f>
        <v>330000</v>
      </c>
      <c r="R16" s="3430">
        <f>'[18]Phụ lục số 3-thu bs'!$Y$22</f>
        <v>1535000</v>
      </c>
      <c r="S16" s="3430">
        <f>'Phụ lục số 2'!AF12</f>
        <v>2322000</v>
      </c>
      <c r="T16" s="3430">
        <f>S16-R16</f>
        <v>787000</v>
      </c>
      <c r="W16" s="2558">
        <f>Y16-C16</f>
        <v>0</v>
      </c>
      <c r="X16" s="16"/>
      <c r="Y16" s="16">
        <f>[19]Sheet1!$C$16</f>
        <v>7525000</v>
      </c>
      <c r="Z16" s="16">
        <f>[19]Sheet1!$D$16</f>
        <v>6564785</v>
      </c>
      <c r="AA16" s="16">
        <f>[19]Sheet1!$E$16</f>
        <v>411493</v>
      </c>
      <c r="AB16" s="16">
        <f>[19]Sheet1!$F$16</f>
        <v>7525000</v>
      </c>
      <c r="AC16" s="16">
        <f>[19]Sheet1!$G$16</f>
        <v>7525000</v>
      </c>
      <c r="AD16" s="16">
        <f>[19]Sheet1!$H$16</f>
        <v>7525000</v>
      </c>
      <c r="AE16" s="16">
        <f>[19]Sheet1!$I$16</f>
        <v>7525000</v>
      </c>
      <c r="AF16" s="16">
        <f>[19]Sheet1!$J$16</f>
        <v>7525000</v>
      </c>
      <c r="AG16" s="16">
        <f>AF16</f>
        <v>7525000</v>
      </c>
      <c r="AI16" s="1">
        <f>AG16-C16</f>
        <v>0</v>
      </c>
    </row>
    <row r="17" spans="1:35">
      <c r="A17" s="1802" t="s">
        <v>137</v>
      </c>
      <c r="B17" s="2303" t="s">
        <v>2696</v>
      </c>
      <c r="C17" s="3430">
        <f>F17+I17+L17+O17+R17</f>
        <v>0</v>
      </c>
      <c r="D17" s="3430">
        <f>G17+J17+M17+P17+S17</f>
        <v>0</v>
      </c>
      <c r="E17" s="3430">
        <f>D17-C17</f>
        <v>0</v>
      </c>
      <c r="F17" s="3430"/>
      <c r="G17" s="3430"/>
      <c r="H17" s="3430"/>
      <c r="I17" s="3430"/>
      <c r="J17" s="3430"/>
      <c r="K17" s="3430"/>
      <c r="L17" s="3430"/>
      <c r="M17" s="3430"/>
      <c r="N17" s="3430"/>
      <c r="O17" s="3430"/>
      <c r="P17" s="3430"/>
      <c r="Q17" s="3430"/>
      <c r="R17" s="3430"/>
      <c r="S17" s="3430"/>
      <c r="T17" s="3430"/>
      <c r="W17" s="2579"/>
      <c r="X17" s="16"/>
      <c r="Y17" s="16"/>
      <c r="Z17" s="16"/>
      <c r="AA17" s="16"/>
      <c r="AB17" s="16"/>
      <c r="AC17" s="16"/>
      <c r="AD17" s="16"/>
      <c r="AE17" s="16"/>
      <c r="AF17" s="16"/>
      <c r="AG17" s="2303"/>
    </row>
    <row r="18" spans="1:35" s="2" customFormat="1" ht="17.399999999999999">
      <c r="A18" s="2347">
        <v>4</v>
      </c>
      <c r="B18" s="2348" t="s">
        <v>2698</v>
      </c>
      <c r="C18" s="3473">
        <f t="shared" ref="C18:E18" si="77">SUM(C19:C20)</f>
        <v>0</v>
      </c>
      <c r="D18" s="3473">
        <f t="shared" si="77"/>
        <v>658777</v>
      </c>
      <c r="E18" s="3473">
        <f t="shared" si="77"/>
        <v>658777</v>
      </c>
      <c r="F18" s="3473">
        <f>SUM(F19:F20)</f>
        <v>0</v>
      </c>
      <c r="G18" s="3473">
        <f t="shared" ref="G18:H18" si="78">SUM(G19:G20)</f>
        <v>0</v>
      </c>
      <c r="H18" s="3473">
        <f t="shared" si="78"/>
        <v>0</v>
      </c>
      <c r="I18" s="3473">
        <f t="shared" ref="I18" si="79">SUM(I19:I20)</f>
        <v>0</v>
      </c>
      <c r="J18" s="3473">
        <f t="shared" ref="J18" si="80">SUM(J19:J20)</f>
        <v>38777</v>
      </c>
      <c r="K18" s="3473">
        <f t="shared" ref="K18" si="81">SUM(K19:K20)</f>
        <v>38777</v>
      </c>
      <c r="L18" s="3473">
        <f t="shared" ref="L18" si="82">SUM(L19:L20)</f>
        <v>0</v>
      </c>
      <c r="M18" s="3473">
        <f t="shared" ref="M18" si="83">SUM(M19:M20)</f>
        <v>0</v>
      </c>
      <c r="N18" s="3473">
        <f t="shared" ref="N18" si="84">SUM(N19:N20)</f>
        <v>0</v>
      </c>
      <c r="O18" s="3473">
        <f t="shared" ref="O18" si="85">SUM(O19:O20)</f>
        <v>0</v>
      </c>
      <c r="P18" s="3473">
        <f t="shared" ref="P18" si="86">SUM(P19:P20)</f>
        <v>560000</v>
      </c>
      <c r="Q18" s="3473">
        <f t="shared" ref="Q18" si="87">SUM(Q19:Q20)</f>
        <v>560000</v>
      </c>
      <c r="R18" s="3473">
        <f t="shared" ref="R18" si="88">SUM(R19:R20)</f>
        <v>0</v>
      </c>
      <c r="S18" s="3473">
        <f t="shared" ref="S18" si="89">SUM(S19:S20)</f>
        <v>60000</v>
      </c>
      <c r="T18" s="3473">
        <f t="shared" ref="T18" si="90">SUM(T19:T20)</f>
        <v>60000</v>
      </c>
      <c r="W18" s="2349"/>
      <c r="X18" s="3473">
        <f t="shared" ref="X18:AI18" si="91">SUM(X19:X20)</f>
        <v>0</v>
      </c>
      <c r="Y18" s="3473">
        <f t="shared" si="91"/>
        <v>0</v>
      </c>
      <c r="Z18" s="3473">
        <f t="shared" si="91"/>
        <v>0</v>
      </c>
      <c r="AA18" s="3473">
        <f t="shared" si="91"/>
        <v>0</v>
      </c>
      <c r="AB18" s="3473">
        <f t="shared" si="91"/>
        <v>38777</v>
      </c>
      <c r="AC18" s="3473">
        <f t="shared" si="91"/>
        <v>38777</v>
      </c>
      <c r="AD18" s="3473">
        <f t="shared" si="91"/>
        <v>38777</v>
      </c>
      <c r="AE18" s="3473">
        <f t="shared" si="91"/>
        <v>38777</v>
      </c>
      <c r="AF18" s="3473">
        <f t="shared" si="91"/>
        <v>38777</v>
      </c>
      <c r="AG18" s="3473">
        <f t="shared" si="91"/>
        <v>38777</v>
      </c>
      <c r="AI18" s="3473">
        <f t="shared" si="91"/>
        <v>38777</v>
      </c>
    </row>
    <row r="19" spans="1:35">
      <c r="A19" s="2347" t="s">
        <v>137</v>
      </c>
      <c r="B19" s="2303" t="s">
        <v>2695</v>
      </c>
      <c r="C19" s="3430">
        <f>F19+I19+L19+O19+R19</f>
        <v>0</v>
      </c>
      <c r="D19" s="3430">
        <f t="shared" ref="D19" si="92">G19+J19+M19+P19+S19</f>
        <v>658777</v>
      </c>
      <c r="E19" s="3430">
        <f>D19-C19</f>
        <v>658777</v>
      </c>
      <c r="F19" s="3430"/>
      <c r="G19" s="3430"/>
      <c r="H19" s="3430">
        <f>G19-F19</f>
        <v>0</v>
      </c>
      <c r="I19" s="3430"/>
      <c r="J19" s="3430">
        <f>[19]Sheet1!$M$22</f>
        <v>38777</v>
      </c>
      <c r="K19" s="3430">
        <f>J19-I19</f>
        <v>38777</v>
      </c>
      <c r="L19" s="3430"/>
      <c r="M19" s="3430">
        <f>[19]Sheet1!$N$22</f>
        <v>0</v>
      </c>
      <c r="N19" s="3430">
        <f>M19-L19</f>
        <v>0</v>
      </c>
      <c r="O19" s="3430"/>
      <c r="P19" s="3430">
        <f>[19]Sheet1!$O$22+[19]Sheet1!$O$23</f>
        <v>560000</v>
      </c>
      <c r="Q19" s="3430">
        <f>P19-O19</f>
        <v>560000</v>
      </c>
      <c r="R19" s="3430"/>
      <c r="S19" s="3430">
        <f>'Phụ lục số 2'!AC14</f>
        <v>60000</v>
      </c>
      <c r="T19" s="3430">
        <f>S19-R19</f>
        <v>60000</v>
      </c>
      <c r="W19" s="2579"/>
      <c r="X19" s="16"/>
      <c r="Y19" s="16"/>
      <c r="Z19" s="16"/>
      <c r="AA19" s="16"/>
      <c r="AB19" s="16">
        <f>[19]Sheet1!$F$22</f>
        <v>38777</v>
      </c>
      <c r="AC19" s="16">
        <f>AB19</f>
        <v>38777</v>
      </c>
      <c r="AD19" s="16">
        <f>AC19</f>
        <v>38777</v>
      </c>
      <c r="AE19" s="16">
        <f>AD19</f>
        <v>38777</v>
      </c>
      <c r="AF19" s="16">
        <f>AE19</f>
        <v>38777</v>
      </c>
      <c r="AG19" s="16">
        <f>AF19</f>
        <v>38777</v>
      </c>
      <c r="AI19" s="1">
        <f>AG19-C19</f>
        <v>38777</v>
      </c>
    </row>
    <row r="20" spans="1:35" s="2" customFormat="1">
      <c r="A20" s="1802" t="s">
        <v>137</v>
      </c>
      <c r="B20" s="2303" t="s">
        <v>2696</v>
      </c>
      <c r="C20" s="3430">
        <f>F20+I20+L20+O20+R20</f>
        <v>0</v>
      </c>
      <c r="D20" s="3430">
        <f>G20+J20+M20+P20+S20</f>
        <v>0</v>
      </c>
      <c r="E20" s="3430">
        <f>D20-C20</f>
        <v>0</v>
      </c>
      <c r="F20" s="3473"/>
      <c r="G20" s="3473"/>
      <c r="H20" s="3430">
        <f>G20-F20</f>
        <v>0</v>
      </c>
      <c r="I20" s="3473"/>
      <c r="J20" s="3473"/>
      <c r="K20" s="3430">
        <f>J20-I20</f>
        <v>0</v>
      </c>
      <c r="L20" s="3473"/>
      <c r="M20" s="3473"/>
      <c r="N20" s="3430">
        <f>M20-L20</f>
        <v>0</v>
      </c>
      <c r="O20" s="3473"/>
      <c r="P20" s="3473"/>
      <c r="Q20" s="3430">
        <f>P20-O20</f>
        <v>0</v>
      </c>
      <c r="R20" s="3473"/>
      <c r="S20" s="3473"/>
      <c r="T20" s="3430">
        <f>S20-R20</f>
        <v>0</v>
      </c>
      <c r="W20" s="2349"/>
      <c r="X20" s="1398"/>
      <c r="Y20" s="1398"/>
      <c r="Z20" s="1398"/>
      <c r="AA20" s="1398"/>
      <c r="AB20" s="1398"/>
      <c r="AC20" s="1398"/>
      <c r="AD20" s="1398"/>
      <c r="AE20" s="1398"/>
      <c r="AF20" s="1398"/>
      <c r="AG20" s="2348"/>
    </row>
    <row r="21" spans="1:35" s="1319" customFormat="1" ht="17.399999999999999">
      <c r="A21" s="133" t="s">
        <v>20</v>
      </c>
      <c r="B21" s="134" t="s">
        <v>2700</v>
      </c>
      <c r="C21" s="3470">
        <f>C22+C27+C26</f>
        <v>15091690</v>
      </c>
      <c r="D21" s="3470">
        <f t="shared" ref="D21:T21" si="93">D22+D27+D26</f>
        <v>12083070</v>
      </c>
      <c r="E21" s="3470">
        <f t="shared" si="93"/>
        <v>-3008620</v>
      </c>
      <c r="F21" s="3470">
        <f t="shared" si="93"/>
        <v>1813338</v>
      </c>
      <c r="G21" s="3470">
        <f t="shared" si="93"/>
        <v>1680276</v>
      </c>
      <c r="H21" s="3470">
        <f t="shared" si="93"/>
        <v>-133062</v>
      </c>
      <c r="I21" s="3470">
        <f t="shared" si="93"/>
        <v>2253338</v>
      </c>
      <c r="J21" s="3470">
        <f t="shared" si="93"/>
        <v>1213473</v>
      </c>
      <c r="K21" s="3470">
        <f t="shared" si="93"/>
        <v>-1039865</v>
      </c>
      <c r="L21" s="3470">
        <f t="shared" si="93"/>
        <v>2830338</v>
      </c>
      <c r="M21" s="3470">
        <f t="shared" si="93"/>
        <v>2597007</v>
      </c>
      <c r="N21" s="3470">
        <f t="shared" si="93"/>
        <v>-233331</v>
      </c>
      <c r="O21" s="3470">
        <f t="shared" si="93"/>
        <v>3591338</v>
      </c>
      <c r="P21" s="3470">
        <f t="shared" si="93"/>
        <v>1988976</v>
      </c>
      <c r="Q21" s="3470">
        <f t="shared" si="93"/>
        <v>-1602362</v>
      </c>
      <c r="R21" s="3470">
        <f t="shared" si="93"/>
        <v>4603338</v>
      </c>
      <c r="S21" s="3470">
        <f t="shared" si="93"/>
        <v>4603338</v>
      </c>
      <c r="T21" s="3470">
        <f t="shared" si="93"/>
        <v>0</v>
      </c>
      <c r="W21" s="3470">
        <f t="shared" ref="W21:Y21" si="94">W22+W27+W26</f>
        <v>-8478535</v>
      </c>
      <c r="X21" s="3470">
        <f t="shared" si="94"/>
        <v>0</v>
      </c>
      <c r="Y21" s="3470">
        <f t="shared" si="94"/>
        <v>6613155</v>
      </c>
      <c r="Z21" s="3470">
        <f t="shared" ref="Z21" si="95">Z22+Z27+Z26</f>
        <v>4608155</v>
      </c>
      <c r="AA21" s="3470">
        <f t="shared" ref="AA21" si="96">AA22+AA27+AA26</f>
        <v>985000</v>
      </c>
      <c r="AB21" s="3470">
        <f t="shared" ref="AB21" si="97">AB22+AB27+AB26</f>
        <v>7361032</v>
      </c>
      <c r="AC21" s="3470">
        <f t="shared" ref="AC21" si="98">AC22+AC27+AC26</f>
        <v>8241532</v>
      </c>
      <c r="AD21" s="3470">
        <f t="shared" ref="AD21" si="99">AD22+AD27+AD26</f>
        <v>8306312</v>
      </c>
      <c r="AE21" s="3470">
        <f t="shared" ref="AE21" si="100">AE22+AE27+AE26</f>
        <v>8392312</v>
      </c>
      <c r="AF21" s="3484">
        <f t="shared" ref="AF21:AG21" si="101">AF22+AF27+AF26</f>
        <v>9817112</v>
      </c>
      <c r="AG21" s="3470">
        <f t="shared" si="101"/>
        <v>10067112</v>
      </c>
      <c r="AI21" s="3484">
        <f t="shared" ref="AI21" si="102">AI22+AI27+AI26</f>
        <v>-5274578</v>
      </c>
    </row>
    <row r="22" spans="1:35" s="154" customFormat="1">
      <c r="A22" s="133">
        <v>1</v>
      </c>
      <c r="B22" s="137" t="s">
        <v>2721</v>
      </c>
      <c r="C22" s="3427">
        <f>SUM(C23:C25)</f>
        <v>14385000</v>
      </c>
      <c r="D22" s="3427">
        <f>SUM(D23:D25)</f>
        <v>11284868</v>
      </c>
      <c r="E22" s="3427">
        <f t="shared" ref="E22" si="103">SUM(E23:E25)</f>
        <v>-3100132</v>
      </c>
      <c r="F22" s="3427">
        <f>SUM(F23:F25)</f>
        <v>1672000</v>
      </c>
      <c r="G22" s="3427">
        <f t="shared" ref="G22:H22" si="104">SUM(G23:G25)</f>
        <v>1263824</v>
      </c>
      <c r="H22" s="11">
        <f t="shared" si="104"/>
        <v>-408176</v>
      </c>
      <c r="I22" s="3427">
        <f t="shared" ref="I22" si="105">SUM(I23:I25)</f>
        <v>2112000</v>
      </c>
      <c r="J22" s="3427">
        <f t="shared" ref="J22" si="106">SUM(J23:J25)</f>
        <v>1127000</v>
      </c>
      <c r="K22" s="3427">
        <f t="shared" ref="K22" si="107">SUM(K23:K25)</f>
        <v>-985000</v>
      </c>
      <c r="L22" s="3427">
        <f>SUM(L23:L25)</f>
        <v>2689000</v>
      </c>
      <c r="M22" s="3427">
        <f t="shared" ref="M22" si="108">SUM(M23:M25)</f>
        <v>2515537</v>
      </c>
      <c r="N22" s="3427">
        <f t="shared" ref="N22" si="109">SUM(N23:N25)</f>
        <v>-173463</v>
      </c>
      <c r="O22" s="3427">
        <f>SUM(O23:O25)</f>
        <v>3450000</v>
      </c>
      <c r="P22" s="3427">
        <f t="shared" ref="P22" si="110">SUM(P23:P25)</f>
        <v>1916507</v>
      </c>
      <c r="Q22" s="3427">
        <f t="shared" ref="Q22" si="111">SUM(Q23:Q25)</f>
        <v>-1533493</v>
      </c>
      <c r="R22" s="3427">
        <f>SUM(R23:R25)</f>
        <v>4462000</v>
      </c>
      <c r="S22" s="3427">
        <f t="shared" ref="S22" si="112">SUM(S23:S25)</f>
        <v>4462000</v>
      </c>
      <c r="T22" s="3427">
        <f t="shared" ref="T22" si="113">SUM(T23:T25)</f>
        <v>0</v>
      </c>
      <c r="W22" s="3427">
        <f t="shared" ref="W22:AG22" si="114">SUM(W23:W25)</f>
        <v>-8578845</v>
      </c>
      <c r="X22" s="3427">
        <f>SUM(X23:X25)</f>
        <v>0</v>
      </c>
      <c r="Y22" s="3427">
        <f t="shared" si="114"/>
        <v>5806155</v>
      </c>
      <c r="Z22" s="3427">
        <f t="shared" si="114"/>
        <v>3801155</v>
      </c>
      <c r="AA22" s="3427">
        <f t="shared" si="114"/>
        <v>985000</v>
      </c>
      <c r="AB22" s="3427">
        <f t="shared" si="114"/>
        <v>6554032</v>
      </c>
      <c r="AC22" s="3427">
        <f t="shared" si="114"/>
        <v>7434532</v>
      </c>
      <c r="AD22" s="3427">
        <f t="shared" si="114"/>
        <v>7499312</v>
      </c>
      <c r="AE22" s="3427">
        <f t="shared" si="114"/>
        <v>7585312</v>
      </c>
      <c r="AF22" s="3427">
        <f t="shared" si="114"/>
        <v>9010112</v>
      </c>
      <c r="AG22" s="3427">
        <f t="shared" si="114"/>
        <v>9260112</v>
      </c>
      <c r="AI22" s="3427">
        <f t="shared" ref="AI22" si="115">SUM(AI23:AI25)</f>
        <v>-5374888</v>
      </c>
    </row>
    <row r="23" spans="1:35">
      <c r="A23" s="1802" t="s">
        <v>137</v>
      </c>
      <c r="B23" s="2303" t="s">
        <v>2701</v>
      </c>
      <c r="C23" s="3430">
        <f>F23+I23+L23+O23+R23</f>
        <v>7661000</v>
      </c>
      <c r="D23" s="3430">
        <f t="shared" ref="D23" si="116">G23+J23+M23+P23+S23</f>
        <v>8435194</v>
      </c>
      <c r="E23" s="3430">
        <f>D23-C23</f>
        <v>774194</v>
      </c>
      <c r="F23" s="3430">
        <f>'[18]Phụ lục số 2'!$S$39</f>
        <v>1070000</v>
      </c>
      <c r="G23" s="16">
        <f>310000+953824</f>
        <v>1263824</v>
      </c>
      <c r="H23" s="16">
        <f>G23-F23</f>
        <v>193824</v>
      </c>
      <c r="I23" s="3430">
        <f>'[18]Phụ lục số 2'!$U$39</f>
        <v>1263000</v>
      </c>
      <c r="J23" s="3430">
        <v>1127000</v>
      </c>
      <c r="K23" s="3430">
        <f>J23-I23</f>
        <v>-136000</v>
      </c>
      <c r="L23" s="3430">
        <f>'[18]Phụ lục số 2'!$Z$39</f>
        <v>1491000</v>
      </c>
      <c r="M23" s="3430">
        <f>(1115300+1170500)</f>
        <v>2285800</v>
      </c>
      <c r="N23" s="3430">
        <f>M23-L23</f>
        <v>794800</v>
      </c>
      <c r="O23" s="3430">
        <f>'[18]Phụ lục số 2'!$AE$39</f>
        <v>1760000</v>
      </c>
      <c r="P23" s="3430">
        <f>'Phụ lục số 8'!C9+'Phụ lục số 8'!C13</f>
        <v>1681570</v>
      </c>
      <c r="Q23" s="3430">
        <f>P23-O23</f>
        <v>-78430</v>
      </c>
      <c r="R23" s="3430">
        <f>'[18]Phụ lục số 2'!$AJ$39</f>
        <v>2077000</v>
      </c>
      <c r="S23" s="3430">
        <f>R23</f>
        <v>2077000</v>
      </c>
      <c r="T23" s="3430">
        <f>S23-R23</f>
        <v>0</v>
      </c>
      <c r="W23" s="3427">
        <f>Y23-C23</f>
        <v>-1854845</v>
      </c>
      <c r="X23" s="16"/>
      <c r="Y23" s="16">
        <v>5806155</v>
      </c>
      <c r="Z23" s="16">
        <v>3801155</v>
      </c>
      <c r="AA23" s="16">
        <v>985000</v>
      </c>
      <c r="AB23" s="3483">
        <f>6264032-AB25</f>
        <v>5806155</v>
      </c>
      <c r="AC23" s="3483">
        <f>AB23</f>
        <v>5806155</v>
      </c>
      <c r="AD23" s="3483">
        <f>AC23</f>
        <v>5806155</v>
      </c>
      <c r="AE23" s="3483">
        <f>AD23</f>
        <v>5806155</v>
      </c>
      <c r="AF23" s="3483">
        <f>AE23+1410800</f>
        <v>7216955</v>
      </c>
      <c r="AG23" s="16">
        <f>AF23</f>
        <v>7216955</v>
      </c>
      <c r="AI23" s="1">
        <f>AF23-C23</f>
        <v>-444045</v>
      </c>
    </row>
    <row r="24" spans="1:35">
      <c r="A24" s="1802" t="s">
        <v>137</v>
      </c>
      <c r="B24" s="2303" t="s">
        <v>2702</v>
      </c>
      <c r="C24" s="3430">
        <f>F24+I24+L24+O24+R24</f>
        <v>0</v>
      </c>
      <c r="D24" s="3430">
        <f>G24+J24+M24+P24+S24</f>
        <v>0</v>
      </c>
      <c r="E24" s="3430">
        <f>D24-C24</f>
        <v>0</v>
      </c>
      <c r="F24" s="3430"/>
      <c r="G24" s="16"/>
      <c r="H24" s="16">
        <f t="shared" ref="H24:H27" si="117">G24-F24</f>
        <v>0</v>
      </c>
      <c r="I24" s="3430"/>
      <c r="J24" s="3430"/>
      <c r="K24" s="3430"/>
      <c r="L24" s="3430"/>
      <c r="M24" s="3430"/>
      <c r="N24" s="3430"/>
      <c r="O24" s="3430"/>
      <c r="P24" s="3430"/>
      <c r="Q24" s="3430">
        <f t="shared" ref="Q24:Q27" si="118">P24-O24</f>
        <v>0</v>
      </c>
      <c r="R24" s="3430"/>
      <c r="S24" s="3430"/>
      <c r="T24" s="3430">
        <f t="shared" ref="T24:T27" si="119">S24-R24</f>
        <v>0</v>
      </c>
      <c r="W24" s="3427">
        <f t="shared" ref="W24:W27" si="120">Y24-C24</f>
        <v>0</v>
      </c>
      <c r="X24" s="16"/>
      <c r="Y24" s="16"/>
      <c r="Z24" s="16"/>
      <c r="AA24" s="16"/>
      <c r="AB24" s="16">
        <v>290000</v>
      </c>
      <c r="AC24" s="16">
        <f>AB24+(135500+745000)</f>
        <v>1170500</v>
      </c>
      <c r="AD24" s="16">
        <f>AC24</f>
        <v>1170500</v>
      </c>
      <c r="AE24" s="75">
        <f>86000+AD24</f>
        <v>1256500</v>
      </c>
      <c r="AF24" s="16">
        <f>14000+AE24</f>
        <v>1270500</v>
      </c>
      <c r="AG24" s="3481">
        <f>AF24+250000</f>
        <v>1520500</v>
      </c>
      <c r="AI24" s="34">
        <f>AF24-C24</f>
        <v>1270500</v>
      </c>
    </row>
    <row r="25" spans="1:35">
      <c r="A25" s="1802" t="s">
        <v>137</v>
      </c>
      <c r="B25" s="2303" t="s">
        <v>2705</v>
      </c>
      <c r="C25" s="3430">
        <f>F25+I25+L25+O25+R25</f>
        <v>6724000</v>
      </c>
      <c r="D25" s="3430">
        <f t="shared" ref="D25" si="121">G25+J25+M25+P25+S25</f>
        <v>2849674</v>
      </c>
      <c r="E25" s="3430">
        <f>D25-C25</f>
        <v>-3874326</v>
      </c>
      <c r="F25" s="3430">
        <f>'[18]Phụ lục số 2'!$P$38</f>
        <v>602000</v>
      </c>
      <c r="G25" s="16">
        <v>0</v>
      </c>
      <c r="H25" s="16">
        <f t="shared" si="117"/>
        <v>-602000</v>
      </c>
      <c r="I25" s="3430">
        <f>'[18]Phụ lục số 2'!$U$38</f>
        <v>849000</v>
      </c>
      <c r="J25" s="3430"/>
      <c r="K25" s="3430">
        <f>J25-I25</f>
        <v>-849000</v>
      </c>
      <c r="L25" s="3430">
        <f>'[18]Phụ lục số 2'!$Z$38</f>
        <v>1198000</v>
      </c>
      <c r="M25" s="3430">
        <f>132171+97566</f>
        <v>229737</v>
      </c>
      <c r="N25" s="3430">
        <f>M25-L25</f>
        <v>-968263</v>
      </c>
      <c r="O25" s="3430">
        <f>'[18]Phụ lục số 2'!$AE$38</f>
        <v>1690000</v>
      </c>
      <c r="P25" s="3430">
        <f>'Phụ lục số 8'!C19</f>
        <v>234937</v>
      </c>
      <c r="Q25" s="3430">
        <f t="shared" si="118"/>
        <v>-1455063</v>
      </c>
      <c r="R25" s="3430">
        <f>'[18]Phụ lục số 2'!$AJ$38</f>
        <v>2385000</v>
      </c>
      <c r="S25" s="3430">
        <f>R25</f>
        <v>2385000</v>
      </c>
      <c r="T25" s="3430">
        <f t="shared" si="119"/>
        <v>0</v>
      </c>
      <c r="W25" s="3427">
        <f>Y25-C25</f>
        <v>-6724000</v>
      </c>
      <c r="X25" s="16"/>
      <c r="Y25" s="16"/>
      <c r="Z25" s="16"/>
      <c r="AA25" s="16"/>
      <c r="AB25" s="3483">
        <f>457877</f>
        <v>457877</v>
      </c>
      <c r="AC25" s="3483">
        <f>AB25</f>
        <v>457877</v>
      </c>
      <c r="AD25" s="3483">
        <f>AC25+64780</f>
        <v>522657</v>
      </c>
      <c r="AE25" s="3483">
        <f>AD25</f>
        <v>522657</v>
      </c>
      <c r="AF25" s="3483">
        <f>AE25</f>
        <v>522657</v>
      </c>
      <c r="AG25" s="16">
        <f>AF25</f>
        <v>522657</v>
      </c>
      <c r="AI25" s="34">
        <f>AF25-C25</f>
        <v>-6201343</v>
      </c>
    </row>
    <row r="26" spans="1:35">
      <c r="A26" s="2347">
        <v>2</v>
      </c>
      <c r="B26" s="2303" t="s">
        <v>2720</v>
      </c>
      <c r="C26" s="3430"/>
      <c r="D26" s="3430"/>
      <c r="E26" s="3430"/>
      <c r="F26" s="3430"/>
      <c r="G26" s="16"/>
      <c r="H26" s="16"/>
      <c r="I26" s="3430"/>
      <c r="J26" s="3430"/>
      <c r="K26" s="3430"/>
      <c r="L26" s="3430"/>
      <c r="M26" s="3430"/>
      <c r="N26" s="3430"/>
      <c r="O26" s="3430"/>
      <c r="P26" s="3430"/>
      <c r="Q26" s="3430"/>
      <c r="R26" s="3430"/>
      <c r="S26" s="3430"/>
      <c r="T26" s="3430"/>
      <c r="W26" s="3427">
        <f t="shared" si="120"/>
        <v>807000</v>
      </c>
      <c r="X26" s="16"/>
      <c r="Y26" s="16">
        <v>807000</v>
      </c>
      <c r="Z26" s="16">
        <v>807000</v>
      </c>
      <c r="AA26" s="16"/>
      <c r="AB26" s="16">
        <v>807000</v>
      </c>
      <c r="AC26" s="16">
        <f>AB26</f>
        <v>807000</v>
      </c>
      <c r="AD26" s="16">
        <f>AC26</f>
        <v>807000</v>
      </c>
      <c r="AE26" s="16">
        <f>AD26</f>
        <v>807000</v>
      </c>
      <c r="AF26" s="16">
        <v>807000</v>
      </c>
      <c r="AG26" s="16">
        <f>AF26</f>
        <v>807000</v>
      </c>
      <c r="AI26" s="34">
        <f t="shared" ref="AI26" si="122">AF26-C26</f>
        <v>807000</v>
      </c>
    </row>
    <row r="27" spans="1:35">
      <c r="A27" s="2347">
        <v>3</v>
      </c>
      <c r="B27" s="2303" t="s">
        <v>2611</v>
      </c>
      <c r="C27" s="3430">
        <f>F27+I27+L27+O27+R27</f>
        <v>706690</v>
      </c>
      <c r="D27" s="3430">
        <f>G27+J27+M27+P27+S27</f>
        <v>798202</v>
      </c>
      <c r="E27" s="3430">
        <f>D27-C27</f>
        <v>91512</v>
      </c>
      <c r="F27" s="3430">
        <f>'[18]Phụ lục số 2'!$P$40</f>
        <v>141338</v>
      </c>
      <c r="G27" s="16">
        <f>416452</f>
        <v>416452</v>
      </c>
      <c r="H27" s="16">
        <f t="shared" si="117"/>
        <v>275114</v>
      </c>
      <c r="I27" s="3430">
        <f>'[18]Phụ lục số 2'!$U$40</f>
        <v>141338</v>
      </c>
      <c r="J27" s="3430">
        <v>86473</v>
      </c>
      <c r="K27" s="3430">
        <f>J27-I27</f>
        <v>-54865</v>
      </c>
      <c r="L27" s="3430">
        <f>'[18]Phụ lục số 2'!$Z$40</f>
        <v>141338</v>
      </c>
      <c r="M27" s="3430">
        <f>81470</f>
        <v>81470</v>
      </c>
      <c r="N27" s="3430">
        <f>M27-L27</f>
        <v>-59868</v>
      </c>
      <c r="O27" s="3430">
        <f>'[18]Phụ lục số 2'!$AE$40</f>
        <v>141338</v>
      </c>
      <c r="P27" s="3430">
        <f>'Phụ lục số 8'!E7-'Phụ lục số 8'!E19</f>
        <v>72469</v>
      </c>
      <c r="Q27" s="3430">
        <f t="shared" si="118"/>
        <v>-68869</v>
      </c>
      <c r="R27" s="3430">
        <f>'[18]Phụ lục số 2'!$AJ$40</f>
        <v>141338</v>
      </c>
      <c r="S27" s="3430">
        <f>R27</f>
        <v>141338</v>
      </c>
      <c r="T27" s="3430">
        <f t="shared" si="119"/>
        <v>0</v>
      </c>
      <c r="W27" s="3427">
        <f t="shared" si="120"/>
        <v>-706690</v>
      </c>
      <c r="X27" s="16"/>
      <c r="Y27" s="16"/>
      <c r="Z27" s="16"/>
      <c r="AA27" s="16"/>
      <c r="AB27" s="16"/>
      <c r="AC27" s="16"/>
      <c r="AD27" s="16"/>
      <c r="AE27" s="16"/>
      <c r="AF27" s="16"/>
      <c r="AG27" s="2303"/>
      <c r="AI27" s="34">
        <f>AF27-C27</f>
        <v>-706690</v>
      </c>
    </row>
    <row r="28" spans="1:35" s="2" customFormat="1" ht="17.399999999999999">
      <c r="A28" s="2347" t="s">
        <v>49</v>
      </c>
      <c r="B28" s="2348" t="s">
        <v>894</v>
      </c>
      <c r="C28" s="3473">
        <f t="shared" ref="C28:E28" si="123">SUM(C29:C30)</f>
        <v>126096</v>
      </c>
      <c r="D28" s="3473">
        <f t="shared" si="123"/>
        <v>141000</v>
      </c>
      <c r="E28" s="3473">
        <f t="shared" si="123"/>
        <v>14904</v>
      </c>
      <c r="F28" s="3473">
        <f>SUM(F29:F30)</f>
        <v>30000</v>
      </c>
      <c r="G28" s="3473">
        <f t="shared" ref="G28:H28" si="124">SUM(G29:G30)</f>
        <v>61200</v>
      </c>
      <c r="H28" s="3473">
        <f t="shared" si="124"/>
        <v>31200</v>
      </c>
      <c r="I28" s="3473">
        <f t="shared" ref="I28" si="125">SUM(I29:I30)</f>
        <v>96096</v>
      </c>
      <c r="J28" s="3473">
        <f t="shared" ref="J28" si="126">SUM(J29:J30)</f>
        <v>48300</v>
      </c>
      <c r="K28" s="3473">
        <f t="shared" ref="K28" si="127">SUM(K29:K30)</f>
        <v>-47796</v>
      </c>
      <c r="L28" s="3473">
        <f t="shared" ref="L28" si="128">SUM(L29:L30)</f>
        <v>0</v>
      </c>
      <c r="M28" s="3473">
        <f t="shared" ref="M28" si="129">SUM(M29:M30)</f>
        <v>31500</v>
      </c>
      <c r="N28" s="3473">
        <f t="shared" ref="N28" si="130">SUM(N29:N30)</f>
        <v>31500</v>
      </c>
      <c r="O28" s="3473">
        <f t="shared" ref="O28" si="131">SUM(O29:O30)</f>
        <v>0</v>
      </c>
      <c r="P28" s="3473">
        <f t="shared" ref="P28" si="132">SUM(P29:P30)</f>
        <v>0</v>
      </c>
      <c r="Q28" s="3473">
        <f t="shared" ref="Q28" si="133">SUM(Q29:Q30)</f>
        <v>0</v>
      </c>
      <c r="R28" s="3473">
        <f t="shared" ref="R28" si="134">SUM(R29:R30)</f>
        <v>0</v>
      </c>
      <c r="S28" s="3473">
        <f t="shared" ref="S28" si="135">SUM(S29:S30)</f>
        <v>0</v>
      </c>
      <c r="T28" s="3473">
        <f t="shared" ref="T28" si="136">SUM(T29:T30)</f>
        <v>0</v>
      </c>
      <c r="W28" s="3473">
        <f>SUM(W29:W30)</f>
        <v>0</v>
      </c>
      <c r="X28" s="3473">
        <f>SUM(X29:X30)</f>
        <v>0</v>
      </c>
      <c r="Y28" s="3473">
        <f t="shared" ref="Y28:AI28" si="137">SUM(Y29:Y30)</f>
        <v>0</v>
      </c>
      <c r="Z28" s="3473">
        <f t="shared" si="137"/>
        <v>0</v>
      </c>
      <c r="AA28" s="3473">
        <f t="shared" si="137"/>
        <v>0</v>
      </c>
      <c r="AB28" s="3473">
        <f t="shared" si="137"/>
        <v>0</v>
      </c>
      <c r="AC28" s="3473">
        <f t="shared" si="137"/>
        <v>0</v>
      </c>
      <c r="AD28" s="3473">
        <f t="shared" si="137"/>
        <v>0</v>
      </c>
      <c r="AE28" s="3473">
        <f t="shared" si="137"/>
        <v>0</v>
      </c>
      <c r="AF28" s="3473">
        <f t="shared" si="137"/>
        <v>166665</v>
      </c>
      <c r="AG28" s="3473">
        <f t="shared" si="137"/>
        <v>166665</v>
      </c>
      <c r="AI28" s="3473">
        <f t="shared" si="137"/>
        <v>40569</v>
      </c>
    </row>
    <row r="29" spans="1:35">
      <c r="A29" s="2347" t="s">
        <v>137</v>
      </c>
      <c r="B29" s="2303" t="s">
        <v>2695</v>
      </c>
      <c r="C29" s="3430">
        <f>F29+I29+L29+O29+R29</f>
        <v>126096</v>
      </c>
      <c r="D29" s="3430">
        <f>G29+J29+M29+P29+S29</f>
        <v>141000</v>
      </c>
      <c r="E29" s="3430">
        <f>D29-C29</f>
        <v>14904</v>
      </c>
      <c r="F29" s="3430">
        <f>'[18]Phụ lục số 2'!$P$41</f>
        <v>30000</v>
      </c>
      <c r="G29" s="16">
        <v>61200</v>
      </c>
      <c r="H29" s="16">
        <f>G29-F29</f>
        <v>31200</v>
      </c>
      <c r="I29" s="3430">
        <f>'[18]Phụ lục số 2'!$U$41</f>
        <v>96096</v>
      </c>
      <c r="J29" s="3430">
        <v>48300</v>
      </c>
      <c r="K29" s="3430">
        <f>J29-I29</f>
        <v>-47796</v>
      </c>
      <c r="L29" s="3430">
        <f>'[18]Phụ lục số 2'!$Z$41</f>
        <v>0</v>
      </c>
      <c r="M29" s="3430">
        <v>31500</v>
      </c>
      <c r="N29" s="3430">
        <f>M29-L29</f>
        <v>31500</v>
      </c>
      <c r="O29" s="3430">
        <f>'[18]Phụ lục số 2'!$AE$41</f>
        <v>0</v>
      </c>
      <c r="P29" s="3430"/>
      <c r="Q29" s="3430">
        <f>P29-O29</f>
        <v>0</v>
      </c>
      <c r="R29" s="3430">
        <f>'[18]Phụ lục số 2'!$Z$41</f>
        <v>0</v>
      </c>
      <c r="S29" s="3430"/>
      <c r="T29" s="3430"/>
      <c r="W29" s="2579"/>
      <c r="X29" s="16"/>
      <c r="Y29" s="16"/>
      <c r="Z29" s="16"/>
      <c r="AA29" s="16"/>
      <c r="AB29" s="16"/>
      <c r="AC29" s="16"/>
      <c r="AD29" s="16"/>
      <c r="AE29" s="16"/>
      <c r="AF29" s="16"/>
      <c r="AG29" s="2303"/>
      <c r="AI29" s="34">
        <f>AF29-C29</f>
        <v>-126096</v>
      </c>
    </row>
    <row r="30" spans="1:35">
      <c r="A30" s="1802" t="s">
        <v>137</v>
      </c>
      <c r="B30" s="2303" t="s">
        <v>2696</v>
      </c>
      <c r="C30" s="3430">
        <f>F30+I30+L30+O30+R30</f>
        <v>0</v>
      </c>
      <c r="D30" s="3430">
        <f>G30+J30+M30+P30+S30</f>
        <v>0</v>
      </c>
      <c r="E30" s="3430">
        <f>D30-C30</f>
        <v>0</v>
      </c>
      <c r="F30" s="16"/>
      <c r="G30" s="16"/>
      <c r="H30" s="16"/>
      <c r="I30" s="3430"/>
      <c r="J30" s="3430"/>
      <c r="K30" s="3430"/>
      <c r="L30" s="3430"/>
      <c r="M30" s="3430"/>
      <c r="N30" s="3430"/>
      <c r="O30" s="3430"/>
      <c r="P30" s="3430"/>
      <c r="Q30" s="3430">
        <f>P30-O30</f>
        <v>0</v>
      </c>
      <c r="R30" s="3430"/>
      <c r="S30" s="3430"/>
      <c r="T30" s="3430"/>
      <c r="W30" s="2579"/>
      <c r="X30" s="16"/>
      <c r="Y30" s="16"/>
      <c r="Z30" s="16"/>
      <c r="AA30" s="16"/>
      <c r="AB30" s="16"/>
      <c r="AC30" s="16"/>
      <c r="AD30" s="16"/>
      <c r="AE30" s="16"/>
      <c r="AF30" s="3483">
        <f>166665</f>
        <v>166665</v>
      </c>
      <c r="AG30" s="3483">
        <f>AF30</f>
        <v>166665</v>
      </c>
      <c r="AI30" s="34">
        <f>AF30-C30</f>
        <v>166665</v>
      </c>
    </row>
    <row r="31" spans="1:35">
      <c r="A31" s="2347" t="s">
        <v>50</v>
      </c>
      <c r="B31" s="2348" t="s">
        <v>2703</v>
      </c>
      <c r="C31" s="1398">
        <f>C32+C35</f>
        <v>0</v>
      </c>
      <c r="D31" s="1398">
        <f t="shared" ref="D31:T31" si="138">D32+D35</f>
        <v>0</v>
      </c>
      <c r="E31" s="1398">
        <f t="shared" si="138"/>
        <v>0</v>
      </c>
      <c r="F31" s="1398">
        <f t="shared" si="138"/>
        <v>0</v>
      </c>
      <c r="G31" s="1398">
        <f t="shared" si="138"/>
        <v>0</v>
      </c>
      <c r="H31" s="1398">
        <f t="shared" si="138"/>
        <v>0</v>
      </c>
      <c r="I31" s="1398">
        <f t="shared" si="138"/>
        <v>0</v>
      </c>
      <c r="J31" s="1398">
        <f t="shared" si="138"/>
        <v>0</v>
      </c>
      <c r="K31" s="1398">
        <f t="shared" si="138"/>
        <v>0</v>
      </c>
      <c r="L31" s="1398">
        <f t="shared" si="138"/>
        <v>0</v>
      </c>
      <c r="M31" s="1398">
        <f t="shared" si="138"/>
        <v>0</v>
      </c>
      <c r="N31" s="1398">
        <f t="shared" si="138"/>
        <v>0</v>
      </c>
      <c r="O31" s="1398">
        <f t="shared" si="138"/>
        <v>0</v>
      </c>
      <c r="P31" s="1398">
        <f t="shared" si="138"/>
        <v>0</v>
      </c>
      <c r="Q31" s="1398">
        <f t="shared" si="138"/>
        <v>0</v>
      </c>
      <c r="R31" s="1398">
        <f t="shared" si="138"/>
        <v>0</v>
      </c>
      <c r="S31" s="1398">
        <f t="shared" si="138"/>
        <v>0</v>
      </c>
      <c r="T31" s="1398">
        <f t="shared" si="138"/>
        <v>0</v>
      </c>
      <c r="W31" s="1398">
        <f t="shared" ref="W31" si="139">W32+W35</f>
        <v>0</v>
      </c>
      <c r="X31" s="1398">
        <f t="shared" ref="X31" si="140">X32+X35</f>
        <v>0</v>
      </c>
      <c r="Y31" s="1398">
        <f t="shared" ref="Y31" si="141">Y32+Y35</f>
        <v>0</v>
      </c>
      <c r="Z31" s="1398">
        <f t="shared" ref="Z31" si="142">Z32+Z35</f>
        <v>0</v>
      </c>
      <c r="AA31" s="1398">
        <f t="shared" ref="AA31" si="143">AA32+AA35</f>
        <v>0</v>
      </c>
      <c r="AB31" s="1398">
        <f t="shared" ref="AB31" si="144">AB32+AB35</f>
        <v>550565</v>
      </c>
      <c r="AC31" s="1398">
        <f t="shared" ref="AC31" si="145">AC32+AC35</f>
        <v>550565</v>
      </c>
      <c r="AD31" s="1398">
        <f t="shared" ref="AD31" si="146">AD32+AD35</f>
        <v>550565</v>
      </c>
      <c r="AE31" s="1398">
        <f t="shared" ref="AE31" si="147">AE32+AE35</f>
        <v>674730</v>
      </c>
      <c r="AF31" s="1398">
        <f t="shared" ref="AF31" si="148">AF32+AF35</f>
        <v>674730</v>
      </c>
      <c r="AG31" s="1398">
        <f t="shared" ref="AG31:AI31" si="149">AG32+AG35</f>
        <v>674730</v>
      </c>
      <c r="AI31" s="1398">
        <f t="shared" si="149"/>
        <v>674730</v>
      </c>
    </row>
    <row r="32" spans="1:35">
      <c r="A32" s="2347" t="s">
        <v>137</v>
      </c>
      <c r="B32" s="2303" t="s">
        <v>2695</v>
      </c>
      <c r="C32" s="3430">
        <f>SUM(C33:C34)</f>
        <v>0</v>
      </c>
      <c r="D32" s="3430">
        <f t="shared" ref="D32:T32" si="150">SUM(D33:D34)</f>
        <v>0</v>
      </c>
      <c r="E32" s="3430">
        <f t="shared" si="150"/>
        <v>0</v>
      </c>
      <c r="F32" s="3430">
        <f t="shared" si="150"/>
        <v>0</v>
      </c>
      <c r="G32" s="3430">
        <f t="shared" si="150"/>
        <v>0</v>
      </c>
      <c r="H32" s="3430">
        <f t="shared" si="150"/>
        <v>0</v>
      </c>
      <c r="I32" s="3430">
        <f t="shared" si="150"/>
        <v>0</v>
      </c>
      <c r="J32" s="3430">
        <f t="shared" si="150"/>
        <v>0</v>
      </c>
      <c r="K32" s="3430">
        <f t="shared" si="150"/>
        <v>0</v>
      </c>
      <c r="L32" s="3430">
        <f t="shared" si="150"/>
        <v>0</v>
      </c>
      <c r="M32" s="3430">
        <f t="shared" si="150"/>
        <v>0</v>
      </c>
      <c r="N32" s="3430">
        <f t="shared" si="150"/>
        <v>0</v>
      </c>
      <c r="O32" s="3430">
        <f t="shared" si="150"/>
        <v>0</v>
      </c>
      <c r="P32" s="3430">
        <f t="shared" si="150"/>
        <v>0</v>
      </c>
      <c r="Q32" s="3430">
        <f t="shared" si="150"/>
        <v>0</v>
      </c>
      <c r="R32" s="3430">
        <f t="shared" si="150"/>
        <v>0</v>
      </c>
      <c r="S32" s="3430">
        <f t="shared" si="150"/>
        <v>0</v>
      </c>
      <c r="T32" s="3430">
        <f t="shared" si="150"/>
        <v>0</v>
      </c>
      <c r="W32" s="3430">
        <f t="shared" ref="W32" si="151">SUM(W33:W34)</f>
        <v>0</v>
      </c>
      <c r="X32" s="3430">
        <f t="shared" ref="X32" si="152">SUM(X33:X34)</f>
        <v>0</v>
      </c>
      <c r="Y32" s="3430">
        <f t="shared" ref="Y32" si="153">SUM(Y33:Y34)</f>
        <v>0</v>
      </c>
      <c r="Z32" s="3430">
        <f t="shared" ref="Z32" si="154">SUM(Z33:Z34)</f>
        <v>0</v>
      </c>
      <c r="AA32" s="3430">
        <f t="shared" ref="AA32" si="155">SUM(AA33:AA34)</f>
        <v>0</v>
      </c>
      <c r="AB32" s="3430">
        <f>SUM(AB33:AB34)</f>
        <v>550565</v>
      </c>
      <c r="AC32" s="3430">
        <f t="shared" ref="AC32" si="156">SUM(AC33:AC34)</f>
        <v>550565</v>
      </c>
      <c r="AD32" s="3430">
        <f t="shared" ref="AD32" si="157">SUM(AD33:AD34)</f>
        <v>550565</v>
      </c>
      <c r="AE32" s="3430">
        <f t="shared" ref="AE32" si="158">SUM(AE33:AE34)</f>
        <v>674730</v>
      </c>
      <c r="AF32" s="3430">
        <f t="shared" ref="AF32" si="159">SUM(AF33:AF34)</f>
        <v>674730</v>
      </c>
      <c r="AG32" s="3430">
        <f t="shared" ref="AG32:AI32" si="160">SUM(AG33:AG34)</f>
        <v>674730</v>
      </c>
      <c r="AI32" s="3430">
        <f t="shared" si="160"/>
        <v>674730</v>
      </c>
    </row>
    <row r="33" spans="1:35">
      <c r="A33" s="3476" t="s">
        <v>514</v>
      </c>
      <c r="B33" s="3477" t="s">
        <v>2718</v>
      </c>
      <c r="C33" s="3430">
        <f t="shared" ref="C33:C34" si="161">F33+I33+L33+O33+R33</f>
        <v>0</v>
      </c>
      <c r="D33" s="3430">
        <f t="shared" ref="D33:D34" si="162">G33+J33+M33+P33+S33</f>
        <v>0</v>
      </c>
      <c r="E33" s="3430">
        <f t="shared" ref="E33:E34" si="163">D33-C33</f>
        <v>0</v>
      </c>
      <c r="F33" s="3479"/>
      <c r="G33" s="3479"/>
      <c r="H33" s="3479"/>
      <c r="I33" s="3478"/>
      <c r="J33" s="3478"/>
      <c r="K33" s="3478"/>
      <c r="L33" s="3478"/>
      <c r="M33" s="3478"/>
      <c r="N33" s="3478"/>
      <c r="O33" s="3478"/>
      <c r="P33" s="3478"/>
      <c r="Q33" s="3478"/>
      <c r="R33" s="3478"/>
      <c r="S33" s="3478"/>
      <c r="T33" s="3478"/>
      <c r="W33" s="3480"/>
      <c r="X33" s="3479"/>
      <c r="Y33" s="3479"/>
      <c r="Z33" s="3479"/>
      <c r="AA33" s="3479"/>
      <c r="AB33" s="3479">
        <f>[19]Sheet1!$F$21</f>
        <v>480565</v>
      </c>
      <c r="AC33" s="3479">
        <f>AB33</f>
        <v>480565</v>
      </c>
      <c r="AD33" s="3479">
        <f>AC33</f>
        <v>480565</v>
      </c>
      <c r="AE33" s="3482">
        <f>AD33+124165</f>
        <v>604730</v>
      </c>
      <c r="AF33" s="3479">
        <f>AE33</f>
        <v>604730</v>
      </c>
      <c r="AG33" s="16">
        <f>AF33</f>
        <v>604730</v>
      </c>
      <c r="AI33" s="34">
        <f>AF33-C33</f>
        <v>604730</v>
      </c>
    </row>
    <row r="34" spans="1:35">
      <c r="A34" s="3476" t="s">
        <v>514</v>
      </c>
      <c r="B34" s="3477" t="s">
        <v>2719</v>
      </c>
      <c r="C34" s="3430">
        <f t="shared" si="161"/>
        <v>0</v>
      </c>
      <c r="D34" s="3430">
        <f t="shared" si="162"/>
        <v>0</v>
      </c>
      <c r="E34" s="3430">
        <f t="shared" si="163"/>
        <v>0</v>
      </c>
      <c r="F34" s="3479"/>
      <c r="G34" s="3479"/>
      <c r="H34" s="3479"/>
      <c r="I34" s="3478"/>
      <c r="J34" s="3478"/>
      <c r="K34" s="3478"/>
      <c r="L34" s="3478"/>
      <c r="M34" s="3478"/>
      <c r="N34" s="3478"/>
      <c r="O34" s="3478"/>
      <c r="P34" s="3478"/>
      <c r="Q34" s="3478"/>
      <c r="R34" s="3478"/>
      <c r="S34" s="3478"/>
      <c r="T34" s="3478"/>
      <c r="W34" s="3480"/>
      <c r="X34" s="3479"/>
      <c r="Y34" s="3479"/>
      <c r="Z34" s="3479"/>
      <c r="AA34" s="3479"/>
      <c r="AB34" s="3479">
        <f>[19]Sheet1!$F$20</f>
        <v>70000</v>
      </c>
      <c r="AC34" s="3479">
        <f>AB34</f>
        <v>70000</v>
      </c>
      <c r="AD34" s="3479">
        <f>AC34</f>
        <v>70000</v>
      </c>
      <c r="AE34" s="3479">
        <f>AD34</f>
        <v>70000</v>
      </c>
      <c r="AF34" s="3479">
        <f>AE34</f>
        <v>70000</v>
      </c>
      <c r="AG34" s="16">
        <f>AF34</f>
        <v>70000</v>
      </c>
      <c r="AI34" s="34">
        <f t="shared" ref="AI34:AI35" si="164">AF34-C34</f>
        <v>70000</v>
      </c>
    </row>
    <row r="35" spans="1:35">
      <c r="A35" s="2564" t="s">
        <v>137</v>
      </c>
      <c r="B35" s="2545" t="s">
        <v>2696</v>
      </c>
      <c r="C35" s="3475">
        <f>F35+I35+L35+O35+R35</f>
        <v>0</v>
      </c>
      <c r="D35" s="3475">
        <f>G35+J35+M35+P35+S35</f>
        <v>0</v>
      </c>
      <c r="E35" s="3475">
        <f>D35-C35</f>
        <v>0</v>
      </c>
      <c r="F35" s="2825"/>
      <c r="G35" s="2825"/>
      <c r="H35" s="2825"/>
      <c r="I35" s="3475"/>
      <c r="J35" s="3475"/>
      <c r="K35" s="3475"/>
      <c r="L35" s="3475"/>
      <c r="M35" s="3475"/>
      <c r="N35" s="3475"/>
      <c r="O35" s="3475"/>
      <c r="P35" s="3475"/>
      <c r="Q35" s="3475"/>
      <c r="R35" s="3475"/>
      <c r="S35" s="3475"/>
      <c r="T35" s="3475"/>
      <c r="W35" s="2580"/>
      <c r="X35" s="2825"/>
      <c r="Y35" s="2825"/>
      <c r="Z35" s="2825"/>
      <c r="AA35" s="2825"/>
      <c r="AB35" s="2825"/>
      <c r="AC35" s="2825"/>
      <c r="AD35" s="2825"/>
      <c r="AE35" s="2825"/>
      <c r="AF35" s="2825"/>
      <c r="AG35" s="2545"/>
      <c r="AI35" s="34">
        <f t="shared" si="164"/>
        <v>0</v>
      </c>
    </row>
    <row r="37" spans="1:35">
      <c r="Y37" s="1402">
        <f>Y10+Y13+Y16+Y19+Y23+Y26+Y29+Y32-Y13</f>
        <v>18147155</v>
      </c>
      <c r="Z37" s="1402">
        <f t="shared" ref="Z37:AG37" si="165">Z10+Z13+Z16+Z19+Z23+Z26+Z29+Z32-Z13</f>
        <v>14273361</v>
      </c>
      <c r="AA37" s="1402">
        <f t="shared" si="165"/>
        <v>2016865</v>
      </c>
      <c r="AB37" s="1402">
        <f t="shared" si="165"/>
        <v>18736497</v>
      </c>
      <c r="AC37" s="1402">
        <f t="shared" si="165"/>
        <v>18736497</v>
      </c>
      <c r="AD37" s="1402">
        <f t="shared" si="165"/>
        <v>18736497</v>
      </c>
      <c r="AE37" s="1402">
        <f t="shared" si="165"/>
        <v>18860662</v>
      </c>
      <c r="AF37" s="1402">
        <f t="shared" si="165"/>
        <v>20271462</v>
      </c>
      <c r="AG37" s="1402">
        <f t="shared" si="165"/>
        <v>20271462</v>
      </c>
    </row>
    <row r="38" spans="1:35">
      <c r="AB38" s="1"/>
      <c r="AE38" s="1"/>
      <c r="AF38" s="1"/>
    </row>
    <row r="40" spans="1:35">
      <c r="Z40" s="34">
        <f>Z7+AA7</f>
        <v>22205226</v>
      </c>
    </row>
    <row r="41" spans="1:35">
      <c r="Z41" s="34">
        <f>Z40-Y7</f>
        <v>-1856929</v>
      </c>
    </row>
  </sheetData>
  <mergeCells count="11">
    <mergeCell ref="B4:B5"/>
    <mergeCell ref="A4:A5"/>
    <mergeCell ref="A1:T1"/>
    <mergeCell ref="X4:X5"/>
    <mergeCell ref="Y4:AG4"/>
    <mergeCell ref="R4:T4"/>
    <mergeCell ref="C4:E4"/>
    <mergeCell ref="F4:H4"/>
    <mergeCell ref="I4:K4"/>
    <mergeCell ref="L4:N4"/>
    <mergeCell ref="O4:Q4"/>
  </mergeCells>
  <printOptions horizontalCentered="1"/>
  <pageMargins left="0" right="0" top="0.39370078740157483" bottom="0" header="0" footer="0"/>
  <pageSetup paperSize="9" scale="70" orientation="landscape" horizontalDpi="300" verticalDpi="300" r:id="rId1"/>
  <headerFooter>
    <oddHeader>&amp;R&amp;A</oddHeader>
    <oddFooter>&amp;C&amp;P/&amp;N</oddFooter>
  </headerFooter>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J46"/>
  <sheetViews>
    <sheetView topLeftCell="A28" workbookViewId="0">
      <selection activeCell="A91" sqref="A91:C91"/>
    </sheetView>
  </sheetViews>
  <sheetFormatPr defaultColWidth="7.59765625" defaultRowHeight="18"/>
  <cols>
    <col min="1" max="1" width="5.19921875" style="38" customWidth="1"/>
    <col min="2" max="2" width="90.09765625" style="37" customWidth="1"/>
    <col min="3" max="8" width="11.8984375" style="37" customWidth="1"/>
    <col min="9" max="9" width="7.59765625" style="37"/>
    <col min="10" max="10" width="11.59765625" style="37" bestFit="1" customWidth="1"/>
    <col min="11" max="16384" width="7.59765625" style="37"/>
  </cols>
  <sheetData>
    <row r="1" spans="1:8">
      <c r="B1" s="4287" t="s">
        <v>2688</v>
      </c>
      <c r="C1" s="4287"/>
      <c r="D1" s="4287"/>
      <c r="E1" s="4287"/>
      <c r="F1" s="4287"/>
      <c r="G1" s="4287"/>
      <c r="H1" s="4287"/>
    </row>
    <row r="2" spans="1:8">
      <c r="B2" s="763"/>
      <c r="C2" s="764"/>
      <c r="D2" s="763"/>
      <c r="E2" s="763"/>
      <c r="F2" s="763"/>
      <c r="G2" s="763"/>
    </row>
    <row r="3" spans="1:8">
      <c r="A3" s="4363" t="s">
        <v>288</v>
      </c>
      <c r="B3" s="4288" t="s">
        <v>791</v>
      </c>
      <c r="C3" s="4364" t="s">
        <v>2674</v>
      </c>
      <c r="D3" s="4289" t="s">
        <v>176</v>
      </c>
      <c r="E3" s="4289"/>
      <c r="F3" s="4290" t="s">
        <v>2678</v>
      </c>
      <c r="G3" s="4290"/>
      <c r="H3" s="4290"/>
    </row>
    <row r="4" spans="1:8" ht="109.2" customHeight="1">
      <c r="A4" s="4363"/>
      <c r="B4" s="4288"/>
      <c r="C4" s="4365"/>
      <c r="D4" s="765" t="s">
        <v>2676</v>
      </c>
      <c r="E4" s="765" t="s">
        <v>2677</v>
      </c>
      <c r="F4" s="766" t="s">
        <v>2689</v>
      </c>
      <c r="G4" s="766" t="s">
        <v>2681</v>
      </c>
      <c r="H4" s="766" t="s">
        <v>2687</v>
      </c>
    </row>
    <row r="5" spans="1:8">
      <c r="A5" s="129"/>
      <c r="B5" s="767">
        <v>1</v>
      </c>
      <c r="C5" s="768">
        <f>B5+1</f>
        <v>2</v>
      </c>
      <c r="D5" s="768">
        <v>3</v>
      </c>
      <c r="E5" s="768">
        <f>D5+1</f>
        <v>4</v>
      </c>
      <c r="F5" s="768" t="s">
        <v>801</v>
      </c>
      <c r="G5" s="768" t="s">
        <v>897</v>
      </c>
      <c r="H5" s="768" t="s">
        <v>898</v>
      </c>
    </row>
    <row r="6" spans="1:8" s="48" customFormat="1" ht="17.399999999999999">
      <c r="A6" s="3447" t="s">
        <v>7</v>
      </c>
      <c r="B6" s="3448" t="s">
        <v>2675</v>
      </c>
      <c r="C6" s="3449">
        <f>C7+C13+C16</f>
        <v>15819995</v>
      </c>
      <c r="D6" s="3450">
        <f>D7+D13+D16</f>
        <v>17432409</v>
      </c>
      <c r="E6" s="3449">
        <f t="shared" ref="E6" si="0">E7+E13+E16</f>
        <v>18627409</v>
      </c>
      <c r="F6" s="3450">
        <f t="shared" ref="F6" si="1">F7+F13+F16</f>
        <v>1612414</v>
      </c>
      <c r="G6" s="3450">
        <f t="shared" ref="G6" si="2">G7+G13+G16</f>
        <v>1195000</v>
      </c>
      <c r="H6" s="3462">
        <f>D6/C6*100</f>
        <v>110.1922535373747</v>
      </c>
    </row>
    <row r="7" spans="1:8" s="154" customFormat="1">
      <c r="A7" s="3445" t="s">
        <v>9</v>
      </c>
      <c r="B7" s="3459" t="s">
        <v>2682</v>
      </c>
      <c r="C7" s="3460">
        <f>SUM(C8,C12,C14,C15)</f>
        <v>13191488</v>
      </c>
      <c r="D7" s="3460">
        <f>SUM(D8,D12,D14,D15)</f>
        <v>15443433</v>
      </c>
      <c r="E7" s="3460">
        <f>SUM(E8,E12,E14,E15)</f>
        <v>16638433</v>
      </c>
      <c r="F7" s="3461">
        <f>SUM(F8,F12,F14,F15)</f>
        <v>2251945</v>
      </c>
      <c r="G7" s="3461">
        <f>SUM(G8,G12,G14,G15)</f>
        <v>1195000</v>
      </c>
      <c r="H7" s="3464">
        <f>D7/C7*100</f>
        <v>117.07119772993009</v>
      </c>
    </row>
    <row r="8" spans="1:8" s="154" customFormat="1">
      <c r="A8" s="133">
        <v>1</v>
      </c>
      <c r="B8" s="772" t="s">
        <v>478</v>
      </c>
      <c r="C8" s="3427">
        <f>'Phụ lục số 3'!C9</f>
        <v>6704000</v>
      </c>
      <c r="D8" s="3428">
        <f>8175930</f>
        <v>8175930</v>
      </c>
      <c r="E8" s="3428">
        <f>'Phụ lục số 1'!AH8</f>
        <v>8484930</v>
      </c>
      <c r="F8" s="3429">
        <f>D8-C8</f>
        <v>1471930</v>
      </c>
      <c r="G8" s="3429">
        <f>E8-D8</f>
        <v>309000</v>
      </c>
      <c r="H8" s="3463">
        <f t="shared" ref="H8:H36" si="3">D8/C8%</f>
        <v>121.95599642004774</v>
      </c>
    </row>
    <row r="9" spans="1:8">
      <c r="A9" s="2347"/>
      <c r="B9" s="137" t="s">
        <v>805</v>
      </c>
      <c r="C9" s="3430">
        <f>'Phụ lục số 3'!C10-50000</f>
        <v>850000</v>
      </c>
      <c r="D9" s="3431">
        <f>'Phụ lục số 3'!I10</f>
        <v>1770000</v>
      </c>
      <c r="E9" s="3431">
        <f>'Phụ lục số 1'!AE40</f>
        <v>1770000</v>
      </c>
      <c r="F9" s="3432">
        <f>D9-C9</f>
        <v>920000</v>
      </c>
      <c r="G9" s="3429">
        <f t="shared" ref="G9:G14" si="4">E9-D9</f>
        <v>0</v>
      </c>
      <c r="H9" s="3463">
        <f t="shared" si="3"/>
        <v>208.23529411764707</v>
      </c>
    </row>
    <row r="10" spans="1:8">
      <c r="A10" s="2347"/>
      <c r="B10" s="137" t="s">
        <v>199</v>
      </c>
      <c r="C10" s="3430">
        <f>'Phụ lục số 3'!C11</f>
        <v>1600000</v>
      </c>
      <c r="D10" s="3431">
        <f>'Phụ lục số 3'!I11</f>
        <v>1950000</v>
      </c>
      <c r="E10" s="3431">
        <f>'Phụ lục số 1'!AE48</f>
        <v>1950000</v>
      </c>
      <c r="F10" s="3432">
        <f>D10-C10</f>
        <v>350000</v>
      </c>
      <c r="G10" s="3429">
        <f t="shared" si="4"/>
        <v>0</v>
      </c>
      <c r="H10" s="3463">
        <f t="shared" si="3"/>
        <v>121.875</v>
      </c>
    </row>
    <row r="11" spans="1:8">
      <c r="A11" s="2347"/>
      <c r="B11" s="137" t="s">
        <v>200</v>
      </c>
      <c r="C11" s="3430">
        <f>C8-C9-C10</f>
        <v>4254000</v>
      </c>
      <c r="D11" s="3431">
        <f>D8-D9-D10</f>
        <v>4455930</v>
      </c>
      <c r="E11" s="3431">
        <f>E8-E9-E10</f>
        <v>4764930</v>
      </c>
      <c r="F11" s="3432">
        <f>D11-C11</f>
        <v>201930</v>
      </c>
      <c r="G11" s="3429">
        <f t="shared" si="4"/>
        <v>309000</v>
      </c>
      <c r="H11" s="3463">
        <f t="shared" si="3"/>
        <v>104.74682651622003</v>
      </c>
    </row>
    <row r="12" spans="1:8">
      <c r="A12" s="2347">
        <v>2</v>
      </c>
      <c r="B12" s="772" t="s">
        <v>378</v>
      </c>
      <c r="C12" s="3430">
        <f>'Phụ lục số 3'!C15</f>
        <v>6487488</v>
      </c>
      <c r="D12" s="3431">
        <f>'Phụ lục số 3'!I15</f>
        <v>6617188</v>
      </c>
      <c r="E12" s="3431">
        <f>'Phụ lục số 3'!I15</f>
        <v>6617188</v>
      </c>
      <c r="F12" s="3432">
        <f>D12-C12</f>
        <v>129700</v>
      </c>
      <c r="G12" s="3429">
        <f t="shared" si="4"/>
        <v>0</v>
      </c>
      <c r="H12" s="3463">
        <f t="shared" si="3"/>
        <v>101.99923298509377</v>
      </c>
    </row>
    <row r="13" spans="1:8">
      <c r="A13" s="2347">
        <v>3</v>
      </c>
      <c r="B13" s="772" t="s">
        <v>2683</v>
      </c>
      <c r="C13" s="3430">
        <f>'Phụ lục số 3'!C16</f>
        <v>2597007</v>
      </c>
      <c r="D13" s="3431">
        <f>'Phụ lục số 3'!I17+'Phụ lục số 3'!I18</f>
        <v>1988976</v>
      </c>
      <c r="E13" s="3431">
        <f>'Phụ lục số 3'!I17+'Phụ lục số 3'!I18</f>
        <v>1988976</v>
      </c>
      <c r="F13" s="3432">
        <f>D13-C13</f>
        <v>-608031</v>
      </c>
      <c r="G13" s="3429">
        <f t="shared" si="4"/>
        <v>0</v>
      </c>
      <c r="H13" s="774"/>
    </row>
    <row r="14" spans="1:8" s="154" customFormat="1">
      <c r="A14" s="133">
        <v>4</v>
      </c>
      <c r="B14" s="772" t="s">
        <v>2684</v>
      </c>
      <c r="C14" s="3427">
        <f>'Phụ lục số 3'!C19</f>
        <v>0</v>
      </c>
      <c r="D14" s="3428">
        <f>'Phụ lục số 3'!I19</f>
        <v>650315</v>
      </c>
      <c r="E14" s="3428">
        <f>'Phụ lục số 3'!I19</f>
        <v>650315</v>
      </c>
      <c r="F14" s="3429">
        <f t="shared" ref="F14:F16" si="5">D14-C14</f>
        <v>650315</v>
      </c>
      <c r="G14" s="3429">
        <f t="shared" si="4"/>
        <v>0</v>
      </c>
      <c r="H14" s="3451" t="e">
        <f t="shared" si="3"/>
        <v>#DIV/0!</v>
      </c>
    </row>
    <row r="15" spans="1:8">
      <c r="A15" s="2347">
        <v>5</v>
      </c>
      <c r="B15" s="772" t="s">
        <v>2685</v>
      </c>
      <c r="C15" s="3430">
        <f>'Phụ lục số 3'!C20</f>
        <v>0</v>
      </c>
      <c r="D15" s="3431">
        <v>0</v>
      </c>
      <c r="E15" s="3431">
        <f>'Phụ lục số 3'!I20</f>
        <v>886000</v>
      </c>
      <c r="F15" s="3432">
        <f t="shared" si="5"/>
        <v>0</v>
      </c>
      <c r="G15" s="3429">
        <f>E15-D15</f>
        <v>886000</v>
      </c>
      <c r="H15" s="3452" t="e">
        <f t="shared" si="3"/>
        <v>#DIV/0!</v>
      </c>
    </row>
    <row r="16" spans="1:8">
      <c r="A16" s="2347">
        <v>6</v>
      </c>
      <c r="B16" s="772" t="s">
        <v>132</v>
      </c>
      <c r="C16" s="3430">
        <f>'Phụ lục số 3'!C21</f>
        <v>31500</v>
      </c>
      <c r="D16" s="3431"/>
      <c r="E16" s="3431"/>
      <c r="F16" s="3432">
        <f t="shared" si="5"/>
        <v>-31500</v>
      </c>
      <c r="G16" s="3433"/>
      <c r="H16" s="774"/>
    </row>
    <row r="17" spans="1:10" s="48" customFormat="1" ht="17.399999999999999">
      <c r="A17" s="3454" t="s">
        <v>22</v>
      </c>
      <c r="B17" s="778" t="s">
        <v>2272</v>
      </c>
      <c r="C17" s="3455">
        <f>C18+C33+C36</f>
        <v>15819995</v>
      </c>
      <c r="D17" s="3455">
        <f>D18+D33+D36</f>
        <v>17432409</v>
      </c>
      <c r="E17" s="3455">
        <f>E18+E33+E36</f>
        <v>18627409</v>
      </c>
      <c r="F17" s="3456">
        <f>F18+F33+F36</f>
        <v>1612414</v>
      </c>
      <c r="G17" s="3455">
        <f>G18+G33+G36</f>
        <v>1195000</v>
      </c>
      <c r="H17" s="3466">
        <f>D17/C17*100</f>
        <v>110.1922535373747</v>
      </c>
    </row>
    <row r="18" spans="1:10">
      <c r="A18" s="2347" t="s">
        <v>9</v>
      </c>
      <c r="B18" s="780" t="s">
        <v>2686</v>
      </c>
      <c r="C18" s="3435">
        <f>SUM(C19,C20,C21,C27,C31,C32)</f>
        <v>13191488</v>
      </c>
      <c r="D18" s="3435">
        <f>SUM(D19,D20,D21,D27,D31,D32)</f>
        <v>15430433</v>
      </c>
      <c r="E18" s="3435">
        <f>SUM(E19,E20,E21,E27,E31,E32)</f>
        <v>16638432.915999999</v>
      </c>
      <c r="F18" s="3435">
        <f t="shared" ref="F18" si="6">SUM(F19,F20,F21,F27,F31,F32)</f>
        <v>2238945</v>
      </c>
      <c r="G18" s="3435">
        <f>SUM(G19,G20,G21,G27,G31,G32)</f>
        <v>1207999.9159999993</v>
      </c>
      <c r="H18" s="3465">
        <f t="shared" si="3"/>
        <v>116.97264933266057</v>
      </c>
      <c r="J18" s="3547">
        <f>+E18-D18</f>
        <v>1207999.9159999993</v>
      </c>
    </row>
    <row r="19" spans="1:10" s="2" customFormat="1" ht="17.399999999999999">
      <c r="A19" s="2347">
        <v>1</v>
      </c>
      <c r="B19" s="780" t="s">
        <v>2690</v>
      </c>
      <c r="C19" s="3435">
        <f>'[1]Phụ lục số 3-thu bs'!C29</f>
        <v>0</v>
      </c>
      <c r="D19" s="3435">
        <v>0</v>
      </c>
      <c r="E19" s="3435">
        <f>'Phụ lục số 3'!I35</f>
        <v>717399.2</v>
      </c>
      <c r="F19" s="3436">
        <f>D19-C19</f>
        <v>0</v>
      </c>
      <c r="G19" s="3436">
        <f>E19-D19</f>
        <v>717399.2</v>
      </c>
      <c r="H19" s="3437" t="e">
        <f t="shared" si="3"/>
        <v>#DIV/0!</v>
      </c>
    </row>
    <row r="20" spans="1:10">
      <c r="A20" s="2347">
        <v>2</v>
      </c>
      <c r="B20" s="783" t="s">
        <v>2691</v>
      </c>
      <c r="C20" s="3435">
        <v>0</v>
      </c>
      <c r="D20" s="3435">
        <v>3000</v>
      </c>
      <c r="E20" s="3435">
        <f>'Phụ lục số 3'!I39</f>
        <v>3000</v>
      </c>
      <c r="F20" s="3436">
        <f>D20-C20</f>
        <v>3000</v>
      </c>
      <c r="G20" s="3436">
        <f>E20-D20</f>
        <v>0</v>
      </c>
      <c r="H20" s="3437" t="e">
        <f t="shared" si="3"/>
        <v>#DIV/0!</v>
      </c>
    </row>
    <row r="21" spans="1:10">
      <c r="A21" s="2347">
        <v>3</v>
      </c>
      <c r="B21" s="780" t="s">
        <v>93</v>
      </c>
      <c r="C21" s="3435">
        <f t="shared" ref="C21:D21" si="7">SUM(C22,C23,C24,C25,C26)</f>
        <v>3561000</v>
      </c>
      <c r="D21" s="3435">
        <f t="shared" si="7"/>
        <v>4690186</v>
      </c>
      <c r="E21" s="3435">
        <f>SUM(E22,E23,E24,E25,E26)</f>
        <v>4923186.4089698764</v>
      </c>
      <c r="F21" s="3436">
        <f>SUM(F22,F23,F24,F25,F26)</f>
        <v>1129186</v>
      </c>
      <c r="G21" s="3435">
        <f>E21-D21</f>
        <v>233000.40896987636</v>
      </c>
      <c r="H21" s="3465">
        <f>D21/C21%</f>
        <v>131.70980061780398</v>
      </c>
    </row>
    <row r="22" spans="1:10">
      <c r="A22" s="2347" t="s">
        <v>137</v>
      </c>
      <c r="B22" s="3587" t="s">
        <v>1305</v>
      </c>
      <c r="C22" s="3431">
        <f>'Phụ lục số 3'!C25</f>
        <v>1061000</v>
      </c>
      <c r="D22" s="3431">
        <f>1070186</f>
        <v>1070186</v>
      </c>
      <c r="E22" s="3431">
        <f>'Phụ lục số 3'!I25</f>
        <v>1143186.4089698761</v>
      </c>
      <c r="F22" s="3432">
        <f>D22-C22</f>
        <v>9186</v>
      </c>
      <c r="G22" s="3432">
        <f>E22-D22</f>
        <v>73000.408969876124</v>
      </c>
      <c r="H22" s="3463">
        <f t="shared" si="3"/>
        <v>100.86578699340245</v>
      </c>
    </row>
    <row r="23" spans="1:10">
      <c r="A23" s="2347" t="s">
        <v>137</v>
      </c>
      <c r="B23" s="3587" t="s">
        <v>391</v>
      </c>
      <c r="C23" s="3431">
        <f>'Phụ lục số 3'!C26</f>
        <v>900000</v>
      </c>
      <c r="D23" s="3431">
        <v>1770000</v>
      </c>
      <c r="E23" s="3431">
        <f>'Phụ lục số 3'!I26</f>
        <v>1770000</v>
      </c>
      <c r="F23" s="3432">
        <f t="shared" ref="F23:F32" si="8">D23-C23</f>
        <v>870000</v>
      </c>
      <c r="G23" s="3432">
        <f>E23-D23</f>
        <v>0</v>
      </c>
      <c r="H23" s="3463">
        <f t="shared" si="3"/>
        <v>196.66666666666666</v>
      </c>
    </row>
    <row r="24" spans="1:10">
      <c r="A24" s="2347" t="s">
        <v>137</v>
      </c>
      <c r="B24" s="3587" t="s">
        <v>1378</v>
      </c>
      <c r="C24" s="3431">
        <f>'Phụ lục số 3'!C27</f>
        <v>1600000</v>
      </c>
      <c r="D24" s="3431">
        <v>1850000</v>
      </c>
      <c r="E24" s="3431">
        <f>'Phụ lục số 3'!I27</f>
        <v>1950000</v>
      </c>
      <c r="F24" s="3432">
        <f t="shared" si="8"/>
        <v>250000</v>
      </c>
      <c r="G24" s="3432">
        <f t="shared" ref="G24:G26" si="9">E24-D24</f>
        <v>100000</v>
      </c>
      <c r="H24" s="3463">
        <f t="shared" si="3"/>
        <v>115.625</v>
      </c>
    </row>
    <row r="25" spans="1:10">
      <c r="A25" s="2347" t="s">
        <v>137</v>
      </c>
      <c r="B25" s="3587" t="s">
        <v>2756</v>
      </c>
      <c r="C25" s="3431">
        <f>'Phụ lục số 3'!C28</f>
        <v>0</v>
      </c>
      <c r="D25" s="3431">
        <f>'[1]Phụ lục số 3-thu bs'!I24</f>
        <v>0</v>
      </c>
      <c r="E25" s="3431">
        <f>'Phụ lục số 3'!I28</f>
        <v>0</v>
      </c>
      <c r="F25" s="3432">
        <f t="shared" si="8"/>
        <v>0</v>
      </c>
      <c r="G25" s="3432">
        <f t="shared" si="9"/>
        <v>0</v>
      </c>
      <c r="H25" s="3463"/>
    </row>
    <row r="26" spans="1:10">
      <c r="A26" s="2347" t="s">
        <v>137</v>
      </c>
      <c r="B26" s="3587" t="s">
        <v>2755</v>
      </c>
      <c r="C26" s="3431">
        <f>'Phụ lục số 3'!C29</f>
        <v>0</v>
      </c>
      <c r="D26" s="3431">
        <v>0</v>
      </c>
      <c r="E26" s="3431">
        <f>'Phụ lục số 3'!I29</f>
        <v>60000</v>
      </c>
      <c r="F26" s="3432">
        <f t="shared" si="8"/>
        <v>0</v>
      </c>
      <c r="G26" s="3432">
        <f t="shared" si="9"/>
        <v>60000</v>
      </c>
      <c r="H26" s="3463"/>
    </row>
    <row r="27" spans="1:10">
      <c r="A27" s="2347">
        <v>4</v>
      </c>
      <c r="B27" s="780" t="s">
        <v>392</v>
      </c>
      <c r="C27" s="3435">
        <f>'Phụ lục số 3'!C30</f>
        <v>9353865</v>
      </c>
      <c r="D27" s="3435">
        <f>10426978</f>
        <v>10426978</v>
      </c>
      <c r="E27" s="3435">
        <f>'Phụ lục số 3'!I30</f>
        <v>10664978.394711081</v>
      </c>
      <c r="F27" s="3438">
        <f t="shared" si="8"/>
        <v>1073113</v>
      </c>
      <c r="G27" s="3436">
        <f>E27-D27</f>
        <v>238000.39471108094</v>
      </c>
      <c r="H27" s="3465">
        <f>D27/C27%</f>
        <v>111.47240204984784</v>
      </c>
    </row>
    <row r="28" spans="1:10">
      <c r="A28" s="2347" t="s">
        <v>137</v>
      </c>
      <c r="B28" s="784" t="s">
        <v>393</v>
      </c>
      <c r="C28" s="3431">
        <f>'Phụ lục số 3'!C31</f>
        <v>4179745</v>
      </c>
      <c r="D28" s="3431">
        <v>4650946</v>
      </c>
      <c r="E28" s="3431">
        <f>'Phụ lục số 3'!I31</f>
        <v>4797945.7831797441</v>
      </c>
      <c r="F28" s="3439">
        <f>D28-C28</f>
        <v>471201</v>
      </c>
      <c r="G28" s="3432">
        <f>E28-D28</f>
        <v>146999.78317974415</v>
      </c>
      <c r="H28" s="3463">
        <f t="shared" si="3"/>
        <v>111.27343892988688</v>
      </c>
    </row>
    <row r="29" spans="1:10">
      <c r="A29" s="2347" t="s">
        <v>137</v>
      </c>
      <c r="B29" s="784" t="s">
        <v>99</v>
      </c>
      <c r="C29" s="3431">
        <f>'[1]Phụ lục số 3-thu bs'!C27</f>
        <v>31000</v>
      </c>
      <c r="D29" s="3431">
        <v>29314</v>
      </c>
      <c r="E29" s="3431">
        <f>'Phụ lục số 3'!I32</f>
        <v>31218</v>
      </c>
      <c r="F29" s="3439">
        <f t="shared" ref="F29:G30" si="10">D29-C29</f>
        <v>-1686</v>
      </c>
      <c r="G29" s="3432">
        <f t="shared" si="10"/>
        <v>1904</v>
      </c>
      <c r="H29" s="3463">
        <f t="shared" si="3"/>
        <v>94.561290322580646</v>
      </c>
    </row>
    <row r="30" spans="1:10">
      <c r="A30" s="2347" t="s">
        <v>137</v>
      </c>
      <c r="B30" s="784" t="s">
        <v>301</v>
      </c>
      <c r="C30" s="3431">
        <f>C27-C28-C29</f>
        <v>5143120</v>
      </c>
      <c r="D30" s="3431">
        <f>D27-D28-D29</f>
        <v>5746718</v>
      </c>
      <c r="E30" s="3431">
        <f>E27-E28-E29</f>
        <v>5835814.6115313368</v>
      </c>
      <c r="F30" s="3439">
        <f t="shared" si="10"/>
        <v>603598</v>
      </c>
      <c r="G30" s="3432">
        <f>E30-D30</f>
        <v>89096.611531336792</v>
      </c>
      <c r="H30" s="3463">
        <f t="shared" si="3"/>
        <v>111.73602793634993</v>
      </c>
    </row>
    <row r="31" spans="1:10">
      <c r="A31" s="2347">
        <v>5</v>
      </c>
      <c r="B31" s="780" t="s">
        <v>87</v>
      </c>
      <c r="C31" s="3435">
        <f>'Phụ lục số 3'!C38</f>
        <v>274623</v>
      </c>
      <c r="D31" s="3435">
        <v>308869</v>
      </c>
      <c r="E31" s="3435">
        <f>'Phụ lục số 3'!I38</f>
        <v>327868.91231904214</v>
      </c>
      <c r="F31" s="3438">
        <f t="shared" si="8"/>
        <v>34246</v>
      </c>
      <c r="G31" s="3436">
        <f>E31-D31</f>
        <v>18999.912319042138</v>
      </c>
      <c r="H31" s="3465">
        <f t="shared" si="3"/>
        <v>112.47018640099336</v>
      </c>
    </row>
    <row r="32" spans="1:10">
      <c r="A32" s="2347">
        <v>6</v>
      </c>
      <c r="B32" s="780" t="s">
        <v>2692</v>
      </c>
      <c r="C32" s="3435">
        <f>'[1]Phụ lục số 3-thu bs'!C30</f>
        <v>2000</v>
      </c>
      <c r="D32" s="3435">
        <v>1400</v>
      </c>
      <c r="E32" s="3435">
        <f>'Phụ lục số 3'!I37</f>
        <v>2000</v>
      </c>
      <c r="F32" s="3438">
        <f t="shared" si="8"/>
        <v>-600</v>
      </c>
      <c r="G32" s="3436">
        <f t="shared" ref="G32" si="11">E32-D32</f>
        <v>600</v>
      </c>
      <c r="H32" s="3465">
        <f t="shared" si="3"/>
        <v>70</v>
      </c>
    </row>
    <row r="33" spans="1:8">
      <c r="A33" s="2347" t="s">
        <v>20</v>
      </c>
      <c r="B33" s="1398" t="s">
        <v>1416</v>
      </c>
      <c r="C33" s="3435">
        <f>SUM(C34:C35)</f>
        <v>2597007</v>
      </c>
      <c r="D33" s="3435">
        <f>SUM(D34:D35)</f>
        <v>1988976</v>
      </c>
      <c r="E33" s="3435">
        <f>SUM(E34:E35)</f>
        <v>1988976</v>
      </c>
      <c r="F33" s="3440">
        <f>SUM(F34:F35)</f>
        <v>-608031</v>
      </c>
      <c r="G33" s="3435">
        <f>SUM(G34:G35)</f>
        <v>0</v>
      </c>
      <c r="H33" s="3465">
        <f t="shared" si="3"/>
        <v>76.587240619682575</v>
      </c>
    </row>
    <row r="34" spans="1:8">
      <c r="A34" s="1802">
        <v>1</v>
      </c>
      <c r="B34" s="772" t="s">
        <v>1306</v>
      </c>
      <c r="C34" s="3431">
        <f>'Phụ lục số 3'!C41</f>
        <v>2417971</v>
      </c>
      <c r="D34" s="3431">
        <f>'Phụ lục số 3'!I41</f>
        <v>1814491</v>
      </c>
      <c r="E34" s="3431">
        <f>'Phụ lục số 3'!I41</f>
        <v>1814491</v>
      </c>
      <c r="F34" s="3439">
        <f>E34-C34</f>
        <v>-603480</v>
      </c>
      <c r="G34" s="3432">
        <f>E34-D34</f>
        <v>0</v>
      </c>
      <c r="H34" s="3463">
        <f t="shared" si="3"/>
        <v>75.041884290589095</v>
      </c>
    </row>
    <row r="35" spans="1:8">
      <c r="A35" s="1802">
        <v>2</v>
      </c>
      <c r="B35" s="3444" t="s">
        <v>2680</v>
      </c>
      <c r="C35" s="3431">
        <f>'Phụ lục số 3'!C42</f>
        <v>179036</v>
      </c>
      <c r="D35" s="3431">
        <f>'Phụ lục số 3'!I42</f>
        <v>174485</v>
      </c>
      <c r="E35" s="3431">
        <f>'Phụ lục số 3'!I42</f>
        <v>174485</v>
      </c>
      <c r="F35" s="3439">
        <f>E35-C35</f>
        <v>-4551</v>
      </c>
      <c r="G35" s="3432">
        <f t="shared" ref="G35" si="12">E35-D35</f>
        <v>0</v>
      </c>
      <c r="H35" s="3463">
        <f t="shared" si="3"/>
        <v>97.458053128979657</v>
      </c>
    </row>
    <row r="36" spans="1:8" s="43" customFormat="1">
      <c r="A36" s="3454" t="s">
        <v>49</v>
      </c>
      <c r="B36" s="778" t="s">
        <v>2679</v>
      </c>
      <c r="C36" s="3434">
        <f>'Phụ lục số 3'!C44</f>
        <v>31500</v>
      </c>
      <c r="D36" s="3434">
        <f>D7-D18</f>
        <v>13000</v>
      </c>
      <c r="E36" s="3434">
        <f>E7-E18</f>
        <v>8.4000000730156898E-2</v>
      </c>
      <c r="F36" s="3457">
        <f>D36-C36</f>
        <v>-18500</v>
      </c>
      <c r="G36" s="3458">
        <f>E36-D36</f>
        <v>-12999.91599999927</v>
      </c>
      <c r="H36" s="3465">
        <f t="shared" si="3"/>
        <v>41.269841269841272</v>
      </c>
    </row>
    <row r="37" spans="1:8">
      <c r="A37" s="3446"/>
      <c r="B37" s="786"/>
      <c r="C37" s="3441"/>
      <c r="D37" s="3441"/>
      <c r="E37" s="788"/>
      <c r="F37" s="3442"/>
      <c r="G37" s="3443">
        <f t="shared" ref="G37" si="13">E37-C37</f>
        <v>0</v>
      </c>
      <c r="H37" s="3453"/>
    </row>
    <row r="39" spans="1:8">
      <c r="D39" s="2250">
        <f>D6-17419409</f>
        <v>13000</v>
      </c>
    </row>
    <row r="40" spans="1:8">
      <c r="C40" s="55">
        <v>9402554</v>
      </c>
      <c r="D40" s="35">
        <f>D27/C40</f>
        <v>1.1089516741940542</v>
      </c>
      <c r="E40" s="35">
        <f>E27/D27</f>
        <v>1.0228254432598862</v>
      </c>
      <c r="F40" s="35">
        <f>E27/C40</f>
        <v>1.1342639877113261</v>
      </c>
    </row>
    <row r="41" spans="1:8">
      <c r="C41" s="1"/>
      <c r="D41" s="1"/>
      <c r="E41" s="1">
        <f>E27-D27</f>
        <v>238000.39471108094</v>
      </c>
    </row>
    <row r="42" spans="1:8">
      <c r="E42" s="58">
        <f>E27-C40</f>
        <v>1262424.3947110809</v>
      </c>
    </row>
    <row r="44" spans="1:8">
      <c r="D44" s="2250"/>
      <c r="E44" s="37">
        <v>433</v>
      </c>
    </row>
    <row r="45" spans="1:8">
      <c r="E45" s="37">
        <v>201</v>
      </c>
    </row>
    <row r="46" spans="1:8">
      <c r="E46" s="37">
        <f>E44-E45</f>
        <v>232</v>
      </c>
    </row>
  </sheetData>
  <mergeCells count="6">
    <mergeCell ref="A3:A4"/>
    <mergeCell ref="B1:H1"/>
    <mergeCell ref="B3:B4"/>
    <mergeCell ref="C3:C4"/>
    <mergeCell ref="D3:E3"/>
    <mergeCell ref="F3:H3"/>
  </mergeCells>
  <hyperlinks>
    <hyperlink ref="A3:A4" location="'List danh mục'!A1" display="Số TT"/>
  </hyperlinks>
  <printOptions horizontalCentered="1"/>
  <pageMargins left="0" right="0" top="0.19685039370078741" bottom="0" header="0.19685039370078741" footer="0.19685039370078741"/>
  <pageSetup paperSize="9" scale="75" orientation="landscape" r:id="rId1"/>
  <headerFooter>
    <oddHeader>&amp;R&amp;A</oddHeader>
    <oddFooter>&amp;C&amp;P/&amp;N</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218"/>
  <sheetViews>
    <sheetView topLeftCell="A34" workbookViewId="0">
      <selection activeCell="A6" sqref="A6"/>
    </sheetView>
  </sheetViews>
  <sheetFormatPr defaultColWidth="9" defaultRowHeight="15.6"/>
  <cols>
    <col min="1" max="1" width="9" style="815"/>
    <col min="2" max="2" width="36" style="815" customWidth="1"/>
    <col min="3" max="3" width="15.59765625" style="815" bestFit="1" customWidth="1"/>
    <col min="4" max="4" width="13.59765625" style="815" bestFit="1" customWidth="1"/>
    <col min="5" max="5" width="13.5" style="815" customWidth="1"/>
    <col min="6" max="6" width="13.09765625" style="815" customWidth="1"/>
    <col min="7" max="8" width="9" style="815"/>
    <col min="9" max="9" width="11.09765625" style="815" bestFit="1" customWidth="1"/>
    <col min="10" max="16384" width="9" style="815"/>
  </cols>
  <sheetData>
    <row r="1" spans="1:6" s="813" customFormat="1" ht="37.65" customHeight="1">
      <c r="B1" s="4373" t="s">
        <v>899</v>
      </c>
      <c r="C1" s="4373"/>
      <c r="D1" s="4373"/>
      <c r="E1" s="4373"/>
      <c r="F1" s="4373"/>
    </row>
    <row r="3" spans="1:6" s="813" customFormat="1">
      <c r="B3" s="814" t="s">
        <v>900</v>
      </c>
    </row>
    <row r="4" spans="1:6">
      <c r="B4" s="813" t="s">
        <v>901</v>
      </c>
    </row>
    <row r="5" spans="1:6">
      <c r="E5" s="816" t="s">
        <v>902</v>
      </c>
    </row>
    <row r="6" spans="1:6" ht="62.4">
      <c r="A6" s="2166" t="s">
        <v>288</v>
      </c>
      <c r="B6" s="817" t="s">
        <v>903</v>
      </c>
      <c r="C6" s="817" t="s">
        <v>904</v>
      </c>
      <c r="D6" s="817" t="s">
        <v>905</v>
      </c>
      <c r="E6" s="817" t="s">
        <v>906</v>
      </c>
      <c r="F6" s="817" t="s">
        <v>907</v>
      </c>
    </row>
    <row r="7" spans="1:6">
      <c r="B7" s="818" t="s">
        <v>908</v>
      </c>
      <c r="C7" s="819">
        <v>2148100</v>
      </c>
      <c r="D7" s="819">
        <v>3007400</v>
      </c>
      <c r="E7" s="819">
        <f>+D7-C7</f>
        <v>859300</v>
      </c>
      <c r="F7" s="820">
        <f>D7/C7*100-100</f>
        <v>40.002793166053721</v>
      </c>
    </row>
    <row r="8" spans="1:6">
      <c r="B8" s="818" t="s">
        <v>909</v>
      </c>
      <c r="C8" s="819">
        <v>2527200</v>
      </c>
      <c r="D8" s="819">
        <v>3538100</v>
      </c>
      <c r="E8" s="819">
        <f>+D8-C8</f>
        <v>1010900</v>
      </c>
      <c r="F8" s="820">
        <f>D8/C8*100-100</f>
        <v>40.000791389680273</v>
      </c>
    </row>
    <row r="9" spans="1:6">
      <c r="B9" s="821" t="s">
        <v>910</v>
      </c>
      <c r="C9" s="819">
        <v>3538100</v>
      </c>
      <c r="D9" s="819">
        <v>4953300</v>
      </c>
      <c r="E9" s="819">
        <f>+D9-C9</f>
        <v>1415200</v>
      </c>
      <c r="F9" s="820">
        <f>D9/C9*100-100</f>
        <v>39.998869449704642</v>
      </c>
    </row>
    <row r="10" spans="1:6">
      <c r="B10" s="821" t="s">
        <v>911</v>
      </c>
      <c r="C10" s="819">
        <v>5054400</v>
      </c>
      <c r="D10" s="819">
        <v>7076200</v>
      </c>
      <c r="E10" s="819">
        <f>+D10-C10</f>
        <v>2021800</v>
      </c>
      <c r="F10" s="820">
        <f>D10/C10*100-100</f>
        <v>40.000791389680273</v>
      </c>
    </row>
    <row r="11" spans="1:6" ht="42.75" customHeight="1">
      <c r="B11" s="4368" t="s">
        <v>912</v>
      </c>
      <c r="C11" s="4368"/>
      <c r="D11" s="4368"/>
      <c r="E11" s="4368"/>
      <c r="F11" s="4368"/>
    </row>
    <row r="13" spans="1:6" ht="46.8">
      <c r="B13" s="817" t="s">
        <v>913</v>
      </c>
      <c r="C13" s="817" t="s">
        <v>914</v>
      </c>
      <c r="D13" s="817" t="s">
        <v>915</v>
      </c>
      <c r="E13" s="817" t="s">
        <v>916</v>
      </c>
    </row>
    <row r="14" spans="1:6">
      <c r="B14" s="818" t="s">
        <v>917</v>
      </c>
      <c r="C14" s="822">
        <v>0.82</v>
      </c>
      <c r="D14" s="822">
        <v>0.81</v>
      </c>
      <c r="E14" s="822">
        <f>D14-C14</f>
        <v>-9.9999999999998979E-3</v>
      </c>
    </row>
    <row r="15" spans="1:6">
      <c r="B15" s="818" t="s">
        <v>918</v>
      </c>
      <c r="C15" s="822">
        <v>0.18</v>
      </c>
      <c r="D15" s="822">
        <f>100%-D14</f>
        <v>0.18999999999999995</v>
      </c>
      <c r="E15" s="822">
        <f>D15-C15</f>
        <v>9.9999999999999534E-3</v>
      </c>
    </row>
    <row r="16" spans="1:6">
      <c r="B16" s="818" t="s">
        <v>4</v>
      </c>
      <c r="C16" s="822">
        <f>C14+C15</f>
        <v>1</v>
      </c>
      <c r="D16" s="822">
        <f>D14+D15</f>
        <v>1</v>
      </c>
      <c r="E16" s="822">
        <f>E14+E15</f>
        <v>5.5511151231257827E-17</v>
      </c>
    </row>
    <row r="17" spans="2:7" ht="73.650000000000006" customHeight="1">
      <c r="B17" s="4368" t="s">
        <v>919</v>
      </c>
      <c r="C17" s="4368"/>
      <c r="D17" s="4368"/>
      <c r="E17" s="4368"/>
      <c r="F17" s="4368"/>
    </row>
    <row r="18" spans="2:7">
      <c r="B18" s="823" t="s">
        <v>920</v>
      </c>
      <c r="C18" s="824"/>
      <c r="D18" s="824"/>
      <c r="E18" s="824"/>
    </row>
    <row r="19" spans="2:7" customFormat="1" ht="33.9" customHeight="1">
      <c r="B19" s="4368" t="s">
        <v>921</v>
      </c>
      <c r="C19" s="4368"/>
      <c r="D19" s="4368"/>
      <c r="E19" s="4368"/>
      <c r="F19" s="4368"/>
      <c r="G19" s="825"/>
    </row>
    <row r="20" spans="2:7" customFormat="1" ht="54.75" customHeight="1">
      <c r="B20" s="4368" t="s">
        <v>922</v>
      </c>
      <c r="C20" s="4368"/>
      <c r="D20" s="4368"/>
      <c r="E20" s="4368"/>
      <c r="F20" s="4368"/>
      <c r="G20" s="825"/>
    </row>
    <row r="21" spans="2:7" customFormat="1" ht="33.9" customHeight="1">
      <c r="B21" s="4368" t="s">
        <v>923</v>
      </c>
      <c r="C21" s="4368"/>
      <c r="D21" s="4368"/>
      <c r="E21" s="4368"/>
      <c r="F21" s="4368"/>
      <c r="G21" s="825"/>
    </row>
    <row r="22" spans="2:7" customFormat="1" ht="51" customHeight="1">
      <c r="B22" s="4368" t="s">
        <v>924</v>
      </c>
      <c r="C22" s="4368"/>
      <c r="D22" s="4368"/>
      <c r="E22" s="4368"/>
      <c r="F22" s="4368"/>
      <c r="G22" s="825"/>
    </row>
    <row r="23" spans="2:7" s="813" customFormat="1">
      <c r="B23" s="814" t="s">
        <v>925</v>
      </c>
    </row>
    <row r="24" spans="2:7">
      <c r="B24" s="813" t="s">
        <v>926</v>
      </c>
    </row>
    <row r="25" spans="2:7">
      <c r="E25" s="826" t="s">
        <v>902</v>
      </c>
    </row>
    <row r="26" spans="2:7" ht="62.4">
      <c r="B26" s="817" t="s">
        <v>903</v>
      </c>
      <c r="C26" s="817" t="s">
        <v>904</v>
      </c>
      <c r="D26" s="817" t="s">
        <v>905</v>
      </c>
      <c r="E26" s="817" t="s">
        <v>906</v>
      </c>
      <c r="F26" s="817" t="s">
        <v>907</v>
      </c>
    </row>
    <row r="27" spans="2:7">
      <c r="B27" s="827" t="s">
        <v>908</v>
      </c>
      <c r="C27" s="819">
        <v>92200</v>
      </c>
      <c r="D27" s="819">
        <v>129200</v>
      </c>
      <c r="E27" s="819">
        <f>+D27-C27</f>
        <v>37000</v>
      </c>
      <c r="F27" s="820">
        <f>D27/C27*100-100</f>
        <v>40.130151843817771</v>
      </c>
    </row>
    <row r="28" spans="2:7">
      <c r="B28" s="818" t="s">
        <v>909</v>
      </c>
      <c r="C28" s="819">
        <v>102500</v>
      </c>
      <c r="D28" s="819">
        <v>143500</v>
      </c>
      <c r="E28" s="819">
        <f>+D28-C28</f>
        <v>41000</v>
      </c>
      <c r="F28" s="820">
        <f>D28/C28*100-100</f>
        <v>40</v>
      </c>
    </row>
    <row r="29" spans="2:7">
      <c r="B29" s="827" t="s">
        <v>910</v>
      </c>
      <c r="C29" s="819">
        <v>143500</v>
      </c>
      <c r="D29" s="819">
        <v>200900</v>
      </c>
      <c r="E29" s="819">
        <f>+D29-C29</f>
        <v>57400</v>
      </c>
      <c r="F29" s="820">
        <f>D29/C29*100-100</f>
        <v>40</v>
      </c>
    </row>
    <row r="30" spans="2:7">
      <c r="B30" s="827" t="s">
        <v>911</v>
      </c>
      <c r="C30" s="819">
        <v>205000</v>
      </c>
      <c r="D30" s="819">
        <v>287000</v>
      </c>
      <c r="E30" s="819">
        <f>+D30-C30</f>
        <v>82000</v>
      </c>
      <c r="F30" s="820">
        <f>D30/C30*100-100</f>
        <v>40</v>
      </c>
    </row>
    <row r="31" spans="2:7" ht="58.5" customHeight="1">
      <c r="B31" s="4368" t="s">
        <v>927</v>
      </c>
      <c r="C31" s="4368"/>
      <c r="D31" s="4368"/>
      <c r="E31" s="4368"/>
      <c r="F31" s="4368"/>
    </row>
    <row r="33" spans="2:6" s="813" customFormat="1">
      <c r="B33" s="814" t="s">
        <v>928</v>
      </c>
    </row>
    <row r="34" spans="2:6" s="813" customFormat="1">
      <c r="B34" s="813" t="s">
        <v>929</v>
      </c>
    </row>
    <row r="35" spans="2:6">
      <c r="E35" s="816" t="s">
        <v>902</v>
      </c>
    </row>
    <row r="36" spans="2:6" ht="62.4">
      <c r="B36" s="817" t="s">
        <v>903</v>
      </c>
      <c r="C36" s="817" t="s">
        <v>904</v>
      </c>
      <c r="D36" s="817" t="s">
        <v>905</v>
      </c>
      <c r="E36" s="817" t="s">
        <v>906</v>
      </c>
      <c r="F36" s="817" t="s">
        <v>907</v>
      </c>
    </row>
    <row r="37" spans="2:6">
      <c r="B37" s="827" t="s">
        <v>908</v>
      </c>
      <c r="C37" s="819">
        <v>182700</v>
      </c>
      <c r="D37" s="819">
        <v>182700</v>
      </c>
      <c r="E37" s="819">
        <f>+D37-C37</f>
        <v>0</v>
      </c>
      <c r="F37" s="820">
        <f>D37/C37*100-100</f>
        <v>0</v>
      </c>
    </row>
    <row r="38" spans="2:6">
      <c r="B38" s="818" t="s">
        <v>909</v>
      </c>
      <c r="C38" s="819">
        <v>246900</v>
      </c>
      <c r="D38" s="819">
        <v>246900</v>
      </c>
      <c r="E38" s="819">
        <f>+D38-C38</f>
        <v>0</v>
      </c>
      <c r="F38" s="820">
        <f>D38/C38*100-100</f>
        <v>0</v>
      </c>
    </row>
    <row r="39" spans="2:6">
      <c r="B39" s="827" t="s">
        <v>910</v>
      </c>
      <c r="C39" s="819">
        <v>333300</v>
      </c>
      <c r="D39" s="819">
        <v>333300</v>
      </c>
      <c r="E39" s="819">
        <f>+D39-C39</f>
        <v>0</v>
      </c>
      <c r="F39" s="820">
        <f>D39/C39*100-100</f>
        <v>0</v>
      </c>
    </row>
    <row r="40" spans="2:6">
      <c r="B40" s="827" t="s">
        <v>911</v>
      </c>
      <c r="C40" s="819">
        <v>469100</v>
      </c>
      <c r="D40" s="819">
        <v>469100</v>
      </c>
      <c r="E40" s="819">
        <f>+D40-C40</f>
        <v>0</v>
      </c>
      <c r="F40" s="820">
        <f>D40/C40*100-100</f>
        <v>0</v>
      </c>
    </row>
    <row r="41" spans="2:6" ht="78" customHeight="1">
      <c r="B41" s="4366" t="s">
        <v>930</v>
      </c>
      <c r="C41" s="4366"/>
      <c r="D41" s="4366"/>
      <c r="E41" s="4366"/>
      <c r="F41" s="4366"/>
    </row>
    <row r="42" spans="2:6">
      <c r="B42" s="823" t="s">
        <v>920</v>
      </c>
      <c r="C42" s="824"/>
      <c r="D42" s="824"/>
      <c r="E42" s="824"/>
    </row>
    <row r="43" spans="2:6" ht="62.25" customHeight="1">
      <c r="B43" s="4366" t="s">
        <v>931</v>
      </c>
      <c r="C43" s="4366"/>
      <c r="D43" s="4366"/>
      <c r="E43" s="4366"/>
      <c r="F43" s="4366"/>
    </row>
    <row r="44" spans="2:6" s="813" customFormat="1">
      <c r="B44" s="814" t="s">
        <v>932</v>
      </c>
    </row>
    <row r="45" spans="2:6" s="813" customFormat="1">
      <c r="B45" s="813" t="s">
        <v>929</v>
      </c>
    </row>
    <row r="46" spans="2:6">
      <c r="E46" s="816" t="s">
        <v>902</v>
      </c>
    </row>
    <row r="47" spans="2:6" ht="62.4">
      <c r="B47" s="817" t="s">
        <v>903</v>
      </c>
      <c r="C47" s="817" t="s">
        <v>904</v>
      </c>
      <c r="D47" s="817" t="s">
        <v>905</v>
      </c>
      <c r="E47" s="817" t="s">
        <v>906</v>
      </c>
      <c r="F47" s="817" t="s">
        <v>907</v>
      </c>
    </row>
    <row r="48" spans="2:6">
      <c r="B48" s="827" t="s">
        <v>908</v>
      </c>
      <c r="C48" s="819">
        <v>52700</v>
      </c>
      <c r="D48" s="819">
        <v>73800</v>
      </c>
      <c r="E48" s="819">
        <f>+D48-C48</f>
        <v>21100</v>
      </c>
      <c r="F48" s="820">
        <f>D48/C48*100-100</f>
        <v>40.037950664136616</v>
      </c>
    </row>
    <row r="49" spans="2:6">
      <c r="B49" s="827" t="s">
        <v>933</v>
      </c>
      <c r="C49" s="819">
        <v>48400</v>
      </c>
      <c r="D49" s="819">
        <v>67800</v>
      </c>
      <c r="E49" s="819">
        <f>+D49-C49</f>
        <v>19400</v>
      </c>
      <c r="F49" s="820">
        <f>D49/C49*100-100</f>
        <v>40.082644628099189</v>
      </c>
    </row>
    <row r="50" spans="2:6">
      <c r="B50" s="827" t="s">
        <v>910</v>
      </c>
      <c r="C50" s="819">
        <v>71600</v>
      </c>
      <c r="D50" s="819">
        <v>100200</v>
      </c>
      <c r="E50" s="819">
        <f>+D50-C50</f>
        <v>28600</v>
      </c>
      <c r="F50" s="820">
        <f>D50/C50*100-100</f>
        <v>39.944134078212301</v>
      </c>
    </row>
    <row r="51" spans="2:6">
      <c r="B51" s="827" t="s">
        <v>911</v>
      </c>
      <c r="C51" s="819">
        <v>87100</v>
      </c>
      <c r="D51" s="819">
        <v>121900</v>
      </c>
      <c r="E51" s="819">
        <f>+D51-C51</f>
        <v>34800</v>
      </c>
      <c r="F51" s="820">
        <f>D51/C51*100-100</f>
        <v>39.954075774971301</v>
      </c>
    </row>
    <row r="53" spans="2:6">
      <c r="B53" s="4366" t="s">
        <v>934</v>
      </c>
      <c r="C53" s="4366"/>
      <c r="D53" s="4366"/>
      <c r="E53" s="4366"/>
      <c r="F53" s="4366"/>
    </row>
    <row r="54" spans="2:6">
      <c r="E54" s="816" t="s">
        <v>935</v>
      </c>
    </row>
    <row r="55" spans="2:6" ht="62.4">
      <c r="B55" s="817" t="s">
        <v>936</v>
      </c>
      <c r="C55" s="817" t="s">
        <v>904</v>
      </c>
      <c r="D55" s="817" t="s">
        <v>905</v>
      </c>
      <c r="E55" s="817" t="s">
        <v>906</v>
      </c>
      <c r="F55" s="817" t="s">
        <v>907</v>
      </c>
    </row>
    <row r="56" spans="2:6" s="813" customFormat="1">
      <c r="B56" s="828" t="s">
        <v>937</v>
      </c>
      <c r="C56" s="828"/>
      <c r="D56" s="828"/>
      <c r="E56" s="828"/>
      <c r="F56" s="828"/>
    </row>
    <row r="57" spans="2:6" ht="31.2">
      <c r="B57" s="829" t="s">
        <v>938</v>
      </c>
      <c r="C57" s="830">
        <v>2160000000</v>
      </c>
      <c r="D57" s="830">
        <v>3000000000</v>
      </c>
      <c r="E57" s="830">
        <f>D57-C57</f>
        <v>840000000</v>
      </c>
      <c r="F57" s="831">
        <f>D57/C57*100-100</f>
        <v>38.888888888888886</v>
      </c>
    </row>
    <row r="58" spans="2:6">
      <c r="B58" s="832" t="s">
        <v>939</v>
      </c>
      <c r="C58" s="827">
        <v>1730000000</v>
      </c>
      <c r="D58" s="827">
        <v>2500000000</v>
      </c>
      <c r="E58" s="827">
        <f>D58-C58</f>
        <v>770000000</v>
      </c>
      <c r="F58" s="820">
        <f>D58/C58*100-100</f>
        <v>44.50867052023122</v>
      </c>
    </row>
    <row r="59" spans="2:6" s="813" customFormat="1">
      <c r="B59" s="828" t="s">
        <v>940</v>
      </c>
      <c r="C59" s="828"/>
      <c r="D59" s="828" t="s">
        <v>941</v>
      </c>
      <c r="E59" s="828"/>
      <c r="F59" s="820"/>
    </row>
    <row r="60" spans="2:6" ht="31.2">
      <c r="B60" s="829" t="s">
        <v>942</v>
      </c>
      <c r="C60" s="830">
        <v>940000000</v>
      </c>
      <c r="D60" s="830">
        <v>1200000000</v>
      </c>
      <c r="E60" s="830">
        <f>D60-C60</f>
        <v>260000000</v>
      </c>
      <c r="F60" s="831">
        <f>D60/C60*100-100</f>
        <v>27.659574468085111</v>
      </c>
    </row>
    <row r="61" spans="2:6">
      <c r="B61" s="832" t="s">
        <v>943</v>
      </c>
      <c r="C61" s="827">
        <v>530000000</v>
      </c>
      <c r="D61" s="827">
        <v>700000000</v>
      </c>
      <c r="E61" s="827">
        <f>D61-C61</f>
        <v>170000000</v>
      </c>
      <c r="F61" s="820">
        <f>D61/C61*100-100</f>
        <v>32.075471698113205</v>
      </c>
    </row>
    <row r="62" spans="2:6">
      <c r="B62" s="833"/>
      <c r="C62" s="833"/>
      <c r="D62" s="833"/>
      <c r="E62" s="833"/>
      <c r="F62" s="834"/>
    </row>
    <row r="63" spans="2:6" ht="33" customHeight="1">
      <c r="B63" s="4366" t="s">
        <v>944</v>
      </c>
      <c r="C63" s="4366"/>
      <c r="D63" s="4366"/>
      <c r="E63" s="4366"/>
      <c r="F63" s="4366"/>
    </row>
    <row r="64" spans="2:6">
      <c r="B64" s="4371"/>
      <c r="C64" s="4372"/>
      <c r="D64" s="4372"/>
      <c r="E64" s="4372"/>
      <c r="F64" s="4372"/>
    </row>
    <row r="65" spans="2:6" ht="46.8">
      <c r="B65" s="817" t="s">
        <v>945</v>
      </c>
      <c r="C65" s="817" t="s">
        <v>914</v>
      </c>
      <c r="D65" s="817" t="s">
        <v>915</v>
      </c>
      <c r="E65" s="817" t="s">
        <v>916</v>
      </c>
      <c r="F65" s="835"/>
    </row>
    <row r="66" spans="2:6">
      <c r="B66" s="827" t="s">
        <v>917</v>
      </c>
      <c r="C66" s="836">
        <v>0.75</v>
      </c>
      <c r="D66" s="836">
        <v>0.75</v>
      </c>
      <c r="E66" s="822">
        <f>D66-C66</f>
        <v>0</v>
      </c>
      <c r="F66" s="835"/>
    </row>
    <row r="67" spans="2:6">
      <c r="B67" s="827" t="s">
        <v>946</v>
      </c>
      <c r="C67" s="836">
        <v>0.25</v>
      </c>
      <c r="D67" s="836">
        <f>100%-D66</f>
        <v>0.25</v>
      </c>
      <c r="E67" s="822">
        <f>D67-C67</f>
        <v>0</v>
      </c>
      <c r="F67" s="835"/>
    </row>
    <row r="68" spans="2:6">
      <c r="B68" s="837" t="s">
        <v>4</v>
      </c>
      <c r="C68" s="836">
        <f>C66+C67</f>
        <v>1</v>
      </c>
      <c r="D68" s="836">
        <f>D66+D67</f>
        <v>1</v>
      </c>
      <c r="E68" s="822">
        <f>E66+E67</f>
        <v>0</v>
      </c>
      <c r="F68" s="835"/>
    </row>
    <row r="69" spans="2:6">
      <c r="B69" s="838"/>
      <c r="C69" s="835"/>
      <c r="D69" s="835"/>
      <c r="E69" s="835"/>
      <c r="F69" s="835"/>
    </row>
    <row r="70" spans="2:6" s="813" customFormat="1">
      <c r="B70" s="814" t="s">
        <v>947</v>
      </c>
    </row>
    <row r="71" spans="2:6">
      <c r="B71" s="813" t="s">
        <v>929</v>
      </c>
    </row>
    <row r="72" spans="2:6">
      <c r="E72" s="816" t="s">
        <v>902</v>
      </c>
    </row>
    <row r="73" spans="2:6" ht="62.4">
      <c r="B73" s="817" t="s">
        <v>903</v>
      </c>
      <c r="C73" s="817" t="s">
        <v>904</v>
      </c>
      <c r="D73" s="817" t="s">
        <v>905</v>
      </c>
      <c r="E73" s="817" t="s">
        <v>906</v>
      </c>
      <c r="F73" s="817" t="s">
        <v>907</v>
      </c>
    </row>
    <row r="74" spans="2:6">
      <c r="B74" s="827" t="s">
        <v>908</v>
      </c>
      <c r="C74" s="819">
        <v>26600</v>
      </c>
      <c r="D74" s="819">
        <v>37200</v>
      </c>
      <c r="E74" s="819">
        <f>+D74-C74</f>
        <v>10600</v>
      </c>
      <c r="F74" s="820">
        <f>D74/C74*100-100</f>
        <v>39.849624060150376</v>
      </c>
    </row>
    <row r="75" spans="2:6">
      <c r="B75" s="818" t="s">
        <v>909</v>
      </c>
      <c r="C75" s="819">
        <v>29200</v>
      </c>
      <c r="D75" s="819">
        <v>40900</v>
      </c>
      <c r="E75" s="819">
        <f>+D75-C75</f>
        <v>11700</v>
      </c>
      <c r="F75" s="820">
        <f>D75/C75*100-100</f>
        <v>40.06849315068493</v>
      </c>
    </row>
    <row r="76" spans="2:6">
      <c r="B76" s="827" t="s">
        <v>910</v>
      </c>
      <c r="C76" s="819">
        <v>40900</v>
      </c>
      <c r="D76" s="819">
        <v>57300</v>
      </c>
      <c r="E76" s="819">
        <f>+D76-C76</f>
        <v>16400</v>
      </c>
      <c r="F76" s="820">
        <f>D76/C76*100-100</f>
        <v>40.097799511002449</v>
      </c>
    </row>
    <row r="77" spans="2:6">
      <c r="B77" s="827" t="s">
        <v>911</v>
      </c>
      <c r="C77" s="819">
        <v>56900</v>
      </c>
      <c r="D77" s="819">
        <v>79700</v>
      </c>
      <c r="E77" s="819">
        <f>+D77-C77</f>
        <v>22800</v>
      </c>
      <c r="F77" s="820">
        <f>D77/C77*100-100</f>
        <v>40.07029876977154</v>
      </c>
    </row>
    <row r="78" spans="2:6">
      <c r="B78" s="833"/>
      <c r="C78" s="833"/>
      <c r="D78" s="833"/>
      <c r="E78" s="833"/>
      <c r="F78" s="834"/>
    </row>
    <row r="79" spans="2:6">
      <c r="B79" s="4370" t="s">
        <v>948</v>
      </c>
      <c r="C79" s="4370"/>
      <c r="D79" s="4370"/>
      <c r="E79" s="4370"/>
      <c r="F79" s="4370"/>
    </row>
    <row r="80" spans="2:6" ht="85.5" customHeight="1">
      <c r="B80" s="4366" t="s">
        <v>949</v>
      </c>
      <c r="C80" s="4366"/>
      <c r="D80" s="4366"/>
      <c r="E80" s="4366"/>
      <c r="F80" s="4366"/>
    </row>
    <row r="82" spans="2:6" s="813" customFormat="1">
      <c r="B82" s="814" t="s">
        <v>950</v>
      </c>
    </row>
    <row r="83" spans="2:6">
      <c r="B83" s="813" t="s">
        <v>929</v>
      </c>
    </row>
    <row r="84" spans="2:6">
      <c r="E84" s="816" t="s">
        <v>902</v>
      </c>
    </row>
    <row r="85" spans="2:6" ht="62.4">
      <c r="B85" s="817" t="s">
        <v>903</v>
      </c>
      <c r="C85" s="817" t="s">
        <v>904</v>
      </c>
      <c r="D85" s="817" t="s">
        <v>905</v>
      </c>
      <c r="E85" s="817" t="s">
        <v>906</v>
      </c>
      <c r="F85" s="817" t="s">
        <v>907</v>
      </c>
    </row>
    <row r="86" spans="2:6">
      <c r="B86" s="827" t="s">
        <v>908</v>
      </c>
      <c r="C86" s="819">
        <v>15800</v>
      </c>
      <c r="D86" s="819">
        <v>22100</v>
      </c>
      <c r="E86" s="819">
        <f>+D86-C86</f>
        <v>6300</v>
      </c>
      <c r="F86" s="820">
        <f>D86/C86*100-100</f>
        <v>39.87341772151899</v>
      </c>
    </row>
    <row r="87" spans="2:6">
      <c r="B87" s="818" t="s">
        <v>909</v>
      </c>
      <c r="C87" s="819">
        <v>17600</v>
      </c>
      <c r="D87" s="819">
        <v>24600</v>
      </c>
      <c r="E87" s="819">
        <f>+D87-C87</f>
        <v>7000</v>
      </c>
      <c r="F87" s="820">
        <f>D87/C87*100-100</f>
        <v>39.77272727272728</v>
      </c>
    </row>
    <row r="88" spans="2:6">
      <c r="B88" s="827" t="s">
        <v>910</v>
      </c>
      <c r="C88" s="819">
        <v>24600</v>
      </c>
      <c r="D88" s="819">
        <v>34400</v>
      </c>
      <c r="E88" s="819">
        <f>+D88-C88</f>
        <v>9800</v>
      </c>
      <c r="F88" s="820">
        <f>D88/C88*100-100</f>
        <v>39.837398373983746</v>
      </c>
    </row>
    <row r="89" spans="2:6">
      <c r="B89" s="827" t="s">
        <v>911</v>
      </c>
      <c r="C89" s="819">
        <v>34200</v>
      </c>
      <c r="D89" s="819">
        <v>47900</v>
      </c>
      <c r="E89" s="819">
        <f>+D89-C89</f>
        <v>13700</v>
      </c>
      <c r="F89" s="820">
        <f>D89/C89*100-100</f>
        <v>40.058479532163744</v>
      </c>
    </row>
    <row r="90" spans="2:6" ht="26.25" customHeight="1">
      <c r="B90" s="4366" t="s">
        <v>951</v>
      </c>
      <c r="C90" s="4366"/>
      <c r="D90" s="4366"/>
      <c r="E90" s="4366"/>
      <c r="F90" s="4366"/>
    </row>
    <row r="91" spans="2:6">
      <c r="B91" s="833"/>
      <c r="C91" s="833"/>
      <c r="D91" s="833"/>
      <c r="E91" s="833"/>
      <c r="F91" s="834"/>
    </row>
    <row r="92" spans="2:6" s="813" customFormat="1">
      <c r="B92" s="814" t="s">
        <v>952</v>
      </c>
    </row>
    <row r="93" spans="2:6">
      <c r="B93" s="813" t="s">
        <v>929</v>
      </c>
    </row>
    <row r="94" spans="2:6">
      <c r="E94" s="816" t="s">
        <v>902</v>
      </c>
    </row>
    <row r="95" spans="2:6" ht="62.4">
      <c r="B95" s="817" t="s">
        <v>903</v>
      </c>
      <c r="C95" s="817" t="s">
        <v>904</v>
      </c>
      <c r="D95" s="817" t="s">
        <v>905</v>
      </c>
      <c r="E95" s="817" t="s">
        <v>906</v>
      </c>
      <c r="F95" s="817" t="s">
        <v>907</v>
      </c>
    </row>
    <row r="96" spans="2:6">
      <c r="B96" s="827" t="s">
        <v>908</v>
      </c>
      <c r="C96" s="819">
        <v>18600</v>
      </c>
      <c r="D96" s="819">
        <v>26000</v>
      </c>
      <c r="E96" s="819">
        <f>+D96-C96</f>
        <v>7400</v>
      </c>
      <c r="F96" s="820">
        <f>D96/C96*100-100</f>
        <v>39.784946236559136</v>
      </c>
    </row>
    <row r="97" spans="2:6">
      <c r="B97" s="818" t="s">
        <v>909</v>
      </c>
      <c r="C97" s="819">
        <v>13900</v>
      </c>
      <c r="D97" s="819">
        <v>19500</v>
      </c>
      <c r="E97" s="819">
        <f>+D97-C97</f>
        <v>5600</v>
      </c>
      <c r="F97" s="820">
        <f>D97/C97*100-100</f>
        <v>40.287769784172667</v>
      </c>
    </row>
    <row r="98" spans="2:6">
      <c r="B98" s="827" t="s">
        <v>910</v>
      </c>
      <c r="C98" s="819">
        <v>19500</v>
      </c>
      <c r="D98" s="819">
        <v>27300</v>
      </c>
      <c r="E98" s="819">
        <f>+D98-C98</f>
        <v>7800</v>
      </c>
      <c r="F98" s="820">
        <f>D98/C98*100-100</f>
        <v>40</v>
      </c>
    </row>
    <row r="99" spans="2:6">
      <c r="B99" s="827" t="s">
        <v>911</v>
      </c>
      <c r="C99" s="819">
        <v>26400</v>
      </c>
      <c r="D99" s="819">
        <v>37000</v>
      </c>
      <c r="E99" s="819">
        <f>+D99-C99</f>
        <v>10600</v>
      </c>
      <c r="F99" s="820">
        <f>D99/C99*100-100</f>
        <v>40.151515151515156</v>
      </c>
    </row>
    <row r="100" spans="2:6" ht="45.15" customHeight="1">
      <c r="B100" s="4366" t="s">
        <v>953</v>
      </c>
      <c r="C100" s="4366"/>
      <c r="D100" s="4366"/>
      <c r="E100" s="4366"/>
      <c r="F100" s="4366"/>
    </row>
    <row r="102" spans="2:6" s="813" customFormat="1">
      <c r="B102" s="814" t="s">
        <v>954</v>
      </c>
    </row>
    <row r="103" spans="2:6">
      <c r="B103" s="813" t="s">
        <v>929</v>
      </c>
    </row>
    <row r="104" spans="2:6">
      <c r="E104" s="816" t="s">
        <v>902</v>
      </c>
    </row>
    <row r="105" spans="2:6" ht="62.4">
      <c r="B105" s="817" t="s">
        <v>903</v>
      </c>
      <c r="C105" s="817" t="s">
        <v>904</v>
      </c>
      <c r="D105" s="817" t="s">
        <v>905</v>
      </c>
      <c r="E105" s="817" t="s">
        <v>906</v>
      </c>
      <c r="F105" s="817" t="s">
        <v>907</v>
      </c>
    </row>
    <row r="106" spans="2:6">
      <c r="B106" s="827" t="s">
        <v>908</v>
      </c>
      <c r="C106" s="819">
        <v>31000</v>
      </c>
      <c r="D106" s="819">
        <v>43400</v>
      </c>
      <c r="E106" s="819">
        <f>+D106-C106</f>
        <v>12400</v>
      </c>
      <c r="F106" s="820">
        <f>D106/C106*100-100</f>
        <v>40</v>
      </c>
    </row>
    <row r="107" spans="2:6">
      <c r="B107" s="818" t="s">
        <v>909</v>
      </c>
      <c r="C107" s="819">
        <v>33700</v>
      </c>
      <c r="D107" s="819">
        <v>47200</v>
      </c>
      <c r="E107" s="819">
        <f>+D107-C107</f>
        <v>13500</v>
      </c>
      <c r="F107" s="820">
        <f>D107/C107*100-100</f>
        <v>40.059347181008889</v>
      </c>
    </row>
    <row r="108" spans="2:6">
      <c r="B108" s="827" t="s">
        <v>910</v>
      </c>
      <c r="C108" s="819">
        <v>47200</v>
      </c>
      <c r="D108" s="819">
        <v>66100</v>
      </c>
      <c r="E108" s="819">
        <f>+D108-C108</f>
        <v>18900</v>
      </c>
      <c r="F108" s="820">
        <f>D108/C108*100-100</f>
        <v>40.042372881355931</v>
      </c>
    </row>
    <row r="109" spans="2:6">
      <c r="B109" s="827" t="s">
        <v>911</v>
      </c>
      <c r="C109" s="819">
        <v>57300</v>
      </c>
      <c r="D109" s="819">
        <v>80200</v>
      </c>
      <c r="E109" s="819">
        <f>+D109-C109</f>
        <v>22900</v>
      </c>
      <c r="F109" s="820">
        <f>D109/C109*100-100</f>
        <v>39.965095986038392</v>
      </c>
    </row>
    <row r="111" spans="2:6">
      <c r="B111" s="839" t="s">
        <v>955</v>
      </c>
      <c r="C111" s="840"/>
      <c r="D111" s="840"/>
      <c r="E111" s="840"/>
      <c r="F111" s="840"/>
    </row>
    <row r="112" spans="2:6" ht="66" customHeight="1">
      <c r="B112" s="4368" t="s">
        <v>956</v>
      </c>
      <c r="C112" s="4368"/>
      <c r="D112" s="4368"/>
      <c r="E112" s="4368"/>
      <c r="F112" s="4368"/>
    </row>
    <row r="113" spans="2:6">
      <c r="B113" s="4368" t="s">
        <v>957</v>
      </c>
      <c r="C113" s="4368"/>
      <c r="D113" s="4368"/>
      <c r="E113" s="4368"/>
      <c r="F113" s="4368"/>
    </row>
    <row r="114" spans="2:6">
      <c r="B114" s="4368" t="s">
        <v>958</v>
      </c>
      <c r="C114" s="4368"/>
      <c r="D114" s="4368"/>
      <c r="E114" s="4368"/>
      <c r="F114" s="4368"/>
    </row>
    <row r="116" spans="2:6" s="813" customFormat="1">
      <c r="B116" s="814" t="s">
        <v>959</v>
      </c>
    </row>
    <row r="117" spans="2:6">
      <c r="B117" s="813" t="s">
        <v>929</v>
      </c>
    </row>
    <row r="118" spans="2:6">
      <c r="E118" s="816" t="s">
        <v>902</v>
      </c>
    </row>
    <row r="119" spans="2:6" ht="62.4">
      <c r="B119" s="817" t="s">
        <v>903</v>
      </c>
      <c r="C119" s="817" t="s">
        <v>904</v>
      </c>
      <c r="D119" s="817" t="s">
        <v>905</v>
      </c>
      <c r="E119" s="817" t="s">
        <v>906</v>
      </c>
      <c r="F119" s="817" t="s">
        <v>907</v>
      </c>
    </row>
    <row r="120" spans="2:6" s="813" customFormat="1">
      <c r="B120" s="827" t="s">
        <v>908</v>
      </c>
      <c r="C120" s="819">
        <v>31800</v>
      </c>
      <c r="D120" s="819">
        <v>70000</v>
      </c>
      <c r="E120" s="819">
        <f>+D120-C120</f>
        <v>38200</v>
      </c>
      <c r="F120" s="820">
        <f>D120/C120*100-100</f>
        <v>120.12578616352201</v>
      </c>
    </row>
    <row r="121" spans="2:6">
      <c r="B121" s="818" t="s">
        <v>909</v>
      </c>
      <c r="C121" s="819">
        <v>31800</v>
      </c>
      <c r="D121" s="819">
        <v>70000</v>
      </c>
      <c r="E121" s="819">
        <f>+D121-C121</f>
        <v>38200</v>
      </c>
      <c r="F121" s="820">
        <f>D121/C121*100-100</f>
        <v>120.12578616352201</v>
      </c>
    </row>
    <row r="122" spans="2:6">
      <c r="B122" s="827" t="s">
        <v>910</v>
      </c>
      <c r="C122" s="819">
        <v>44500</v>
      </c>
      <c r="D122" s="819">
        <v>97900</v>
      </c>
      <c r="E122" s="819">
        <f>+D122-C122</f>
        <v>53400</v>
      </c>
      <c r="F122" s="820">
        <f>D122/C122*100-100</f>
        <v>120.00000000000003</v>
      </c>
    </row>
    <row r="123" spans="2:6">
      <c r="B123" s="827" t="s">
        <v>911</v>
      </c>
      <c r="C123" s="819">
        <v>63600</v>
      </c>
      <c r="D123" s="819">
        <v>139900</v>
      </c>
      <c r="E123" s="819">
        <f>+D123-C123</f>
        <v>76300</v>
      </c>
      <c r="F123" s="820">
        <f>D123/C123*100-100</f>
        <v>119.96855345911951</v>
      </c>
    </row>
    <row r="124" spans="2:6">
      <c r="B124" s="833"/>
      <c r="C124" s="833"/>
      <c r="D124" s="833"/>
      <c r="E124" s="833"/>
      <c r="F124" s="834"/>
    </row>
    <row r="125" spans="2:6">
      <c r="B125" s="841" t="s">
        <v>920</v>
      </c>
      <c r="C125" s="833"/>
      <c r="D125" s="833"/>
      <c r="E125" s="833"/>
      <c r="F125" s="834"/>
    </row>
    <row r="126" spans="2:6">
      <c r="E126" s="826" t="s">
        <v>960</v>
      </c>
    </row>
    <row r="127" spans="2:6" ht="62.4">
      <c r="B127" s="817" t="s">
        <v>961</v>
      </c>
      <c r="C127" s="817" t="s">
        <v>904</v>
      </c>
      <c r="D127" s="817" t="s">
        <v>905</v>
      </c>
      <c r="E127" s="817" t="s">
        <v>906</v>
      </c>
      <c r="F127" s="817" t="s">
        <v>907</v>
      </c>
    </row>
    <row r="128" spans="2:6" s="843" customFormat="1">
      <c r="B128" s="821" t="s">
        <v>962</v>
      </c>
      <c r="C128" s="842"/>
      <c r="D128" s="842">
        <v>1500</v>
      </c>
      <c r="E128" s="842">
        <f>+D128-C128</f>
        <v>1500</v>
      </c>
      <c r="F128" s="842"/>
    </row>
    <row r="129" spans="2:6">
      <c r="B129" s="821" t="s">
        <v>963</v>
      </c>
      <c r="C129" s="827">
        <v>800</v>
      </c>
      <c r="D129" s="827">
        <v>1500</v>
      </c>
      <c r="E129" s="819">
        <f>+D129-C129</f>
        <v>700</v>
      </c>
      <c r="F129" s="820">
        <f>D129/C129*100-100</f>
        <v>87.5</v>
      </c>
    </row>
    <row r="130" spans="2:6">
      <c r="B130" s="821" t="s">
        <v>964</v>
      </c>
      <c r="C130" s="827">
        <v>800</v>
      </c>
      <c r="D130" s="827">
        <v>1500</v>
      </c>
      <c r="E130" s="819">
        <f>+D130-C130</f>
        <v>700</v>
      </c>
      <c r="F130" s="820">
        <f>D130/C130*100-100</f>
        <v>87.5</v>
      </c>
    </row>
    <row r="131" spans="2:6">
      <c r="B131" s="821" t="s">
        <v>965</v>
      </c>
      <c r="C131" s="827">
        <v>0</v>
      </c>
      <c r="D131" s="827">
        <v>500</v>
      </c>
      <c r="E131" s="819">
        <f>+D131-C131</f>
        <v>500</v>
      </c>
      <c r="F131" s="820"/>
    </row>
    <row r="132" spans="2:6">
      <c r="B132" s="821" t="s">
        <v>966</v>
      </c>
      <c r="C132" s="827">
        <f>800*1.4</f>
        <v>1120</v>
      </c>
      <c r="D132" s="827">
        <v>2000</v>
      </c>
      <c r="E132" s="819">
        <f>+D132-C132</f>
        <v>880</v>
      </c>
      <c r="F132" s="820">
        <f>D132/C132*100-100</f>
        <v>78.571428571428584</v>
      </c>
    </row>
    <row r="133" spans="2:6">
      <c r="B133" s="844"/>
      <c r="C133" s="833"/>
      <c r="D133" s="833"/>
      <c r="E133" s="833"/>
      <c r="F133" s="834"/>
    </row>
    <row r="135" spans="2:6">
      <c r="B135" s="814" t="s">
        <v>967</v>
      </c>
      <c r="C135" s="813"/>
      <c r="D135" s="813"/>
      <c r="E135" s="813"/>
      <c r="F135" s="813"/>
    </row>
    <row r="136" spans="2:6">
      <c r="B136" s="813" t="s">
        <v>929</v>
      </c>
    </row>
    <row r="137" spans="2:6">
      <c r="E137" s="816" t="s">
        <v>902</v>
      </c>
    </row>
    <row r="138" spans="2:6" ht="62.4">
      <c r="B138" s="817" t="s">
        <v>903</v>
      </c>
      <c r="C138" s="817" t="s">
        <v>904</v>
      </c>
      <c r="D138" s="817" t="s">
        <v>905</v>
      </c>
      <c r="E138" s="817" t="s">
        <v>906</v>
      </c>
      <c r="F138" s="817" t="s">
        <v>907</v>
      </c>
    </row>
    <row r="139" spans="2:6">
      <c r="B139" s="827" t="s">
        <v>908</v>
      </c>
      <c r="C139" s="819">
        <v>18200</v>
      </c>
      <c r="D139" s="819">
        <v>40000</v>
      </c>
      <c r="E139" s="819">
        <f>+D139-C139</f>
        <v>21800</v>
      </c>
      <c r="F139" s="820">
        <f>D139/C139*100-100</f>
        <v>119.7802197802198</v>
      </c>
    </row>
    <row r="140" spans="2:6">
      <c r="B140" s="818" t="s">
        <v>909</v>
      </c>
      <c r="C140" s="819">
        <v>13800</v>
      </c>
      <c r="D140" s="819">
        <v>30400</v>
      </c>
      <c r="E140" s="819">
        <f>+D140-C140</f>
        <v>16600</v>
      </c>
      <c r="F140" s="820">
        <f>D140/C140*100-100</f>
        <v>120.28985507246378</v>
      </c>
    </row>
    <row r="141" spans="2:6">
      <c r="B141" s="827" t="s">
        <v>910</v>
      </c>
      <c r="C141" s="819">
        <v>19300</v>
      </c>
      <c r="D141" s="819">
        <v>42500</v>
      </c>
      <c r="E141" s="819">
        <f>+D141-C141</f>
        <v>23200</v>
      </c>
      <c r="F141" s="820">
        <f>D141/C141*100-100</f>
        <v>120.20725388601034</v>
      </c>
    </row>
    <row r="142" spans="2:6">
      <c r="B142" s="827" t="s">
        <v>911</v>
      </c>
      <c r="C142" s="819">
        <v>27600</v>
      </c>
      <c r="D142" s="819">
        <v>60700</v>
      </c>
      <c r="E142" s="819">
        <f>+D142-C142</f>
        <v>33100</v>
      </c>
      <c r="F142" s="820">
        <f>D142/C142*100-100</f>
        <v>119.92753623188409</v>
      </c>
    </row>
    <row r="143" spans="2:6">
      <c r="B143" s="833"/>
      <c r="C143" s="833"/>
      <c r="D143" s="833"/>
      <c r="E143" s="833"/>
      <c r="F143" s="834"/>
    </row>
    <row r="144" spans="2:6">
      <c r="B144" s="841" t="s">
        <v>920</v>
      </c>
      <c r="C144" s="833"/>
      <c r="D144" s="833"/>
      <c r="E144" s="833"/>
      <c r="F144" s="834"/>
    </row>
    <row r="145" spans="2:6">
      <c r="E145" s="816" t="s">
        <v>968</v>
      </c>
    </row>
    <row r="146" spans="2:6" ht="62.4">
      <c r="B146" s="817" t="s">
        <v>961</v>
      </c>
      <c r="C146" s="817" t="s">
        <v>904</v>
      </c>
      <c r="D146" s="817" t="s">
        <v>905</v>
      </c>
      <c r="E146" s="817" t="s">
        <v>906</v>
      </c>
      <c r="F146" s="817" t="s">
        <v>907</v>
      </c>
    </row>
    <row r="147" spans="2:6">
      <c r="B147" s="821" t="s">
        <v>962</v>
      </c>
      <c r="C147" s="827"/>
      <c r="D147" s="827">
        <v>5000</v>
      </c>
      <c r="E147" s="819">
        <f>+D147-C147</f>
        <v>5000</v>
      </c>
      <c r="F147" s="820"/>
    </row>
    <row r="148" spans="2:6">
      <c r="B148" s="821" t="s">
        <v>963</v>
      </c>
      <c r="C148" s="827">
        <v>600</v>
      </c>
      <c r="D148" s="827">
        <v>1500</v>
      </c>
      <c r="E148" s="819">
        <f>+D148-C148</f>
        <v>900</v>
      </c>
      <c r="F148" s="820">
        <f>D148/C148*100-100</f>
        <v>150</v>
      </c>
    </row>
    <row r="149" spans="2:6">
      <c r="B149" s="821" t="s">
        <v>964</v>
      </c>
      <c r="C149" s="827"/>
      <c r="D149" s="827">
        <v>500</v>
      </c>
      <c r="E149" s="819">
        <f>+D149-C149</f>
        <v>500</v>
      </c>
      <c r="F149" s="820"/>
    </row>
    <row r="150" spans="2:6">
      <c r="B150" s="821" t="s">
        <v>965</v>
      </c>
      <c r="C150" s="827"/>
      <c r="D150" s="827">
        <v>5000</v>
      </c>
      <c r="E150" s="819">
        <f>+D150-C150</f>
        <v>5000</v>
      </c>
      <c r="F150" s="820"/>
    </row>
    <row r="151" spans="2:6">
      <c r="B151" s="821" t="s">
        <v>966</v>
      </c>
      <c r="C151" s="827">
        <v>840</v>
      </c>
      <c r="D151" s="827">
        <v>2000</v>
      </c>
      <c r="E151" s="819">
        <f>+D151-C151</f>
        <v>1160</v>
      </c>
      <c r="F151" s="820">
        <f>D151/C151*100-100</f>
        <v>138.0952380952381</v>
      </c>
    </row>
    <row r="152" spans="2:6">
      <c r="B152" s="845"/>
    </row>
    <row r="153" spans="2:6" s="813" customFormat="1">
      <c r="B153" s="814" t="s">
        <v>969</v>
      </c>
    </row>
    <row r="154" spans="2:6" ht="69" customHeight="1">
      <c r="B154" s="4366" t="s">
        <v>970</v>
      </c>
      <c r="C154" s="4366"/>
      <c r="D154" s="4366"/>
      <c r="E154" s="4366"/>
      <c r="F154" s="4366"/>
    </row>
    <row r="156" spans="2:6" s="813" customFormat="1">
      <c r="B156" s="814" t="s">
        <v>971</v>
      </c>
    </row>
    <row r="157" spans="2:6" ht="36" customHeight="1">
      <c r="B157" s="4366" t="s">
        <v>972</v>
      </c>
      <c r="C157" s="4366"/>
      <c r="D157" s="4366"/>
      <c r="E157" s="4366"/>
      <c r="F157" s="4366"/>
    </row>
    <row r="158" spans="2:6">
      <c r="B158" s="4370" t="s">
        <v>973</v>
      </c>
      <c r="C158" s="4370"/>
      <c r="D158" s="4370"/>
      <c r="E158" s="4370"/>
      <c r="F158" s="4370"/>
    </row>
    <row r="159" spans="2:6">
      <c r="B159" s="840"/>
      <c r="C159" s="816" t="s">
        <v>902</v>
      </c>
      <c r="D159" s="840"/>
      <c r="E159" s="840"/>
      <c r="F159" s="840"/>
    </row>
    <row r="160" spans="2:6" ht="31.2">
      <c r="B160" s="817" t="s">
        <v>903</v>
      </c>
      <c r="C160" s="817" t="s">
        <v>905</v>
      </c>
      <c r="D160" s="840"/>
      <c r="E160" s="840"/>
      <c r="F160" s="840"/>
    </row>
    <row r="161" spans="2:6">
      <c r="B161" s="827" t="s">
        <v>908</v>
      </c>
      <c r="C161" s="827">
        <v>372500</v>
      </c>
      <c r="D161" s="840"/>
      <c r="E161" s="840"/>
      <c r="F161" s="840"/>
    </row>
    <row r="162" spans="2:6">
      <c r="B162" s="818" t="s">
        <v>909</v>
      </c>
      <c r="C162" s="827">
        <v>438200</v>
      </c>
      <c r="D162" s="840"/>
      <c r="E162" s="840"/>
      <c r="F162" s="840"/>
    </row>
    <row r="163" spans="2:6">
      <c r="B163" s="827" t="s">
        <v>910</v>
      </c>
      <c r="C163" s="827">
        <v>657300</v>
      </c>
      <c r="D163" s="840"/>
      <c r="E163" s="840"/>
      <c r="F163" s="840"/>
    </row>
    <row r="164" spans="2:6">
      <c r="B164" s="827" t="s">
        <v>911</v>
      </c>
      <c r="C164" s="827">
        <v>876400</v>
      </c>
      <c r="D164" s="840"/>
      <c r="E164" s="840"/>
      <c r="F164" s="840"/>
    </row>
    <row r="165" spans="2:6">
      <c r="B165" s="840"/>
      <c r="C165" s="840"/>
      <c r="D165" s="840"/>
      <c r="E165" s="840"/>
      <c r="F165" s="840"/>
    </row>
    <row r="166" spans="2:6">
      <c r="B166" s="846" t="s">
        <v>920</v>
      </c>
      <c r="C166" s="835"/>
      <c r="D166" s="835"/>
      <c r="E166" s="835"/>
      <c r="F166" s="835"/>
    </row>
    <row r="167" spans="2:6" ht="104.25" customHeight="1">
      <c r="B167" s="4366" t="s">
        <v>974</v>
      </c>
      <c r="C167" s="4366"/>
      <c r="D167" s="4366"/>
      <c r="E167" s="4366"/>
      <c r="F167" s="4366"/>
    </row>
    <row r="168" spans="2:6">
      <c r="B168" s="4366" t="s">
        <v>975</v>
      </c>
      <c r="C168" s="4366"/>
      <c r="D168" s="4366"/>
      <c r="E168" s="4366"/>
      <c r="F168" s="4366"/>
    </row>
    <row r="169" spans="2:6">
      <c r="B169" s="847"/>
      <c r="C169" s="835"/>
      <c r="D169" s="835"/>
      <c r="E169" s="816" t="s">
        <v>968</v>
      </c>
      <c r="F169" s="835"/>
    </row>
    <row r="170" spans="2:6" ht="62.4">
      <c r="B170" s="817" t="s">
        <v>976</v>
      </c>
      <c r="C170" s="817" t="s">
        <v>904</v>
      </c>
      <c r="D170" s="817" t="s">
        <v>905</v>
      </c>
      <c r="E170" s="817" t="s">
        <v>906</v>
      </c>
      <c r="F170" s="817" t="s">
        <v>907</v>
      </c>
    </row>
    <row r="171" spans="2:6">
      <c r="B171" s="821" t="s">
        <v>977</v>
      </c>
      <c r="C171" s="827">
        <v>76500</v>
      </c>
      <c r="D171" s="827">
        <v>140000</v>
      </c>
      <c r="E171" s="827">
        <f>+D171-C171</f>
        <v>63500</v>
      </c>
      <c r="F171" s="820">
        <f>D171/C171*100-100</f>
        <v>83.006535947712422</v>
      </c>
    </row>
    <row r="172" spans="2:6">
      <c r="B172" s="818" t="s">
        <v>978</v>
      </c>
      <c r="C172" s="827">
        <v>46500</v>
      </c>
      <c r="D172" s="827">
        <v>85000</v>
      </c>
      <c r="E172" s="827">
        <f>+D172-C172</f>
        <v>38500</v>
      </c>
      <c r="F172" s="820">
        <f>D172/C172*100-100</f>
        <v>82.79569892473117</v>
      </c>
    </row>
    <row r="173" spans="2:6">
      <c r="B173" s="818" t="s">
        <v>979</v>
      </c>
      <c r="C173" s="827">
        <v>12750</v>
      </c>
      <c r="D173" s="827">
        <v>24000</v>
      </c>
      <c r="E173" s="827">
        <f>+D173-C173</f>
        <v>11250</v>
      </c>
      <c r="F173" s="820">
        <f>D173/C173*100-100</f>
        <v>88.235294117647044</v>
      </c>
    </row>
    <row r="174" spans="2:6">
      <c r="B174" s="818" t="s">
        <v>980</v>
      </c>
      <c r="C174" s="827">
        <v>8500</v>
      </c>
      <c r="D174" s="827">
        <v>17000</v>
      </c>
      <c r="E174" s="827">
        <f>+D174-C174</f>
        <v>8500</v>
      </c>
      <c r="F174" s="820">
        <f>D174/C174*100-100</f>
        <v>100</v>
      </c>
    </row>
    <row r="175" spans="2:6">
      <c r="B175" s="821" t="s">
        <v>981</v>
      </c>
      <c r="C175" s="827">
        <v>5000</v>
      </c>
      <c r="D175" s="827">
        <v>8500</v>
      </c>
      <c r="E175" s="827">
        <f>+D175-C175</f>
        <v>3500</v>
      </c>
      <c r="F175" s="820">
        <f>D175/C175*100-100</f>
        <v>70</v>
      </c>
    </row>
    <row r="176" spans="2:6">
      <c r="B176" s="4366" t="s">
        <v>982</v>
      </c>
      <c r="C176" s="4366"/>
      <c r="D176" s="4366"/>
      <c r="E176" s="4366"/>
      <c r="F176" s="4366"/>
    </row>
    <row r="177" spans="2:6" ht="68.25" customHeight="1">
      <c r="B177" s="4366" t="s">
        <v>983</v>
      </c>
      <c r="C177" s="4366"/>
      <c r="D177" s="4366"/>
      <c r="E177" s="4366"/>
      <c r="F177" s="4366"/>
    </row>
    <row r="178" spans="2:6" ht="162.75" customHeight="1">
      <c r="B178" s="4366" t="s">
        <v>984</v>
      </c>
      <c r="C178" s="4366"/>
      <c r="D178" s="4366"/>
      <c r="E178" s="4366"/>
      <c r="F178" s="4366"/>
    </row>
    <row r="179" spans="2:6">
      <c r="B179" s="847"/>
      <c r="C179" s="835"/>
      <c r="D179" s="835"/>
      <c r="E179" s="835"/>
      <c r="F179" s="835"/>
    </row>
    <row r="180" spans="2:6" s="813" customFormat="1">
      <c r="B180" s="814" t="s">
        <v>985</v>
      </c>
    </row>
    <row r="181" spans="2:6" ht="39" customHeight="1">
      <c r="B181" s="4366" t="s">
        <v>986</v>
      </c>
      <c r="C181" s="4366"/>
      <c r="D181" s="4366"/>
      <c r="E181" s="4366"/>
      <c r="F181" s="4366"/>
    </row>
    <row r="182" spans="2:6">
      <c r="B182" s="4369" t="s">
        <v>987</v>
      </c>
      <c r="C182" s="4366"/>
      <c r="D182" s="4366"/>
      <c r="E182" s="4366"/>
      <c r="F182" s="4366"/>
    </row>
    <row r="183" spans="2:6" ht="40.5" customHeight="1">
      <c r="B183" s="4366" t="s">
        <v>988</v>
      </c>
      <c r="C183" s="4366"/>
      <c r="D183" s="4366"/>
      <c r="E183" s="4366"/>
      <c r="F183" s="4366"/>
    </row>
    <row r="184" spans="2:6" ht="48.75" customHeight="1">
      <c r="B184" s="4366" t="s">
        <v>989</v>
      </c>
      <c r="C184" s="4366"/>
      <c r="D184" s="4366"/>
      <c r="E184" s="4366"/>
      <c r="F184" s="4366"/>
    </row>
    <row r="185" spans="2:6" ht="45.15" customHeight="1">
      <c r="B185" s="4369" t="s">
        <v>990</v>
      </c>
      <c r="C185" s="4366"/>
      <c r="D185" s="4366"/>
      <c r="E185" s="4366"/>
      <c r="F185" s="4366"/>
    </row>
    <row r="186" spans="2:6" ht="65.25" customHeight="1">
      <c r="B186" s="4369" t="s">
        <v>991</v>
      </c>
      <c r="C186" s="4366"/>
      <c r="D186" s="4366"/>
      <c r="E186" s="4366"/>
      <c r="F186" s="4366"/>
    </row>
    <row r="187" spans="2:6" ht="53.25" customHeight="1">
      <c r="B187" s="4369" t="s">
        <v>992</v>
      </c>
      <c r="C187" s="4366"/>
      <c r="D187" s="4366"/>
      <c r="E187" s="4366"/>
      <c r="F187" s="4366"/>
    </row>
    <row r="188" spans="2:6" ht="63.15" customHeight="1">
      <c r="B188" s="4369" t="s">
        <v>993</v>
      </c>
      <c r="C188" s="4366"/>
      <c r="D188" s="4366"/>
      <c r="E188" s="4366"/>
      <c r="F188" s="4366"/>
    </row>
    <row r="190" spans="2:6" s="813" customFormat="1">
      <c r="B190" s="814" t="s">
        <v>994</v>
      </c>
    </row>
    <row r="191" spans="2:6" ht="34.5" customHeight="1">
      <c r="B191" s="4366" t="s">
        <v>995</v>
      </c>
      <c r="C191" s="4366"/>
      <c r="D191" s="4366"/>
      <c r="E191" s="4366"/>
      <c r="F191" s="4366"/>
    </row>
    <row r="193" spans="2:6" s="813" customFormat="1">
      <c r="B193" s="813" t="s">
        <v>996</v>
      </c>
      <c r="F193" s="841"/>
    </row>
    <row r="194" spans="2:6" ht="109.2">
      <c r="B194" s="817" t="s">
        <v>997</v>
      </c>
      <c r="C194" s="817" t="s">
        <v>998</v>
      </c>
      <c r="D194" s="817" t="s">
        <v>999</v>
      </c>
      <c r="E194" s="817" t="s">
        <v>906</v>
      </c>
      <c r="F194" s="848"/>
    </row>
    <row r="195" spans="2:6">
      <c r="B195" s="818" t="s">
        <v>1000</v>
      </c>
      <c r="C195" s="822">
        <v>0.09</v>
      </c>
      <c r="D195" s="822">
        <v>0.15</v>
      </c>
      <c r="E195" s="822">
        <f>+D195-C195</f>
        <v>0.06</v>
      </c>
      <c r="F195" s="834"/>
    </row>
    <row r="197" spans="2:6">
      <c r="B197" s="814" t="s">
        <v>1001</v>
      </c>
    </row>
    <row r="198" spans="2:6" ht="129" customHeight="1">
      <c r="B198" s="4366" t="s">
        <v>1002</v>
      </c>
      <c r="C198" s="4366"/>
      <c r="D198" s="4366"/>
      <c r="E198" s="4366"/>
      <c r="F198" s="4366"/>
    </row>
    <row r="199" spans="2:6" s="813" customFormat="1">
      <c r="B199" s="814" t="s">
        <v>1003</v>
      </c>
    </row>
    <row r="200" spans="2:6" s="843" customFormat="1">
      <c r="B200" s="4366" t="s">
        <v>1004</v>
      </c>
      <c r="C200" s="4366"/>
      <c r="D200" s="4366"/>
      <c r="E200" s="4366"/>
      <c r="F200" s="4366"/>
    </row>
    <row r="201" spans="2:6">
      <c r="B201" s="4366" t="s">
        <v>1005</v>
      </c>
      <c r="C201" s="4366"/>
      <c r="D201" s="4366"/>
      <c r="E201" s="4366"/>
      <c r="F201" s="4366"/>
    </row>
    <row r="202" spans="2:6" ht="81.150000000000006" customHeight="1">
      <c r="B202" s="4368" t="s">
        <v>1006</v>
      </c>
      <c r="C202" s="4368"/>
      <c r="D202" s="4368"/>
      <c r="E202" s="4368"/>
      <c r="F202" s="4368"/>
    </row>
    <row r="203" spans="2:6" ht="66.75" customHeight="1">
      <c r="B203" s="4366" t="s">
        <v>1007</v>
      </c>
      <c r="C203" s="4366"/>
      <c r="D203" s="4366"/>
      <c r="E203" s="4366"/>
      <c r="F203" s="4366"/>
    </row>
    <row r="204" spans="2:6" ht="117.15" customHeight="1">
      <c r="B204" s="4366" t="s">
        <v>1008</v>
      </c>
      <c r="C204" s="4366"/>
      <c r="D204" s="4366"/>
      <c r="E204" s="4366"/>
      <c r="F204" s="4366"/>
    </row>
    <row r="205" spans="2:6">
      <c r="B205" s="4367" t="s">
        <v>1009</v>
      </c>
      <c r="C205" s="4367"/>
      <c r="D205" s="4367"/>
      <c r="E205" s="4367"/>
      <c r="F205" s="4367"/>
    </row>
    <row r="207" spans="2:6">
      <c r="B207" s="814" t="s">
        <v>1010</v>
      </c>
    </row>
    <row r="208" spans="2:6" ht="59.4" customHeight="1">
      <c r="B208" s="4368" t="s">
        <v>1011</v>
      </c>
      <c r="C208" s="4368"/>
      <c r="D208" s="4368"/>
      <c r="E208" s="4368"/>
      <c r="F208" s="4368"/>
    </row>
    <row r="209" spans="2:6" ht="300" customHeight="1">
      <c r="B209" s="4368" t="s">
        <v>1012</v>
      </c>
      <c r="C209" s="4368"/>
      <c r="D209" s="4368"/>
      <c r="E209" s="4368"/>
      <c r="F209" s="4368"/>
    </row>
    <row r="210" spans="2:6">
      <c r="B210" s="814" t="s">
        <v>1013</v>
      </c>
      <c r="C210" s="840"/>
      <c r="D210" s="840"/>
      <c r="E210" s="840"/>
      <c r="F210" s="840"/>
    </row>
    <row r="211" spans="2:6" ht="79.5" customHeight="1">
      <c r="B211" s="4366" t="s">
        <v>1014</v>
      </c>
      <c r="C211" s="4366"/>
      <c r="D211" s="4366"/>
      <c r="E211" s="4366"/>
      <c r="F211" s="4366"/>
    </row>
    <row r="212" spans="2:6" s="813" customFormat="1">
      <c r="B212" s="813" t="s">
        <v>1015</v>
      </c>
    </row>
    <row r="213" spans="2:6" ht="59.4" customHeight="1">
      <c r="B213" s="4366" t="s">
        <v>1016</v>
      </c>
      <c r="C213" s="4366"/>
      <c r="D213" s="4366"/>
      <c r="E213" s="4366"/>
      <c r="F213" s="4366"/>
    </row>
    <row r="214" spans="2:6" ht="103.5" customHeight="1">
      <c r="B214" s="4366" t="s">
        <v>1017</v>
      </c>
      <c r="C214" s="4366"/>
      <c r="D214" s="4366"/>
      <c r="E214" s="4366"/>
      <c r="F214" s="4366"/>
    </row>
    <row r="215" spans="2:6" ht="96" customHeight="1">
      <c r="B215" s="4366" t="s">
        <v>1018</v>
      </c>
      <c r="C215" s="4366"/>
      <c r="D215" s="4366"/>
      <c r="E215" s="4366"/>
      <c r="F215" s="4366"/>
    </row>
    <row r="216" spans="2:6" s="813" customFormat="1" ht="22.5" customHeight="1">
      <c r="B216" s="813" t="s">
        <v>1019</v>
      </c>
    </row>
    <row r="217" spans="2:6" ht="136.5" customHeight="1">
      <c r="B217" s="4366" t="s">
        <v>1020</v>
      </c>
      <c r="C217" s="4366"/>
      <c r="D217" s="4366"/>
      <c r="E217" s="4366"/>
      <c r="F217" s="4366"/>
    </row>
    <row r="218" spans="2:6" ht="60.75" customHeight="1">
      <c r="B218" s="4366" t="s">
        <v>1021</v>
      </c>
      <c r="C218" s="4366"/>
      <c r="D218" s="4366"/>
      <c r="E218" s="4366"/>
      <c r="F218" s="4366"/>
    </row>
  </sheetData>
  <mergeCells count="52">
    <mergeCell ref="B21:F21"/>
    <mergeCell ref="B1:F1"/>
    <mergeCell ref="B11:F11"/>
    <mergeCell ref="B17:F17"/>
    <mergeCell ref="B19:F19"/>
    <mergeCell ref="B20:F20"/>
    <mergeCell ref="B112:F112"/>
    <mergeCell ref="B22:F22"/>
    <mergeCell ref="B31:F31"/>
    <mergeCell ref="B41:F41"/>
    <mergeCell ref="B43:F43"/>
    <mergeCell ref="B53:F53"/>
    <mergeCell ref="B63:F63"/>
    <mergeCell ref="B64:F64"/>
    <mergeCell ref="B79:F79"/>
    <mergeCell ref="B80:F80"/>
    <mergeCell ref="B90:F90"/>
    <mergeCell ref="B100:F100"/>
    <mergeCell ref="B182:F182"/>
    <mergeCell ref="B113:F113"/>
    <mergeCell ref="B114:F114"/>
    <mergeCell ref="B154:F154"/>
    <mergeCell ref="B157:F157"/>
    <mergeCell ref="B158:F158"/>
    <mergeCell ref="B167:F167"/>
    <mergeCell ref="B168:F168"/>
    <mergeCell ref="B176:F176"/>
    <mergeCell ref="B177:F177"/>
    <mergeCell ref="B178:F178"/>
    <mergeCell ref="B181:F181"/>
    <mergeCell ref="B203:F203"/>
    <mergeCell ref="B183:F183"/>
    <mergeCell ref="B184:F184"/>
    <mergeCell ref="B185:F185"/>
    <mergeCell ref="B186:F186"/>
    <mergeCell ref="B187:F187"/>
    <mergeCell ref="B188:F188"/>
    <mergeCell ref="B191:F191"/>
    <mergeCell ref="B198:F198"/>
    <mergeCell ref="B200:F200"/>
    <mergeCell ref="B201:F201"/>
    <mergeCell ref="B202:F202"/>
    <mergeCell ref="B214:F214"/>
    <mergeCell ref="B215:F215"/>
    <mergeCell ref="B217:F217"/>
    <mergeCell ref="B218:F218"/>
    <mergeCell ref="B204:F204"/>
    <mergeCell ref="B205:F205"/>
    <mergeCell ref="B208:F208"/>
    <mergeCell ref="B209:F209"/>
    <mergeCell ref="B211:F211"/>
    <mergeCell ref="B213:F213"/>
  </mergeCells>
  <hyperlinks>
    <hyperlink ref="A6" location="'List danh mục'!A1" display="Số TT"/>
  </hyperlink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7"/>
  <sheetViews>
    <sheetView topLeftCell="A16" workbookViewId="0">
      <selection activeCell="B12" sqref="B12"/>
    </sheetView>
  </sheetViews>
  <sheetFormatPr defaultRowHeight="15.6"/>
  <cols>
    <col min="1" max="1" width="5.59765625" customWidth="1"/>
    <col min="2" max="2" width="80.5" customWidth="1"/>
    <col min="3" max="3" width="17" customWidth="1"/>
    <col min="4" max="4" width="15.19921875" customWidth="1"/>
    <col min="5" max="5" width="15" customWidth="1"/>
  </cols>
  <sheetData>
    <row r="1" spans="1:5" ht="32.25" customHeight="1">
      <c r="A1" s="4275" t="s">
        <v>1022</v>
      </c>
      <c r="B1" s="4275"/>
      <c r="C1" s="4275"/>
      <c r="D1" s="4275"/>
      <c r="E1" s="4275"/>
    </row>
    <row r="3" spans="1:5" ht="111" customHeight="1">
      <c r="A3" s="2143" t="s">
        <v>244</v>
      </c>
      <c r="B3" s="249" t="s">
        <v>640</v>
      </c>
      <c r="C3" s="249" t="s">
        <v>1023</v>
      </c>
      <c r="D3" s="249" t="s">
        <v>1024</v>
      </c>
      <c r="E3" s="249" t="s">
        <v>1025</v>
      </c>
    </row>
    <row r="4" spans="1:5">
      <c r="A4" s="249">
        <v>1</v>
      </c>
      <c r="B4" s="249">
        <v>2</v>
      </c>
      <c r="C4" s="249">
        <v>3</v>
      </c>
      <c r="D4" s="249">
        <v>4</v>
      </c>
      <c r="E4" s="249" t="s">
        <v>1026</v>
      </c>
    </row>
    <row r="5" spans="1:5" s="248" customFormat="1">
      <c r="A5" s="266"/>
      <c r="B5" s="266" t="s">
        <v>1027</v>
      </c>
      <c r="C5" s="849">
        <f>SUM(C6,C13,C36,C37,C38,C39)</f>
        <v>12613289</v>
      </c>
      <c r="D5" s="849">
        <f>SUM(D6,D13,D36,D37,D38,D39)</f>
        <v>12792680</v>
      </c>
      <c r="E5" s="849">
        <f>D5-C5</f>
        <v>179391</v>
      </c>
    </row>
    <row r="6" spans="1:5" s="812" customFormat="1">
      <c r="A6" s="850" t="s">
        <v>7</v>
      </c>
      <c r="B6" s="851" t="s">
        <v>93</v>
      </c>
      <c r="C6" s="852">
        <f>SUM(C7,C10,C11,C12)</f>
        <v>3313757</v>
      </c>
      <c r="D6" s="852">
        <f>SUM(D7,D10,D11,D12)</f>
        <v>3374957</v>
      </c>
      <c r="E6" s="852">
        <f t="shared" ref="E6:E41" si="0">D6-C6</f>
        <v>61200</v>
      </c>
    </row>
    <row r="7" spans="1:5" s="248" customFormat="1">
      <c r="A7" s="271" t="s">
        <v>9</v>
      </c>
      <c r="B7" s="263" t="s">
        <v>1028</v>
      </c>
      <c r="C7" s="853">
        <f>951580+23400</f>
        <v>974980</v>
      </c>
      <c r="D7" s="853">
        <f>1036180</f>
        <v>1036180</v>
      </c>
      <c r="E7" s="853">
        <f t="shared" si="0"/>
        <v>61200</v>
      </c>
    </row>
    <row r="8" spans="1:5" s="811" customFormat="1">
      <c r="A8" s="854"/>
      <c r="B8" s="855" t="s">
        <v>718</v>
      </c>
      <c r="C8" s="856"/>
      <c r="D8" s="856"/>
      <c r="E8" s="856"/>
    </row>
    <row r="9" spans="1:5" s="811" customFormat="1">
      <c r="A9" s="854"/>
      <c r="B9" s="857" t="s">
        <v>1029</v>
      </c>
      <c r="C9" s="856">
        <v>23400</v>
      </c>
      <c r="D9" s="856">
        <f>23400+61200</f>
        <v>84600</v>
      </c>
      <c r="E9" s="856">
        <f t="shared" si="0"/>
        <v>61200</v>
      </c>
    </row>
    <row r="10" spans="1:5" s="248" customFormat="1">
      <c r="A10" s="271" t="s">
        <v>20</v>
      </c>
      <c r="B10" s="263" t="s">
        <v>391</v>
      </c>
      <c r="C10" s="853">
        <v>800000</v>
      </c>
      <c r="D10" s="853">
        <v>800000</v>
      </c>
      <c r="E10" s="853">
        <f t="shared" si="0"/>
        <v>0</v>
      </c>
    </row>
    <row r="11" spans="1:5" s="248" customFormat="1">
      <c r="A11" s="271" t="s">
        <v>49</v>
      </c>
      <c r="B11" s="263" t="s">
        <v>1030</v>
      </c>
      <c r="C11" s="853">
        <v>1500000</v>
      </c>
      <c r="D11" s="853">
        <v>1500000</v>
      </c>
      <c r="E11" s="853">
        <f t="shared" si="0"/>
        <v>0</v>
      </c>
    </row>
    <row r="12" spans="1:5" s="248" customFormat="1">
      <c r="A12" s="271" t="s">
        <v>50</v>
      </c>
      <c r="B12" s="276" t="s">
        <v>142</v>
      </c>
      <c r="C12" s="853">
        <v>38777</v>
      </c>
      <c r="D12" s="853">
        <v>38777</v>
      </c>
      <c r="E12" s="853">
        <f t="shared" si="0"/>
        <v>0</v>
      </c>
    </row>
    <row r="13" spans="1:5" s="812" customFormat="1">
      <c r="A13" s="850" t="s">
        <v>22</v>
      </c>
      <c r="B13" s="851" t="s">
        <v>58</v>
      </c>
      <c r="C13" s="852">
        <f>SUM(C15,C22,C23)</f>
        <v>9045866</v>
      </c>
      <c r="D13" s="852">
        <f>SUM(D15,D22,D23)</f>
        <v>9140657</v>
      </c>
      <c r="E13" s="852">
        <f>D13-C13</f>
        <v>94791</v>
      </c>
    </row>
    <row r="14" spans="1:5">
      <c r="A14" s="858"/>
      <c r="B14" s="272" t="s">
        <v>299</v>
      </c>
      <c r="C14" s="859"/>
      <c r="D14" s="859"/>
      <c r="E14" s="859">
        <f t="shared" si="0"/>
        <v>0</v>
      </c>
    </row>
    <row r="15" spans="1:5" s="248" customFormat="1">
      <c r="A15" s="271" t="s">
        <v>9</v>
      </c>
      <c r="B15" s="263" t="s">
        <v>1031</v>
      </c>
      <c r="C15" s="853">
        <f>SUM(C16:C17)</f>
        <v>4090257</v>
      </c>
      <c r="D15" s="853">
        <f>SUM(D16:D17)</f>
        <v>4090257</v>
      </c>
      <c r="E15" s="853">
        <f t="shared" si="0"/>
        <v>0</v>
      </c>
    </row>
    <row r="16" spans="1:5">
      <c r="A16" s="860">
        <v>1</v>
      </c>
      <c r="B16" s="272" t="s">
        <v>1032</v>
      </c>
      <c r="C16" s="859">
        <v>4090257</v>
      </c>
      <c r="D16" s="859">
        <v>4090257</v>
      </c>
      <c r="E16" s="859">
        <f t="shared" si="0"/>
        <v>0</v>
      </c>
    </row>
    <row r="17" spans="1:5">
      <c r="A17" s="860">
        <v>2</v>
      </c>
      <c r="B17" s="272" t="s">
        <v>1033</v>
      </c>
      <c r="C17" s="859">
        <f>SUM(C18:C21)</f>
        <v>0</v>
      </c>
      <c r="D17" s="859">
        <f>SUM(D18:D21)</f>
        <v>0</v>
      </c>
      <c r="E17" s="859">
        <f t="shared" si="0"/>
        <v>0</v>
      </c>
    </row>
    <row r="18" spans="1:5" s="811" customFormat="1" ht="46.8">
      <c r="A18" s="854" t="s">
        <v>34</v>
      </c>
      <c r="B18" s="855" t="s">
        <v>1034</v>
      </c>
      <c r="C18" s="856"/>
      <c r="D18" s="856"/>
      <c r="E18" s="856">
        <f t="shared" si="0"/>
        <v>0</v>
      </c>
    </row>
    <row r="19" spans="1:5" s="811" customFormat="1">
      <c r="A19" s="854" t="s">
        <v>35</v>
      </c>
      <c r="B19" s="855" t="s">
        <v>1035</v>
      </c>
      <c r="C19" s="856"/>
      <c r="D19" s="856"/>
      <c r="E19" s="856">
        <f t="shared" si="0"/>
        <v>0</v>
      </c>
    </row>
    <row r="20" spans="1:5" s="811" customFormat="1">
      <c r="A20" s="854" t="s">
        <v>36</v>
      </c>
      <c r="B20" s="855" t="s">
        <v>1036</v>
      </c>
      <c r="C20" s="856"/>
      <c r="D20" s="856"/>
      <c r="E20" s="856">
        <f t="shared" si="0"/>
        <v>0</v>
      </c>
    </row>
    <row r="21" spans="1:5" s="811" customFormat="1" ht="31.2">
      <c r="A21" s="854" t="s">
        <v>37</v>
      </c>
      <c r="B21" s="855" t="s">
        <v>1037</v>
      </c>
      <c r="C21" s="856"/>
      <c r="D21" s="856"/>
      <c r="E21" s="856">
        <f t="shared" si="0"/>
        <v>0</v>
      </c>
    </row>
    <row r="22" spans="1:5" s="248" customFormat="1">
      <c r="A22" s="271" t="s">
        <v>20</v>
      </c>
      <c r="B22" s="263" t="s">
        <v>1038</v>
      </c>
      <c r="C22" s="853">
        <f>27026</f>
        <v>27026</v>
      </c>
      <c r="D22" s="853">
        <v>31000</v>
      </c>
      <c r="E22" s="853">
        <f t="shared" si="0"/>
        <v>3974</v>
      </c>
    </row>
    <row r="23" spans="1:5" s="248" customFormat="1">
      <c r="A23" s="271" t="s">
        <v>49</v>
      </c>
      <c r="B23" s="263" t="s">
        <v>301</v>
      </c>
      <c r="C23" s="853">
        <f>SUM(C24,C25,C32)</f>
        <v>4928583</v>
      </c>
      <c r="D23" s="853">
        <f>SUM(D24,D25,D32)</f>
        <v>5019400</v>
      </c>
      <c r="E23" s="853">
        <f>D23-C23</f>
        <v>90817</v>
      </c>
    </row>
    <row r="24" spans="1:5">
      <c r="A24" s="860">
        <v>1</v>
      </c>
      <c r="B24" s="272" t="s">
        <v>1032</v>
      </c>
      <c r="C24" s="859">
        <f>9045866-C16-C22</f>
        <v>4928583</v>
      </c>
      <c r="D24" s="859">
        <f>9140657-D16-D22</f>
        <v>5019400</v>
      </c>
      <c r="E24" s="859">
        <f t="shared" si="0"/>
        <v>90817</v>
      </c>
    </row>
    <row r="25" spans="1:5">
      <c r="A25" s="860">
        <v>2</v>
      </c>
      <c r="B25" s="272" t="s">
        <v>1033</v>
      </c>
      <c r="C25" s="859">
        <f>SUM(C26:C35)</f>
        <v>0</v>
      </c>
      <c r="D25" s="859">
        <f>SUM(D26:D35)</f>
        <v>0</v>
      </c>
      <c r="E25" s="859">
        <f>SUM(E26:E35)</f>
        <v>0</v>
      </c>
    </row>
    <row r="26" spans="1:5" s="811" customFormat="1">
      <c r="A26" s="854" t="s">
        <v>34</v>
      </c>
      <c r="B26" s="861" t="s">
        <v>1039</v>
      </c>
      <c r="C26" s="856"/>
      <c r="D26" s="856"/>
      <c r="E26" s="856">
        <f t="shared" si="0"/>
        <v>0</v>
      </c>
    </row>
    <row r="27" spans="1:5" s="811" customFormat="1" ht="41.4">
      <c r="A27" s="854" t="s">
        <v>35</v>
      </c>
      <c r="B27" s="861" t="s">
        <v>1040</v>
      </c>
      <c r="C27" s="856"/>
      <c r="D27" s="856"/>
      <c r="E27" s="856">
        <f t="shared" si="0"/>
        <v>0</v>
      </c>
    </row>
    <row r="28" spans="1:5" s="811" customFormat="1" ht="41.4">
      <c r="A28" s="854" t="s">
        <v>36</v>
      </c>
      <c r="B28" s="861" t="s">
        <v>1041</v>
      </c>
      <c r="C28" s="856"/>
      <c r="D28" s="856"/>
      <c r="E28" s="856">
        <f t="shared" si="0"/>
        <v>0</v>
      </c>
    </row>
    <row r="29" spans="1:5" s="811" customFormat="1">
      <c r="A29" s="854" t="s">
        <v>37</v>
      </c>
      <c r="B29" s="861" t="s">
        <v>1042</v>
      </c>
      <c r="C29" s="856"/>
      <c r="D29" s="856"/>
      <c r="E29" s="856">
        <f t="shared" si="0"/>
        <v>0</v>
      </c>
    </row>
    <row r="30" spans="1:5" s="811" customFormat="1">
      <c r="A30" s="854" t="s">
        <v>40</v>
      </c>
      <c r="B30" s="861" t="s">
        <v>1043</v>
      </c>
      <c r="C30" s="856"/>
      <c r="D30" s="856"/>
      <c r="E30" s="856">
        <f t="shared" si="0"/>
        <v>0</v>
      </c>
    </row>
    <row r="31" spans="1:5" s="811" customFormat="1">
      <c r="A31" s="854" t="s">
        <v>42</v>
      </c>
      <c r="B31" s="861" t="s">
        <v>1044</v>
      </c>
      <c r="C31" s="856"/>
      <c r="D31" s="856"/>
      <c r="E31" s="856">
        <f t="shared" si="0"/>
        <v>0</v>
      </c>
    </row>
    <row r="32" spans="1:5">
      <c r="A32" s="860"/>
      <c r="B32" s="272"/>
      <c r="C32" s="859"/>
      <c r="D32" s="859"/>
      <c r="E32" s="856">
        <f t="shared" si="0"/>
        <v>0</v>
      </c>
    </row>
    <row r="33" spans="1:5" s="811" customFormat="1">
      <c r="A33" s="854"/>
      <c r="B33" s="855"/>
      <c r="C33" s="856"/>
      <c r="D33" s="856"/>
      <c r="E33" s="856">
        <f t="shared" si="0"/>
        <v>0</v>
      </c>
    </row>
    <row r="34" spans="1:5" s="811" customFormat="1">
      <c r="A34" s="854"/>
      <c r="B34" s="855"/>
      <c r="C34" s="856"/>
      <c r="D34" s="856"/>
      <c r="E34" s="856">
        <f t="shared" si="0"/>
        <v>0</v>
      </c>
    </row>
    <row r="35" spans="1:5" s="811" customFormat="1">
      <c r="A35" s="854"/>
      <c r="B35" s="855"/>
      <c r="C35" s="856"/>
      <c r="D35" s="856"/>
      <c r="E35" s="856">
        <f t="shared" si="0"/>
        <v>0</v>
      </c>
    </row>
    <row r="36" spans="1:5" s="248" customFormat="1">
      <c r="A36" s="271" t="s">
        <v>26</v>
      </c>
      <c r="B36" s="263" t="s">
        <v>1045</v>
      </c>
      <c r="C36" s="853">
        <v>0</v>
      </c>
      <c r="D36" s="853">
        <v>2000</v>
      </c>
      <c r="E36" s="853">
        <f t="shared" si="0"/>
        <v>2000</v>
      </c>
    </row>
    <row r="37" spans="1:5" s="248" customFormat="1">
      <c r="A37" s="271" t="s">
        <v>130</v>
      </c>
      <c r="B37" s="263" t="s">
        <v>1046</v>
      </c>
      <c r="C37" s="853">
        <v>1400</v>
      </c>
      <c r="D37" s="853">
        <v>2000</v>
      </c>
      <c r="E37" s="853">
        <f t="shared" si="0"/>
        <v>600</v>
      </c>
    </row>
    <row r="38" spans="1:5" s="248" customFormat="1">
      <c r="A38" s="271" t="s">
        <v>217</v>
      </c>
      <c r="B38" s="263" t="s">
        <v>1047</v>
      </c>
      <c r="C38" s="853"/>
      <c r="D38" s="853"/>
      <c r="E38" s="853">
        <f t="shared" si="0"/>
        <v>0</v>
      </c>
    </row>
    <row r="39" spans="1:5" s="248" customFormat="1">
      <c r="A39" s="271" t="s">
        <v>1048</v>
      </c>
      <c r="B39" s="263" t="s">
        <v>87</v>
      </c>
      <c r="C39" s="853">
        <f>SUM(C40:C41)</f>
        <v>252266</v>
      </c>
      <c r="D39" s="853">
        <f>SUM(D40:D41)</f>
        <v>273066</v>
      </c>
      <c r="E39" s="853">
        <f t="shared" si="0"/>
        <v>20800</v>
      </c>
    </row>
    <row r="40" spans="1:5" s="245" customFormat="1">
      <c r="A40" s="860">
        <v>1</v>
      </c>
      <c r="B40" s="272" t="s">
        <v>1032</v>
      </c>
      <c r="C40" s="862">
        <v>252266</v>
      </c>
      <c r="D40" s="862">
        <v>273066</v>
      </c>
      <c r="E40" s="862">
        <f t="shared" si="0"/>
        <v>20800</v>
      </c>
    </row>
    <row r="41" spans="1:5" s="245" customFormat="1">
      <c r="A41" s="860">
        <v>2</v>
      </c>
      <c r="B41" s="272" t="s">
        <v>1049</v>
      </c>
      <c r="C41" s="862"/>
      <c r="D41" s="862"/>
      <c r="E41" s="862">
        <f t="shared" si="0"/>
        <v>0</v>
      </c>
    </row>
    <row r="42" spans="1:5" s="811" customFormat="1">
      <c r="A42" s="863"/>
      <c r="B42" s="864"/>
      <c r="C42" s="865"/>
      <c r="D42" s="865"/>
      <c r="E42" s="865"/>
    </row>
    <row r="43" spans="1:5">
      <c r="A43" s="248" t="s">
        <v>1050</v>
      </c>
    </row>
    <row r="44" spans="1:5" ht="29.25" customHeight="1">
      <c r="B44" s="866" t="s">
        <v>1051</v>
      </c>
      <c r="C44" s="867">
        <v>1036180</v>
      </c>
    </row>
    <row r="45" spans="1:5">
      <c r="B45" s="245" t="s">
        <v>1052</v>
      </c>
      <c r="C45" s="868">
        <f>C44-C7</f>
        <v>61200</v>
      </c>
    </row>
    <row r="47" spans="1:5">
      <c r="C47" s="868"/>
    </row>
  </sheetData>
  <mergeCells count="1">
    <mergeCell ref="A1:E1"/>
  </mergeCells>
  <hyperlinks>
    <hyperlink ref="A3" location="'List danh mục'!A1" display="STT"/>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77"/>
  <sheetViews>
    <sheetView workbookViewId="0">
      <selection activeCell="A5" sqref="A5"/>
    </sheetView>
  </sheetViews>
  <sheetFormatPr defaultColWidth="9.19921875" defaultRowHeight="15.6"/>
  <cols>
    <col min="1" max="1" width="7.19921875" style="869" customWidth="1"/>
    <col min="2" max="2" width="42.5" style="870" customWidth="1"/>
    <col min="3" max="3" width="14.19921875" style="871" customWidth="1"/>
    <col min="4" max="4" width="29.59765625" style="873" customWidth="1"/>
    <col min="5" max="6" width="9.19921875" style="873"/>
    <col min="7" max="8" width="18.5" style="873" customWidth="1"/>
    <col min="9" max="16384" width="9.19921875" style="873"/>
  </cols>
  <sheetData>
    <row r="1" spans="1:15" ht="31.2">
      <c r="D1" s="872" t="s">
        <v>1053</v>
      </c>
      <c r="F1" s="874" t="s">
        <v>1054</v>
      </c>
      <c r="G1" s="874">
        <v>60</v>
      </c>
    </row>
    <row r="2" spans="1:15">
      <c r="A2" s="4374" t="s">
        <v>1055</v>
      </c>
      <c r="B2" s="4374"/>
      <c r="C2" s="4374"/>
      <c r="D2" s="4374"/>
    </row>
    <row r="3" spans="1:15" s="875" customFormat="1" ht="18" customHeight="1">
      <c r="A3" s="4374" t="s">
        <v>1056</v>
      </c>
      <c r="B3" s="4374"/>
      <c r="C3" s="4374"/>
      <c r="D3" s="4374"/>
    </row>
    <row r="4" spans="1:15" s="875" customFormat="1" ht="18" customHeight="1">
      <c r="A4" s="869"/>
      <c r="B4" s="876"/>
      <c r="C4" s="877"/>
    </row>
    <row r="5" spans="1:15" s="875" customFormat="1">
      <c r="A5" s="2167" t="s">
        <v>244</v>
      </c>
      <c r="B5" s="878" t="s">
        <v>326</v>
      </c>
      <c r="C5" s="878" t="s">
        <v>465</v>
      </c>
      <c r="D5" s="879" t="s">
        <v>395</v>
      </c>
      <c r="G5" s="875" t="s">
        <v>1057</v>
      </c>
    </row>
    <row r="6" spans="1:15" s="875" customFormat="1">
      <c r="A6" s="880">
        <v>1</v>
      </c>
      <c r="B6" s="881">
        <f>+A6+1</f>
        <v>2</v>
      </c>
      <c r="C6" s="881">
        <f>+B6+1</f>
        <v>3</v>
      </c>
      <c r="D6" s="880">
        <f>+C6+1</f>
        <v>4</v>
      </c>
      <c r="H6" s="875" t="s">
        <v>1058</v>
      </c>
      <c r="I6" s="875" t="s">
        <v>1059</v>
      </c>
    </row>
    <row r="7" spans="1:15" s="875" customFormat="1">
      <c r="A7" s="882" t="s">
        <v>7</v>
      </c>
      <c r="B7" s="883" t="s">
        <v>1060</v>
      </c>
      <c r="C7" s="884">
        <f>+C10+C13</f>
        <v>8593985.0258779023</v>
      </c>
      <c r="D7" s="885"/>
      <c r="F7" s="886">
        <f>+C7-C8-C9</f>
        <v>4813812.7888039034</v>
      </c>
      <c r="H7" s="887">
        <v>0.67173634842284391</v>
      </c>
      <c r="I7" s="887">
        <v>0</v>
      </c>
    </row>
    <row r="8" spans="1:15" s="875" customFormat="1">
      <c r="A8" s="888"/>
      <c r="B8" s="889" t="s">
        <v>1061</v>
      </c>
      <c r="C8" s="890">
        <f>C11+C17+C20+C23</f>
        <v>3753146.2370739989</v>
      </c>
      <c r="D8" s="888"/>
    </row>
    <row r="9" spans="1:15" s="875" customFormat="1">
      <c r="A9" s="888"/>
      <c r="B9" s="891" t="s">
        <v>1062</v>
      </c>
      <c r="C9" s="890">
        <f>C12+C15+C18+C21</f>
        <v>27026</v>
      </c>
      <c r="D9" s="888"/>
      <c r="G9" s="886">
        <f>+C7-C8-C9</f>
        <v>4813812.7888039034</v>
      </c>
    </row>
    <row r="10" spans="1:15" s="875" customFormat="1">
      <c r="A10" s="892" t="s">
        <v>9</v>
      </c>
      <c r="B10" s="893" t="s">
        <v>1063</v>
      </c>
      <c r="C10" s="894">
        <v>8094524</v>
      </c>
      <c r="D10" s="4375" t="s">
        <v>1064</v>
      </c>
    </row>
    <row r="11" spans="1:15" s="875" customFormat="1">
      <c r="A11" s="892"/>
      <c r="B11" s="889" t="s">
        <v>1061</v>
      </c>
      <c r="C11" s="895">
        <v>3605724</v>
      </c>
      <c r="D11" s="4376"/>
    </row>
    <row r="12" spans="1:15" s="875" customFormat="1">
      <c r="A12" s="892"/>
      <c r="B12" s="891" t="s">
        <v>1062</v>
      </c>
      <c r="C12" s="895">
        <v>27026</v>
      </c>
      <c r="D12" s="4377"/>
      <c r="G12" s="896"/>
      <c r="H12" s="896"/>
      <c r="I12" s="896"/>
      <c r="J12" s="897" t="s">
        <v>1065</v>
      </c>
      <c r="K12" s="896"/>
      <c r="L12" s="896"/>
    </row>
    <row r="13" spans="1:15" s="875" customFormat="1">
      <c r="A13" s="892" t="s">
        <v>20</v>
      </c>
      <c r="B13" s="893" t="s">
        <v>1066</v>
      </c>
      <c r="C13" s="894">
        <f>+C16+C19+C22</f>
        <v>499461.02587790298</v>
      </c>
      <c r="D13" s="898"/>
      <c r="H13" s="896" t="s">
        <v>1067</v>
      </c>
      <c r="I13" s="896" t="s">
        <v>1068</v>
      </c>
      <c r="J13" s="896"/>
      <c r="K13" s="4378" t="s">
        <v>1068</v>
      </c>
      <c r="L13" s="4379"/>
    </row>
    <row r="14" spans="1:15" s="875" customFormat="1">
      <c r="A14" s="892"/>
      <c r="B14" s="889" t="s">
        <v>1061</v>
      </c>
      <c r="C14" s="894">
        <f>+C17+C20+C23</f>
        <v>147422.2370739991</v>
      </c>
      <c r="D14" s="898"/>
      <c r="H14" s="896"/>
      <c r="I14" s="896"/>
      <c r="J14" s="896"/>
      <c r="K14" s="896" t="s">
        <v>1069</v>
      </c>
      <c r="L14" s="896" t="s">
        <v>1059</v>
      </c>
    </row>
    <row r="15" spans="1:15" s="875" customFormat="1">
      <c r="A15" s="892"/>
      <c r="B15" s="891" t="s">
        <v>1062</v>
      </c>
      <c r="C15" s="894">
        <f>+C18+C21</f>
        <v>0</v>
      </c>
      <c r="D15" s="898"/>
      <c r="H15" s="899">
        <v>12352.714285714284</v>
      </c>
      <c r="I15" s="900">
        <f>+H15</f>
        <v>12352.714285714284</v>
      </c>
      <c r="J15" s="901"/>
      <c r="K15" s="900">
        <f>+I15</f>
        <v>12352.714285714284</v>
      </c>
      <c r="L15" s="901"/>
      <c r="O15" s="875">
        <v>12</v>
      </c>
    </row>
    <row r="16" spans="1:15" s="875" customFormat="1">
      <c r="A16" s="892">
        <v>1</v>
      </c>
      <c r="B16" s="893" t="s">
        <v>1070</v>
      </c>
      <c r="C16" s="894">
        <v>203211.71428571429</v>
      </c>
      <c r="D16" s="4375" t="s">
        <v>1071</v>
      </c>
      <c r="H16" s="902">
        <v>22312</v>
      </c>
      <c r="I16" s="903">
        <f>+H16</f>
        <v>22312</v>
      </c>
      <c r="J16" s="904"/>
      <c r="K16" s="904"/>
      <c r="L16" s="904"/>
      <c r="O16" s="875">
        <v>13</v>
      </c>
    </row>
    <row r="17" spans="1:15" s="875" customFormat="1">
      <c r="A17" s="905"/>
      <c r="B17" s="889" t="s">
        <v>1061</v>
      </c>
      <c r="C17" s="895">
        <f>+I16+I20*H7</f>
        <v>135531.14631762507</v>
      </c>
      <c r="D17" s="4376"/>
      <c r="G17" s="906" t="s">
        <v>1072</v>
      </c>
      <c r="H17" s="902">
        <v>1152</v>
      </c>
      <c r="I17" s="903">
        <f>+H17</f>
        <v>1152</v>
      </c>
      <c r="J17" s="904"/>
      <c r="K17" s="904"/>
      <c r="L17" s="904"/>
      <c r="O17" s="875">
        <v>14</v>
      </c>
    </row>
    <row r="18" spans="1:15" s="875" customFormat="1">
      <c r="A18" s="905"/>
      <c r="B18" s="891" t="s">
        <v>1062</v>
      </c>
      <c r="C18" s="895">
        <f>+I20*I7</f>
        <v>0</v>
      </c>
      <c r="D18" s="4377"/>
      <c r="G18" s="906" t="s">
        <v>1073</v>
      </c>
      <c r="H18" s="902">
        <v>167395</v>
      </c>
      <c r="I18" s="903">
        <f>+H18</f>
        <v>167395</v>
      </c>
      <c r="J18" s="904"/>
      <c r="K18" s="904"/>
      <c r="L18" s="904"/>
      <c r="O18" s="875">
        <v>15</v>
      </c>
    </row>
    <row r="19" spans="1:15" s="875" customFormat="1">
      <c r="A19" s="892">
        <v>2</v>
      </c>
      <c r="B19" s="893" t="s">
        <v>1074</v>
      </c>
      <c r="C19" s="894">
        <v>-58428.800727811293</v>
      </c>
      <c r="D19" s="4380" t="s">
        <v>1071</v>
      </c>
      <c r="G19" s="906" t="s">
        <v>1075</v>
      </c>
      <c r="H19" s="907">
        <v>0</v>
      </c>
      <c r="I19" s="908">
        <f>+H19</f>
        <v>0</v>
      </c>
      <c r="J19" s="906"/>
      <c r="K19" s="906"/>
      <c r="L19" s="906"/>
      <c r="O19" s="875">
        <v>16</v>
      </c>
    </row>
    <row r="20" spans="1:15" s="875" customFormat="1">
      <c r="A20" s="909"/>
      <c r="B20" s="889" t="s">
        <v>1061</v>
      </c>
      <c r="C20" s="910">
        <f>+C19*H7</f>
        <v>-39248.749243625964</v>
      </c>
      <c r="D20" s="4380"/>
      <c r="G20" s="911" t="s">
        <v>1076</v>
      </c>
      <c r="H20" s="912">
        <f>+H17+H18+H19</f>
        <v>168547</v>
      </c>
      <c r="I20" s="912">
        <f>+I17+I18+I19</f>
        <v>168547</v>
      </c>
      <c r="J20" s="911"/>
      <c r="K20" s="913">
        <f>+I20*H7</f>
        <v>113219.14631762507</v>
      </c>
      <c r="L20" s="913">
        <f>+I20*I7</f>
        <v>0</v>
      </c>
    </row>
    <row r="21" spans="1:15" s="875" customFormat="1">
      <c r="A21" s="909"/>
      <c r="B21" s="891" t="s">
        <v>1062</v>
      </c>
      <c r="C21" s="910">
        <f>+C19*I7</f>
        <v>0</v>
      </c>
      <c r="D21" s="4380"/>
    </row>
    <row r="22" spans="1:15" ht="31.5" customHeight="1">
      <c r="A22" s="892">
        <v>3</v>
      </c>
      <c r="B22" s="893" t="s">
        <v>1077</v>
      </c>
      <c r="C22" s="894">
        <v>354678.11232000001</v>
      </c>
      <c r="D22" s="4375" t="s">
        <v>1078</v>
      </c>
    </row>
    <row r="23" spans="1:15" s="916" customFormat="1" ht="24" customHeight="1">
      <c r="A23" s="914"/>
      <c r="B23" s="889" t="s">
        <v>1061</v>
      </c>
      <c r="C23" s="915">
        <v>51139.839999999997</v>
      </c>
      <c r="D23" s="4377"/>
    </row>
    <row r="24" spans="1:15" s="916" customFormat="1" ht="24" customHeight="1">
      <c r="A24" s="917"/>
      <c r="B24" s="918"/>
      <c r="C24" s="919"/>
      <c r="D24" s="917"/>
    </row>
    <row r="25" spans="1:15" s="916" customFormat="1" ht="34.5" customHeight="1">
      <c r="B25" s="4381"/>
      <c r="C25" s="4381"/>
      <c r="D25" s="4381"/>
    </row>
    <row r="26" spans="1:15" s="916" customFormat="1" ht="24" customHeight="1">
      <c r="B26" s="920"/>
      <c r="C26" s="921"/>
    </row>
    <row r="27" spans="1:15" s="916" customFormat="1" ht="24" customHeight="1">
      <c r="B27" s="920"/>
      <c r="C27" s="921"/>
    </row>
    <row r="28" spans="1:15" s="916" customFormat="1" ht="24" customHeight="1">
      <c r="B28" s="920"/>
      <c r="C28" s="921"/>
    </row>
    <row r="29" spans="1:15" s="916" customFormat="1" ht="24" customHeight="1">
      <c r="B29" s="920"/>
      <c r="C29" s="921"/>
    </row>
    <row r="30" spans="1:15" s="916" customFormat="1" ht="24" customHeight="1">
      <c r="B30" s="920"/>
      <c r="C30" s="921"/>
    </row>
    <row r="31" spans="1:15" s="916" customFormat="1" ht="24" customHeight="1">
      <c r="B31" s="920"/>
      <c r="C31" s="921"/>
    </row>
    <row r="32" spans="1:15" s="916" customFormat="1" ht="24" customHeight="1">
      <c r="B32" s="920"/>
      <c r="C32" s="921"/>
    </row>
    <row r="33" spans="1:5" s="916" customFormat="1">
      <c r="B33" s="920"/>
      <c r="C33" s="921"/>
    </row>
    <row r="34" spans="1:5" s="916" customFormat="1">
      <c r="B34" s="920"/>
      <c r="C34" s="921"/>
    </row>
    <row r="35" spans="1:5" s="916" customFormat="1">
      <c r="B35" s="920"/>
      <c r="C35" s="921"/>
    </row>
    <row r="36" spans="1:5" s="875" customFormat="1">
      <c r="A36" s="869"/>
      <c r="B36" s="876"/>
      <c r="C36" s="872"/>
    </row>
    <row r="40" spans="1:5" s="869" customFormat="1">
      <c r="B40" s="870"/>
      <c r="C40" s="871"/>
      <c r="D40" s="873"/>
      <c r="E40" s="873"/>
    </row>
    <row r="41" spans="1:5" s="869" customFormat="1">
      <c r="B41" s="870"/>
      <c r="C41" s="871"/>
      <c r="D41" s="873"/>
      <c r="E41" s="873"/>
    </row>
    <row r="42" spans="1:5" s="869" customFormat="1">
      <c r="B42" s="870"/>
      <c r="C42" s="871"/>
      <c r="D42" s="873"/>
      <c r="E42" s="873"/>
    </row>
    <row r="43" spans="1:5" s="869" customFormat="1">
      <c r="B43" s="870"/>
      <c r="C43" s="871"/>
      <c r="D43" s="873"/>
      <c r="E43" s="873"/>
    </row>
    <row r="44" spans="1:5" s="869" customFormat="1">
      <c r="B44" s="870"/>
      <c r="C44" s="871"/>
      <c r="D44" s="873"/>
      <c r="E44" s="873"/>
    </row>
    <row r="45" spans="1:5" s="869" customFormat="1">
      <c r="B45" s="870"/>
      <c r="C45" s="871"/>
      <c r="D45" s="873"/>
      <c r="E45" s="873"/>
    </row>
    <row r="46" spans="1:5" s="869" customFormat="1">
      <c r="B46" s="870"/>
      <c r="C46" s="871"/>
      <c r="D46" s="873"/>
      <c r="E46" s="873"/>
    </row>
    <row r="47" spans="1:5" s="869" customFormat="1">
      <c r="B47" s="870"/>
      <c r="C47" s="871"/>
      <c r="D47" s="873"/>
      <c r="E47" s="873"/>
    </row>
    <row r="48" spans="1:5" s="869" customFormat="1">
      <c r="B48" s="870"/>
      <c r="C48" s="871"/>
      <c r="D48" s="873"/>
      <c r="E48" s="873"/>
    </row>
    <row r="49" spans="2:7" s="869" customFormat="1">
      <c r="B49" s="870"/>
      <c r="C49" s="871"/>
      <c r="D49" s="873"/>
      <c r="E49" s="873"/>
    </row>
    <row r="50" spans="2:7" s="869" customFormat="1">
      <c r="B50" s="870"/>
      <c r="C50" s="871"/>
      <c r="D50" s="873"/>
      <c r="E50" s="873"/>
    </row>
    <row r="51" spans="2:7" s="869" customFormat="1">
      <c r="B51" s="870"/>
      <c r="C51" s="871"/>
      <c r="D51" s="873"/>
      <c r="E51" s="873"/>
    </row>
    <row r="52" spans="2:7" s="869" customFormat="1">
      <c r="B52" s="870"/>
      <c r="C52" s="871"/>
      <c r="D52" s="873"/>
      <c r="E52" s="873"/>
    </row>
    <row r="53" spans="2:7" s="869" customFormat="1">
      <c r="B53" s="870"/>
      <c r="C53" s="871"/>
      <c r="D53" s="873"/>
      <c r="E53" s="873"/>
    </row>
    <row r="54" spans="2:7" s="869" customFormat="1">
      <c r="B54" s="870"/>
      <c r="C54" s="871"/>
      <c r="D54" s="873"/>
      <c r="E54" s="873"/>
    </row>
    <row r="55" spans="2:7" s="869" customFormat="1">
      <c r="B55" s="870"/>
      <c r="C55" s="871"/>
      <c r="D55" s="873"/>
      <c r="E55" s="873"/>
    </row>
    <row r="57" spans="2:7">
      <c r="D57" s="873" t="e">
        <f>+#REF!*C57*12*1.21+0.14*1.21*12*#REF!*22</f>
        <v>#REF!</v>
      </c>
    </row>
    <row r="58" spans="2:7">
      <c r="D58" s="873" t="e">
        <f>+#REF!*C58*12*1.21+0.14*1.21*12*#REF!*20</f>
        <v>#REF!</v>
      </c>
    </row>
    <row r="59" spans="2:7">
      <c r="D59" s="873" t="e">
        <f>+#REF!*C59*12*1.21+0.14*1.21*12*#REF!*19</f>
        <v>#REF!</v>
      </c>
    </row>
    <row r="62" spans="2:7">
      <c r="G62" s="869"/>
    </row>
    <row r="63" spans="2:7">
      <c r="G63" s="869"/>
    </row>
    <row r="64" spans="2:7">
      <c r="G64" s="869"/>
    </row>
    <row r="65" spans="2:7">
      <c r="G65" s="869"/>
    </row>
    <row r="72" spans="2:7" s="869" customFormat="1">
      <c r="B72" s="870"/>
      <c r="C72" s="871"/>
      <c r="D72" s="873"/>
      <c r="E72" s="873"/>
    </row>
    <row r="73" spans="2:7" s="869" customFormat="1">
      <c r="B73" s="870"/>
      <c r="C73" s="871"/>
      <c r="D73" s="873"/>
      <c r="E73" s="873"/>
    </row>
    <row r="74" spans="2:7" s="869" customFormat="1">
      <c r="B74" s="870"/>
      <c r="C74" s="871"/>
      <c r="D74" s="873"/>
      <c r="E74" s="873"/>
    </row>
    <row r="75" spans="2:7" s="869" customFormat="1">
      <c r="B75" s="870"/>
      <c r="C75" s="871"/>
      <c r="D75" s="873"/>
      <c r="E75" s="873"/>
    </row>
    <row r="76" spans="2:7" s="869" customFormat="1">
      <c r="B76" s="870"/>
      <c r="C76" s="871"/>
      <c r="D76" s="873"/>
      <c r="E76" s="873"/>
    </row>
    <row r="77" spans="2:7" s="869" customFormat="1">
      <c r="B77" s="870"/>
      <c r="C77" s="871"/>
      <c r="D77" s="873"/>
      <c r="E77" s="873"/>
    </row>
    <row r="78" spans="2:7" s="869" customFormat="1">
      <c r="B78" s="870"/>
      <c r="C78" s="871"/>
      <c r="D78" s="873"/>
      <c r="E78" s="873"/>
    </row>
    <row r="79" spans="2:7" s="869" customFormat="1">
      <c r="B79" s="870"/>
      <c r="C79" s="871"/>
      <c r="D79" s="873"/>
      <c r="E79" s="873"/>
    </row>
    <row r="80" spans="2:7" s="869" customFormat="1">
      <c r="B80" s="870"/>
      <c r="C80" s="871"/>
      <c r="D80" s="873"/>
      <c r="E80" s="873"/>
    </row>
    <row r="81" spans="2:5" s="869" customFormat="1">
      <c r="B81" s="870"/>
      <c r="C81" s="871"/>
      <c r="D81" s="873"/>
      <c r="E81" s="873"/>
    </row>
    <row r="82" spans="2:5" s="869" customFormat="1">
      <c r="B82" s="870"/>
      <c r="C82" s="871"/>
      <c r="D82" s="873"/>
      <c r="E82" s="873"/>
    </row>
    <row r="83" spans="2:5" s="869" customFormat="1">
      <c r="B83" s="870"/>
      <c r="C83" s="871"/>
      <c r="D83" s="873"/>
      <c r="E83" s="873"/>
    </row>
    <row r="84" spans="2:5" s="869" customFormat="1">
      <c r="B84" s="870"/>
      <c r="C84" s="871"/>
      <c r="D84" s="873"/>
      <c r="E84" s="873"/>
    </row>
    <row r="85" spans="2:5" s="869" customFormat="1">
      <c r="B85" s="870"/>
      <c r="C85" s="871"/>
      <c r="D85" s="873"/>
      <c r="E85" s="873"/>
    </row>
    <row r="86" spans="2:5" s="869" customFormat="1">
      <c r="B86" s="870"/>
      <c r="C86" s="871"/>
      <c r="D86" s="873"/>
      <c r="E86" s="873"/>
    </row>
    <row r="87" spans="2:5" s="869" customFormat="1">
      <c r="B87" s="870"/>
      <c r="C87" s="871"/>
      <c r="D87" s="873"/>
      <c r="E87" s="873"/>
    </row>
    <row r="88" spans="2:5" s="869" customFormat="1">
      <c r="B88" s="870"/>
      <c r="C88" s="871"/>
      <c r="D88" s="873"/>
      <c r="E88" s="873"/>
    </row>
    <row r="89" spans="2:5" s="869" customFormat="1">
      <c r="B89" s="870"/>
      <c r="C89" s="871"/>
      <c r="D89" s="873"/>
      <c r="E89" s="873"/>
    </row>
    <row r="90" spans="2:5" s="869" customFormat="1">
      <c r="B90" s="870"/>
      <c r="C90" s="871"/>
      <c r="D90" s="873"/>
      <c r="E90" s="873"/>
    </row>
    <row r="91" spans="2:5" s="869" customFormat="1">
      <c r="B91" s="870"/>
      <c r="C91" s="871"/>
      <c r="D91" s="873"/>
      <c r="E91" s="873"/>
    </row>
    <row r="92" spans="2:5" s="869" customFormat="1">
      <c r="B92" s="870"/>
      <c r="C92" s="871"/>
      <c r="D92" s="873"/>
      <c r="E92" s="873"/>
    </row>
    <row r="93" spans="2:5" s="869" customFormat="1">
      <c r="B93" s="870"/>
      <c r="C93" s="871"/>
      <c r="D93" s="873"/>
      <c r="E93" s="873"/>
    </row>
    <row r="94" spans="2:5" s="869" customFormat="1">
      <c r="B94" s="870"/>
      <c r="C94" s="871"/>
      <c r="D94" s="873"/>
      <c r="E94" s="873"/>
    </row>
    <row r="95" spans="2:5" s="869" customFormat="1">
      <c r="B95" s="870"/>
      <c r="C95" s="871"/>
      <c r="D95" s="873"/>
      <c r="E95" s="873"/>
    </row>
    <row r="96" spans="2:5" s="869" customFormat="1">
      <c r="B96" s="870"/>
      <c r="C96" s="871"/>
      <c r="D96" s="873"/>
      <c r="E96" s="873"/>
    </row>
    <row r="97" spans="2:7" s="869" customFormat="1">
      <c r="B97" s="870"/>
      <c r="C97" s="871"/>
      <c r="D97" s="873"/>
      <c r="E97" s="873"/>
    </row>
    <row r="98" spans="2:7" s="869" customFormat="1">
      <c r="B98" s="870"/>
      <c r="C98" s="871"/>
      <c r="D98" s="873"/>
      <c r="E98" s="873"/>
    </row>
    <row r="99" spans="2:7" s="869" customFormat="1">
      <c r="B99" s="870"/>
      <c r="C99" s="871"/>
      <c r="D99" s="873"/>
      <c r="E99" s="873"/>
      <c r="F99" s="922">
        <f>+G99</f>
        <v>51</v>
      </c>
      <c r="G99" s="922">
        <v>51</v>
      </c>
    </row>
    <row r="100" spans="2:7" s="869" customFormat="1">
      <c r="B100" s="870"/>
      <c r="C100" s="871"/>
      <c r="D100" s="873"/>
      <c r="E100" s="873"/>
      <c r="G100" s="869">
        <v>476</v>
      </c>
    </row>
    <row r="101" spans="2:7" s="869" customFormat="1">
      <c r="B101" s="870"/>
      <c r="C101" s="871"/>
      <c r="D101" s="873"/>
      <c r="E101" s="873"/>
      <c r="G101" s="869">
        <v>2145</v>
      </c>
    </row>
    <row r="102" spans="2:7" s="869" customFormat="1">
      <c r="B102" s="870"/>
      <c r="C102" s="871"/>
      <c r="D102" s="873"/>
      <c r="E102" s="873"/>
    </row>
    <row r="103" spans="2:7" s="869" customFormat="1">
      <c r="B103" s="870"/>
      <c r="C103" s="871"/>
      <c r="D103" s="873"/>
      <c r="E103" s="873"/>
    </row>
    <row r="104" spans="2:7" s="869" customFormat="1">
      <c r="B104" s="870"/>
      <c r="C104" s="871"/>
      <c r="D104" s="873"/>
      <c r="E104" s="873"/>
    </row>
    <row r="105" spans="2:7" s="869" customFormat="1">
      <c r="B105" s="870"/>
      <c r="C105" s="871"/>
      <c r="D105" s="873"/>
      <c r="E105" s="873"/>
    </row>
    <row r="106" spans="2:7" s="869" customFormat="1">
      <c r="B106" s="870"/>
      <c r="C106" s="871"/>
      <c r="D106" s="873"/>
      <c r="E106" s="873"/>
    </row>
    <row r="107" spans="2:7" s="869" customFormat="1">
      <c r="B107" s="870"/>
      <c r="C107" s="871"/>
      <c r="D107" s="873"/>
      <c r="E107" s="873"/>
    </row>
    <row r="108" spans="2:7" s="869" customFormat="1">
      <c r="B108" s="870"/>
      <c r="C108" s="871"/>
      <c r="D108" s="873"/>
      <c r="E108" s="873"/>
    </row>
    <row r="109" spans="2:7" s="869" customFormat="1">
      <c r="B109" s="870"/>
      <c r="C109" s="871"/>
      <c r="D109" s="873"/>
      <c r="E109" s="873"/>
    </row>
    <row r="110" spans="2:7" s="869" customFormat="1">
      <c r="B110" s="870"/>
      <c r="C110" s="871"/>
      <c r="D110" s="873"/>
      <c r="E110" s="873"/>
    </row>
    <row r="111" spans="2:7" s="869" customFormat="1">
      <c r="B111" s="870"/>
      <c r="C111" s="871"/>
      <c r="D111" s="873"/>
      <c r="E111" s="873"/>
    </row>
    <row r="112" spans="2:7" s="869" customFormat="1">
      <c r="B112" s="870"/>
      <c r="C112" s="871"/>
      <c r="D112" s="873"/>
      <c r="E112" s="873"/>
    </row>
    <row r="113" spans="2:5" s="869" customFormat="1">
      <c r="B113" s="870"/>
      <c r="C113" s="871"/>
      <c r="D113" s="873"/>
      <c r="E113" s="873"/>
    </row>
    <row r="114" spans="2:5" s="869" customFormat="1">
      <c r="B114" s="870"/>
      <c r="C114" s="871"/>
      <c r="D114" s="873"/>
      <c r="E114" s="873"/>
    </row>
    <row r="115" spans="2:5" s="869" customFormat="1">
      <c r="B115" s="870"/>
      <c r="C115" s="871"/>
      <c r="D115" s="873"/>
      <c r="E115" s="873"/>
    </row>
    <row r="116" spans="2:5" s="869" customFormat="1">
      <c r="B116" s="870"/>
      <c r="C116" s="871"/>
      <c r="D116" s="873"/>
      <c r="E116" s="873"/>
    </row>
    <row r="117" spans="2:5" s="869" customFormat="1">
      <c r="B117" s="870"/>
      <c r="C117" s="871"/>
      <c r="D117" s="873"/>
      <c r="E117" s="873"/>
    </row>
    <row r="118" spans="2:5" s="869" customFormat="1">
      <c r="B118" s="870"/>
      <c r="C118" s="871"/>
      <c r="D118" s="873"/>
      <c r="E118" s="873"/>
    </row>
    <row r="119" spans="2:5" s="869" customFormat="1">
      <c r="B119" s="870"/>
      <c r="C119" s="871"/>
      <c r="D119" s="873"/>
      <c r="E119" s="873"/>
    </row>
    <row r="120" spans="2:5" s="869" customFormat="1">
      <c r="B120" s="870"/>
      <c r="C120" s="871"/>
      <c r="D120" s="873"/>
      <c r="E120" s="873"/>
    </row>
    <row r="121" spans="2:5" s="869" customFormat="1">
      <c r="B121" s="870"/>
      <c r="C121" s="871"/>
      <c r="D121" s="873"/>
      <c r="E121" s="873"/>
    </row>
    <row r="122" spans="2:5" s="869" customFormat="1">
      <c r="B122" s="870"/>
      <c r="C122" s="871"/>
      <c r="D122" s="873"/>
      <c r="E122" s="873"/>
    </row>
    <row r="123" spans="2:5" s="869" customFormat="1">
      <c r="B123" s="870"/>
      <c r="C123" s="871"/>
      <c r="D123" s="873"/>
      <c r="E123" s="873"/>
    </row>
    <row r="124" spans="2:5" s="869" customFormat="1">
      <c r="B124" s="870"/>
      <c r="C124" s="871"/>
      <c r="D124" s="873"/>
      <c r="E124" s="873"/>
    </row>
    <row r="125" spans="2:5" s="869" customFormat="1">
      <c r="B125" s="870"/>
      <c r="C125" s="871"/>
      <c r="D125" s="873"/>
      <c r="E125" s="873"/>
    </row>
    <row r="126" spans="2:5" s="869" customFormat="1">
      <c r="B126" s="870"/>
      <c r="C126" s="871"/>
      <c r="D126" s="873"/>
      <c r="E126" s="873"/>
    </row>
    <row r="127" spans="2:5" s="869" customFormat="1">
      <c r="B127" s="870"/>
      <c r="C127" s="871"/>
      <c r="D127" s="873"/>
      <c r="E127" s="873"/>
    </row>
    <row r="128" spans="2:5" s="869" customFormat="1">
      <c r="B128" s="870"/>
      <c r="C128" s="871"/>
      <c r="D128" s="873"/>
      <c r="E128" s="873"/>
    </row>
    <row r="129" spans="2:5" s="869" customFormat="1">
      <c r="B129" s="870"/>
      <c r="C129" s="871"/>
      <c r="D129" s="873"/>
      <c r="E129" s="873"/>
    </row>
    <row r="130" spans="2:5" s="869" customFormat="1">
      <c r="B130" s="870"/>
      <c r="C130" s="871"/>
      <c r="D130" s="873"/>
      <c r="E130" s="873"/>
    </row>
    <row r="131" spans="2:5" s="869" customFormat="1">
      <c r="B131" s="870"/>
      <c r="C131" s="871"/>
      <c r="D131" s="873"/>
      <c r="E131" s="873"/>
    </row>
    <row r="132" spans="2:5" s="869" customFormat="1">
      <c r="B132" s="870"/>
      <c r="C132" s="871"/>
      <c r="D132" s="873"/>
      <c r="E132" s="873"/>
    </row>
    <row r="133" spans="2:5" s="869" customFormat="1">
      <c r="B133" s="870"/>
      <c r="C133" s="871"/>
      <c r="D133" s="873"/>
      <c r="E133" s="873"/>
    </row>
    <row r="134" spans="2:5" s="869" customFormat="1">
      <c r="B134" s="870"/>
      <c r="C134" s="871"/>
      <c r="D134" s="873"/>
      <c r="E134" s="873"/>
    </row>
    <row r="135" spans="2:5" s="869" customFormat="1">
      <c r="B135" s="870"/>
      <c r="C135" s="871"/>
      <c r="D135" s="873"/>
      <c r="E135" s="873"/>
    </row>
    <row r="136" spans="2:5" s="869" customFormat="1">
      <c r="B136" s="870"/>
      <c r="C136" s="871"/>
      <c r="D136" s="873"/>
      <c r="E136" s="873"/>
    </row>
    <row r="137" spans="2:5" s="869" customFormat="1">
      <c r="B137" s="870"/>
      <c r="C137" s="871"/>
      <c r="D137" s="873"/>
      <c r="E137" s="873"/>
    </row>
    <row r="138" spans="2:5" s="869" customFormat="1">
      <c r="B138" s="870"/>
      <c r="C138" s="871"/>
      <c r="D138" s="873"/>
      <c r="E138" s="873"/>
    </row>
    <row r="139" spans="2:5" s="869" customFormat="1">
      <c r="B139" s="870"/>
      <c r="C139" s="871"/>
      <c r="D139" s="873"/>
      <c r="E139" s="873"/>
    </row>
    <row r="140" spans="2:5" s="869" customFormat="1">
      <c r="B140" s="870"/>
      <c r="C140" s="871"/>
      <c r="D140" s="873"/>
      <c r="E140" s="873"/>
    </row>
    <row r="141" spans="2:5" s="869" customFormat="1">
      <c r="B141" s="870"/>
      <c r="C141" s="871"/>
      <c r="D141" s="873"/>
      <c r="E141" s="873"/>
    </row>
    <row r="142" spans="2:5" s="869" customFormat="1">
      <c r="B142" s="870"/>
      <c r="C142" s="871"/>
      <c r="D142" s="873"/>
      <c r="E142" s="873"/>
    </row>
    <row r="143" spans="2:5" s="869" customFormat="1">
      <c r="B143" s="870"/>
      <c r="C143" s="871"/>
      <c r="D143" s="873"/>
      <c r="E143" s="873"/>
    </row>
    <row r="144" spans="2:5" s="869" customFormat="1">
      <c r="B144" s="870"/>
      <c r="C144" s="871"/>
      <c r="D144" s="873"/>
      <c r="E144" s="873"/>
    </row>
    <row r="145" spans="2:9" s="869" customFormat="1">
      <c r="B145" s="870"/>
      <c r="C145" s="871"/>
      <c r="D145" s="873"/>
      <c r="E145" s="873"/>
    </row>
    <row r="146" spans="2:9" s="869" customFormat="1">
      <c r="B146" s="870"/>
      <c r="C146" s="871"/>
      <c r="D146" s="873"/>
      <c r="E146" s="873"/>
    </row>
    <row r="147" spans="2:9" s="869" customFormat="1">
      <c r="B147" s="870"/>
      <c r="C147" s="871"/>
      <c r="D147" s="873"/>
      <c r="E147" s="873"/>
    </row>
    <row r="148" spans="2:9" s="869" customFormat="1">
      <c r="B148" s="870"/>
      <c r="C148" s="871"/>
      <c r="D148" s="873"/>
      <c r="E148" s="873"/>
    </row>
    <row r="149" spans="2:9" s="869" customFormat="1">
      <c r="B149" s="870"/>
      <c r="C149" s="871"/>
      <c r="D149" s="873"/>
      <c r="E149" s="873"/>
    </row>
    <row r="150" spans="2:9" s="869" customFormat="1">
      <c r="B150" s="870"/>
      <c r="C150" s="871"/>
      <c r="D150" s="873"/>
      <c r="E150" s="873"/>
    </row>
    <row r="151" spans="2:9" s="869" customFormat="1">
      <c r="B151" s="870"/>
      <c r="C151" s="871"/>
      <c r="D151" s="873"/>
      <c r="E151" s="873"/>
    </row>
    <row r="152" spans="2:9" s="869" customFormat="1">
      <c r="B152" s="870"/>
      <c r="C152" s="871"/>
      <c r="D152" s="873"/>
      <c r="E152" s="873"/>
    </row>
    <row r="153" spans="2:9" s="869" customFormat="1">
      <c r="B153" s="870"/>
      <c r="C153" s="871"/>
      <c r="D153" s="873"/>
      <c r="E153" s="873"/>
    </row>
    <row r="154" spans="2:9" s="869" customFormat="1">
      <c r="B154" s="870"/>
      <c r="C154" s="871"/>
      <c r="D154" s="873"/>
      <c r="E154" s="873"/>
    </row>
    <row r="155" spans="2:9" s="869" customFormat="1">
      <c r="B155" s="870"/>
      <c r="C155" s="871"/>
      <c r="D155" s="873"/>
      <c r="E155" s="873"/>
    </row>
    <row r="156" spans="2:9" s="869" customFormat="1">
      <c r="B156" s="870"/>
      <c r="C156" s="871"/>
      <c r="D156" s="873"/>
      <c r="E156" s="873"/>
    </row>
    <row r="157" spans="2:9" s="869" customFormat="1">
      <c r="B157" s="870"/>
      <c r="C157" s="871"/>
      <c r="D157" s="873"/>
      <c r="E157" s="873"/>
      <c r="I157" s="869">
        <v>27030</v>
      </c>
    </row>
    <row r="158" spans="2:9" s="869" customFormat="1">
      <c r="B158" s="870"/>
      <c r="C158" s="871"/>
      <c r="D158" s="873"/>
      <c r="E158" s="873"/>
    </row>
    <row r="159" spans="2:9" s="869" customFormat="1">
      <c r="B159" s="870"/>
      <c r="C159" s="871"/>
      <c r="D159" s="873"/>
      <c r="E159" s="873"/>
    </row>
    <row r="160" spans="2:9" s="869" customFormat="1">
      <c r="B160" s="870"/>
      <c r="C160" s="871"/>
      <c r="D160" s="873"/>
      <c r="E160" s="873"/>
    </row>
    <row r="161" spans="2:9" s="869" customFormat="1">
      <c r="B161" s="870"/>
      <c r="C161" s="871"/>
      <c r="D161" s="873"/>
      <c r="E161" s="873"/>
    </row>
    <row r="162" spans="2:9" s="869" customFormat="1">
      <c r="B162" s="870"/>
      <c r="C162" s="871"/>
      <c r="D162" s="873"/>
      <c r="E162" s="873"/>
    </row>
    <row r="163" spans="2:9" s="869" customFormat="1">
      <c r="B163" s="870"/>
      <c r="C163" s="871"/>
      <c r="D163" s="873"/>
      <c r="E163" s="873"/>
    </row>
    <row r="164" spans="2:9" s="869" customFormat="1">
      <c r="B164" s="870"/>
      <c r="C164" s="871"/>
      <c r="D164" s="873"/>
      <c r="E164" s="873"/>
    </row>
    <row r="165" spans="2:9" s="869" customFormat="1">
      <c r="B165" s="870"/>
      <c r="C165" s="871"/>
      <c r="D165" s="873"/>
      <c r="E165" s="873"/>
    </row>
    <row r="166" spans="2:9" s="869" customFormat="1">
      <c r="B166" s="870"/>
      <c r="C166" s="871"/>
      <c r="D166" s="873"/>
      <c r="E166" s="873"/>
    </row>
    <row r="167" spans="2:9" s="869" customFormat="1">
      <c r="B167" s="870"/>
      <c r="C167" s="871"/>
      <c r="D167" s="873"/>
      <c r="E167" s="873"/>
    </row>
    <row r="168" spans="2:9" s="869" customFormat="1">
      <c r="B168" s="870"/>
      <c r="C168" s="871"/>
      <c r="D168" s="873"/>
      <c r="E168" s="873"/>
    </row>
    <row r="169" spans="2:9" s="869" customFormat="1">
      <c r="B169" s="870"/>
      <c r="C169" s="871"/>
      <c r="D169" s="873"/>
      <c r="E169" s="873"/>
    </row>
    <row r="170" spans="2:9" s="869" customFormat="1">
      <c r="B170" s="870"/>
      <c r="C170" s="871"/>
      <c r="D170" s="873"/>
      <c r="E170" s="873"/>
    </row>
    <row r="171" spans="2:9" s="869" customFormat="1">
      <c r="B171" s="870"/>
      <c r="C171" s="871"/>
      <c r="D171" s="873"/>
      <c r="E171" s="873"/>
    </row>
    <row r="172" spans="2:9" s="869" customFormat="1">
      <c r="B172" s="870"/>
      <c r="C172" s="871"/>
      <c r="D172" s="873"/>
      <c r="E172" s="873"/>
    </row>
    <row r="173" spans="2:9" s="869" customFormat="1">
      <c r="B173" s="870"/>
      <c r="C173" s="871"/>
      <c r="D173" s="873"/>
      <c r="E173" s="873"/>
      <c r="I173" s="869">
        <v>84182</v>
      </c>
    </row>
    <row r="174" spans="2:9" s="869" customFormat="1">
      <c r="B174" s="870"/>
      <c r="C174" s="871"/>
      <c r="D174" s="873"/>
      <c r="E174" s="873"/>
    </row>
    <row r="175" spans="2:9" s="869" customFormat="1">
      <c r="B175" s="870"/>
      <c r="C175" s="871"/>
      <c r="D175" s="873"/>
      <c r="E175" s="873"/>
    </row>
    <row r="176" spans="2:9" s="869" customFormat="1">
      <c r="B176" s="870"/>
      <c r="C176" s="871"/>
      <c r="D176" s="873"/>
      <c r="E176" s="873"/>
    </row>
    <row r="177" spans="2:5" s="869" customFormat="1">
      <c r="B177" s="870"/>
      <c r="C177" s="871"/>
      <c r="D177" s="873"/>
      <c r="E177" s="873"/>
    </row>
  </sheetData>
  <mergeCells count="8">
    <mergeCell ref="D19:D21"/>
    <mergeCell ref="D22:D23"/>
    <mergeCell ref="B25:D25"/>
    <mergeCell ref="A2:D2"/>
    <mergeCell ref="A3:D3"/>
    <mergeCell ref="D10:D12"/>
    <mergeCell ref="K13:L13"/>
    <mergeCell ref="D16:D18"/>
  </mergeCells>
  <hyperlinks>
    <hyperlink ref="A5" location="'List danh mục'!A1" display="STT"/>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214"/>
  <sheetViews>
    <sheetView topLeftCell="A43" workbookViewId="0">
      <selection activeCell="J58" sqref="J58"/>
    </sheetView>
  </sheetViews>
  <sheetFormatPr defaultColWidth="9" defaultRowHeight="15.6"/>
  <cols>
    <col min="1" max="1" width="5.5" style="923" customWidth="1"/>
    <col min="2" max="2" width="81.09765625" style="923" customWidth="1"/>
    <col min="3" max="3" width="7.19921875" style="923" customWidth="1"/>
    <col min="4" max="4" width="11.5" style="923" customWidth="1"/>
    <col min="5" max="5" width="7.5" style="923" customWidth="1"/>
    <col min="6" max="6" width="12.5" style="923" customWidth="1"/>
    <col min="7" max="7" width="9.8984375" style="923" customWidth="1"/>
    <col min="8" max="8" width="12" style="923" customWidth="1"/>
    <col min="9" max="9" width="9.5" style="923" customWidth="1"/>
    <col min="10" max="16384" width="9" style="923"/>
  </cols>
  <sheetData>
    <row r="1" spans="1:9" ht="38.4" customHeight="1">
      <c r="A1" s="4387" t="s">
        <v>1079</v>
      </c>
      <c r="B1" s="4388"/>
      <c r="C1" s="4388"/>
      <c r="D1" s="4388"/>
      <c r="E1" s="4388"/>
      <c r="F1" s="4388"/>
      <c r="G1" s="4388"/>
      <c r="H1" s="4388"/>
      <c r="I1" s="4388"/>
    </row>
    <row r="2" spans="1:9" s="924" customFormat="1">
      <c r="A2" s="4389" t="s">
        <v>790</v>
      </c>
      <c r="B2" s="4389"/>
      <c r="C2" s="4389"/>
      <c r="D2" s="4389"/>
      <c r="E2" s="4389"/>
      <c r="F2" s="4389"/>
      <c r="G2" s="4389"/>
      <c r="H2" s="4389"/>
      <c r="I2" s="4389"/>
    </row>
    <row r="3" spans="1:9">
      <c r="A3" s="925"/>
      <c r="B3" s="925"/>
      <c r="C3" s="925"/>
      <c r="D3" s="925"/>
      <c r="E3" s="925"/>
      <c r="F3" s="925"/>
      <c r="G3" s="925"/>
      <c r="H3" s="925"/>
      <c r="I3" s="925"/>
    </row>
    <row r="4" spans="1:9" s="927" customFormat="1" ht="15" thickBot="1">
      <c r="A4" s="926"/>
      <c r="B4" s="926"/>
      <c r="C4" s="926"/>
      <c r="D4" s="926"/>
      <c r="E4" s="926"/>
      <c r="F4" s="926"/>
      <c r="G4" s="4390" t="s">
        <v>1080</v>
      </c>
      <c r="H4" s="4390"/>
      <c r="I4" s="4390"/>
    </row>
    <row r="5" spans="1:9" s="928" customFormat="1" ht="35.25" customHeight="1">
      <c r="A5" s="4319" t="s">
        <v>244</v>
      </c>
      <c r="B5" s="4391" t="s">
        <v>326</v>
      </c>
      <c r="C5" s="4391" t="s">
        <v>1081</v>
      </c>
      <c r="D5" s="4391" t="s">
        <v>1082</v>
      </c>
      <c r="E5" s="4392" t="s">
        <v>336</v>
      </c>
      <c r="F5" s="4392"/>
      <c r="G5" s="4392"/>
      <c r="H5" s="4391" t="s">
        <v>1083</v>
      </c>
      <c r="I5" s="4393"/>
    </row>
    <row r="6" spans="1:9" s="928" customFormat="1">
      <c r="A6" s="4320"/>
      <c r="B6" s="4386"/>
      <c r="C6" s="4386"/>
      <c r="D6" s="4386"/>
      <c r="E6" s="4385" t="s">
        <v>1084</v>
      </c>
      <c r="F6" s="4385" t="s">
        <v>1085</v>
      </c>
      <c r="G6" s="4385" t="s">
        <v>1086</v>
      </c>
      <c r="H6" s="4386" t="s">
        <v>1087</v>
      </c>
      <c r="I6" s="4394" t="s">
        <v>1088</v>
      </c>
    </row>
    <row r="7" spans="1:9" s="928" customFormat="1" ht="51" customHeight="1">
      <c r="A7" s="4320"/>
      <c r="B7" s="4386"/>
      <c r="C7" s="4386"/>
      <c r="D7" s="4386"/>
      <c r="E7" s="4386"/>
      <c r="F7" s="4386"/>
      <c r="G7" s="4386"/>
      <c r="H7" s="4386"/>
      <c r="I7" s="4394"/>
    </row>
    <row r="8" spans="1:9" s="933" customFormat="1" ht="13.8" thickBot="1">
      <c r="A8" s="929">
        <v>1</v>
      </c>
      <c r="B8" s="930">
        <f t="shared" ref="B8:G8" si="0">A8+1</f>
        <v>2</v>
      </c>
      <c r="C8" s="930">
        <f t="shared" si="0"/>
        <v>3</v>
      </c>
      <c r="D8" s="930">
        <f t="shared" si="0"/>
        <v>4</v>
      </c>
      <c r="E8" s="930">
        <f t="shared" si="0"/>
        <v>5</v>
      </c>
      <c r="F8" s="930">
        <f t="shared" si="0"/>
        <v>6</v>
      </c>
      <c r="G8" s="930">
        <f t="shared" si="0"/>
        <v>7</v>
      </c>
      <c r="H8" s="931" t="s">
        <v>1089</v>
      </c>
      <c r="I8" s="932" t="s">
        <v>1090</v>
      </c>
    </row>
    <row r="9" spans="1:9" ht="16.2" thickBot="1">
      <c r="A9" s="934"/>
      <c r="B9" s="935" t="s">
        <v>1091</v>
      </c>
      <c r="C9" s="936">
        <v>1.49</v>
      </c>
      <c r="D9" s="937">
        <f>'[1]Xác định lại dự toán 2022-TW'!C7</f>
        <v>8593985.0258779023</v>
      </c>
      <c r="E9" s="937"/>
      <c r="F9" s="937"/>
      <c r="G9" s="937">
        <f>(SUM(G13,G43,G58,G108,G115,G121,G127,G137,G146,G155,G156,G172,G187,G189))</f>
        <v>8651414.4090575669</v>
      </c>
      <c r="H9" s="937">
        <f>G9-D9</f>
        <v>57429.383179664612</v>
      </c>
      <c r="I9" s="938">
        <f>G9/D9%</f>
        <v>100.66825091045347</v>
      </c>
    </row>
    <row r="10" spans="1:9">
      <c r="A10" s="939"/>
      <c r="B10" s="940" t="s">
        <v>1092</v>
      </c>
      <c r="C10" s="941"/>
      <c r="D10" s="942"/>
      <c r="E10" s="942"/>
      <c r="F10" s="942"/>
      <c r="G10" s="942">
        <f>SUM(G13,G43,G58,G108,G115,G121,G127,G137,G146,G155,G156,G172,G187)</f>
        <v>8651414.4090575669</v>
      </c>
      <c r="H10" s="942"/>
      <c r="I10" s="938">
        <f>G10/D9%</f>
        <v>100.66825091045347</v>
      </c>
    </row>
    <row r="11" spans="1:9">
      <c r="A11" s="939"/>
      <c r="B11" s="943" t="s">
        <v>1093</v>
      </c>
      <c r="C11" s="941"/>
      <c r="D11" s="942"/>
      <c r="E11" s="942"/>
      <c r="F11" s="942"/>
      <c r="G11" s="944">
        <f>G9-G10</f>
        <v>0</v>
      </c>
      <c r="H11" s="942"/>
      <c r="I11" s="945"/>
    </row>
    <row r="12" spans="1:9">
      <c r="A12" s="946"/>
      <c r="B12" s="947" t="s">
        <v>1094</v>
      </c>
      <c r="C12" s="948"/>
      <c r="D12" s="949">
        <f>D9-D13-D155</f>
        <v>4813812.7888039034</v>
      </c>
      <c r="E12" s="949"/>
      <c r="F12" s="949"/>
      <c r="G12" s="949">
        <f>G10-G13-G155</f>
        <v>4534131.1036073826</v>
      </c>
      <c r="H12" s="949">
        <f>G12-D12</f>
        <v>-279681.68519652076</v>
      </c>
      <c r="I12" s="950">
        <f>G12/D12%</f>
        <v>94.190017404768795</v>
      </c>
    </row>
    <row r="13" spans="1:9" s="954" customFormat="1">
      <c r="A13" s="951">
        <v>1</v>
      </c>
      <c r="B13" s="952" t="s">
        <v>1095</v>
      </c>
      <c r="C13" s="953"/>
      <c r="D13" s="949">
        <f>'[1]Xác định lại dự toán 2022-TW'!C8</f>
        <v>3753146.2370739989</v>
      </c>
      <c r="E13" s="949"/>
      <c r="F13" s="949"/>
      <c r="G13" s="949">
        <f>SUM(G14,G37)</f>
        <v>4090257.3054501838</v>
      </c>
      <c r="H13" s="949">
        <f>G13-D13</f>
        <v>337111.06837618491</v>
      </c>
      <c r="I13" s="950">
        <f>IF(D13=0,0,G13/D13*100)</f>
        <v>108.98209254534672</v>
      </c>
    </row>
    <row r="14" spans="1:9" s="954" customFormat="1">
      <c r="A14" s="951" t="s">
        <v>1096</v>
      </c>
      <c r="B14" s="952" t="s">
        <v>1097</v>
      </c>
      <c r="C14" s="955"/>
      <c r="D14" s="949"/>
      <c r="E14" s="949"/>
      <c r="F14" s="949"/>
      <c r="G14" s="949">
        <f>SUM(G15,G20,G30)</f>
        <v>3896536.4327301839</v>
      </c>
      <c r="H14" s="949">
        <f>G14-D14</f>
        <v>3896536.4327301839</v>
      </c>
      <c r="I14" s="950">
        <f>IF(D14=0,0,G14/D14*100)</f>
        <v>0</v>
      </c>
    </row>
    <row r="15" spans="1:9" s="924" customFormat="1">
      <c r="A15" s="956" t="s">
        <v>34</v>
      </c>
      <c r="B15" s="957" t="s">
        <v>1098</v>
      </c>
      <c r="C15" s="953"/>
      <c r="D15" s="958"/>
      <c r="E15" s="958">
        <f>SUM(E16:E18)</f>
        <v>404112</v>
      </c>
      <c r="F15" s="953"/>
      <c r="G15" s="958">
        <f>SUM(G16:G19)</f>
        <v>1597559.4802050001</v>
      </c>
      <c r="H15" s="958"/>
      <c r="I15" s="959"/>
    </row>
    <row r="16" spans="1:9">
      <c r="A16" s="960" t="s">
        <v>137</v>
      </c>
      <c r="B16" s="961" t="s">
        <v>908</v>
      </c>
      <c r="C16" s="953" t="s">
        <v>1099</v>
      </c>
      <c r="D16" s="962"/>
      <c r="E16" s="963">
        <v>76515</v>
      </c>
      <c r="F16" s="963">
        <v>3007400</v>
      </c>
      <c r="G16" s="963">
        <f>E16*F16*(100%+$G$193)/1000000</f>
        <v>264627.89264999999</v>
      </c>
      <c r="H16" s="962"/>
      <c r="I16" s="964"/>
    </row>
    <row r="17" spans="1:9">
      <c r="A17" s="960" t="s">
        <v>137</v>
      </c>
      <c r="B17" s="961" t="s">
        <v>909</v>
      </c>
      <c r="C17" s="953" t="s">
        <v>1099</v>
      </c>
      <c r="D17" s="962"/>
      <c r="E17" s="963">
        <v>327597</v>
      </c>
      <c r="F17" s="963">
        <v>3538100</v>
      </c>
      <c r="G17" s="963">
        <f>E17*F17*(100%+$G$193)/1000000</f>
        <v>1332931.5875550001</v>
      </c>
      <c r="H17" s="962"/>
      <c r="I17" s="964"/>
    </row>
    <row r="18" spans="1:9">
      <c r="A18" s="960" t="s">
        <v>137</v>
      </c>
      <c r="B18" s="961" t="s">
        <v>910</v>
      </c>
      <c r="C18" s="953" t="s">
        <v>1099</v>
      </c>
      <c r="D18" s="962"/>
      <c r="E18" s="963"/>
      <c r="F18" s="963">
        <v>4953300</v>
      </c>
      <c r="G18" s="963">
        <f>E18*F18*(100%+$G$193)/1000000</f>
        <v>0</v>
      </c>
      <c r="H18" s="962"/>
      <c r="I18" s="964"/>
    </row>
    <row r="19" spans="1:9">
      <c r="A19" s="960" t="s">
        <v>137</v>
      </c>
      <c r="B19" s="961" t="s">
        <v>911</v>
      </c>
      <c r="C19" s="953" t="s">
        <v>1099</v>
      </c>
      <c r="D19" s="962"/>
      <c r="E19" s="963">
        <v>0</v>
      </c>
      <c r="F19" s="963">
        <v>7076200</v>
      </c>
      <c r="G19" s="963">
        <f>E19*F19*(100%+$G$193)/1000000</f>
        <v>0</v>
      </c>
      <c r="H19" s="962"/>
      <c r="I19" s="964"/>
    </row>
    <row r="20" spans="1:9" s="924" customFormat="1">
      <c r="A20" s="956" t="s">
        <v>35</v>
      </c>
      <c r="B20" s="957" t="s">
        <v>1100</v>
      </c>
      <c r="C20" s="953"/>
      <c r="D20" s="958"/>
      <c r="E20" s="962"/>
      <c r="F20" s="958"/>
      <c r="G20" s="958">
        <f>IF(G29&gt;81%,(G21)/81%-G15,0)</f>
        <v>2229098.1125251837</v>
      </c>
      <c r="H20" s="958"/>
      <c r="I20" s="959"/>
    </row>
    <row r="21" spans="1:9" s="924" customFormat="1">
      <c r="A21" s="956" t="s">
        <v>1101</v>
      </c>
      <c r="B21" s="957" t="s">
        <v>1102</v>
      </c>
      <c r="C21" s="953"/>
      <c r="D21" s="958"/>
      <c r="E21" s="962"/>
      <c r="F21" s="958"/>
      <c r="G21" s="958">
        <f>SUM(G26,G27,G28)</f>
        <v>3099592.650111449</v>
      </c>
      <c r="H21" s="958"/>
      <c r="I21" s="959"/>
    </row>
    <row r="22" spans="1:9" s="924" customFormat="1">
      <c r="A22" s="956" t="s">
        <v>137</v>
      </c>
      <c r="B22" s="961" t="s">
        <v>1103</v>
      </c>
      <c r="C22" s="953" t="s">
        <v>716</v>
      </c>
      <c r="D22" s="958"/>
      <c r="E22" s="962">
        <v>22620</v>
      </c>
      <c r="F22" s="958"/>
      <c r="G22" s="962"/>
      <c r="H22" s="958"/>
      <c r="I22" s="959"/>
    </row>
    <row r="23" spans="1:9" s="924" customFormat="1">
      <c r="A23" s="956" t="s">
        <v>137</v>
      </c>
      <c r="B23" s="961" t="s">
        <v>1104</v>
      </c>
      <c r="C23" s="953" t="s">
        <v>716</v>
      </c>
      <c r="D23" s="958"/>
      <c r="E23" s="962">
        <v>22254</v>
      </c>
      <c r="F23" s="958"/>
      <c r="G23" s="962"/>
      <c r="H23" s="958"/>
      <c r="I23" s="959"/>
    </row>
    <row r="24" spans="1:9" s="924" customFormat="1">
      <c r="A24" s="956" t="s">
        <v>137</v>
      </c>
      <c r="B24" s="961" t="s">
        <v>1105</v>
      </c>
      <c r="C24" s="953" t="s">
        <v>716</v>
      </c>
      <c r="D24" s="958"/>
      <c r="E24" s="962">
        <f>E22-E23</f>
        <v>366</v>
      </c>
      <c r="F24" s="958"/>
      <c r="G24" s="962"/>
      <c r="H24" s="958"/>
      <c r="I24" s="959"/>
    </row>
    <row r="25" spans="1:9" s="924" customFormat="1">
      <c r="A25" s="956" t="s">
        <v>137</v>
      </c>
      <c r="B25" s="961" t="s">
        <v>1106</v>
      </c>
      <c r="C25" s="953" t="s">
        <v>1107</v>
      </c>
      <c r="D25" s="958"/>
      <c r="E25" s="965">
        <v>2.34</v>
      </c>
      <c r="F25" s="958"/>
      <c r="G25" s="962"/>
      <c r="H25" s="958"/>
      <c r="I25" s="959"/>
    </row>
    <row r="26" spans="1:9" s="924" customFormat="1">
      <c r="A26" s="956" t="s">
        <v>137</v>
      </c>
      <c r="B26" s="961" t="s">
        <v>1108</v>
      </c>
      <c r="C26" s="953" t="s">
        <v>1107</v>
      </c>
      <c r="D26" s="958"/>
      <c r="E26" s="965">
        <v>3.96</v>
      </c>
      <c r="F26" s="958"/>
      <c r="G26" s="962">
        <f>$C$9*12*E26*E23+$C$9*12*E24*E25</f>
        <v>1591003.1664</v>
      </c>
      <c r="H26" s="958"/>
      <c r="I26" s="959"/>
    </row>
    <row r="27" spans="1:9" s="924" customFormat="1">
      <c r="A27" s="956" t="s">
        <v>137</v>
      </c>
      <c r="B27" s="961" t="s">
        <v>1109</v>
      </c>
      <c r="C27" s="953" t="s">
        <v>1107</v>
      </c>
      <c r="D27" s="958"/>
      <c r="E27" s="966">
        <v>2.58</v>
      </c>
      <c r="F27" s="958"/>
      <c r="G27" s="962">
        <f>E27/E26*G26</f>
        <v>1036562.6690181817</v>
      </c>
      <c r="H27" s="958"/>
      <c r="I27" s="959"/>
    </row>
    <row r="28" spans="1:9" s="924" customFormat="1">
      <c r="A28" s="956" t="s">
        <v>137</v>
      </c>
      <c r="B28" s="961" t="s">
        <v>1110</v>
      </c>
      <c r="C28" s="953" t="s">
        <v>1107</v>
      </c>
      <c r="D28" s="958"/>
      <c r="E28" s="966">
        <v>17.964414376629438</v>
      </c>
      <c r="F28" s="958"/>
      <c r="G28" s="962">
        <f>(G26+G27)*E28/100</f>
        <v>472026.81469326722</v>
      </c>
      <c r="H28" s="958"/>
      <c r="I28" s="959"/>
    </row>
    <row r="29" spans="1:9" s="968" customFormat="1">
      <c r="A29" s="956" t="s">
        <v>1111</v>
      </c>
      <c r="B29" s="957" t="s">
        <v>1112</v>
      </c>
      <c r="C29" s="953" t="s">
        <v>695</v>
      </c>
      <c r="D29" s="962"/>
      <c r="E29" s="962"/>
      <c r="F29" s="962"/>
      <c r="G29" s="967">
        <f>(G21)/G15</f>
        <v>1.9402048490324171</v>
      </c>
      <c r="H29" s="962"/>
      <c r="I29" s="964"/>
    </row>
    <row r="30" spans="1:9" s="969" customFormat="1">
      <c r="A30" s="956" t="s">
        <v>36</v>
      </c>
      <c r="B30" s="957" t="s">
        <v>1113</v>
      </c>
      <c r="C30" s="955"/>
      <c r="D30" s="958"/>
      <c r="E30" s="958"/>
      <c r="F30" s="958"/>
      <c r="G30" s="958">
        <f>SUM(G31,G34,G35,G36)</f>
        <v>69878.84</v>
      </c>
      <c r="H30" s="958"/>
      <c r="I30" s="959"/>
    </row>
    <row r="31" spans="1:9" s="968" customFormat="1" ht="26.4">
      <c r="A31" s="960" t="s">
        <v>1114</v>
      </c>
      <c r="B31" s="961" t="s">
        <v>1115</v>
      </c>
      <c r="C31" s="953"/>
      <c r="D31" s="962"/>
      <c r="E31" s="963"/>
      <c r="F31" s="963"/>
      <c r="G31" s="962">
        <f>SUM(G32:G33)</f>
        <v>21471.84</v>
      </c>
      <c r="H31" s="962"/>
      <c r="I31" s="964"/>
    </row>
    <row r="32" spans="1:9" s="968" customFormat="1">
      <c r="A32" s="960" t="s">
        <v>137</v>
      </c>
      <c r="B32" s="961" t="s">
        <v>1116</v>
      </c>
      <c r="C32" s="953" t="s">
        <v>716</v>
      </c>
      <c r="D32" s="962"/>
      <c r="E32" s="963">
        <v>14911</v>
      </c>
      <c r="F32" s="963">
        <f>1.44*1000000</f>
        <v>1440000</v>
      </c>
      <c r="G32" s="962">
        <f>E32*F32/1000000</f>
        <v>21471.84</v>
      </c>
      <c r="H32" s="962"/>
      <c r="I32" s="964"/>
    </row>
    <row r="33" spans="1:9" s="968" customFormat="1">
      <c r="A33" s="960" t="s">
        <v>137</v>
      </c>
      <c r="B33" s="961" t="s">
        <v>1117</v>
      </c>
      <c r="C33" s="953" t="s">
        <v>716</v>
      </c>
      <c r="D33" s="962"/>
      <c r="E33" s="963"/>
      <c r="F33" s="963">
        <f>4.05*1000000</f>
        <v>4050000</v>
      </c>
      <c r="G33" s="962"/>
      <c r="H33" s="962"/>
      <c r="I33" s="964"/>
    </row>
    <row r="34" spans="1:9" s="968" customFormat="1" ht="39.6">
      <c r="A34" s="960" t="s">
        <v>1118</v>
      </c>
      <c r="B34" s="961" t="s">
        <v>1119</v>
      </c>
      <c r="C34" s="953"/>
      <c r="D34" s="962"/>
      <c r="E34" s="963">
        <f>349</f>
        <v>349</v>
      </c>
      <c r="F34" s="963">
        <f>11.728*1000000</f>
        <v>11728000</v>
      </c>
      <c r="G34" s="962">
        <f>3989</f>
        <v>3989</v>
      </c>
      <c r="H34" s="962"/>
      <c r="I34" s="964"/>
    </row>
    <row r="35" spans="1:9" s="968" customFormat="1" ht="26.4">
      <c r="A35" s="960" t="s">
        <v>1120</v>
      </c>
      <c r="B35" s="961" t="s">
        <v>1121</v>
      </c>
      <c r="C35" s="953"/>
      <c r="D35" s="962"/>
      <c r="E35" s="963"/>
      <c r="F35" s="963"/>
      <c r="G35" s="962"/>
      <c r="H35" s="962"/>
      <c r="I35" s="964"/>
    </row>
    <row r="36" spans="1:9" s="968" customFormat="1" ht="39.6">
      <c r="A36" s="960" t="s">
        <v>1122</v>
      </c>
      <c r="B36" s="961" t="s">
        <v>1123</v>
      </c>
      <c r="C36" s="953"/>
      <c r="D36" s="962"/>
      <c r="E36" s="963">
        <v>107354</v>
      </c>
      <c r="F36" s="963"/>
      <c r="G36" s="962">
        <v>44418</v>
      </c>
      <c r="H36" s="962"/>
      <c r="I36" s="964"/>
    </row>
    <row r="37" spans="1:9" s="970" customFormat="1">
      <c r="A37" s="951" t="s">
        <v>1124</v>
      </c>
      <c r="B37" s="952" t="s">
        <v>1125</v>
      </c>
      <c r="C37" s="955"/>
      <c r="D37" s="949"/>
      <c r="E37" s="949"/>
      <c r="F37" s="953"/>
      <c r="G37" s="949">
        <f>SUM(G38)</f>
        <v>193720.87271999998</v>
      </c>
      <c r="H37" s="949">
        <f>G37-D37</f>
        <v>193720.87271999998</v>
      </c>
      <c r="I37" s="950">
        <f>IF(D37=0,0,G37/D37*100)</f>
        <v>0</v>
      </c>
    </row>
    <row r="38" spans="1:9" s="954" customFormat="1">
      <c r="A38" s="951"/>
      <c r="B38" s="952" t="s">
        <v>1126</v>
      </c>
      <c r="C38" s="948"/>
      <c r="D38" s="949"/>
      <c r="E38" s="949">
        <f>SUM(E39:E42)</f>
        <v>1196463</v>
      </c>
      <c r="F38" s="948"/>
      <c r="G38" s="949">
        <f>SUM(G39:G42)</f>
        <v>193720.87271999998</v>
      </c>
      <c r="H38" s="949"/>
      <c r="I38" s="950"/>
    </row>
    <row r="39" spans="1:9">
      <c r="A39" s="960" t="s">
        <v>137</v>
      </c>
      <c r="B39" s="961" t="s">
        <v>908</v>
      </c>
      <c r="C39" s="953" t="s">
        <v>1099</v>
      </c>
      <c r="D39" s="962"/>
      <c r="E39" s="963">
        <f>E45-E16</f>
        <v>226539</v>
      </c>
      <c r="F39" s="963">
        <v>129200</v>
      </c>
      <c r="G39" s="963">
        <f>E39*F39*(100%+$G$193)/1000000</f>
        <v>33659.164619999996</v>
      </c>
      <c r="H39" s="962"/>
      <c r="I39" s="964"/>
    </row>
    <row r="40" spans="1:9">
      <c r="A40" s="960" t="s">
        <v>137</v>
      </c>
      <c r="B40" s="961" t="s">
        <v>909</v>
      </c>
      <c r="C40" s="953" t="s">
        <v>1099</v>
      </c>
      <c r="D40" s="962"/>
      <c r="E40" s="963">
        <f>E46-E17</f>
        <v>969924</v>
      </c>
      <c r="F40" s="963">
        <v>143500</v>
      </c>
      <c r="G40" s="963">
        <f>E40*F40*(100%+$G$193)/1000000</f>
        <v>160061.70809999999</v>
      </c>
      <c r="H40" s="962"/>
      <c r="I40" s="964"/>
    </row>
    <row r="41" spans="1:9">
      <c r="A41" s="960" t="s">
        <v>137</v>
      </c>
      <c r="B41" s="961" t="s">
        <v>910</v>
      </c>
      <c r="C41" s="953" t="s">
        <v>1099</v>
      </c>
      <c r="D41" s="962"/>
      <c r="E41" s="963">
        <f>E47-E18</f>
        <v>0</v>
      </c>
      <c r="F41" s="963">
        <v>200900</v>
      </c>
      <c r="G41" s="963">
        <f>E41*F41*(100%+$G$193)/1000000</f>
        <v>0</v>
      </c>
      <c r="H41" s="962"/>
      <c r="I41" s="964"/>
    </row>
    <row r="42" spans="1:9">
      <c r="A42" s="960" t="s">
        <v>137</v>
      </c>
      <c r="B42" s="961" t="s">
        <v>911</v>
      </c>
      <c r="C42" s="953" t="s">
        <v>1099</v>
      </c>
      <c r="D42" s="962"/>
      <c r="E42" s="963">
        <f>E48-E19</f>
        <v>0</v>
      </c>
      <c r="F42" s="963">
        <v>287000</v>
      </c>
      <c r="G42" s="963">
        <f>E42*F42*(100%+$G$193)/1000000</f>
        <v>0</v>
      </c>
      <c r="H42" s="962"/>
      <c r="I42" s="964"/>
    </row>
    <row r="43" spans="1:9" s="954" customFormat="1">
      <c r="A43" s="951">
        <v>2</v>
      </c>
      <c r="B43" s="952" t="s">
        <v>574</v>
      </c>
      <c r="C43" s="953"/>
      <c r="D43" s="949"/>
      <c r="E43" s="949"/>
      <c r="F43" s="949"/>
      <c r="G43" s="949">
        <f>(SUM(G44,G49))</f>
        <v>760426.67794500012</v>
      </c>
      <c r="H43" s="949"/>
      <c r="I43" s="950"/>
    </row>
    <row r="44" spans="1:9" s="970" customFormat="1">
      <c r="A44" s="956" t="s">
        <v>236</v>
      </c>
      <c r="B44" s="957" t="s">
        <v>1127</v>
      </c>
      <c r="C44" s="953"/>
      <c r="D44" s="971"/>
      <c r="E44" s="971">
        <f>SUM(E45:E48)</f>
        <v>1600575</v>
      </c>
      <c r="F44" s="953"/>
      <c r="G44" s="958">
        <f>SUM(G45:G48)</f>
        <v>432084.78580499999</v>
      </c>
      <c r="H44" s="971"/>
      <c r="I44" s="972"/>
    </row>
    <row r="45" spans="1:9">
      <c r="A45" s="960" t="s">
        <v>137</v>
      </c>
      <c r="B45" s="961" t="s">
        <v>908</v>
      </c>
      <c r="C45" s="953" t="s">
        <v>1099</v>
      </c>
      <c r="D45" s="962"/>
      <c r="E45" s="963">
        <v>303054</v>
      </c>
      <c r="F45" s="963">
        <v>182700</v>
      </c>
      <c r="G45" s="963">
        <f>E45*F45*(100%+$G$193)/1000000</f>
        <v>63673.16066999999</v>
      </c>
      <c r="H45" s="962"/>
      <c r="I45" s="964"/>
    </row>
    <row r="46" spans="1:9">
      <c r="A46" s="960" t="s">
        <v>137</v>
      </c>
      <c r="B46" s="961" t="s">
        <v>909</v>
      </c>
      <c r="C46" s="953" t="s">
        <v>1099</v>
      </c>
      <c r="D46" s="962"/>
      <c r="E46" s="963">
        <v>1297521</v>
      </c>
      <c r="F46" s="963">
        <v>246900</v>
      </c>
      <c r="G46" s="963">
        <f>E46*F46*(100%+$G$193)/1000000</f>
        <v>368411.62513499998</v>
      </c>
      <c r="H46" s="962"/>
      <c r="I46" s="964"/>
    </row>
    <row r="47" spans="1:9">
      <c r="A47" s="960" t="s">
        <v>137</v>
      </c>
      <c r="B47" s="961" t="s">
        <v>910</v>
      </c>
      <c r="C47" s="953" t="s">
        <v>1099</v>
      </c>
      <c r="D47" s="962"/>
      <c r="E47" s="963"/>
      <c r="F47" s="963">
        <v>333300</v>
      </c>
      <c r="G47" s="963">
        <f>E47*F47*(100%+$G$193)/1000000</f>
        <v>0</v>
      </c>
      <c r="H47" s="962"/>
      <c r="I47" s="964"/>
    </row>
    <row r="48" spans="1:9">
      <c r="A48" s="960" t="s">
        <v>137</v>
      </c>
      <c r="B48" s="961" t="s">
        <v>911</v>
      </c>
      <c r="C48" s="953" t="s">
        <v>1099</v>
      </c>
      <c r="D48" s="962"/>
      <c r="E48" s="963">
        <f>1600575-E45-E46-E47</f>
        <v>0</v>
      </c>
      <c r="F48" s="963">
        <v>469100</v>
      </c>
      <c r="G48" s="963">
        <f>E48*F48*(100%+$G$193)/1000000</f>
        <v>0</v>
      </c>
      <c r="H48" s="962"/>
      <c r="I48" s="964"/>
    </row>
    <row r="49" spans="1:9" s="924" customFormat="1">
      <c r="A49" s="956" t="s">
        <v>237</v>
      </c>
      <c r="B49" s="957" t="s">
        <v>1113</v>
      </c>
      <c r="C49" s="955"/>
      <c r="D49" s="958"/>
      <c r="E49" s="973"/>
      <c r="F49" s="973"/>
      <c r="G49" s="973">
        <f>SUM(G50:G57)</f>
        <v>328341.89214000007</v>
      </c>
      <c r="H49" s="958"/>
      <c r="I49" s="959"/>
    </row>
    <row r="50" spans="1:9">
      <c r="A50" s="960" t="s">
        <v>1128</v>
      </c>
      <c r="B50" s="961" t="s">
        <v>1129</v>
      </c>
      <c r="C50" s="953" t="s">
        <v>1099</v>
      </c>
      <c r="D50" s="962"/>
      <c r="E50" s="963">
        <v>156326</v>
      </c>
      <c r="F50" s="974">
        <f>(4.5%*$C$9)*12</f>
        <v>0.80459999999999998</v>
      </c>
      <c r="G50" s="963">
        <f t="shared" ref="G50:G57" si="1">E50*F50</f>
        <v>125779.8996</v>
      </c>
      <c r="H50" s="962"/>
      <c r="I50" s="964"/>
    </row>
    <row r="51" spans="1:9">
      <c r="A51" s="960" t="s">
        <v>1130</v>
      </c>
      <c r="B51" s="961" t="s">
        <v>1131</v>
      </c>
      <c r="C51" s="953" t="s">
        <v>1099</v>
      </c>
      <c r="D51" s="962"/>
      <c r="E51" s="963">
        <v>37961</v>
      </c>
      <c r="F51" s="974">
        <f>(4.5%*$C$9)*12</f>
        <v>0.80459999999999998</v>
      </c>
      <c r="G51" s="963">
        <f t="shared" si="1"/>
        <v>30543.420599999998</v>
      </c>
      <c r="H51" s="962"/>
      <c r="I51" s="964"/>
    </row>
    <row r="52" spans="1:9">
      <c r="A52" s="960" t="s">
        <v>1132</v>
      </c>
      <c r="B52" s="961" t="s">
        <v>1133</v>
      </c>
      <c r="C52" s="953" t="s">
        <v>1099</v>
      </c>
      <c r="D52" s="962"/>
      <c r="E52" s="963">
        <v>79550</v>
      </c>
      <c r="F52" s="974">
        <f>(4.5%*$C$9)*12*(70%)</f>
        <v>0.56321999999999994</v>
      </c>
      <c r="G52" s="963">
        <f t="shared" si="1"/>
        <v>44804.150999999998</v>
      </c>
      <c r="H52" s="962"/>
      <c r="I52" s="964"/>
    </row>
    <row r="53" spans="1:9" ht="26.4">
      <c r="A53" s="960" t="s">
        <v>1134</v>
      </c>
      <c r="B53" s="961" t="s">
        <v>1135</v>
      </c>
      <c r="C53" s="953"/>
      <c r="D53" s="962"/>
      <c r="E53" s="963">
        <v>8314</v>
      </c>
      <c r="F53" s="974">
        <f>(4.5%*$C$9)*12*30%</f>
        <v>0.24137999999999998</v>
      </c>
      <c r="G53" s="963">
        <f t="shared" si="1"/>
        <v>2006.83332</v>
      </c>
      <c r="H53" s="962"/>
      <c r="I53" s="964"/>
    </row>
    <row r="54" spans="1:9">
      <c r="A54" s="960" t="s">
        <v>1136</v>
      </c>
      <c r="B54" s="961" t="s">
        <v>1137</v>
      </c>
      <c r="C54" s="953"/>
      <c r="D54" s="962"/>
      <c r="E54" s="963">
        <v>49</v>
      </c>
      <c r="F54" s="974">
        <f>(4.5%*$C$9)*12</f>
        <v>0.80459999999999998</v>
      </c>
      <c r="G54" s="963">
        <f t="shared" si="1"/>
        <v>39.425399999999996</v>
      </c>
      <c r="H54" s="962"/>
      <c r="I54" s="964"/>
    </row>
    <row r="55" spans="1:9" ht="26.4">
      <c r="A55" s="960" t="s">
        <v>1138</v>
      </c>
      <c r="B55" s="961" t="s">
        <v>1139</v>
      </c>
      <c r="C55" s="953"/>
      <c r="D55" s="962"/>
      <c r="E55" s="963">
        <v>58743</v>
      </c>
      <c r="F55" s="974">
        <f>(4.5%*$C$9)*12</f>
        <v>0.80459999999999998</v>
      </c>
      <c r="G55" s="963">
        <f t="shared" si="1"/>
        <v>47264.6178</v>
      </c>
      <c r="H55" s="962"/>
      <c r="I55" s="964"/>
    </row>
    <row r="56" spans="1:9">
      <c r="A56" s="960" t="s">
        <v>1140</v>
      </c>
      <c r="B56" s="961" t="s">
        <v>1141</v>
      </c>
      <c r="C56" s="953"/>
      <c r="D56" s="962"/>
      <c r="E56" s="962">
        <v>266509</v>
      </c>
      <c r="F56" s="974">
        <f>(4.5%*$C$9)*12*30%</f>
        <v>0.24137999999999998</v>
      </c>
      <c r="G56" s="963">
        <f t="shared" si="1"/>
        <v>64329.942419999992</v>
      </c>
      <c r="H56" s="962"/>
      <c r="I56" s="964"/>
    </row>
    <row r="57" spans="1:9" ht="39.6">
      <c r="A57" s="960" t="s">
        <v>1142</v>
      </c>
      <c r="B57" s="961" t="s">
        <v>1143</v>
      </c>
      <c r="C57" s="953"/>
      <c r="D57" s="962"/>
      <c r="E57" s="962">
        <v>16870</v>
      </c>
      <c r="F57" s="974">
        <f>(4.5%*$C$9)*12</f>
        <v>0.80459999999999998</v>
      </c>
      <c r="G57" s="963">
        <f t="shared" si="1"/>
        <v>13573.601999999999</v>
      </c>
      <c r="H57" s="962"/>
      <c r="I57" s="964"/>
    </row>
    <row r="58" spans="1:9" s="954" customFormat="1">
      <c r="A58" s="951">
        <v>3</v>
      </c>
      <c r="B58" s="975" t="s">
        <v>579</v>
      </c>
      <c r="C58" s="953"/>
      <c r="D58" s="949"/>
      <c r="E58" s="949"/>
      <c r="F58" s="949"/>
      <c r="G58" s="949">
        <f>(SUM(G59,G71,G106))</f>
        <v>1200511.5575907528</v>
      </c>
      <c r="H58" s="949"/>
      <c r="I58" s="950"/>
    </row>
    <row r="59" spans="1:9" s="954" customFormat="1">
      <c r="A59" s="956" t="s">
        <v>380</v>
      </c>
      <c r="B59" s="975" t="s">
        <v>1144</v>
      </c>
      <c r="C59" s="953"/>
      <c r="D59" s="949"/>
      <c r="E59" s="949"/>
      <c r="F59" s="949"/>
      <c r="G59" s="949">
        <f>SUM(G60,G65,G68)</f>
        <v>256987.90534999996</v>
      </c>
      <c r="H59" s="949"/>
      <c r="I59" s="950"/>
    </row>
    <row r="60" spans="1:9" s="970" customFormat="1">
      <c r="A60" s="956" t="s">
        <v>34</v>
      </c>
      <c r="B60" s="957" t="s">
        <v>1127</v>
      </c>
      <c r="C60" s="953"/>
      <c r="D60" s="971"/>
      <c r="E60" s="971">
        <f>SUM(E61:E64)</f>
        <v>1600575</v>
      </c>
      <c r="F60" s="953"/>
      <c r="G60" s="958">
        <f>SUM(G61:G64)</f>
        <v>126887.90534999997</v>
      </c>
      <c r="H60" s="971"/>
      <c r="I60" s="972"/>
    </row>
    <row r="61" spans="1:9">
      <c r="A61" s="960" t="s">
        <v>137</v>
      </c>
      <c r="B61" s="961" t="s">
        <v>908</v>
      </c>
      <c r="C61" s="953" t="s">
        <v>1099</v>
      </c>
      <c r="D61" s="962"/>
      <c r="E61" s="963">
        <f>$E$45</f>
        <v>303054</v>
      </c>
      <c r="F61" s="963">
        <v>73800</v>
      </c>
      <c r="G61" s="963">
        <f>E61*F61*(100%+$G$193)/1000000</f>
        <v>25720.192979999996</v>
      </c>
      <c r="H61" s="962"/>
      <c r="I61" s="964"/>
    </row>
    <row r="62" spans="1:9">
      <c r="A62" s="960" t="s">
        <v>137</v>
      </c>
      <c r="B62" s="961" t="s">
        <v>909</v>
      </c>
      <c r="C62" s="953" t="s">
        <v>1099</v>
      </c>
      <c r="D62" s="962"/>
      <c r="E62" s="963">
        <f>$E$46</f>
        <v>1297521</v>
      </c>
      <c r="F62" s="963">
        <v>67800</v>
      </c>
      <c r="G62" s="963">
        <f>E62*F62*(100%+$G$193)/1000000</f>
        <v>101167.71236999998</v>
      </c>
      <c r="H62" s="962"/>
      <c r="I62" s="964"/>
    </row>
    <row r="63" spans="1:9">
      <c r="A63" s="960" t="s">
        <v>137</v>
      </c>
      <c r="B63" s="961" t="s">
        <v>910</v>
      </c>
      <c r="C63" s="953" t="s">
        <v>1099</v>
      </c>
      <c r="D63" s="962"/>
      <c r="E63" s="963">
        <f>$E$47</f>
        <v>0</v>
      </c>
      <c r="F63" s="963">
        <v>100200</v>
      </c>
      <c r="G63" s="963">
        <f>E63*F63*(100%+$G$193)/1000000</f>
        <v>0</v>
      </c>
      <c r="H63" s="962"/>
      <c r="I63" s="964"/>
    </row>
    <row r="64" spans="1:9">
      <c r="A64" s="960" t="s">
        <v>137</v>
      </c>
      <c r="B64" s="961" t="s">
        <v>911</v>
      </c>
      <c r="C64" s="953" t="s">
        <v>1099</v>
      </c>
      <c r="D64" s="962"/>
      <c r="E64" s="963">
        <f>$E$48</f>
        <v>0</v>
      </c>
      <c r="F64" s="963">
        <v>121900</v>
      </c>
      <c r="G64" s="963">
        <f>E64*F64*(100%+$G$193)/1000000</f>
        <v>0</v>
      </c>
      <c r="H64" s="962"/>
      <c r="I64" s="964"/>
    </row>
    <row r="65" spans="1:9" s="970" customFormat="1">
      <c r="A65" s="956" t="s">
        <v>35</v>
      </c>
      <c r="B65" s="957" t="s">
        <v>1145</v>
      </c>
      <c r="C65" s="953"/>
      <c r="D65" s="971"/>
      <c r="E65" s="958">
        <f>SUM(E66:E67)</f>
        <v>12</v>
      </c>
      <c r="F65" s="953"/>
      <c r="G65" s="958">
        <f>SUM(G66:G67)</f>
        <v>30000</v>
      </c>
      <c r="H65" s="971"/>
      <c r="I65" s="972"/>
    </row>
    <row r="66" spans="1:9">
      <c r="A66" s="960" t="s">
        <v>137</v>
      </c>
      <c r="B66" s="976" t="s">
        <v>1146</v>
      </c>
      <c r="C66" s="953" t="s">
        <v>1147</v>
      </c>
      <c r="D66" s="962"/>
      <c r="E66" s="962">
        <v>0</v>
      </c>
      <c r="F66" s="962">
        <v>3000</v>
      </c>
      <c r="G66" s="963">
        <f>E66*F66</f>
        <v>0</v>
      </c>
      <c r="H66" s="962"/>
      <c r="I66" s="964"/>
    </row>
    <row r="67" spans="1:9">
      <c r="A67" s="960" t="s">
        <v>137</v>
      </c>
      <c r="B67" s="976" t="s">
        <v>1148</v>
      </c>
      <c r="C67" s="953" t="s">
        <v>1147</v>
      </c>
      <c r="D67" s="962"/>
      <c r="E67" s="962">
        <f>12-E66</f>
        <v>12</v>
      </c>
      <c r="F67" s="962">
        <v>2500</v>
      </c>
      <c r="G67" s="963">
        <f>E67*F67</f>
        <v>30000</v>
      </c>
      <c r="H67" s="962"/>
      <c r="I67" s="964"/>
    </row>
    <row r="68" spans="1:9">
      <c r="A68" s="956" t="s">
        <v>36</v>
      </c>
      <c r="B68" s="957" t="s">
        <v>1149</v>
      </c>
      <c r="C68" s="953"/>
      <c r="D68" s="962"/>
      <c r="E68" s="962">
        <f>SUM(E69:E70)</f>
        <v>143</v>
      </c>
      <c r="F68" s="953"/>
      <c r="G68" s="958">
        <f>SUM(G69:G70)</f>
        <v>100100</v>
      </c>
      <c r="H68" s="962"/>
      <c r="I68" s="964"/>
    </row>
    <row r="69" spans="1:9">
      <c r="A69" s="960" t="s">
        <v>137</v>
      </c>
      <c r="B69" s="976" t="s">
        <v>1146</v>
      </c>
      <c r="C69" s="953" t="s">
        <v>1147</v>
      </c>
      <c r="D69" s="962"/>
      <c r="E69" s="962">
        <v>0</v>
      </c>
      <c r="F69" s="962">
        <v>1200</v>
      </c>
      <c r="G69" s="963">
        <f>E69*F69</f>
        <v>0</v>
      </c>
      <c r="H69" s="962"/>
      <c r="I69" s="964"/>
    </row>
    <row r="70" spans="1:9">
      <c r="A70" s="960" t="s">
        <v>137</v>
      </c>
      <c r="B70" s="976" t="s">
        <v>1148</v>
      </c>
      <c r="C70" s="953" t="s">
        <v>1147</v>
      </c>
      <c r="D70" s="962"/>
      <c r="E70" s="962">
        <f>143-E69</f>
        <v>143</v>
      </c>
      <c r="F70" s="962">
        <v>700</v>
      </c>
      <c r="G70" s="963">
        <f>E70*F70</f>
        <v>100100</v>
      </c>
      <c r="H70" s="962"/>
      <c r="I70" s="964"/>
    </row>
    <row r="71" spans="1:9">
      <c r="A71" s="956" t="s">
        <v>381</v>
      </c>
      <c r="B71" s="957" t="s">
        <v>1150</v>
      </c>
      <c r="C71" s="953"/>
      <c r="D71" s="962"/>
      <c r="E71" s="962"/>
      <c r="F71" s="962"/>
      <c r="G71" s="977">
        <f>IF(G107&gt;75%,(G106/75%)-G59-G106,0)</f>
        <v>43139.984047688311</v>
      </c>
      <c r="H71" s="962"/>
      <c r="I71" s="964"/>
    </row>
    <row r="72" spans="1:9">
      <c r="A72" s="956" t="s">
        <v>34</v>
      </c>
      <c r="B72" s="957" t="s">
        <v>1151</v>
      </c>
      <c r="C72" s="953"/>
      <c r="D72" s="962"/>
      <c r="E72" s="962"/>
      <c r="F72" s="962"/>
      <c r="G72" s="958">
        <f>SUM(G77,G78,G79)</f>
        <v>476317.37486870796</v>
      </c>
      <c r="H72" s="962"/>
      <c r="I72" s="964"/>
    </row>
    <row r="73" spans="1:9">
      <c r="A73" s="956" t="s">
        <v>137</v>
      </c>
      <c r="B73" s="961" t="s">
        <v>1152</v>
      </c>
      <c r="C73" s="953" t="s">
        <v>716</v>
      </c>
      <c r="D73" s="962"/>
      <c r="E73" s="962">
        <v>3515</v>
      </c>
      <c r="F73" s="962"/>
      <c r="G73" s="958"/>
      <c r="H73" s="962"/>
      <c r="I73" s="964"/>
    </row>
    <row r="74" spans="1:9">
      <c r="A74" s="956" t="s">
        <v>137</v>
      </c>
      <c r="B74" s="961" t="s">
        <v>1104</v>
      </c>
      <c r="C74" s="953" t="s">
        <v>716</v>
      </c>
      <c r="D74" s="962"/>
      <c r="E74" s="962">
        <v>3515</v>
      </c>
      <c r="F74" s="962"/>
      <c r="G74" s="958"/>
      <c r="H74" s="962"/>
      <c r="I74" s="964"/>
    </row>
    <row r="75" spans="1:9">
      <c r="A75" s="956" t="s">
        <v>137</v>
      </c>
      <c r="B75" s="961" t="s">
        <v>1105</v>
      </c>
      <c r="C75" s="953" t="s">
        <v>716</v>
      </c>
      <c r="D75" s="958"/>
      <c r="E75" s="962">
        <f>E73-E74</f>
        <v>0</v>
      </c>
      <c r="F75" s="958"/>
      <c r="G75" s="962"/>
      <c r="H75" s="962"/>
      <c r="I75" s="964"/>
    </row>
    <row r="76" spans="1:9">
      <c r="A76" s="956" t="s">
        <v>137</v>
      </c>
      <c r="B76" s="961" t="s">
        <v>1153</v>
      </c>
      <c r="C76" s="953" t="s">
        <v>1107</v>
      </c>
      <c r="D76" s="958"/>
      <c r="E76" s="965">
        <v>2.34</v>
      </c>
      <c r="F76" s="958"/>
      <c r="G76" s="962"/>
      <c r="H76" s="962"/>
      <c r="I76" s="964"/>
    </row>
    <row r="77" spans="1:9">
      <c r="A77" s="960" t="s">
        <v>137</v>
      </c>
      <c r="B77" s="961" t="s">
        <v>1108</v>
      </c>
      <c r="C77" s="953" t="s">
        <v>1107</v>
      </c>
      <c r="D77" s="962"/>
      <c r="E77" s="965">
        <v>4.17</v>
      </c>
      <c r="F77" s="962"/>
      <c r="G77" s="962">
        <f>$C$9*12*E77*E74+$C$9*12*E75*E76</f>
        <v>262076.99399999995</v>
      </c>
      <c r="H77" s="962"/>
      <c r="I77" s="964"/>
    </row>
    <row r="78" spans="1:9">
      <c r="A78" s="960" t="s">
        <v>137</v>
      </c>
      <c r="B78" s="961" t="s">
        <v>1109</v>
      </c>
      <c r="C78" s="953" t="s">
        <v>1107</v>
      </c>
      <c r="D78" s="962"/>
      <c r="E78" s="965">
        <v>2.2799999999999998</v>
      </c>
      <c r="F78" s="962"/>
      <c r="G78" s="962">
        <f>E78/E77*G77</f>
        <v>143293.89599999995</v>
      </c>
      <c r="H78" s="962"/>
      <c r="I78" s="964"/>
    </row>
    <row r="79" spans="1:9">
      <c r="A79" s="960" t="s">
        <v>137</v>
      </c>
      <c r="B79" s="961" t="s">
        <v>1110</v>
      </c>
      <c r="C79" s="953" t="s">
        <v>1107</v>
      </c>
      <c r="D79" s="962"/>
      <c r="E79" s="965">
        <v>17.501622987459239</v>
      </c>
      <c r="F79" s="962"/>
      <c r="G79" s="962">
        <f>(G77+G78)*E79/100</f>
        <v>70946.484868708081</v>
      </c>
      <c r="H79" s="962"/>
      <c r="I79" s="964"/>
    </row>
    <row r="80" spans="1:9">
      <c r="A80" s="956" t="s">
        <v>35</v>
      </c>
      <c r="B80" s="957" t="s">
        <v>1154</v>
      </c>
      <c r="C80" s="953"/>
      <c r="D80" s="962"/>
      <c r="E80" s="962">
        <f>E81+E82+E83</f>
        <v>143</v>
      </c>
      <c r="F80" s="962"/>
      <c r="G80" s="958">
        <f>SUM(G85,G86,G87)</f>
        <v>291598.73732435663</v>
      </c>
      <c r="H80" s="962"/>
      <c r="I80" s="964"/>
    </row>
    <row r="81" spans="1:9">
      <c r="A81" s="960" t="s">
        <v>137</v>
      </c>
      <c r="B81" s="961" t="s">
        <v>1155</v>
      </c>
      <c r="C81" s="953" t="s">
        <v>1147</v>
      </c>
      <c r="D81" s="962"/>
      <c r="E81" s="962">
        <v>91</v>
      </c>
      <c r="F81" s="978">
        <f>286.08*1000000</f>
        <v>286080000</v>
      </c>
      <c r="G81" s="962">
        <f>E81*F81/1000000</f>
        <v>26033.279999999999</v>
      </c>
      <c r="H81" s="962"/>
      <c r="I81" s="964"/>
    </row>
    <row r="82" spans="1:9">
      <c r="A82" s="960" t="s">
        <v>137</v>
      </c>
      <c r="B82" s="961" t="s">
        <v>1156</v>
      </c>
      <c r="C82" s="953" t="s">
        <v>1147</v>
      </c>
      <c r="D82" s="962"/>
      <c r="E82" s="962">
        <v>49</v>
      </c>
      <c r="F82" s="978">
        <f>244.956*1000000</f>
        <v>244956000</v>
      </c>
      <c r="G82" s="962">
        <f>E82*F82/1000000</f>
        <v>12002.843999999999</v>
      </c>
      <c r="H82" s="962"/>
      <c r="I82" s="964"/>
    </row>
    <row r="83" spans="1:9">
      <c r="A83" s="960" t="s">
        <v>137</v>
      </c>
      <c r="B83" s="961" t="s">
        <v>1157</v>
      </c>
      <c r="C83" s="953" t="s">
        <v>1147</v>
      </c>
      <c r="D83" s="962"/>
      <c r="E83" s="962">
        <f>143-E81-E82</f>
        <v>3</v>
      </c>
      <c r="F83" s="978">
        <f>203.832*1000000</f>
        <v>203832000</v>
      </c>
      <c r="G83" s="962">
        <f>E83*F83/1000000</f>
        <v>611.49599999999998</v>
      </c>
      <c r="H83" s="962"/>
      <c r="I83" s="964"/>
    </row>
    <row r="84" spans="1:9">
      <c r="A84" s="956" t="s">
        <v>137</v>
      </c>
      <c r="B84" s="961" t="s">
        <v>1158</v>
      </c>
      <c r="C84" s="953" t="s">
        <v>716</v>
      </c>
      <c r="D84" s="962"/>
      <c r="E84" s="962">
        <f>(23*E81+21*E82+19*E83)</f>
        <v>3179</v>
      </c>
      <c r="F84" s="962"/>
      <c r="G84" s="958"/>
      <c r="H84" s="962"/>
      <c r="I84" s="964"/>
    </row>
    <row r="85" spans="1:9">
      <c r="A85" s="960" t="s">
        <v>137</v>
      </c>
      <c r="B85" s="961" t="s">
        <v>1108</v>
      </c>
      <c r="C85" s="953" t="s">
        <v>1107</v>
      </c>
      <c r="D85" s="962"/>
      <c r="E85" s="979">
        <v>3.0859999999999999</v>
      </c>
      <c r="F85" s="962"/>
      <c r="G85" s="962">
        <f>$C$9*12*E85*E84</f>
        <v>175409.84471999999</v>
      </c>
      <c r="H85" s="962"/>
      <c r="I85" s="964"/>
    </row>
    <row r="86" spans="1:9">
      <c r="A86" s="960" t="s">
        <v>137</v>
      </c>
      <c r="B86" s="961" t="s">
        <v>1109</v>
      </c>
      <c r="C86" s="953" t="s">
        <v>1107</v>
      </c>
      <c r="D86" s="962"/>
      <c r="E86" s="965">
        <v>1.28</v>
      </c>
      <c r="F86" s="962"/>
      <c r="G86" s="962">
        <f>E86/E85*G85</f>
        <v>72755.865600000005</v>
      </c>
      <c r="H86" s="962"/>
      <c r="I86" s="964"/>
    </row>
    <row r="87" spans="1:9">
      <c r="A87" s="960" t="s">
        <v>137</v>
      </c>
      <c r="B87" s="961" t="s">
        <v>1159</v>
      </c>
      <c r="C87" s="953" t="s">
        <v>695</v>
      </c>
      <c r="D87" s="962"/>
      <c r="E87" s="965">
        <v>17.501622987459239</v>
      </c>
      <c r="F87" s="962"/>
      <c r="G87" s="962">
        <f>(G85+G86)*E87/100</f>
        <v>43433.027004356627</v>
      </c>
      <c r="H87" s="962"/>
      <c r="I87" s="964"/>
    </row>
    <row r="88" spans="1:9">
      <c r="A88" s="956" t="s">
        <v>36</v>
      </c>
      <c r="B88" s="957" t="s">
        <v>1160</v>
      </c>
      <c r="C88" s="953" t="s">
        <v>1099</v>
      </c>
      <c r="D88" s="962"/>
      <c r="E88" s="962"/>
      <c r="F88" s="962"/>
      <c r="G88" s="958">
        <f>SUM(G89,G93)</f>
        <v>89927.459999999992</v>
      </c>
      <c r="H88" s="962"/>
      <c r="I88" s="964"/>
    </row>
    <row r="89" spans="1:9" s="924" customFormat="1">
      <c r="A89" s="956" t="s">
        <v>1114</v>
      </c>
      <c r="B89" s="957" t="s">
        <v>1161</v>
      </c>
      <c r="C89" s="955" t="s">
        <v>1147</v>
      </c>
      <c r="D89" s="958"/>
      <c r="E89" s="958">
        <f>SUM(E90:E92)</f>
        <v>143</v>
      </c>
      <c r="F89" s="958"/>
      <c r="G89" s="958">
        <f>SUM(G90:G92)</f>
        <v>38647.619999999995</v>
      </c>
      <c r="H89" s="958"/>
      <c r="I89" s="959"/>
    </row>
    <row r="90" spans="1:9">
      <c r="A90" s="960" t="s">
        <v>137</v>
      </c>
      <c r="B90" s="961" t="s">
        <v>1155</v>
      </c>
      <c r="C90" s="953" t="s">
        <v>1147</v>
      </c>
      <c r="D90" s="962"/>
      <c r="E90" s="962">
        <f>E81</f>
        <v>91</v>
      </c>
      <c r="F90" s="979">
        <v>286.08</v>
      </c>
      <c r="G90" s="962">
        <f>E90*F90</f>
        <v>26033.279999999999</v>
      </c>
      <c r="H90" s="962"/>
      <c r="I90" s="964"/>
    </row>
    <row r="91" spans="1:9">
      <c r="A91" s="960" t="s">
        <v>137</v>
      </c>
      <c r="B91" s="961" t="s">
        <v>1156</v>
      </c>
      <c r="C91" s="953" t="s">
        <v>1147</v>
      </c>
      <c r="D91" s="962"/>
      <c r="E91" s="962">
        <f>E82</f>
        <v>49</v>
      </c>
      <c r="F91" s="979">
        <v>244.95600000000002</v>
      </c>
      <c r="G91" s="962">
        <f>E91*F91</f>
        <v>12002.844000000001</v>
      </c>
      <c r="H91" s="962"/>
      <c r="I91" s="964"/>
    </row>
    <row r="92" spans="1:9">
      <c r="A92" s="960" t="s">
        <v>137</v>
      </c>
      <c r="B92" s="961" t="s">
        <v>1157</v>
      </c>
      <c r="C92" s="953" t="s">
        <v>1147</v>
      </c>
      <c r="D92" s="962"/>
      <c r="E92" s="962">
        <f>E83</f>
        <v>3</v>
      </c>
      <c r="F92" s="979">
        <v>203.83199999999999</v>
      </c>
      <c r="G92" s="962">
        <f>E92*F92</f>
        <v>611.49599999999998</v>
      </c>
      <c r="H92" s="962"/>
      <c r="I92" s="964"/>
    </row>
    <row r="93" spans="1:9" s="924" customFormat="1">
      <c r="A93" s="956" t="s">
        <v>1118</v>
      </c>
      <c r="B93" s="957" t="s">
        <v>1162</v>
      </c>
      <c r="C93" s="955" t="s">
        <v>1147</v>
      </c>
      <c r="D93" s="958"/>
      <c r="E93" s="958">
        <f>SUM(E94:E95)</f>
        <v>698</v>
      </c>
      <c r="F93" s="958"/>
      <c r="G93" s="958">
        <f>SUM(G94:G95)</f>
        <v>51279.840000000004</v>
      </c>
      <c r="H93" s="958"/>
      <c r="I93" s="959"/>
    </row>
    <row r="94" spans="1:9">
      <c r="A94" s="960" t="s">
        <v>514</v>
      </c>
      <c r="B94" s="961" t="s">
        <v>1163</v>
      </c>
      <c r="C94" s="953" t="s">
        <v>1147</v>
      </c>
      <c r="D94" s="962"/>
      <c r="E94" s="962">
        <f>387</f>
        <v>387</v>
      </c>
      <c r="F94" s="979">
        <v>89.4</v>
      </c>
      <c r="G94" s="962">
        <f>E94*F94</f>
        <v>34597.800000000003</v>
      </c>
      <c r="H94" s="962"/>
      <c r="I94" s="964"/>
    </row>
    <row r="95" spans="1:9">
      <c r="A95" s="960" t="s">
        <v>514</v>
      </c>
      <c r="B95" s="961" t="s">
        <v>1164</v>
      </c>
      <c r="C95" s="953"/>
      <c r="D95" s="962"/>
      <c r="E95" s="962">
        <v>311</v>
      </c>
      <c r="F95" s="979">
        <v>53.64</v>
      </c>
      <c r="G95" s="962">
        <f>E95*F95</f>
        <v>16682.04</v>
      </c>
      <c r="H95" s="962"/>
      <c r="I95" s="964"/>
    </row>
    <row r="96" spans="1:9">
      <c r="A96" s="956" t="s">
        <v>37</v>
      </c>
      <c r="B96" s="957" t="s">
        <v>1165</v>
      </c>
      <c r="C96" s="953"/>
      <c r="D96" s="962"/>
      <c r="E96" s="980">
        <f>SUM(E97:E99)</f>
        <v>4208</v>
      </c>
      <c r="F96" s="962"/>
      <c r="G96" s="958">
        <f>SUM(G97:G99)</f>
        <v>23478.227999999999</v>
      </c>
      <c r="H96" s="962"/>
      <c r="I96" s="964"/>
    </row>
    <row r="97" spans="1:9">
      <c r="A97" s="960" t="s">
        <v>514</v>
      </c>
      <c r="B97" s="961" t="s">
        <v>402</v>
      </c>
      <c r="C97" s="953" t="s">
        <v>1099</v>
      </c>
      <c r="D97" s="962"/>
      <c r="E97" s="980">
        <v>58</v>
      </c>
      <c r="F97" s="979">
        <f>0.5*$C$9*12</f>
        <v>8.94</v>
      </c>
      <c r="G97" s="962">
        <f>E97*F97</f>
        <v>518.52</v>
      </c>
      <c r="H97" s="962"/>
      <c r="I97" s="964"/>
    </row>
    <row r="98" spans="1:9">
      <c r="A98" s="960" t="s">
        <v>514</v>
      </c>
      <c r="B98" s="961" t="s">
        <v>1166</v>
      </c>
      <c r="C98" s="953" t="s">
        <v>1099</v>
      </c>
      <c r="D98" s="962"/>
      <c r="E98" s="980">
        <v>391</v>
      </c>
      <c r="F98" s="979">
        <f>0.4*$C$9*12</f>
        <v>7.1519999999999992</v>
      </c>
      <c r="G98" s="962">
        <f>E98*F98</f>
        <v>2796.4319999999998</v>
      </c>
      <c r="H98" s="962"/>
      <c r="I98" s="964"/>
    </row>
    <row r="99" spans="1:9">
      <c r="A99" s="960" t="s">
        <v>514</v>
      </c>
      <c r="B99" s="961" t="s">
        <v>1167</v>
      </c>
      <c r="C99" s="953" t="s">
        <v>1099</v>
      </c>
      <c r="D99" s="962"/>
      <c r="E99" s="980">
        <v>3759</v>
      </c>
      <c r="F99" s="979">
        <f>0.3*$C$9*12</f>
        <v>5.3639999999999999</v>
      </c>
      <c r="G99" s="962">
        <f>E99*F99</f>
        <v>20163.275999999998</v>
      </c>
      <c r="H99" s="962"/>
      <c r="I99" s="964"/>
    </row>
    <row r="100" spans="1:9" s="924" customFormat="1">
      <c r="A100" s="956" t="s">
        <v>40</v>
      </c>
      <c r="B100" s="957" t="s">
        <v>1168</v>
      </c>
      <c r="C100" s="955"/>
      <c r="D100" s="958"/>
      <c r="E100" s="981"/>
      <c r="F100" s="958"/>
      <c r="G100" s="958">
        <f>SUM(G101,G105)</f>
        <v>19061.867999999999</v>
      </c>
      <c r="H100" s="958"/>
      <c r="I100" s="959"/>
    </row>
    <row r="101" spans="1:9" s="924" customFormat="1">
      <c r="A101" s="956" t="s">
        <v>1169</v>
      </c>
      <c r="B101" s="957" t="s">
        <v>1170</v>
      </c>
      <c r="C101" s="955"/>
      <c r="D101" s="958"/>
      <c r="E101" s="981">
        <f>SUM(E102:E104)</f>
        <v>2672</v>
      </c>
      <c r="F101" s="958"/>
      <c r="G101" s="958">
        <f>SUM(G102:G104)</f>
        <v>15366.071999999998</v>
      </c>
      <c r="H101" s="958"/>
      <c r="I101" s="959"/>
    </row>
    <row r="102" spans="1:9">
      <c r="A102" s="960" t="s">
        <v>514</v>
      </c>
      <c r="B102" s="961" t="s">
        <v>402</v>
      </c>
      <c r="C102" s="953" t="s">
        <v>1099</v>
      </c>
      <c r="D102" s="962"/>
      <c r="E102" s="980">
        <v>51</v>
      </c>
      <c r="F102" s="979">
        <f>0.5*$C$9*12</f>
        <v>8.94</v>
      </c>
      <c r="G102" s="962">
        <f>E102*F102</f>
        <v>455.94</v>
      </c>
      <c r="H102" s="962"/>
      <c r="I102" s="964"/>
    </row>
    <row r="103" spans="1:9">
      <c r="A103" s="960" t="s">
        <v>514</v>
      </c>
      <c r="B103" s="961" t="s">
        <v>1166</v>
      </c>
      <c r="C103" s="953" t="s">
        <v>1099</v>
      </c>
      <c r="D103" s="962"/>
      <c r="E103" s="980">
        <v>476</v>
      </c>
      <c r="F103" s="979">
        <f>0.4*$C$9*12</f>
        <v>7.1519999999999992</v>
      </c>
      <c r="G103" s="962">
        <f>E103*F103</f>
        <v>3404.3519999999999</v>
      </c>
      <c r="H103" s="962"/>
      <c r="I103" s="964"/>
    </row>
    <row r="104" spans="1:9">
      <c r="A104" s="960" t="s">
        <v>514</v>
      </c>
      <c r="B104" s="961" t="s">
        <v>1167</v>
      </c>
      <c r="C104" s="953" t="s">
        <v>1099</v>
      </c>
      <c r="D104" s="962"/>
      <c r="E104" s="980">
        <v>2145</v>
      </c>
      <c r="F104" s="979">
        <f>0.3*$C$9*12</f>
        <v>5.3639999999999999</v>
      </c>
      <c r="G104" s="962">
        <f>E104*F104</f>
        <v>11505.779999999999</v>
      </c>
      <c r="H104" s="962"/>
      <c r="I104" s="964"/>
    </row>
    <row r="105" spans="1:9" s="924" customFormat="1">
      <c r="A105" s="956" t="s">
        <v>1171</v>
      </c>
      <c r="B105" s="957" t="s">
        <v>1172</v>
      </c>
      <c r="C105" s="955"/>
      <c r="D105" s="958"/>
      <c r="E105" s="981">
        <v>689</v>
      </c>
      <c r="F105" s="982">
        <f>0.3*$C$9*12</f>
        <v>5.3639999999999999</v>
      </c>
      <c r="G105" s="958">
        <f>E105*F105</f>
        <v>3695.7959999999998</v>
      </c>
      <c r="H105" s="958"/>
      <c r="I105" s="959"/>
    </row>
    <row r="106" spans="1:9" s="924" customFormat="1">
      <c r="A106" s="956" t="s">
        <v>40</v>
      </c>
      <c r="B106" s="957" t="s">
        <v>1173</v>
      </c>
      <c r="C106" s="955"/>
      <c r="D106" s="958"/>
      <c r="E106" s="958"/>
      <c r="F106" s="958"/>
      <c r="G106" s="981">
        <f>SUM(G88,G80,G72,G96,G100)</f>
        <v>900383.66819306463</v>
      </c>
      <c r="H106" s="958"/>
      <c r="I106" s="959"/>
    </row>
    <row r="107" spans="1:9">
      <c r="A107" s="956" t="s">
        <v>44</v>
      </c>
      <c r="B107" s="957" t="s">
        <v>1174</v>
      </c>
      <c r="C107" s="953" t="s">
        <v>695</v>
      </c>
      <c r="D107" s="962"/>
      <c r="E107" s="962"/>
      <c r="F107" s="962"/>
      <c r="G107" s="967">
        <f>G106/(G106+G59)</f>
        <v>0.77795557518033542</v>
      </c>
      <c r="H107" s="962"/>
      <c r="I107" s="964"/>
    </row>
    <row r="108" spans="1:9" s="954" customFormat="1">
      <c r="A108" s="951">
        <v>4</v>
      </c>
      <c r="B108" s="952" t="s">
        <v>1175</v>
      </c>
      <c r="C108" s="953"/>
      <c r="D108" s="949"/>
      <c r="E108" s="971">
        <f>SUM(E110:E113)</f>
        <v>1600575</v>
      </c>
      <c r="F108" s="953"/>
      <c r="G108" s="949">
        <f>(SUM(G109,G114))</f>
        <v>73993.550354999985</v>
      </c>
      <c r="H108" s="949"/>
      <c r="I108" s="950"/>
    </row>
    <row r="109" spans="1:9" s="954" customFormat="1">
      <c r="A109" s="956" t="s">
        <v>1176</v>
      </c>
      <c r="B109" s="957" t="s">
        <v>1177</v>
      </c>
      <c r="C109" s="953"/>
      <c r="D109" s="949"/>
      <c r="E109" s="949"/>
      <c r="F109" s="953"/>
      <c r="G109" s="958">
        <f>SUM(G110:G113)</f>
        <v>73993.550354999985</v>
      </c>
      <c r="H109" s="949"/>
      <c r="I109" s="950"/>
    </row>
    <row r="110" spans="1:9">
      <c r="A110" s="960" t="s">
        <v>137</v>
      </c>
      <c r="B110" s="961" t="s">
        <v>908</v>
      </c>
      <c r="C110" s="953" t="s">
        <v>1099</v>
      </c>
      <c r="D110" s="962"/>
      <c r="E110" s="963">
        <f>$E$45</f>
        <v>303054</v>
      </c>
      <c r="F110" s="963">
        <v>37200</v>
      </c>
      <c r="G110" s="963">
        <f>E110*F110*(100%+$G$193)/1000000</f>
        <v>12964.650119999998</v>
      </c>
      <c r="H110" s="962"/>
      <c r="I110" s="964"/>
    </row>
    <row r="111" spans="1:9">
      <c r="A111" s="960" t="s">
        <v>137</v>
      </c>
      <c r="B111" s="961" t="s">
        <v>909</v>
      </c>
      <c r="C111" s="953" t="s">
        <v>1099</v>
      </c>
      <c r="D111" s="962"/>
      <c r="E111" s="963">
        <f>$E$46</f>
        <v>1297521</v>
      </c>
      <c r="F111" s="963">
        <v>40900</v>
      </c>
      <c r="G111" s="963">
        <f>E111*F111*(100%+$G$193)/1000000</f>
        <v>61028.900234999994</v>
      </c>
      <c r="H111" s="962"/>
      <c r="I111" s="964"/>
    </row>
    <row r="112" spans="1:9">
      <c r="A112" s="960" t="s">
        <v>137</v>
      </c>
      <c r="B112" s="961" t="s">
        <v>910</v>
      </c>
      <c r="C112" s="953" t="s">
        <v>1099</v>
      </c>
      <c r="D112" s="962"/>
      <c r="E112" s="963">
        <f>$E$47</f>
        <v>0</v>
      </c>
      <c r="F112" s="963">
        <v>57300</v>
      </c>
      <c r="G112" s="963">
        <f>E112*F112*(100%+$G$193)/1000000</f>
        <v>0</v>
      </c>
      <c r="H112" s="962"/>
      <c r="I112" s="964"/>
    </row>
    <row r="113" spans="1:9">
      <c r="A113" s="960" t="s">
        <v>137</v>
      </c>
      <c r="B113" s="961" t="s">
        <v>911</v>
      </c>
      <c r="C113" s="953" t="s">
        <v>1099</v>
      </c>
      <c r="D113" s="962"/>
      <c r="E113" s="963">
        <f>$E$48</f>
        <v>0</v>
      </c>
      <c r="F113" s="963">
        <v>79700</v>
      </c>
      <c r="G113" s="963">
        <f>E113*F113*(100%+$G$193)/1000000</f>
        <v>0</v>
      </c>
      <c r="H113" s="962"/>
      <c r="I113" s="964"/>
    </row>
    <row r="114" spans="1:9" s="924" customFormat="1">
      <c r="A114" s="956" t="s">
        <v>1178</v>
      </c>
      <c r="B114" s="957" t="s">
        <v>1179</v>
      </c>
      <c r="C114" s="953" t="s">
        <v>1180</v>
      </c>
      <c r="D114" s="958"/>
      <c r="E114" s="973"/>
      <c r="F114" s="973">
        <v>15000</v>
      </c>
      <c r="G114" s="973">
        <f>+F114*E114/1000000</f>
        <v>0</v>
      </c>
      <c r="H114" s="958"/>
      <c r="I114" s="959"/>
    </row>
    <row r="115" spans="1:9" s="954" customFormat="1">
      <c r="A115" s="951">
        <v>5</v>
      </c>
      <c r="B115" s="952" t="s">
        <v>1181</v>
      </c>
      <c r="C115" s="948"/>
      <c r="D115" s="949"/>
      <c r="E115" s="971">
        <f>SUM(E117:E120)</f>
        <v>1600575</v>
      </c>
      <c r="F115" s="953"/>
      <c r="G115" s="949">
        <f>(SUM(G116))</f>
        <v>44408.986499999999</v>
      </c>
      <c r="H115" s="949"/>
      <c r="I115" s="950"/>
    </row>
    <row r="116" spans="1:9" s="954" customFormat="1">
      <c r="A116" s="956"/>
      <c r="B116" s="957" t="s">
        <v>1177</v>
      </c>
      <c r="C116" s="953"/>
      <c r="D116" s="949"/>
      <c r="E116" s="949"/>
      <c r="F116" s="953"/>
      <c r="G116" s="958">
        <f>SUM(G117:G120)</f>
        <v>44408.986499999999</v>
      </c>
      <c r="H116" s="949"/>
      <c r="I116" s="950"/>
    </row>
    <row r="117" spans="1:9">
      <c r="A117" s="960" t="s">
        <v>137</v>
      </c>
      <c r="B117" s="961" t="s">
        <v>908</v>
      </c>
      <c r="C117" s="953" t="s">
        <v>1099</v>
      </c>
      <c r="D117" s="962"/>
      <c r="E117" s="963">
        <f>$E$45</f>
        <v>303054</v>
      </c>
      <c r="F117" s="963">
        <v>22100</v>
      </c>
      <c r="G117" s="963">
        <f>(E117*F117*(100%+$G$193)/1000000)</f>
        <v>7702.1174099999989</v>
      </c>
      <c r="H117" s="962"/>
      <c r="I117" s="964"/>
    </row>
    <row r="118" spans="1:9">
      <c r="A118" s="960" t="s">
        <v>137</v>
      </c>
      <c r="B118" s="961" t="s">
        <v>909</v>
      </c>
      <c r="C118" s="953" t="s">
        <v>1099</v>
      </c>
      <c r="D118" s="962"/>
      <c r="E118" s="963">
        <f>$E$46</f>
        <v>1297521</v>
      </c>
      <c r="F118" s="963">
        <v>24600</v>
      </c>
      <c r="G118" s="963">
        <f>E118*F118*(100%+$G$193)/1000000</f>
        <v>36706.86909</v>
      </c>
      <c r="H118" s="962"/>
      <c r="I118" s="964"/>
    </row>
    <row r="119" spans="1:9">
      <c r="A119" s="960" t="s">
        <v>137</v>
      </c>
      <c r="B119" s="961" t="s">
        <v>910</v>
      </c>
      <c r="C119" s="953" t="s">
        <v>1099</v>
      </c>
      <c r="D119" s="962"/>
      <c r="E119" s="963">
        <f>$E$47</f>
        <v>0</v>
      </c>
      <c r="F119" s="963">
        <v>34400</v>
      </c>
      <c r="G119" s="963">
        <f>E119*F119*(100%+$G$193)/1000000</f>
        <v>0</v>
      </c>
      <c r="H119" s="962"/>
      <c r="I119" s="964"/>
    </row>
    <row r="120" spans="1:9">
      <c r="A120" s="960" t="s">
        <v>137</v>
      </c>
      <c r="B120" s="961" t="s">
        <v>911</v>
      </c>
      <c r="C120" s="953" t="s">
        <v>1099</v>
      </c>
      <c r="D120" s="962"/>
      <c r="E120" s="963">
        <f>$E$48</f>
        <v>0</v>
      </c>
      <c r="F120" s="963">
        <v>47900</v>
      </c>
      <c r="G120" s="963">
        <f>E120*F120*(100%+$G$193)/1000000</f>
        <v>0</v>
      </c>
      <c r="H120" s="962"/>
      <c r="I120" s="964"/>
    </row>
    <row r="121" spans="1:9" s="954" customFormat="1">
      <c r="A121" s="951">
        <v>6</v>
      </c>
      <c r="B121" s="952" t="s">
        <v>1182</v>
      </c>
      <c r="C121" s="953"/>
      <c r="D121" s="949"/>
      <c r="E121" s="971">
        <f>SUM(E123:E126)</f>
        <v>1600575</v>
      </c>
      <c r="F121" s="953"/>
      <c r="G121" s="949">
        <f>(SUM(G122))</f>
        <v>38158.223024999999</v>
      </c>
      <c r="H121" s="949"/>
      <c r="I121" s="950"/>
    </row>
    <row r="122" spans="1:9" s="954" customFormat="1">
      <c r="A122" s="956"/>
      <c r="B122" s="957" t="s">
        <v>1177</v>
      </c>
      <c r="C122" s="953"/>
      <c r="D122" s="949"/>
      <c r="E122" s="949"/>
      <c r="F122" s="953"/>
      <c r="G122" s="958">
        <f>SUM(G123:G126)</f>
        <v>38158.223024999999</v>
      </c>
      <c r="H122" s="949"/>
      <c r="I122" s="950"/>
    </row>
    <row r="123" spans="1:9">
      <c r="A123" s="960" t="s">
        <v>137</v>
      </c>
      <c r="B123" s="961" t="s">
        <v>908</v>
      </c>
      <c r="C123" s="953" t="s">
        <v>1099</v>
      </c>
      <c r="D123" s="962"/>
      <c r="E123" s="963">
        <f>$E$45</f>
        <v>303054</v>
      </c>
      <c r="F123" s="963">
        <v>26000</v>
      </c>
      <c r="G123" s="963">
        <f>E123*F123*(100%+$G$193)/1000000</f>
        <v>9061.3145999999997</v>
      </c>
      <c r="H123" s="962"/>
      <c r="I123" s="964"/>
    </row>
    <row r="124" spans="1:9">
      <c r="A124" s="960" t="s">
        <v>137</v>
      </c>
      <c r="B124" s="961" t="s">
        <v>909</v>
      </c>
      <c r="C124" s="953" t="s">
        <v>1099</v>
      </c>
      <c r="D124" s="962"/>
      <c r="E124" s="963">
        <f>$E$46</f>
        <v>1297521</v>
      </c>
      <c r="F124" s="963">
        <v>19500</v>
      </c>
      <c r="G124" s="963">
        <f>E124*F124*(100%+$G$193)/1000000</f>
        <v>29096.908424999998</v>
      </c>
      <c r="H124" s="962"/>
      <c r="I124" s="964"/>
    </row>
    <row r="125" spans="1:9">
      <c r="A125" s="960" t="s">
        <v>137</v>
      </c>
      <c r="B125" s="961" t="s">
        <v>910</v>
      </c>
      <c r="C125" s="953" t="s">
        <v>1099</v>
      </c>
      <c r="D125" s="962"/>
      <c r="E125" s="963">
        <f>$E$47</f>
        <v>0</v>
      </c>
      <c r="F125" s="963">
        <v>27300</v>
      </c>
      <c r="G125" s="963">
        <f>E125*F125*(100%+$G$193)/1000000</f>
        <v>0</v>
      </c>
      <c r="H125" s="962"/>
      <c r="I125" s="964"/>
    </row>
    <row r="126" spans="1:9">
      <c r="A126" s="960" t="s">
        <v>137</v>
      </c>
      <c r="B126" s="961" t="s">
        <v>911</v>
      </c>
      <c r="C126" s="953" t="s">
        <v>1099</v>
      </c>
      <c r="D126" s="962"/>
      <c r="E126" s="963">
        <f>$E$48</f>
        <v>0</v>
      </c>
      <c r="F126" s="963">
        <v>37000</v>
      </c>
      <c r="G126" s="963">
        <f>E126*F126*(100%+$G$193)/1000000</f>
        <v>0</v>
      </c>
      <c r="H126" s="962"/>
      <c r="I126" s="964"/>
    </row>
    <row r="127" spans="1:9" s="954" customFormat="1">
      <c r="A127" s="951">
        <v>7</v>
      </c>
      <c r="B127" s="952" t="s">
        <v>1183</v>
      </c>
      <c r="C127" s="953"/>
      <c r="D127" s="949"/>
      <c r="E127" s="949"/>
      <c r="F127" s="963"/>
      <c r="G127" s="949">
        <f>(SUM(G128,G133))</f>
        <v>540383.62502000004</v>
      </c>
      <c r="H127" s="949"/>
      <c r="I127" s="950"/>
    </row>
    <row r="128" spans="1:9" s="970" customFormat="1">
      <c r="A128" s="956" t="s">
        <v>1184</v>
      </c>
      <c r="B128" s="957" t="s">
        <v>1127</v>
      </c>
      <c r="C128" s="953"/>
      <c r="D128" s="971"/>
      <c r="E128" s="971">
        <f>SUM(E129:E132)</f>
        <v>1600575</v>
      </c>
      <c r="F128" s="963"/>
      <c r="G128" s="958">
        <f>SUM(G129:G132)</f>
        <v>85554.865019999997</v>
      </c>
      <c r="H128" s="971"/>
      <c r="I128" s="972"/>
    </row>
    <row r="129" spans="1:9">
      <c r="A129" s="960" t="s">
        <v>137</v>
      </c>
      <c r="B129" s="961" t="s">
        <v>908</v>
      </c>
      <c r="C129" s="953" t="s">
        <v>1099</v>
      </c>
      <c r="D129" s="962"/>
      <c r="E129" s="963">
        <f>$E$45</f>
        <v>303054</v>
      </c>
      <c r="F129" s="963">
        <v>43400</v>
      </c>
      <c r="G129" s="963">
        <f>E129*F129*(100%+$G$193)/1000000</f>
        <v>15125.425139999998</v>
      </c>
      <c r="H129" s="962"/>
      <c r="I129" s="964"/>
    </row>
    <row r="130" spans="1:9">
      <c r="A130" s="960" t="s">
        <v>137</v>
      </c>
      <c r="B130" s="961" t="s">
        <v>909</v>
      </c>
      <c r="C130" s="953" t="s">
        <v>1099</v>
      </c>
      <c r="D130" s="962"/>
      <c r="E130" s="963">
        <f>$E$46</f>
        <v>1297521</v>
      </c>
      <c r="F130" s="963">
        <v>47200</v>
      </c>
      <c r="G130" s="963">
        <f>E130*F130*(100%+$G$193)/1000000</f>
        <v>70429.439880000005</v>
      </c>
      <c r="H130" s="962"/>
      <c r="I130" s="964"/>
    </row>
    <row r="131" spans="1:9">
      <c r="A131" s="960" t="s">
        <v>137</v>
      </c>
      <c r="B131" s="961" t="s">
        <v>910</v>
      </c>
      <c r="C131" s="953" t="s">
        <v>1099</v>
      </c>
      <c r="D131" s="962"/>
      <c r="E131" s="963">
        <f>$E$47</f>
        <v>0</v>
      </c>
      <c r="F131" s="963">
        <v>66100</v>
      </c>
      <c r="G131" s="963">
        <f>E131*F131*(100%+$G$193)/1000000</f>
        <v>0</v>
      </c>
      <c r="H131" s="962"/>
      <c r="I131" s="964"/>
    </row>
    <row r="132" spans="1:9">
      <c r="A132" s="960" t="s">
        <v>137</v>
      </c>
      <c r="B132" s="961" t="s">
        <v>911</v>
      </c>
      <c r="C132" s="953" t="s">
        <v>1099</v>
      </c>
      <c r="D132" s="962"/>
      <c r="E132" s="963">
        <f>$E$48</f>
        <v>0</v>
      </c>
      <c r="F132" s="963">
        <v>80200</v>
      </c>
      <c r="G132" s="963">
        <f>E132*F132*(100%+$G$193)/1000000</f>
        <v>0</v>
      </c>
      <c r="H132" s="962"/>
      <c r="I132" s="964"/>
    </row>
    <row r="133" spans="1:9" s="924" customFormat="1">
      <c r="A133" s="956" t="s">
        <v>1185</v>
      </c>
      <c r="B133" s="957" t="s">
        <v>1113</v>
      </c>
      <c r="C133" s="955"/>
      <c r="D133" s="958"/>
      <c r="E133" s="973"/>
      <c r="F133" s="973"/>
      <c r="G133" s="973">
        <f>SUM(G134:G136)</f>
        <v>454828.76</v>
      </c>
      <c r="H133" s="958"/>
      <c r="I133" s="959"/>
    </row>
    <row r="134" spans="1:9" ht="39.6">
      <c r="A134" s="960" t="s">
        <v>1186</v>
      </c>
      <c r="B134" s="961" t="s">
        <v>1187</v>
      </c>
      <c r="C134" s="953" t="s">
        <v>1099</v>
      </c>
      <c r="D134" s="962"/>
      <c r="E134" s="962">
        <v>73290</v>
      </c>
      <c r="F134" s="963"/>
      <c r="G134" s="962">
        <v>438296</v>
      </c>
      <c r="H134" s="962"/>
      <c r="I134" s="964"/>
    </row>
    <row r="135" spans="1:9" ht="26.4">
      <c r="A135" s="960" t="s">
        <v>1188</v>
      </c>
      <c r="B135" s="983" t="s">
        <v>1189</v>
      </c>
      <c r="C135" s="953" t="s">
        <v>1099</v>
      </c>
      <c r="D135" s="962"/>
      <c r="E135" s="962">
        <v>13686</v>
      </c>
      <c r="F135" s="979">
        <f>55000*12/1000000</f>
        <v>0.66</v>
      </c>
      <c r="G135" s="962">
        <f>E135*F135</f>
        <v>9032.76</v>
      </c>
      <c r="H135" s="962"/>
      <c r="I135" s="964"/>
    </row>
    <row r="136" spans="1:9">
      <c r="A136" s="960" t="s">
        <v>1190</v>
      </c>
      <c r="B136" s="983" t="s">
        <v>1191</v>
      </c>
      <c r="C136" s="953" t="s">
        <v>1192</v>
      </c>
      <c r="D136" s="962"/>
      <c r="E136" s="962">
        <v>5</v>
      </c>
      <c r="F136" s="963">
        <v>1500</v>
      </c>
      <c r="G136" s="962">
        <f>E136*F136</f>
        <v>7500</v>
      </c>
      <c r="H136" s="962"/>
      <c r="I136" s="964"/>
    </row>
    <row r="137" spans="1:9" s="954" customFormat="1">
      <c r="A137" s="951">
        <v>8</v>
      </c>
      <c r="B137" s="952" t="s">
        <v>1193</v>
      </c>
      <c r="C137" s="953"/>
      <c r="D137" s="949"/>
      <c r="E137" s="971">
        <f>SUM(E139:E142)</f>
        <v>1600575</v>
      </c>
      <c r="F137" s="953"/>
      <c r="G137" s="949">
        <f>(SUM(G138,G143))</f>
        <v>140846.28749999998</v>
      </c>
      <c r="H137" s="949"/>
      <c r="I137" s="950"/>
    </row>
    <row r="138" spans="1:9" s="954" customFormat="1">
      <c r="A138" s="956" t="s">
        <v>1194</v>
      </c>
      <c r="B138" s="957" t="s">
        <v>1177</v>
      </c>
      <c r="C138" s="953"/>
      <c r="D138" s="949"/>
      <c r="E138" s="949"/>
      <c r="F138" s="953"/>
      <c r="G138" s="958">
        <f>SUM(G139:G142)</f>
        <v>128846.28749999998</v>
      </c>
      <c r="H138" s="949"/>
      <c r="I138" s="950"/>
    </row>
    <row r="139" spans="1:9">
      <c r="A139" s="960" t="s">
        <v>137</v>
      </c>
      <c r="B139" s="961" t="s">
        <v>908</v>
      </c>
      <c r="C139" s="953" t="s">
        <v>1099</v>
      </c>
      <c r="D139" s="962"/>
      <c r="E139" s="963">
        <f>$E$45</f>
        <v>303054</v>
      </c>
      <c r="F139" s="963">
        <v>70000</v>
      </c>
      <c r="G139" s="963">
        <f>E139*F139*(100%+$G$193)/1000000</f>
        <v>24395.847000000002</v>
      </c>
      <c r="H139" s="962"/>
      <c r="I139" s="964"/>
    </row>
    <row r="140" spans="1:9">
      <c r="A140" s="960" t="s">
        <v>137</v>
      </c>
      <c r="B140" s="961" t="s">
        <v>909</v>
      </c>
      <c r="C140" s="953" t="s">
        <v>1099</v>
      </c>
      <c r="D140" s="962"/>
      <c r="E140" s="963">
        <f>$E$46</f>
        <v>1297521</v>
      </c>
      <c r="F140" s="963">
        <v>70000</v>
      </c>
      <c r="G140" s="963">
        <f>E140*F140*(100%+$G$193)/1000000</f>
        <v>104450.44049999998</v>
      </c>
      <c r="H140" s="962"/>
      <c r="I140" s="964"/>
    </row>
    <row r="141" spans="1:9">
      <c r="A141" s="960" t="s">
        <v>137</v>
      </c>
      <c r="B141" s="961" t="s">
        <v>910</v>
      </c>
      <c r="C141" s="953" t="s">
        <v>1099</v>
      </c>
      <c r="D141" s="962"/>
      <c r="E141" s="963">
        <f>$E$47</f>
        <v>0</v>
      </c>
      <c r="F141" s="963">
        <v>97900</v>
      </c>
      <c r="G141" s="963">
        <f>E141*F141*(100%+$G$193)/1000000</f>
        <v>0</v>
      </c>
      <c r="H141" s="962"/>
      <c r="I141" s="964"/>
    </row>
    <row r="142" spans="1:9">
      <c r="A142" s="960" t="s">
        <v>137</v>
      </c>
      <c r="B142" s="961" t="s">
        <v>911</v>
      </c>
      <c r="C142" s="953" t="s">
        <v>1099</v>
      </c>
      <c r="D142" s="962"/>
      <c r="E142" s="963">
        <f>$E$48</f>
        <v>0</v>
      </c>
      <c r="F142" s="963">
        <v>139900</v>
      </c>
      <c r="G142" s="963">
        <f>E142*F142*(100%+$G$193)/1000000</f>
        <v>0</v>
      </c>
      <c r="H142" s="962"/>
      <c r="I142" s="964"/>
    </row>
    <row r="143" spans="1:9">
      <c r="A143" s="956" t="s">
        <v>1195</v>
      </c>
      <c r="B143" s="957" t="s">
        <v>1196</v>
      </c>
      <c r="C143" s="953"/>
      <c r="D143" s="962"/>
      <c r="E143" s="962"/>
      <c r="F143" s="963"/>
      <c r="G143" s="958">
        <f>SUM(G144:G145)</f>
        <v>12000</v>
      </c>
      <c r="H143" s="962"/>
      <c r="I143" s="964"/>
    </row>
    <row r="144" spans="1:9">
      <c r="A144" s="956" t="s">
        <v>137</v>
      </c>
      <c r="B144" s="961" t="s">
        <v>963</v>
      </c>
      <c r="C144" s="953" t="s">
        <v>1147</v>
      </c>
      <c r="D144" s="962"/>
      <c r="E144" s="962">
        <v>8</v>
      </c>
      <c r="F144" s="963">
        <v>1500</v>
      </c>
      <c r="G144" s="963">
        <f>E144*F144</f>
        <v>12000</v>
      </c>
      <c r="H144" s="962"/>
      <c r="I144" s="964"/>
    </row>
    <row r="145" spans="1:9">
      <c r="A145" s="956" t="s">
        <v>137</v>
      </c>
      <c r="B145" s="961" t="s">
        <v>966</v>
      </c>
      <c r="C145" s="953" t="s">
        <v>1147</v>
      </c>
      <c r="D145" s="962"/>
      <c r="E145" s="962">
        <v>0</v>
      </c>
      <c r="F145" s="963">
        <v>2000</v>
      </c>
      <c r="G145" s="963">
        <f>E145*F145</f>
        <v>0</v>
      </c>
      <c r="H145" s="962"/>
      <c r="I145" s="964"/>
    </row>
    <row r="146" spans="1:9" s="954" customFormat="1">
      <c r="A146" s="951">
        <v>9</v>
      </c>
      <c r="B146" s="952" t="s">
        <v>1197</v>
      </c>
      <c r="C146" s="953"/>
      <c r="D146" s="949"/>
      <c r="E146" s="971">
        <f>SUM(E148:E151)</f>
        <v>1600575</v>
      </c>
      <c r="F146" s="953"/>
      <c r="G146" s="949">
        <f>(SUM(G147,G152))</f>
        <v>71301.818159999995</v>
      </c>
      <c r="H146" s="949"/>
      <c r="I146" s="950"/>
    </row>
    <row r="147" spans="1:9" s="954" customFormat="1">
      <c r="A147" s="956" t="s">
        <v>1198</v>
      </c>
      <c r="B147" s="957" t="s">
        <v>1177</v>
      </c>
      <c r="C147" s="953"/>
      <c r="D147" s="949"/>
      <c r="E147" s="949"/>
      <c r="F147" s="953"/>
      <c r="G147" s="958">
        <f>SUM(G148:G151)</f>
        <v>59301.818159999995</v>
      </c>
      <c r="H147" s="949"/>
      <c r="I147" s="950"/>
    </row>
    <row r="148" spans="1:9">
      <c r="A148" s="960" t="s">
        <v>137</v>
      </c>
      <c r="B148" s="961" t="s">
        <v>908</v>
      </c>
      <c r="C148" s="953" t="s">
        <v>1099</v>
      </c>
      <c r="D148" s="962"/>
      <c r="E148" s="963">
        <f>$E$45</f>
        <v>303054</v>
      </c>
      <c r="F148" s="963">
        <v>40000</v>
      </c>
      <c r="G148" s="963">
        <f>E148*F148*(100%+$G$193)/1000000</f>
        <v>13940.483999999999</v>
      </c>
      <c r="H148" s="962"/>
      <c r="I148" s="964"/>
    </row>
    <row r="149" spans="1:9">
      <c r="A149" s="960" t="s">
        <v>137</v>
      </c>
      <c r="B149" s="961" t="s">
        <v>909</v>
      </c>
      <c r="C149" s="953" t="s">
        <v>1099</v>
      </c>
      <c r="D149" s="962"/>
      <c r="E149" s="963">
        <f>$E$46</f>
        <v>1297521</v>
      </c>
      <c r="F149" s="963">
        <v>30400</v>
      </c>
      <c r="G149" s="963">
        <f>E149*F149*(100%+$G$193)/1000000</f>
        <v>45361.334159999999</v>
      </c>
      <c r="H149" s="962"/>
      <c r="I149" s="964"/>
    </row>
    <row r="150" spans="1:9">
      <c r="A150" s="960" t="s">
        <v>137</v>
      </c>
      <c r="B150" s="961" t="s">
        <v>910</v>
      </c>
      <c r="C150" s="953" t="s">
        <v>1099</v>
      </c>
      <c r="D150" s="962"/>
      <c r="E150" s="963">
        <f>$E$47</f>
        <v>0</v>
      </c>
      <c r="F150" s="963">
        <v>42500</v>
      </c>
      <c r="G150" s="963">
        <f>E150*F150*(100%+$G$193)/1000000</f>
        <v>0</v>
      </c>
      <c r="H150" s="962"/>
      <c r="I150" s="964"/>
    </row>
    <row r="151" spans="1:9">
      <c r="A151" s="960" t="s">
        <v>137</v>
      </c>
      <c r="B151" s="961" t="s">
        <v>911</v>
      </c>
      <c r="C151" s="953" t="s">
        <v>1099</v>
      </c>
      <c r="D151" s="962"/>
      <c r="E151" s="963">
        <f>$E$48</f>
        <v>0</v>
      </c>
      <c r="F151" s="963">
        <v>60700</v>
      </c>
      <c r="G151" s="963">
        <f>E151*F151*(100%+$G$193)/1000000</f>
        <v>0</v>
      </c>
      <c r="H151" s="962"/>
      <c r="I151" s="964"/>
    </row>
    <row r="152" spans="1:9">
      <c r="A152" s="956" t="s">
        <v>1199</v>
      </c>
      <c r="B152" s="957" t="s">
        <v>1196</v>
      </c>
      <c r="C152" s="953"/>
      <c r="D152" s="962"/>
      <c r="E152" s="962"/>
      <c r="F152" s="962"/>
      <c r="G152" s="958">
        <f>SUM(G153:G154)</f>
        <v>12000</v>
      </c>
      <c r="H152" s="962"/>
      <c r="I152" s="964"/>
    </row>
    <row r="153" spans="1:9">
      <c r="A153" s="960" t="s">
        <v>137</v>
      </c>
      <c r="B153" s="961" t="s">
        <v>963</v>
      </c>
      <c r="C153" s="953" t="s">
        <v>1147</v>
      </c>
      <c r="D153" s="962"/>
      <c r="E153" s="962">
        <v>8</v>
      </c>
      <c r="F153" s="962">
        <v>1500</v>
      </c>
      <c r="G153" s="962">
        <f>E153*F153</f>
        <v>12000</v>
      </c>
      <c r="H153" s="962"/>
      <c r="I153" s="964"/>
    </row>
    <row r="154" spans="1:9">
      <c r="A154" s="956" t="s">
        <v>137</v>
      </c>
      <c r="B154" s="961" t="s">
        <v>966</v>
      </c>
      <c r="C154" s="953" t="s">
        <v>1147</v>
      </c>
      <c r="D154" s="962"/>
      <c r="E154" s="963">
        <f>8-E153</f>
        <v>0</v>
      </c>
      <c r="F154" s="962">
        <v>5000</v>
      </c>
      <c r="G154" s="958">
        <f>E154*F154</f>
        <v>0</v>
      </c>
      <c r="H154" s="962"/>
      <c r="I154" s="964"/>
    </row>
    <row r="155" spans="1:9" s="954" customFormat="1">
      <c r="A155" s="951">
        <v>10</v>
      </c>
      <c r="B155" s="952" t="s">
        <v>1200</v>
      </c>
      <c r="C155" s="953"/>
      <c r="D155" s="949">
        <f>'[1]Xác định lại dự toán 2022-ĐP'!C22</f>
        <v>27026</v>
      </c>
      <c r="E155" s="949"/>
      <c r="F155" s="984">
        <v>1</v>
      </c>
      <c r="G155" s="949">
        <f>D155*F155</f>
        <v>27026</v>
      </c>
      <c r="H155" s="949">
        <f>G155-D155</f>
        <v>0</v>
      </c>
      <c r="I155" s="950">
        <f>IF(D155=0,0,G155/D155*100)</f>
        <v>100</v>
      </c>
    </row>
    <row r="156" spans="1:9" s="954" customFormat="1">
      <c r="A156" s="951">
        <v>11</v>
      </c>
      <c r="B156" s="952" t="s">
        <v>63</v>
      </c>
      <c r="C156" s="953"/>
      <c r="D156" s="949"/>
      <c r="E156" s="949"/>
      <c r="F156" s="949"/>
      <c r="G156" s="949">
        <f>SUM(G157,G162)</f>
        <v>1561384.5147799999</v>
      </c>
      <c r="H156" s="949"/>
      <c r="I156" s="950"/>
    </row>
    <row r="157" spans="1:9" s="954" customFormat="1">
      <c r="A157" s="956" t="s">
        <v>1201</v>
      </c>
      <c r="B157" s="957" t="s">
        <v>1177</v>
      </c>
      <c r="C157" s="953"/>
      <c r="D157" s="949"/>
      <c r="E157" s="949"/>
      <c r="F157" s="955"/>
      <c r="G157" s="958">
        <f>SUM(G158:G161)</f>
        <v>783680.51477999997</v>
      </c>
      <c r="H157" s="949"/>
      <c r="I157" s="950"/>
    </row>
    <row r="158" spans="1:9" s="970" customFormat="1">
      <c r="A158" s="960" t="s">
        <v>137</v>
      </c>
      <c r="B158" s="961" t="s">
        <v>908</v>
      </c>
      <c r="C158" s="953" t="s">
        <v>1099</v>
      </c>
      <c r="D158" s="971"/>
      <c r="E158" s="963">
        <f>$E$45</f>
        <v>303054</v>
      </c>
      <c r="F158" s="963">
        <v>372500</v>
      </c>
      <c r="G158" s="963">
        <f>E158*F158*(100%+$G$193)/1000000</f>
        <v>129820.75724999998</v>
      </c>
      <c r="H158" s="971"/>
      <c r="I158" s="972"/>
    </row>
    <row r="159" spans="1:9" s="970" customFormat="1">
      <c r="A159" s="960" t="s">
        <v>137</v>
      </c>
      <c r="B159" s="961" t="s">
        <v>909</v>
      </c>
      <c r="C159" s="953" t="s">
        <v>1099</v>
      </c>
      <c r="D159" s="971"/>
      <c r="E159" s="963">
        <f>$E$46</f>
        <v>1297521</v>
      </c>
      <c r="F159" s="963">
        <v>438200</v>
      </c>
      <c r="G159" s="963">
        <f>E159*F159*(100%+$G$193)/1000000</f>
        <v>653859.75752999994</v>
      </c>
      <c r="H159" s="971"/>
      <c r="I159" s="972"/>
    </row>
    <row r="160" spans="1:9" s="970" customFormat="1">
      <c r="A160" s="960" t="s">
        <v>137</v>
      </c>
      <c r="B160" s="961" t="s">
        <v>910</v>
      </c>
      <c r="C160" s="953" t="s">
        <v>1099</v>
      </c>
      <c r="D160" s="971"/>
      <c r="E160" s="963">
        <f>$E$47</f>
        <v>0</v>
      </c>
      <c r="F160" s="963">
        <v>657300</v>
      </c>
      <c r="G160" s="963">
        <f>E160*F160*(100%+$G$193)/1000000</f>
        <v>0</v>
      </c>
      <c r="H160" s="971"/>
      <c r="I160" s="972"/>
    </row>
    <row r="161" spans="1:9" s="970" customFormat="1">
      <c r="A161" s="960" t="s">
        <v>137</v>
      </c>
      <c r="B161" s="961" t="s">
        <v>911</v>
      </c>
      <c r="C161" s="953" t="s">
        <v>1099</v>
      </c>
      <c r="D161" s="971"/>
      <c r="E161" s="963">
        <f>$E$48</f>
        <v>0</v>
      </c>
      <c r="F161" s="963">
        <v>876400</v>
      </c>
      <c r="G161" s="963">
        <f>E161*F161*(100%+$G$193)/1000000</f>
        <v>0</v>
      </c>
      <c r="H161" s="971"/>
      <c r="I161" s="972"/>
    </row>
    <row r="162" spans="1:9" s="954" customFormat="1">
      <c r="A162" s="956" t="s">
        <v>1202</v>
      </c>
      <c r="B162" s="957" t="s">
        <v>1113</v>
      </c>
      <c r="C162" s="955"/>
      <c r="D162" s="949"/>
      <c r="E162" s="973"/>
      <c r="F162" s="973"/>
      <c r="G162" s="973">
        <f>SUM(G163,G164,G165,G171)</f>
        <v>777704</v>
      </c>
      <c r="H162" s="949"/>
      <c r="I162" s="950"/>
    </row>
    <row r="163" spans="1:9" s="970" customFormat="1" ht="26.4">
      <c r="A163" s="960" t="s">
        <v>1203</v>
      </c>
      <c r="B163" s="961" t="s">
        <v>1204</v>
      </c>
      <c r="C163" s="953"/>
      <c r="D163" s="971"/>
      <c r="E163" s="963"/>
      <c r="F163" s="979"/>
      <c r="G163" s="963">
        <v>215162</v>
      </c>
      <c r="H163" s="971"/>
      <c r="I163" s="972"/>
    </row>
    <row r="164" spans="1:9" s="970" customFormat="1" ht="52.8">
      <c r="A164" s="960" t="s">
        <v>1205</v>
      </c>
      <c r="B164" s="961" t="s">
        <v>1206</v>
      </c>
      <c r="C164" s="953"/>
      <c r="D164" s="971"/>
      <c r="E164" s="963">
        <f>195279</f>
        <v>195279</v>
      </c>
      <c r="F164" s="985">
        <v>1</v>
      </c>
      <c r="G164" s="963">
        <f>F164*E164</f>
        <v>195279</v>
      </c>
      <c r="H164" s="971"/>
      <c r="I164" s="972"/>
    </row>
    <row r="165" spans="1:9" s="970" customFormat="1">
      <c r="A165" s="960" t="s">
        <v>1207</v>
      </c>
      <c r="B165" s="961" t="s">
        <v>1208</v>
      </c>
      <c r="C165" s="953"/>
      <c r="D165" s="971"/>
      <c r="E165" s="971"/>
      <c r="F165" s="953"/>
      <c r="G165" s="962">
        <f>SUM(G166:G170)</f>
        <v>364000</v>
      </c>
      <c r="H165" s="971"/>
      <c r="I165" s="972"/>
    </row>
    <row r="166" spans="1:9">
      <c r="A166" s="960" t="s">
        <v>137</v>
      </c>
      <c r="B166" s="961" t="s">
        <v>1209</v>
      </c>
      <c r="C166" s="953" t="s">
        <v>1210</v>
      </c>
      <c r="D166" s="962"/>
      <c r="E166" s="962">
        <v>0</v>
      </c>
      <c r="F166" s="986">
        <v>140000</v>
      </c>
      <c r="G166" s="963">
        <f>E166*F166</f>
        <v>0</v>
      </c>
      <c r="H166" s="962"/>
      <c r="I166" s="964"/>
    </row>
    <row r="167" spans="1:9">
      <c r="A167" s="960" t="s">
        <v>137</v>
      </c>
      <c r="B167" s="961" t="s">
        <v>978</v>
      </c>
      <c r="C167" s="953" t="s">
        <v>1210</v>
      </c>
      <c r="D167" s="962"/>
      <c r="E167" s="962">
        <v>2</v>
      </c>
      <c r="F167" s="986">
        <v>85000</v>
      </c>
      <c r="G167" s="963">
        <f>E167*F167</f>
        <v>170000</v>
      </c>
      <c r="H167" s="962"/>
      <c r="I167" s="964"/>
    </row>
    <row r="168" spans="1:9">
      <c r="A168" s="960" t="s">
        <v>137</v>
      </c>
      <c r="B168" s="961" t="s">
        <v>979</v>
      </c>
      <c r="C168" s="953" t="s">
        <v>1210</v>
      </c>
      <c r="D168" s="962"/>
      <c r="E168" s="962">
        <v>1</v>
      </c>
      <c r="F168" s="986">
        <v>24000</v>
      </c>
      <c r="G168" s="963">
        <f>E168*F168</f>
        <v>24000</v>
      </c>
      <c r="H168" s="962"/>
      <c r="I168" s="964"/>
    </row>
    <row r="169" spans="1:9">
      <c r="A169" s="960" t="s">
        <v>137</v>
      </c>
      <c r="B169" s="961" t="s">
        <v>980</v>
      </c>
      <c r="C169" s="953" t="s">
        <v>1210</v>
      </c>
      <c r="D169" s="962"/>
      <c r="E169" s="962">
        <v>3</v>
      </c>
      <c r="F169" s="986">
        <v>17000</v>
      </c>
      <c r="G169" s="963">
        <f>E169*F169</f>
        <v>51000</v>
      </c>
      <c r="H169" s="962"/>
      <c r="I169" s="964"/>
    </row>
    <row r="170" spans="1:9">
      <c r="A170" s="960" t="s">
        <v>137</v>
      </c>
      <c r="B170" s="961" t="s">
        <v>981</v>
      </c>
      <c r="C170" s="953" t="s">
        <v>1210</v>
      </c>
      <c r="D170" s="962"/>
      <c r="E170" s="962">
        <v>14</v>
      </c>
      <c r="F170" s="986">
        <v>8500</v>
      </c>
      <c r="G170" s="963">
        <f>E170*F170</f>
        <v>119000</v>
      </c>
      <c r="H170" s="962"/>
      <c r="I170" s="964"/>
    </row>
    <row r="171" spans="1:9">
      <c r="A171" s="960" t="s">
        <v>1211</v>
      </c>
      <c r="B171" s="961" t="s">
        <v>1212</v>
      </c>
      <c r="C171" s="953" t="s">
        <v>1213</v>
      </c>
      <c r="D171" s="962"/>
      <c r="E171" s="987">
        <v>66.900000000000006</v>
      </c>
      <c r="F171" s="986">
        <v>30</v>
      </c>
      <c r="G171" s="963">
        <v>3263</v>
      </c>
      <c r="H171" s="962"/>
      <c r="I171" s="964"/>
    </row>
    <row r="172" spans="1:9" s="954" customFormat="1">
      <c r="A172" s="951">
        <v>12</v>
      </c>
      <c r="B172" s="952" t="s">
        <v>598</v>
      </c>
      <c r="C172" s="953"/>
      <c r="D172" s="949"/>
      <c r="E172" s="949"/>
      <c r="F172" s="949"/>
      <c r="G172" s="949">
        <v>59674</v>
      </c>
      <c r="H172" s="949"/>
      <c r="I172" s="950"/>
    </row>
    <row r="173" spans="1:9" hidden="1">
      <c r="A173" s="960" t="s">
        <v>1214</v>
      </c>
      <c r="B173" s="961" t="s">
        <v>1215</v>
      </c>
      <c r="C173" s="953"/>
      <c r="D173" s="962"/>
      <c r="E173" s="988">
        <f>E174+E179</f>
        <v>3.3551886290322583</v>
      </c>
      <c r="F173" s="989">
        <v>0.48</v>
      </c>
      <c r="G173" s="962"/>
      <c r="H173" s="962"/>
      <c r="I173" s="964"/>
    </row>
    <row r="174" spans="1:9" hidden="1">
      <c r="A174" s="960" t="s">
        <v>34</v>
      </c>
      <c r="B174" s="961" t="s">
        <v>1216</v>
      </c>
      <c r="C174" s="953"/>
      <c r="D174" s="962"/>
      <c r="E174" s="988">
        <f>E175*15+E176*7+E177*2+E178*1</f>
        <v>1.7546136290322583</v>
      </c>
      <c r="F174" s="962"/>
      <c r="G174" s="962"/>
      <c r="H174" s="962"/>
      <c r="I174" s="964"/>
    </row>
    <row r="175" spans="1:9" s="996" customFormat="1" hidden="1">
      <c r="A175" s="990" t="s">
        <v>137</v>
      </c>
      <c r="B175" s="991" t="s">
        <v>1217</v>
      </c>
      <c r="C175" s="992" t="s">
        <v>1099</v>
      </c>
      <c r="D175" s="993"/>
      <c r="E175" s="994"/>
      <c r="F175" s="993">
        <v>15</v>
      </c>
      <c r="G175" s="993"/>
      <c r="H175" s="993"/>
      <c r="I175" s="995"/>
    </row>
    <row r="176" spans="1:9" s="996" customFormat="1" hidden="1">
      <c r="A176" s="990" t="s">
        <v>137</v>
      </c>
      <c r="B176" s="991" t="s">
        <v>1218</v>
      </c>
      <c r="C176" s="992" t="s">
        <v>1099</v>
      </c>
      <c r="D176" s="993"/>
      <c r="E176" s="994"/>
      <c r="F176" s="993">
        <v>7</v>
      </c>
      <c r="G176" s="993"/>
      <c r="H176" s="993"/>
      <c r="I176" s="995"/>
    </row>
    <row r="177" spans="1:9" s="996" customFormat="1" hidden="1">
      <c r="A177" s="990" t="s">
        <v>137</v>
      </c>
      <c r="B177" s="991" t="s">
        <v>1219</v>
      </c>
      <c r="C177" s="992" t="s">
        <v>1099</v>
      </c>
      <c r="D177" s="993"/>
      <c r="E177" s="994">
        <f>154038.629032258/1000000</f>
        <v>0.15403862903225801</v>
      </c>
      <c r="F177" s="993">
        <v>2</v>
      </c>
      <c r="G177" s="993"/>
      <c r="H177" s="993"/>
      <c r="I177" s="995"/>
    </row>
    <row r="178" spans="1:9" s="996" customFormat="1" hidden="1">
      <c r="A178" s="990" t="s">
        <v>137</v>
      </c>
      <c r="B178" s="991" t="s">
        <v>1220</v>
      </c>
      <c r="C178" s="992" t="s">
        <v>1099</v>
      </c>
      <c r="D178" s="993"/>
      <c r="E178" s="994">
        <f>E44/1000000-SUM(E175:E177)</f>
        <v>1.4465363709677421</v>
      </c>
      <c r="F178" s="993">
        <v>1</v>
      </c>
      <c r="G178" s="993"/>
      <c r="H178" s="993"/>
      <c r="I178" s="995"/>
    </row>
    <row r="179" spans="1:9" hidden="1">
      <c r="A179" s="960" t="s">
        <v>35</v>
      </c>
      <c r="B179" s="961" t="s">
        <v>1221</v>
      </c>
      <c r="C179" s="953"/>
      <c r="D179" s="962"/>
      <c r="E179" s="988">
        <f>IF(E184&gt;2000,E44*15/1000000,IF(E184&gt;1000,E44*6/1000000,IF(E184&gt;750,E44*2.5/1000000,IF(E184&gt;500,E44*1.8/1000000,E44/1000000))))</f>
        <v>1.6005750000000001</v>
      </c>
      <c r="F179" s="962"/>
      <c r="G179" s="962"/>
      <c r="H179" s="962"/>
      <c r="I179" s="964"/>
    </row>
    <row r="180" spans="1:9" s="996" customFormat="1" hidden="1">
      <c r="A180" s="990" t="s">
        <v>137</v>
      </c>
      <c r="B180" s="991" t="s">
        <v>1222</v>
      </c>
      <c r="C180" s="992"/>
      <c r="D180" s="993"/>
      <c r="E180" s="994"/>
      <c r="F180" s="993">
        <v>15</v>
      </c>
      <c r="G180" s="993"/>
      <c r="H180" s="993"/>
      <c r="I180" s="995"/>
    </row>
    <row r="181" spans="1:9" s="996" customFormat="1" hidden="1">
      <c r="A181" s="990" t="s">
        <v>137</v>
      </c>
      <c r="B181" s="991" t="s">
        <v>1223</v>
      </c>
      <c r="C181" s="992"/>
      <c r="D181" s="993"/>
      <c r="E181" s="994"/>
      <c r="F181" s="993">
        <v>6</v>
      </c>
      <c r="G181" s="993"/>
      <c r="H181" s="993"/>
      <c r="I181" s="995"/>
    </row>
    <row r="182" spans="1:9" s="996" customFormat="1" hidden="1">
      <c r="A182" s="990" t="s">
        <v>137</v>
      </c>
      <c r="B182" s="991" t="s">
        <v>1224</v>
      </c>
      <c r="C182" s="992"/>
      <c r="D182" s="993"/>
      <c r="E182" s="994"/>
      <c r="F182" s="993">
        <v>2.5</v>
      </c>
      <c r="G182" s="993"/>
      <c r="H182" s="993"/>
      <c r="I182" s="995"/>
    </row>
    <row r="183" spans="1:9" s="996" customFormat="1" hidden="1">
      <c r="A183" s="990" t="s">
        <v>137</v>
      </c>
      <c r="B183" s="991" t="s">
        <v>1225</v>
      </c>
      <c r="C183" s="992"/>
      <c r="D183" s="993"/>
      <c r="E183" s="997"/>
      <c r="F183" s="993">
        <v>1.8</v>
      </c>
      <c r="G183" s="993"/>
      <c r="H183" s="993"/>
      <c r="I183" s="995"/>
    </row>
    <row r="184" spans="1:9" s="996" customFormat="1" hidden="1">
      <c r="A184" s="990" t="s">
        <v>137</v>
      </c>
      <c r="B184" s="991" t="s">
        <v>1226</v>
      </c>
      <c r="C184" s="992"/>
      <c r="D184" s="993"/>
      <c r="E184" s="997"/>
      <c r="F184" s="993">
        <v>1</v>
      </c>
      <c r="G184" s="993"/>
      <c r="H184" s="993"/>
      <c r="I184" s="995"/>
    </row>
    <row r="185" spans="1:9" hidden="1">
      <c r="A185" s="960" t="s">
        <v>1227</v>
      </c>
      <c r="B185" s="961" t="s">
        <v>1228</v>
      </c>
      <c r="C185" s="953" t="s">
        <v>1229</v>
      </c>
      <c r="D185" s="962"/>
      <c r="E185" s="962">
        <v>17037772</v>
      </c>
      <c r="F185" s="989">
        <v>0.3</v>
      </c>
      <c r="G185" s="963"/>
      <c r="H185" s="962"/>
      <c r="I185" s="964"/>
    </row>
    <row r="186" spans="1:9" hidden="1">
      <c r="A186" s="960" t="s">
        <v>1230</v>
      </c>
      <c r="B186" s="961" t="s">
        <v>1231</v>
      </c>
      <c r="C186" s="953" t="s">
        <v>743</v>
      </c>
      <c r="D186" s="962"/>
      <c r="E186" s="962">
        <f>6168</f>
        <v>6168</v>
      </c>
      <c r="F186" s="989">
        <v>0.22</v>
      </c>
      <c r="G186" s="963"/>
      <c r="H186" s="962"/>
      <c r="I186" s="964"/>
    </row>
    <row r="187" spans="1:9" s="954" customFormat="1">
      <c r="A187" s="951">
        <v>13</v>
      </c>
      <c r="B187" s="952" t="s">
        <v>90</v>
      </c>
      <c r="C187" s="953"/>
      <c r="D187" s="949"/>
      <c r="E187" s="949"/>
      <c r="F187" s="949"/>
      <c r="G187" s="949">
        <f>SUM(G188:G188)</f>
        <v>43041.862731629684</v>
      </c>
      <c r="H187" s="949"/>
      <c r="I187" s="950"/>
    </row>
    <row r="188" spans="1:9" s="970" customFormat="1">
      <c r="A188" s="960"/>
      <c r="B188" s="961" t="s">
        <v>1232</v>
      </c>
      <c r="C188" s="953"/>
      <c r="D188" s="971"/>
      <c r="E188" s="971"/>
      <c r="F188" s="998">
        <v>5.0000000000000001E-3</v>
      </c>
      <c r="G188" s="962">
        <f>(SUM(G13,G43,G58,G108,G115,G121,G127,G137,G146,G155,G156,G172))*F188</f>
        <v>43041.862731629684</v>
      </c>
      <c r="H188" s="971"/>
      <c r="I188" s="972"/>
    </row>
    <row r="189" spans="1:9" s="954" customFormat="1" ht="29.25" customHeight="1">
      <c r="A189" s="999">
        <v>14</v>
      </c>
      <c r="B189" s="1000" t="s">
        <v>1233</v>
      </c>
      <c r="C189" s="1001"/>
      <c r="D189" s="1002">
        <f>D9-D13-D155</f>
        <v>4813812.7888039034</v>
      </c>
      <c r="E189" s="1002"/>
      <c r="F189" s="1003"/>
      <c r="G189" s="1004">
        <f>IF(((D9-D13-D155)*F189-(G43+G58+G108+G115+G121+G127+G137++G146+G156+G172+G187))&lt;0,0,((D9-D13-D155)*F189-(G43+G58+G108+G115+G121+G127+G137++G146+G156+G172+G187)))</f>
        <v>0</v>
      </c>
      <c r="H189" s="1002"/>
      <c r="I189" s="1005"/>
    </row>
    <row r="190" spans="1:9" ht="16.2" thickBot="1">
      <c r="A190" s="1006"/>
      <c r="B190" s="1007"/>
      <c r="C190" s="1008"/>
      <c r="D190" s="1008"/>
      <c r="E190" s="1008"/>
      <c r="F190" s="1008"/>
      <c r="G190" s="1008"/>
      <c r="H190" s="1008"/>
      <c r="I190" s="1009"/>
    </row>
    <row r="191" spans="1:9" ht="16.2" thickBot="1">
      <c r="A191" s="1010"/>
      <c r="B191" s="1011"/>
      <c r="C191" s="1011"/>
      <c r="D191" s="1011"/>
      <c r="E191" s="1011"/>
      <c r="F191" s="1011"/>
      <c r="G191" s="1011"/>
      <c r="H191" s="1011"/>
      <c r="I191" s="1011"/>
    </row>
    <row r="192" spans="1:9" s="924" customFormat="1">
      <c r="A192" s="1012"/>
      <c r="B192" s="1013" t="s">
        <v>1234</v>
      </c>
      <c r="C192" s="1014"/>
      <c r="D192" s="1014"/>
      <c r="E192" s="1014"/>
      <c r="F192" s="1014"/>
      <c r="G192" s="1015"/>
      <c r="H192" s="1016"/>
      <c r="I192" s="1017"/>
    </row>
    <row r="193" spans="1:9">
      <c r="A193" s="1018">
        <v>1</v>
      </c>
      <c r="B193" s="4382" t="s">
        <v>1235</v>
      </c>
      <c r="C193" s="4383"/>
      <c r="D193" s="4384"/>
      <c r="E193" s="1019"/>
      <c r="F193" s="1019"/>
      <c r="G193" s="255">
        <v>0.15</v>
      </c>
      <c r="H193" s="1020"/>
      <c r="I193" s="1011"/>
    </row>
    <row r="194" spans="1:9" hidden="1">
      <c r="A194" s="1018">
        <f>A193+1</f>
        <v>2</v>
      </c>
      <c r="B194" s="4382" t="s">
        <v>1236</v>
      </c>
      <c r="C194" s="4383"/>
      <c r="D194" s="4384"/>
      <c r="E194" s="1019"/>
      <c r="F194" s="1019"/>
      <c r="G194" s="1021">
        <v>2599960</v>
      </c>
      <c r="H194" s="1020"/>
      <c r="I194" s="1011"/>
    </row>
    <row r="195" spans="1:9" hidden="1">
      <c r="A195" s="1018">
        <f>A194+1</f>
        <v>3</v>
      </c>
      <c r="B195" s="4382" t="s">
        <v>1237</v>
      </c>
      <c r="C195" s="4383"/>
      <c r="D195" s="4384"/>
      <c r="E195" s="1019"/>
      <c r="F195" s="1019"/>
      <c r="G195" s="1022">
        <v>392.92</v>
      </c>
      <c r="H195" s="1020"/>
      <c r="I195" s="1011"/>
    </row>
    <row r="196" spans="1:9" hidden="1">
      <c r="A196" s="1018">
        <f>A195+1</f>
        <v>4</v>
      </c>
      <c r="B196" s="4382" t="s">
        <v>1238</v>
      </c>
      <c r="C196" s="4383"/>
      <c r="D196" s="4384"/>
      <c r="E196" s="1019"/>
      <c r="F196" s="1019"/>
      <c r="G196" s="1021">
        <v>416863.19</v>
      </c>
      <c r="H196" s="1020"/>
      <c r="I196" s="1011"/>
    </row>
    <row r="197" spans="1:9" hidden="1">
      <c r="A197" s="1018">
        <f>A196+1</f>
        <v>5</v>
      </c>
      <c r="B197" s="4382" t="s">
        <v>1239</v>
      </c>
      <c r="C197" s="4383"/>
      <c r="D197" s="4384"/>
      <c r="E197" s="1019"/>
      <c r="F197" s="1019"/>
      <c r="G197" s="1021">
        <v>2360659</v>
      </c>
      <c r="H197" s="1020"/>
      <c r="I197" s="1011"/>
    </row>
    <row r="198" spans="1:9" hidden="1">
      <c r="A198" s="1018">
        <f>A197+1</f>
        <v>6</v>
      </c>
      <c r="B198" s="4382" t="s">
        <v>1240</v>
      </c>
      <c r="C198" s="4383"/>
      <c r="D198" s="4384"/>
      <c r="E198" s="1023"/>
      <c r="F198" s="1023"/>
      <c r="G198" s="1024">
        <v>10283176</v>
      </c>
      <c r="H198" s="1025"/>
      <c r="I198" s="1011"/>
    </row>
    <row r="199" spans="1:9" ht="16.2" thickBot="1">
      <c r="A199" s="1026"/>
      <c r="B199" s="1027"/>
      <c r="C199" s="1028"/>
      <c r="D199" s="1028"/>
      <c r="E199" s="1028"/>
      <c r="F199" s="1028"/>
      <c r="G199" s="1008"/>
      <c r="H199" s="1029"/>
      <c r="I199" s="1011"/>
    </row>
    <row r="201" spans="1:9">
      <c r="C201" s="923">
        <v>100</v>
      </c>
      <c r="D201" s="1030">
        <v>70000000</v>
      </c>
      <c r="F201" s="1030">
        <v>54000000</v>
      </c>
      <c r="G201" s="1031">
        <v>1.3</v>
      </c>
    </row>
    <row r="202" spans="1:9">
      <c r="C202" s="923">
        <v>500</v>
      </c>
      <c r="D202" s="1030">
        <v>65000000</v>
      </c>
      <c r="F202" s="1030">
        <v>50000000</v>
      </c>
      <c r="G202" s="1031">
        <v>1.3</v>
      </c>
    </row>
    <row r="203" spans="1:9">
      <c r="C203" s="923">
        <v>1000</v>
      </c>
      <c r="D203" s="1030">
        <v>61000000</v>
      </c>
      <c r="F203" s="1030">
        <v>48000000</v>
      </c>
      <c r="G203" s="1031">
        <v>1.27</v>
      </c>
    </row>
    <row r="204" spans="1:9">
      <c r="C204" s="923">
        <v>1001</v>
      </c>
      <c r="D204" s="1030">
        <v>57000000</v>
      </c>
      <c r="F204" s="1030">
        <v>45000000</v>
      </c>
      <c r="G204" s="1031">
        <v>1.27</v>
      </c>
    </row>
    <row r="206" spans="1:9">
      <c r="D206" s="1030">
        <v>20000000</v>
      </c>
      <c r="F206" s="1030">
        <f>+D206*G201</f>
        <v>26000000</v>
      </c>
      <c r="G206" s="1032"/>
    </row>
    <row r="207" spans="1:9">
      <c r="F207" s="1032">
        <f>ROUND(F206,-6)</f>
        <v>26000000</v>
      </c>
    </row>
    <row r="208" spans="1:9">
      <c r="F208" s="1032">
        <f>+D206*G203</f>
        <v>25400000</v>
      </c>
    </row>
    <row r="209" spans="4:6">
      <c r="F209" s="1032">
        <f>ROUND(F208,-6)</f>
        <v>25000000</v>
      </c>
    </row>
    <row r="212" spans="4:6">
      <c r="D212" s="1032">
        <v>1150000</v>
      </c>
    </row>
    <row r="213" spans="4:6">
      <c r="D213" s="1032">
        <v>1210000</v>
      </c>
    </row>
    <row r="214" spans="4:6">
      <c r="D214" s="923">
        <f>D213/D212</f>
        <v>1.0521739130434782</v>
      </c>
    </row>
  </sheetData>
  <mergeCells count="20">
    <mergeCell ref="A1:I1"/>
    <mergeCell ref="A2:I2"/>
    <mergeCell ref="G4:I4"/>
    <mergeCell ref="A5:A7"/>
    <mergeCell ref="B5:B7"/>
    <mergeCell ref="C5:C7"/>
    <mergeCell ref="D5:D7"/>
    <mergeCell ref="E5:G5"/>
    <mergeCell ref="H5:I5"/>
    <mergeCell ref="E6:E7"/>
    <mergeCell ref="G6:G7"/>
    <mergeCell ref="H6:H7"/>
    <mergeCell ref="I6:I7"/>
    <mergeCell ref="B198:D198"/>
    <mergeCell ref="F6:F7"/>
    <mergeCell ref="B193:D193"/>
    <mergeCell ref="B194:D194"/>
    <mergeCell ref="B195:D195"/>
    <mergeCell ref="B196:D196"/>
    <mergeCell ref="B197:D197"/>
  </mergeCells>
  <hyperlinks>
    <hyperlink ref="A5:A7" location="'List danh mục'!A1" display="STT"/>
  </hyperlinks>
  <pageMargins left="0.7" right="0.7" top="0.75" bottom="0.75" header="0.3" footer="0.3"/>
  <pageSetup orientation="portrait" verticalDpi="0"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DG52"/>
  <sheetViews>
    <sheetView zoomScale="70" zoomScaleNormal="70" workbookViewId="0">
      <pane xSplit="5" ySplit="9" topLeftCell="F10" activePane="bottomRight" state="frozen"/>
      <selection activeCell="A91" sqref="A91:C91"/>
      <selection pane="topRight" activeCell="A91" sqref="A91:C91"/>
      <selection pane="bottomLeft" activeCell="A91" sqref="A91:C91"/>
      <selection pane="bottomRight" activeCell="A91" sqref="A91:C91"/>
    </sheetView>
  </sheetViews>
  <sheetFormatPr defaultColWidth="9" defaultRowHeight="18"/>
  <cols>
    <col min="1" max="1" width="4.3984375" style="1" customWidth="1"/>
    <col min="2" max="2" width="32.09765625" style="1" customWidth="1"/>
    <col min="3" max="3" width="9.09765625" style="1" customWidth="1"/>
    <col min="4" max="4" width="9.69921875" style="1" customWidth="1"/>
    <col min="5" max="22" width="8" style="1" customWidth="1"/>
    <col min="23" max="23" width="9.19921875" style="1" customWidth="1"/>
    <col min="24" max="26" width="8.69921875" style="1" customWidth="1"/>
    <col min="27" max="28" width="9" style="1"/>
    <col min="29" max="29" width="10" style="1" customWidth="1"/>
    <col min="30" max="30" width="11.19921875" style="1" customWidth="1"/>
    <col min="31" max="35" width="9" style="1"/>
    <col min="36" max="36" width="9" style="3379"/>
    <col min="37" max="16384" width="9" style="1"/>
  </cols>
  <sheetData>
    <row r="1" spans="1:111" s="3" customFormat="1" ht="37.65" customHeight="1">
      <c r="A1" s="4395" t="s">
        <v>1761</v>
      </c>
      <c r="B1" s="4395"/>
      <c r="C1" s="4395"/>
      <c r="D1" s="4395"/>
      <c r="E1" s="4395"/>
      <c r="F1" s="4395"/>
      <c r="G1" s="4395"/>
      <c r="H1" s="4395"/>
      <c r="I1" s="4395"/>
      <c r="J1" s="4395"/>
      <c r="K1" s="4395"/>
      <c r="L1" s="4395"/>
      <c r="M1" s="4395"/>
      <c r="N1" s="4395"/>
      <c r="O1" s="4395"/>
      <c r="P1" s="4395"/>
      <c r="Q1" s="4395"/>
      <c r="R1" s="4395"/>
      <c r="S1" s="4395"/>
      <c r="T1" s="4395"/>
      <c r="U1" s="4395"/>
      <c r="V1" s="4395"/>
      <c r="W1" s="4395"/>
      <c r="X1" s="4395"/>
      <c r="Y1" s="4395"/>
      <c r="Z1" s="4395"/>
      <c r="AJ1" s="3378"/>
      <c r="AP1" s="3" t="s">
        <v>635</v>
      </c>
      <c r="AU1" s="60"/>
      <c r="BC1" s="60"/>
      <c r="BK1" s="60"/>
      <c r="BS1" s="60"/>
      <c r="CA1" s="60"/>
      <c r="CI1" s="60"/>
      <c r="CQ1" s="60"/>
      <c r="CY1" s="60"/>
      <c r="DG1" s="60"/>
    </row>
    <row r="2" spans="1:111" ht="18.600000000000001" thickBot="1">
      <c r="B2" s="2907"/>
      <c r="C2" s="2907"/>
      <c r="D2" s="2907"/>
      <c r="S2" s="4396" t="s">
        <v>73</v>
      </c>
      <c r="T2" s="4396"/>
      <c r="U2" s="4396"/>
      <c r="V2" s="4396"/>
      <c r="W2" s="4396"/>
      <c r="X2" s="4396"/>
      <c r="Y2" s="4396"/>
      <c r="Z2" s="4396"/>
      <c r="AC2" s="35"/>
    </row>
    <row r="3" spans="1:111" s="24" customFormat="1" ht="24.75" customHeight="1">
      <c r="A3" s="4397" t="s">
        <v>0</v>
      </c>
      <c r="B3" s="4399" t="s">
        <v>1</v>
      </c>
      <c r="C3" s="4401" t="s">
        <v>1243</v>
      </c>
      <c r="D3" s="4404" t="s">
        <v>554</v>
      </c>
      <c r="E3" s="4407" t="s">
        <v>145</v>
      </c>
      <c r="F3" s="4409" t="s">
        <v>513</v>
      </c>
      <c r="G3" s="4410"/>
      <c r="H3" s="4410"/>
      <c r="I3" s="4411"/>
      <c r="J3" s="4401" t="s">
        <v>2426</v>
      </c>
      <c r="K3" s="4401" t="s">
        <v>1244</v>
      </c>
      <c r="L3" s="4407" t="s">
        <v>2420</v>
      </c>
      <c r="M3" s="4404" t="s">
        <v>2421</v>
      </c>
      <c r="N3" s="4407" t="s">
        <v>2423</v>
      </c>
      <c r="O3" s="4409" t="s">
        <v>513</v>
      </c>
      <c r="P3" s="4410"/>
      <c r="Q3" s="4410"/>
      <c r="R3" s="4411"/>
      <c r="S3" s="4407" t="s">
        <v>2587</v>
      </c>
      <c r="T3" s="4409" t="s">
        <v>513</v>
      </c>
      <c r="U3" s="4410"/>
      <c r="V3" s="4410"/>
      <c r="W3" s="4411"/>
      <c r="X3" s="4407" t="s">
        <v>2422</v>
      </c>
      <c r="Y3" s="4407" t="s">
        <v>2673</v>
      </c>
      <c r="Z3" s="4412"/>
      <c r="AJ3" s="3380"/>
    </row>
    <row r="4" spans="1:111" s="24" customFormat="1" ht="27.75" customHeight="1">
      <c r="A4" s="4398"/>
      <c r="B4" s="4400"/>
      <c r="C4" s="4402"/>
      <c r="D4" s="4405"/>
      <c r="E4" s="4408"/>
      <c r="F4" s="4405" t="s">
        <v>2733</v>
      </c>
      <c r="G4" s="4405" t="s">
        <v>2734</v>
      </c>
      <c r="H4" s="4414" t="s">
        <v>309</v>
      </c>
      <c r="I4" s="4415"/>
      <c r="J4" s="4402"/>
      <c r="K4" s="4402"/>
      <c r="L4" s="4408"/>
      <c r="M4" s="4405"/>
      <c r="N4" s="4408"/>
      <c r="O4" s="4405" t="s">
        <v>2733</v>
      </c>
      <c r="P4" s="4405" t="s">
        <v>2734</v>
      </c>
      <c r="Q4" s="4414" t="s">
        <v>309</v>
      </c>
      <c r="R4" s="4415"/>
      <c r="S4" s="4408"/>
      <c r="T4" s="4405" t="s">
        <v>2733</v>
      </c>
      <c r="U4" s="4405" t="s">
        <v>2734</v>
      </c>
      <c r="V4" s="4414" t="s">
        <v>309</v>
      </c>
      <c r="W4" s="4415"/>
      <c r="X4" s="4408"/>
      <c r="Y4" s="4408"/>
      <c r="Z4" s="4413"/>
      <c r="AB4" s="60">
        <f>+$L$9*5%</f>
        <v>243499.99</v>
      </c>
      <c r="AC4" s="60">
        <f>+AB4+$S$9</f>
        <v>5552499.9900000002</v>
      </c>
      <c r="AD4" s="60">
        <f>AC4+$S$19+$S$26</f>
        <v>9272499.9900000002</v>
      </c>
      <c r="AJ4" s="3380"/>
    </row>
    <row r="5" spans="1:111" s="24" customFormat="1" ht="114.6" customHeight="1">
      <c r="A5" s="4398"/>
      <c r="B5" s="4400"/>
      <c r="C5" s="4403"/>
      <c r="D5" s="4406"/>
      <c r="E5" s="4408"/>
      <c r="F5" s="4406"/>
      <c r="G5" s="4406"/>
      <c r="H5" s="3713" t="s">
        <v>2735</v>
      </c>
      <c r="I5" s="3713" t="s">
        <v>2726</v>
      </c>
      <c r="J5" s="4403"/>
      <c r="K5" s="4403"/>
      <c r="L5" s="4408"/>
      <c r="M5" s="4406"/>
      <c r="N5" s="4408"/>
      <c r="O5" s="4406"/>
      <c r="P5" s="4406"/>
      <c r="Q5" s="3713" t="s">
        <v>2735</v>
      </c>
      <c r="R5" s="3713" t="s">
        <v>2726</v>
      </c>
      <c r="S5" s="4408"/>
      <c r="T5" s="4406"/>
      <c r="U5" s="4406"/>
      <c r="V5" s="3713" t="s">
        <v>2735</v>
      </c>
      <c r="W5" s="3713" t="s">
        <v>2726</v>
      </c>
      <c r="X5" s="4408"/>
      <c r="Y5" s="182" t="s">
        <v>1245</v>
      </c>
      <c r="Z5" s="3714" t="s">
        <v>1246</v>
      </c>
      <c r="AB5" s="60">
        <f>+$L$9*12%</f>
        <v>584399.97599999991</v>
      </c>
      <c r="AC5" s="60">
        <f>+AB5+$S$9</f>
        <v>5893399.9759999998</v>
      </c>
      <c r="AD5" s="60">
        <f>AC5+$S$19+$S$26</f>
        <v>9613399.9759999998</v>
      </c>
      <c r="AJ5" s="3380"/>
    </row>
    <row r="6" spans="1:111" s="60" customFormat="1" ht="17.399999999999999">
      <c r="A6" s="3381">
        <v>1</v>
      </c>
      <c r="B6" s="3382">
        <v>2</v>
      </c>
      <c r="C6" s="3382"/>
      <c r="D6" s="3383">
        <v>3</v>
      </c>
      <c r="E6" s="3383">
        <v>4</v>
      </c>
      <c r="F6" s="3383"/>
      <c r="G6" s="3383"/>
      <c r="H6" s="3383"/>
      <c r="I6" s="3383"/>
      <c r="J6" s="3409">
        <v>5</v>
      </c>
      <c r="K6" s="3409" t="s">
        <v>1247</v>
      </c>
      <c r="L6" s="3383">
        <v>7</v>
      </c>
      <c r="M6" s="3383" t="s">
        <v>1248</v>
      </c>
      <c r="N6" s="3383">
        <v>9</v>
      </c>
      <c r="O6" s="3383"/>
      <c r="P6" s="3383"/>
      <c r="Q6" s="3383"/>
      <c r="R6" s="3383"/>
      <c r="S6" s="3383">
        <v>10</v>
      </c>
      <c r="T6" s="3383"/>
      <c r="U6" s="3383"/>
      <c r="V6" s="3383"/>
      <c r="W6" s="3383"/>
      <c r="X6" s="3383" t="s">
        <v>1249</v>
      </c>
      <c r="Y6" s="3384" t="s">
        <v>1250</v>
      </c>
      <c r="Z6" s="3714" t="s">
        <v>1251</v>
      </c>
      <c r="AB6" s="60">
        <f>+$L$9*10%</f>
        <v>486999.98</v>
      </c>
      <c r="AC6" s="60">
        <f>+AB6+$S$9</f>
        <v>5795999.9800000004</v>
      </c>
      <c r="AD6" s="60">
        <f>AC6+$S$19+$S$26</f>
        <v>9515999.9800000004</v>
      </c>
      <c r="AJ6" s="3385"/>
    </row>
    <row r="7" spans="1:111" s="2210" customFormat="1" ht="17.399999999999999">
      <c r="A7" s="2672"/>
      <c r="B7" s="2268" t="s">
        <v>1252</v>
      </c>
      <c r="C7" s="2268">
        <f>SUM(C8,C27)</f>
        <v>5155333</v>
      </c>
      <c r="D7" s="3386">
        <f>SUM(D8,D27)</f>
        <v>7877157.3248490002</v>
      </c>
      <c r="E7" s="3386">
        <f>SUM(E8,E27)</f>
        <v>7590000</v>
      </c>
      <c r="F7" s="3386">
        <f t="shared" ref="F7:I7" si="0">SUM(F8,F27)</f>
        <v>886000</v>
      </c>
      <c r="G7" s="3386">
        <f t="shared" si="0"/>
        <v>6704000</v>
      </c>
      <c r="H7" s="3386">
        <f t="shared" si="0"/>
        <v>3806650</v>
      </c>
      <c r="I7" s="3386">
        <f t="shared" si="0"/>
        <v>2897350</v>
      </c>
      <c r="J7" s="3410">
        <f>SUM(J8,J27)</f>
        <v>4941850</v>
      </c>
      <c r="K7" s="3411">
        <f>J7/E7%</f>
        <v>65.110013175230563</v>
      </c>
      <c r="L7" s="3386">
        <f>SUM(L8,L27)</f>
        <v>8150745.3199999994</v>
      </c>
      <c r="M7" s="3387">
        <f>L7/E7%</f>
        <v>107.3879488801054</v>
      </c>
      <c r="N7" s="3386">
        <f>SUM(N8,N27)</f>
        <v>8914000</v>
      </c>
      <c r="O7" s="3386">
        <f t="shared" ref="O7:R7" si="1">SUM(O8,O27)</f>
        <v>738070</v>
      </c>
      <c r="P7" s="3386">
        <f t="shared" si="1"/>
        <v>8175930</v>
      </c>
      <c r="Q7" s="3386">
        <f t="shared" si="1"/>
        <v>4422430</v>
      </c>
      <c r="R7" s="3386">
        <f t="shared" si="1"/>
        <v>3753500</v>
      </c>
      <c r="S7" s="3386">
        <f>SUM(S8,S27)</f>
        <v>9266000</v>
      </c>
      <c r="T7" s="3386">
        <f t="shared" ref="T7:W7" si="2">SUM(T8,T27)</f>
        <v>781070</v>
      </c>
      <c r="U7" s="3386">
        <f t="shared" si="2"/>
        <v>8484930</v>
      </c>
      <c r="V7" s="3386">
        <f>SUM(V8,V27)</f>
        <v>4545850</v>
      </c>
      <c r="W7" s="3386">
        <f t="shared" si="2"/>
        <v>3939080</v>
      </c>
      <c r="X7" s="3386">
        <f>SUM(X8,X27)</f>
        <v>-352000</v>
      </c>
      <c r="Y7" s="3388">
        <f t="shared" ref="Y7:Y13" si="3">S7/L7*100</f>
        <v>113.6828552017621</v>
      </c>
      <c r="Z7" s="3389">
        <f>IF(N7=0,0,N7/L7%)</f>
        <v>109.36423173629477</v>
      </c>
      <c r="AA7" s="3390">
        <f>+L7/D7%</f>
        <v>103.47318180745162</v>
      </c>
      <c r="AB7" s="2210">
        <f>S7/E7%</f>
        <v>122.08168642951252</v>
      </c>
      <c r="AC7" s="2210">
        <f>+AA7-100</f>
        <v>3.4731818074516241</v>
      </c>
      <c r="AE7" s="3391">
        <f t="shared" ref="AE7:AE27" si="4">+L7/$L$7</f>
        <v>1</v>
      </c>
      <c r="AG7" s="3391">
        <f t="shared" ref="AG7:AG27" si="5">S7/$S$7</f>
        <v>1</v>
      </c>
      <c r="AI7" s="3392">
        <f t="shared" ref="AI7:AI27" si="6">J7/C7%</f>
        <v>95.858987188606434</v>
      </c>
      <c r="AJ7" s="3393">
        <f>AI7-100</f>
        <v>-4.1410128113935656</v>
      </c>
    </row>
    <row r="8" spans="1:111" s="2210" customFormat="1" ht="17.399999999999999">
      <c r="A8" s="2673" t="s">
        <v>9</v>
      </c>
      <c r="B8" s="1399" t="s">
        <v>10</v>
      </c>
      <c r="C8" s="1399">
        <f>SUM(C10,C11,C12,C13:C26)</f>
        <v>5042872</v>
      </c>
      <c r="D8" s="3255">
        <f>SUM(D10,D11,D12,D13:D26)</f>
        <v>7487373.9545940002</v>
      </c>
      <c r="E8" s="3255">
        <f>SUM(E10,E11,E12,E13:E26)</f>
        <v>7440000</v>
      </c>
      <c r="F8" s="3255">
        <f t="shared" ref="F8:I8" si="7">SUM(F10,F11,F12,F13:F26)</f>
        <v>736000</v>
      </c>
      <c r="G8" s="3255">
        <f t="shared" si="7"/>
        <v>6704000</v>
      </c>
      <c r="H8" s="3255">
        <f t="shared" si="7"/>
        <v>3806650</v>
      </c>
      <c r="I8" s="3255">
        <f t="shared" si="7"/>
        <v>2897350</v>
      </c>
      <c r="J8" s="3412">
        <f>SUM(J10,J11,J12,J13:J26)</f>
        <v>4690828</v>
      </c>
      <c r="K8" s="3413">
        <f t="shared" ref="K8:K13" si="8">J8/E8%</f>
        <v>63.048763440860213</v>
      </c>
      <c r="L8" s="3255">
        <f>SUM(L10,L11,L12,L13:L26)</f>
        <v>7999999.7999999998</v>
      </c>
      <c r="M8" s="3394">
        <f t="shared" ref="M8:M13" si="9">L8/E8%</f>
        <v>107.52687903225807</v>
      </c>
      <c r="N8" s="3255">
        <f>SUM(N10,N11,N12,N13:N26)</f>
        <v>8757000</v>
      </c>
      <c r="O8" s="3255">
        <f t="shared" ref="O8:R8" si="10">SUM(O10,O11,O12,O13:O26)</f>
        <v>581070</v>
      </c>
      <c r="P8" s="3255">
        <f t="shared" si="10"/>
        <v>8175930</v>
      </c>
      <c r="Q8" s="3255">
        <f t="shared" si="10"/>
        <v>4422430</v>
      </c>
      <c r="R8" s="3255">
        <f t="shared" si="10"/>
        <v>3753500</v>
      </c>
      <c r="S8" s="3255">
        <f>SUM(S10,S11,S12,S13:S26)</f>
        <v>9066000</v>
      </c>
      <c r="T8" s="3255">
        <f t="shared" ref="T8:W8" si="11">SUM(T10,T11,T12,T13:T26)</f>
        <v>581070</v>
      </c>
      <c r="U8" s="3255">
        <f t="shared" si="11"/>
        <v>8484930</v>
      </c>
      <c r="V8" s="3255">
        <f>SUM(V10,V11,V12,V13:V26)</f>
        <v>4545850</v>
      </c>
      <c r="W8" s="3255">
        <f t="shared" si="11"/>
        <v>3939080</v>
      </c>
      <c r="X8" s="3255">
        <f>SUM(X10,X11,X12,X13:X26)</f>
        <v>-309000</v>
      </c>
      <c r="Y8" s="3394">
        <f t="shared" si="3"/>
        <v>113.32500283312508</v>
      </c>
      <c r="Z8" s="3395">
        <f>IF(N8=0,0,N8/L8%)</f>
        <v>109.46250273656258</v>
      </c>
      <c r="AA8" s="3390">
        <f>+L8/D8%</f>
        <v>106.84653723073988</v>
      </c>
      <c r="AB8" s="2210">
        <f>S8/E8%</f>
        <v>121.85483870967742</v>
      </c>
      <c r="AC8" s="2210">
        <f t="shared" ref="AC8:AC25" si="12">+AA8-100</f>
        <v>6.8465372307398837</v>
      </c>
      <c r="AE8" s="3391">
        <f t="shared" si="4"/>
        <v>0.9815053085231229</v>
      </c>
      <c r="AG8" s="3391">
        <f t="shared" si="5"/>
        <v>0.97841571336067346</v>
      </c>
      <c r="AI8" s="3392">
        <f t="shared" si="6"/>
        <v>93.018978074398873</v>
      </c>
      <c r="AJ8" s="3393">
        <f t="shared" ref="AJ8:AJ27" si="13">AI8-100</f>
        <v>-6.9810219256011266</v>
      </c>
    </row>
    <row r="9" spans="1:111" s="2210" customFormat="1" ht="17.399999999999999">
      <c r="A9" s="2673"/>
      <c r="B9" s="1399" t="s">
        <v>1253</v>
      </c>
      <c r="C9" s="1399">
        <f>C8-C19-C26-C24</f>
        <v>3055815</v>
      </c>
      <c r="D9" s="3255">
        <f>D8-D19-D26-D24</f>
        <v>4638218.814638</v>
      </c>
      <c r="E9" s="3255">
        <f>E8-E19-E26-E24</f>
        <v>4890000</v>
      </c>
      <c r="F9" s="3255">
        <f t="shared" ref="F9:I9" si="14">F8-F19-F26-F24</f>
        <v>736000</v>
      </c>
      <c r="G9" s="3255">
        <f t="shared" si="14"/>
        <v>4154000</v>
      </c>
      <c r="H9" s="3255">
        <f>H8-H19-H26-H24</f>
        <v>2056650</v>
      </c>
      <c r="I9" s="3255">
        <f t="shared" si="14"/>
        <v>2097350</v>
      </c>
      <c r="J9" s="3412">
        <f>J8-J19-J26-J24</f>
        <v>2989623</v>
      </c>
      <c r="K9" s="3413">
        <f>J9/E9%</f>
        <v>61.137484662576689</v>
      </c>
      <c r="L9" s="3255">
        <f>L8-L19-L26-L24</f>
        <v>4869999.8</v>
      </c>
      <c r="M9" s="3394">
        <f>L9/E9%</f>
        <v>99.590997955010224</v>
      </c>
      <c r="N9" s="3255">
        <f>N8-N19-N26-N24</f>
        <v>5100000</v>
      </c>
      <c r="O9" s="3255">
        <f t="shared" ref="O9:R9" si="15">O8-O19-O26-O24</f>
        <v>581070</v>
      </c>
      <c r="P9" s="3255">
        <f t="shared" si="15"/>
        <v>4518930</v>
      </c>
      <c r="Q9" s="3255">
        <f>Q8-Q19-Q26-Q24</f>
        <v>1908430</v>
      </c>
      <c r="R9" s="3255">
        <f t="shared" si="15"/>
        <v>2610500</v>
      </c>
      <c r="S9" s="3255">
        <f>S8-S19-S26-S24</f>
        <v>5309000</v>
      </c>
      <c r="T9" s="3255">
        <f t="shared" ref="T9:W9" si="16">T8-T19-T26-T24</f>
        <v>581070</v>
      </c>
      <c r="U9" s="3255">
        <f t="shared" si="16"/>
        <v>4727930</v>
      </c>
      <c r="V9" s="3255">
        <f>V8-V19-V26-V24</f>
        <v>1931850</v>
      </c>
      <c r="W9" s="3255">
        <f t="shared" si="16"/>
        <v>2796080</v>
      </c>
      <c r="X9" s="3255">
        <f>X8-X19-X26-X24</f>
        <v>-209000</v>
      </c>
      <c r="Y9" s="3394">
        <f t="shared" si="3"/>
        <v>109.01437819360898</v>
      </c>
      <c r="Z9" s="3395">
        <f>IF(N9=0,0,N9/L9%)</f>
        <v>104.72279690853375</v>
      </c>
      <c r="AA9" s="3390">
        <f>+L9/D9%</f>
        <v>104.99719816215892</v>
      </c>
      <c r="AB9" s="2210">
        <f>S9/E9%</f>
        <v>108.56850715746421</v>
      </c>
      <c r="AC9" s="2210">
        <f>+AA9-100</f>
        <v>4.9971981621589237</v>
      </c>
      <c r="AD9" s="2210">
        <f>+N9-S9</f>
        <v>-209000</v>
      </c>
      <c r="AE9" s="3391">
        <f t="shared" si="4"/>
        <v>0.59749134696310202</v>
      </c>
      <c r="AG9" s="3391">
        <f t="shared" si="5"/>
        <v>0.57295488884092383</v>
      </c>
      <c r="AI9" s="3392">
        <f t="shared" si="6"/>
        <v>97.833900285193963</v>
      </c>
      <c r="AJ9" s="3393">
        <f t="shared" si="13"/>
        <v>-2.1660997148060375</v>
      </c>
      <c r="AK9" s="3392"/>
    </row>
    <row r="10" spans="1:111">
      <c r="A10" s="2675">
        <v>1</v>
      </c>
      <c r="B10" s="1398" t="s">
        <v>507</v>
      </c>
      <c r="C10" s="3396">
        <f>155320+189725</f>
        <v>345045</v>
      </c>
      <c r="D10" s="3397">
        <f>'[20]MB61.1-342thu'!$F$13+'[20]MB61.1-342thu'!$F$20</f>
        <v>619048.00417199999</v>
      </c>
      <c r="E10" s="3397">
        <f>'Phụ lục số 1'!C11+'Phụ lục số 1'!C17</f>
        <v>600000</v>
      </c>
      <c r="F10" s="3397"/>
      <c r="G10" s="3397">
        <f t="shared" ref="G10:G27" si="17">SUM(H10:I10)</f>
        <v>600000</v>
      </c>
      <c r="H10" s="3397">
        <f>'Phụ lục số 1'!F11+'Phụ lục số 1'!F17</f>
        <v>600000</v>
      </c>
      <c r="I10" s="3397"/>
      <c r="J10" s="3414">
        <f>139967+264036</f>
        <v>404003</v>
      </c>
      <c r="K10" s="3415">
        <f t="shared" si="8"/>
        <v>67.333833333333331</v>
      </c>
      <c r="L10" s="3397">
        <f>'Phụ lục số 1'!T11+'Phụ lục số 1'!T17</f>
        <v>480000</v>
      </c>
      <c r="M10" s="3398">
        <f t="shared" si="9"/>
        <v>80</v>
      </c>
      <c r="N10" s="3397">
        <f>'Phụ lục số 1'!AE11+'Phụ lục số 1'!AE17</f>
        <v>530000</v>
      </c>
      <c r="O10" s="3397"/>
      <c r="P10" s="3397">
        <f>SUM(Q10:R10)</f>
        <v>530000</v>
      </c>
      <c r="Q10" s="3397">
        <f>N10</f>
        <v>530000</v>
      </c>
      <c r="R10" s="3397"/>
      <c r="S10" s="3397">
        <f>'Phụ lục số 1'!AE11+'Phụ lục số 1'!AE17</f>
        <v>530000</v>
      </c>
      <c r="T10" s="3397"/>
      <c r="U10" s="3397">
        <f>SUM(V10:W10)</f>
        <v>530000</v>
      </c>
      <c r="V10" s="3397">
        <f>'Phụ lục số 1'!AI11+'Phụ lục số 1'!AI17</f>
        <v>530000</v>
      </c>
      <c r="W10" s="3397"/>
      <c r="X10" s="3397">
        <f>N10-S10</f>
        <v>0</v>
      </c>
      <c r="Y10" s="3398">
        <f t="shared" si="3"/>
        <v>110.41666666666667</v>
      </c>
      <c r="Z10" s="3399">
        <f t="shared" ref="Z10:Z27" si="18">IF(N10=0,0,N10/L10%)</f>
        <v>110.41666666666667</v>
      </c>
      <c r="AA10" s="3390">
        <f>+L10/D10%</f>
        <v>77.538413299953703</v>
      </c>
      <c r="AB10" s="2210">
        <f>S10/E10%</f>
        <v>88.333333333333329</v>
      </c>
      <c r="AC10" s="2210">
        <f>+AA10-100</f>
        <v>-22.461586700046297</v>
      </c>
      <c r="AE10" s="3391">
        <f t="shared" si="4"/>
        <v>5.8890319983645377E-2</v>
      </c>
      <c r="AG10" s="3391">
        <f t="shared" si="5"/>
        <v>5.719835959421541E-2</v>
      </c>
      <c r="AI10" s="3392">
        <f t="shared" si="6"/>
        <v>117.08704661710792</v>
      </c>
      <c r="AJ10" s="3393">
        <f t="shared" si="13"/>
        <v>17.087046617107916</v>
      </c>
    </row>
    <row r="11" spans="1:111">
      <c r="A11" s="2675">
        <v>2</v>
      </c>
      <c r="B11" s="1398" t="s">
        <v>68</v>
      </c>
      <c r="C11" s="3396">
        <v>43095</v>
      </c>
      <c r="D11" s="3397">
        <f>'[20]MB61.1-342thu'!$F$27</f>
        <v>74729.223614999995</v>
      </c>
      <c r="E11" s="3397">
        <f>'Phụ lục số 1'!C23</f>
        <v>70000</v>
      </c>
      <c r="F11" s="3397"/>
      <c r="G11" s="3397">
        <f t="shared" si="17"/>
        <v>70000</v>
      </c>
      <c r="H11" s="3397">
        <f>'Phụ lục số 1'!F23</f>
        <v>70000</v>
      </c>
      <c r="I11" s="3397"/>
      <c r="J11" s="3414">
        <v>34015</v>
      </c>
      <c r="K11" s="3415">
        <f t="shared" si="8"/>
        <v>48.592857142857142</v>
      </c>
      <c r="L11" s="3397">
        <f>'Phụ lục số 1'!T23</f>
        <v>70000</v>
      </c>
      <c r="M11" s="3398">
        <f>L11/E11%</f>
        <v>100</v>
      </c>
      <c r="N11" s="3397">
        <f>'Phụ lục số 1'!AE23</f>
        <v>75000</v>
      </c>
      <c r="O11" s="3397"/>
      <c r="P11" s="3397">
        <f t="shared" ref="P11:P27" si="19">SUM(Q11:R11)</f>
        <v>75000</v>
      </c>
      <c r="Q11" s="3397">
        <f>N11</f>
        <v>75000</v>
      </c>
      <c r="R11" s="3397"/>
      <c r="S11" s="3397">
        <f>'Phụ lục số 1'!AE23</f>
        <v>75000</v>
      </c>
      <c r="T11" s="3397"/>
      <c r="U11" s="3397">
        <f t="shared" ref="U11:U27" si="20">SUM(V11:W11)</f>
        <v>75000</v>
      </c>
      <c r="V11" s="3397">
        <f>'Phụ lục số 1'!AI23</f>
        <v>75000</v>
      </c>
      <c r="W11" s="3397"/>
      <c r="X11" s="3397">
        <f t="shared" ref="X11:X27" si="21">N11-S11</f>
        <v>0</v>
      </c>
      <c r="Y11" s="3398">
        <f t="shared" si="3"/>
        <v>107.14285714285714</v>
      </c>
      <c r="Z11" s="3399">
        <f t="shared" si="18"/>
        <v>107.14285714285714</v>
      </c>
      <c r="AA11" s="3390">
        <f t="shared" ref="AA11:AA25" si="22">+L11/D11%</f>
        <v>93.671520475892208</v>
      </c>
      <c r="AB11" s="2210">
        <f t="shared" ref="AB11:AB26" si="23">S11/E11%</f>
        <v>107.14285714285714</v>
      </c>
      <c r="AC11" s="2210">
        <f t="shared" si="12"/>
        <v>-6.3284795241077916</v>
      </c>
      <c r="AE11" s="3391">
        <f t="shared" si="4"/>
        <v>8.5881716642816179E-3</v>
      </c>
      <c r="AG11" s="3391">
        <f t="shared" si="5"/>
        <v>8.0941074897474645E-3</v>
      </c>
      <c r="AI11" s="3392">
        <f t="shared" si="6"/>
        <v>78.930270332985273</v>
      </c>
      <c r="AJ11" s="3393">
        <f t="shared" si="13"/>
        <v>-21.069729667014727</v>
      </c>
    </row>
    <row r="12" spans="1:111" s="3" customFormat="1" ht="17.399999999999999">
      <c r="A12" s="2675">
        <v>3</v>
      </c>
      <c r="B12" s="1398" t="s">
        <v>1254</v>
      </c>
      <c r="C12" s="3396">
        <v>666804</v>
      </c>
      <c r="D12" s="3397">
        <f>'[20]MB61.1-342thu'!$F$33</f>
        <v>1184280.3315290001</v>
      </c>
      <c r="E12" s="3397">
        <f>'Phụ lục số 1'!C28</f>
        <v>1265000</v>
      </c>
      <c r="F12" s="3397"/>
      <c r="G12" s="3397">
        <f t="shared" si="17"/>
        <v>1265000</v>
      </c>
      <c r="H12" s="3397">
        <f>'Phụ lục số 1'!F28</f>
        <v>88850</v>
      </c>
      <c r="I12" s="3397">
        <f>'Phụ lục số 1'!G28</f>
        <v>1176150</v>
      </c>
      <c r="J12" s="3414">
        <v>727468</v>
      </c>
      <c r="K12" s="3415">
        <f t="shared" si="8"/>
        <v>57.50735177865613</v>
      </c>
      <c r="L12" s="3397">
        <f>'Phụ lục số 1'!T28</f>
        <v>1600000.2999999998</v>
      </c>
      <c r="M12" s="3398">
        <f t="shared" si="9"/>
        <v>126.48223715415018</v>
      </c>
      <c r="N12" s="3414">
        <v>1652000</v>
      </c>
      <c r="O12" s="3397"/>
      <c r="P12" s="3397">
        <f t="shared" si="19"/>
        <v>1652000</v>
      </c>
      <c r="Q12" s="3397">
        <f>'[21]Phụ lục số 1'!$AI$28</f>
        <v>77900</v>
      </c>
      <c r="R12" s="3397">
        <f>'[21]Phụ lục số 1'!$AJ$28</f>
        <v>1574100</v>
      </c>
      <c r="S12" s="3397">
        <f>'Phụ lục số 1'!AE28</f>
        <v>1701000</v>
      </c>
      <c r="T12" s="3397"/>
      <c r="U12" s="3397">
        <f t="shared" si="20"/>
        <v>1701000</v>
      </c>
      <c r="V12" s="3397">
        <f>'Phụ lục số 1'!AI28</f>
        <v>70920</v>
      </c>
      <c r="W12" s="3397">
        <f>'Phụ lục số 1'!AJ28</f>
        <v>1630080</v>
      </c>
      <c r="X12" s="3397">
        <f t="shared" si="21"/>
        <v>-49000</v>
      </c>
      <c r="Y12" s="3398">
        <f t="shared" si="3"/>
        <v>106.31248006641</v>
      </c>
      <c r="Z12" s="3399">
        <f t="shared" si="18"/>
        <v>103.24998064062864</v>
      </c>
      <c r="AA12" s="3390">
        <f>+L12/D12%</f>
        <v>135.10317256846378</v>
      </c>
      <c r="AB12" s="2210">
        <f>S12/E12%</f>
        <v>134.46640316205534</v>
      </c>
      <c r="AC12" s="2210">
        <f>+AA12-100</f>
        <v>35.103172568463776</v>
      </c>
      <c r="AE12" s="3391">
        <f t="shared" si="4"/>
        <v>0.19630110341860121</v>
      </c>
      <c r="AG12" s="3391">
        <f t="shared" si="5"/>
        <v>0.18357435786747248</v>
      </c>
      <c r="AI12" s="3392">
        <f t="shared" si="6"/>
        <v>109.0977258684711</v>
      </c>
      <c r="AJ12" s="3393">
        <f>AI12-100</f>
        <v>9.0977258684711018</v>
      </c>
    </row>
    <row r="13" spans="1:111">
      <c r="A13" s="2675">
        <v>4</v>
      </c>
      <c r="B13" s="1398" t="s">
        <v>16</v>
      </c>
      <c r="C13" s="3396">
        <v>164560</v>
      </c>
      <c r="D13" s="3397">
        <f>'[20]MB61.1-342thu'!$F$40</f>
        <v>368283.784782</v>
      </c>
      <c r="E13" s="3397">
        <f>'Phụ lục số 1'!C34</f>
        <v>295000</v>
      </c>
      <c r="F13" s="3397"/>
      <c r="G13" s="3397">
        <f t="shared" si="17"/>
        <v>295000</v>
      </c>
      <c r="H13" s="3397"/>
      <c r="I13" s="3397">
        <f>'Phụ lục số 1'!G34</f>
        <v>295000</v>
      </c>
      <c r="J13" s="3414">
        <v>205617</v>
      </c>
      <c r="K13" s="3415">
        <f t="shared" si="8"/>
        <v>69.700677966101694</v>
      </c>
      <c r="L13" s="3397">
        <f>'Phụ lục số 1'!T34</f>
        <v>340000</v>
      </c>
      <c r="M13" s="3398">
        <f t="shared" si="9"/>
        <v>115.2542372881356</v>
      </c>
      <c r="N13" s="3397">
        <v>350000</v>
      </c>
      <c r="O13" s="3397"/>
      <c r="P13" s="3397">
        <f t="shared" si="19"/>
        <v>350000</v>
      </c>
      <c r="Q13" s="3397"/>
      <c r="R13" s="3397">
        <f>'[21]Phụ lục số 1'!$AJ$34</f>
        <v>350000</v>
      </c>
      <c r="S13" s="3397">
        <f>'Phụ lục số 1'!AE34</f>
        <v>350000</v>
      </c>
      <c r="T13" s="3397"/>
      <c r="U13" s="3397">
        <f t="shared" si="20"/>
        <v>350000</v>
      </c>
      <c r="V13" s="3397"/>
      <c r="W13" s="3397">
        <f>'Phụ lục số 1'!AJ34</f>
        <v>350000</v>
      </c>
      <c r="X13" s="3397">
        <f t="shared" si="21"/>
        <v>0</v>
      </c>
      <c r="Y13" s="3398">
        <f t="shared" si="3"/>
        <v>102.94117647058823</v>
      </c>
      <c r="Z13" s="3399">
        <f t="shared" si="18"/>
        <v>102.94117647058823</v>
      </c>
      <c r="AA13" s="3390">
        <f>+L13/D13%</f>
        <v>92.320111297123177</v>
      </c>
      <c r="AB13" s="2210">
        <f t="shared" si="23"/>
        <v>118.64406779661017</v>
      </c>
      <c r="AC13" s="2210">
        <f t="shared" si="12"/>
        <v>-7.6798887028768235</v>
      </c>
      <c r="AE13" s="3391">
        <f t="shared" si="4"/>
        <v>4.1713976655082141E-2</v>
      </c>
      <c r="AG13" s="3391">
        <f t="shared" si="5"/>
        <v>3.7772501618821501E-2</v>
      </c>
      <c r="AI13" s="3392">
        <f t="shared" si="6"/>
        <v>124.94956246961596</v>
      </c>
      <c r="AJ13" s="3393">
        <f t="shared" si="13"/>
        <v>24.949562469615955</v>
      </c>
    </row>
    <row r="14" spans="1:111">
      <c r="A14" s="2675">
        <v>5</v>
      </c>
      <c r="B14" s="1398" t="s">
        <v>96</v>
      </c>
      <c r="C14" s="3396">
        <v>32</v>
      </c>
      <c r="D14" s="3397">
        <f>'[20]MB61.1-342thu'!$F$41</f>
        <v>280.44446699999997</v>
      </c>
      <c r="E14" s="3397">
        <f>'Phụ lục số 1'!C35</f>
        <v>0</v>
      </c>
      <c r="F14" s="3397"/>
      <c r="G14" s="3397">
        <f t="shared" si="17"/>
        <v>0</v>
      </c>
      <c r="H14" s="3397"/>
      <c r="I14" s="3397"/>
      <c r="J14" s="3414">
        <v>205</v>
      </c>
      <c r="K14" s="3415"/>
      <c r="L14" s="3397">
        <f>'Phụ lục số 1'!T35</f>
        <v>339.5</v>
      </c>
      <c r="M14" s="3398"/>
      <c r="N14" s="3397">
        <v>0</v>
      </c>
      <c r="O14" s="3397"/>
      <c r="P14" s="3397">
        <f t="shared" si="19"/>
        <v>0</v>
      </c>
      <c r="Q14" s="3397"/>
      <c r="R14" s="3397"/>
      <c r="S14" s="3397">
        <f>'Phụ lục số 1'!AE35</f>
        <v>0</v>
      </c>
      <c r="T14" s="3397"/>
      <c r="U14" s="3397">
        <f t="shared" si="20"/>
        <v>0</v>
      </c>
      <c r="V14" s="3397"/>
      <c r="W14" s="3397"/>
      <c r="X14" s="3397">
        <f t="shared" si="21"/>
        <v>0</v>
      </c>
      <c r="Y14" s="3398"/>
      <c r="Z14" s="3399">
        <f t="shared" si="18"/>
        <v>0</v>
      </c>
      <c r="AA14" s="3390">
        <f t="shared" si="22"/>
        <v>121.05783495454023</v>
      </c>
      <c r="AB14" s="2210"/>
      <c r="AC14" s="2210">
        <f t="shared" si="12"/>
        <v>21.057834954540226</v>
      </c>
      <c r="AE14" s="3391">
        <f t="shared" si="4"/>
        <v>4.1652632571765843E-5</v>
      </c>
      <c r="AG14" s="3391">
        <f t="shared" si="5"/>
        <v>0</v>
      </c>
      <c r="AI14" s="3392">
        <f t="shared" si="6"/>
        <v>640.625</v>
      </c>
      <c r="AJ14" s="3393">
        <f t="shared" si="13"/>
        <v>540.625</v>
      </c>
    </row>
    <row r="15" spans="1:111">
      <c r="A15" s="2675">
        <v>6</v>
      </c>
      <c r="B15" s="1398" t="s">
        <v>1255</v>
      </c>
      <c r="C15" s="3396">
        <v>4693</v>
      </c>
      <c r="D15" s="3397">
        <f>'[20]MB61.1-342thu'!$F$42</f>
        <v>17902.636366999999</v>
      </c>
      <c r="E15" s="3397">
        <f>'Phụ lục số 1'!C36</f>
        <v>10000</v>
      </c>
      <c r="F15" s="3397"/>
      <c r="G15" s="3397">
        <f t="shared" si="17"/>
        <v>10000</v>
      </c>
      <c r="H15" s="3397"/>
      <c r="I15" s="3397">
        <f>'Phụ lục số 1'!G36</f>
        <v>10000</v>
      </c>
      <c r="J15" s="3414">
        <v>7695</v>
      </c>
      <c r="K15" s="3415">
        <f t="shared" ref="K15:K20" si="24">J15/E15%</f>
        <v>76.95</v>
      </c>
      <c r="L15" s="3397">
        <f>'Phụ lục số 1'!T36</f>
        <v>14660.1</v>
      </c>
      <c r="M15" s="3398">
        <f t="shared" ref="M15:M20" si="25">L15/E15%</f>
        <v>146.601</v>
      </c>
      <c r="N15" s="3397">
        <v>15000</v>
      </c>
      <c r="O15" s="3397"/>
      <c r="P15" s="3397">
        <f t="shared" si="19"/>
        <v>15000</v>
      </c>
      <c r="Q15" s="3397"/>
      <c r="R15" s="3397">
        <f>N15</f>
        <v>15000</v>
      </c>
      <c r="S15" s="3397">
        <f>'Phụ lục số 1'!AE36</f>
        <v>15000</v>
      </c>
      <c r="T15" s="3397"/>
      <c r="U15" s="3397">
        <f t="shared" si="20"/>
        <v>15000</v>
      </c>
      <c r="V15" s="3397"/>
      <c r="W15" s="3397">
        <f>'Phụ lục số 1'!AJ36</f>
        <v>15000</v>
      </c>
      <c r="X15" s="3397">
        <f t="shared" si="21"/>
        <v>0</v>
      </c>
      <c r="Y15" s="3398">
        <f t="shared" ref="Y15:Y20" si="26">S15/L15*100</f>
        <v>102.31853807272802</v>
      </c>
      <c r="Z15" s="3399">
        <f t="shared" si="18"/>
        <v>102.31853807272802</v>
      </c>
      <c r="AA15" s="3390">
        <f>+L15/D15%</f>
        <v>81.887939292689992</v>
      </c>
      <c r="AB15" s="2210">
        <f t="shared" si="23"/>
        <v>150</v>
      </c>
      <c r="AC15" s="2210">
        <f>+AA15-100</f>
        <v>-18.112060707310008</v>
      </c>
      <c r="AE15" s="3391">
        <f t="shared" si="4"/>
        <v>1.7986207916504992E-3</v>
      </c>
      <c r="AG15" s="3391">
        <f t="shared" si="5"/>
        <v>1.6188214979494927E-3</v>
      </c>
      <c r="AI15" s="3392">
        <f t="shared" si="6"/>
        <v>163.96761133603238</v>
      </c>
      <c r="AJ15" s="3393">
        <f t="shared" si="13"/>
        <v>63.967611336032377</v>
      </c>
    </row>
    <row r="16" spans="1:111">
      <c r="A16" s="2675">
        <v>7</v>
      </c>
      <c r="B16" s="1398" t="s">
        <v>97</v>
      </c>
      <c r="C16" s="3396">
        <v>342413</v>
      </c>
      <c r="D16" s="3397">
        <f>'[20]MB61.1-342thu'!$F$43</f>
        <v>712064.59420399996</v>
      </c>
      <c r="E16" s="3397">
        <f>'Phụ lục số 1'!C37</f>
        <v>600000</v>
      </c>
      <c r="F16" s="3397"/>
      <c r="G16" s="3397">
        <f t="shared" si="17"/>
        <v>600000</v>
      </c>
      <c r="H16" s="3397">
        <f>'Phụ lục số 1'!F37</f>
        <v>290500</v>
      </c>
      <c r="I16" s="3397">
        <f>'Phụ lục số 1'!G37</f>
        <v>309500</v>
      </c>
      <c r="J16" s="3414">
        <v>439596</v>
      </c>
      <c r="K16" s="3415">
        <f t="shared" si="24"/>
        <v>73.266000000000005</v>
      </c>
      <c r="L16" s="3397">
        <f>'Phụ lục số 1'!T37</f>
        <v>710000</v>
      </c>
      <c r="M16" s="3398">
        <f t="shared" si="25"/>
        <v>118.33333333333333</v>
      </c>
      <c r="N16" s="3397">
        <v>730000</v>
      </c>
      <c r="O16" s="3397"/>
      <c r="P16" s="3397">
        <f t="shared" si="19"/>
        <v>730000</v>
      </c>
      <c r="Q16" s="3397">
        <f>V16</f>
        <v>408000</v>
      </c>
      <c r="R16" s="3397">
        <f>W16</f>
        <v>322000</v>
      </c>
      <c r="S16" s="3397">
        <f>'Phụ lục số 1'!AE37</f>
        <v>730000</v>
      </c>
      <c r="T16" s="3397"/>
      <c r="U16" s="3397">
        <f t="shared" si="20"/>
        <v>730000</v>
      </c>
      <c r="V16" s="3397">
        <f>'Phụ lục số 1'!AI37</f>
        <v>408000</v>
      </c>
      <c r="W16" s="3397">
        <f>'Phụ lục số 1'!AJ37</f>
        <v>322000</v>
      </c>
      <c r="X16" s="3397">
        <f t="shared" si="21"/>
        <v>0</v>
      </c>
      <c r="Y16" s="3398">
        <f t="shared" si="26"/>
        <v>102.8169014084507</v>
      </c>
      <c r="Z16" s="3399">
        <f t="shared" si="18"/>
        <v>102.8169014084507</v>
      </c>
      <c r="AA16" s="3390">
        <f t="shared" si="22"/>
        <v>99.710055208360984</v>
      </c>
      <c r="AB16" s="2210">
        <f t="shared" si="23"/>
        <v>121.66666666666667</v>
      </c>
      <c r="AC16" s="2210">
        <f t="shared" si="12"/>
        <v>-0.28994479163901588</v>
      </c>
      <c r="AE16" s="3391">
        <f t="shared" si="4"/>
        <v>8.7108598309142124E-2</v>
      </c>
      <c r="AG16" s="3391">
        <f t="shared" si="5"/>
        <v>7.8782646233541975E-2</v>
      </c>
      <c r="AI16" s="3392">
        <f t="shared" si="6"/>
        <v>128.38180793369409</v>
      </c>
      <c r="AJ16" s="3393">
        <f t="shared" si="13"/>
        <v>28.381807933694091</v>
      </c>
    </row>
    <row r="17" spans="1:36">
      <c r="A17" s="2675">
        <v>8</v>
      </c>
      <c r="B17" s="1398" t="s">
        <v>1256</v>
      </c>
      <c r="C17" s="3396">
        <v>966599</v>
      </c>
      <c r="D17" s="3397">
        <f>'[20]MB61.1-342thu'!$F$44</f>
        <v>926612.70443099993</v>
      </c>
      <c r="E17" s="3397">
        <f>'Phụ lục số 1'!C38</f>
        <v>1500000</v>
      </c>
      <c r="F17" s="3397">
        <f>'Phụ lục số 1'!D38</f>
        <v>600000</v>
      </c>
      <c r="G17" s="3397">
        <f t="shared" si="17"/>
        <v>900000</v>
      </c>
      <c r="H17" s="3397">
        <f>'Phụ lục số 1'!F38</f>
        <v>900000</v>
      </c>
      <c r="I17" s="3397"/>
      <c r="J17" s="3414">
        <v>703544</v>
      </c>
      <c r="K17" s="3415">
        <f t="shared" si="24"/>
        <v>46.90293333333333</v>
      </c>
      <c r="L17" s="3397">
        <f>'Phụ lục số 1'!T38</f>
        <v>980000</v>
      </c>
      <c r="M17" s="3398">
        <f t="shared" si="25"/>
        <v>65.333333333333329</v>
      </c>
      <c r="N17" s="3397">
        <v>1065000</v>
      </c>
      <c r="O17" s="3397">
        <f>T17</f>
        <v>426000</v>
      </c>
      <c r="P17" s="3397">
        <f t="shared" si="19"/>
        <v>639000</v>
      </c>
      <c r="Q17" s="3397">
        <f>V17</f>
        <v>639000</v>
      </c>
      <c r="R17" s="3397"/>
      <c r="S17" s="3397">
        <f>'Phụ lục số 1'!AE38</f>
        <v>1065000</v>
      </c>
      <c r="T17" s="3397">
        <f>'Phụ lục số 1'!AG38</f>
        <v>426000</v>
      </c>
      <c r="U17" s="3397">
        <f t="shared" si="20"/>
        <v>639000</v>
      </c>
      <c r="V17" s="3397">
        <f>'Phụ lục số 1'!AI38</f>
        <v>639000</v>
      </c>
      <c r="W17" s="3397"/>
      <c r="X17" s="3397">
        <f t="shared" si="21"/>
        <v>0</v>
      </c>
      <c r="Y17" s="3398">
        <f t="shared" si="26"/>
        <v>108.67346938775511</v>
      </c>
      <c r="Z17" s="3399">
        <f t="shared" si="18"/>
        <v>108.67346938775511</v>
      </c>
      <c r="AA17" s="3390">
        <f t="shared" si="22"/>
        <v>105.76155445675475</v>
      </c>
      <c r="AB17" s="2210">
        <f t="shared" si="23"/>
        <v>71</v>
      </c>
      <c r="AC17" s="2210">
        <f t="shared" si="12"/>
        <v>5.7615544567547516</v>
      </c>
      <c r="AE17" s="3391">
        <f t="shared" si="4"/>
        <v>0.12023440329994264</v>
      </c>
      <c r="AG17" s="3391">
        <f t="shared" si="5"/>
        <v>0.11493632635441399</v>
      </c>
      <c r="AI17" s="3392">
        <f t="shared" si="6"/>
        <v>72.785508778717954</v>
      </c>
      <c r="AJ17" s="3393">
        <f t="shared" si="13"/>
        <v>-27.214491221282046</v>
      </c>
    </row>
    <row r="18" spans="1:36">
      <c r="A18" s="2675">
        <v>9</v>
      </c>
      <c r="B18" s="1398" t="s">
        <v>17</v>
      </c>
      <c r="C18" s="3396">
        <v>115889</v>
      </c>
      <c r="D18" s="3397">
        <f>'[20]MB61.1-342thu'!$F$47</f>
        <v>174907.15649200001</v>
      </c>
      <c r="E18" s="3397">
        <f>'Phụ lục số 1'!C39</f>
        <v>160000</v>
      </c>
      <c r="F18" s="3397">
        <f>'Phụ lục số 1'!D39</f>
        <v>82000</v>
      </c>
      <c r="G18" s="3397">
        <f t="shared" si="17"/>
        <v>78000</v>
      </c>
      <c r="H18" s="3397">
        <f>'Phụ lục số 1'!F39</f>
        <v>18800</v>
      </c>
      <c r="I18" s="3397">
        <f>'Phụ lục số 1'!G39</f>
        <v>59200</v>
      </c>
      <c r="J18" s="3414">
        <v>108342</v>
      </c>
      <c r="K18" s="3415">
        <f t="shared" si="24"/>
        <v>67.713750000000005</v>
      </c>
      <c r="L18" s="3397">
        <f>'Phụ lục số 1'!T39</f>
        <v>160000</v>
      </c>
      <c r="M18" s="3398">
        <f t="shared" si="25"/>
        <v>100</v>
      </c>
      <c r="N18" s="3397">
        <v>170000</v>
      </c>
      <c r="O18" s="3397">
        <f>T18</f>
        <v>87000</v>
      </c>
      <c r="P18" s="3397">
        <f t="shared" si="19"/>
        <v>83000</v>
      </c>
      <c r="Q18" s="3397">
        <f>V18</f>
        <v>20600</v>
      </c>
      <c r="R18" s="3397">
        <f>W18</f>
        <v>62400</v>
      </c>
      <c r="S18" s="3397">
        <f>'Phụ lục số 1'!AE39</f>
        <v>170000</v>
      </c>
      <c r="T18" s="3397">
        <f>'Phụ lục số 1'!AG39</f>
        <v>87000</v>
      </c>
      <c r="U18" s="3397">
        <f t="shared" si="20"/>
        <v>83000</v>
      </c>
      <c r="V18" s="3397">
        <f>'Phụ lục số 1'!AI39</f>
        <v>20600</v>
      </c>
      <c r="W18" s="3397">
        <f>'Phụ lục số 1'!AJ39</f>
        <v>62400</v>
      </c>
      <c r="X18" s="3397">
        <f t="shared" si="21"/>
        <v>0</v>
      </c>
      <c r="Y18" s="3398">
        <f t="shared" si="26"/>
        <v>106.25</v>
      </c>
      <c r="Z18" s="3399">
        <f t="shared" si="18"/>
        <v>106.25</v>
      </c>
      <c r="AA18" s="3390">
        <f t="shared" si="22"/>
        <v>91.477103172343988</v>
      </c>
      <c r="AB18" s="2210">
        <f t="shared" si="23"/>
        <v>106.25</v>
      </c>
      <c r="AC18" s="2210">
        <f t="shared" si="12"/>
        <v>-8.5228968276560124</v>
      </c>
      <c r="AE18" s="3391">
        <f t="shared" si="4"/>
        <v>1.9630106661215126E-2</v>
      </c>
      <c r="AG18" s="3391">
        <f t="shared" si="5"/>
        <v>1.8346643643427585E-2</v>
      </c>
      <c r="AI18" s="3392">
        <f t="shared" si="6"/>
        <v>93.487733952316432</v>
      </c>
      <c r="AJ18" s="3393">
        <f t="shared" si="13"/>
        <v>-6.5122660476835676</v>
      </c>
    </row>
    <row r="19" spans="1:36">
      <c r="A19" s="2675">
        <v>10</v>
      </c>
      <c r="B19" s="1398" t="s">
        <v>18</v>
      </c>
      <c r="C19" s="3396">
        <v>783145</v>
      </c>
      <c r="D19" s="3397">
        <f>'[20]MB61.1-342thu'!$F$48</f>
        <v>1029252.96595</v>
      </c>
      <c r="E19" s="3397">
        <f>'Phụ lục số 1'!C40</f>
        <v>900000</v>
      </c>
      <c r="F19" s="3397"/>
      <c r="G19" s="3397">
        <f t="shared" si="17"/>
        <v>900000</v>
      </c>
      <c r="H19" s="3397">
        <f>'Phụ lục số 1'!F40</f>
        <v>100000</v>
      </c>
      <c r="I19" s="3397">
        <f>'Phụ lục số 1'!G40</f>
        <v>800000</v>
      </c>
      <c r="J19" s="3414">
        <v>566048</v>
      </c>
      <c r="K19" s="3415">
        <f t="shared" si="24"/>
        <v>62.894222222222226</v>
      </c>
      <c r="L19" s="3397">
        <f>'Phụ lục số 1'!T40</f>
        <v>1080000</v>
      </c>
      <c r="M19" s="3398">
        <f t="shared" si="25"/>
        <v>120</v>
      </c>
      <c r="N19" s="3397">
        <v>1770000</v>
      </c>
      <c r="O19" s="3397"/>
      <c r="P19" s="3397">
        <f t="shared" si="19"/>
        <v>1770000</v>
      </c>
      <c r="Q19" s="3397">
        <f>V19</f>
        <v>627000</v>
      </c>
      <c r="R19" s="3397">
        <f>W19</f>
        <v>1143000</v>
      </c>
      <c r="S19" s="3397">
        <f>'Phụ lục số 1'!AE40</f>
        <v>1770000</v>
      </c>
      <c r="T19" s="3397"/>
      <c r="U19" s="3397">
        <f t="shared" si="20"/>
        <v>1770000</v>
      </c>
      <c r="V19" s="3397">
        <f>'Phụ lục số 1'!AI40</f>
        <v>627000</v>
      </c>
      <c r="W19" s="3397">
        <f>'Phụ lục số 1'!AJ40</f>
        <v>1143000</v>
      </c>
      <c r="X19" s="3397">
        <f t="shared" si="21"/>
        <v>0</v>
      </c>
      <c r="Y19" s="3398">
        <f t="shared" si="26"/>
        <v>163.88888888888889</v>
      </c>
      <c r="Z19" s="3399">
        <f t="shared" si="18"/>
        <v>163.88888888888889</v>
      </c>
      <c r="AA19" s="3390">
        <f t="shared" si="22"/>
        <v>104.93047246195307</v>
      </c>
      <c r="AB19" s="2210">
        <f t="shared" si="23"/>
        <v>196.66666666666666</v>
      </c>
      <c r="AC19" s="2210">
        <f t="shared" si="12"/>
        <v>4.9304724619530731</v>
      </c>
      <c r="AE19" s="3391">
        <f t="shared" si="4"/>
        <v>0.13250321996320211</v>
      </c>
      <c r="AG19" s="3391">
        <f t="shared" si="5"/>
        <v>0.19102093675804013</v>
      </c>
      <c r="AI19" s="3392">
        <f t="shared" si="6"/>
        <v>72.278824483333224</v>
      </c>
      <c r="AJ19" s="3393">
        <f t="shared" si="13"/>
        <v>-27.721175516666776</v>
      </c>
    </row>
    <row r="20" spans="1:36">
      <c r="A20" s="2675">
        <v>11</v>
      </c>
      <c r="B20" s="1398" t="s">
        <v>98</v>
      </c>
      <c r="C20" s="3396">
        <v>201204</v>
      </c>
      <c r="D20" s="3397">
        <f>'[20]MB61.1-342thu'!$F$49</f>
        <v>237121.31138199999</v>
      </c>
      <c r="E20" s="3397">
        <f>'Phụ lục số 1'!C41</f>
        <v>115000</v>
      </c>
      <c r="F20" s="3397"/>
      <c r="G20" s="3397">
        <f t="shared" si="17"/>
        <v>115000</v>
      </c>
      <c r="H20" s="3397"/>
      <c r="I20" s="3397">
        <f>'Phụ lục số 1'!G41</f>
        <v>115000</v>
      </c>
      <c r="J20" s="3414">
        <v>171661</v>
      </c>
      <c r="K20" s="3415">
        <f t="shared" si="24"/>
        <v>149.2704347826087</v>
      </c>
      <c r="L20" s="3397">
        <f>'Phụ lục số 1'!T41</f>
        <v>125999.8</v>
      </c>
      <c r="M20" s="3398">
        <f t="shared" si="25"/>
        <v>109.56504347826088</v>
      </c>
      <c r="N20" s="3500">
        <v>155000</v>
      </c>
      <c r="O20" s="3397"/>
      <c r="P20" s="3397">
        <f t="shared" si="19"/>
        <v>155000</v>
      </c>
      <c r="Q20" s="3397">
        <f>N20-R20</f>
        <v>15500</v>
      </c>
      <c r="R20" s="3397">
        <f>N20*90%</f>
        <v>139500</v>
      </c>
      <c r="S20" s="3397">
        <f>'Phụ lục số 1'!AE41</f>
        <v>315000</v>
      </c>
      <c r="T20" s="3397"/>
      <c r="U20" s="3397">
        <f t="shared" si="20"/>
        <v>315000</v>
      </c>
      <c r="V20" s="3397">
        <f>'Phụ lục số 1'!AI41</f>
        <v>45900</v>
      </c>
      <c r="W20" s="3397">
        <f>'Phụ lục số 1'!AJ41</f>
        <v>269100</v>
      </c>
      <c r="X20" s="3397">
        <f t="shared" si="21"/>
        <v>-160000</v>
      </c>
      <c r="Y20" s="3398">
        <f t="shared" si="26"/>
        <v>250.0003968260267</v>
      </c>
      <c r="Z20" s="3399">
        <f t="shared" si="18"/>
        <v>123.01606827947346</v>
      </c>
      <c r="AA20" s="3390">
        <f t="shared" si="22"/>
        <v>53.137273602968413</v>
      </c>
      <c r="AB20" s="2210">
        <f t="shared" si="23"/>
        <v>273.91304347826087</v>
      </c>
      <c r="AC20" s="2210">
        <f t="shared" si="12"/>
        <v>-46.862726397031587</v>
      </c>
      <c r="AE20" s="3391">
        <f t="shared" si="4"/>
        <v>1.5458684458073585E-2</v>
      </c>
      <c r="AG20" s="3391">
        <f t="shared" si="5"/>
        <v>3.3995251456939352E-2</v>
      </c>
      <c r="AI20" s="3392">
        <f t="shared" si="6"/>
        <v>85.316892308304006</v>
      </c>
      <c r="AJ20" s="3393">
        <f t="shared" si="13"/>
        <v>-14.683107691695994</v>
      </c>
    </row>
    <row r="21" spans="1:36">
      <c r="A21" s="2675">
        <v>12</v>
      </c>
      <c r="B21" s="1398" t="s">
        <v>136</v>
      </c>
      <c r="C21" s="3396">
        <v>84</v>
      </c>
      <c r="D21" s="3397">
        <f>'[20]MB61.1-342thu'!$F$53</f>
        <v>79.078599999999994</v>
      </c>
      <c r="E21" s="3397">
        <f>'Phụ lục số 1'!C42</f>
        <v>0</v>
      </c>
      <c r="F21" s="3397"/>
      <c r="G21" s="3397">
        <f t="shared" si="17"/>
        <v>0</v>
      </c>
      <c r="H21" s="3397"/>
      <c r="I21" s="3397"/>
      <c r="J21" s="3414">
        <v>75</v>
      </c>
      <c r="K21" s="3416"/>
      <c r="L21" s="3397">
        <f>'Phụ lục số 1'!T42</f>
        <v>0</v>
      </c>
      <c r="M21" s="3400"/>
      <c r="N21" s="3397">
        <v>0</v>
      </c>
      <c r="O21" s="3397"/>
      <c r="P21" s="3397">
        <f t="shared" si="19"/>
        <v>0</v>
      </c>
      <c r="Q21" s="3397"/>
      <c r="R21" s="3397"/>
      <c r="S21" s="3397">
        <f>'Phụ lục số 1'!AE42</f>
        <v>0</v>
      </c>
      <c r="T21" s="3397"/>
      <c r="U21" s="3397">
        <f t="shared" si="20"/>
        <v>0</v>
      </c>
      <c r="V21" s="3397"/>
      <c r="W21" s="3397"/>
      <c r="X21" s="3397">
        <f t="shared" si="21"/>
        <v>0</v>
      </c>
      <c r="Y21" s="3398"/>
      <c r="Z21" s="3401">
        <f t="shared" si="18"/>
        <v>0</v>
      </c>
      <c r="AA21" s="3390">
        <f t="shared" si="22"/>
        <v>0</v>
      </c>
      <c r="AB21" s="2210"/>
      <c r="AC21" s="2210">
        <f t="shared" si="12"/>
        <v>-100</v>
      </c>
      <c r="AE21" s="3391">
        <f t="shared" si="4"/>
        <v>0</v>
      </c>
      <c r="AG21" s="3391">
        <f t="shared" si="5"/>
        <v>0</v>
      </c>
      <c r="AI21" s="3392">
        <f t="shared" si="6"/>
        <v>89.285714285714292</v>
      </c>
      <c r="AJ21" s="3393">
        <f t="shared" si="13"/>
        <v>-10.714285714285708</v>
      </c>
    </row>
    <row r="22" spans="1:36">
      <c r="A22" s="2675">
        <v>13</v>
      </c>
      <c r="B22" s="1398" t="s">
        <v>279</v>
      </c>
      <c r="C22" s="3396">
        <v>187948</v>
      </c>
      <c r="D22" s="3397">
        <f>'[20]MB61.1-342thu'!$F$54</f>
        <v>285395.57643899997</v>
      </c>
      <c r="E22" s="3397">
        <f>'Phụ lục số 1'!C43</f>
        <v>250000</v>
      </c>
      <c r="F22" s="3397">
        <f>'Phụ lục số 1'!D43</f>
        <v>54000</v>
      </c>
      <c r="G22" s="3397">
        <f t="shared" si="17"/>
        <v>196000</v>
      </c>
      <c r="H22" s="3397">
        <f>'Phụ lục số 1'!F43</f>
        <v>66500</v>
      </c>
      <c r="I22" s="3397">
        <f>'Phụ lục số 1'!G43</f>
        <v>129500</v>
      </c>
      <c r="J22" s="3414">
        <v>169921</v>
      </c>
      <c r="K22" s="3415">
        <f>J22/E22%</f>
        <v>67.968400000000003</v>
      </c>
      <c r="L22" s="3397">
        <f>'Phụ lục số 1'!T43</f>
        <v>350000</v>
      </c>
      <c r="M22" s="3398">
        <f t="shared" ref="M22:M27" si="27">L22/E22%</f>
        <v>140</v>
      </c>
      <c r="N22" s="3397">
        <v>326000</v>
      </c>
      <c r="O22" s="3397">
        <f>T22</f>
        <v>68070</v>
      </c>
      <c r="P22" s="3397">
        <f t="shared" si="19"/>
        <v>257930</v>
      </c>
      <c r="Q22" s="3397">
        <f>V22</f>
        <v>112430</v>
      </c>
      <c r="R22" s="3397">
        <f>W22</f>
        <v>145500</v>
      </c>
      <c r="S22" s="3397">
        <f>'Phụ lục số 1'!AE43</f>
        <v>326000</v>
      </c>
      <c r="T22" s="3397">
        <f>'Phụ lục số 1'!AG43</f>
        <v>68070</v>
      </c>
      <c r="U22" s="3397">
        <f t="shared" si="20"/>
        <v>257930</v>
      </c>
      <c r="V22" s="3397">
        <f>'Phụ lục số 1'!AI43</f>
        <v>112430</v>
      </c>
      <c r="W22" s="3397">
        <f>'Phụ lục số 1'!AJ43</f>
        <v>145500</v>
      </c>
      <c r="X22" s="3397">
        <f t="shared" si="21"/>
        <v>0</v>
      </c>
      <c r="Y22" s="3398">
        <f>S22/L22*100</f>
        <v>93.142857142857139</v>
      </c>
      <c r="Z22" s="3399">
        <f t="shared" si="18"/>
        <v>93.142857142857139</v>
      </c>
      <c r="AA22" s="3390">
        <f t="shared" si="22"/>
        <v>122.63679919888614</v>
      </c>
      <c r="AB22" s="2210">
        <f t="shared" si="23"/>
        <v>130.4</v>
      </c>
      <c r="AC22" s="2210">
        <f t="shared" si="12"/>
        <v>22.636799198886138</v>
      </c>
      <c r="AE22" s="3391">
        <f t="shared" si="4"/>
        <v>4.2940858321408086E-2</v>
      </c>
      <c r="AG22" s="3391">
        <f t="shared" si="5"/>
        <v>3.5182387222102311E-2</v>
      </c>
      <c r="AI22" s="3392">
        <f t="shared" si="6"/>
        <v>90.408517249451975</v>
      </c>
      <c r="AJ22" s="3393">
        <f t="shared" si="13"/>
        <v>-9.5914827505480247</v>
      </c>
    </row>
    <row r="23" spans="1:36">
      <c r="A23" s="2675">
        <v>14</v>
      </c>
      <c r="B23" s="17" t="s">
        <v>128</v>
      </c>
      <c r="C23" s="3396">
        <v>15752</v>
      </c>
      <c r="D23" s="3397">
        <f>'[20]MB61.1-342thu'!$F$55</f>
        <v>35466.300600000002</v>
      </c>
      <c r="E23" s="3397">
        <f>'Phụ lục số 1'!C44</f>
        <v>22000</v>
      </c>
      <c r="F23" s="3397"/>
      <c r="G23" s="3397">
        <f t="shared" si="17"/>
        <v>22000</v>
      </c>
      <c r="H23" s="3397">
        <f>'Phụ lục số 1'!F44</f>
        <v>22000</v>
      </c>
      <c r="I23" s="3397"/>
      <c r="J23" s="3414">
        <v>15930</v>
      </c>
      <c r="K23" s="3415"/>
      <c r="L23" s="3397">
        <f>'Phụ lục số 1'!T44</f>
        <v>37000</v>
      </c>
      <c r="M23" s="3398">
        <f t="shared" si="27"/>
        <v>168.18181818181819</v>
      </c>
      <c r="N23" s="3397">
        <v>30000</v>
      </c>
      <c r="O23" s="3397"/>
      <c r="P23" s="3397">
        <f t="shared" si="19"/>
        <v>30000</v>
      </c>
      <c r="Q23" s="3397">
        <f>V23</f>
        <v>30000</v>
      </c>
      <c r="R23" s="3397"/>
      <c r="S23" s="3397">
        <f>'Phụ lục số 1'!AE44</f>
        <v>30000</v>
      </c>
      <c r="T23" s="3397"/>
      <c r="U23" s="3397">
        <f t="shared" si="20"/>
        <v>30000</v>
      </c>
      <c r="V23" s="3397">
        <f>'Phụ lục số 1'!AI44</f>
        <v>30000</v>
      </c>
      <c r="W23" s="3397"/>
      <c r="X23" s="3397">
        <f t="shared" si="21"/>
        <v>0</v>
      </c>
      <c r="Y23" s="3398"/>
      <c r="Z23" s="3399">
        <f t="shared" si="18"/>
        <v>81.081081081081081</v>
      </c>
      <c r="AA23" s="3390">
        <f t="shared" si="22"/>
        <v>104.32438504736521</v>
      </c>
      <c r="AB23" s="2210">
        <f t="shared" si="23"/>
        <v>136.36363636363637</v>
      </c>
      <c r="AC23" s="2210">
        <f t="shared" si="12"/>
        <v>4.3243850473652117</v>
      </c>
      <c r="AE23" s="3391">
        <f t="shared" si="4"/>
        <v>4.5394621654059981E-3</v>
      </c>
      <c r="AG23" s="3391">
        <f t="shared" si="5"/>
        <v>3.2376429958989855E-3</v>
      </c>
      <c r="AI23" s="3392">
        <f t="shared" si="6"/>
        <v>101.13001523616047</v>
      </c>
      <c r="AJ23" s="3393">
        <f t="shared" si="13"/>
        <v>1.1300152361604745</v>
      </c>
    </row>
    <row r="24" spans="1:36">
      <c r="A24" s="2675">
        <v>15</v>
      </c>
      <c r="B24" s="17" t="s">
        <v>129</v>
      </c>
      <c r="C24" s="3396">
        <v>47618</v>
      </c>
      <c r="D24" s="3397">
        <f>'[20]MB61.1-342thu'!$F$57</f>
        <v>76161.542220000003</v>
      </c>
      <c r="E24" s="3397">
        <f>'Phụ lục số 1'!C45</f>
        <v>50000</v>
      </c>
      <c r="F24" s="3397"/>
      <c r="G24" s="3397">
        <f t="shared" si="17"/>
        <v>50000</v>
      </c>
      <c r="H24" s="3397">
        <f>'Phụ lục số 1'!F45</f>
        <v>50000</v>
      </c>
      <c r="I24" s="3397"/>
      <c r="J24" s="3414">
        <v>62151</v>
      </c>
      <c r="K24" s="3415"/>
      <c r="L24" s="3397">
        <f>'Phụ lục số 1'!T45</f>
        <v>100000</v>
      </c>
      <c r="M24" s="3398">
        <f t="shared" si="27"/>
        <v>200</v>
      </c>
      <c r="N24" s="3397">
        <v>37000</v>
      </c>
      <c r="O24" s="3397"/>
      <c r="P24" s="3397">
        <f t="shared" si="19"/>
        <v>37000</v>
      </c>
      <c r="Q24" s="3397">
        <f>N24</f>
        <v>37000</v>
      </c>
      <c r="R24" s="3397"/>
      <c r="S24" s="3397">
        <f>'Phụ lục số 1'!AE45</f>
        <v>37000</v>
      </c>
      <c r="T24" s="3397"/>
      <c r="U24" s="3397">
        <f t="shared" si="20"/>
        <v>37000</v>
      </c>
      <c r="V24" s="3397">
        <f>'Phụ lục số 1'!AI45</f>
        <v>37000</v>
      </c>
      <c r="W24" s="3397"/>
      <c r="X24" s="3397">
        <f t="shared" si="21"/>
        <v>0</v>
      </c>
      <c r="Y24" s="3398"/>
      <c r="Z24" s="3399">
        <f t="shared" si="18"/>
        <v>37</v>
      </c>
      <c r="AA24" s="3390">
        <f t="shared" si="22"/>
        <v>131.29986222067339</v>
      </c>
      <c r="AB24" s="2210">
        <f t="shared" si="23"/>
        <v>74</v>
      </c>
      <c r="AC24" s="2210">
        <f t="shared" si="12"/>
        <v>31.29986222067339</v>
      </c>
      <c r="AE24" s="3391">
        <f t="shared" si="4"/>
        <v>1.2268816663259454E-2</v>
      </c>
      <c r="AG24" s="3391">
        <f t="shared" si="5"/>
        <v>3.9930930282754155E-3</v>
      </c>
      <c r="AI24" s="3392">
        <f t="shared" si="6"/>
        <v>130.51997143937166</v>
      </c>
      <c r="AJ24" s="3393">
        <f t="shared" si="13"/>
        <v>30.519971439371659</v>
      </c>
    </row>
    <row r="25" spans="1:36">
      <c r="A25" s="2675">
        <v>16</v>
      </c>
      <c r="B25" s="1398" t="s">
        <v>19</v>
      </c>
      <c r="C25" s="3396">
        <v>1697</v>
      </c>
      <c r="D25" s="3397">
        <f>'[20]MB61.1-342thu'!$F$56</f>
        <v>2047.6675579999999</v>
      </c>
      <c r="E25" s="3397">
        <f>'Phụ lục số 1'!C47</f>
        <v>3000</v>
      </c>
      <c r="F25" s="3397"/>
      <c r="G25" s="3397">
        <f t="shared" si="17"/>
        <v>3000</v>
      </c>
      <c r="H25" s="3397"/>
      <c r="I25" s="3397">
        <f>'Phụ lục số 1'!G47</f>
        <v>3000</v>
      </c>
      <c r="J25" s="3414">
        <v>1551</v>
      </c>
      <c r="K25" s="3415">
        <f>J25/E25%</f>
        <v>51.7</v>
      </c>
      <c r="L25" s="3397">
        <f>'Phụ lục số 1'!T47</f>
        <v>2000.1</v>
      </c>
      <c r="M25" s="3398">
        <f t="shared" si="27"/>
        <v>66.67</v>
      </c>
      <c r="N25" s="3397">
        <v>2000</v>
      </c>
      <c r="O25" s="3397"/>
      <c r="P25" s="3397">
        <f t="shared" si="19"/>
        <v>2000</v>
      </c>
      <c r="Q25" s="3397"/>
      <c r="R25" s="3397">
        <f>N25</f>
        <v>2000</v>
      </c>
      <c r="S25" s="3397">
        <f>'Phụ lục số 1'!AE47</f>
        <v>2000</v>
      </c>
      <c r="T25" s="3397"/>
      <c r="U25" s="3397">
        <f t="shared" si="20"/>
        <v>2000</v>
      </c>
      <c r="V25" s="3397"/>
      <c r="W25" s="3397">
        <f>'Phụ lục số 1'!AJ47</f>
        <v>2000</v>
      </c>
      <c r="X25" s="3397">
        <f t="shared" si="21"/>
        <v>0</v>
      </c>
      <c r="Y25" s="3398">
        <f>S25/L25*100</f>
        <v>99.995000249987513</v>
      </c>
      <c r="Z25" s="3399">
        <f t="shared" si="18"/>
        <v>99.995000249987513</v>
      </c>
      <c r="AA25" s="3390">
        <f t="shared" si="22"/>
        <v>97.676988248695011</v>
      </c>
      <c r="AB25" s="2210">
        <f t="shared" si="23"/>
        <v>66.666666666666671</v>
      </c>
      <c r="AC25" s="2210">
        <f t="shared" si="12"/>
        <v>-2.323011751304989</v>
      </c>
      <c r="AE25" s="3391">
        <f t="shared" si="4"/>
        <v>2.4538860208185234E-4</v>
      </c>
      <c r="AG25" s="3391">
        <f t="shared" si="5"/>
        <v>2.1584286639326569E-4</v>
      </c>
      <c r="AI25" s="3392">
        <f t="shared" si="6"/>
        <v>91.396582203889224</v>
      </c>
      <c r="AJ25" s="3393">
        <f t="shared" si="13"/>
        <v>-8.6034177961107758</v>
      </c>
    </row>
    <row r="26" spans="1:36">
      <c r="A26" s="2675">
        <v>17</v>
      </c>
      <c r="B26" s="1398" t="s">
        <v>101</v>
      </c>
      <c r="C26" s="3396">
        <v>1156294</v>
      </c>
      <c r="D26" s="3397">
        <f>'[20]MB61.1-342thu'!$F$58</f>
        <v>1743740.631786</v>
      </c>
      <c r="E26" s="3397">
        <f>'Phụ lục số 1'!C48</f>
        <v>1600000</v>
      </c>
      <c r="F26" s="3397"/>
      <c r="G26" s="3397">
        <f t="shared" si="17"/>
        <v>1600000</v>
      </c>
      <c r="H26" s="3397">
        <f>'Phụ lục số 1'!F48</f>
        <v>1600000</v>
      </c>
      <c r="I26" s="3397"/>
      <c r="J26" s="3414">
        <v>1073006</v>
      </c>
      <c r="K26" s="3415"/>
      <c r="L26" s="3397">
        <f>'Phụ lục số 1'!T48</f>
        <v>1950000</v>
      </c>
      <c r="M26" s="3398">
        <f t="shared" si="27"/>
        <v>121.875</v>
      </c>
      <c r="N26" s="3397">
        <v>1850000</v>
      </c>
      <c r="O26" s="3397"/>
      <c r="P26" s="3397">
        <f t="shared" si="19"/>
        <v>1850000</v>
      </c>
      <c r="Q26" s="3397">
        <f>N26</f>
        <v>1850000</v>
      </c>
      <c r="R26" s="3397"/>
      <c r="S26" s="3397">
        <f>'Phụ lục số 1'!AE48</f>
        <v>1950000</v>
      </c>
      <c r="T26" s="3397"/>
      <c r="U26" s="3397">
        <f t="shared" si="20"/>
        <v>1950000</v>
      </c>
      <c r="V26" s="3397">
        <f>'Phụ lục số 1'!AI48</f>
        <v>1950000</v>
      </c>
      <c r="W26" s="3397"/>
      <c r="X26" s="3397">
        <f t="shared" si="21"/>
        <v>-100000</v>
      </c>
      <c r="Y26" s="3398">
        <f>S26/L26*100</f>
        <v>100</v>
      </c>
      <c r="Z26" s="3399">
        <f t="shared" si="18"/>
        <v>94.871794871794876</v>
      </c>
      <c r="AA26" s="3390">
        <f>+L26/D26%</f>
        <v>111.82855778285914</v>
      </c>
      <c r="AB26" s="2210">
        <f t="shared" si="23"/>
        <v>121.875</v>
      </c>
      <c r="AC26" s="2210">
        <f>+AA26-100</f>
        <v>11.828557782859136</v>
      </c>
      <c r="AE26" s="3391">
        <f t="shared" si="4"/>
        <v>0.23924192493355934</v>
      </c>
      <c r="AG26" s="3391">
        <f t="shared" si="5"/>
        <v>0.21044679473343406</v>
      </c>
      <c r="AI26" s="3392">
        <f t="shared" si="6"/>
        <v>92.796987617336072</v>
      </c>
      <c r="AJ26" s="3393">
        <f t="shared" si="13"/>
        <v>-7.2030123826639283</v>
      </c>
    </row>
    <row r="27" spans="1:36" s="2270" customFormat="1" ht="18.600000000000001" thickBot="1">
      <c r="A27" s="3402" t="s">
        <v>20</v>
      </c>
      <c r="B27" s="3403" t="s">
        <v>477</v>
      </c>
      <c r="C27" s="3404">
        <v>112461</v>
      </c>
      <c r="D27" s="3405">
        <f>'[20]MB61.1-342thu'!$F$60</f>
        <v>389783.37025500002</v>
      </c>
      <c r="E27" s="3405">
        <f>'Phụ lục số 1'!C49</f>
        <v>150000</v>
      </c>
      <c r="F27" s="3405">
        <f>'Phụ lục số 1'!D49</f>
        <v>150000</v>
      </c>
      <c r="G27" s="3407">
        <f t="shared" si="17"/>
        <v>0</v>
      </c>
      <c r="H27" s="3405"/>
      <c r="I27" s="3405"/>
      <c r="J27" s="3417">
        <v>251022</v>
      </c>
      <c r="K27" s="3418">
        <f>J27/E27%</f>
        <v>167.34800000000001</v>
      </c>
      <c r="L27" s="3405">
        <f>'Phụ lục số 1'!T49</f>
        <v>150745.51999999999</v>
      </c>
      <c r="M27" s="3406">
        <f t="shared" si="27"/>
        <v>100.49701333333333</v>
      </c>
      <c r="N27" s="3405">
        <v>157000</v>
      </c>
      <c r="O27" s="3405">
        <f>N27</f>
        <v>157000</v>
      </c>
      <c r="P27" s="3407">
        <f t="shared" si="19"/>
        <v>0</v>
      </c>
      <c r="Q27" s="3405"/>
      <c r="R27" s="3405"/>
      <c r="S27" s="3405">
        <f>'Phụ lục số 1'!AE49</f>
        <v>200000</v>
      </c>
      <c r="T27" s="3405">
        <f>'Phụ lục số 1'!AG49</f>
        <v>200000</v>
      </c>
      <c r="U27" s="3407">
        <f t="shared" si="20"/>
        <v>0</v>
      </c>
      <c r="V27" s="3405"/>
      <c r="W27" s="3405"/>
      <c r="X27" s="3407">
        <f t="shared" si="21"/>
        <v>-43000</v>
      </c>
      <c r="Y27" s="3406">
        <f>S27/L27*100</f>
        <v>132.67392623011284</v>
      </c>
      <c r="Z27" s="3408">
        <f t="shared" si="18"/>
        <v>104.14903209063858</v>
      </c>
      <c r="AA27" s="3390">
        <f>+L27/D27%</f>
        <v>38.67417942981529</v>
      </c>
      <c r="AB27" s="2210">
        <f>S27/E27%</f>
        <v>133.33333333333334</v>
      </c>
      <c r="AC27" s="3390">
        <f>+AA27-100</f>
        <v>-61.32582057018471</v>
      </c>
      <c r="AE27" s="3391">
        <f t="shared" si="4"/>
        <v>1.8494691476877111E-2</v>
      </c>
      <c r="AG27" s="3391">
        <f t="shared" si="5"/>
        <v>2.1584286639326572E-2</v>
      </c>
      <c r="AI27" s="3392">
        <f t="shared" si="6"/>
        <v>223.20804545575803</v>
      </c>
      <c r="AJ27" s="3393">
        <f t="shared" si="13"/>
        <v>123.20804545575803</v>
      </c>
    </row>
    <row r="28" spans="1:36" s="2270" customFormat="1">
      <c r="A28" s="3419"/>
      <c r="B28" s="3420"/>
      <c r="C28" s="3421"/>
      <c r="D28" s="3422"/>
      <c r="E28" s="3422"/>
      <c r="F28" s="3422"/>
      <c r="G28" s="3422"/>
      <c r="H28" s="3422"/>
      <c r="I28" s="3422"/>
      <c r="J28" s="3423"/>
      <c r="K28" s="3424"/>
      <c r="L28" s="3422"/>
      <c r="M28" s="3425"/>
      <c r="N28" s="3422"/>
      <c r="O28" s="3422"/>
      <c r="P28" s="3422"/>
      <c r="Q28" s="3422"/>
      <c r="R28" s="3422"/>
      <c r="S28" s="3422"/>
      <c r="T28" s="3422"/>
      <c r="U28" s="3422"/>
      <c r="V28" s="3422"/>
      <c r="W28" s="3422"/>
      <c r="X28" s="3426"/>
      <c r="Y28" s="3425"/>
      <c r="Z28" s="3425"/>
      <c r="AA28" s="3390"/>
      <c r="AB28" s="2210"/>
      <c r="AC28" s="2210"/>
      <c r="AE28" s="3391"/>
      <c r="AG28" s="3391"/>
      <c r="AI28" s="3392"/>
      <c r="AJ28" s="3393"/>
    </row>
    <row r="29" spans="1:36" s="191" customFormat="1" ht="34.799999999999997">
      <c r="A29" s="3514" t="s">
        <v>9</v>
      </c>
      <c r="B29" s="3506" t="s">
        <v>2736</v>
      </c>
      <c r="C29" s="3505"/>
      <c r="D29" s="3505"/>
      <c r="E29" s="3505"/>
      <c r="F29" s="3505"/>
      <c r="G29" s="3505"/>
      <c r="H29" s="3505"/>
      <c r="I29" s="3505"/>
      <c r="J29" s="3505"/>
      <c r="K29" s="3505"/>
      <c r="L29" s="3505"/>
      <c r="M29" s="3505"/>
      <c r="N29" s="3505"/>
      <c r="O29" s="3505"/>
      <c r="P29" s="3507">
        <f>P7-G7</f>
        <v>1471930</v>
      </c>
      <c r="Q29" s="3507">
        <f>Q7-H7</f>
        <v>615780</v>
      </c>
      <c r="R29" s="3507">
        <f>R7-I7</f>
        <v>856150</v>
      </c>
      <c r="S29" s="3507"/>
      <c r="T29" s="3507"/>
      <c r="U29" s="3507">
        <f>U7-G7</f>
        <v>1780930</v>
      </c>
      <c r="V29" s="3507">
        <f>V7-H7</f>
        <v>739200</v>
      </c>
      <c r="W29" s="3507">
        <f>W7-I7</f>
        <v>1041730</v>
      </c>
      <c r="X29" s="3505"/>
      <c r="Y29" s="3505"/>
      <c r="Z29" s="3505"/>
      <c r="AJ29" s="3501"/>
    </row>
    <row r="30" spans="1:36" s="161" customFormat="1">
      <c r="A30" s="3515"/>
      <c r="B30" s="3508" t="s">
        <v>513</v>
      </c>
      <c r="C30" s="3508"/>
      <c r="D30" s="3508"/>
      <c r="E30" s="3508"/>
      <c r="F30" s="3508"/>
      <c r="G30" s="3508"/>
      <c r="H30" s="3508"/>
      <c r="I30" s="3508"/>
      <c r="J30" s="3508"/>
      <c r="K30" s="3508"/>
      <c r="L30" s="2593"/>
      <c r="M30" s="3508"/>
      <c r="N30" s="3508"/>
      <c r="O30" s="3508"/>
      <c r="P30" s="2593"/>
      <c r="Q30" s="2593"/>
      <c r="R30" s="2593"/>
      <c r="S30" s="2593"/>
      <c r="T30" s="2593"/>
      <c r="U30" s="2593"/>
      <c r="V30" s="2593"/>
      <c r="W30" s="2593"/>
      <c r="X30" s="3508"/>
      <c r="Y30" s="3508"/>
      <c r="Z30" s="3508"/>
      <c r="AJ30" s="3503"/>
    </row>
    <row r="31" spans="1:36" s="161" customFormat="1">
      <c r="A31" s="3515"/>
      <c r="B31" s="3508" t="s">
        <v>357</v>
      </c>
      <c r="C31" s="3508"/>
      <c r="D31" s="3508"/>
      <c r="E31" s="3508"/>
      <c r="F31" s="3508"/>
      <c r="G31" s="3508"/>
      <c r="H31" s="3508"/>
      <c r="I31" s="3508"/>
      <c r="J31" s="3508"/>
      <c r="K31" s="3508"/>
      <c r="L31" s="3508"/>
      <c r="M31" s="3508"/>
      <c r="N31" s="3508"/>
      <c r="O31" s="3508"/>
      <c r="P31" s="2593">
        <f>P19-G19</f>
        <v>870000</v>
      </c>
      <c r="Q31" s="2593">
        <f>Q19-H19</f>
        <v>527000</v>
      </c>
      <c r="R31" s="2593">
        <f>R19-I19</f>
        <v>343000</v>
      </c>
      <c r="S31" s="2593"/>
      <c r="T31" s="2593"/>
      <c r="U31" s="2593">
        <f>SUM(V31:W31)</f>
        <v>870000</v>
      </c>
      <c r="V31" s="2593">
        <f>V19-H19</f>
        <v>527000</v>
      </c>
      <c r="W31" s="2593">
        <f>W19-I19</f>
        <v>343000</v>
      </c>
      <c r="X31" s="3508"/>
      <c r="Y31" s="3508"/>
      <c r="Z31" s="3508"/>
      <c r="AJ31" s="3503"/>
    </row>
    <row r="32" spans="1:36" s="161" customFormat="1">
      <c r="A32" s="3515"/>
      <c r="B32" s="3508" t="s">
        <v>101</v>
      </c>
      <c r="C32" s="3508"/>
      <c r="D32" s="3508"/>
      <c r="E32" s="3508"/>
      <c r="F32" s="3508"/>
      <c r="G32" s="3508"/>
      <c r="H32" s="3508"/>
      <c r="I32" s="3508"/>
      <c r="J32" s="3508"/>
      <c r="K32" s="3508"/>
      <c r="L32" s="3508"/>
      <c r="M32" s="3508"/>
      <c r="N32" s="3508"/>
      <c r="O32" s="3508"/>
      <c r="P32" s="2593">
        <f>P26-G26</f>
        <v>250000</v>
      </c>
      <c r="Q32" s="2593">
        <f>Q26-H26</f>
        <v>250000</v>
      </c>
      <c r="R32" s="2593"/>
      <c r="S32" s="2593"/>
      <c r="T32" s="2593"/>
      <c r="U32" s="2593">
        <f>SUM(V32:W32)</f>
        <v>350000</v>
      </c>
      <c r="V32" s="2593">
        <f>V26-H26</f>
        <v>350000</v>
      </c>
      <c r="W32" s="2593"/>
      <c r="X32" s="3508"/>
      <c r="Y32" s="3508"/>
      <c r="Z32" s="3508"/>
      <c r="AJ32" s="3503"/>
    </row>
    <row r="33" spans="1:36" s="161" customFormat="1">
      <c r="A33" s="3515"/>
      <c r="B33" s="2593" t="s">
        <v>2740</v>
      </c>
      <c r="C33" s="3508"/>
      <c r="D33" s="3508"/>
      <c r="E33" s="3508"/>
      <c r="F33" s="3508"/>
      <c r="G33" s="3508"/>
      <c r="H33" s="3508"/>
      <c r="I33" s="3508"/>
      <c r="J33" s="3508"/>
      <c r="K33" s="3508"/>
      <c r="L33" s="3508"/>
      <c r="M33" s="3508"/>
      <c r="N33" s="3508"/>
      <c r="O33" s="3508"/>
      <c r="P33" s="2593">
        <f>P24-G24</f>
        <v>-13000</v>
      </c>
      <c r="Q33" s="2593">
        <f>Q24-H24</f>
        <v>-13000</v>
      </c>
      <c r="R33" s="2593">
        <f>R24-I24</f>
        <v>0</v>
      </c>
      <c r="S33" s="2593"/>
      <c r="T33" s="2593"/>
      <c r="U33" s="2593">
        <f>U24-G24</f>
        <v>-13000</v>
      </c>
      <c r="V33" s="2593">
        <f>V24-H24</f>
        <v>-13000</v>
      </c>
      <c r="W33" s="2593">
        <f>W24-I24</f>
        <v>0</v>
      </c>
      <c r="X33" s="3508"/>
      <c r="Y33" s="3508"/>
      <c r="Z33" s="3508"/>
      <c r="AJ33" s="3503"/>
    </row>
    <row r="34" spans="1:36">
      <c r="A34" s="3516" t="s">
        <v>20</v>
      </c>
      <c r="B34" s="2556" t="s">
        <v>2737</v>
      </c>
      <c r="C34" s="2558"/>
      <c r="D34" s="2558"/>
      <c r="E34" s="2558"/>
      <c r="F34" s="2558"/>
      <c r="G34" s="2558"/>
      <c r="H34" s="2558"/>
      <c r="I34" s="2558"/>
      <c r="J34" s="2558"/>
      <c r="K34" s="2558"/>
      <c r="L34" s="2558"/>
      <c r="M34" s="2558"/>
      <c r="N34" s="2558"/>
      <c r="O34" s="2558"/>
      <c r="P34" s="16">
        <f>P9-G9</f>
        <v>364930</v>
      </c>
      <c r="Q34" s="16">
        <f>Q9-H9</f>
        <v>-148220</v>
      </c>
      <c r="R34" s="16">
        <f>R9-I9</f>
        <v>513150</v>
      </c>
      <c r="S34" s="16"/>
      <c r="T34" s="16"/>
      <c r="U34" s="16">
        <f>U9-G9</f>
        <v>573930</v>
      </c>
      <c r="V34" s="16">
        <f>V9-H9</f>
        <v>-124800</v>
      </c>
      <c r="W34" s="16">
        <f>W9-I9</f>
        <v>698730</v>
      </c>
      <c r="X34" s="2558"/>
      <c r="Y34" s="2558"/>
      <c r="Z34" s="2558"/>
    </row>
    <row r="35" spans="1:36" s="1402" customFormat="1" ht="17.399999999999999">
      <c r="A35" s="1412">
        <v>1</v>
      </c>
      <c r="B35" s="1398" t="s">
        <v>2738</v>
      </c>
      <c r="C35" s="1398"/>
      <c r="D35" s="1398"/>
      <c r="E35" s="1398"/>
      <c r="F35" s="1398"/>
      <c r="G35" s="1398"/>
      <c r="H35" s="1398"/>
      <c r="I35" s="1398"/>
      <c r="J35" s="1398"/>
      <c r="K35" s="1398"/>
      <c r="L35" s="1398"/>
      <c r="M35" s="1398"/>
      <c r="N35" s="1398"/>
      <c r="O35" s="1398"/>
      <c r="P35" s="17">
        <f>P34/2</f>
        <v>182465</v>
      </c>
      <c r="Q35" s="17">
        <f t="shared" ref="Q35:R35" si="28">Q34/2</f>
        <v>-74110</v>
      </c>
      <c r="R35" s="17">
        <f t="shared" si="28"/>
        <v>256575</v>
      </c>
      <c r="S35" s="3509"/>
      <c r="T35" s="3509"/>
      <c r="U35" s="3510">
        <f>U34/2</f>
        <v>286965</v>
      </c>
      <c r="V35" s="3510">
        <f>V34/2</f>
        <v>-62400</v>
      </c>
      <c r="W35" s="3510">
        <f>W34/2</f>
        <v>349365</v>
      </c>
      <c r="X35" s="1398"/>
      <c r="Y35" s="1398"/>
      <c r="Z35" s="1398"/>
      <c r="AJ35" s="3502"/>
    </row>
    <row r="36" spans="1:36">
      <c r="A36" s="3517">
        <v>2</v>
      </c>
      <c r="B36" s="3511" t="s">
        <v>2739</v>
      </c>
      <c r="C36" s="2595"/>
      <c r="D36" s="2595"/>
      <c r="E36" s="2595"/>
      <c r="F36" s="2595"/>
      <c r="G36" s="2595"/>
      <c r="H36" s="2595"/>
      <c r="I36" s="2595"/>
      <c r="J36" s="2595"/>
      <c r="K36" s="2595"/>
      <c r="L36" s="2595"/>
      <c r="M36" s="2595"/>
      <c r="N36" s="2595"/>
      <c r="O36" s="2595"/>
      <c r="P36" s="3512">
        <f>P34/2</f>
        <v>182465</v>
      </c>
      <c r="Q36" s="3512">
        <f t="shared" ref="Q36" si="29">Q34/2</f>
        <v>-74110</v>
      </c>
      <c r="R36" s="3512">
        <f>R34/2</f>
        <v>256575</v>
      </c>
      <c r="S36" s="3518"/>
      <c r="T36" s="3518"/>
      <c r="U36" s="3513">
        <f>U34/2</f>
        <v>286965</v>
      </c>
      <c r="V36" s="3513">
        <f t="shared" ref="V36:W36" si="30">V34/2</f>
        <v>-62400</v>
      </c>
      <c r="W36" s="3513">
        <f t="shared" si="30"/>
        <v>349365</v>
      </c>
      <c r="X36" s="2595"/>
      <c r="Y36" s="2595"/>
      <c r="Z36" s="2595"/>
    </row>
    <row r="37" spans="1:36">
      <c r="A37" s="2401"/>
      <c r="B37" s="3"/>
      <c r="P37" s="1402"/>
      <c r="Q37" s="1402"/>
      <c r="R37" s="1402"/>
      <c r="S37" s="3550"/>
      <c r="T37" s="3550"/>
      <c r="U37" s="3551"/>
      <c r="V37" s="3551"/>
      <c r="W37" s="3551"/>
    </row>
    <row r="38" spans="1:36">
      <c r="A38" s="2401"/>
      <c r="B38" s="3"/>
      <c r="P38" s="1402"/>
      <c r="Q38" s="1402"/>
      <c r="R38" s="1402"/>
      <c r="S38" s="3550"/>
      <c r="T38" s="3550"/>
      <c r="U38" s="3551"/>
      <c r="V38" s="3551"/>
      <c r="W38" s="3551"/>
    </row>
    <row r="39" spans="1:36" hidden="1">
      <c r="A39" s="2401"/>
      <c r="B39" s="3"/>
      <c r="P39" s="1402"/>
      <c r="Q39" s="1402"/>
      <c r="R39" s="1402"/>
      <c r="S39" s="3550"/>
      <c r="T39" s="3550"/>
      <c r="U39" s="3551"/>
      <c r="V39" s="3551"/>
      <c r="W39" s="3551"/>
    </row>
    <row r="40" spans="1:36" hidden="1">
      <c r="F40" s="34"/>
      <c r="G40" s="34"/>
      <c r="H40" s="34"/>
      <c r="I40" s="34"/>
      <c r="J40" s="34"/>
      <c r="K40" s="34"/>
      <c r="L40" s="34"/>
      <c r="M40" s="34"/>
      <c r="N40" s="34"/>
      <c r="O40" s="34"/>
      <c r="P40" s="34"/>
      <c r="Q40" s="34"/>
      <c r="R40" s="34"/>
      <c r="S40" s="34"/>
      <c r="T40" s="34"/>
      <c r="U40" s="34">
        <f>U36-P36</f>
        <v>104500</v>
      </c>
      <c r="V40" s="34"/>
      <c r="W40" s="34">
        <f>W34-R34</f>
        <v>185580</v>
      </c>
      <c r="X40" s="34"/>
    </row>
    <row r="41" spans="1:36" hidden="1">
      <c r="F41" s="34"/>
      <c r="G41" s="34"/>
      <c r="H41" s="34"/>
      <c r="I41" s="34"/>
      <c r="J41" s="34"/>
      <c r="K41" s="34"/>
      <c r="L41" s="34"/>
      <c r="M41" s="34"/>
      <c r="N41" s="34"/>
      <c r="O41" s="34"/>
      <c r="P41" s="34"/>
      <c r="Q41" s="34"/>
      <c r="R41" s="34"/>
      <c r="S41" s="34"/>
      <c r="T41" s="34"/>
      <c r="U41" s="3585"/>
      <c r="V41" s="3585">
        <f>V36-Q36</f>
        <v>11710</v>
      </c>
      <c r="W41" s="3586">
        <f>W29-R29</f>
        <v>185580</v>
      </c>
      <c r="X41" s="34"/>
    </row>
    <row r="42" spans="1:36" hidden="1">
      <c r="F42" s="34"/>
      <c r="G42" s="34"/>
      <c r="H42" s="34"/>
      <c r="I42" s="34"/>
      <c r="J42" s="34"/>
      <c r="K42" s="34"/>
      <c r="L42" s="34"/>
      <c r="M42" s="34"/>
      <c r="N42" s="34"/>
      <c r="O42" s="34"/>
      <c r="P42" s="34"/>
      <c r="Q42" s="34"/>
      <c r="R42" s="34">
        <f>R36</f>
        <v>256575</v>
      </c>
      <c r="S42" s="34"/>
      <c r="T42" s="34"/>
      <c r="U42" s="3585"/>
      <c r="V42" s="3585">
        <f t="shared" ref="V42" si="31">V41*2</f>
        <v>23420</v>
      </c>
      <c r="W42" s="3586">
        <f>W41*70%</f>
        <v>129905.99999999999</v>
      </c>
      <c r="X42" s="34"/>
    </row>
    <row r="43" spans="1:36" hidden="1">
      <c r="F43" s="34"/>
      <c r="G43" s="34"/>
      <c r="H43" s="34"/>
      <c r="I43" s="34"/>
      <c r="J43" s="34"/>
      <c r="K43" s="34"/>
      <c r="L43" s="34"/>
      <c r="M43" s="34"/>
      <c r="N43" s="34"/>
      <c r="O43" s="34"/>
      <c r="P43" s="34"/>
      <c r="Q43" s="34"/>
      <c r="R43" s="34"/>
      <c r="S43" s="34"/>
      <c r="T43" s="34"/>
      <c r="U43" s="34"/>
      <c r="V43" s="34"/>
      <c r="W43" s="34">
        <f>W42+R42</f>
        <v>386481</v>
      </c>
      <c r="X43" s="34"/>
    </row>
    <row r="44" spans="1:36" hidden="1">
      <c r="F44" s="34"/>
      <c r="G44" s="34"/>
      <c r="H44" s="34"/>
      <c r="I44" s="34"/>
      <c r="J44" s="34"/>
      <c r="K44" s="34"/>
      <c r="L44" s="34"/>
      <c r="M44" s="34"/>
      <c r="N44" s="34"/>
      <c r="O44" s="34"/>
      <c r="P44" s="34"/>
      <c r="Q44" s="34"/>
      <c r="R44" s="34"/>
      <c r="S44" s="34"/>
      <c r="T44" s="34"/>
      <c r="U44" s="34"/>
      <c r="V44" s="34"/>
      <c r="W44" s="34">
        <f>W36-W43</f>
        <v>-37116</v>
      </c>
      <c r="X44" s="34"/>
    </row>
    <row r="45" spans="1:36" hidden="1">
      <c r="F45" s="34"/>
      <c r="G45" s="34"/>
      <c r="H45" s="34"/>
      <c r="I45" s="34"/>
      <c r="J45" s="34"/>
      <c r="K45" s="34"/>
      <c r="L45" s="34"/>
      <c r="M45" s="34"/>
      <c r="N45" s="34"/>
      <c r="O45" s="34"/>
      <c r="P45" s="3512">
        <f>P36</f>
        <v>182465</v>
      </c>
      <c r="Q45" s="3512">
        <f>Q36</f>
        <v>-74110</v>
      </c>
      <c r="R45" s="3512">
        <f>R36</f>
        <v>256575</v>
      </c>
      <c r="S45" s="34"/>
      <c r="T45" s="34"/>
      <c r="U45" s="34">
        <f>V45+W45</f>
        <v>324081</v>
      </c>
      <c r="V45" s="34">
        <f>V36</f>
        <v>-62400</v>
      </c>
      <c r="W45" s="34">
        <f>W43</f>
        <v>386481</v>
      </c>
      <c r="X45" s="34"/>
    </row>
    <row r="46" spans="1:36" hidden="1">
      <c r="F46" s="34"/>
      <c r="G46" s="34"/>
      <c r="H46" s="34">
        <f>H8</f>
        <v>3806650</v>
      </c>
      <c r="I46" s="34">
        <f>'[22]Bao cao (1)'!$K$19</f>
        <v>3443999.4658399997</v>
      </c>
      <c r="J46" s="34"/>
      <c r="K46" s="34"/>
      <c r="L46" s="34">
        <f>I46-H46</f>
        <v>-362650.53416000027</v>
      </c>
      <c r="M46" s="34"/>
      <c r="N46" s="34"/>
      <c r="O46" s="34"/>
      <c r="P46" s="34"/>
      <c r="Q46" s="34"/>
      <c r="R46" s="34"/>
      <c r="S46" s="34"/>
      <c r="T46" s="34"/>
      <c r="U46" s="1402">
        <f>U45-P45</f>
        <v>141616</v>
      </c>
      <c r="V46" s="34">
        <f>V45-Q45</f>
        <v>11710</v>
      </c>
      <c r="W46" s="34">
        <f>W45-R45</f>
        <v>129906</v>
      </c>
      <c r="X46" s="34"/>
    </row>
    <row r="47" spans="1:36" hidden="1">
      <c r="F47" s="34"/>
      <c r="G47" s="34"/>
      <c r="H47" s="34">
        <f>H9</f>
        <v>2056650</v>
      </c>
      <c r="I47" s="34">
        <f>'[22]Bao cao (1)'!$K$20</f>
        <v>1595148.0740189999</v>
      </c>
      <c r="J47" s="34"/>
      <c r="K47" s="34"/>
      <c r="L47" s="34">
        <f>I47-H47</f>
        <v>-461501.92598100007</v>
      </c>
      <c r="M47" s="34"/>
      <c r="N47" s="34"/>
      <c r="O47" s="34"/>
      <c r="P47" s="34"/>
      <c r="Q47" s="34"/>
      <c r="R47" s="34"/>
      <c r="S47" s="34"/>
      <c r="T47" s="34"/>
      <c r="U47" s="34"/>
      <c r="V47" s="34"/>
      <c r="W47" s="34"/>
      <c r="X47" s="34"/>
    </row>
    <row r="48" spans="1:36" hidden="1">
      <c r="H48" s="34"/>
      <c r="U48" s="1">
        <f>'Phụ lục số 2'!AA32</f>
        <v>79139.200000000012</v>
      </c>
    </row>
    <row r="49" spans="8:22" hidden="1">
      <c r="H49" s="34"/>
      <c r="U49" s="1">
        <f>U40-U48</f>
        <v>25360.799999999988</v>
      </c>
    </row>
    <row r="50" spans="8:22" hidden="1"/>
    <row r="51" spans="8:22" hidden="1">
      <c r="S51" s="1">
        <f>-W44</f>
        <v>37116</v>
      </c>
    </row>
    <row r="52" spans="8:22" hidden="1">
      <c r="S52" s="1">
        <f>U40-S51</f>
        <v>67384</v>
      </c>
      <c r="U52" s="1">
        <f>-W44</f>
        <v>37116</v>
      </c>
      <c r="V52" s="1">
        <f>U52-U49</f>
        <v>11755.200000000012</v>
      </c>
    </row>
  </sheetData>
  <mergeCells count="27">
    <mergeCell ref="T4:T5"/>
    <mergeCell ref="U4:U5"/>
    <mergeCell ref="V4:W4"/>
    <mergeCell ref="L3:L5"/>
    <mergeCell ref="M3:M5"/>
    <mergeCell ref="N3:N5"/>
    <mergeCell ref="O3:R3"/>
    <mergeCell ref="S3:S5"/>
    <mergeCell ref="O4:O5"/>
    <mergeCell ref="P4:P5"/>
    <mergeCell ref="Q4:R4"/>
    <mergeCell ref="A1:Z1"/>
    <mergeCell ref="S2:Z2"/>
    <mergeCell ref="A3:A5"/>
    <mergeCell ref="B3:B5"/>
    <mergeCell ref="C3:C5"/>
    <mergeCell ref="D3:D5"/>
    <mergeCell ref="E3:E5"/>
    <mergeCell ref="F3:I3"/>
    <mergeCell ref="J3:J5"/>
    <mergeCell ref="K3:K5"/>
    <mergeCell ref="X3:X5"/>
    <mergeCell ref="Y3:Z4"/>
    <mergeCell ref="F4:F5"/>
    <mergeCell ref="G4:G5"/>
    <mergeCell ref="H4:I4"/>
    <mergeCell ref="T3:W3"/>
  </mergeCells>
  <hyperlinks>
    <hyperlink ref="A3:A5" location="'List danh mục'!A1" display="SỐ TT"/>
  </hyperlinks>
  <printOptions horizontalCentered="1"/>
  <pageMargins left="0" right="0" top="0.19685039370078741" bottom="0" header="0.31496062992125984" footer="0.31496062992125984"/>
  <pageSetup paperSize="9" scale="65" orientation="landscape" r:id="rId1"/>
  <headerFooter>
    <oddHeader>&amp;R&amp;A</oddHeader>
    <oddFooter>&amp;C&amp;P/&amp;N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DM62"/>
  <sheetViews>
    <sheetView zoomScale="70" zoomScaleNormal="70" workbookViewId="0">
      <pane xSplit="5" ySplit="9" topLeftCell="F52" activePane="bottomRight" state="frozen"/>
      <selection activeCell="A91" sqref="A91:C91"/>
      <selection pane="topRight" activeCell="A91" sqref="A91:C91"/>
      <selection pane="bottomLeft" activeCell="A91" sqref="A91:C91"/>
      <selection pane="bottomRight" activeCell="A91" sqref="A91:C91"/>
    </sheetView>
  </sheetViews>
  <sheetFormatPr defaultColWidth="9" defaultRowHeight="18"/>
  <cols>
    <col min="1" max="1" width="4.3984375" style="1" customWidth="1"/>
    <col min="2" max="2" width="51.69921875" style="1" customWidth="1"/>
    <col min="3" max="3" width="9.09765625" style="1" hidden="1" customWidth="1"/>
    <col min="4" max="4" width="12.69921875" style="1" hidden="1" customWidth="1"/>
    <col min="5" max="9" width="8" style="1" customWidth="1"/>
    <col min="10" max="11" width="8" style="1" hidden="1" customWidth="1"/>
    <col min="12" max="16" width="8" style="1" customWidth="1"/>
    <col min="17" max="18" width="8.8984375" style="1" customWidth="1"/>
    <col min="19" max="23" width="8" style="1" hidden="1" customWidth="1"/>
    <col min="24" max="27" width="8" style="1" customWidth="1"/>
    <col min="28" max="28" width="9.19921875" style="1" customWidth="1"/>
    <col min="29" max="29" width="8.69921875" style="1" customWidth="1"/>
    <col min="30" max="30" width="9.69921875" style="1" customWidth="1"/>
    <col min="31" max="32" width="8.69921875" style="1" customWidth="1"/>
    <col min="33" max="33" width="12.69921875" style="1" customWidth="1"/>
    <col min="34" max="34" width="9" style="1"/>
    <col min="35" max="35" width="10" style="1" customWidth="1"/>
    <col min="36" max="36" width="11.19921875" style="1" customWidth="1"/>
    <col min="37" max="41" width="9" style="1"/>
    <col min="42" max="42" width="9" style="3379"/>
    <col min="43" max="16384" width="9" style="1"/>
  </cols>
  <sheetData>
    <row r="1" spans="1:117" s="3" customFormat="1" ht="37.65" customHeight="1">
      <c r="A1" s="4395" t="s">
        <v>2781</v>
      </c>
      <c r="B1" s="4395"/>
      <c r="C1" s="4395"/>
      <c r="D1" s="4395"/>
      <c r="E1" s="4395"/>
      <c r="F1" s="4395"/>
      <c r="G1" s="4395"/>
      <c r="H1" s="4395"/>
      <c r="I1" s="4395"/>
      <c r="J1" s="4395"/>
      <c r="K1" s="4395"/>
      <c r="L1" s="4395"/>
      <c r="M1" s="4395"/>
      <c r="N1" s="4395"/>
      <c r="O1" s="4395"/>
      <c r="P1" s="4395"/>
      <c r="Q1" s="4395"/>
      <c r="R1" s="4395"/>
      <c r="S1" s="4395"/>
      <c r="T1" s="4395"/>
      <c r="U1" s="4395"/>
      <c r="V1" s="4395"/>
      <c r="W1" s="4395"/>
      <c r="X1" s="4395"/>
      <c r="Y1" s="4395"/>
      <c r="Z1" s="4395"/>
      <c r="AA1" s="4395"/>
      <c r="AB1" s="4395"/>
      <c r="AC1" s="4395"/>
      <c r="AD1" s="4395"/>
      <c r="AE1" s="4395"/>
      <c r="AF1" s="4395"/>
      <c r="AP1" s="3378"/>
      <c r="AV1" s="3" t="s">
        <v>635</v>
      </c>
      <c r="BA1" s="60"/>
      <c r="BI1" s="60"/>
      <c r="BQ1" s="60"/>
      <c r="BY1" s="60"/>
      <c r="CG1" s="60"/>
      <c r="CO1" s="60"/>
      <c r="CW1" s="60"/>
      <c r="DE1" s="60"/>
      <c r="DM1" s="60"/>
    </row>
    <row r="2" spans="1:117">
      <c r="B2" s="2907"/>
      <c r="C2" s="2907"/>
      <c r="D2" s="2907"/>
      <c r="X2" s="4421" t="s">
        <v>73</v>
      </c>
      <c r="Y2" s="4421"/>
      <c r="Z2" s="4421"/>
      <c r="AA2" s="4421"/>
      <c r="AB2" s="4421"/>
      <c r="AC2" s="4421"/>
      <c r="AD2" s="4421"/>
      <c r="AE2" s="4421"/>
      <c r="AF2" s="4421"/>
      <c r="AG2" s="4421"/>
      <c r="AI2" s="35"/>
    </row>
    <row r="3" spans="1:117" s="24" customFormat="1" ht="44.4" customHeight="1">
      <c r="A3" s="4416" t="s">
        <v>0</v>
      </c>
      <c r="B3" s="4418" t="s">
        <v>1</v>
      </c>
      <c r="C3" s="4419" t="s">
        <v>1243</v>
      </c>
      <c r="D3" s="4408" t="s">
        <v>554</v>
      </c>
      <c r="E3" s="4408" t="s">
        <v>145</v>
      </c>
      <c r="F3" s="4408" t="s">
        <v>513</v>
      </c>
      <c r="G3" s="4408"/>
      <c r="H3" s="4408"/>
      <c r="I3" s="4408"/>
      <c r="J3" s="4419" t="s">
        <v>2426</v>
      </c>
      <c r="K3" s="4419" t="s">
        <v>1244</v>
      </c>
      <c r="L3" s="4408" t="s">
        <v>2420</v>
      </c>
      <c r="M3" s="4408" t="s">
        <v>513</v>
      </c>
      <c r="N3" s="4408"/>
      <c r="O3" s="4408"/>
      <c r="P3" s="4408"/>
      <c r="Q3" s="4408" t="s">
        <v>2782</v>
      </c>
      <c r="R3" s="4408"/>
      <c r="S3" s="4408" t="s">
        <v>2423</v>
      </c>
      <c r="T3" s="4408" t="s">
        <v>513</v>
      </c>
      <c r="U3" s="4408"/>
      <c r="V3" s="4408"/>
      <c r="W3" s="4408"/>
      <c r="X3" s="4408" t="s">
        <v>2587</v>
      </c>
      <c r="Y3" s="4408" t="s">
        <v>513</v>
      </c>
      <c r="Z3" s="4408"/>
      <c r="AA3" s="4408"/>
      <c r="AB3" s="4408"/>
      <c r="AC3" s="4408" t="s">
        <v>2783</v>
      </c>
      <c r="AD3" s="4408"/>
      <c r="AE3" s="4408" t="s">
        <v>2784</v>
      </c>
      <c r="AF3" s="4408"/>
      <c r="AG3" s="4418" t="s">
        <v>395</v>
      </c>
      <c r="AP3" s="3380"/>
    </row>
    <row r="4" spans="1:117" s="24" customFormat="1" ht="27.75" customHeight="1">
      <c r="A4" s="4417"/>
      <c r="B4" s="4400"/>
      <c r="C4" s="4419"/>
      <c r="D4" s="4408"/>
      <c r="E4" s="4408"/>
      <c r="F4" s="4408" t="s">
        <v>2733</v>
      </c>
      <c r="G4" s="4408" t="s">
        <v>2734</v>
      </c>
      <c r="H4" s="4408" t="s">
        <v>309</v>
      </c>
      <c r="I4" s="4408"/>
      <c r="J4" s="4419"/>
      <c r="K4" s="4419"/>
      <c r="L4" s="4408"/>
      <c r="M4" s="4408" t="s">
        <v>2733</v>
      </c>
      <c r="N4" s="4408" t="s">
        <v>2734</v>
      </c>
      <c r="O4" s="4408" t="s">
        <v>309</v>
      </c>
      <c r="P4" s="4408"/>
      <c r="Q4" s="4408" t="s">
        <v>346</v>
      </c>
      <c r="R4" s="4408" t="s">
        <v>2774</v>
      </c>
      <c r="S4" s="4408"/>
      <c r="T4" s="4408" t="s">
        <v>2733</v>
      </c>
      <c r="U4" s="4408" t="s">
        <v>2734</v>
      </c>
      <c r="V4" s="4408" t="s">
        <v>309</v>
      </c>
      <c r="W4" s="4408"/>
      <c r="X4" s="4408"/>
      <c r="Y4" s="4408" t="s">
        <v>2733</v>
      </c>
      <c r="Z4" s="4408" t="s">
        <v>2734</v>
      </c>
      <c r="AA4" s="4408" t="s">
        <v>309</v>
      </c>
      <c r="AB4" s="4408"/>
      <c r="AC4" s="4408" t="s">
        <v>346</v>
      </c>
      <c r="AD4" s="4408" t="s">
        <v>2774</v>
      </c>
      <c r="AE4" s="4408" t="s">
        <v>346</v>
      </c>
      <c r="AF4" s="4408" t="s">
        <v>2774</v>
      </c>
      <c r="AG4" s="4418"/>
      <c r="AH4" s="60"/>
      <c r="AI4" s="60"/>
      <c r="AJ4" s="60"/>
      <c r="AP4" s="3380"/>
    </row>
    <row r="5" spans="1:117" s="24" customFormat="1" ht="87" customHeight="1">
      <c r="A5" s="4417"/>
      <c r="B5" s="4400"/>
      <c r="C5" s="4419"/>
      <c r="D5" s="4408"/>
      <c r="E5" s="4408"/>
      <c r="F5" s="4408"/>
      <c r="G5" s="4408"/>
      <c r="H5" s="182" t="s">
        <v>2735</v>
      </c>
      <c r="I5" s="182" t="s">
        <v>2726</v>
      </c>
      <c r="J5" s="4419"/>
      <c r="K5" s="4419"/>
      <c r="L5" s="4408"/>
      <c r="M5" s="4408"/>
      <c r="N5" s="4408"/>
      <c r="O5" s="182" t="s">
        <v>2735</v>
      </c>
      <c r="P5" s="182" t="s">
        <v>2726</v>
      </c>
      <c r="Q5" s="4408"/>
      <c r="R5" s="4408"/>
      <c r="S5" s="4408"/>
      <c r="T5" s="4408"/>
      <c r="U5" s="4408"/>
      <c r="V5" s="182" t="s">
        <v>2735</v>
      </c>
      <c r="W5" s="182" t="s">
        <v>2726</v>
      </c>
      <c r="X5" s="4408"/>
      <c r="Y5" s="4408"/>
      <c r="Z5" s="4408"/>
      <c r="AA5" s="182" t="s">
        <v>2735</v>
      </c>
      <c r="AB5" s="182" t="s">
        <v>2726</v>
      </c>
      <c r="AC5" s="4408"/>
      <c r="AD5" s="4408"/>
      <c r="AE5" s="4408"/>
      <c r="AF5" s="4408"/>
      <c r="AG5" s="4418"/>
      <c r="AH5" s="60"/>
      <c r="AI5" s="60"/>
      <c r="AJ5" s="60"/>
      <c r="AP5" s="3380"/>
    </row>
    <row r="6" spans="1:117" s="60" customFormat="1" ht="17.399999999999999">
      <c r="A6" s="2402">
        <v>1</v>
      </c>
      <c r="B6" s="2402">
        <v>2</v>
      </c>
      <c r="C6" s="2402"/>
      <c r="D6" s="3236">
        <v>3</v>
      </c>
      <c r="E6" s="3236" t="s">
        <v>6</v>
      </c>
      <c r="F6" s="3236">
        <v>4</v>
      </c>
      <c r="G6" s="3236" t="s">
        <v>317</v>
      </c>
      <c r="H6" s="3236">
        <v>6</v>
      </c>
      <c r="I6" s="3236">
        <v>7</v>
      </c>
      <c r="J6" s="3740">
        <v>5</v>
      </c>
      <c r="K6" s="3740" t="s">
        <v>1247</v>
      </c>
      <c r="L6" s="3236" t="s">
        <v>318</v>
      </c>
      <c r="M6" s="3236">
        <v>9</v>
      </c>
      <c r="N6" s="3236" t="s">
        <v>319</v>
      </c>
      <c r="O6" s="3236">
        <v>11</v>
      </c>
      <c r="P6" s="3236">
        <v>12</v>
      </c>
      <c r="Q6" s="3236" t="s">
        <v>2771</v>
      </c>
      <c r="R6" s="3236" t="s">
        <v>2775</v>
      </c>
      <c r="S6" s="3236">
        <v>9</v>
      </c>
      <c r="T6" s="3236"/>
      <c r="U6" s="3236"/>
      <c r="V6" s="3236"/>
      <c r="W6" s="3236"/>
      <c r="X6" s="3236" t="s">
        <v>2375</v>
      </c>
      <c r="Y6" s="3236">
        <v>16</v>
      </c>
      <c r="Z6" s="3236" t="s">
        <v>2776</v>
      </c>
      <c r="AA6" s="3236">
        <v>18</v>
      </c>
      <c r="AB6" s="3236">
        <v>19</v>
      </c>
      <c r="AC6" s="3236" t="s">
        <v>2777</v>
      </c>
      <c r="AD6" s="3236" t="s">
        <v>2778</v>
      </c>
      <c r="AE6" s="3384" t="s">
        <v>2779</v>
      </c>
      <c r="AF6" s="3236" t="s">
        <v>2780</v>
      </c>
      <c r="AG6" s="6">
        <v>24</v>
      </c>
      <c r="AP6" s="3385"/>
    </row>
    <row r="7" spans="1:117" s="2210" customFormat="1" ht="17.399999999999999">
      <c r="A7" s="1408" t="s">
        <v>7</v>
      </c>
      <c r="B7" s="2268" t="s">
        <v>1252</v>
      </c>
      <c r="C7" s="2268">
        <f>SUM(C8,C27)</f>
        <v>5155333</v>
      </c>
      <c r="D7" s="3386">
        <f>SUM(D8,D27)</f>
        <v>7877157.3248490002</v>
      </c>
      <c r="E7" s="3386">
        <f>SUM(E8,E27)</f>
        <v>7590000</v>
      </c>
      <c r="F7" s="3386">
        <f t="shared" ref="F7:I7" si="0">SUM(F8,F27)</f>
        <v>886000</v>
      </c>
      <c r="G7" s="3386">
        <f t="shared" si="0"/>
        <v>6704000</v>
      </c>
      <c r="H7" s="3386">
        <f t="shared" si="0"/>
        <v>3806650</v>
      </c>
      <c r="I7" s="3386">
        <f t="shared" si="0"/>
        <v>2897350</v>
      </c>
      <c r="J7" s="3410">
        <f>SUM(J8,J27)</f>
        <v>4941850</v>
      </c>
      <c r="K7" s="3411">
        <f>J7/E7%</f>
        <v>65.110013175230563</v>
      </c>
      <c r="L7" s="3386">
        <f>SUM(L8,L27)</f>
        <v>8150745.3199999994</v>
      </c>
      <c r="M7" s="3386">
        <f t="shared" ref="M7:P7" si="1">SUM(M8,M27)</f>
        <v>700345.52</v>
      </c>
      <c r="N7" s="3386">
        <f t="shared" si="1"/>
        <v>7450399.7999999998</v>
      </c>
      <c r="O7" s="3386">
        <f t="shared" si="1"/>
        <v>3862350.7333333334</v>
      </c>
      <c r="P7" s="3386">
        <f t="shared" si="1"/>
        <v>3588049.0666666664</v>
      </c>
      <c r="Q7" s="3387">
        <f t="shared" ref="Q7:Q13" si="2">L7/E7%</f>
        <v>107.3879488801054</v>
      </c>
      <c r="R7" s="3768">
        <f>L7-E7</f>
        <v>560745.31999999937</v>
      </c>
      <c r="S7" s="3386">
        <f>SUM(S8,S27)</f>
        <v>8914000</v>
      </c>
      <c r="T7" s="3386">
        <f t="shared" ref="T7:W7" si="3">SUM(T8,T27)</f>
        <v>738070</v>
      </c>
      <c r="U7" s="3386">
        <f t="shared" si="3"/>
        <v>8175930</v>
      </c>
      <c r="V7" s="3386">
        <f t="shared" si="3"/>
        <v>4422430</v>
      </c>
      <c r="W7" s="3386">
        <f t="shared" si="3"/>
        <v>3753500</v>
      </c>
      <c r="X7" s="3386">
        <f>SUM(X8,X27)</f>
        <v>9266000</v>
      </c>
      <c r="Y7" s="3386">
        <f t="shared" ref="Y7:AB7" si="4">SUM(Y8,Y27)</f>
        <v>781070</v>
      </c>
      <c r="Z7" s="3386">
        <f t="shared" si="4"/>
        <v>8484930</v>
      </c>
      <c r="AA7" s="3386">
        <f>SUM(AA8,AA27)</f>
        <v>4545850</v>
      </c>
      <c r="AB7" s="3386">
        <f t="shared" si="4"/>
        <v>3939080</v>
      </c>
      <c r="AC7" s="3759">
        <f>X7/L7*100</f>
        <v>113.6828552017621</v>
      </c>
      <c r="AD7" s="3386">
        <f>X7-L7</f>
        <v>1115254.6800000006</v>
      </c>
      <c r="AE7" s="3762">
        <f>X7/E7*100</f>
        <v>122.08168642951252</v>
      </c>
      <c r="AF7" s="3768">
        <f>X7-E7</f>
        <v>1676000</v>
      </c>
      <c r="AG7" s="3754"/>
      <c r="AK7" s="3391"/>
      <c r="AM7" s="3391"/>
      <c r="AO7" s="3392"/>
      <c r="AP7" s="3393"/>
    </row>
    <row r="8" spans="1:117">
      <c r="A8" s="1413" t="s">
        <v>9</v>
      </c>
      <c r="B8" s="16" t="s">
        <v>10</v>
      </c>
      <c r="C8" s="16">
        <f>SUM(C10,C11,C12,C13:C26)</f>
        <v>5042872</v>
      </c>
      <c r="D8" s="75">
        <f>SUM(D10,D11,D12,D13:D26)</f>
        <v>7487373.9545940002</v>
      </c>
      <c r="E8" s="75">
        <f>SUM(E10,E11,E12,E13:E26)</f>
        <v>7440000</v>
      </c>
      <c r="F8" s="75">
        <f t="shared" ref="F8:I8" si="5">SUM(F10,F11,F12,F13:F26)</f>
        <v>736000</v>
      </c>
      <c r="G8" s="75">
        <f t="shared" si="5"/>
        <v>6704000</v>
      </c>
      <c r="H8" s="75">
        <f t="shared" si="5"/>
        <v>3806650</v>
      </c>
      <c r="I8" s="75">
        <f t="shared" si="5"/>
        <v>2897350</v>
      </c>
      <c r="J8" s="3483">
        <f>SUM(J10,J11,J12,J13:J26)</f>
        <v>4690828</v>
      </c>
      <c r="K8" s="3727">
        <f t="shared" ref="K8:K13" si="6">J8/E8%</f>
        <v>63.048763440860213</v>
      </c>
      <c r="L8" s="75">
        <f>SUM(L10,L11,L12,L13:L26)</f>
        <v>7999999.7999999998</v>
      </c>
      <c r="M8" s="75">
        <f t="shared" ref="M8:P8" si="7">SUM(M10,M11,M12,M13:M26)</f>
        <v>549600</v>
      </c>
      <c r="N8" s="75">
        <f t="shared" si="7"/>
        <v>7450399.7999999998</v>
      </c>
      <c r="O8" s="75">
        <f t="shared" si="7"/>
        <v>3862350.7333333334</v>
      </c>
      <c r="P8" s="75">
        <f t="shared" si="7"/>
        <v>3588049.0666666664</v>
      </c>
      <c r="Q8" s="3728">
        <f t="shared" si="2"/>
        <v>107.52687903225807</v>
      </c>
      <c r="R8" s="3769">
        <f t="shared" ref="R8:R62" si="8">L8-E8</f>
        <v>559999.79999999981</v>
      </c>
      <c r="S8" s="75">
        <f>SUM(S10,S11,S12,S13:S26)</f>
        <v>8757000</v>
      </c>
      <c r="T8" s="75">
        <f t="shared" ref="T8:W8" si="9">SUM(T10,T11,T12,T13:T26)</f>
        <v>581070</v>
      </c>
      <c r="U8" s="75">
        <f t="shared" si="9"/>
        <v>8175930</v>
      </c>
      <c r="V8" s="75">
        <f t="shared" si="9"/>
        <v>4422430</v>
      </c>
      <c r="W8" s="75">
        <f t="shared" si="9"/>
        <v>3753500</v>
      </c>
      <c r="X8" s="75">
        <f>SUM(X10,X11,X12,X13:X26)</f>
        <v>9066000</v>
      </c>
      <c r="Y8" s="75">
        <f t="shared" ref="Y8:AB8" si="10">SUM(Y10,Y11,Y12,Y13:Y26)</f>
        <v>581070</v>
      </c>
      <c r="Z8" s="75">
        <f t="shared" si="10"/>
        <v>8484930</v>
      </c>
      <c r="AA8" s="75">
        <f>SUM(AA10,AA11,AA12,AA13:AA26)</f>
        <v>4545850</v>
      </c>
      <c r="AB8" s="75">
        <f t="shared" si="10"/>
        <v>3939080</v>
      </c>
      <c r="AC8" s="3760">
        <f t="shared" ref="AC8:AC61" si="11">X8/L8*100</f>
        <v>113.32500283312508</v>
      </c>
      <c r="AD8" s="3725">
        <f t="shared" ref="AD8:AD61" si="12">X8-L8</f>
        <v>1066000.2000000002</v>
      </c>
      <c r="AE8" s="3764">
        <f t="shared" ref="AE8:AE61" si="13">X8/E8*100</f>
        <v>121.85483870967741</v>
      </c>
      <c r="AF8" s="3769">
        <f t="shared" ref="AF8:AF62" si="14">X8-E8</f>
        <v>1626000</v>
      </c>
      <c r="AG8" s="3755"/>
      <c r="AK8" s="3731"/>
      <c r="AM8" s="3731"/>
      <c r="AO8" s="3732"/>
      <c r="AP8" s="3733"/>
    </row>
    <row r="9" spans="1:117" s="161" customFormat="1">
      <c r="A9" s="1414"/>
      <c r="B9" s="2593" t="s">
        <v>1253</v>
      </c>
      <c r="C9" s="2593">
        <f>C8-C19-C26-C24</f>
        <v>3055815</v>
      </c>
      <c r="D9" s="3292">
        <f>D8-D19-D26-D24</f>
        <v>4638218.814638</v>
      </c>
      <c r="E9" s="3292">
        <f>E8-E19-E26-E24</f>
        <v>4890000</v>
      </c>
      <c r="F9" s="3292">
        <f t="shared" ref="F9:I9" si="15">F8-F19-F26-F24</f>
        <v>736000</v>
      </c>
      <c r="G9" s="3292">
        <f t="shared" si="15"/>
        <v>4154000</v>
      </c>
      <c r="H9" s="3292">
        <f>H8-H19-H26-H24</f>
        <v>2056650</v>
      </c>
      <c r="I9" s="3292">
        <f t="shared" si="15"/>
        <v>2097350</v>
      </c>
      <c r="J9" s="3734">
        <f>J8-J19-J26-J24</f>
        <v>2989623</v>
      </c>
      <c r="K9" s="3735">
        <f>J9/E9%</f>
        <v>61.137484662576689</v>
      </c>
      <c r="L9" s="3292">
        <f>L8-L19-L26-L24</f>
        <v>4869999.8</v>
      </c>
      <c r="M9" s="3292">
        <f t="shared" ref="M9:P9" si="16">M8-M19-M26-M24</f>
        <v>549600</v>
      </c>
      <c r="N9" s="3292">
        <f t="shared" si="16"/>
        <v>4320399.8</v>
      </c>
      <c r="O9" s="3292">
        <f t="shared" si="16"/>
        <v>1712350.7333333334</v>
      </c>
      <c r="P9" s="3292">
        <f t="shared" si="16"/>
        <v>2608049.0666666664</v>
      </c>
      <c r="Q9" s="3736">
        <f t="shared" si="2"/>
        <v>99.590997955010224</v>
      </c>
      <c r="R9" s="3769">
        <f t="shared" si="8"/>
        <v>-20000.200000000186</v>
      </c>
      <c r="S9" s="3292">
        <f>S8-S19-S26-S24</f>
        <v>5100000</v>
      </c>
      <c r="T9" s="3292">
        <f t="shared" ref="T9:W9" si="17">T8-T19-T26-T24</f>
        <v>581070</v>
      </c>
      <c r="U9" s="3292">
        <f t="shared" si="17"/>
        <v>4518930</v>
      </c>
      <c r="V9" s="3292">
        <f>V8-V19-V26-V24</f>
        <v>1908430</v>
      </c>
      <c r="W9" s="3292">
        <f t="shared" si="17"/>
        <v>2610500</v>
      </c>
      <c r="X9" s="3292">
        <f>X8-X19-X26-X24</f>
        <v>5309000</v>
      </c>
      <c r="Y9" s="3292">
        <f t="shared" ref="Y9:AB9" si="18">Y8-Y19-Y26-Y24</f>
        <v>581070</v>
      </c>
      <c r="Z9" s="3292">
        <f t="shared" si="18"/>
        <v>4727930</v>
      </c>
      <c r="AA9" s="3292">
        <f>AA8-AA19-AA26-AA24</f>
        <v>1931850</v>
      </c>
      <c r="AB9" s="3292">
        <f t="shared" si="18"/>
        <v>2796080</v>
      </c>
      <c r="AC9" s="3760">
        <f t="shared" si="11"/>
        <v>109.01437819360898</v>
      </c>
      <c r="AD9" s="3725">
        <f t="shared" si="12"/>
        <v>439000.20000000019</v>
      </c>
      <c r="AE9" s="3764">
        <f t="shared" si="13"/>
        <v>108.56850715746423</v>
      </c>
      <c r="AF9" s="3769">
        <f t="shared" si="14"/>
        <v>419000</v>
      </c>
      <c r="AG9" s="3756"/>
      <c r="AK9" s="3737"/>
      <c r="AM9" s="3737"/>
      <c r="AO9" s="3738"/>
      <c r="AP9" s="3739"/>
      <c r="AQ9" s="3738"/>
    </row>
    <row r="10" spans="1:117">
      <c r="A10" s="1413">
        <v>1</v>
      </c>
      <c r="B10" s="16" t="s">
        <v>507</v>
      </c>
      <c r="C10" s="3724">
        <f>155320+189725</f>
        <v>345045</v>
      </c>
      <c r="D10" s="3725">
        <f>'[20]MB61.1-342thu'!$F$13+'[20]MB61.1-342thu'!$F$20</f>
        <v>619048.00417199999</v>
      </c>
      <c r="E10" s="3725">
        <f>'Phụ lục số 1'!C11+'Phụ lục số 1'!C17</f>
        <v>600000</v>
      </c>
      <c r="F10" s="3725"/>
      <c r="G10" s="3725">
        <f t="shared" ref="G10:G27" si="19">SUM(H10:I10)</f>
        <v>600000</v>
      </c>
      <c r="H10" s="3725">
        <f>'Phụ lục số 1'!F11+'Phụ lục số 1'!F17</f>
        <v>600000</v>
      </c>
      <c r="I10" s="3725"/>
      <c r="J10" s="3726">
        <f>139967+264036</f>
        <v>404003</v>
      </c>
      <c r="K10" s="3727">
        <f t="shared" si="6"/>
        <v>67.333833333333331</v>
      </c>
      <c r="L10" s="3725">
        <f>'Phụ lục số 1'!T11+'Phụ lục số 1'!T17</f>
        <v>480000</v>
      </c>
      <c r="M10" s="3725"/>
      <c r="N10" s="3725">
        <f>SUM(O10:P10)</f>
        <v>480000</v>
      </c>
      <c r="O10" s="3725">
        <f>'Phụ lục số 1'!X11+'Phụ lục số 1'!X17</f>
        <v>480000</v>
      </c>
      <c r="P10" s="3725"/>
      <c r="Q10" s="3728">
        <f t="shared" si="2"/>
        <v>80</v>
      </c>
      <c r="R10" s="3769">
        <f t="shared" si="8"/>
        <v>-120000</v>
      </c>
      <c r="S10" s="3725">
        <f>'Phụ lục số 1'!AE11+'Phụ lục số 1'!AE17</f>
        <v>530000</v>
      </c>
      <c r="T10" s="3725"/>
      <c r="U10" s="3725">
        <f>SUM(V10:W10)</f>
        <v>530000</v>
      </c>
      <c r="V10" s="3725">
        <f>S10</f>
        <v>530000</v>
      </c>
      <c r="W10" s="3725"/>
      <c r="X10" s="3725">
        <f>'Phụ lục số 1'!AE11+'Phụ lục số 1'!AE17</f>
        <v>530000</v>
      </c>
      <c r="Y10" s="3725"/>
      <c r="Z10" s="3725">
        <f>SUM(AA10:AB10)</f>
        <v>530000</v>
      </c>
      <c r="AA10" s="3725">
        <f>'Phụ lục số 1'!AI11+'Phụ lục số 1'!AI17</f>
        <v>530000</v>
      </c>
      <c r="AB10" s="3725"/>
      <c r="AC10" s="3760">
        <f t="shared" si="11"/>
        <v>110.41666666666667</v>
      </c>
      <c r="AD10" s="3725">
        <f t="shared" si="12"/>
        <v>50000</v>
      </c>
      <c r="AE10" s="3764">
        <f t="shared" si="13"/>
        <v>88.333333333333329</v>
      </c>
      <c r="AF10" s="3769">
        <f t="shared" si="14"/>
        <v>-70000</v>
      </c>
      <c r="AG10" s="3755"/>
      <c r="AK10" s="3731"/>
      <c r="AM10" s="3731"/>
      <c r="AO10" s="3732"/>
      <c r="AP10" s="3733"/>
    </row>
    <row r="11" spans="1:117">
      <c r="A11" s="1413">
        <v>2</v>
      </c>
      <c r="B11" s="16" t="s">
        <v>68</v>
      </c>
      <c r="C11" s="3724">
        <v>43095</v>
      </c>
      <c r="D11" s="3725">
        <f>'[20]MB61.1-342thu'!$F$27</f>
        <v>74729.223614999995</v>
      </c>
      <c r="E11" s="3725">
        <f>'Phụ lục số 1'!C23</f>
        <v>70000</v>
      </c>
      <c r="F11" s="3725"/>
      <c r="G11" s="3725">
        <f t="shared" si="19"/>
        <v>70000</v>
      </c>
      <c r="H11" s="3725">
        <f>'Phụ lục số 1'!F23</f>
        <v>70000</v>
      </c>
      <c r="I11" s="3725"/>
      <c r="J11" s="3726">
        <v>34015</v>
      </c>
      <c r="K11" s="3727">
        <f t="shared" si="6"/>
        <v>48.592857142857142</v>
      </c>
      <c r="L11" s="3725">
        <f>'Phụ lục số 1'!T23</f>
        <v>70000</v>
      </c>
      <c r="M11" s="3725"/>
      <c r="N11" s="3725">
        <f t="shared" ref="N11:N27" si="20">SUM(O11:P11)</f>
        <v>70000</v>
      </c>
      <c r="O11" s="3725">
        <f>'Phụ lục số 1'!X23</f>
        <v>70000</v>
      </c>
      <c r="P11" s="3725"/>
      <c r="Q11" s="3728">
        <f t="shared" si="2"/>
        <v>100</v>
      </c>
      <c r="R11" s="3769">
        <f t="shared" si="8"/>
        <v>0</v>
      </c>
      <c r="S11" s="3725">
        <f>'Phụ lục số 1'!AE23</f>
        <v>75000</v>
      </c>
      <c r="T11" s="3725"/>
      <c r="U11" s="3725">
        <f t="shared" ref="U11:U27" si="21">SUM(V11:W11)</f>
        <v>75000</v>
      </c>
      <c r="V11" s="3725">
        <f>S11</f>
        <v>75000</v>
      </c>
      <c r="W11" s="3725"/>
      <c r="X11" s="3725">
        <f>'Phụ lục số 1'!AE23</f>
        <v>75000</v>
      </c>
      <c r="Y11" s="3725"/>
      <c r="Z11" s="3725">
        <f t="shared" ref="Z11:Z27" si="22">SUM(AA11:AB11)</f>
        <v>75000</v>
      </c>
      <c r="AA11" s="3725">
        <f>'Phụ lục số 1'!AI23</f>
        <v>75000</v>
      </c>
      <c r="AB11" s="3725"/>
      <c r="AC11" s="3760">
        <f t="shared" si="11"/>
        <v>107.14285714285714</v>
      </c>
      <c r="AD11" s="3725">
        <f t="shared" si="12"/>
        <v>5000</v>
      </c>
      <c r="AE11" s="3764">
        <f t="shared" si="13"/>
        <v>107.14285714285714</v>
      </c>
      <c r="AF11" s="3769">
        <f t="shared" si="14"/>
        <v>5000</v>
      </c>
      <c r="AG11" s="3755"/>
      <c r="AK11" s="3731"/>
      <c r="AM11" s="3731"/>
      <c r="AO11" s="3732"/>
      <c r="AP11" s="3733"/>
    </row>
    <row r="12" spans="1:117">
      <c r="A12" s="1413">
        <v>3</v>
      </c>
      <c r="B12" s="16" t="s">
        <v>1254</v>
      </c>
      <c r="C12" s="3724">
        <v>666804</v>
      </c>
      <c r="D12" s="3725">
        <f>'[20]MB61.1-342thu'!$F$33</f>
        <v>1184280.3315290001</v>
      </c>
      <c r="E12" s="3725">
        <f>'Phụ lục số 1'!C28</f>
        <v>1265000</v>
      </c>
      <c r="F12" s="3725"/>
      <c r="G12" s="3725">
        <f t="shared" si="19"/>
        <v>1265000</v>
      </c>
      <c r="H12" s="3725">
        <f>'Phụ lục số 1'!F28</f>
        <v>88850</v>
      </c>
      <c r="I12" s="3725">
        <f>'Phụ lục số 1'!G28</f>
        <v>1176150</v>
      </c>
      <c r="J12" s="3726">
        <v>727468</v>
      </c>
      <c r="K12" s="3727">
        <f t="shared" si="6"/>
        <v>57.50735177865613</v>
      </c>
      <c r="L12" s="3725">
        <f>'Phụ lục số 1'!T28</f>
        <v>1600000.2999999998</v>
      </c>
      <c r="M12" s="3725"/>
      <c r="N12" s="3725">
        <f t="shared" si="20"/>
        <v>1600000.2999999998</v>
      </c>
      <c r="O12" s="3725">
        <f>'Phụ lục số 1'!X28</f>
        <v>80950.399999999994</v>
      </c>
      <c r="P12" s="3725">
        <f>'Phụ lục số 1'!Y28</f>
        <v>1519049.9</v>
      </c>
      <c r="Q12" s="3728">
        <f t="shared" si="2"/>
        <v>126.48223715415018</v>
      </c>
      <c r="R12" s="3769">
        <f t="shared" si="8"/>
        <v>335000.29999999981</v>
      </c>
      <c r="S12" s="3726">
        <v>1652000</v>
      </c>
      <c r="T12" s="3725"/>
      <c r="U12" s="3725">
        <f t="shared" si="21"/>
        <v>1652000</v>
      </c>
      <c r="V12" s="3725">
        <f>'[21]Phụ lục số 1'!$AI$28</f>
        <v>77900</v>
      </c>
      <c r="W12" s="3725">
        <f>'[21]Phụ lục số 1'!$AJ$28</f>
        <v>1574100</v>
      </c>
      <c r="X12" s="3725">
        <f>'Phụ lục số 1'!AE28</f>
        <v>1701000</v>
      </c>
      <c r="Y12" s="3725"/>
      <c r="Z12" s="3725">
        <f t="shared" si="22"/>
        <v>1701000</v>
      </c>
      <c r="AA12" s="3725">
        <f>'Phụ lục số 1'!AI28</f>
        <v>70920</v>
      </c>
      <c r="AB12" s="3725">
        <f>'Phụ lục số 1'!AJ28</f>
        <v>1630080</v>
      </c>
      <c r="AC12" s="3760">
        <f t="shared" si="11"/>
        <v>106.31248006641</v>
      </c>
      <c r="AD12" s="3725">
        <f t="shared" si="12"/>
        <v>100999.70000000019</v>
      </c>
      <c r="AE12" s="3764">
        <f t="shared" si="13"/>
        <v>134.46640316205534</v>
      </c>
      <c r="AF12" s="3769">
        <f t="shared" si="14"/>
        <v>436000</v>
      </c>
      <c r="AG12" s="3755"/>
      <c r="AK12" s="3731"/>
      <c r="AM12" s="3731"/>
      <c r="AO12" s="3732"/>
      <c r="AP12" s="3733"/>
    </row>
    <row r="13" spans="1:117">
      <c r="A13" s="1413">
        <v>4</v>
      </c>
      <c r="B13" s="16" t="s">
        <v>16</v>
      </c>
      <c r="C13" s="3724">
        <v>164560</v>
      </c>
      <c r="D13" s="3725">
        <f>'[20]MB61.1-342thu'!$F$40</f>
        <v>368283.784782</v>
      </c>
      <c r="E13" s="3725">
        <f>'Phụ lục số 1'!C34</f>
        <v>295000</v>
      </c>
      <c r="F13" s="3725"/>
      <c r="G13" s="3725">
        <f t="shared" si="19"/>
        <v>295000</v>
      </c>
      <c r="H13" s="3725"/>
      <c r="I13" s="3725">
        <f>'Phụ lục số 1'!G34</f>
        <v>295000</v>
      </c>
      <c r="J13" s="3726">
        <v>205617</v>
      </c>
      <c r="K13" s="3727">
        <f t="shared" si="6"/>
        <v>69.700677966101694</v>
      </c>
      <c r="L13" s="3725">
        <f>'Phụ lục số 1'!T34</f>
        <v>340000</v>
      </c>
      <c r="M13" s="3725"/>
      <c r="N13" s="3725">
        <f t="shared" si="20"/>
        <v>340000</v>
      </c>
      <c r="O13" s="3725"/>
      <c r="P13" s="3725">
        <f>'Phụ lục số 1'!Y34</f>
        <v>340000</v>
      </c>
      <c r="Q13" s="3728">
        <f t="shared" si="2"/>
        <v>115.2542372881356</v>
      </c>
      <c r="R13" s="3769">
        <f t="shared" si="8"/>
        <v>45000</v>
      </c>
      <c r="S13" s="3725">
        <v>350000</v>
      </c>
      <c r="T13" s="3725"/>
      <c r="U13" s="3725">
        <f t="shared" si="21"/>
        <v>350000</v>
      </c>
      <c r="V13" s="3725"/>
      <c r="W13" s="3725">
        <f>'[21]Phụ lục số 1'!$AJ$34</f>
        <v>350000</v>
      </c>
      <c r="X13" s="3725">
        <f>'Phụ lục số 1'!AE34</f>
        <v>350000</v>
      </c>
      <c r="Y13" s="3725"/>
      <c r="Z13" s="3725">
        <f t="shared" si="22"/>
        <v>350000</v>
      </c>
      <c r="AA13" s="3725"/>
      <c r="AB13" s="3725">
        <f>'Phụ lục số 1'!AJ34</f>
        <v>350000</v>
      </c>
      <c r="AC13" s="3760">
        <f t="shared" si="11"/>
        <v>102.94117647058823</v>
      </c>
      <c r="AD13" s="3725">
        <f t="shared" si="12"/>
        <v>10000</v>
      </c>
      <c r="AE13" s="3764">
        <f t="shared" si="13"/>
        <v>118.64406779661016</v>
      </c>
      <c r="AF13" s="3769">
        <f t="shared" si="14"/>
        <v>55000</v>
      </c>
      <c r="AG13" s="3755"/>
      <c r="AK13" s="3731"/>
      <c r="AM13" s="3731"/>
      <c r="AO13" s="3732"/>
      <c r="AP13" s="3733"/>
    </row>
    <row r="14" spans="1:117">
      <c r="A14" s="1413">
        <v>5</v>
      </c>
      <c r="B14" s="16" t="s">
        <v>96</v>
      </c>
      <c r="C14" s="3724">
        <v>32</v>
      </c>
      <c r="D14" s="3725">
        <f>'[20]MB61.1-342thu'!$F$41</f>
        <v>280.44446699999997</v>
      </c>
      <c r="E14" s="3725">
        <f>'Phụ lục số 1'!C35</f>
        <v>0</v>
      </c>
      <c r="F14" s="3725"/>
      <c r="G14" s="3725">
        <f t="shared" si="19"/>
        <v>0</v>
      </c>
      <c r="H14" s="3725"/>
      <c r="I14" s="3725"/>
      <c r="J14" s="3726">
        <v>205</v>
      </c>
      <c r="K14" s="3727"/>
      <c r="L14" s="3725">
        <f>'Phụ lục số 1'!T35</f>
        <v>339.5</v>
      </c>
      <c r="M14" s="3725"/>
      <c r="N14" s="3725">
        <f t="shared" si="20"/>
        <v>339.5</v>
      </c>
      <c r="O14" s="3725"/>
      <c r="P14" s="3725">
        <f>'Phụ lục số 1'!Y35</f>
        <v>339.5</v>
      </c>
      <c r="Q14" s="3728"/>
      <c r="R14" s="3769">
        <f t="shared" si="8"/>
        <v>339.5</v>
      </c>
      <c r="S14" s="3725">
        <v>0</v>
      </c>
      <c r="T14" s="3725"/>
      <c r="U14" s="3725">
        <f t="shared" si="21"/>
        <v>0</v>
      </c>
      <c r="V14" s="3725"/>
      <c r="W14" s="3725"/>
      <c r="X14" s="3725">
        <f>'Phụ lục số 1'!AE35</f>
        <v>0</v>
      </c>
      <c r="Y14" s="3725"/>
      <c r="Z14" s="3725">
        <f t="shared" si="22"/>
        <v>0</v>
      </c>
      <c r="AA14" s="3725"/>
      <c r="AB14" s="3725"/>
      <c r="AC14" s="3760">
        <f t="shared" si="11"/>
        <v>0</v>
      </c>
      <c r="AD14" s="3725">
        <f t="shared" si="12"/>
        <v>-339.5</v>
      </c>
      <c r="AE14" s="3764" t="e">
        <f t="shared" si="13"/>
        <v>#DIV/0!</v>
      </c>
      <c r="AF14" s="3769">
        <f t="shared" si="14"/>
        <v>0</v>
      </c>
      <c r="AG14" s="3755"/>
      <c r="AK14" s="3731"/>
      <c r="AM14" s="3731"/>
      <c r="AO14" s="3732"/>
      <c r="AP14" s="3733"/>
    </row>
    <row r="15" spans="1:117">
      <c r="A15" s="1413">
        <v>6</v>
      </c>
      <c r="B15" s="16" t="s">
        <v>1255</v>
      </c>
      <c r="C15" s="3724">
        <v>4693</v>
      </c>
      <c r="D15" s="3725">
        <f>'[20]MB61.1-342thu'!$F$42</f>
        <v>17902.636366999999</v>
      </c>
      <c r="E15" s="3725">
        <f>'Phụ lục số 1'!C36</f>
        <v>10000</v>
      </c>
      <c r="F15" s="3725"/>
      <c r="G15" s="3725">
        <f t="shared" si="19"/>
        <v>10000</v>
      </c>
      <c r="H15" s="3725"/>
      <c r="I15" s="3725">
        <f>'Phụ lục số 1'!G36</f>
        <v>10000</v>
      </c>
      <c r="J15" s="3726">
        <v>7695</v>
      </c>
      <c r="K15" s="3727">
        <f t="shared" ref="K15:K20" si="23">J15/E15%</f>
        <v>76.95</v>
      </c>
      <c r="L15" s="3725">
        <f>'Phụ lục số 1'!T36</f>
        <v>14660.1</v>
      </c>
      <c r="M15" s="3725"/>
      <c r="N15" s="3725">
        <f t="shared" si="20"/>
        <v>14660.1</v>
      </c>
      <c r="O15" s="3725"/>
      <c r="P15" s="3725">
        <f>'Phụ lục số 1'!Y36</f>
        <v>14660.1</v>
      </c>
      <c r="Q15" s="3728">
        <f t="shared" ref="Q15:Q20" si="24">L15/E15%</f>
        <v>146.601</v>
      </c>
      <c r="R15" s="3769">
        <f t="shared" si="8"/>
        <v>4660.1000000000004</v>
      </c>
      <c r="S15" s="3725">
        <v>15000</v>
      </c>
      <c r="T15" s="3725"/>
      <c r="U15" s="3725">
        <f t="shared" si="21"/>
        <v>15000</v>
      </c>
      <c r="V15" s="3725"/>
      <c r="W15" s="3725">
        <f>S15</f>
        <v>15000</v>
      </c>
      <c r="X15" s="3725">
        <f>'Phụ lục số 1'!AE36</f>
        <v>15000</v>
      </c>
      <c r="Y15" s="3725"/>
      <c r="Z15" s="3725">
        <f t="shared" si="22"/>
        <v>15000</v>
      </c>
      <c r="AA15" s="3725"/>
      <c r="AB15" s="3725">
        <f>'Phụ lục số 1'!AJ36</f>
        <v>15000</v>
      </c>
      <c r="AC15" s="3760">
        <f t="shared" si="11"/>
        <v>102.31853807272802</v>
      </c>
      <c r="AD15" s="3725">
        <f t="shared" si="12"/>
        <v>339.89999999999964</v>
      </c>
      <c r="AE15" s="3764">
        <f t="shared" si="13"/>
        <v>150</v>
      </c>
      <c r="AF15" s="3769">
        <f t="shared" si="14"/>
        <v>5000</v>
      </c>
      <c r="AG15" s="3755"/>
      <c r="AK15" s="3731"/>
      <c r="AM15" s="3731"/>
      <c r="AO15" s="3732"/>
      <c r="AP15" s="3733"/>
    </row>
    <row r="16" spans="1:117">
      <c r="A16" s="1413">
        <v>7</v>
      </c>
      <c r="B16" s="16" t="s">
        <v>97</v>
      </c>
      <c r="C16" s="3724">
        <v>342413</v>
      </c>
      <c r="D16" s="3725">
        <f>'[20]MB61.1-342thu'!$F$43</f>
        <v>712064.59420399996</v>
      </c>
      <c r="E16" s="3725">
        <f>'Phụ lục số 1'!C37</f>
        <v>600000</v>
      </c>
      <c r="F16" s="3725"/>
      <c r="G16" s="3725">
        <f t="shared" si="19"/>
        <v>600000</v>
      </c>
      <c r="H16" s="3725">
        <f>'Phụ lục số 1'!F37</f>
        <v>290500</v>
      </c>
      <c r="I16" s="3725">
        <f>'Phụ lục số 1'!G37</f>
        <v>309500</v>
      </c>
      <c r="J16" s="3726">
        <v>439596</v>
      </c>
      <c r="K16" s="3727">
        <f t="shared" si="23"/>
        <v>73.266000000000005</v>
      </c>
      <c r="L16" s="3725">
        <f>'Phụ lục số 1'!T37</f>
        <v>710000</v>
      </c>
      <c r="M16" s="3725"/>
      <c r="N16" s="3725">
        <f t="shared" si="20"/>
        <v>710000</v>
      </c>
      <c r="O16" s="3725">
        <f>'Phụ lục số 1'!X37</f>
        <v>344000.33333333337</v>
      </c>
      <c r="P16" s="3725">
        <f>'Phụ lục số 1'!Y37</f>
        <v>365999.66666666663</v>
      </c>
      <c r="Q16" s="3728">
        <f t="shared" si="24"/>
        <v>118.33333333333333</v>
      </c>
      <c r="R16" s="3769">
        <f t="shared" si="8"/>
        <v>110000</v>
      </c>
      <c r="S16" s="3725">
        <v>730000</v>
      </c>
      <c r="T16" s="3725"/>
      <c r="U16" s="3725">
        <f t="shared" si="21"/>
        <v>730000</v>
      </c>
      <c r="V16" s="3725">
        <f>AA16</f>
        <v>408000</v>
      </c>
      <c r="W16" s="3725">
        <f>AB16</f>
        <v>322000</v>
      </c>
      <c r="X16" s="3725">
        <f>'Phụ lục số 1'!AE37</f>
        <v>730000</v>
      </c>
      <c r="Y16" s="3725"/>
      <c r="Z16" s="3725">
        <f t="shared" si="22"/>
        <v>730000</v>
      </c>
      <c r="AA16" s="3725">
        <f>'Phụ lục số 1'!AI37</f>
        <v>408000</v>
      </c>
      <c r="AB16" s="3725">
        <f>'Phụ lục số 1'!AJ37</f>
        <v>322000</v>
      </c>
      <c r="AC16" s="3760">
        <f t="shared" si="11"/>
        <v>102.8169014084507</v>
      </c>
      <c r="AD16" s="3725">
        <f t="shared" si="12"/>
        <v>20000</v>
      </c>
      <c r="AE16" s="3764">
        <f t="shared" si="13"/>
        <v>121.66666666666666</v>
      </c>
      <c r="AF16" s="3769">
        <f t="shared" si="14"/>
        <v>130000</v>
      </c>
      <c r="AG16" s="3755"/>
      <c r="AK16" s="3731"/>
      <c r="AM16" s="3731"/>
      <c r="AO16" s="3732"/>
      <c r="AP16" s="3733"/>
    </row>
    <row r="17" spans="1:42">
      <c r="A17" s="1413">
        <v>8</v>
      </c>
      <c r="B17" s="16" t="s">
        <v>1256</v>
      </c>
      <c r="C17" s="3724">
        <v>966599</v>
      </c>
      <c r="D17" s="3725">
        <f>'[20]MB61.1-342thu'!$F$44</f>
        <v>926612.70443099993</v>
      </c>
      <c r="E17" s="3725">
        <f>'Phụ lục số 1'!C38</f>
        <v>1500000</v>
      </c>
      <c r="F17" s="3725">
        <f>'Phụ lục số 1'!D38</f>
        <v>600000</v>
      </c>
      <c r="G17" s="3725">
        <f t="shared" si="19"/>
        <v>900000</v>
      </c>
      <c r="H17" s="3725">
        <f>'Phụ lục số 1'!F38</f>
        <v>900000</v>
      </c>
      <c r="I17" s="3725"/>
      <c r="J17" s="3726">
        <v>703544</v>
      </c>
      <c r="K17" s="3727">
        <f t="shared" si="23"/>
        <v>46.90293333333333</v>
      </c>
      <c r="L17" s="3725">
        <f>'Phụ lục số 1'!T38</f>
        <v>980000</v>
      </c>
      <c r="M17" s="3725">
        <f>'Phụ lục số 1'!V38</f>
        <v>392000</v>
      </c>
      <c r="N17" s="3725">
        <f t="shared" si="20"/>
        <v>588000</v>
      </c>
      <c r="O17" s="3725">
        <f>'Phụ lục số 1'!X38</f>
        <v>588000</v>
      </c>
      <c r="P17" s="3725"/>
      <c r="Q17" s="3728">
        <f t="shared" si="24"/>
        <v>65.333333333333329</v>
      </c>
      <c r="R17" s="3769">
        <f t="shared" si="8"/>
        <v>-520000</v>
      </c>
      <c r="S17" s="3725">
        <v>1065000</v>
      </c>
      <c r="T17" s="3725">
        <f>Y17</f>
        <v>426000</v>
      </c>
      <c r="U17" s="3725">
        <f t="shared" si="21"/>
        <v>639000</v>
      </c>
      <c r="V17" s="3725">
        <f>AA17</f>
        <v>639000</v>
      </c>
      <c r="W17" s="3725"/>
      <c r="X17" s="3725">
        <f>'Phụ lục số 1'!AE38</f>
        <v>1065000</v>
      </c>
      <c r="Y17" s="3725">
        <f>'Phụ lục số 1'!AG38</f>
        <v>426000</v>
      </c>
      <c r="Z17" s="3725">
        <f t="shared" si="22"/>
        <v>639000</v>
      </c>
      <c r="AA17" s="3725">
        <f>'Phụ lục số 1'!AI38</f>
        <v>639000</v>
      </c>
      <c r="AB17" s="3725"/>
      <c r="AC17" s="3760">
        <f t="shared" si="11"/>
        <v>108.67346938775511</v>
      </c>
      <c r="AD17" s="3725">
        <f t="shared" si="12"/>
        <v>85000</v>
      </c>
      <c r="AE17" s="3764">
        <f t="shared" si="13"/>
        <v>71</v>
      </c>
      <c r="AF17" s="3769">
        <f t="shared" si="14"/>
        <v>-435000</v>
      </c>
      <c r="AG17" s="3755"/>
      <c r="AK17" s="3731"/>
      <c r="AM17" s="3731"/>
      <c r="AO17" s="3732"/>
      <c r="AP17" s="3733"/>
    </row>
    <row r="18" spans="1:42">
      <c r="A18" s="1413">
        <v>9</v>
      </c>
      <c r="B18" s="16" t="s">
        <v>17</v>
      </c>
      <c r="C18" s="3724">
        <v>115889</v>
      </c>
      <c r="D18" s="3725">
        <f>'[20]MB61.1-342thu'!$F$47</f>
        <v>174907.15649200001</v>
      </c>
      <c r="E18" s="3725">
        <f>'Phụ lục số 1'!C39</f>
        <v>160000</v>
      </c>
      <c r="F18" s="3725">
        <f>'Phụ lục số 1'!D39</f>
        <v>82000</v>
      </c>
      <c r="G18" s="3725">
        <f t="shared" si="19"/>
        <v>78000</v>
      </c>
      <c r="H18" s="3725">
        <f>'Phụ lục số 1'!F39</f>
        <v>18800</v>
      </c>
      <c r="I18" s="3725">
        <f>'Phụ lục số 1'!G39</f>
        <v>59200</v>
      </c>
      <c r="J18" s="3726">
        <v>108342</v>
      </c>
      <c r="K18" s="3727">
        <f t="shared" si="23"/>
        <v>67.713750000000005</v>
      </c>
      <c r="L18" s="3725">
        <f>'Phụ lục số 1'!T39</f>
        <v>160000</v>
      </c>
      <c r="M18" s="3725">
        <f>'Phụ lục số 1'!V39</f>
        <v>82000</v>
      </c>
      <c r="N18" s="3725">
        <f t="shared" si="20"/>
        <v>78000</v>
      </c>
      <c r="O18" s="3725">
        <f>'Phụ lục số 1'!X39</f>
        <v>19000</v>
      </c>
      <c r="P18" s="3725">
        <f>'Phụ lục số 1'!Y39</f>
        <v>59000</v>
      </c>
      <c r="Q18" s="3728">
        <f t="shared" si="24"/>
        <v>100</v>
      </c>
      <c r="R18" s="3769">
        <f t="shared" si="8"/>
        <v>0</v>
      </c>
      <c r="S18" s="3725">
        <v>170000</v>
      </c>
      <c r="T18" s="3725">
        <f>Y18</f>
        <v>87000</v>
      </c>
      <c r="U18" s="3725">
        <f t="shared" si="21"/>
        <v>83000</v>
      </c>
      <c r="V18" s="3725">
        <f>AA18</f>
        <v>20600</v>
      </c>
      <c r="W18" s="3725">
        <f>AB18</f>
        <v>62400</v>
      </c>
      <c r="X18" s="3725">
        <f>'Phụ lục số 1'!AE39</f>
        <v>170000</v>
      </c>
      <c r="Y18" s="3725">
        <f>'Phụ lục số 1'!AG39</f>
        <v>87000</v>
      </c>
      <c r="Z18" s="3725">
        <f t="shared" si="22"/>
        <v>83000</v>
      </c>
      <c r="AA18" s="3725">
        <f>'Phụ lục số 1'!AI39</f>
        <v>20600</v>
      </c>
      <c r="AB18" s="3725">
        <f>'Phụ lục số 1'!AJ39</f>
        <v>62400</v>
      </c>
      <c r="AC18" s="3760">
        <f t="shared" si="11"/>
        <v>106.25</v>
      </c>
      <c r="AD18" s="3725">
        <f t="shared" si="12"/>
        <v>10000</v>
      </c>
      <c r="AE18" s="3764">
        <f t="shared" si="13"/>
        <v>106.25</v>
      </c>
      <c r="AF18" s="3769">
        <f t="shared" si="14"/>
        <v>10000</v>
      </c>
      <c r="AG18" s="3755"/>
      <c r="AK18" s="3731"/>
      <c r="AM18" s="3731"/>
      <c r="AO18" s="3732"/>
      <c r="AP18" s="3733"/>
    </row>
    <row r="19" spans="1:42">
      <c r="A19" s="1413">
        <v>10</v>
      </c>
      <c r="B19" s="16" t="s">
        <v>18</v>
      </c>
      <c r="C19" s="3724">
        <v>783145</v>
      </c>
      <c r="D19" s="3725">
        <f>'[20]MB61.1-342thu'!$F$48</f>
        <v>1029252.96595</v>
      </c>
      <c r="E19" s="3725">
        <f>'Phụ lục số 1'!C40</f>
        <v>900000</v>
      </c>
      <c r="F19" s="3725"/>
      <c r="G19" s="3725">
        <f t="shared" si="19"/>
        <v>900000</v>
      </c>
      <c r="H19" s="3725">
        <f>'Phụ lục số 1'!F40</f>
        <v>100000</v>
      </c>
      <c r="I19" s="3725">
        <f>'Phụ lục số 1'!G40</f>
        <v>800000</v>
      </c>
      <c r="J19" s="3726">
        <v>566048</v>
      </c>
      <c r="K19" s="3727">
        <f t="shared" si="23"/>
        <v>62.894222222222226</v>
      </c>
      <c r="L19" s="3725">
        <f>'Phụ lục số 1'!T40</f>
        <v>1080000</v>
      </c>
      <c r="M19" s="3725"/>
      <c r="N19" s="3725">
        <f t="shared" si="20"/>
        <v>1080000</v>
      </c>
      <c r="O19" s="3725">
        <f>'Phụ lục số 1'!X40</f>
        <v>100000</v>
      </c>
      <c r="P19" s="3725">
        <f>'Phụ lục số 1'!Y40</f>
        <v>980000</v>
      </c>
      <c r="Q19" s="3728">
        <f t="shared" si="24"/>
        <v>120</v>
      </c>
      <c r="R19" s="3769">
        <f t="shared" si="8"/>
        <v>180000</v>
      </c>
      <c r="S19" s="3725">
        <v>1770000</v>
      </c>
      <c r="T19" s="3725"/>
      <c r="U19" s="3725">
        <f t="shared" si="21"/>
        <v>1770000</v>
      </c>
      <c r="V19" s="3725">
        <f>AA19</f>
        <v>627000</v>
      </c>
      <c r="W19" s="3725">
        <f>AB19</f>
        <v>1143000</v>
      </c>
      <c r="X19" s="3725">
        <f>'Phụ lục số 1'!AE40</f>
        <v>1770000</v>
      </c>
      <c r="Y19" s="3725"/>
      <c r="Z19" s="3725">
        <f t="shared" si="22"/>
        <v>1770000</v>
      </c>
      <c r="AA19" s="3725">
        <f>'Phụ lục số 1'!AI40</f>
        <v>627000</v>
      </c>
      <c r="AB19" s="3725">
        <f>'Phụ lục số 1'!AJ40</f>
        <v>1143000</v>
      </c>
      <c r="AC19" s="3760">
        <f t="shared" si="11"/>
        <v>163.88888888888889</v>
      </c>
      <c r="AD19" s="3725">
        <f t="shared" si="12"/>
        <v>690000</v>
      </c>
      <c r="AE19" s="3764">
        <f t="shared" si="13"/>
        <v>196.66666666666666</v>
      </c>
      <c r="AF19" s="3769">
        <f t="shared" si="14"/>
        <v>870000</v>
      </c>
      <c r="AG19" s="3755"/>
      <c r="AK19" s="3731"/>
      <c r="AM19" s="3731"/>
      <c r="AO19" s="3732"/>
      <c r="AP19" s="3733"/>
    </row>
    <row r="20" spans="1:42">
      <c r="A20" s="1413">
        <v>11</v>
      </c>
      <c r="B20" s="16" t="s">
        <v>98</v>
      </c>
      <c r="C20" s="3724">
        <v>201204</v>
      </c>
      <c r="D20" s="3725">
        <f>'[20]MB61.1-342thu'!$F$49</f>
        <v>237121.31138199999</v>
      </c>
      <c r="E20" s="3725">
        <f>'Phụ lục số 1'!C41</f>
        <v>115000</v>
      </c>
      <c r="F20" s="3725"/>
      <c r="G20" s="3725">
        <f t="shared" si="19"/>
        <v>115000</v>
      </c>
      <c r="H20" s="3725"/>
      <c r="I20" s="3725">
        <f>'Phụ lục số 1'!G41</f>
        <v>115000</v>
      </c>
      <c r="J20" s="3726">
        <v>171661</v>
      </c>
      <c r="K20" s="3727">
        <f t="shared" si="23"/>
        <v>149.2704347826087</v>
      </c>
      <c r="L20" s="3725">
        <f>'Phụ lục số 1'!T41</f>
        <v>125999.8</v>
      </c>
      <c r="M20" s="3725"/>
      <c r="N20" s="3725">
        <f t="shared" si="20"/>
        <v>125999.8</v>
      </c>
      <c r="O20" s="3725">
        <f>'Phụ lục số 1'!X41</f>
        <v>0</v>
      </c>
      <c r="P20" s="3725">
        <f>'Phụ lục số 1'!Y41</f>
        <v>125999.8</v>
      </c>
      <c r="Q20" s="3728">
        <f t="shared" si="24"/>
        <v>109.56504347826088</v>
      </c>
      <c r="R20" s="3769">
        <f t="shared" si="8"/>
        <v>10999.800000000003</v>
      </c>
      <c r="S20" s="3729">
        <v>155000</v>
      </c>
      <c r="T20" s="3725"/>
      <c r="U20" s="3725">
        <f t="shared" si="21"/>
        <v>155000</v>
      </c>
      <c r="V20" s="3725">
        <f>S20-W20</f>
        <v>15500</v>
      </c>
      <c r="W20" s="3725">
        <f>S20*90%</f>
        <v>139500</v>
      </c>
      <c r="X20" s="3725">
        <f>'Phụ lục số 1'!AE41</f>
        <v>315000</v>
      </c>
      <c r="Y20" s="3725"/>
      <c r="Z20" s="3725">
        <f t="shared" si="22"/>
        <v>315000</v>
      </c>
      <c r="AA20" s="3725">
        <f>'Phụ lục số 1'!AI41</f>
        <v>45900</v>
      </c>
      <c r="AB20" s="3725">
        <f>'Phụ lục số 1'!AJ41</f>
        <v>269100</v>
      </c>
      <c r="AC20" s="3760">
        <f t="shared" si="11"/>
        <v>250.0003968260267</v>
      </c>
      <c r="AD20" s="3725">
        <f t="shared" si="12"/>
        <v>189000.2</v>
      </c>
      <c r="AE20" s="3764">
        <f t="shared" si="13"/>
        <v>273.91304347826087</v>
      </c>
      <c r="AF20" s="3769">
        <f t="shared" si="14"/>
        <v>200000</v>
      </c>
      <c r="AG20" s="3755"/>
      <c r="AK20" s="3731"/>
      <c r="AM20" s="3731"/>
      <c r="AO20" s="3732"/>
      <c r="AP20" s="3733"/>
    </row>
    <row r="21" spans="1:42">
      <c r="A21" s="1413">
        <v>12</v>
      </c>
      <c r="B21" s="16" t="s">
        <v>136</v>
      </c>
      <c r="C21" s="3724">
        <v>84</v>
      </c>
      <c r="D21" s="3725">
        <f>'[20]MB61.1-342thu'!$F$53</f>
        <v>79.078599999999994</v>
      </c>
      <c r="E21" s="3725">
        <f>'Phụ lục số 1'!C42</f>
        <v>0</v>
      </c>
      <c r="F21" s="3725"/>
      <c r="G21" s="3725">
        <f t="shared" si="19"/>
        <v>0</v>
      </c>
      <c r="H21" s="3725"/>
      <c r="I21" s="3725"/>
      <c r="J21" s="3726">
        <v>75</v>
      </c>
      <c r="K21" s="3483"/>
      <c r="L21" s="3725">
        <f>'Phụ lục số 1'!T42</f>
        <v>0</v>
      </c>
      <c r="M21" s="3725"/>
      <c r="N21" s="3725">
        <f t="shared" si="20"/>
        <v>0</v>
      </c>
      <c r="O21" s="3725"/>
      <c r="P21" s="3725"/>
      <c r="Q21" s="3730"/>
      <c r="R21" s="3769">
        <f t="shared" si="8"/>
        <v>0</v>
      </c>
      <c r="S21" s="3725">
        <v>0</v>
      </c>
      <c r="T21" s="3725"/>
      <c r="U21" s="3725">
        <f t="shared" si="21"/>
        <v>0</v>
      </c>
      <c r="V21" s="3725"/>
      <c r="W21" s="3725"/>
      <c r="X21" s="3725">
        <f>'Phụ lục số 1'!AE42</f>
        <v>0</v>
      </c>
      <c r="Y21" s="3725"/>
      <c r="Z21" s="3725">
        <f t="shared" si="22"/>
        <v>0</v>
      </c>
      <c r="AA21" s="3725"/>
      <c r="AB21" s="3725"/>
      <c r="AC21" s="3760" t="e">
        <f t="shared" si="11"/>
        <v>#DIV/0!</v>
      </c>
      <c r="AD21" s="3725">
        <f t="shared" si="12"/>
        <v>0</v>
      </c>
      <c r="AE21" s="3764" t="e">
        <f t="shared" si="13"/>
        <v>#DIV/0!</v>
      </c>
      <c r="AF21" s="3769">
        <f t="shared" si="14"/>
        <v>0</v>
      </c>
      <c r="AG21" s="3755"/>
      <c r="AK21" s="3731"/>
      <c r="AM21" s="3731"/>
      <c r="AO21" s="3732"/>
      <c r="AP21" s="3733"/>
    </row>
    <row r="22" spans="1:42">
      <c r="A22" s="1413">
        <v>13</v>
      </c>
      <c r="B22" s="16" t="s">
        <v>279</v>
      </c>
      <c r="C22" s="3724">
        <v>187948</v>
      </c>
      <c r="D22" s="3725">
        <f>'[20]MB61.1-342thu'!$F$54</f>
        <v>285395.57643899997</v>
      </c>
      <c r="E22" s="3725">
        <f>'Phụ lục số 1'!C43</f>
        <v>250000</v>
      </c>
      <c r="F22" s="3725">
        <f>'Phụ lục số 1'!D43</f>
        <v>54000</v>
      </c>
      <c r="G22" s="3725">
        <f t="shared" si="19"/>
        <v>196000</v>
      </c>
      <c r="H22" s="3725">
        <f>'Phụ lục số 1'!F43</f>
        <v>66500</v>
      </c>
      <c r="I22" s="3725">
        <f>'Phụ lục số 1'!G43</f>
        <v>129500</v>
      </c>
      <c r="J22" s="3726">
        <v>169921</v>
      </c>
      <c r="K22" s="3727">
        <f>J22/E22%</f>
        <v>67.968400000000003</v>
      </c>
      <c r="L22" s="3725">
        <f>'Phụ lục số 1'!T43</f>
        <v>350000</v>
      </c>
      <c r="M22" s="3725">
        <f>'Phụ lục số 1'!V43</f>
        <v>75600</v>
      </c>
      <c r="N22" s="3725">
        <f t="shared" si="20"/>
        <v>274400</v>
      </c>
      <c r="O22" s="3725">
        <f>'Phụ lục số 1'!X43</f>
        <v>93400</v>
      </c>
      <c r="P22" s="3725">
        <f>'Phụ lục số 1'!Y43</f>
        <v>181000</v>
      </c>
      <c r="Q22" s="3728">
        <f t="shared" ref="Q22:Q26" si="25">L22/E22%</f>
        <v>140</v>
      </c>
      <c r="R22" s="3769">
        <f t="shared" si="8"/>
        <v>100000</v>
      </c>
      <c r="S22" s="3725">
        <v>326000</v>
      </c>
      <c r="T22" s="3725">
        <f>Y22</f>
        <v>68070</v>
      </c>
      <c r="U22" s="3725">
        <f t="shared" si="21"/>
        <v>257930</v>
      </c>
      <c r="V22" s="3725">
        <f>AA22</f>
        <v>112430</v>
      </c>
      <c r="W22" s="3725">
        <f>AB22</f>
        <v>145500</v>
      </c>
      <c r="X22" s="3725">
        <f>'Phụ lục số 1'!AE43</f>
        <v>326000</v>
      </c>
      <c r="Y22" s="3725">
        <f>'Phụ lục số 1'!AG43</f>
        <v>68070</v>
      </c>
      <c r="Z22" s="3725">
        <f t="shared" si="22"/>
        <v>257930</v>
      </c>
      <c r="AA22" s="3725">
        <f>'Phụ lục số 1'!AI43</f>
        <v>112430</v>
      </c>
      <c r="AB22" s="3725">
        <f>'Phụ lục số 1'!AJ43</f>
        <v>145500</v>
      </c>
      <c r="AC22" s="3760">
        <f t="shared" si="11"/>
        <v>93.142857142857139</v>
      </c>
      <c r="AD22" s="3725">
        <f t="shared" si="12"/>
        <v>-24000</v>
      </c>
      <c r="AE22" s="3764">
        <f t="shared" si="13"/>
        <v>130.4</v>
      </c>
      <c r="AF22" s="3769">
        <f t="shared" si="14"/>
        <v>76000</v>
      </c>
      <c r="AG22" s="3755"/>
      <c r="AK22" s="3731"/>
      <c r="AM22" s="3731"/>
      <c r="AO22" s="3732"/>
      <c r="AP22" s="3733"/>
    </row>
    <row r="23" spans="1:42">
      <c r="A23" s="1413">
        <v>14</v>
      </c>
      <c r="B23" s="11" t="s">
        <v>128</v>
      </c>
      <c r="C23" s="3724">
        <v>15752</v>
      </c>
      <c r="D23" s="3725">
        <f>'[20]MB61.1-342thu'!$F$55</f>
        <v>35466.300600000002</v>
      </c>
      <c r="E23" s="3725">
        <f>'Phụ lục số 1'!C44</f>
        <v>22000</v>
      </c>
      <c r="F23" s="3725"/>
      <c r="G23" s="3725">
        <f t="shared" si="19"/>
        <v>22000</v>
      </c>
      <c r="H23" s="3725">
        <f>'Phụ lục số 1'!F44</f>
        <v>22000</v>
      </c>
      <c r="I23" s="3725"/>
      <c r="J23" s="3726">
        <v>15930</v>
      </c>
      <c r="K23" s="3727"/>
      <c r="L23" s="3725">
        <f>'Phụ lục số 1'!T44</f>
        <v>37000</v>
      </c>
      <c r="M23" s="3725"/>
      <c r="N23" s="3725">
        <f t="shared" si="20"/>
        <v>37000</v>
      </c>
      <c r="O23" s="3725">
        <f>'Phụ lục số 1'!X44</f>
        <v>37000</v>
      </c>
      <c r="P23" s="3725"/>
      <c r="Q23" s="3728">
        <f t="shared" si="25"/>
        <v>168.18181818181819</v>
      </c>
      <c r="R23" s="3769">
        <f t="shared" si="8"/>
        <v>15000</v>
      </c>
      <c r="S23" s="3725">
        <v>30000</v>
      </c>
      <c r="T23" s="3725"/>
      <c r="U23" s="3725">
        <f t="shared" si="21"/>
        <v>30000</v>
      </c>
      <c r="V23" s="3725">
        <f>AA23</f>
        <v>30000</v>
      </c>
      <c r="W23" s="3725"/>
      <c r="X23" s="3725">
        <f>'Phụ lục số 1'!AE44</f>
        <v>30000</v>
      </c>
      <c r="Y23" s="3725"/>
      <c r="Z23" s="3725">
        <f t="shared" si="22"/>
        <v>30000</v>
      </c>
      <c r="AA23" s="3725">
        <f>'Phụ lục số 1'!AI44</f>
        <v>30000</v>
      </c>
      <c r="AB23" s="3725"/>
      <c r="AC23" s="3760">
        <f t="shared" si="11"/>
        <v>81.081081081081081</v>
      </c>
      <c r="AD23" s="3725">
        <f t="shared" si="12"/>
        <v>-7000</v>
      </c>
      <c r="AE23" s="3764">
        <f t="shared" si="13"/>
        <v>136.36363636363635</v>
      </c>
      <c r="AF23" s="3769">
        <f t="shared" si="14"/>
        <v>8000</v>
      </c>
      <c r="AG23" s="3755"/>
      <c r="AK23" s="3731"/>
      <c r="AM23" s="3731"/>
      <c r="AO23" s="3732"/>
      <c r="AP23" s="3733"/>
    </row>
    <row r="24" spans="1:42">
      <c r="A24" s="1413">
        <v>15</v>
      </c>
      <c r="B24" s="11" t="s">
        <v>129</v>
      </c>
      <c r="C24" s="3724">
        <v>47618</v>
      </c>
      <c r="D24" s="3725">
        <f>'[20]MB61.1-342thu'!$F$57</f>
        <v>76161.542220000003</v>
      </c>
      <c r="E24" s="3725">
        <f>'Phụ lục số 1'!C45</f>
        <v>50000</v>
      </c>
      <c r="F24" s="3725"/>
      <c r="G24" s="3725">
        <f t="shared" si="19"/>
        <v>50000</v>
      </c>
      <c r="H24" s="3725">
        <f>'Phụ lục số 1'!F45</f>
        <v>50000</v>
      </c>
      <c r="I24" s="3725"/>
      <c r="J24" s="3726">
        <v>62151</v>
      </c>
      <c r="K24" s="3727"/>
      <c r="L24" s="3725">
        <f>'Phụ lục số 1'!T45</f>
        <v>100000</v>
      </c>
      <c r="M24" s="3725"/>
      <c r="N24" s="3725">
        <f t="shared" si="20"/>
        <v>100000</v>
      </c>
      <c r="O24" s="3725">
        <f>'Phụ lục số 1'!X45</f>
        <v>100000</v>
      </c>
      <c r="P24" s="3725"/>
      <c r="Q24" s="3728">
        <f t="shared" si="25"/>
        <v>200</v>
      </c>
      <c r="R24" s="3769">
        <f t="shared" si="8"/>
        <v>50000</v>
      </c>
      <c r="S24" s="3725">
        <v>37000</v>
      </c>
      <c r="T24" s="3725"/>
      <c r="U24" s="3725">
        <f t="shared" si="21"/>
        <v>37000</v>
      </c>
      <c r="V24" s="3725">
        <f>S24</f>
        <v>37000</v>
      </c>
      <c r="W24" s="3725"/>
      <c r="X24" s="3725">
        <f>'Phụ lục số 1'!AE45</f>
        <v>37000</v>
      </c>
      <c r="Y24" s="3725"/>
      <c r="Z24" s="3725">
        <f t="shared" si="22"/>
        <v>37000</v>
      </c>
      <c r="AA24" s="3725">
        <f>'Phụ lục số 1'!AI45</f>
        <v>37000</v>
      </c>
      <c r="AB24" s="3725"/>
      <c r="AC24" s="3760">
        <f t="shared" si="11"/>
        <v>37</v>
      </c>
      <c r="AD24" s="3725">
        <f t="shared" si="12"/>
        <v>-63000</v>
      </c>
      <c r="AE24" s="3764">
        <f t="shared" si="13"/>
        <v>74</v>
      </c>
      <c r="AF24" s="3769">
        <f t="shared" si="14"/>
        <v>-13000</v>
      </c>
      <c r="AG24" s="3755"/>
      <c r="AK24" s="3731"/>
      <c r="AM24" s="3731"/>
      <c r="AO24" s="3732"/>
      <c r="AP24" s="3733"/>
    </row>
    <row r="25" spans="1:42">
      <c r="A25" s="1413">
        <v>16</v>
      </c>
      <c r="B25" s="16" t="s">
        <v>19</v>
      </c>
      <c r="C25" s="3724">
        <v>1697</v>
      </c>
      <c r="D25" s="3725">
        <f>'[20]MB61.1-342thu'!$F$56</f>
        <v>2047.6675579999999</v>
      </c>
      <c r="E25" s="3725">
        <f>'Phụ lục số 1'!C47</f>
        <v>3000</v>
      </c>
      <c r="F25" s="3725"/>
      <c r="G25" s="3725">
        <f t="shared" si="19"/>
        <v>3000</v>
      </c>
      <c r="H25" s="3725"/>
      <c r="I25" s="3725">
        <f>'Phụ lục số 1'!G47</f>
        <v>3000</v>
      </c>
      <c r="J25" s="3726">
        <v>1551</v>
      </c>
      <c r="K25" s="3727">
        <f>J25/E25%</f>
        <v>51.7</v>
      </c>
      <c r="L25" s="3725">
        <f>'Phụ lục số 1'!T47</f>
        <v>2000.1</v>
      </c>
      <c r="M25" s="3725"/>
      <c r="N25" s="3725">
        <f t="shared" si="20"/>
        <v>2000.1</v>
      </c>
      <c r="O25" s="3725"/>
      <c r="P25" s="3725">
        <f>'Phụ lục số 1'!Y47</f>
        <v>2000.1</v>
      </c>
      <c r="Q25" s="3728">
        <f t="shared" si="25"/>
        <v>66.67</v>
      </c>
      <c r="R25" s="3769">
        <f t="shared" si="8"/>
        <v>-999.90000000000009</v>
      </c>
      <c r="S25" s="3725">
        <v>2000</v>
      </c>
      <c r="T25" s="3725"/>
      <c r="U25" s="3725">
        <f t="shared" si="21"/>
        <v>2000</v>
      </c>
      <c r="V25" s="3725"/>
      <c r="W25" s="3725">
        <f>S25</f>
        <v>2000</v>
      </c>
      <c r="X25" s="3725">
        <f>'Phụ lục số 1'!AE47</f>
        <v>2000</v>
      </c>
      <c r="Y25" s="3725"/>
      <c r="Z25" s="3725">
        <f t="shared" si="22"/>
        <v>2000</v>
      </c>
      <c r="AA25" s="3725"/>
      <c r="AB25" s="3725">
        <f>'Phụ lục số 1'!AJ47</f>
        <v>2000</v>
      </c>
      <c r="AC25" s="3760">
        <f t="shared" si="11"/>
        <v>99.995000249987513</v>
      </c>
      <c r="AD25" s="3725">
        <f t="shared" si="12"/>
        <v>-9.9999999999909051E-2</v>
      </c>
      <c r="AE25" s="3764">
        <f t="shared" si="13"/>
        <v>66.666666666666657</v>
      </c>
      <c r="AF25" s="3769">
        <f t="shared" si="14"/>
        <v>-1000</v>
      </c>
      <c r="AG25" s="3755"/>
      <c r="AK25" s="3731"/>
      <c r="AM25" s="3731"/>
      <c r="AO25" s="3732"/>
      <c r="AP25" s="3733"/>
    </row>
    <row r="26" spans="1:42">
      <c r="A26" s="1413">
        <v>17</v>
      </c>
      <c r="B26" s="16" t="s">
        <v>101</v>
      </c>
      <c r="C26" s="3724">
        <v>1156294</v>
      </c>
      <c r="D26" s="3725">
        <f>'[20]MB61.1-342thu'!$F$58</f>
        <v>1743740.631786</v>
      </c>
      <c r="E26" s="3725">
        <f>'Phụ lục số 1'!C48</f>
        <v>1600000</v>
      </c>
      <c r="F26" s="3725"/>
      <c r="G26" s="3725">
        <f t="shared" si="19"/>
        <v>1600000</v>
      </c>
      <c r="H26" s="3725">
        <f>'Phụ lục số 1'!F48</f>
        <v>1600000</v>
      </c>
      <c r="I26" s="3725"/>
      <c r="J26" s="3726">
        <v>1073006</v>
      </c>
      <c r="K26" s="3727"/>
      <c r="L26" s="3725">
        <f>'Phụ lục số 1'!T48</f>
        <v>1950000</v>
      </c>
      <c r="M26" s="3725"/>
      <c r="N26" s="3725">
        <f t="shared" si="20"/>
        <v>1950000</v>
      </c>
      <c r="O26" s="3725">
        <f>'Phụ lục số 1'!X48</f>
        <v>1950000</v>
      </c>
      <c r="P26" s="3725"/>
      <c r="Q26" s="3728">
        <f t="shared" si="25"/>
        <v>121.875</v>
      </c>
      <c r="R26" s="3769">
        <f t="shared" si="8"/>
        <v>350000</v>
      </c>
      <c r="S26" s="3725">
        <v>1850000</v>
      </c>
      <c r="T26" s="3725"/>
      <c r="U26" s="3725">
        <f t="shared" si="21"/>
        <v>1850000</v>
      </c>
      <c r="V26" s="3725">
        <f>S26</f>
        <v>1850000</v>
      </c>
      <c r="W26" s="3725"/>
      <c r="X26" s="3725">
        <f>'Phụ lục số 1'!AE48</f>
        <v>1950000</v>
      </c>
      <c r="Y26" s="3725"/>
      <c r="Z26" s="3725">
        <f t="shared" si="22"/>
        <v>1950000</v>
      </c>
      <c r="AA26" s="3725">
        <f>'Phụ lục số 1'!AI48</f>
        <v>1950000</v>
      </c>
      <c r="AB26" s="3725"/>
      <c r="AC26" s="3760">
        <f t="shared" si="11"/>
        <v>100</v>
      </c>
      <c r="AD26" s="3725">
        <f t="shared" si="12"/>
        <v>0</v>
      </c>
      <c r="AE26" s="3764">
        <f t="shared" si="13"/>
        <v>121.875</v>
      </c>
      <c r="AF26" s="3769">
        <f t="shared" si="14"/>
        <v>350000</v>
      </c>
      <c r="AG26" s="3755"/>
      <c r="AK26" s="3731"/>
      <c r="AM26" s="3731"/>
      <c r="AO26" s="3732"/>
      <c r="AP26" s="3733"/>
    </row>
    <row r="27" spans="1:42">
      <c r="A27" s="1413" t="s">
        <v>20</v>
      </c>
      <c r="B27" s="16" t="s">
        <v>477</v>
      </c>
      <c r="C27" s="3724">
        <v>112461</v>
      </c>
      <c r="D27" s="3725">
        <f>'[20]MB61.1-342thu'!$F$60</f>
        <v>389783.37025500002</v>
      </c>
      <c r="E27" s="3725">
        <f>'Phụ lục số 1'!C49</f>
        <v>150000</v>
      </c>
      <c r="F27" s="3725">
        <f>'Phụ lục số 1'!D49</f>
        <v>150000</v>
      </c>
      <c r="G27" s="3725">
        <f t="shared" si="19"/>
        <v>0</v>
      </c>
      <c r="H27" s="3725"/>
      <c r="I27" s="3725"/>
      <c r="J27" s="3726">
        <v>251022</v>
      </c>
      <c r="K27" s="3727">
        <f>J27/E27%</f>
        <v>167.34800000000001</v>
      </c>
      <c r="L27" s="3725">
        <f>'Phụ lục số 1'!T49</f>
        <v>150745.51999999999</v>
      </c>
      <c r="M27" s="3725">
        <f>'Phụ lục số 1'!V49</f>
        <v>150745.51999999999</v>
      </c>
      <c r="N27" s="3725">
        <f t="shared" si="20"/>
        <v>0</v>
      </c>
      <c r="O27" s="3725"/>
      <c r="P27" s="3725"/>
      <c r="Q27" s="3728">
        <f>L27/E27%</f>
        <v>100.49701333333333</v>
      </c>
      <c r="R27" s="3769">
        <f t="shared" si="8"/>
        <v>745.51999999998952</v>
      </c>
      <c r="S27" s="3725">
        <v>157000</v>
      </c>
      <c r="T27" s="3725">
        <f>S27</f>
        <v>157000</v>
      </c>
      <c r="U27" s="3725">
        <f t="shared" si="21"/>
        <v>0</v>
      </c>
      <c r="V27" s="3725"/>
      <c r="W27" s="3725"/>
      <c r="X27" s="3725">
        <f>'Phụ lục số 1'!AE49</f>
        <v>200000</v>
      </c>
      <c r="Y27" s="3725">
        <f>'Phụ lục số 1'!AG49</f>
        <v>200000</v>
      </c>
      <c r="Z27" s="3725">
        <f t="shared" si="22"/>
        <v>0</v>
      </c>
      <c r="AA27" s="3725"/>
      <c r="AB27" s="3725"/>
      <c r="AC27" s="3760">
        <f t="shared" si="11"/>
        <v>132.67392623011284</v>
      </c>
      <c r="AD27" s="3725">
        <f t="shared" si="12"/>
        <v>49254.48000000001</v>
      </c>
      <c r="AE27" s="3764">
        <f t="shared" si="13"/>
        <v>133.33333333333331</v>
      </c>
      <c r="AF27" s="3769">
        <f t="shared" si="14"/>
        <v>50000</v>
      </c>
      <c r="AG27" s="3755"/>
      <c r="AK27" s="3731"/>
      <c r="AM27" s="3731"/>
      <c r="AO27" s="3732"/>
      <c r="AP27" s="3733"/>
    </row>
    <row r="28" spans="1:42" s="3197" customFormat="1">
      <c r="A28" s="167" t="s">
        <v>22</v>
      </c>
      <c r="B28" s="3590" t="s">
        <v>23</v>
      </c>
      <c r="C28" s="77">
        <f>SUM(C29:C31)</f>
        <v>9084495</v>
      </c>
      <c r="D28" s="18">
        <v>0</v>
      </c>
      <c r="E28" s="18">
        <f>SUM(E29:E31)</f>
        <v>13833216</v>
      </c>
      <c r="F28" s="18">
        <f>SUM(F29:F31)</f>
        <v>0</v>
      </c>
      <c r="G28" s="18">
        <f>H28+I28</f>
        <v>13833216</v>
      </c>
      <c r="H28" s="3742">
        <f>H29+H31</f>
        <v>9084495</v>
      </c>
      <c r="I28" s="3742">
        <f t="shared" ref="I28:K28" si="26">I29+I31</f>
        <v>4748721</v>
      </c>
      <c r="J28" s="3742">
        <f t="shared" si="26"/>
        <v>0</v>
      </c>
      <c r="K28" s="3742">
        <f t="shared" si="26"/>
        <v>0</v>
      </c>
      <c r="L28" s="18">
        <f>SUM(L29:L31)</f>
        <v>13515418</v>
      </c>
      <c r="M28" s="18">
        <f>SUM(M29:M31)</f>
        <v>0</v>
      </c>
      <c r="N28" s="18">
        <f>O28+P28</f>
        <v>13515418</v>
      </c>
      <c r="O28" s="3742">
        <f>O29+O31</f>
        <v>9084495</v>
      </c>
      <c r="P28" s="3742">
        <f t="shared" ref="P28" si="27">P29+P31</f>
        <v>4430923</v>
      </c>
      <c r="Q28" s="3728">
        <f>L28/E28%</f>
        <v>97.702645574246802</v>
      </c>
      <c r="R28" s="3772">
        <f t="shared" si="8"/>
        <v>-317798</v>
      </c>
      <c r="S28" s="3742"/>
      <c r="T28" s="3742"/>
      <c r="U28" s="3742"/>
      <c r="V28" s="3742"/>
      <c r="W28" s="3742"/>
      <c r="X28" s="18">
        <f>SUM(X29:X31)</f>
        <v>13920336</v>
      </c>
      <c r="Y28" s="18">
        <f>SUM(Y29:Y31)</f>
        <v>0</v>
      </c>
      <c r="Z28" s="18">
        <f>AA28+AB28</f>
        <v>13920336</v>
      </c>
      <c r="AA28" s="3742">
        <f>AA29+AA31</f>
        <v>9256479</v>
      </c>
      <c r="AB28" s="3742">
        <f t="shared" ref="AB28" si="28">AB29+AB31</f>
        <v>4663857</v>
      </c>
      <c r="AC28" s="3761">
        <f t="shared" si="11"/>
        <v>102.99597097181901</v>
      </c>
      <c r="AD28" s="3741">
        <f t="shared" si="12"/>
        <v>404918</v>
      </c>
      <c r="AE28" s="3765">
        <f t="shared" si="13"/>
        <v>100.62978847435042</v>
      </c>
      <c r="AF28" s="3770">
        <f t="shared" si="14"/>
        <v>87120</v>
      </c>
      <c r="AG28" s="3757"/>
      <c r="AH28" s="112"/>
      <c r="AI28" s="112"/>
      <c r="AK28" s="113"/>
      <c r="AM28" s="113"/>
      <c r="AO28" s="3743"/>
      <c r="AP28" s="3744"/>
    </row>
    <row r="29" spans="1:42">
      <c r="A29" s="168" t="s">
        <v>9</v>
      </c>
      <c r="B29" s="3593" t="s">
        <v>24</v>
      </c>
      <c r="C29" s="30">
        <f>'[23]Phụ lục số 1'!$N$53</f>
        <v>6487488</v>
      </c>
      <c r="D29" s="13">
        <v>0</v>
      </c>
      <c r="E29" s="13">
        <f>F29+G29</f>
        <v>10918411</v>
      </c>
      <c r="F29" s="13"/>
      <c r="G29" s="13">
        <f>H29+I29</f>
        <v>10918411</v>
      </c>
      <c r="H29" s="16">
        <f>'Phụ lục số 1'!F53</f>
        <v>6487488</v>
      </c>
      <c r="I29" s="3483">
        <f>'Phụ lục số 3.1'!E15</f>
        <v>4430923</v>
      </c>
      <c r="J29" s="16"/>
      <c r="K29" s="16"/>
      <c r="L29" s="13">
        <f>M29+N29</f>
        <v>10918411</v>
      </c>
      <c r="M29" s="13"/>
      <c r="N29" s="13">
        <f>O29+P29</f>
        <v>10918411</v>
      </c>
      <c r="O29" s="16">
        <f>'Phụ lục số 1'!X53</f>
        <v>6487488</v>
      </c>
      <c r="P29" s="16">
        <f>'Phụ lục số 3.1'!H15</f>
        <v>4430923</v>
      </c>
      <c r="Q29" s="3728">
        <f t="shared" ref="Q29:Q36" si="29">L29/E29%</f>
        <v>100</v>
      </c>
      <c r="R29" s="3769">
        <f t="shared" si="8"/>
        <v>0</v>
      </c>
      <c r="S29" s="16"/>
      <c r="T29" s="16"/>
      <c r="U29" s="16"/>
      <c r="V29" s="16"/>
      <c r="W29" s="16"/>
      <c r="X29" s="13">
        <f>Y29+Z29</f>
        <v>11048111</v>
      </c>
      <c r="Y29" s="13"/>
      <c r="Z29" s="13">
        <f>AA29+AB29</f>
        <v>11048111</v>
      </c>
      <c r="AA29" s="16">
        <f>'Phụ lục số 1'!AI53</f>
        <v>6617188</v>
      </c>
      <c r="AB29" s="16">
        <f>'Phụ lục số 3.1'!K15</f>
        <v>4430923</v>
      </c>
      <c r="AC29" s="3760">
        <f t="shared" si="11"/>
        <v>101.18790179266928</v>
      </c>
      <c r="AD29" s="3725">
        <f t="shared" si="12"/>
        <v>129700</v>
      </c>
      <c r="AE29" s="3766">
        <f t="shared" si="13"/>
        <v>101.18790179266928</v>
      </c>
      <c r="AF29" s="3771">
        <f t="shared" si="14"/>
        <v>129700</v>
      </c>
      <c r="AG29" s="2558"/>
    </row>
    <row r="30" spans="1:42" hidden="1">
      <c r="A30" s="168"/>
      <c r="B30" s="3593" t="s">
        <v>2608</v>
      </c>
      <c r="C30" s="30"/>
      <c r="D30" s="13"/>
      <c r="E30" s="13"/>
      <c r="F30" s="13"/>
      <c r="G30" s="13"/>
      <c r="H30" s="16"/>
      <c r="I30" s="3483"/>
      <c r="J30" s="16"/>
      <c r="K30" s="16"/>
      <c r="L30" s="13"/>
      <c r="M30" s="13"/>
      <c r="N30" s="13"/>
      <c r="O30" s="16"/>
      <c r="P30" s="16"/>
      <c r="Q30" s="3728" t="e">
        <f t="shared" si="29"/>
        <v>#DIV/0!</v>
      </c>
      <c r="R30" s="3769">
        <f t="shared" si="8"/>
        <v>0</v>
      </c>
      <c r="S30" s="16"/>
      <c r="T30" s="16"/>
      <c r="U30" s="16"/>
      <c r="V30" s="16"/>
      <c r="W30" s="16"/>
      <c r="X30" s="13"/>
      <c r="Y30" s="13"/>
      <c r="Z30" s="13"/>
      <c r="AA30" s="16"/>
      <c r="AB30" s="16"/>
      <c r="AC30" s="3760" t="e">
        <f t="shared" si="11"/>
        <v>#DIV/0!</v>
      </c>
      <c r="AD30" s="3725">
        <f t="shared" si="12"/>
        <v>0</v>
      </c>
      <c r="AE30" s="3766" t="e">
        <f t="shared" si="13"/>
        <v>#DIV/0!</v>
      </c>
      <c r="AF30" s="3771">
        <f t="shared" si="14"/>
        <v>0</v>
      </c>
      <c r="AG30" s="2558"/>
    </row>
    <row r="31" spans="1:42">
      <c r="A31" s="168" t="s">
        <v>20</v>
      </c>
      <c r="B31" s="3593" t="s">
        <v>25</v>
      </c>
      <c r="C31" s="30">
        <f>SUM(C32:C34)</f>
        <v>2597007</v>
      </c>
      <c r="D31" s="13">
        <v>0</v>
      </c>
      <c r="E31" s="13">
        <f>SUM(E32:E34)</f>
        <v>2914805</v>
      </c>
      <c r="F31" s="13">
        <f t="shared" ref="F31:K31" si="30">SUM(F32:F34)</f>
        <v>0</v>
      </c>
      <c r="G31" s="13">
        <f t="shared" si="30"/>
        <v>2914805</v>
      </c>
      <c r="H31" s="13">
        <f t="shared" si="30"/>
        <v>2597007</v>
      </c>
      <c r="I31" s="53">
        <f t="shared" si="30"/>
        <v>317798</v>
      </c>
      <c r="J31" s="13">
        <f t="shared" si="30"/>
        <v>0</v>
      </c>
      <c r="K31" s="13">
        <f t="shared" si="30"/>
        <v>0</v>
      </c>
      <c r="L31" s="13">
        <f>SUM(L32:L34)</f>
        <v>2597007</v>
      </c>
      <c r="M31" s="13">
        <f t="shared" ref="M31:P31" si="31">SUM(M32:M34)</f>
        <v>0</v>
      </c>
      <c r="N31" s="13">
        <f t="shared" si="31"/>
        <v>2597007</v>
      </c>
      <c r="O31" s="13">
        <f t="shared" si="31"/>
        <v>2597007</v>
      </c>
      <c r="P31" s="13">
        <f t="shared" si="31"/>
        <v>0</v>
      </c>
      <c r="Q31" s="3728">
        <f t="shared" si="29"/>
        <v>89.09710941212191</v>
      </c>
      <c r="R31" s="3769">
        <f t="shared" si="8"/>
        <v>-317798</v>
      </c>
      <c r="S31" s="16"/>
      <c r="T31" s="16"/>
      <c r="U31" s="16"/>
      <c r="V31" s="16"/>
      <c r="W31" s="16"/>
      <c r="X31" s="13">
        <f>SUM(X32:X34)</f>
        <v>2872225</v>
      </c>
      <c r="Y31" s="13">
        <f t="shared" ref="Y31" si="32">SUM(Y32:Y34)</f>
        <v>0</v>
      </c>
      <c r="Z31" s="13">
        <f t="shared" ref="Z31" si="33">SUM(Z32:Z34)</f>
        <v>2872225</v>
      </c>
      <c r="AA31" s="13">
        <f t="shared" ref="AA31" si="34">SUM(AA32:AA34)</f>
        <v>2639291</v>
      </c>
      <c r="AB31" s="13">
        <f t="shared" ref="AB31" si="35">SUM(AB32:AB34)</f>
        <v>232934</v>
      </c>
      <c r="AC31" s="3760">
        <f t="shared" si="11"/>
        <v>110.59750705331174</v>
      </c>
      <c r="AD31" s="3725">
        <f t="shared" si="12"/>
        <v>275218</v>
      </c>
      <c r="AE31" s="3766">
        <f t="shared" si="13"/>
        <v>98.539181866368423</v>
      </c>
      <c r="AF31" s="3771">
        <f t="shared" si="14"/>
        <v>-42580</v>
      </c>
      <c r="AG31" s="2558"/>
    </row>
    <row r="32" spans="1:42" s="166" customFormat="1">
      <c r="A32" s="168">
        <v>1</v>
      </c>
      <c r="B32" s="3107" t="s">
        <v>1798</v>
      </c>
      <c r="C32" s="30">
        <f>'[23]Phụ lục số 1'!$N$55</f>
        <v>2417971</v>
      </c>
      <c r="D32" s="13">
        <v>0</v>
      </c>
      <c r="E32" s="13">
        <f t="shared" ref="E32:E35" si="36">F32+G32</f>
        <v>2735769</v>
      </c>
      <c r="F32" s="13"/>
      <c r="G32" s="13">
        <f>H32+I32</f>
        <v>2735769</v>
      </c>
      <c r="H32" s="11">
        <f>'Phụ lục số 1'!F56</f>
        <v>2417971</v>
      </c>
      <c r="I32" s="2342">
        <f>'Phụ lục số 3.1'!E16</f>
        <v>317798</v>
      </c>
      <c r="J32" s="11"/>
      <c r="K32" s="11"/>
      <c r="L32" s="11">
        <f>M32+N32</f>
        <v>2417971</v>
      </c>
      <c r="M32" s="11"/>
      <c r="N32" s="11">
        <f>SUM(O32:P32)</f>
        <v>2417971</v>
      </c>
      <c r="O32" s="11">
        <f>'Phụ lục số 1'!X56</f>
        <v>2417971</v>
      </c>
      <c r="P32" s="11">
        <f>'Phụ lục số 3.1'!H17</f>
        <v>0</v>
      </c>
      <c r="Q32" s="3728">
        <f t="shared" si="29"/>
        <v>88.383595252376935</v>
      </c>
      <c r="R32" s="3773">
        <f t="shared" si="8"/>
        <v>-317798</v>
      </c>
      <c r="S32" s="11"/>
      <c r="T32" s="11"/>
      <c r="U32" s="11"/>
      <c r="V32" s="11"/>
      <c r="W32" s="11"/>
      <c r="X32" s="11">
        <f>Y32+Z32</f>
        <v>1814491</v>
      </c>
      <c r="Y32" s="11"/>
      <c r="Z32" s="11">
        <f>SUM(AA32:AB32)</f>
        <v>1814491</v>
      </c>
      <c r="AA32" s="11">
        <f>'Phụ lục số 1'!AI56</f>
        <v>1814491</v>
      </c>
      <c r="AB32" s="11">
        <f>'Phụ lục số 3.1'!K17</f>
        <v>0</v>
      </c>
      <c r="AC32" s="3760">
        <f t="shared" si="11"/>
        <v>75.041884290589095</v>
      </c>
      <c r="AD32" s="3725">
        <f t="shared" si="12"/>
        <v>-603480</v>
      </c>
      <c r="AE32" s="3766">
        <f t="shared" si="13"/>
        <v>66.324715281151299</v>
      </c>
      <c r="AF32" s="3771">
        <f t="shared" si="14"/>
        <v>-921278</v>
      </c>
      <c r="AG32" s="2335"/>
      <c r="AP32" s="3753"/>
    </row>
    <row r="33" spans="1:42" s="166" customFormat="1">
      <c r="A33" s="168">
        <v>2</v>
      </c>
      <c r="B33" s="3107" t="s">
        <v>1294</v>
      </c>
      <c r="C33" s="30">
        <f>'[23]Phụ lục số 1'!$N$56</f>
        <v>179036</v>
      </c>
      <c r="D33" s="13">
        <v>0</v>
      </c>
      <c r="E33" s="13">
        <f t="shared" si="36"/>
        <v>179036</v>
      </c>
      <c r="F33" s="13"/>
      <c r="G33" s="13">
        <f t="shared" ref="G33:G36" si="37">H33+I33</f>
        <v>179036</v>
      </c>
      <c r="H33" s="11">
        <f>'Phụ lục số 1'!F57</f>
        <v>179036</v>
      </c>
      <c r="I33" s="11"/>
      <c r="J33" s="11"/>
      <c r="K33" s="11"/>
      <c r="L33" s="11">
        <f>M33+N33</f>
        <v>179036</v>
      </c>
      <c r="M33" s="11"/>
      <c r="N33" s="11">
        <f t="shared" ref="N33:N36" si="38">SUM(O33:P33)</f>
        <v>179036</v>
      </c>
      <c r="O33" s="11">
        <f>'Phụ lục số 1'!X57</f>
        <v>179036</v>
      </c>
      <c r="P33" s="11"/>
      <c r="Q33" s="3728">
        <f t="shared" si="29"/>
        <v>100</v>
      </c>
      <c r="R33" s="3773">
        <f t="shared" si="8"/>
        <v>0</v>
      </c>
      <c r="S33" s="11"/>
      <c r="T33" s="11"/>
      <c r="U33" s="11"/>
      <c r="V33" s="11"/>
      <c r="W33" s="11"/>
      <c r="X33" s="11">
        <f>Y33+Z33</f>
        <v>174485</v>
      </c>
      <c r="Y33" s="11"/>
      <c r="Z33" s="11">
        <f t="shared" ref="Z33:Z36" si="39">SUM(AA33:AB33)</f>
        <v>174485</v>
      </c>
      <c r="AA33" s="11">
        <f>'Phụ lục số 1'!AI57</f>
        <v>174485</v>
      </c>
      <c r="AB33" s="11"/>
      <c r="AC33" s="3760">
        <f t="shared" si="11"/>
        <v>97.458053128979643</v>
      </c>
      <c r="AD33" s="3725">
        <f t="shared" si="12"/>
        <v>-4551</v>
      </c>
      <c r="AE33" s="3766">
        <f t="shared" si="13"/>
        <v>97.458053128979643</v>
      </c>
      <c r="AF33" s="3771">
        <f t="shared" si="14"/>
        <v>-4551</v>
      </c>
      <c r="AG33" s="2335"/>
      <c r="AP33" s="3753"/>
    </row>
    <row r="34" spans="1:42" s="166" customFormat="1">
      <c r="A34" s="168">
        <v>3</v>
      </c>
      <c r="B34" s="3107" t="s">
        <v>1787</v>
      </c>
      <c r="C34" s="30">
        <v>0</v>
      </c>
      <c r="D34" s="13"/>
      <c r="E34" s="13">
        <f t="shared" si="36"/>
        <v>0</v>
      </c>
      <c r="F34" s="13">
        <f>C34</f>
        <v>0</v>
      </c>
      <c r="G34" s="13">
        <f t="shared" si="37"/>
        <v>0</v>
      </c>
      <c r="H34" s="11"/>
      <c r="I34" s="11"/>
      <c r="J34" s="11"/>
      <c r="K34" s="11"/>
      <c r="L34" s="11">
        <f>M34+N34</f>
        <v>0</v>
      </c>
      <c r="M34" s="11"/>
      <c r="N34" s="11">
        <f t="shared" si="38"/>
        <v>0</v>
      </c>
      <c r="O34" s="11"/>
      <c r="P34" s="11"/>
      <c r="Q34" s="3728"/>
      <c r="R34" s="3773">
        <f t="shared" si="8"/>
        <v>0</v>
      </c>
      <c r="S34" s="11"/>
      <c r="T34" s="11"/>
      <c r="U34" s="11"/>
      <c r="V34" s="11"/>
      <c r="W34" s="11"/>
      <c r="X34" s="11">
        <f>Y34+Z34</f>
        <v>883249</v>
      </c>
      <c r="Y34" s="11"/>
      <c r="Z34" s="11">
        <f t="shared" si="39"/>
        <v>883249</v>
      </c>
      <c r="AA34" s="11">
        <f>'Phụ lục số 1'!AI58</f>
        <v>650315</v>
      </c>
      <c r="AB34" s="11">
        <f>'Phụ lục số 3.1'!K19</f>
        <v>232934</v>
      </c>
      <c r="AC34" s="3760"/>
      <c r="AD34" s="3725">
        <f t="shared" si="12"/>
        <v>883249</v>
      </c>
      <c r="AE34" s="3766"/>
      <c r="AF34" s="3771">
        <f t="shared" si="14"/>
        <v>883249</v>
      </c>
      <c r="AG34" s="2335"/>
      <c r="AP34" s="3753"/>
    </row>
    <row r="35" spans="1:42" s="3" customFormat="1" ht="34.799999999999997">
      <c r="A35" s="167" t="s">
        <v>26</v>
      </c>
      <c r="B35" s="3590" t="s">
        <v>109</v>
      </c>
      <c r="C35" s="77">
        <f>'[23]Phụ lục số 1'!$N$57</f>
        <v>0</v>
      </c>
      <c r="D35" s="18">
        <v>0</v>
      </c>
      <c r="E35" s="18">
        <f t="shared" si="36"/>
        <v>0</v>
      </c>
      <c r="F35" s="18">
        <f>C35</f>
        <v>0</v>
      </c>
      <c r="G35" s="14">
        <f t="shared" si="37"/>
        <v>0</v>
      </c>
      <c r="H35" s="1398"/>
      <c r="I35" s="1398"/>
      <c r="J35" s="1398"/>
      <c r="K35" s="1398"/>
      <c r="L35" s="1398">
        <f t="shared" ref="L35:L36" si="40">M35+N35</f>
        <v>431000</v>
      </c>
      <c r="M35" s="1398"/>
      <c r="N35" s="1398">
        <f t="shared" si="38"/>
        <v>431000</v>
      </c>
      <c r="O35" s="1398">
        <f>'Phụ lục số 1'!X59</f>
        <v>89700</v>
      </c>
      <c r="P35" s="1398">
        <f>'Phụ lục số 1'!Y59</f>
        <v>341300</v>
      </c>
      <c r="Q35" s="3728"/>
      <c r="R35" s="3770">
        <f t="shared" si="8"/>
        <v>431000</v>
      </c>
      <c r="S35" s="1398"/>
      <c r="T35" s="1398"/>
      <c r="U35" s="1398"/>
      <c r="V35" s="1398"/>
      <c r="W35" s="1398"/>
      <c r="X35" s="1398">
        <f t="shared" ref="X35:X36" si="41">Y35+Z35</f>
        <v>886000</v>
      </c>
      <c r="Y35" s="1398"/>
      <c r="Z35" s="1398">
        <f t="shared" si="39"/>
        <v>886000</v>
      </c>
      <c r="AA35" s="1398">
        <f>'Phụ lục số 1'!AI59</f>
        <v>0</v>
      </c>
      <c r="AB35" s="1398">
        <f>'Phụ lục số 1'!AJ59</f>
        <v>886000</v>
      </c>
      <c r="AC35" s="3761">
        <f t="shared" si="11"/>
        <v>205.56844547563804</v>
      </c>
      <c r="AD35" s="3741">
        <f t="shared" si="12"/>
        <v>455000</v>
      </c>
      <c r="AE35" s="3765"/>
      <c r="AF35" s="3770">
        <f t="shared" si="14"/>
        <v>886000</v>
      </c>
      <c r="AG35" s="2556"/>
      <c r="AP35" s="3378"/>
    </row>
    <row r="36" spans="1:42" s="3" customFormat="1">
      <c r="A36" s="167" t="s">
        <v>130</v>
      </c>
      <c r="B36" s="3590" t="s">
        <v>132</v>
      </c>
      <c r="C36" s="77">
        <f>'[23]Phụ lục số 1'!$N$58</f>
        <v>31500</v>
      </c>
      <c r="D36" s="18"/>
      <c r="E36" s="18">
        <f>F36+G36</f>
        <v>31500</v>
      </c>
      <c r="F36" s="18"/>
      <c r="G36" s="14">
        <f t="shared" si="37"/>
        <v>31500</v>
      </c>
      <c r="H36" s="1398">
        <f>'Phụ lục số 1'!F60</f>
        <v>31500</v>
      </c>
      <c r="I36" s="1398"/>
      <c r="J36" s="1398"/>
      <c r="K36" s="1398"/>
      <c r="L36" s="1398">
        <f t="shared" si="40"/>
        <v>31500</v>
      </c>
      <c r="M36" s="1398"/>
      <c r="N36" s="1398">
        <f t="shared" si="38"/>
        <v>31500</v>
      </c>
      <c r="O36" s="1398">
        <f>'Phụ lục số 1'!X60</f>
        <v>31500</v>
      </c>
      <c r="P36" s="1398"/>
      <c r="Q36" s="3728">
        <f t="shared" si="29"/>
        <v>100</v>
      </c>
      <c r="R36" s="3772">
        <f t="shared" si="8"/>
        <v>0</v>
      </c>
      <c r="S36" s="1398"/>
      <c r="T36" s="1398"/>
      <c r="U36" s="1398"/>
      <c r="V36" s="1398"/>
      <c r="W36" s="1398"/>
      <c r="X36" s="1398">
        <f t="shared" si="41"/>
        <v>0</v>
      </c>
      <c r="Y36" s="1398"/>
      <c r="Z36" s="1398">
        <f t="shared" si="39"/>
        <v>0</v>
      </c>
      <c r="AA36" s="1398">
        <f>'Phụ lục số 1'!AI60</f>
        <v>0</v>
      </c>
      <c r="AB36" s="1398"/>
      <c r="AC36" s="3761">
        <f t="shared" si="11"/>
        <v>0</v>
      </c>
      <c r="AD36" s="3741">
        <f t="shared" si="12"/>
        <v>-31500</v>
      </c>
      <c r="AE36" s="3765">
        <f t="shared" si="13"/>
        <v>0</v>
      </c>
      <c r="AF36" s="3770">
        <f t="shared" si="14"/>
        <v>-31500</v>
      </c>
      <c r="AG36" s="2556"/>
      <c r="AP36" s="3378"/>
    </row>
    <row r="37" spans="1:42" s="2210" customFormat="1" ht="17.399999999999999">
      <c r="A37" s="167"/>
      <c r="B37" s="3590" t="s">
        <v>2772</v>
      </c>
      <c r="C37" s="77" t="e">
        <f t="shared" ref="C37" si="42">SUM(#REF!,C28,C35,C36)</f>
        <v>#REF!</v>
      </c>
      <c r="D37" s="18" t="e">
        <f t="shared" ref="D37" si="43">SUM(#REF!,D28,D35,D36)</f>
        <v>#REF!</v>
      </c>
      <c r="E37" s="18">
        <f>E36+E35+E28+E7</f>
        <v>21454716</v>
      </c>
      <c r="F37" s="18">
        <f t="shared" ref="F37:AB37" si="44">F36+F35+F28+F7</f>
        <v>886000</v>
      </c>
      <c r="G37" s="18">
        <f t="shared" si="44"/>
        <v>20568716</v>
      </c>
      <c r="H37" s="18">
        <f t="shared" si="44"/>
        <v>12922645</v>
      </c>
      <c r="I37" s="18">
        <f t="shared" si="44"/>
        <v>7646071</v>
      </c>
      <c r="J37" s="18">
        <f t="shared" si="44"/>
        <v>4941850</v>
      </c>
      <c r="K37" s="18">
        <f t="shared" si="44"/>
        <v>65.110013175230563</v>
      </c>
      <c r="L37" s="18">
        <f t="shared" si="44"/>
        <v>22128663.32</v>
      </c>
      <c r="M37" s="18">
        <f t="shared" si="44"/>
        <v>700345.52</v>
      </c>
      <c r="N37" s="18">
        <f t="shared" si="44"/>
        <v>21428317.800000001</v>
      </c>
      <c r="O37" s="18">
        <f t="shared" si="44"/>
        <v>13068045.733333334</v>
      </c>
      <c r="P37" s="18">
        <f t="shared" si="44"/>
        <v>8360272.0666666664</v>
      </c>
      <c r="Q37" s="3398"/>
      <c r="R37" s="3770">
        <f t="shared" si="8"/>
        <v>673947.3200000003</v>
      </c>
      <c r="S37" s="18">
        <f t="shared" si="44"/>
        <v>8914000</v>
      </c>
      <c r="T37" s="18">
        <f t="shared" si="44"/>
        <v>738070</v>
      </c>
      <c r="U37" s="18">
        <f t="shared" si="44"/>
        <v>8175930</v>
      </c>
      <c r="V37" s="18">
        <f t="shared" si="44"/>
        <v>4422430</v>
      </c>
      <c r="W37" s="18">
        <f t="shared" si="44"/>
        <v>3753500</v>
      </c>
      <c r="X37" s="18">
        <f t="shared" si="44"/>
        <v>24072336</v>
      </c>
      <c r="Y37" s="18">
        <f t="shared" si="44"/>
        <v>781070</v>
      </c>
      <c r="Z37" s="18">
        <f t="shared" si="44"/>
        <v>23291266</v>
      </c>
      <c r="AA37" s="18">
        <f t="shared" si="44"/>
        <v>13802329</v>
      </c>
      <c r="AB37" s="18">
        <f t="shared" si="44"/>
        <v>9488937</v>
      </c>
      <c r="AC37" s="3761">
        <f t="shared" si="11"/>
        <v>108.78350694704319</v>
      </c>
      <c r="AD37" s="3741">
        <f t="shared" si="12"/>
        <v>1943672.6799999997</v>
      </c>
      <c r="AE37" s="3765">
        <f t="shared" si="13"/>
        <v>112.20067420142033</v>
      </c>
      <c r="AF37" s="3770">
        <f t="shared" si="14"/>
        <v>2617620</v>
      </c>
      <c r="AG37" s="2594"/>
      <c r="AP37" s="3751"/>
    </row>
    <row r="38" spans="1:42" s="2210" customFormat="1" ht="17.399999999999999">
      <c r="A38" s="3752" t="s">
        <v>217</v>
      </c>
      <c r="B38" s="2745" t="s">
        <v>2773</v>
      </c>
      <c r="C38" s="2594"/>
      <c r="D38" s="2594"/>
      <c r="E38" s="1399">
        <f>F38+G38</f>
        <v>20568716</v>
      </c>
      <c r="F38" s="1399"/>
      <c r="G38" s="1399">
        <f>G39+G56+G60+G61</f>
        <v>20568716</v>
      </c>
      <c r="H38" s="1399">
        <f t="shared" ref="H38:I38" si="45">H39+H56+H60+H61</f>
        <v>12922645</v>
      </c>
      <c r="I38" s="1399">
        <f t="shared" si="45"/>
        <v>7646071</v>
      </c>
      <c r="J38" s="2594"/>
      <c r="K38" s="2594"/>
      <c r="L38" s="1399">
        <f>M38+N38</f>
        <v>22040415.066666666</v>
      </c>
      <c r="M38" s="1399"/>
      <c r="N38" s="1399">
        <f>N39+N56+N60+N61</f>
        <v>22040415.066666666</v>
      </c>
      <c r="O38" s="1399">
        <f t="shared" ref="O38" si="46">O39+O56+O60+O61</f>
        <v>13362345</v>
      </c>
      <c r="P38" s="1399">
        <f t="shared" ref="P38" si="47">P39+P56+P60+P61</f>
        <v>8678070.0666666664</v>
      </c>
      <c r="Q38" s="2594">
        <f>L38/E38*100</f>
        <v>107.15503615620278</v>
      </c>
      <c r="R38" s="3770">
        <f t="shared" si="8"/>
        <v>1471699.0666666664</v>
      </c>
      <c r="S38" s="2594"/>
      <c r="T38" s="2594"/>
      <c r="U38" s="2594"/>
      <c r="V38" s="2594"/>
      <c r="W38" s="2594"/>
      <c r="X38" s="1399">
        <f>Y38+Z38</f>
        <v>23710732.264000002</v>
      </c>
      <c r="Y38" s="1399"/>
      <c r="Z38" s="1399">
        <f>Z39+Z56+Z60+Z61</f>
        <v>23710732.264000002</v>
      </c>
      <c r="AA38" s="1399">
        <f>AA39+AA56+AA60+AA61</f>
        <v>13802328.916000001</v>
      </c>
      <c r="AB38" s="1399">
        <f>AB39+AB56+AB60+AB61</f>
        <v>9908403.3479999993</v>
      </c>
      <c r="AC38" s="3761">
        <f t="shared" si="11"/>
        <v>107.57842895553939</v>
      </c>
      <c r="AD38" s="3741">
        <f t="shared" si="12"/>
        <v>1670317.1973333359</v>
      </c>
      <c r="AE38" s="3765">
        <f t="shared" si="13"/>
        <v>115.27570444358317</v>
      </c>
      <c r="AF38" s="3770">
        <f t="shared" si="14"/>
        <v>3142016.2640000023</v>
      </c>
      <c r="AG38" s="2594"/>
      <c r="AP38" s="3751"/>
    </row>
    <row r="39" spans="1:42" s="3" customFormat="1" ht="17.399999999999999">
      <c r="A39" s="133" t="s">
        <v>9</v>
      </c>
      <c r="B39" s="134" t="s">
        <v>88</v>
      </c>
      <c r="C39" s="2556"/>
      <c r="D39" s="2556"/>
      <c r="E39" s="1398">
        <f>F39+G39</f>
        <v>13191488</v>
      </c>
      <c r="F39" s="1398"/>
      <c r="G39" s="1398">
        <f>SUM(H39:I39)</f>
        <v>13191488</v>
      </c>
      <c r="H39" s="1398">
        <f>H40+H46+H50+H51+H52+H53+H54+H55</f>
        <v>5545417</v>
      </c>
      <c r="I39" s="1398">
        <f>I40+I46+I50+I51+I52+I53+I54+I55</f>
        <v>7646071</v>
      </c>
      <c r="J39" s="2556"/>
      <c r="K39" s="2556"/>
      <c r="L39" s="1398">
        <f>M39+N39</f>
        <v>14663187.066666666</v>
      </c>
      <c r="M39" s="1398"/>
      <c r="N39" s="1398">
        <f>SUM(O39:P39)</f>
        <v>14663187.066666666</v>
      </c>
      <c r="O39" s="1398">
        <f>O40+O46+O50+O51+O52+O53+O54+O55</f>
        <v>5985117</v>
      </c>
      <c r="P39" s="1398">
        <f>P40+P46+P50+P51+P52+P53+P54+P55</f>
        <v>8678070.0666666664</v>
      </c>
      <c r="Q39" s="2594">
        <f t="shared" ref="Q39:Q61" si="48">L39/E39*100</f>
        <v>111.15642956023359</v>
      </c>
      <c r="R39" s="3770">
        <f t="shared" si="8"/>
        <v>1471699.0666666664</v>
      </c>
      <c r="S39" s="2556"/>
      <c r="T39" s="2556"/>
      <c r="U39" s="2556"/>
      <c r="V39" s="2556"/>
      <c r="W39" s="2556"/>
      <c r="X39" s="1398">
        <f>Y39+Z39</f>
        <v>16638432.915999999</v>
      </c>
      <c r="Y39" s="1398"/>
      <c r="Z39" s="1398">
        <f>SUM(AA39:AB39)</f>
        <v>16638432.915999999</v>
      </c>
      <c r="AA39" s="1398">
        <f>AA40+AA46+AA50+AA51+AA52+AA53+AA54+AA55</f>
        <v>6730029.568</v>
      </c>
      <c r="AB39" s="1398">
        <f>AB40+AB46+AB50+AB51+AB52+AB53+AB54+AB55</f>
        <v>9908403.3479999993</v>
      </c>
      <c r="AC39" s="3761">
        <f t="shared" si="11"/>
        <v>113.47078121797678</v>
      </c>
      <c r="AD39" s="3741">
        <f t="shared" si="12"/>
        <v>1975245.8493333329</v>
      </c>
      <c r="AE39" s="3765">
        <f t="shared" si="13"/>
        <v>126.13006899600711</v>
      </c>
      <c r="AF39" s="3770">
        <f t="shared" si="14"/>
        <v>3446944.9159999993</v>
      </c>
      <c r="AG39" s="2556"/>
      <c r="AP39" s="3378"/>
    </row>
    <row r="40" spans="1:42" s="3" customFormat="1" ht="17.399999999999999">
      <c r="A40" s="133">
        <v>1</v>
      </c>
      <c r="B40" s="134" t="s">
        <v>93</v>
      </c>
      <c r="C40" s="2556"/>
      <c r="D40" s="2556"/>
      <c r="E40" s="1398">
        <f>F40+G40</f>
        <v>3561000</v>
      </c>
      <c r="F40" s="1398"/>
      <c r="G40" s="1398">
        <f>SUM(H40:I40)</f>
        <v>3561000</v>
      </c>
      <c r="H40" s="1398">
        <f>SUM(H41:H45)</f>
        <v>2240000</v>
      </c>
      <c r="I40" s="1398">
        <f>SUM(I41:I45)</f>
        <v>1321000</v>
      </c>
      <c r="J40" s="2556"/>
      <c r="K40" s="2556"/>
      <c r="L40" s="1398">
        <f>M40+N40</f>
        <v>4091000</v>
      </c>
      <c r="M40" s="1398"/>
      <c r="N40" s="1398">
        <f>SUM(O40:P40)</f>
        <v>4091000</v>
      </c>
      <c r="O40" s="1398">
        <f>SUM(O41:O45)</f>
        <v>2590000</v>
      </c>
      <c r="P40" s="1398">
        <f>SUM(P41:P45)</f>
        <v>1501000</v>
      </c>
      <c r="Q40" s="2594">
        <f t="shared" si="48"/>
        <v>114.88345970233081</v>
      </c>
      <c r="R40" s="3772">
        <f t="shared" si="8"/>
        <v>530000</v>
      </c>
      <c r="S40" s="2556"/>
      <c r="T40" s="2556"/>
      <c r="U40" s="2556"/>
      <c r="V40" s="2556"/>
      <c r="W40" s="2556"/>
      <c r="X40" s="1398">
        <f>Y40+Z40</f>
        <v>4923186.4089698764</v>
      </c>
      <c r="Y40" s="1398"/>
      <c r="Z40" s="1398">
        <f>SUM(AA40:AB40)</f>
        <v>4923186.4089698764</v>
      </c>
      <c r="AA40" s="1398">
        <f>SUM(AA41:AA45)</f>
        <v>3199186</v>
      </c>
      <c r="AB40" s="1398">
        <f>SUM(AB41:AB45)</f>
        <v>1724000.4089698761</v>
      </c>
      <c r="AC40" s="3761">
        <f t="shared" si="11"/>
        <v>120.34188239965475</v>
      </c>
      <c r="AD40" s="3741">
        <f t="shared" si="12"/>
        <v>832186.40896987636</v>
      </c>
      <c r="AE40" s="3765">
        <f t="shared" si="13"/>
        <v>138.25291797163371</v>
      </c>
      <c r="AF40" s="3770">
        <f t="shared" si="14"/>
        <v>1362186.4089698764</v>
      </c>
      <c r="AG40" s="2556"/>
      <c r="AP40" s="3378"/>
    </row>
    <row r="41" spans="1:42">
      <c r="A41" s="136" t="s">
        <v>137</v>
      </c>
      <c r="B41" s="137" t="s">
        <v>1305</v>
      </c>
      <c r="C41" s="2558"/>
      <c r="D41" s="2558"/>
      <c r="E41" s="16">
        <f t="shared" ref="E41:E46" si="49">F41+G41</f>
        <v>1061000</v>
      </c>
      <c r="F41" s="16"/>
      <c r="G41" s="16">
        <f t="shared" ref="G41:G45" si="50">SUM(H41:I41)</f>
        <v>1061000</v>
      </c>
      <c r="H41" s="16">
        <f>'Phụ lục số 3'!D25</f>
        <v>540000</v>
      </c>
      <c r="I41" s="16">
        <f>'Phụ lục số 3'!E25</f>
        <v>521000</v>
      </c>
      <c r="J41" s="2558"/>
      <c r="K41" s="2558"/>
      <c r="L41" s="16">
        <f t="shared" ref="L41:L46" si="51">M41+N41</f>
        <v>1061000</v>
      </c>
      <c r="M41" s="16"/>
      <c r="N41" s="16">
        <f t="shared" ref="N41:N45" si="52">SUM(O41:P41)</f>
        <v>1061000</v>
      </c>
      <c r="O41" s="16">
        <f>'Phụ lục số 3.1'!G25</f>
        <v>540000</v>
      </c>
      <c r="P41" s="16">
        <f>'Phụ lục số 3.1'!H25</f>
        <v>521000</v>
      </c>
      <c r="Q41" s="2558">
        <f t="shared" si="48"/>
        <v>100</v>
      </c>
      <c r="R41" s="3769">
        <f t="shared" si="8"/>
        <v>0</v>
      </c>
      <c r="S41" s="2558"/>
      <c r="T41" s="2558"/>
      <c r="U41" s="2558"/>
      <c r="V41" s="2558"/>
      <c r="W41" s="2558"/>
      <c r="X41" s="16">
        <f t="shared" ref="X41:X46" si="53">Y41+Z41</f>
        <v>1143186.4089698761</v>
      </c>
      <c r="Y41" s="16"/>
      <c r="Z41" s="16">
        <f t="shared" ref="Z41:Z45" si="54">SUM(AA41:AB41)</f>
        <v>1143186.4089698761</v>
      </c>
      <c r="AA41" s="16">
        <f>'Phụ lục số 3.1'!J25</f>
        <v>562186</v>
      </c>
      <c r="AB41" s="16">
        <f>'Phụ lục số 3.1'!K25</f>
        <v>581000.40896987612</v>
      </c>
      <c r="AC41" s="3760">
        <f t="shared" si="11"/>
        <v>107.74612714136438</v>
      </c>
      <c r="AD41" s="3725">
        <f t="shared" si="12"/>
        <v>82186.408969876124</v>
      </c>
      <c r="AE41" s="3764">
        <f t="shared" si="13"/>
        <v>107.74612714136438</v>
      </c>
      <c r="AF41" s="3769">
        <f t="shared" si="14"/>
        <v>82186.408969876124</v>
      </c>
      <c r="AG41" s="2558"/>
    </row>
    <row r="42" spans="1:42">
      <c r="A42" s="136" t="s">
        <v>137</v>
      </c>
      <c r="B42" s="137" t="s">
        <v>391</v>
      </c>
      <c r="C42" s="2558"/>
      <c r="D42" s="2558"/>
      <c r="E42" s="16">
        <f t="shared" si="49"/>
        <v>900000</v>
      </c>
      <c r="F42" s="16"/>
      <c r="G42" s="16">
        <f t="shared" si="50"/>
        <v>900000</v>
      </c>
      <c r="H42" s="16">
        <f>'Phụ lục số 3'!D26</f>
        <v>100000</v>
      </c>
      <c r="I42" s="16">
        <f>'Phụ lục số 3'!E26</f>
        <v>800000</v>
      </c>
      <c r="J42" s="2558"/>
      <c r="K42" s="2558"/>
      <c r="L42" s="16">
        <f t="shared" si="51"/>
        <v>1080000</v>
      </c>
      <c r="M42" s="16"/>
      <c r="N42" s="16">
        <f t="shared" si="52"/>
        <v>1080000</v>
      </c>
      <c r="O42" s="16">
        <f>'Phụ lục số 3.1'!G26</f>
        <v>100000</v>
      </c>
      <c r="P42" s="16">
        <f>'Phụ lục số 3.1'!H26</f>
        <v>980000</v>
      </c>
      <c r="Q42" s="2558">
        <f t="shared" si="48"/>
        <v>120</v>
      </c>
      <c r="R42" s="3769">
        <f t="shared" si="8"/>
        <v>180000</v>
      </c>
      <c r="S42" s="2558"/>
      <c r="T42" s="2558"/>
      <c r="U42" s="2558"/>
      <c r="V42" s="2558"/>
      <c r="W42" s="2558"/>
      <c r="X42" s="16">
        <f t="shared" si="53"/>
        <v>1770000</v>
      </c>
      <c r="Y42" s="16"/>
      <c r="Z42" s="16">
        <f t="shared" si="54"/>
        <v>1770000</v>
      </c>
      <c r="AA42" s="16">
        <f>'Phụ lục số 3.1'!J26</f>
        <v>627000</v>
      </c>
      <c r="AB42" s="16">
        <f>'Phụ lục số 3.1'!K26</f>
        <v>1143000</v>
      </c>
      <c r="AC42" s="3760">
        <f t="shared" si="11"/>
        <v>163.88888888888889</v>
      </c>
      <c r="AD42" s="3725">
        <f t="shared" si="12"/>
        <v>690000</v>
      </c>
      <c r="AE42" s="3764">
        <f t="shared" si="13"/>
        <v>196.66666666666666</v>
      </c>
      <c r="AF42" s="3769">
        <f t="shared" si="14"/>
        <v>870000</v>
      </c>
      <c r="AG42" s="2558"/>
    </row>
    <row r="43" spans="1:42">
      <c r="A43" s="136" t="s">
        <v>137</v>
      </c>
      <c r="B43" s="11" t="s">
        <v>1378</v>
      </c>
      <c r="C43" s="2558"/>
      <c r="D43" s="2558"/>
      <c r="E43" s="16">
        <f t="shared" si="49"/>
        <v>1600000</v>
      </c>
      <c r="F43" s="16"/>
      <c r="G43" s="16">
        <f t="shared" si="50"/>
        <v>1600000</v>
      </c>
      <c r="H43" s="16">
        <f>'Phụ lục số 3'!D27</f>
        <v>1600000</v>
      </c>
      <c r="I43" s="16">
        <f>'Phụ lục số 3'!E27</f>
        <v>0</v>
      </c>
      <c r="J43" s="2558"/>
      <c r="K43" s="2558"/>
      <c r="L43" s="16">
        <f t="shared" si="51"/>
        <v>1950000</v>
      </c>
      <c r="M43" s="16"/>
      <c r="N43" s="16">
        <f t="shared" si="52"/>
        <v>1950000</v>
      </c>
      <c r="O43" s="16">
        <f>'Phụ lục số 3.1'!G27</f>
        <v>1950000</v>
      </c>
      <c r="P43" s="16">
        <f>'Phụ lục số 3.1'!H27</f>
        <v>0</v>
      </c>
      <c r="Q43" s="2558">
        <f t="shared" si="48"/>
        <v>121.875</v>
      </c>
      <c r="R43" s="3769">
        <f t="shared" si="8"/>
        <v>350000</v>
      </c>
      <c r="S43" s="2558"/>
      <c r="T43" s="2558"/>
      <c r="U43" s="2558"/>
      <c r="V43" s="2558"/>
      <c r="W43" s="2558"/>
      <c r="X43" s="16">
        <f t="shared" si="53"/>
        <v>1950000</v>
      </c>
      <c r="Y43" s="16"/>
      <c r="Z43" s="16">
        <f t="shared" si="54"/>
        <v>1950000</v>
      </c>
      <c r="AA43" s="16">
        <f>'Phụ lục số 3.1'!J27</f>
        <v>1950000</v>
      </c>
      <c r="AB43" s="16">
        <f>'Phụ lục số 3.1'!K27</f>
        <v>0</v>
      </c>
      <c r="AC43" s="3760">
        <f t="shared" si="11"/>
        <v>100</v>
      </c>
      <c r="AD43" s="3725">
        <f>X43-L43</f>
        <v>0</v>
      </c>
      <c r="AE43" s="3764">
        <f t="shared" si="13"/>
        <v>121.875</v>
      </c>
      <c r="AF43" s="3769">
        <f t="shared" si="14"/>
        <v>350000</v>
      </c>
      <c r="AG43" s="2558"/>
    </row>
    <row r="44" spans="1:42">
      <c r="A44" s="136" t="s">
        <v>137</v>
      </c>
      <c r="B44" s="11" t="str">
        <f>'Phụ lục số 3'!B28</f>
        <v>Chi đầu tư từ nguồn thu thoái vốn doanh nghiệp nhà nước địa phương quản lý;…</v>
      </c>
      <c r="C44" s="2558"/>
      <c r="D44" s="2558"/>
      <c r="E44" s="16">
        <f t="shared" si="49"/>
        <v>0</v>
      </c>
      <c r="F44" s="16"/>
      <c r="G44" s="16">
        <f t="shared" si="50"/>
        <v>0</v>
      </c>
      <c r="H44" s="16">
        <f>'Phụ lục số 3'!D28</f>
        <v>0</v>
      </c>
      <c r="I44" s="16">
        <f>'Phụ lục số 3'!E28</f>
        <v>0</v>
      </c>
      <c r="J44" s="2558"/>
      <c r="K44" s="2558"/>
      <c r="L44" s="16">
        <f t="shared" si="51"/>
        <v>0</v>
      </c>
      <c r="M44" s="16"/>
      <c r="N44" s="16">
        <f t="shared" si="52"/>
        <v>0</v>
      </c>
      <c r="O44" s="16">
        <f>'Phụ lục số 3.1'!G28</f>
        <v>0</v>
      </c>
      <c r="P44" s="16">
        <f>'Phụ lục số 3.1'!H28</f>
        <v>0</v>
      </c>
      <c r="Q44" s="2558"/>
      <c r="R44" s="3769">
        <f t="shared" si="8"/>
        <v>0</v>
      </c>
      <c r="S44" s="2558"/>
      <c r="T44" s="2558"/>
      <c r="U44" s="2558"/>
      <c r="V44" s="2558"/>
      <c r="W44" s="2558"/>
      <c r="X44" s="16">
        <f t="shared" si="53"/>
        <v>0</v>
      </c>
      <c r="Y44" s="16"/>
      <c r="Z44" s="16">
        <f t="shared" si="54"/>
        <v>0</v>
      </c>
      <c r="AA44" s="16">
        <f>'Phụ lục số 3.1'!J28</f>
        <v>0</v>
      </c>
      <c r="AB44" s="16">
        <f>'Phụ lục số 3.1'!K28</f>
        <v>0</v>
      </c>
      <c r="AC44" s="3760"/>
      <c r="AD44" s="3725">
        <f t="shared" si="12"/>
        <v>0</v>
      </c>
      <c r="AE44" s="3764"/>
      <c r="AF44" s="3769">
        <f t="shared" si="14"/>
        <v>0</v>
      </c>
      <c r="AG44" s="2558"/>
      <c r="AH44" s="4420"/>
      <c r="AI44" s="4420"/>
    </row>
    <row r="45" spans="1:42">
      <c r="A45" s="136" t="s">
        <v>137</v>
      </c>
      <c r="B45" s="11" t="str">
        <f>'Phụ lục số 3'!B29</f>
        <v>Chi đầu tư phát triển khác (Ủy thác qua NH Chính sách xã hội chi nhánh tỉnh Đồng Tháp)</v>
      </c>
      <c r="C45" s="2558"/>
      <c r="D45" s="2558"/>
      <c r="E45" s="16">
        <f t="shared" si="49"/>
        <v>0</v>
      </c>
      <c r="F45" s="16"/>
      <c r="G45" s="16">
        <f t="shared" si="50"/>
        <v>0</v>
      </c>
      <c r="H45" s="16">
        <f>'Phụ lục số 3'!D29</f>
        <v>0</v>
      </c>
      <c r="I45" s="16">
        <f>'Phụ lục số 3'!E29</f>
        <v>0</v>
      </c>
      <c r="J45" s="2558"/>
      <c r="K45" s="2558"/>
      <c r="L45" s="16">
        <f t="shared" si="51"/>
        <v>0</v>
      </c>
      <c r="M45" s="16"/>
      <c r="N45" s="16">
        <f t="shared" si="52"/>
        <v>0</v>
      </c>
      <c r="O45" s="16">
        <f>'Phụ lục số 3.1'!G29</f>
        <v>0</v>
      </c>
      <c r="P45" s="16">
        <f>'Phụ lục số 3.1'!H29</f>
        <v>0</v>
      </c>
      <c r="Q45" s="2558"/>
      <c r="R45" s="3769">
        <f t="shared" si="8"/>
        <v>0</v>
      </c>
      <c r="S45" s="2558"/>
      <c r="T45" s="2558"/>
      <c r="U45" s="2558"/>
      <c r="V45" s="2558"/>
      <c r="W45" s="2558"/>
      <c r="X45" s="16">
        <f t="shared" si="53"/>
        <v>60000</v>
      </c>
      <c r="Y45" s="16"/>
      <c r="Z45" s="16">
        <f t="shared" si="54"/>
        <v>60000</v>
      </c>
      <c r="AA45" s="16">
        <f>'Phụ lục số 3.1'!J29</f>
        <v>60000</v>
      </c>
      <c r="AB45" s="16">
        <f>'Phụ lục số 3.1'!K29</f>
        <v>0</v>
      </c>
      <c r="AC45" s="3760"/>
      <c r="AD45" s="3725">
        <f t="shared" si="12"/>
        <v>60000</v>
      </c>
      <c r="AE45" s="3764"/>
      <c r="AF45" s="3769">
        <f t="shared" si="14"/>
        <v>60000</v>
      </c>
      <c r="AG45" s="2558"/>
      <c r="AH45" s="4420"/>
      <c r="AI45" s="4420"/>
    </row>
    <row r="46" spans="1:42" s="3746" customFormat="1" ht="17.399999999999999">
      <c r="A46" s="3748">
        <v>2</v>
      </c>
      <c r="B46" s="3745" t="s">
        <v>58</v>
      </c>
      <c r="C46" s="3749"/>
      <c r="D46" s="3749"/>
      <c r="E46" s="3749">
        <f t="shared" si="49"/>
        <v>9353865</v>
      </c>
      <c r="F46" s="3749"/>
      <c r="G46" s="3749">
        <f>SUM(H46:I46)</f>
        <v>9353865</v>
      </c>
      <c r="H46" s="3749">
        <f>'Phụ lục số 3.1'!D30</f>
        <v>3168035</v>
      </c>
      <c r="I46" s="3749">
        <f>'Phụ lục số 3.1'!E30</f>
        <v>6185830</v>
      </c>
      <c r="J46" s="3749"/>
      <c r="K46" s="3749"/>
      <c r="L46" s="3749">
        <f t="shared" si="51"/>
        <v>9353865</v>
      </c>
      <c r="M46" s="3749"/>
      <c r="N46" s="3749">
        <f>SUM(O46:P46)</f>
        <v>9353865</v>
      </c>
      <c r="O46" s="3749">
        <f>'Phụ lục số 3.1'!G30</f>
        <v>3168035</v>
      </c>
      <c r="P46" s="3749">
        <f>'Phụ lục số 3.1'!H30</f>
        <v>6185830</v>
      </c>
      <c r="Q46" s="2594">
        <f t="shared" si="48"/>
        <v>100</v>
      </c>
      <c r="R46" s="3770">
        <f t="shared" si="8"/>
        <v>0</v>
      </c>
      <c r="S46" s="3749"/>
      <c r="T46" s="3749"/>
      <c r="U46" s="3749"/>
      <c r="V46" s="3749"/>
      <c r="W46" s="3749"/>
      <c r="X46" s="3749">
        <f t="shared" si="53"/>
        <v>10664978.394711081</v>
      </c>
      <c r="Y46" s="3749"/>
      <c r="Z46" s="3749">
        <f>SUM(AA46:AB46)</f>
        <v>10664978.394711081</v>
      </c>
      <c r="AA46" s="3749">
        <f>'Phụ lục số 3.1'!J30</f>
        <v>3294440</v>
      </c>
      <c r="AB46" s="3749">
        <f>'Phụ lục số 3.1'!K30</f>
        <v>7370538.3947110809</v>
      </c>
      <c r="AC46" s="3761">
        <f t="shared" si="11"/>
        <v>114.01680903787985</v>
      </c>
      <c r="AD46" s="3741">
        <f t="shared" si="12"/>
        <v>1311113.3947110809</v>
      </c>
      <c r="AE46" s="3765">
        <f t="shared" si="13"/>
        <v>114.01680903787985</v>
      </c>
      <c r="AF46" s="3770">
        <f t="shared" si="14"/>
        <v>1311113.3947110809</v>
      </c>
      <c r="AG46" s="3749"/>
      <c r="AP46" s="3747"/>
    </row>
    <row r="47" spans="1:42">
      <c r="A47" s="136" t="s">
        <v>137</v>
      </c>
      <c r="B47" s="137" t="s">
        <v>1788</v>
      </c>
      <c r="C47" s="2558"/>
      <c r="D47" s="2558"/>
      <c r="E47" s="16">
        <f>F47+G47</f>
        <v>4179745</v>
      </c>
      <c r="F47" s="16"/>
      <c r="G47" s="16">
        <f>SUM(H47:I47)</f>
        <v>4179745</v>
      </c>
      <c r="H47" s="16">
        <f>'Phụ lục số 3.1'!D31</f>
        <v>1017035</v>
      </c>
      <c r="I47" s="16">
        <f>'Phụ lục số 3.1'!E31</f>
        <v>3162710</v>
      </c>
      <c r="J47" s="2558"/>
      <c r="K47" s="2558"/>
      <c r="L47" s="16">
        <f>M47+N47</f>
        <v>4179745</v>
      </c>
      <c r="M47" s="16"/>
      <c r="N47" s="16">
        <f>SUM(O47:P47)</f>
        <v>4179745</v>
      </c>
      <c r="O47" s="16">
        <f>'Phụ lục số 3.1'!G31</f>
        <v>1017035</v>
      </c>
      <c r="P47" s="16">
        <f>'Phụ lục số 3.1'!H31</f>
        <v>3162710</v>
      </c>
      <c r="Q47" s="2558">
        <f t="shared" si="48"/>
        <v>100</v>
      </c>
      <c r="R47" s="3769">
        <f t="shared" si="8"/>
        <v>0</v>
      </c>
      <c r="S47" s="2558"/>
      <c r="T47" s="2558"/>
      <c r="U47" s="2558"/>
      <c r="V47" s="2558"/>
      <c r="W47" s="2558"/>
      <c r="X47" s="16">
        <f>Y47+Z47</f>
        <v>4797945.7831797441</v>
      </c>
      <c r="Y47" s="16"/>
      <c r="Z47" s="16">
        <f>SUM(AA47:AB47)</f>
        <v>4797945.7831797441</v>
      </c>
      <c r="AA47" s="16">
        <f>'Phụ lục số 3.1'!J31</f>
        <v>956676</v>
      </c>
      <c r="AB47" s="16">
        <f>'Phụ lục số 3.1'!K31</f>
        <v>3841269.7831797441</v>
      </c>
      <c r="AC47" s="3760">
        <f t="shared" si="11"/>
        <v>114.7903947054125</v>
      </c>
      <c r="AD47" s="3725">
        <f>X47-L47</f>
        <v>618200.78317974415</v>
      </c>
      <c r="AE47" s="3764">
        <f t="shared" si="13"/>
        <v>114.7903947054125</v>
      </c>
      <c r="AF47" s="3769">
        <f t="shared" si="14"/>
        <v>618200.78317974415</v>
      </c>
      <c r="AG47" s="2558"/>
    </row>
    <row r="48" spans="1:42">
      <c r="A48" s="136" t="s">
        <v>137</v>
      </c>
      <c r="B48" s="137" t="s">
        <v>1789</v>
      </c>
      <c r="C48" s="2558"/>
      <c r="D48" s="2558"/>
      <c r="E48" s="16">
        <f t="shared" ref="E48" si="55">F48+G48</f>
        <v>31000</v>
      </c>
      <c r="F48" s="16"/>
      <c r="G48" s="16">
        <f>SUM(H48:I48)</f>
        <v>31000</v>
      </c>
      <c r="H48" s="16">
        <f>'Phụ lục số 3.1'!D32</f>
        <v>31000</v>
      </c>
      <c r="I48" s="16">
        <f>'Phụ lục số 3.1'!E32</f>
        <v>0</v>
      </c>
      <c r="J48" s="2558"/>
      <c r="K48" s="2558"/>
      <c r="L48" s="16">
        <f t="shared" ref="L48" si="56">M48+N48</f>
        <v>31000</v>
      </c>
      <c r="M48" s="16"/>
      <c r="N48" s="16">
        <f>SUM(O48:P48)</f>
        <v>31000</v>
      </c>
      <c r="O48" s="16">
        <f>'Phụ lục số 3.1'!G32</f>
        <v>31000</v>
      </c>
      <c r="P48" s="16">
        <f>'Phụ lục số 3.1'!H32</f>
        <v>0</v>
      </c>
      <c r="Q48" s="2558">
        <f t="shared" si="48"/>
        <v>100</v>
      </c>
      <c r="R48" s="3769">
        <f t="shared" si="8"/>
        <v>0</v>
      </c>
      <c r="S48" s="2558"/>
      <c r="T48" s="2558"/>
      <c r="U48" s="2558"/>
      <c r="V48" s="2558"/>
      <c r="W48" s="2558"/>
      <c r="X48" s="16">
        <f t="shared" ref="X48" si="57">Y48+Z48</f>
        <v>31218</v>
      </c>
      <c r="Y48" s="16"/>
      <c r="Z48" s="16">
        <f>SUM(AA48:AB48)</f>
        <v>31218</v>
      </c>
      <c r="AA48" s="16">
        <f>'Phụ lục số 3.1'!J32</f>
        <v>31218</v>
      </c>
      <c r="AB48" s="16">
        <f>'Phụ lục số 3.1'!K32</f>
        <v>0</v>
      </c>
      <c r="AC48" s="3760">
        <f t="shared" si="11"/>
        <v>100.70322580645161</v>
      </c>
      <c r="AD48" s="3725">
        <f t="shared" si="12"/>
        <v>218</v>
      </c>
      <c r="AE48" s="3764">
        <f t="shared" si="13"/>
        <v>100.70322580645161</v>
      </c>
      <c r="AF48" s="3769">
        <f t="shared" si="14"/>
        <v>218</v>
      </c>
      <c r="AG48" s="2558"/>
    </row>
    <row r="49" spans="1:42">
      <c r="A49" s="136" t="s">
        <v>137</v>
      </c>
      <c r="B49" s="137" t="s">
        <v>206</v>
      </c>
      <c r="C49" s="2558"/>
      <c r="D49" s="2558"/>
      <c r="E49" s="16">
        <f>F49+G49</f>
        <v>5143120</v>
      </c>
      <c r="F49" s="16"/>
      <c r="G49" s="16">
        <f>SUM(H49:I49)</f>
        <v>5143120</v>
      </c>
      <c r="H49" s="16">
        <f>'Phụ lục số 3.1'!D33</f>
        <v>2120000</v>
      </c>
      <c r="I49" s="16">
        <f>'Phụ lục số 3.1'!E33</f>
        <v>3023120</v>
      </c>
      <c r="J49" s="2558"/>
      <c r="K49" s="2558"/>
      <c r="L49" s="16">
        <f>M49+N49</f>
        <v>5143120</v>
      </c>
      <c r="M49" s="16"/>
      <c r="N49" s="16">
        <f>SUM(O49:P49)</f>
        <v>5143120</v>
      </c>
      <c r="O49" s="16">
        <f>'Phụ lục số 3.1'!G33</f>
        <v>2120000</v>
      </c>
      <c r="P49" s="16">
        <f>'Phụ lục số 3.1'!H33</f>
        <v>3023120</v>
      </c>
      <c r="Q49" s="2558">
        <f t="shared" si="48"/>
        <v>100</v>
      </c>
      <c r="R49" s="3769">
        <f t="shared" si="8"/>
        <v>0</v>
      </c>
      <c r="S49" s="2558"/>
      <c r="T49" s="2558"/>
      <c r="U49" s="2558"/>
      <c r="V49" s="2558"/>
      <c r="W49" s="2558"/>
      <c r="X49" s="16">
        <f>Y49+Z49</f>
        <v>5835814.6115313368</v>
      </c>
      <c r="Y49" s="16"/>
      <c r="Z49" s="16">
        <f>SUM(AA49:AB49)</f>
        <v>5835814.6115313368</v>
      </c>
      <c r="AA49" s="16">
        <f>'Phụ lục số 3.1'!J33</f>
        <v>2306546</v>
      </c>
      <c r="AB49" s="16">
        <f>'Phụ lục số 3.1'!K33</f>
        <v>3529268.6115313368</v>
      </c>
      <c r="AC49" s="3760">
        <f t="shared" si="11"/>
        <v>113.46837350735228</v>
      </c>
      <c r="AD49" s="3725">
        <f t="shared" si="12"/>
        <v>692694.61153133679</v>
      </c>
      <c r="AE49" s="3764">
        <f t="shared" si="13"/>
        <v>113.46837350735228</v>
      </c>
      <c r="AF49" s="3769">
        <f t="shared" si="14"/>
        <v>692694.61153133679</v>
      </c>
      <c r="AG49" s="2558"/>
    </row>
    <row r="50" spans="1:42" s="191" customFormat="1" ht="17.399999999999999">
      <c r="A50" s="133">
        <v>3</v>
      </c>
      <c r="B50" s="209" t="s">
        <v>143</v>
      </c>
      <c r="C50" s="3655"/>
      <c r="D50" s="3655"/>
      <c r="E50" s="17">
        <f t="shared" ref="E50:E54" si="58">F50+G50</f>
        <v>0</v>
      </c>
      <c r="F50" s="17"/>
      <c r="G50" s="17">
        <f t="shared" ref="G50:G54" si="59">SUM(H50:I50)</f>
        <v>0</v>
      </c>
      <c r="H50" s="17">
        <f>'Phụ lục số 3.1'!D34</f>
        <v>0</v>
      </c>
      <c r="I50" s="17">
        <f>'Phụ lục số 3.1'!E34</f>
        <v>0</v>
      </c>
      <c r="J50" s="3655"/>
      <c r="K50" s="3655"/>
      <c r="L50" s="17">
        <f t="shared" ref="L50:L54" si="60">M50+N50</f>
        <v>431000</v>
      </c>
      <c r="M50" s="17"/>
      <c r="N50" s="17">
        <f t="shared" ref="N50:N54" si="61">SUM(O50:P50)</f>
        <v>431000</v>
      </c>
      <c r="O50" s="17">
        <f>'Phụ lục số 3.1'!G34</f>
        <v>89700</v>
      </c>
      <c r="P50" s="17">
        <f>'Phụ lục số 3.1'!H34</f>
        <v>341300</v>
      </c>
      <c r="Q50" s="2556"/>
      <c r="R50" s="3772">
        <f t="shared" si="8"/>
        <v>431000</v>
      </c>
      <c r="S50" s="3655"/>
      <c r="T50" s="3655"/>
      <c r="U50" s="3655"/>
      <c r="V50" s="3655"/>
      <c r="W50" s="3655"/>
      <c r="X50" s="17">
        <f t="shared" ref="X50:X54" si="62">Y50+Z50</f>
        <v>0</v>
      </c>
      <c r="Y50" s="17"/>
      <c r="Z50" s="17">
        <f t="shared" ref="Z50:Z54" si="63">SUM(AA50:AB50)</f>
        <v>0</v>
      </c>
      <c r="AA50" s="1398">
        <f>'Phụ lục số 3.1'!J34</f>
        <v>0</v>
      </c>
      <c r="AB50" s="1398">
        <f>'Phụ lục số 3.1'!K34</f>
        <v>0</v>
      </c>
      <c r="AC50" s="3763">
        <f t="shared" si="11"/>
        <v>0</v>
      </c>
      <c r="AD50" s="3397">
        <f t="shared" si="12"/>
        <v>-431000</v>
      </c>
      <c r="AE50" s="3767"/>
      <c r="AF50" s="3772">
        <f t="shared" si="14"/>
        <v>0</v>
      </c>
      <c r="AG50" s="3655"/>
      <c r="AP50" s="3501"/>
    </row>
    <row r="51" spans="1:42" s="191" customFormat="1" ht="17.399999999999999">
      <c r="A51" s="133">
        <v>4</v>
      </c>
      <c r="B51" s="209" t="s">
        <v>232</v>
      </c>
      <c r="C51" s="3655"/>
      <c r="D51" s="3655"/>
      <c r="E51" s="17">
        <f t="shared" si="58"/>
        <v>0</v>
      </c>
      <c r="F51" s="17"/>
      <c r="G51" s="17">
        <f t="shared" si="59"/>
        <v>0</v>
      </c>
      <c r="H51" s="17">
        <f>'Phụ lục số 3.1'!D35</f>
        <v>0</v>
      </c>
      <c r="I51" s="17">
        <f>'Phụ lục số 3.1'!E35</f>
        <v>0</v>
      </c>
      <c r="J51" s="3655"/>
      <c r="K51" s="3655"/>
      <c r="L51" s="17">
        <f t="shared" si="60"/>
        <v>357489.34666666656</v>
      </c>
      <c r="M51" s="17"/>
      <c r="N51" s="17">
        <f t="shared" si="61"/>
        <v>357489.34666666656</v>
      </c>
      <c r="O51" s="17">
        <f>'Phụ lục số 3.1'!G35</f>
        <v>0</v>
      </c>
      <c r="P51" s="17">
        <f>'Phụ lục số 3.1'!H35</f>
        <v>357489.34666666656</v>
      </c>
      <c r="Q51" s="2556"/>
      <c r="R51" s="3772">
        <f t="shared" si="8"/>
        <v>357489.34666666656</v>
      </c>
      <c r="S51" s="3655"/>
      <c r="T51" s="3655"/>
      <c r="U51" s="3655"/>
      <c r="V51" s="3655"/>
      <c r="W51" s="3655"/>
      <c r="X51" s="17">
        <f t="shared" si="62"/>
        <v>717399.2</v>
      </c>
      <c r="Y51" s="17"/>
      <c r="Z51" s="17">
        <f t="shared" si="63"/>
        <v>717399.2</v>
      </c>
      <c r="AA51" s="1398">
        <f>'Phụ lục số 3.1'!J35</f>
        <v>79139.200000000012</v>
      </c>
      <c r="AB51" s="1398">
        <f>'Phụ lục số 3.1'!K35</f>
        <v>638260</v>
      </c>
      <c r="AC51" s="3763">
        <f t="shared" si="11"/>
        <v>200.67708497868156</v>
      </c>
      <c r="AD51" s="3397">
        <f t="shared" si="12"/>
        <v>359909.85333333339</v>
      </c>
      <c r="AE51" s="3767"/>
      <c r="AF51" s="3772">
        <f t="shared" si="14"/>
        <v>717399.2</v>
      </c>
      <c r="AG51" s="3655"/>
      <c r="AP51" s="3501"/>
    </row>
    <row r="52" spans="1:42" s="191" customFormat="1" ht="17.399999999999999">
      <c r="A52" s="133">
        <v>5</v>
      </c>
      <c r="B52" s="76" t="s">
        <v>231</v>
      </c>
      <c r="C52" s="3655"/>
      <c r="D52" s="3655"/>
      <c r="E52" s="17">
        <f t="shared" si="58"/>
        <v>0</v>
      </c>
      <c r="F52" s="17"/>
      <c r="G52" s="17">
        <f t="shared" si="59"/>
        <v>0</v>
      </c>
      <c r="H52" s="17">
        <f>'Phụ lục số 3.1'!D36</f>
        <v>0</v>
      </c>
      <c r="I52" s="17">
        <f>'Phụ lục số 3.1'!E36</f>
        <v>0</v>
      </c>
      <c r="J52" s="3655"/>
      <c r="K52" s="3655"/>
      <c r="L52" s="17">
        <f t="shared" si="60"/>
        <v>153209.71999999997</v>
      </c>
      <c r="M52" s="17"/>
      <c r="N52" s="17">
        <f t="shared" si="61"/>
        <v>153209.71999999997</v>
      </c>
      <c r="O52" s="17">
        <f>'Phụ lục số 3.1'!G36</f>
        <v>0</v>
      </c>
      <c r="P52" s="17">
        <f>'Phụ lục số 3.1'!H36</f>
        <v>153209.71999999997</v>
      </c>
      <c r="Q52" s="2556"/>
      <c r="R52" s="3772">
        <f t="shared" si="8"/>
        <v>153209.71999999997</v>
      </c>
      <c r="S52" s="3655"/>
      <c r="T52" s="3655"/>
      <c r="U52" s="3655"/>
      <c r="V52" s="3655"/>
      <c r="W52" s="3655"/>
      <c r="X52" s="17">
        <f t="shared" si="62"/>
        <v>0</v>
      </c>
      <c r="Y52" s="17"/>
      <c r="Z52" s="17">
        <f t="shared" si="63"/>
        <v>0</v>
      </c>
      <c r="AA52" s="1398">
        <f>'Phụ lục số 3.1'!J36</f>
        <v>0</v>
      </c>
      <c r="AB52" s="1398">
        <f>'Phụ lục số 3.1'!K36</f>
        <v>0</v>
      </c>
      <c r="AC52" s="3763">
        <f t="shared" si="11"/>
        <v>0</v>
      </c>
      <c r="AD52" s="3397">
        <f t="shared" si="12"/>
        <v>-153209.71999999997</v>
      </c>
      <c r="AE52" s="3767"/>
      <c r="AF52" s="3772">
        <f t="shared" si="14"/>
        <v>0</v>
      </c>
      <c r="AG52" s="3655"/>
      <c r="AP52" s="3501"/>
    </row>
    <row r="53" spans="1:42" s="191" customFormat="1" ht="17.399999999999999">
      <c r="A53" s="133">
        <v>6</v>
      </c>
      <c r="B53" s="134" t="s">
        <v>60</v>
      </c>
      <c r="C53" s="3655"/>
      <c r="D53" s="3655"/>
      <c r="E53" s="17">
        <f t="shared" si="58"/>
        <v>2000</v>
      </c>
      <c r="F53" s="17"/>
      <c r="G53" s="17">
        <f t="shared" si="59"/>
        <v>2000</v>
      </c>
      <c r="H53" s="17">
        <f>'Phụ lục số 3.1'!D37</f>
        <v>2000</v>
      </c>
      <c r="I53" s="17">
        <f>'Phụ lục số 3.1'!E37</f>
        <v>0</v>
      </c>
      <c r="J53" s="3655"/>
      <c r="K53" s="3655"/>
      <c r="L53" s="17">
        <f t="shared" si="60"/>
        <v>2000</v>
      </c>
      <c r="M53" s="17"/>
      <c r="N53" s="17">
        <f t="shared" si="61"/>
        <v>2000</v>
      </c>
      <c r="O53" s="17">
        <f>'Phụ lục số 3.1'!G37</f>
        <v>2000</v>
      </c>
      <c r="P53" s="17">
        <f>'Phụ lục số 3.1'!H37</f>
        <v>0</v>
      </c>
      <c r="Q53" s="2556">
        <f t="shared" si="48"/>
        <v>100</v>
      </c>
      <c r="R53" s="3772">
        <f t="shared" si="8"/>
        <v>0</v>
      </c>
      <c r="S53" s="3655"/>
      <c r="T53" s="3655"/>
      <c r="U53" s="3655"/>
      <c r="V53" s="3655"/>
      <c r="W53" s="3655"/>
      <c r="X53" s="17">
        <f t="shared" si="62"/>
        <v>2000</v>
      </c>
      <c r="Y53" s="17"/>
      <c r="Z53" s="17">
        <f t="shared" si="63"/>
        <v>2000</v>
      </c>
      <c r="AA53" s="1398">
        <f>'Phụ lục số 3.1'!J37</f>
        <v>2000</v>
      </c>
      <c r="AB53" s="1398">
        <f>'Phụ lục số 3.1'!K37</f>
        <v>0</v>
      </c>
      <c r="AC53" s="3763">
        <f t="shared" si="11"/>
        <v>100</v>
      </c>
      <c r="AD53" s="3397">
        <f t="shared" si="12"/>
        <v>0</v>
      </c>
      <c r="AE53" s="3767">
        <f t="shared" si="13"/>
        <v>100</v>
      </c>
      <c r="AF53" s="3772">
        <f t="shared" si="14"/>
        <v>0</v>
      </c>
      <c r="AG53" s="3655"/>
      <c r="AP53" s="3501"/>
    </row>
    <row r="54" spans="1:42" s="191" customFormat="1" ht="17.399999999999999">
      <c r="A54" s="2763">
        <v>7</v>
      </c>
      <c r="B54" s="134" t="s">
        <v>87</v>
      </c>
      <c r="C54" s="3655"/>
      <c r="D54" s="3655"/>
      <c r="E54" s="17">
        <f t="shared" si="58"/>
        <v>274623</v>
      </c>
      <c r="F54" s="17"/>
      <c r="G54" s="17">
        <f t="shared" si="59"/>
        <v>274623</v>
      </c>
      <c r="H54" s="17">
        <f>'Phụ lục số 3.1'!D38</f>
        <v>135382</v>
      </c>
      <c r="I54" s="17">
        <f>'Phụ lục số 3.1'!E38</f>
        <v>139241</v>
      </c>
      <c r="J54" s="3655"/>
      <c r="K54" s="3655"/>
      <c r="L54" s="17">
        <f t="shared" si="60"/>
        <v>274623</v>
      </c>
      <c r="M54" s="17"/>
      <c r="N54" s="17">
        <f t="shared" si="61"/>
        <v>274623</v>
      </c>
      <c r="O54" s="17">
        <f>'Phụ lục số 3.1'!G38</f>
        <v>135382</v>
      </c>
      <c r="P54" s="17">
        <f>'Phụ lục số 3.1'!H38</f>
        <v>139241</v>
      </c>
      <c r="Q54" s="2556">
        <f t="shared" si="48"/>
        <v>100</v>
      </c>
      <c r="R54" s="3772">
        <f t="shared" si="8"/>
        <v>0</v>
      </c>
      <c r="S54" s="3655"/>
      <c r="T54" s="3655"/>
      <c r="U54" s="3655"/>
      <c r="V54" s="3655"/>
      <c r="W54" s="3655"/>
      <c r="X54" s="17">
        <f t="shared" si="62"/>
        <v>327868.91231904214</v>
      </c>
      <c r="Y54" s="17"/>
      <c r="Z54" s="17">
        <f t="shared" si="63"/>
        <v>327868.91231904214</v>
      </c>
      <c r="AA54" s="1398">
        <f>'Phụ lục số 3.1'!J38</f>
        <v>152264.36799999999</v>
      </c>
      <c r="AB54" s="1398">
        <f>'Phụ lục số 3.1'!K38</f>
        <v>175604.54431904212</v>
      </c>
      <c r="AC54" s="3763">
        <f t="shared" si="11"/>
        <v>119.38873012058062</v>
      </c>
      <c r="AD54" s="3397">
        <f t="shared" si="12"/>
        <v>53245.912319042138</v>
      </c>
      <c r="AE54" s="3767">
        <f t="shared" si="13"/>
        <v>119.38873012058062</v>
      </c>
      <c r="AF54" s="3772">
        <f t="shared" si="14"/>
        <v>53245.912319042138</v>
      </c>
      <c r="AG54" s="3655"/>
      <c r="AP54" s="3501"/>
    </row>
    <row r="55" spans="1:42" s="3" customFormat="1" ht="17.399999999999999">
      <c r="A55" s="2763">
        <v>8</v>
      </c>
      <c r="B55" s="134" t="s">
        <v>126</v>
      </c>
      <c r="C55" s="2556"/>
      <c r="D55" s="2556"/>
      <c r="E55" s="1398">
        <f>F55+G55</f>
        <v>0</v>
      </c>
      <c r="F55" s="1398"/>
      <c r="G55" s="1398">
        <f>SUM(H55:I55)</f>
        <v>0</v>
      </c>
      <c r="H55" s="1398">
        <f>'Phụ lục số 3.1'!D39</f>
        <v>0</v>
      </c>
      <c r="I55" s="1398">
        <f>'Phụ lục số 3.1'!E39</f>
        <v>0</v>
      </c>
      <c r="J55" s="2556"/>
      <c r="K55" s="2556"/>
      <c r="L55" s="1398">
        <f>M55+N55</f>
        <v>0</v>
      </c>
      <c r="M55" s="1398"/>
      <c r="N55" s="1398">
        <f>SUM(O55:P55)</f>
        <v>0</v>
      </c>
      <c r="O55" s="1398">
        <f>'Phụ lục số 3.1'!G39</f>
        <v>0</v>
      </c>
      <c r="P55" s="1398">
        <f>'Phụ lục số 3.1'!H39</f>
        <v>0</v>
      </c>
      <c r="Q55" s="2556"/>
      <c r="R55" s="3772">
        <f t="shared" si="8"/>
        <v>0</v>
      </c>
      <c r="S55" s="2556"/>
      <c r="T55" s="2556"/>
      <c r="U55" s="2556"/>
      <c r="V55" s="2556"/>
      <c r="W55" s="2556"/>
      <c r="X55" s="1398">
        <f>Y55+Z55</f>
        <v>3000</v>
      </c>
      <c r="Y55" s="1398"/>
      <c r="Z55" s="1398">
        <f>SUM(AA55:AB55)</f>
        <v>3000</v>
      </c>
      <c r="AA55" s="1398">
        <f>'Phụ lục số 3.1'!J39</f>
        <v>3000</v>
      </c>
      <c r="AB55" s="1398">
        <f>'Phụ lục số 3.1'!K39</f>
        <v>0</v>
      </c>
      <c r="AC55" s="3763"/>
      <c r="AD55" s="3397">
        <f t="shared" si="12"/>
        <v>3000</v>
      </c>
      <c r="AE55" s="3767"/>
      <c r="AF55" s="3772">
        <f t="shared" si="14"/>
        <v>3000</v>
      </c>
      <c r="AG55" s="2556"/>
      <c r="AP55" s="3378"/>
    </row>
    <row r="56" spans="1:42" s="3" customFormat="1" ht="17.399999999999999">
      <c r="A56" s="133" t="s">
        <v>20</v>
      </c>
      <c r="B56" s="134" t="s">
        <v>1784</v>
      </c>
      <c r="C56" s="2556"/>
      <c r="D56" s="2556"/>
      <c r="E56" s="1398">
        <f>SUM(E57:E59)</f>
        <v>2597007</v>
      </c>
      <c r="F56" s="1398">
        <f t="shared" ref="F56:I56" si="64">SUM(F57:F59)</f>
        <v>0</v>
      </c>
      <c r="G56" s="1398">
        <f t="shared" si="64"/>
        <v>2597007</v>
      </c>
      <c r="H56" s="1398">
        <f t="shared" si="64"/>
        <v>2597007</v>
      </c>
      <c r="I56" s="1398">
        <f t="shared" si="64"/>
        <v>0</v>
      </c>
      <c r="J56" s="2556"/>
      <c r="K56" s="2556"/>
      <c r="L56" s="1398">
        <f>SUM(L57:L59)</f>
        <v>2597007</v>
      </c>
      <c r="M56" s="1398">
        <f t="shared" ref="M56" si="65">SUM(M57:M59)</f>
        <v>0</v>
      </c>
      <c r="N56" s="1398">
        <f t="shared" ref="N56" si="66">SUM(N57:N59)</f>
        <v>2597007</v>
      </c>
      <c r="O56" s="1398">
        <f t="shared" ref="O56" si="67">SUM(O57:O59)</f>
        <v>2597007</v>
      </c>
      <c r="P56" s="1398">
        <f t="shared" ref="P56" si="68">SUM(P57:P59)</f>
        <v>0</v>
      </c>
      <c r="Q56" s="2556">
        <f t="shared" si="48"/>
        <v>100</v>
      </c>
      <c r="R56" s="3772">
        <f t="shared" si="8"/>
        <v>0</v>
      </c>
      <c r="S56" s="2556"/>
      <c r="T56" s="2556"/>
      <c r="U56" s="2556"/>
      <c r="V56" s="2556"/>
      <c r="W56" s="2556"/>
      <c r="X56" s="1398">
        <f>SUM(X57:X59)</f>
        <v>1988976</v>
      </c>
      <c r="Y56" s="1398">
        <f t="shared" ref="Y56" si="69">SUM(Y57:Y59)</f>
        <v>0</v>
      </c>
      <c r="Z56" s="1398">
        <f t="shared" ref="Z56" si="70">SUM(Z57:Z59)</f>
        <v>1988976</v>
      </c>
      <c r="AA56" s="1398">
        <f t="shared" ref="AA56" si="71">SUM(AA57:AA59)</f>
        <v>1988976</v>
      </c>
      <c r="AB56" s="1398">
        <f t="shared" ref="AB56" si="72">SUM(AB57:AB59)</f>
        <v>0</v>
      </c>
      <c r="AC56" s="3763">
        <f t="shared" si="11"/>
        <v>76.587240619682589</v>
      </c>
      <c r="AD56" s="3397">
        <f t="shared" si="12"/>
        <v>-608031</v>
      </c>
      <c r="AE56" s="3767">
        <f t="shared" si="13"/>
        <v>76.587240619682589</v>
      </c>
      <c r="AF56" s="3772">
        <f t="shared" si="14"/>
        <v>-608031</v>
      </c>
      <c r="AG56" s="2556"/>
      <c r="AP56" s="3378"/>
    </row>
    <row r="57" spans="1:42">
      <c r="A57" s="136">
        <v>1</v>
      </c>
      <c r="B57" s="78" t="str">
        <f>'Phụ lục số 3'!B41</f>
        <v>Chi thực hiện mục tiêu, nhiệm vụ quan trọng (vốn đầu tư phát triển)</v>
      </c>
      <c r="C57" s="2558"/>
      <c r="D57" s="2558"/>
      <c r="E57" s="16">
        <f>SUM(F57:G57)</f>
        <v>2417971</v>
      </c>
      <c r="F57" s="16"/>
      <c r="G57" s="16">
        <f>SUM(H57:I57)</f>
        <v>2417971</v>
      </c>
      <c r="H57" s="16">
        <f>'Phụ lục số 3.1'!D41</f>
        <v>2417971</v>
      </c>
      <c r="I57" s="16">
        <f>'Phụ lục số 3.1'!E41</f>
        <v>0</v>
      </c>
      <c r="J57" s="2558"/>
      <c r="K57" s="2558"/>
      <c r="L57" s="16">
        <f>SUM(M57:N57)</f>
        <v>2417971</v>
      </c>
      <c r="M57" s="16"/>
      <c r="N57" s="16">
        <f>SUM(O57:P57)</f>
        <v>2417971</v>
      </c>
      <c r="O57" s="16">
        <f>'Phụ lục số 3.1'!G41</f>
        <v>2417971</v>
      </c>
      <c r="P57" s="16">
        <f>'Phụ lục số 3.1'!H41</f>
        <v>0</v>
      </c>
      <c r="Q57" s="2558">
        <f t="shared" si="48"/>
        <v>100</v>
      </c>
      <c r="R57" s="3769">
        <f t="shared" si="8"/>
        <v>0</v>
      </c>
      <c r="S57" s="2558"/>
      <c r="T57" s="2558"/>
      <c r="U57" s="2558"/>
      <c r="V57" s="2558"/>
      <c r="W57" s="2558"/>
      <c r="X57" s="16">
        <f>SUM(Y57:Z57)</f>
        <v>1814491</v>
      </c>
      <c r="Y57" s="16"/>
      <c r="Z57" s="16">
        <f>SUM(AA57:AB57)</f>
        <v>1814491</v>
      </c>
      <c r="AA57" s="16">
        <f>'Phụ lục số 3.1'!J41</f>
        <v>1814491</v>
      </c>
      <c r="AB57" s="16">
        <f>'Phụ lục số 3.1'!K41</f>
        <v>0</v>
      </c>
      <c r="AC57" s="3760">
        <f t="shared" si="11"/>
        <v>75.041884290589095</v>
      </c>
      <c r="AD57" s="3725">
        <f t="shared" si="12"/>
        <v>-603480</v>
      </c>
      <c r="AE57" s="3764">
        <f t="shared" si="13"/>
        <v>75.041884290589095</v>
      </c>
      <c r="AF57" s="3769">
        <f t="shared" si="14"/>
        <v>-603480</v>
      </c>
      <c r="AG57" s="2558"/>
    </row>
    <row r="58" spans="1:42">
      <c r="A58" s="136">
        <v>2</v>
      </c>
      <c r="B58" s="78" t="str">
        <f>'Phụ lục số 3'!B42</f>
        <v>Chi thực hiện mục tiêu, nhiệm vụ quan trọng (kinh phí sự nghiệp)</v>
      </c>
      <c r="C58" s="2558"/>
      <c r="D58" s="2558"/>
      <c r="E58" s="16">
        <f t="shared" ref="E58:E62" si="73">SUM(F58:G58)</f>
        <v>179036</v>
      </c>
      <c r="F58" s="16"/>
      <c r="G58" s="16">
        <f t="shared" ref="G58:G61" si="74">SUM(H58:I58)</f>
        <v>179036</v>
      </c>
      <c r="H58" s="16">
        <f>'Phụ lục số 3.1'!D42</f>
        <v>179036</v>
      </c>
      <c r="I58" s="16">
        <f>'Phụ lục số 3.1'!E42</f>
        <v>0</v>
      </c>
      <c r="J58" s="2558"/>
      <c r="K58" s="2558"/>
      <c r="L58" s="16">
        <f t="shared" ref="L58:L62" si="75">SUM(M58:N58)</f>
        <v>179036</v>
      </c>
      <c r="M58" s="16"/>
      <c r="N58" s="16">
        <f t="shared" ref="N58:N61" si="76">SUM(O58:P58)</f>
        <v>179036</v>
      </c>
      <c r="O58" s="16">
        <f>'Phụ lục số 3.1'!G42</f>
        <v>179036</v>
      </c>
      <c r="P58" s="16">
        <f>'Phụ lục số 3.1'!H42</f>
        <v>0</v>
      </c>
      <c r="Q58" s="2558">
        <f t="shared" si="48"/>
        <v>100</v>
      </c>
      <c r="R58" s="3769">
        <f t="shared" si="8"/>
        <v>0</v>
      </c>
      <c r="S58" s="2558"/>
      <c r="T58" s="2558"/>
      <c r="U58" s="2558"/>
      <c r="V58" s="2558"/>
      <c r="W58" s="2558"/>
      <c r="X58" s="16">
        <f t="shared" ref="X58:X62" si="77">SUM(Y58:Z58)</f>
        <v>174485</v>
      </c>
      <c r="Y58" s="16"/>
      <c r="Z58" s="16">
        <f t="shared" ref="Z58:Z61" si="78">SUM(AA58:AB58)</f>
        <v>174485</v>
      </c>
      <c r="AA58" s="16">
        <f>'Phụ lục số 3.1'!J42</f>
        <v>174485</v>
      </c>
      <c r="AB58" s="16">
        <f>'Phụ lục số 3.1'!K42</f>
        <v>0</v>
      </c>
      <c r="AC58" s="3760">
        <f t="shared" si="11"/>
        <v>97.458053128979643</v>
      </c>
      <c r="AD58" s="3725">
        <f t="shared" si="12"/>
        <v>-4551</v>
      </c>
      <c r="AE58" s="3764">
        <f t="shared" si="13"/>
        <v>97.458053128979643</v>
      </c>
      <c r="AF58" s="3769">
        <f t="shared" si="14"/>
        <v>-4551</v>
      </c>
      <c r="AG58" s="2558"/>
    </row>
    <row r="59" spans="1:42">
      <c r="A59" s="136">
        <v>3</v>
      </c>
      <c r="B59" s="78" t="str">
        <f>'Phụ lục số 3'!B43</f>
        <v>Chi bổ sung có mục tiêu nhiệm vụ quan trọng khác (nếu có)</v>
      </c>
      <c r="C59" s="2558"/>
      <c r="D59" s="2558"/>
      <c r="E59" s="16">
        <f t="shared" si="73"/>
        <v>0</v>
      </c>
      <c r="F59" s="16"/>
      <c r="G59" s="16">
        <f t="shared" si="74"/>
        <v>0</v>
      </c>
      <c r="H59" s="16">
        <f>'Phụ lục số 3.1'!D43</f>
        <v>0</v>
      </c>
      <c r="I59" s="16">
        <f>'Phụ lục số 3.1'!E43</f>
        <v>0</v>
      </c>
      <c r="J59" s="2558"/>
      <c r="K59" s="2558"/>
      <c r="L59" s="16">
        <f t="shared" si="75"/>
        <v>0</v>
      </c>
      <c r="M59" s="16"/>
      <c r="N59" s="16">
        <f t="shared" si="76"/>
        <v>0</v>
      </c>
      <c r="O59" s="16">
        <f>'Phụ lục số 3.1'!G43</f>
        <v>0</v>
      </c>
      <c r="P59" s="16">
        <f>'Phụ lục số 3.1'!H43</f>
        <v>0</v>
      </c>
      <c r="Q59" s="2558"/>
      <c r="R59" s="3769">
        <f t="shared" si="8"/>
        <v>0</v>
      </c>
      <c r="S59" s="2558"/>
      <c r="T59" s="2558"/>
      <c r="U59" s="2558"/>
      <c r="V59" s="2558"/>
      <c r="W59" s="2558"/>
      <c r="X59" s="16">
        <f t="shared" si="77"/>
        <v>0</v>
      </c>
      <c r="Y59" s="16"/>
      <c r="Z59" s="16">
        <f t="shared" si="78"/>
        <v>0</v>
      </c>
      <c r="AA59" s="16">
        <f>'Phụ lục số 3.1'!J43</f>
        <v>0</v>
      </c>
      <c r="AB59" s="16">
        <f>'Phụ lục số 3.1'!K43</f>
        <v>0</v>
      </c>
      <c r="AC59" s="3760"/>
      <c r="AD59" s="3725">
        <f t="shared" si="12"/>
        <v>0</v>
      </c>
      <c r="AE59" s="3764"/>
      <c r="AF59" s="3769">
        <f t="shared" si="14"/>
        <v>0</v>
      </c>
      <c r="AG59" s="2558"/>
    </row>
    <row r="60" spans="1:42" s="3" customFormat="1" ht="34.799999999999997">
      <c r="A60" s="133" t="s">
        <v>49</v>
      </c>
      <c r="B60" s="143" t="s">
        <v>133</v>
      </c>
      <c r="C60" s="2556"/>
      <c r="D60" s="2556"/>
      <c r="E60" s="1398">
        <f t="shared" si="73"/>
        <v>31500</v>
      </c>
      <c r="F60" s="1398"/>
      <c r="G60" s="1398">
        <f t="shared" si="74"/>
        <v>31500</v>
      </c>
      <c r="H60" s="1398">
        <f>'Phụ lục số 3.1'!D44</f>
        <v>31500</v>
      </c>
      <c r="I60" s="1398">
        <f>'Phụ lục số 3.1'!E44</f>
        <v>0</v>
      </c>
      <c r="J60" s="2556"/>
      <c r="K60" s="2556"/>
      <c r="L60" s="1398">
        <f t="shared" si="75"/>
        <v>31500</v>
      </c>
      <c r="M60" s="1398"/>
      <c r="N60" s="1398">
        <f t="shared" si="76"/>
        <v>31500</v>
      </c>
      <c r="O60" s="1398">
        <f>'Phụ lục số 3.1'!G44</f>
        <v>31500</v>
      </c>
      <c r="P60" s="1398">
        <f>'Phụ lục số 3.1'!H44</f>
        <v>0</v>
      </c>
      <c r="Q60" s="2556">
        <f t="shared" si="48"/>
        <v>100</v>
      </c>
      <c r="R60" s="3772">
        <f t="shared" si="8"/>
        <v>0</v>
      </c>
      <c r="S60" s="2556"/>
      <c r="T60" s="2556"/>
      <c r="U60" s="2556"/>
      <c r="V60" s="2556"/>
      <c r="W60" s="2556"/>
      <c r="X60" s="1398">
        <f t="shared" si="77"/>
        <v>0</v>
      </c>
      <c r="Y60" s="1398"/>
      <c r="Z60" s="1398">
        <f t="shared" si="78"/>
        <v>0</v>
      </c>
      <c r="AA60" s="1398">
        <f>'Phụ lục số 3.1'!J44</f>
        <v>0</v>
      </c>
      <c r="AB60" s="1398">
        <f>'Phụ lục số 3.1'!K44</f>
        <v>0</v>
      </c>
      <c r="AC60" s="3761">
        <f t="shared" si="11"/>
        <v>0</v>
      </c>
      <c r="AD60" s="3741">
        <f t="shared" si="12"/>
        <v>-31500</v>
      </c>
      <c r="AE60" s="3765">
        <f t="shared" si="13"/>
        <v>0</v>
      </c>
      <c r="AF60" s="3770">
        <f t="shared" si="14"/>
        <v>-31500</v>
      </c>
      <c r="AG60" s="2556"/>
      <c r="AP60" s="3378"/>
    </row>
    <row r="61" spans="1:42" s="3" customFormat="1" ht="17.399999999999999">
      <c r="A61" s="133" t="s">
        <v>50</v>
      </c>
      <c r="B61" s="134" t="s">
        <v>235</v>
      </c>
      <c r="C61" s="2556"/>
      <c r="D61" s="2556"/>
      <c r="E61" s="1398">
        <f t="shared" si="73"/>
        <v>4748721</v>
      </c>
      <c r="F61" s="1398"/>
      <c r="G61" s="1398">
        <f t="shared" si="74"/>
        <v>4748721</v>
      </c>
      <c r="H61" s="1398">
        <f>'Phụ lục số 3.1'!D45</f>
        <v>4748721</v>
      </c>
      <c r="I61" s="1398"/>
      <c r="J61" s="2556"/>
      <c r="K61" s="2556"/>
      <c r="L61" s="1398">
        <f t="shared" si="75"/>
        <v>4748721</v>
      </c>
      <c r="M61" s="1398"/>
      <c r="N61" s="1398">
        <f t="shared" si="76"/>
        <v>4748721</v>
      </c>
      <c r="O61" s="1398">
        <f>'Phụ lục số 3.1'!G45</f>
        <v>4748721</v>
      </c>
      <c r="P61" s="1398">
        <f>'Phụ lục số 3.1'!H45</f>
        <v>0</v>
      </c>
      <c r="Q61" s="2556">
        <f t="shared" si="48"/>
        <v>100</v>
      </c>
      <c r="R61" s="3772">
        <f t="shared" si="8"/>
        <v>0</v>
      </c>
      <c r="S61" s="2556"/>
      <c r="T61" s="2556"/>
      <c r="U61" s="2556"/>
      <c r="V61" s="2556"/>
      <c r="W61" s="2556"/>
      <c r="X61" s="1398">
        <f t="shared" si="77"/>
        <v>5083323.3480000002</v>
      </c>
      <c r="Y61" s="1398"/>
      <c r="Z61" s="1398">
        <f t="shared" si="78"/>
        <v>5083323.3480000002</v>
      </c>
      <c r="AA61" s="1398">
        <f>'Phụ lục số 3.1'!J45</f>
        <v>5083323.3480000002</v>
      </c>
      <c r="AB61" s="1398">
        <f>'Phụ lục số 3.1'!K45</f>
        <v>0</v>
      </c>
      <c r="AC61" s="3761">
        <f t="shared" si="11"/>
        <v>107.04615722844109</v>
      </c>
      <c r="AD61" s="3741">
        <f t="shared" si="12"/>
        <v>334602.34800000023</v>
      </c>
      <c r="AE61" s="3765">
        <f t="shared" si="13"/>
        <v>107.04615722844109</v>
      </c>
      <c r="AF61" s="3770">
        <f t="shared" si="14"/>
        <v>334602.34800000023</v>
      </c>
      <c r="AG61" s="2556"/>
      <c r="AP61" s="3378"/>
    </row>
    <row r="62" spans="1:42" s="3" customFormat="1" ht="17.399999999999999">
      <c r="A62" s="144" t="s">
        <v>1505</v>
      </c>
      <c r="B62" s="3750" t="s">
        <v>241</v>
      </c>
      <c r="C62" s="3511"/>
      <c r="D62" s="3511"/>
      <c r="E62" s="3512">
        <f t="shared" si="73"/>
        <v>0</v>
      </c>
      <c r="F62" s="3512"/>
      <c r="G62" s="3512">
        <f>SUM(H62:I62)</f>
        <v>0</v>
      </c>
      <c r="H62" s="3512">
        <f>H37-H38</f>
        <v>0</v>
      </c>
      <c r="I62" s="3512">
        <f>I37-I38</f>
        <v>0</v>
      </c>
      <c r="J62" s="3511"/>
      <c r="K62" s="3511"/>
      <c r="L62" s="3512">
        <f t="shared" si="75"/>
        <v>-612097.26666666567</v>
      </c>
      <c r="M62" s="3512"/>
      <c r="N62" s="3512">
        <f>SUM(O62:P62)</f>
        <v>-612097.26666666567</v>
      </c>
      <c r="O62" s="3512">
        <f>O37-O38</f>
        <v>-294299.26666666567</v>
      </c>
      <c r="P62" s="3512">
        <f>P37-P38</f>
        <v>-317798</v>
      </c>
      <c r="Q62" s="3758"/>
      <c r="R62" s="3774">
        <f t="shared" si="8"/>
        <v>-612097.26666666567</v>
      </c>
      <c r="S62" s="3511"/>
      <c r="T62" s="3511"/>
      <c r="U62" s="3511"/>
      <c r="V62" s="3511"/>
      <c r="W62" s="3511"/>
      <c r="X62" s="3512">
        <f t="shared" si="77"/>
        <v>-419466.26400000043</v>
      </c>
      <c r="Y62" s="3512"/>
      <c r="Z62" s="3512">
        <f>SUM(AA62:AB62)</f>
        <v>-419466.26400000043</v>
      </c>
      <c r="AA62" s="3512">
        <f>AA37-AA38</f>
        <v>8.3999998867511749E-2</v>
      </c>
      <c r="AB62" s="3512">
        <f>AB37-AB38</f>
        <v>-419466.3479999993</v>
      </c>
      <c r="AC62" s="3761"/>
      <c r="AD62" s="3741"/>
      <c r="AE62" s="3765"/>
      <c r="AF62" s="3770">
        <f t="shared" si="14"/>
        <v>-419466.26400000043</v>
      </c>
      <c r="AG62" s="3511"/>
      <c r="AP62" s="3378"/>
    </row>
  </sheetData>
  <mergeCells count="40">
    <mergeCell ref="X2:AG2"/>
    <mergeCell ref="AE3:AF3"/>
    <mergeCell ref="AE4:AE5"/>
    <mergeCell ref="AF4:AF5"/>
    <mergeCell ref="AH44:AH45"/>
    <mergeCell ref="AI44:AI45"/>
    <mergeCell ref="AG3:AG5"/>
    <mergeCell ref="Q4:Q5"/>
    <mergeCell ref="R4:R5"/>
    <mergeCell ref="AC3:AD3"/>
    <mergeCell ref="AC4:AC5"/>
    <mergeCell ref="AD4:AD5"/>
    <mergeCell ref="Z4:Z5"/>
    <mergeCell ref="AA4:AB4"/>
    <mergeCell ref="T3:W3"/>
    <mergeCell ref="T4:T5"/>
    <mergeCell ref="U4:U5"/>
    <mergeCell ref="V4:W4"/>
    <mergeCell ref="S3:S5"/>
    <mergeCell ref="M3:P3"/>
    <mergeCell ref="M4:M5"/>
    <mergeCell ref="N4:N5"/>
    <mergeCell ref="O4:P4"/>
    <mergeCell ref="Q3:R3"/>
    <mergeCell ref="A1:AF1"/>
    <mergeCell ref="A3:A5"/>
    <mergeCell ref="B3:B5"/>
    <mergeCell ref="C3:C5"/>
    <mergeCell ref="D3:D5"/>
    <mergeCell ref="E3:E5"/>
    <mergeCell ref="J3:J5"/>
    <mergeCell ref="K3:K5"/>
    <mergeCell ref="L3:L5"/>
    <mergeCell ref="F3:I3"/>
    <mergeCell ref="Y3:AB3"/>
    <mergeCell ref="Y4:Y5"/>
    <mergeCell ref="F4:F5"/>
    <mergeCell ref="G4:G5"/>
    <mergeCell ref="H4:I4"/>
    <mergeCell ref="X3:X5"/>
  </mergeCells>
  <hyperlinks>
    <hyperlink ref="A3:A5" location="'List danh mục'!A1" display="SỐ TT"/>
  </hyperlinks>
  <printOptions horizontalCentered="1"/>
  <pageMargins left="0" right="0" top="0.39370078740157483" bottom="0" header="0.31496062992125984" footer="0.31496062992125984"/>
  <pageSetup paperSize="9" scale="55" orientation="landscape" r:id="rId1"/>
  <headerFooter>
    <oddHeader>&amp;R&amp;A</oddHeader>
    <oddFooter>&amp;C&amp;P/&amp;N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S197"/>
  <sheetViews>
    <sheetView workbookViewId="0">
      <selection activeCell="J19" sqref="J19"/>
    </sheetView>
  </sheetViews>
  <sheetFormatPr defaultColWidth="9" defaultRowHeight="15.6"/>
  <cols>
    <col min="1" max="1" width="3.59765625" style="290" customWidth="1"/>
    <col min="2" max="2" width="30.8984375" style="220" customWidth="1"/>
    <col min="3" max="14" width="8.5" style="220" hidden="1" customWidth="1"/>
    <col min="15" max="17" width="7.5" style="220" hidden="1" customWidth="1"/>
    <col min="18" max="18" width="7.59765625" style="220" hidden="1" customWidth="1"/>
    <col min="19" max="20" width="8" style="220" hidden="1" customWidth="1"/>
    <col min="21" max="21" width="7.5" style="220" customWidth="1"/>
    <col min="22" max="22" width="6.8984375" style="220" customWidth="1"/>
    <col min="23" max="23" width="7.19921875" style="220" customWidth="1"/>
    <col min="24" max="25" width="8.5" style="220" customWidth="1"/>
    <col min="26" max="26" width="6.8984375" style="220" customWidth="1"/>
    <col min="27" max="27" width="8.5" style="220" customWidth="1"/>
    <col min="28" max="28" width="7.5" style="220" customWidth="1"/>
    <col min="29" max="29" width="8" style="220" customWidth="1"/>
    <col min="30" max="30" width="8.5" style="220" customWidth="1"/>
    <col min="31" max="31" width="7.5" style="220" customWidth="1"/>
    <col min="32" max="32" width="6.5" style="220" customWidth="1"/>
    <col min="33" max="33" width="8.5" style="220" customWidth="1"/>
    <col min="34" max="16384" width="9" style="220"/>
  </cols>
  <sheetData>
    <row r="1" spans="1:97" s="289" customFormat="1" ht="47.25" customHeight="1">
      <c r="A1" s="4201" t="s">
        <v>1257</v>
      </c>
      <c r="B1" s="4201"/>
      <c r="C1" s="4201"/>
      <c r="D1" s="4201"/>
      <c r="E1" s="4201"/>
      <c r="F1" s="4201"/>
      <c r="G1" s="4201"/>
      <c r="H1" s="4201"/>
      <c r="I1" s="4201"/>
      <c r="J1" s="4201"/>
      <c r="K1" s="4201"/>
      <c r="L1" s="4201"/>
      <c r="M1" s="4201"/>
      <c r="N1" s="4201"/>
      <c r="O1" s="4201"/>
      <c r="P1" s="4201"/>
      <c r="Q1" s="4201"/>
      <c r="R1" s="4201"/>
      <c r="S1" s="4201"/>
      <c r="T1" s="4201"/>
      <c r="U1" s="4201"/>
      <c r="V1" s="4201"/>
      <c r="W1" s="4201"/>
      <c r="X1" s="4201"/>
      <c r="Y1" s="4201"/>
      <c r="Z1" s="4201"/>
      <c r="AA1" s="4201"/>
      <c r="AB1" s="4201"/>
      <c r="AC1" s="4201"/>
      <c r="AD1" s="4201"/>
      <c r="AE1" s="4201"/>
      <c r="AF1" s="4201"/>
      <c r="AG1" s="288"/>
      <c r="AO1" s="288"/>
      <c r="AW1" s="288"/>
      <c r="BE1" s="288"/>
      <c r="BM1" s="288"/>
      <c r="BU1" s="288"/>
      <c r="CC1" s="288"/>
      <c r="CK1" s="288"/>
      <c r="CS1" s="288"/>
    </row>
    <row r="2" spans="1:97">
      <c r="B2" s="1033"/>
      <c r="C2" s="290"/>
      <c r="D2" s="290"/>
      <c r="E2" s="290"/>
      <c r="F2" s="290"/>
      <c r="G2" s="290"/>
      <c r="H2" s="290"/>
      <c r="I2" s="290"/>
      <c r="J2" s="290"/>
      <c r="K2" s="290"/>
      <c r="L2" s="290"/>
      <c r="M2" s="290"/>
      <c r="N2" s="290"/>
      <c r="O2" s="290"/>
      <c r="P2" s="290"/>
      <c r="Q2" s="290"/>
      <c r="R2" s="290"/>
      <c r="S2" s="290"/>
      <c r="T2" s="290"/>
      <c r="U2" s="290"/>
      <c r="V2" s="290"/>
      <c r="W2" s="292"/>
      <c r="X2" s="292"/>
      <c r="Y2" s="292"/>
      <c r="Z2" s="292"/>
    </row>
    <row r="3" spans="1:97" s="295" customFormat="1" ht="15.9" customHeight="1">
      <c r="A3" s="4254" t="s">
        <v>0</v>
      </c>
      <c r="B3" s="4254" t="s">
        <v>1</v>
      </c>
      <c r="C3" s="4208" t="s">
        <v>424</v>
      </c>
      <c r="D3" s="4208" t="s">
        <v>425</v>
      </c>
      <c r="E3" s="4208" t="s">
        <v>426</v>
      </c>
      <c r="F3" s="4208" t="s">
        <v>427</v>
      </c>
      <c r="G3" s="4208" t="s">
        <v>428</v>
      </c>
      <c r="H3" s="4208" t="s">
        <v>431</v>
      </c>
      <c r="I3" s="4208" t="s">
        <v>432</v>
      </c>
      <c r="J3" s="4208" t="s">
        <v>433</v>
      </c>
      <c r="K3" s="4208" t="s">
        <v>434</v>
      </c>
      <c r="L3" s="4208" t="s">
        <v>435</v>
      </c>
      <c r="M3" s="4254" t="s">
        <v>436</v>
      </c>
      <c r="N3" s="4208" t="s">
        <v>437</v>
      </c>
      <c r="O3" s="4208" t="s">
        <v>29</v>
      </c>
      <c r="P3" s="4208" t="s">
        <v>438</v>
      </c>
      <c r="Q3" s="4208" t="s">
        <v>439</v>
      </c>
      <c r="R3" s="4208" t="s">
        <v>547</v>
      </c>
      <c r="S3" s="4208" t="s">
        <v>548</v>
      </c>
      <c r="T3" s="4208" t="s">
        <v>549</v>
      </c>
      <c r="U3" s="4254" t="s">
        <v>1258</v>
      </c>
      <c r="V3" s="4208" t="s">
        <v>442</v>
      </c>
      <c r="W3" s="4208" t="s">
        <v>29</v>
      </c>
      <c r="X3" s="4208" t="s">
        <v>1259</v>
      </c>
      <c r="Y3" s="4208" t="s">
        <v>553</v>
      </c>
      <c r="Z3" s="4208" t="s">
        <v>371</v>
      </c>
      <c r="AA3" s="4254" t="s">
        <v>1260</v>
      </c>
      <c r="AB3" s="4254" t="s">
        <v>647</v>
      </c>
      <c r="AC3" s="4254" t="s">
        <v>648</v>
      </c>
      <c r="AD3" s="4254" t="s">
        <v>1261</v>
      </c>
      <c r="AE3" s="4208" t="s">
        <v>455</v>
      </c>
      <c r="AF3" s="4208" t="s">
        <v>29</v>
      </c>
      <c r="AG3" s="4208" t="s">
        <v>1262</v>
      </c>
    </row>
    <row r="4" spans="1:97" s="295" customFormat="1">
      <c r="A4" s="4262"/>
      <c r="B4" s="4262"/>
      <c r="C4" s="4264"/>
      <c r="D4" s="4264"/>
      <c r="E4" s="4264"/>
      <c r="F4" s="4264"/>
      <c r="G4" s="4264"/>
      <c r="H4" s="4264"/>
      <c r="I4" s="4264"/>
      <c r="J4" s="4264"/>
      <c r="K4" s="4264"/>
      <c r="L4" s="4264"/>
      <c r="M4" s="4254"/>
      <c r="N4" s="4264"/>
      <c r="O4" s="4264"/>
      <c r="P4" s="4264"/>
      <c r="Q4" s="4264"/>
      <c r="R4" s="4264"/>
      <c r="S4" s="4264"/>
      <c r="T4" s="4264"/>
      <c r="U4" s="4254"/>
      <c r="V4" s="4264"/>
      <c r="W4" s="4264"/>
      <c r="X4" s="4264"/>
      <c r="Y4" s="4264"/>
      <c r="Z4" s="4264"/>
      <c r="AA4" s="4254"/>
      <c r="AB4" s="4254"/>
      <c r="AC4" s="4254"/>
      <c r="AD4" s="4254"/>
      <c r="AE4" s="4264"/>
      <c r="AF4" s="4264"/>
      <c r="AG4" s="4264"/>
    </row>
    <row r="5" spans="1:97" s="295" customFormat="1" ht="135.15" customHeight="1">
      <c r="A5" s="4262"/>
      <c r="B5" s="4262"/>
      <c r="C5" s="4220"/>
      <c r="D5" s="4220"/>
      <c r="E5" s="4220"/>
      <c r="F5" s="4220"/>
      <c r="G5" s="4220"/>
      <c r="H5" s="4220"/>
      <c r="I5" s="4220"/>
      <c r="J5" s="4220"/>
      <c r="K5" s="4220"/>
      <c r="L5" s="4220"/>
      <c r="M5" s="4254"/>
      <c r="N5" s="4220"/>
      <c r="O5" s="4220"/>
      <c r="P5" s="4220"/>
      <c r="Q5" s="4220"/>
      <c r="R5" s="4220"/>
      <c r="S5" s="4220"/>
      <c r="T5" s="4220"/>
      <c r="U5" s="4254"/>
      <c r="V5" s="4220"/>
      <c r="W5" s="4220"/>
      <c r="X5" s="4220"/>
      <c r="Y5" s="4220"/>
      <c r="Z5" s="4220"/>
      <c r="AA5" s="4254"/>
      <c r="AB5" s="4254"/>
      <c r="AC5" s="4254"/>
      <c r="AD5" s="4254"/>
      <c r="AE5" s="4220"/>
      <c r="AF5" s="4220"/>
      <c r="AG5" s="4220"/>
    </row>
    <row r="6" spans="1:97" s="288" customFormat="1" hidden="1">
      <c r="A6" s="1037">
        <v>1</v>
      </c>
      <c r="B6" s="1037">
        <v>2</v>
      </c>
      <c r="C6" s="1037"/>
      <c r="D6" s="1037"/>
      <c r="E6" s="1037"/>
      <c r="F6" s="1037"/>
      <c r="G6" s="1037"/>
      <c r="H6" s="1037"/>
      <c r="I6" s="1037"/>
      <c r="J6" s="1037"/>
      <c r="K6" s="1037"/>
      <c r="L6" s="1037"/>
      <c r="M6" s="1037"/>
      <c r="N6" s="1037"/>
      <c r="O6" s="1037"/>
      <c r="P6" s="1037"/>
      <c r="Q6" s="1037"/>
      <c r="R6" s="1037"/>
      <c r="S6" s="1037"/>
      <c r="T6" s="1037"/>
      <c r="U6" s="1037"/>
      <c r="V6" s="1037"/>
      <c r="W6" s="1037"/>
      <c r="X6" s="1037"/>
      <c r="Y6" s="1037"/>
      <c r="Z6" s="1037"/>
      <c r="AA6" s="1037"/>
      <c r="AB6" s="1037"/>
      <c r="AC6" s="1037"/>
      <c r="AD6" s="1037"/>
      <c r="AE6" s="1037"/>
      <c r="AF6" s="1037"/>
      <c r="AG6" s="1037"/>
    </row>
    <row r="7" spans="1:97" s="228" customFormat="1">
      <c r="A7" s="1038" t="s">
        <v>7</v>
      </c>
      <c r="B7" s="303" t="s">
        <v>8</v>
      </c>
      <c r="C7" s="306">
        <f t="shared" ref="C7:L7" si="0">SUM(C8,C28)</f>
        <v>1553480</v>
      </c>
      <c r="D7" s="306">
        <f t="shared" si="0"/>
        <v>2543746.399896</v>
      </c>
      <c r="E7" s="306">
        <f t="shared" si="0"/>
        <v>2504230</v>
      </c>
      <c r="F7" s="306">
        <f t="shared" si="0"/>
        <v>2936820</v>
      </c>
      <c r="G7" s="306">
        <f t="shared" si="0"/>
        <v>3970508.1362620005</v>
      </c>
      <c r="H7" s="306">
        <f t="shared" si="0"/>
        <v>4156306.1199669996</v>
      </c>
      <c r="I7" s="306">
        <f t="shared" si="0"/>
        <v>4518654.2436259994</v>
      </c>
      <c r="J7" s="306">
        <f t="shared" si="0"/>
        <v>4583182.5757370004</v>
      </c>
      <c r="K7" s="306">
        <f t="shared" si="0"/>
        <v>4112417.5781439999</v>
      </c>
      <c r="L7" s="306">
        <f t="shared" si="0"/>
        <v>5174957</v>
      </c>
      <c r="M7" s="306">
        <f>SUM(H7:L7)</f>
        <v>22545517.517473999</v>
      </c>
      <c r="N7" s="1039"/>
      <c r="O7" s="1039">
        <f>M7/$M$7</f>
        <v>1</v>
      </c>
      <c r="P7" s="306">
        <f>SUM(P8,P28)</f>
        <v>6334779</v>
      </c>
      <c r="Q7" s="306">
        <f>SUM(Q8,Q28)</f>
        <v>6851996</v>
      </c>
      <c r="R7" s="306">
        <f>SUM(R8,R28)</f>
        <v>6983868</v>
      </c>
      <c r="S7" s="306">
        <f>SUM(S8,S28)</f>
        <v>8771013</v>
      </c>
      <c r="T7" s="306">
        <f>SUM(T8,T28)</f>
        <v>8430826</v>
      </c>
      <c r="U7" s="306">
        <f>SUM(P7:T7)</f>
        <v>37372482</v>
      </c>
      <c r="V7" s="306"/>
      <c r="W7" s="1039">
        <f>U7/$U$7</f>
        <v>1</v>
      </c>
      <c r="X7" s="1039">
        <f>U7/M7-1</f>
        <v>0.65764578129707152</v>
      </c>
      <c r="Y7" s="306">
        <f>SUM(Y8,Y28)</f>
        <v>7213306</v>
      </c>
      <c r="Z7" s="306">
        <f>SUM(Z8,Z28)</f>
        <v>7540000</v>
      </c>
      <c r="AA7" s="306">
        <f>SUM(AA8,AA28)</f>
        <v>7590000</v>
      </c>
      <c r="AB7" s="306">
        <f>SUM(AB8,AB28)</f>
        <v>8076000</v>
      </c>
      <c r="AC7" s="306">
        <f>SUM(AC8,AC28)</f>
        <v>8656000</v>
      </c>
      <c r="AD7" s="306">
        <f>SUM(Y7:AC7)</f>
        <v>39075306</v>
      </c>
      <c r="AE7" s="1039"/>
      <c r="AF7" s="1039">
        <f>AD7/$AD$7</f>
        <v>1</v>
      </c>
      <c r="AG7" s="1039">
        <f>AD7/U7</f>
        <v>1.0455635780358392</v>
      </c>
    </row>
    <row r="8" spans="1:97" s="228" customFormat="1">
      <c r="A8" s="1040" t="s">
        <v>9</v>
      </c>
      <c r="B8" s="316" t="s">
        <v>10</v>
      </c>
      <c r="C8" s="319">
        <f t="shared" ref="C8:R8" si="1">SUM(C10,C11,C12,C13,C14:C27)</f>
        <v>1322540</v>
      </c>
      <c r="D8" s="319">
        <f t="shared" si="1"/>
        <v>2238026.399896</v>
      </c>
      <c r="E8" s="319">
        <f t="shared" si="1"/>
        <v>2175030</v>
      </c>
      <c r="F8" s="319">
        <f t="shared" si="1"/>
        <v>2627990</v>
      </c>
      <c r="G8" s="319">
        <f t="shared" si="1"/>
        <v>3663943.1287150006</v>
      </c>
      <c r="H8" s="319">
        <f t="shared" si="1"/>
        <v>3798739.5013269996</v>
      </c>
      <c r="I8" s="319">
        <f t="shared" si="1"/>
        <v>4099702.3977709995</v>
      </c>
      <c r="J8" s="319">
        <f t="shared" si="1"/>
        <v>4126341.428791</v>
      </c>
      <c r="K8" s="319">
        <f t="shared" si="1"/>
        <v>3972338.7808679999</v>
      </c>
      <c r="L8" s="319">
        <f t="shared" si="1"/>
        <v>4931116</v>
      </c>
      <c r="M8" s="319">
        <f t="shared" ref="M8:M28" si="2">SUM(H8:L8)</f>
        <v>20928238.108756997</v>
      </c>
      <c r="N8" s="592"/>
      <c r="O8" s="592">
        <f t="shared" ref="O8:O28" si="3">M8/$M$7</f>
        <v>0.92826603303900546</v>
      </c>
      <c r="P8" s="319">
        <f t="shared" si="1"/>
        <v>6237814</v>
      </c>
      <c r="Q8" s="319">
        <f t="shared" si="1"/>
        <v>6744580</v>
      </c>
      <c r="R8" s="319">
        <f t="shared" si="1"/>
        <v>6909606</v>
      </c>
      <c r="S8" s="319">
        <f>SUM(S10,S11,S12,S13,S14:S27)</f>
        <v>8644723</v>
      </c>
      <c r="T8" s="319">
        <f>SUM(T10,T11,T12,T13,T14:T27)</f>
        <v>8337067</v>
      </c>
      <c r="U8" s="306">
        <f>SUM(P8:T8)</f>
        <v>36873790</v>
      </c>
      <c r="V8" s="319"/>
      <c r="W8" s="592">
        <f t="shared" ref="W8:W29" si="4">U8/$U$7</f>
        <v>0.98665617124385796</v>
      </c>
      <c r="X8" s="592">
        <f t="shared" ref="X8:X28" si="5">U8/M8-1</f>
        <v>0.76191563801880258</v>
      </c>
      <c r="Y8" s="319">
        <f>SUM(Y10,Y11,Y12,Y13,Y14:Y27)</f>
        <v>7016452</v>
      </c>
      <c r="Z8" s="319">
        <f>SUM(Z10,Z11,Z12,Z13,Z14:Z27)</f>
        <v>7400000</v>
      </c>
      <c r="AA8" s="319">
        <f>SUM(AA10,AA11,AA12,AA13,AA14:AA27)</f>
        <v>7440000</v>
      </c>
      <c r="AB8" s="319">
        <f>SUM(AB10,AB11,AB12,AB13,AB14:AB27)</f>
        <v>7956000</v>
      </c>
      <c r="AC8" s="319">
        <f>SUM(AC10,AC11,AC12,AC13,AC14:AC27)</f>
        <v>8531000</v>
      </c>
      <c r="AD8" s="319">
        <f t="shared" ref="AD8:AD29" si="6">SUM(Y8:AC8)</f>
        <v>38343452</v>
      </c>
      <c r="AE8" s="592"/>
      <c r="AF8" s="592">
        <f t="shared" ref="AF8:AF14" si="7">AD8/$AD$7</f>
        <v>0.98127067770115484</v>
      </c>
      <c r="AG8" s="592">
        <f t="shared" ref="AG8:AG28" si="8">AD8/U8</f>
        <v>1.0398565485131852</v>
      </c>
    </row>
    <row r="9" spans="1:97" s="289" customFormat="1" ht="31.2">
      <c r="A9" s="1041"/>
      <c r="B9" s="622" t="s">
        <v>470</v>
      </c>
      <c r="C9" s="328">
        <f>C8-C20-C27</f>
        <v>781630</v>
      </c>
      <c r="D9" s="328">
        <f>D8-D20-D27</f>
        <v>1012420</v>
      </c>
      <c r="E9" s="328">
        <f>E8-E20-E27</f>
        <v>1278230</v>
      </c>
      <c r="F9" s="328">
        <f>F8-F20-F27</f>
        <v>1827240</v>
      </c>
      <c r="G9" s="328">
        <f t="shared" ref="G9:L9" si="9">G8-G20-G27</f>
        <v>2445921.4765880005</v>
      </c>
      <c r="H9" s="328">
        <f t="shared" si="9"/>
        <v>2716706.9705919996</v>
      </c>
      <c r="I9" s="328">
        <f t="shared" si="9"/>
        <v>2881335.0339119998</v>
      </c>
      <c r="J9" s="328">
        <f t="shared" si="9"/>
        <v>2871723.7974100001</v>
      </c>
      <c r="K9" s="328">
        <f t="shared" si="9"/>
        <v>2637997.8620639998</v>
      </c>
      <c r="L9" s="328">
        <f t="shared" si="9"/>
        <v>3357995</v>
      </c>
      <c r="M9" s="328">
        <f t="shared" si="2"/>
        <v>14465758.663977999</v>
      </c>
      <c r="N9" s="488"/>
      <c r="O9" s="488">
        <f t="shared" si="3"/>
        <v>0.64162460022335932</v>
      </c>
      <c r="P9" s="328">
        <f>P8-P20-P27</f>
        <v>4473231</v>
      </c>
      <c r="Q9" s="328">
        <f>Q8-Q20-Q27</f>
        <v>4627083</v>
      </c>
      <c r="R9" s="328">
        <f>R8-R20-R27</f>
        <v>4694910</v>
      </c>
      <c r="S9" s="328">
        <f>S8-S20-S27</f>
        <v>6156473</v>
      </c>
      <c r="T9" s="328">
        <f>T8-T20-T27</f>
        <v>5525936</v>
      </c>
      <c r="U9" s="328">
        <f>SUM(P9:T9)</f>
        <v>25477633</v>
      </c>
      <c r="V9" s="328"/>
      <c r="W9" s="488">
        <f t="shared" si="4"/>
        <v>0.6817217277675055</v>
      </c>
      <c r="X9" s="488">
        <f t="shared" si="5"/>
        <v>0.76123724941183268</v>
      </c>
      <c r="Y9" s="328">
        <f>Y8-Y20-Y27</f>
        <v>4493500</v>
      </c>
      <c r="Z9" s="328">
        <f>Z8-Z20-Z27</f>
        <v>4726000</v>
      </c>
      <c r="AA9" s="328">
        <f>AA8-AA20-AA27</f>
        <v>4940000</v>
      </c>
      <c r="AB9" s="328">
        <f>AB8-AB20-AB27</f>
        <v>5456000</v>
      </c>
      <c r="AC9" s="328">
        <f>AC8-AC20-AC27</f>
        <v>6031000</v>
      </c>
      <c r="AD9" s="328">
        <f t="shared" si="6"/>
        <v>25646500</v>
      </c>
      <c r="AE9" s="488"/>
      <c r="AF9" s="488">
        <f t="shared" si="7"/>
        <v>0.65633523125832971</v>
      </c>
      <c r="AG9" s="488">
        <f t="shared" si="8"/>
        <v>1.0066280490028254</v>
      </c>
    </row>
    <row r="10" spans="1:97" s="289" customFormat="1">
      <c r="A10" s="1041">
        <v>1</v>
      </c>
      <c r="B10" s="336" t="s">
        <v>471</v>
      </c>
      <c r="C10" s="328">
        <v>92540</v>
      </c>
      <c r="D10" s="328">
        <v>116990</v>
      </c>
      <c r="E10" s="328">
        <v>174910</v>
      </c>
      <c r="F10" s="328">
        <v>255100</v>
      </c>
      <c r="G10" s="328">
        <v>363111</v>
      </c>
      <c r="H10" s="328">
        <v>375470.05056100001</v>
      </c>
      <c r="I10" s="328">
        <v>392086.67269099999</v>
      </c>
      <c r="J10" s="328">
        <v>377894.530516</v>
      </c>
      <c r="K10" s="328">
        <v>203043.31661899999</v>
      </c>
      <c r="L10" s="328">
        <v>205240</v>
      </c>
      <c r="M10" s="328">
        <f t="shared" si="2"/>
        <v>1553734.570387</v>
      </c>
      <c r="N10" s="488"/>
      <c r="O10" s="488">
        <f t="shared" si="3"/>
        <v>6.8915453778462671E-2</v>
      </c>
      <c r="P10" s="328">
        <v>203694</v>
      </c>
      <c r="Q10" s="328">
        <v>198943</v>
      </c>
      <c r="R10" s="328">
        <v>203584</v>
      </c>
      <c r="S10" s="328">
        <v>223875</v>
      </c>
      <c r="T10" s="328">
        <v>183101</v>
      </c>
      <c r="U10" s="328">
        <f>SUM(P10:T10)</f>
        <v>1013197</v>
      </c>
      <c r="V10" s="489"/>
      <c r="W10" s="488">
        <f t="shared" si="4"/>
        <v>2.7110776319325004E-2</v>
      </c>
      <c r="X10" s="488">
        <f t="shared" si="5"/>
        <v>-0.34789569640093954</v>
      </c>
      <c r="Y10" s="328">
        <v>245001</v>
      </c>
      <c r="Z10" s="328">
        <f>'[1]Phụ lục số 1'!H11</f>
        <v>237000</v>
      </c>
      <c r="AA10" s="328">
        <f>'[1]Phụ lục số 1'!N11</f>
        <v>250000</v>
      </c>
      <c r="AB10" s="328">
        <f>'[1]Phụ lục số 1'!T11</f>
        <v>275000</v>
      </c>
      <c r="AC10" s="328">
        <f>'[1]Phụ lục số 1'!Z11</f>
        <v>303000</v>
      </c>
      <c r="AD10" s="328">
        <f t="shared" si="6"/>
        <v>1310001</v>
      </c>
      <c r="AE10" s="488"/>
      <c r="AF10" s="488">
        <f t="shared" si="7"/>
        <v>3.3525034967096613E-2</v>
      </c>
      <c r="AG10" s="488">
        <f t="shared" si="8"/>
        <v>1.2929380959477772</v>
      </c>
    </row>
    <row r="11" spans="1:97" s="289" customFormat="1">
      <c r="A11" s="1041">
        <v>2</v>
      </c>
      <c r="B11" s="336" t="s">
        <v>472</v>
      </c>
      <c r="C11" s="328">
        <v>44800</v>
      </c>
      <c r="D11" s="328">
        <v>101880</v>
      </c>
      <c r="E11" s="328">
        <v>76050</v>
      </c>
      <c r="F11" s="328">
        <v>172870</v>
      </c>
      <c r="G11" s="328">
        <v>148607</v>
      </c>
      <c r="H11" s="328">
        <v>143351.48759800001</v>
      </c>
      <c r="I11" s="328">
        <v>229165.69016900001</v>
      </c>
      <c r="J11" s="328">
        <v>259813.95480400001</v>
      </c>
      <c r="K11" s="328">
        <v>268703.66079599998</v>
      </c>
      <c r="L11" s="328">
        <v>332356</v>
      </c>
      <c r="M11" s="328">
        <f t="shared" si="2"/>
        <v>1233390.7933670001</v>
      </c>
      <c r="N11" s="488"/>
      <c r="O11" s="488">
        <f t="shared" si="3"/>
        <v>5.4706696903766137E-2</v>
      </c>
      <c r="P11" s="328">
        <v>323641</v>
      </c>
      <c r="Q11" s="328">
        <v>384159</v>
      </c>
      <c r="R11" s="328">
        <v>385864</v>
      </c>
      <c r="S11" s="328">
        <v>479648</v>
      </c>
      <c r="T11" s="328">
        <v>455220</v>
      </c>
      <c r="U11" s="328">
        <f t="shared" ref="U11:U29" si="10">SUM(P11:T11)</f>
        <v>2028532</v>
      </c>
      <c r="V11" s="489"/>
      <c r="W11" s="488">
        <f t="shared" si="4"/>
        <v>5.4278760506192764E-2</v>
      </c>
      <c r="X11" s="488">
        <f t="shared" si="5"/>
        <v>0.64467905136730064</v>
      </c>
      <c r="Y11" s="328">
        <v>286473</v>
      </c>
      <c r="Z11" s="328">
        <f>'[1]Phụ lục số 1'!H17</f>
        <v>410000</v>
      </c>
      <c r="AA11" s="328">
        <f>'[1]Phụ lục số 1'!N17</f>
        <v>350000</v>
      </c>
      <c r="AB11" s="328">
        <f>'[1]Phụ lục số 1'!T17</f>
        <v>385000</v>
      </c>
      <c r="AC11" s="328">
        <f>'[1]Phụ lục số 1'!Z17</f>
        <v>423000</v>
      </c>
      <c r="AD11" s="328">
        <f t="shared" si="6"/>
        <v>1854473</v>
      </c>
      <c r="AE11" s="488"/>
      <c r="AF11" s="488">
        <f t="shared" si="7"/>
        <v>4.7458950161516328E-2</v>
      </c>
      <c r="AG11" s="488">
        <f t="shared" si="8"/>
        <v>0.91419459983870111</v>
      </c>
    </row>
    <row r="12" spans="1:97" s="289" customFormat="1">
      <c r="A12" s="1041">
        <v>3</v>
      </c>
      <c r="B12" s="336" t="s">
        <v>473</v>
      </c>
      <c r="C12" s="328">
        <v>580</v>
      </c>
      <c r="D12" s="328">
        <v>630</v>
      </c>
      <c r="E12" s="328">
        <v>2440</v>
      </c>
      <c r="F12" s="328">
        <v>780</v>
      </c>
      <c r="G12" s="328">
        <v>3761</v>
      </c>
      <c r="H12" s="328">
        <v>8028.6076819999998</v>
      </c>
      <c r="I12" s="328">
        <v>7377.2642779999996</v>
      </c>
      <c r="J12" s="328">
        <v>17351.560365000001</v>
      </c>
      <c r="K12" s="328">
        <v>25825.109232999999</v>
      </c>
      <c r="L12" s="328">
        <v>69494</v>
      </c>
      <c r="M12" s="328">
        <f t="shared" si="2"/>
        <v>128076.541558</v>
      </c>
      <c r="N12" s="488"/>
      <c r="O12" s="488">
        <f t="shared" si="3"/>
        <v>5.680798476181961E-3</v>
      </c>
      <c r="P12" s="328">
        <v>61938</v>
      </c>
      <c r="Q12" s="328">
        <v>49785</v>
      </c>
      <c r="R12" s="328">
        <v>35833</v>
      </c>
      <c r="S12" s="328">
        <v>76845</v>
      </c>
      <c r="T12" s="328">
        <v>110159</v>
      </c>
      <c r="U12" s="328">
        <f t="shared" si="10"/>
        <v>334560</v>
      </c>
      <c r="V12" s="328"/>
      <c r="W12" s="488">
        <f t="shared" si="4"/>
        <v>8.9520412371862264E-3</v>
      </c>
      <c r="X12" s="488">
        <f t="shared" si="5"/>
        <v>1.6121879614347105</v>
      </c>
      <c r="Y12" s="328">
        <v>70477</v>
      </c>
      <c r="Z12" s="328">
        <f>'[1]Phụ lục số 1'!H23</f>
        <v>74000</v>
      </c>
      <c r="AA12" s="328">
        <f>'[1]Phụ lục số 1'!N23</f>
        <v>70000</v>
      </c>
      <c r="AB12" s="328">
        <f>'[1]Phụ lục số 1'!T23</f>
        <v>77000</v>
      </c>
      <c r="AC12" s="328">
        <f>'[1]Phụ lục số 1'!Z23</f>
        <v>85000</v>
      </c>
      <c r="AD12" s="328">
        <f t="shared" si="6"/>
        <v>376477</v>
      </c>
      <c r="AE12" s="488"/>
      <c r="AF12" s="488">
        <f t="shared" si="7"/>
        <v>9.634652637141217E-3</v>
      </c>
      <c r="AG12" s="488">
        <f t="shared" si="8"/>
        <v>1.1252899330463892</v>
      </c>
    </row>
    <row r="13" spans="1:97" s="289" customFormat="1">
      <c r="A13" s="1041">
        <v>4</v>
      </c>
      <c r="B13" s="336" t="s">
        <v>474</v>
      </c>
      <c r="C13" s="328">
        <v>271920</v>
      </c>
      <c r="D13" s="328">
        <v>369340</v>
      </c>
      <c r="E13" s="328">
        <v>554950</v>
      </c>
      <c r="F13" s="328">
        <v>654560</v>
      </c>
      <c r="G13" s="328">
        <v>873678</v>
      </c>
      <c r="H13" s="328">
        <v>1024104.439563</v>
      </c>
      <c r="I13" s="328">
        <v>1064747.6828060001</v>
      </c>
      <c r="J13" s="328">
        <v>1081721.420525</v>
      </c>
      <c r="K13" s="328">
        <v>744273.199104</v>
      </c>
      <c r="L13" s="328">
        <v>586685</v>
      </c>
      <c r="M13" s="328">
        <f t="shared" si="2"/>
        <v>4501531.7419980001</v>
      </c>
      <c r="N13" s="488"/>
      <c r="O13" s="488">
        <f t="shared" si="3"/>
        <v>0.19966415667810991</v>
      </c>
      <c r="P13" s="328">
        <v>674044</v>
      </c>
      <c r="Q13" s="328">
        <v>895287</v>
      </c>
      <c r="R13" s="328">
        <v>943679</v>
      </c>
      <c r="S13" s="328">
        <v>1430938</v>
      </c>
      <c r="T13" s="328">
        <v>1265122</v>
      </c>
      <c r="U13" s="328">
        <f t="shared" si="10"/>
        <v>5209070</v>
      </c>
      <c r="V13" s="489"/>
      <c r="W13" s="488">
        <f t="shared" si="4"/>
        <v>0.1393825007394478</v>
      </c>
      <c r="X13" s="488">
        <f t="shared" si="5"/>
        <v>0.15717722289967906</v>
      </c>
      <c r="Y13" s="328">
        <v>1132031</v>
      </c>
      <c r="Z13" s="328">
        <f>'[1]Phụ lục số 1'!H28</f>
        <v>1215000</v>
      </c>
      <c r="AA13" s="328">
        <f>'[1]Phụ lục số 1'!N28</f>
        <v>1265000</v>
      </c>
      <c r="AB13" s="328">
        <f>'[1]Phụ lục số 1'!T28</f>
        <v>1455000</v>
      </c>
      <c r="AC13" s="328">
        <f>'[1]Phụ lục số 1'!Z28</f>
        <v>1674000</v>
      </c>
      <c r="AD13" s="328">
        <f t="shared" si="6"/>
        <v>6741031</v>
      </c>
      <c r="AE13" s="488"/>
      <c r="AF13" s="488">
        <f t="shared" si="7"/>
        <v>0.17251383776751486</v>
      </c>
      <c r="AG13" s="488">
        <f t="shared" si="8"/>
        <v>1.2940949152151919</v>
      </c>
    </row>
    <row r="14" spans="1:97" s="289" customFormat="1">
      <c r="A14" s="1041">
        <v>5</v>
      </c>
      <c r="B14" s="336" t="s">
        <v>16</v>
      </c>
      <c r="C14" s="328">
        <v>39220</v>
      </c>
      <c r="D14" s="328">
        <v>50330</v>
      </c>
      <c r="E14" s="328">
        <v>56660</v>
      </c>
      <c r="F14" s="328">
        <v>61750</v>
      </c>
      <c r="G14" s="328">
        <v>66384</v>
      </c>
      <c r="H14" s="328">
        <v>83707.295922000005</v>
      </c>
      <c r="I14" s="328">
        <v>85266.235153999995</v>
      </c>
      <c r="J14" s="328">
        <v>86018.719326999999</v>
      </c>
      <c r="K14" s="328">
        <v>102607.365288</v>
      </c>
      <c r="L14" s="328">
        <v>139966</v>
      </c>
      <c r="M14" s="328">
        <f t="shared" si="2"/>
        <v>497565.61569100001</v>
      </c>
      <c r="N14" s="488"/>
      <c r="O14" s="488">
        <f t="shared" si="3"/>
        <v>2.2069380989163796E-2</v>
      </c>
      <c r="P14" s="328">
        <v>184878</v>
      </c>
      <c r="Q14" s="328">
        <v>209558</v>
      </c>
      <c r="R14" s="328">
        <v>247450</v>
      </c>
      <c r="S14" s="328">
        <v>317324</v>
      </c>
      <c r="T14" s="328">
        <v>281769</v>
      </c>
      <c r="U14" s="328">
        <f t="shared" si="10"/>
        <v>1240979</v>
      </c>
      <c r="V14" s="328"/>
      <c r="W14" s="488">
        <f t="shared" si="4"/>
        <v>3.3205688613349257E-2</v>
      </c>
      <c r="X14" s="488">
        <f t="shared" si="5"/>
        <v>1.494101201660762</v>
      </c>
      <c r="Y14" s="328">
        <v>242162</v>
      </c>
      <c r="Z14" s="328">
        <f>'[1]Phụ lục số 1'!H34</f>
        <v>370000</v>
      </c>
      <c r="AA14" s="328">
        <f>'[1]Phụ lục số 1'!N34</f>
        <v>295000</v>
      </c>
      <c r="AB14" s="328">
        <f>'[1]Phụ lục số 1'!T34</f>
        <v>310000</v>
      </c>
      <c r="AC14" s="328">
        <f>'[1]Phụ lục số 1'!Z34</f>
        <v>326000</v>
      </c>
      <c r="AD14" s="328">
        <f t="shared" si="6"/>
        <v>1543162</v>
      </c>
      <c r="AE14" s="488"/>
      <c r="AF14" s="488">
        <f t="shared" si="7"/>
        <v>3.9492000395339191E-2</v>
      </c>
      <c r="AG14" s="488">
        <f t="shared" si="8"/>
        <v>1.2435037176293877</v>
      </c>
    </row>
    <row r="15" spans="1:97" s="289" customFormat="1">
      <c r="A15" s="1041">
        <v>6</v>
      </c>
      <c r="B15" s="336" t="s">
        <v>96</v>
      </c>
      <c r="C15" s="328">
        <v>770</v>
      </c>
      <c r="D15" s="328">
        <v>880</v>
      </c>
      <c r="E15" s="328">
        <v>960</v>
      </c>
      <c r="F15" s="328">
        <v>770</v>
      </c>
      <c r="G15" s="328">
        <v>826.96921500000008</v>
      </c>
      <c r="H15" s="328">
        <v>708.54907600000001</v>
      </c>
      <c r="I15" s="328">
        <v>552.2912</v>
      </c>
      <c r="J15" s="328">
        <v>154.60680099999999</v>
      </c>
      <c r="K15" s="328">
        <v>529.35928999999999</v>
      </c>
      <c r="L15" s="328">
        <v>663</v>
      </c>
      <c r="M15" s="328">
        <f t="shared" si="2"/>
        <v>2607.8063669999997</v>
      </c>
      <c r="N15" s="488"/>
      <c r="O15" s="488">
        <f t="shared" si="3"/>
        <v>1.1566850771905361E-4</v>
      </c>
      <c r="P15" s="328">
        <v>909</v>
      </c>
      <c r="Q15" s="328">
        <v>694</v>
      </c>
      <c r="R15" s="328">
        <v>519</v>
      </c>
      <c r="S15" s="328">
        <v>1035</v>
      </c>
      <c r="T15" s="328">
        <v>704</v>
      </c>
      <c r="U15" s="328">
        <f t="shared" si="10"/>
        <v>3861</v>
      </c>
      <c r="V15" s="328"/>
      <c r="W15" s="488">
        <f t="shared" si="4"/>
        <v>1.0331130803675282E-4</v>
      </c>
      <c r="X15" s="488">
        <f t="shared" si="5"/>
        <v>0.48055471021863649</v>
      </c>
      <c r="Y15" s="328">
        <v>297</v>
      </c>
      <c r="Z15" s="328">
        <f>'[1]Phụ lục số 1'!H35</f>
        <v>300</v>
      </c>
      <c r="AA15" s="328">
        <f>'[1]Phụ lục số 1'!N35</f>
        <v>0</v>
      </c>
      <c r="AB15" s="328">
        <f>'[1]Phụ lục số 1'!T35</f>
        <v>0</v>
      </c>
      <c r="AC15" s="328">
        <f>'[1]Phụ lục số 1'!Z35</f>
        <v>0</v>
      </c>
      <c r="AD15" s="328">
        <f t="shared" si="6"/>
        <v>597</v>
      </c>
      <c r="AE15" s="488"/>
      <c r="AF15" s="488"/>
      <c r="AG15" s="488">
        <f t="shared" si="8"/>
        <v>0.15462315462315462</v>
      </c>
    </row>
    <row r="16" spans="1:97" s="289" customFormat="1">
      <c r="A16" s="1041">
        <v>7</v>
      </c>
      <c r="B16" s="336" t="s">
        <v>271</v>
      </c>
      <c r="C16" s="328">
        <v>6300</v>
      </c>
      <c r="D16" s="328">
        <v>10340</v>
      </c>
      <c r="E16" s="328">
        <v>13690</v>
      </c>
      <c r="F16" s="328">
        <v>17250</v>
      </c>
      <c r="G16" s="328">
        <v>22513.990010999998</v>
      </c>
      <c r="H16" s="328">
        <v>22700.889665999999</v>
      </c>
      <c r="I16" s="328">
        <v>7232.069724</v>
      </c>
      <c r="J16" s="328">
        <v>9025.4512319999994</v>
      </c>
      <c r="K16" s="328">
        <v>8785.7481970000008</v>
      </c>
      <c r="L16" s="328">
        <v>8245</v>
      </c>
      <c r="M16" s="328">
        <f t="shared" si="2"/>
        <v>55989.158818999997</v>
      </c>
      <c r="N16" s="488"/>
      <c r="O16" s="488">
        <f t="shared" si="3"/>
        <v>2.4833831725355323E-3</v>
      </c>
      <c r="P16" s="328">
        <v>8374</v>
      </c>
      <c r="Q16" s="328">
        <v>9759</v>
      </c>
      <c r="R16" s="328">
        <v>10562</v>
      </c>
      <c r="S16" s="328">
        <v>11281</v>
      </c>
      <c r="T16" s="328">
        <v>11443</v>
      </c>
      <c r="U16" s="328">
        <f t="shared" si="10"/>
        <v>51419</v>
      </c>
      <c r="V16" s="328"/>
      <c r="W16" s="488">
        <f t="shared" si="4"/>
        <v>1.3758518901688145E-3</v>
      </c>
      <c r="X16" s="488">
        <f t="shared" si="5"/>
        <v>-8.1625781051190005E-2</v>
      </c>
      <c r="Y16" s="328">
        <v>9403</v>
      </c>
      <c r="Z16" s="328">
        <f>'[1]Phụ lục số 1'!H36</f>
        <v>17000</v>
      </c>
      <c r="AA16" s="328">
        <f>'[1]Phụ lục số 1'!N36</f>
        <v>10000</v>
      </c>
      <c r="AB16" s="328">
        <f>'[1]Phụ lục số 1'!T36</f>
        <v>10000</v>
      </c>
      <c r="AC16" s="328">
        <f>'[1]Phụ lục số 1'!Z36</f>
        <v>10000</v>
      </c>
      <c r="AD16" s="328">
        <f t="shared" si="6"/>
        <v>56403</v>
      </c>
      <c r="AE16" s="488"/>
      <c r="AF16" s="488">
        <f t="shared" ref="AF16:AF21" si="11">AD16/$AD$7</f>
        <v>1.4434435906912667E-3</v>
      </c>
      <c r="AG16" s="488">
        <f t="shared" si="8"/>
        <v>1.0969291507030474</v>
      </c>
    </row>
    <row r="17" spans="1:33" s="289" customFormat="1">
      <c r="A17" s="1041">
        <v>8</v>
      </c>
      <c r="B17" s="336" t="s">
        <v>97</v>
      </c>
      <c r="C17" s="328">
        <f>38820+25460</f>
        <v>64280</v>
      </c>
      <c r="D17" s="328">
        <f>50550+36090</f>
        <v>86640</v>
      </c>
      <c r="E17" s="328">
        <f>66690+43730</f>
        <v>110420</v>
      </c>
      <c r="F17" s="328">
        <f>115840+0</f>
        <v>115840</v>
      </c>
      <c r="G17" s="328">
        <v>186978.995165</v>
      </c>
      <c r="H17" s="328">
        <v>211576.30287000001</v>
      </c>
      <c r="I17" s="328">
        <v>242659.928071</v>
      </c>
      <c r="J17" s="328">
        <v>238487.114038</v>
      </c>
      <c r="K17" s="328">
        <v>256057.09914899999</v>
      </c>
      <c r="L17" s="328">
        <v>310783</v>
      </c>
      <c r="M17" s="328">
        <f t="shared" si="2"/>
        <v>1259563.4441280002</v>
      </c>
      <c r="N17" s="488"/>
      <c r="O17" s="488">
        <f t="shared" si="3"/>
        <v>5.5867577364403821E-2</v>
      </c>
      <c r="P17" s="328">
        <v>341640</v>
      </c>
      <c r="Q17" s="328">
        <v>382262</v>
      </c>
      <c r="R17" s="328">
        <v>479310</v>
      </c>
      <c r="S17" s="328">
        <v>521482</v>
      </c>
      <c r="T17" s="328">
        <v>534261</v>
      </c>
      <c r="U17" s="328">
        <f t="shared" si="10"/>
        <v>2258955</v>
      </c>
      <c r="V17" s="328"/>
      <c r="W17" s="488">
        <f t="shared" si="4"/>
        <v>6.0444339768495975E-2</v>
      </c>
      <c r="X17" s="488">
        <f t="shared" si="5"/>
        <v>0.79344280792769584</v>
      </c>
      <c r="Y17" s="328">
        <v>453602</v>
      </c>
      <c r="Z17" s="328">
        <f>'[1]Phụ lục số 1'!H37</f>
        <v>710000</v>
      </c>
      <c r="AA17" s="328">
        <f>'[1]Phụ lục số 1'!N37</f>
        <v>600000</v>
      </c>
      <c r="AB17" s="328">
        <f>'[1]Phụ lục số 1'!T37</f>
        <v>660000</v>
      </c>
      <c r="AC17" s="328">
        <f>'[1]Phụ lục số 1'!Z37</f>
        <v>726000</v>
      </c>
      <c r="AD17" s="328">
        <f t="shared" si="6"/>
        <v>3149602</v>
      </c>
      <c r="AE17" s="488"/>
      <c r="AF17" s="488">
        <f t="shared" si="11"/>
        <v>8.060338670156543E-2</v>
      </c>
      <c r="AG17" s="488">
        <f t="shared" si="8"/>
        <v>1.3942739009851901</v>
      </c>
    </row>
    <row r="18" spans="1:33" s="289" customFormat="1">
      <c r="A18" s="1041">
        <v>9</v>
      </c>
      <c r="B18" s="336" t="s">
        <v>476</v>
      </c>
      <c r="C18" s="328">
        <v>154600</v>
      </c>
      <c r="D18" s="328">
        <v>172040</v>
      </c>
      <c r="E18" s="328">
        <v>185420</v>
      </c>
      <c r="F18" s="328">
        <v>382620</v>
      </c>
      <c r="G18" s="328">
        <v>499448.84769999998</v>
      </c>
      <c r="H18" s="328">
        <v>650890.53007500002</v>
      </c>
      <c r="I18" s="328">
        <v>646721.78421900002</v>
      </c>
      <c r="J18" s="328">
        <v>553543.69900000002</v>
      </c>
      <c r="K18" s="328">
        <v>670403.16145000001</v>
      </c>
      <c r="L18" s="328">
        <v>1299030</v>
      </c>
      <c r="M18" s="328">
        <f t="shared" si="2"/>
        <v>3820589.1747440002</v>
      </c>
      <c r="N18" s="488"/>
      <c r="O18" s="488">
        <f t="shared" si="3"/>
        <v>0.16946114329745751</v>
      </c>
      <c r="P18" s="328">
        <v>2273225</v>
      </c>
      <c r="Q18" s="328">
        <v>1947905</v>
      </c>
      <c r="R18" s="328">
        <v>1700536</v>
      </c>
      <c r="S18" s="328">
        <v>2280939</v>
      </c>
      <c r="T18" s="328">
        <v>1939730</v>
      </c>
      <c r="U18" s="328">
        <f t="shared" si="10"/>
        <v>10142335</v>
      </c>
      <c r="V18" s="328"/>
      <c r="W18" s="488">
        <f t="shared" si="4"/>
        <v>0.27138510629291357</v>
      </c>
      <c r="X18" s="488">
        <f t="shared" si="5"/>
        <v>1.6546520801152589</v>
      </c>
      <c r="Y18" s="328">
        <v>1312857</v>
      </c>
      <c r="Z18" s="328">
        <f>'[1]Phụ lục số 1'!H38</f>
        <v>925000</v>
      </c>
      <c r="AA18" s="328">
        <f>'[1]Phụ lục số 1'!N38</f>
        <v>1500000</v>
      </c>
      <c r="AB18" s="328">
        <f>'[1]Phụ lục số 1'!T38</f>
        <v>1650000</v>
      </c>
      <c r="AC18" s="328">
        <f>'[1]Phụ lục số 1'!Z38</f>
        <v>1815000</v>
      </c>
      <c r="AD18" s="328">
        <f t="shared" si="6"/>
        <v>7202857</v>
      </c>
      <c r="AE18" s="488"/>
      <c r="AF18" s="488">
        <f t="shared" si="11"/>
        <v>0.18433270874449453</v>
      </c>
      <c r="AG18" s="488">
        <f t="shared" si="8"/>
        <v>0.71017739011775893</v>
      </c>
    </row>
    <row r="19" spans="1:33" s="289" customFormat="1">
      <c r="A19" s="1041">
        <v>10</v>
      </c>
      <c r="B19" s="336" t="s">
        <v>17</v>
      </c>
      <c r="C19" s="328">
        <v>83710</v>
      </c>
      <c r="D19" s="328">
        <v>65760</v>
      </c>
      <c r="E19" s="328">
        <v>62020</v>
      </c>
      <c r="F19" s="328">
        <v>108070</v>
      </c>
      <c r="G19" s="328">
        <v>147763</v>
      </c>
      <c r="H19" s="328">
        <v>129532.067836</v>
      </c>
      <c r="I19" s="328">
        <v>124106.44856800001</v>
      </c>
      <c r="J19" s="328">
        <v>151790.240028</v>
      </c>
      <c r="K19" s="328">
        <v>165870.497191</v>
      </c>
      <c r="L19" s="328">
        <v>212616</v>
      </c>
      <c r="M19" s="328">
        <f t="shared" si="2"/>
        <v>783915.253623</v>
      </c>
      <c r="N19" s="488"/>
      <c r="O19" s="488">
        <f t="shared" si="3"/>
        <v>3.4770337518995657E-2</v>
      </c>
      <c r="P19" s="328">
        <v>205555</v>
      </c>
      <c r="Q19" s="328">
        <v>256429</v>
      </c>
      <c r="R19" s="328">
        <v>154856</v>
      </c>
      <c r="S19" s="328">
        <v>172887</v>
      </c>
      <c r="T19" s="328">
        <v>169168</v>
      </c>
      <c r="U19" s="328">
        <f t="shared" si="10"/>
        <v>958895</v>
      </c>
      <c r="V19" s="328"/>
      <c r="W19" s="488">
        <f t="shared" si="4"/>
        <v>2.565778210823675E-2</v>
      </c>
      <c r="X19" s="488">
        <f t="shared" si="5"/>
        <v>0.22321258014600542</v>
      </c>
      <c r="Y19" s="328">
        <v>156068</v>
      </c>
      <c r="Z19" s="328">
        <f>'[1]Phụ lục số 1'!H39</f>
        <v>170000</v>
      </c>
      <c r="AA19" s="328">
        <f>'[1]Phụ lục số 1'!N39</f>
        <v>160000</v>
      </c>
      <c r="AB19" s="328">
        <f>'[1]Phụ lục số 1'!T39</f>
        <v>168000</v>
      </c>
      <c r="AC19" s="328">
        <f>'[1]Phụ lục số 1'!Z39</f>
        <v>176000</v>
      </c>
      <c r="AD19" s="328">
        <f t="shared" si="6"/>
        <v>830068</v>
      </c>
      <c r="AE19" s="488"/>
      <c r="AF19" s="488">
        <f t="shared" si="11"/>
        <v>2.124277670403912E-2</v>
      </c>
      <c r="AG19" s="488">
        <f t="shared" si="8"/>
        <v>0.86565056653752492</v>
      </c>
    </row>
    <row r="20" spans="1:33" s="289" customFormat="1">
      <c r="A20" s="1041">
        <v>11</v>
      </c>
      <c r="B20" s="336" t="s">
        <v>18</v>
      </c>
      <c r="C20" s="328">
        <v>191500</v>
      </c>
      <c r="D20" s="328">
        <v>415260</v>
      </c>
      <c r="E20" s="328">
        <v>444040</v>
      </c>
      <c r="F20" s="328">
        <v>300000</v>
      </c>
      <c r="G20" s="328">
        <v>407675.25223099999</v>
      </c>
      <c r="H20" s="328">
        <v>394171.66318199999</v>
      </c>
      <c r="I20" s="328">
        <v>413801.849995</v>
      </c>
      <c r="J20" s="328">
        <v>312735.00110200001</v>
      </c>
      <c r="K20" s="328">
        <v>379564.95398699999</v>
      </c>
      <c r="L20" s="328">
        <v>383777</v>
      </c>
      <c r="M20" s="328">
        <f t="shared" si="2"/>
        <v>1884050.468266</v>
      </c>
      <c r="N20" s="488"/>
      <c r="O20" s="488">
        <f t="shared" si="3"/>
        <v>8.3566521230029819E-2</v>
      </c>
      <c r="P20" s="328">
        <v>454422</v>
      </c>
      <c r="Q20" s="328">
        <v>639601</v>
      </c>
      <c r="R20" s="328">
        <v>843422</v>
      </c>
      <c r="S20" s="328">
        <v>964965</v>
      </c>
      <c r="T20" s="328">
        <v>834390</v>
      </c>
      <c r="U20" s="328">
        <f t="shared" si="10"/>
        <v>3736800</v>
      </c>
      <c r="V20" s="328"/>
      <c r="W20" s="488">
        <f t="shared" si="4"/>
        <v>9.9988007218787339E-2</v>
      </c>
      <c r="X20" s="488">
        <f t="shared" si="5"/>
        <v>0.98338635983524991</v>
      </c>
      <c r="Y20" s="328">
        <v>1239694</v>
      </c>
      <c r="Z20" s="328">
        <f>'[1]Phụ lục số 1'!H40</f>
        <v>970000</v>
      </c>
      <c r="AA20" s="328">
        <f>'[1]Phụ lục số 1'!N40</f>
        <v>900000</v>
      </c>
      <c r="AB20" s="328">
        <f>'[1]Phụ lục số 1'!T40</f>
        <v>900000</v>
      </c>
      <c r="AC20" s="328">
        <f>'[1]Phụ lục số 1'!Z40</f>
        <v>900000</v>
      </c>
      <c r="AD20" s="328">
        <f t="shared" si="6"/>
        <v>4909694</v>
      </c>
      <c r="AE20" s="488"/>
      <c r="AF20" s="488">
        <f t="shared" si="11"/>
        <v>0.12564697509982392</v>
      </c>
      <c r="AG20" s="488">
        <f t="shared" si="8"/>
        <v>1.3138765788910298</v>
      </c>
    </row>
    <row r="21" spans="1:33" s="289" customFormat="1">
      <c r="A21" s="1041">
        <v>12</v>
      </c>
      <c r="B21" s="336" t="s">
        <v>98</v>
      </c>
      <c r="C21" s="328">
        <v>3650</v>
      </c>
      <c r="D21" s="328">
        <v>1290</v>
      </c>
      <c r="E21" s="328">
        <v>6350</v>
      </c>
      <c r="F21" s="328">
        <v>9960</v>
      </c>
      <c r="G21" s="328">
        <v>12272.982172</v>
      </c>
      <c r="H21" s="328">
        <v>14797.318150999999</v>
      </c>
      <c r="I21" s="328">
        <v>21280.122105999999</v>
      </c>
      <c r="J21" s="328">
        <v>25056.577998000001</v>
      </c>
      <c r="K21" s="328">
        <v>30109.314546000001</v>
      </c>
      <c r="L21" s="328">
        <v>35945</v>
      </c>
      <c r="M21" s="328">
        <f t="shared" si="2"/>
        <v>127188.332801</v>
      </c>
      <c r="N21" s="488"/>
      <c r="O21" s="488">
        <f t="shared" si="3"/>
        <v>5.6414022300629004E-3</v>
      </c>
      <c r="P21" s="328">
        <v>53095</v>
      </c>
      <c r="Q21" s="328">
        <v>61296</v>
      </c>
      <c r="R21" s="328">
        <v>194910</v>
      </c>
      <c r="S21" s="328">
        <v>177724</v>
      </c>
      <c r="T21" s="328">
        <v>103322</v>
      </c>
      <c r="U21" s="328">
        <f t="shared" si="10"/>
        <v>590347</v>
      </c>
      <c r="V21" s="328"/>
      <c r="W21" s="488">
        <f t="shared" si="4"/>
        <v>1.579630167458506E-2</v>
      </c>
      <c r="X21" s="488">
        <f t="shared" si="5"/>
        <v>3.6415185025159671</v>
      </c>
      <c r="Y21" s="328">
        <v>253261</v>
      </c>
      <c r="Z21" s="328">
        <f>'[1]Phụ lục số 1'!H41</f>
        <v>230000</v>
      </c>
      <c r="AA21" s="328">
        <f>'[1]Phụ lục số 1'!N41</f>
        <v>115000</v>
      </c>
      <c r="AB21" s="328">
        <f>'[1]Phụ lục số 1'!T41</f>
        <v>127000</v>
      </c>
      <c r="AC21" s="328">
        <f>'[1]Phụ lục số 1'!Z41</f>
        <v>140000</v>
      </c>
      <c r="AD21" s="328">
        <f t="shared" si="6"/>
        <v>865261</v>
      </c>
      <c r="AE21" s="488"/>
      <c r="AF21" s="488">
        <f t="shared" si="11"/>
        <v>2.214342224217003E-2</v>
      </c>
      <c r="AG21" s="488">
        <f t="shared" si="8"/>
        <v>1.4656820480158279</v>
      </c>
    </row>
    <row r="22" spans="1:33" s="289" customFormat="1">
      <c r="A22" s="1041">
        <v>13</v>
      </c>
      <c r="B22" s="336" t="s">
        <v>136</v>
      </c>
      <c r="C22" s="328">
        <v>2970</v>
      </c>
      <c r="D22" s="328">
        <v>1390</v>
      </c>
      <c r="E22" s="328">
        <v>170</v>
      </c>
      <c r="F22" s="328">
        <v>1150</v>
      </c>
      <c r="G22" s="328">
        <v>1533.5377189999999</v>
      </c>
      <c r="H22" s="328">
        <v>1094.738333</v>
      </c>
      <c r="I22" s="328">
        <v>1681.6920950000001</v>
      </c>
      <c r="J22" s="328">
        <v>1120.580835</v>
      </c>
      <c r="K22" s="328">
        <v>258.28733599999998</v>
      </c>
      <c r="L22" s="328">
        <v>375</v>
      </c>
      <c r="M22" s="328">
        <f t="shared" si="2"/>
        <v>4530.2985990000006</v>
      </c>
      <c r="N22" s="488"/>
      <c r="O22" s="488">
        <f t="shared" si="3"/>
        <v>2.0094010241675637E-4</v>
      </c>
      <c r="P22" s="328">
        <v>382</v>
      </c>
      <c r="Q22" s="328">
        <v>2247</v>
      </c>
      <c r="R22" s="328">
        <v>702</v>
      </c>
      <c r="S22" s="328">
        <v>3951</v>
      </c>
      <c r="T22" s="328">
        <v>142</v>
      </c>
      <c r="U22" s="328">
        <f t="shared" si="10"/>
        <v>7424</v>
      </c>
      <c r="V22" s="328"/>
      <c r="W22" s="488">
        <f t="shared" si="4"/>
        <v>1.9864883472283163E-4</v>
      </c>
      <c r="X22" s="488">
        <f t="shared" si="5"/>
        <v>0.6387440778492488</v>
      </c>
      <c r="Y22" s="328">
        <v>127</v>
      </c>
      <c r="Z22" s="328">
        <f>'[1]Phụ lục số 1'!H42</f>
        <v>80</v>
      </c>
      <c r="AA22" s="328">
        <f>'[1]Phụ lục số 1'!N42</f>
        <v>0</v>
      </c>
      <c r="AB22" s="328">
        <f>'[1]Phụ lục số 1'!T42</f>
        <v>0</v>
      </c>
      <c r="AC22" s="328">
        <f>'[1]Phụ lục số 1'!Z42</f>
        <v>0</v>
      </c>
      <c r="AD22" s="328">
        <f t="shared" si="6"/>
        <v>207</v>
      </c>
      <c r="AE22" s="488"/>
      <c r="AF22" s="488"/>
      <c r="AG22" s="488">
        <f t="shared" si="8"/>
        <v>2.7882543103448277E-2</v>
      </c>
    </row>
    <row r="23" spans="1:33" s="289" customFormat="1">
      <c r="A23" s="1041">
        <v>14</v>
      </c>
      <c r="B23" s="336" t="s">
        <v>127</v>
      </c>
      <c r="C23" s="328">
        <v>16290</v>
      </c>
      <c r="D23" s="328">
        <v>34910</v>
      </c>
      <c r="E23" s="328">
        <v>34190</v>
      </c>
      <c r="F23" s="328">
        <v>46520</v>
      </c>
      <c r="G23" s="328">
        <v>100128.154606</v>
      </c>
      <c r="H23" s="328">
        <v>32762.876378000001</v>
      </c>
      <c r="I23" s="328">
        <v>42614.135322000002</v>
      </c>
      <c r="J23" s="328">
        <v>52575.311074999998</v>
      </c>
      <c r="K23" s="328">
        <v>145587.907744</v>
      </c>
      <c r="L23" s="328">
        <v>140912</v>
      </c>
      <c r="M23" s="328">
        <f t="shared" si="2"/>
        <v>414452.23051899998</v>
      </c>
      <c r="N23" s="488"/>
      <c r="O23" s="488">
        <f t="shared" si="3"/>
        <v>1.8382910491975935E-2</v>
      </c>
      <c r="P23" s="328">
        <v>126290</v>
      </c>
      <c r="Q23" s="328">
        <v>203509</v>
      </c>
      <c r="R23" s="328">
        <v>237551</v>
      </c>
      <c r="S23" s="328">
        <v>300917</v>
      </c>
      <c r="T23" s="328">
        <v>310823</v>
      </c>
      <c r="U23" s="328">
        <f t="shared" si="10"/>
        <v>1179090</v>
      </c>
      <c r="V23" s="328"/>
      <c r="W23" s="488">
        <f t="shared" si="4"/>
        <v>3.1549684069685287E-2</v>
      </c>
      <c r="X23" s="488">
        <f t="shared" si="5"/>
        <v>1.8449358289699114</v>
      </c>
      <c r="Y23" s="328">
        <v>248330</v>
      </c>
      <c r="Z23" s="328">
        <f>'[1]Phụ lục số 1'!H43</f>
        <v>265000</v>
      </c>
      <c r="AA23" s="328">
        <f>'[1]Phụ lục số 1'!N43</f>
        <v>250000</v>
      </c>
      <c r="AB23" s="328">
        <f>'[1]Phụ lục số 1'!T43</f>
        <v>263000</v>
      </c>
      <c r="AC23" s="328">
        <f>'[1]Phụ lục số 1'!Z43</f>
        <v>276000</v>
      </c>
      <c r="AD23" s="328">
        <f t="shared" si="6"/>
        <v>1302330</v>
      </c>
      <c r="AE23" s="488"/>
      <c r="AF23" s="488">
        <f t="shared" ref="AF23:AF28" si="12">AD23/$AD$7</f>
        <v>3.3328721725173441E-2</v>
      </c>
      <c r="AG23" s="488">
        <f t="shared" si="8"/>
        <v>1.1045212833625933</v>
      </c>
    </row>
    <row r="24" spans="1:33" s="289" customFormat="1">
      <c r="A24" s="1041">
        <v>15</v>
      </c>
      <c r="B24" s="336" t="s">
        <v>128</v>
      </c>
      <c r="C24" s="328">
        <v>0</v>
      </c>
      <c r="D24" s="328">
        <v>0</v>
      </c>
      <c r="E24" s="328">
        <v>0</v>
      </c>
      <c r="F24" s="328">
        <v>0</v>
      </c>
      <c r="G24" s="328">
        <v>0</v>
      </c>
      <c r="H24" s="328">
        <v>0</v>
      </c>
      <c r="I24" s="328">
        <v>0</v>
      </c>
      <c r="J24" s="328">
        <v>0</v>
      </c>
      <c r="K24" s="328">
        <v>0</v>
      </c>
      <c r="L24" s="328">
        <v>0</v>
      </c>
      <c r="M24" s="328">
        <f t="shared" si="2"/>
        <v>0</v>
      </c>
      <c r="N24" s="488"/>
      <c r="O24" s="488">
        <f t="shared" si="3"/>
        <v>0</v>
      </c>
      <c r="P24" s="328">
        <v>0</v>
      </c>
      <c r="Q24" s="328">
        <v>5516</v>
      </c>
      <c r="R24" s="328">
        <v>46773</v>
      </c>
      <c r="S24" s="328">
        <v>25517</v>
      </c>
      <c r="T24" s="328">
        <v>32309</v>
      </c>
      <c r="U24" s="328">
        <f t="shared" si="10"/>
        <v>110115</v>
      </c>
      <c r="V24" s="328"/>
      <c r="W24" s="488">
        <f t="shared" si="4"/>
        <v>2.9464192396962022E-3</v>
      </c>
      <c r="X24" s="488"/>
      <c r="Y24" s="328">
        <v>21198</v>
      </c>
      <c r="Z24" s="328">
        <f>'[1]Phụ lục số 1'!H44</f>
        <v>25823</v>
      </c>
      <c r="AA24" s="328">
        <f>'[1]Phụ lục số 1'!N44</f>
        <v>22000</v>
      </c>
      <c r="AB24" s="328">
        <f>'[1]Phụ lục số 1'!T44</f>
        <v>23000</v>
      </c>
      <c r="AC24" s="328">
        <f>'[1]Phụ lục số 1'!Z44</f>
        <v>24000</v>
      </c>
      <c r="AD24" s="328">
        <f t="shared" si="6"/>
        <v>116021</v>
      </c>
      <c r="AE24" s="488"/>
      <c r="AF24" s="488">
        <f t="shared" si="12"/>
        <v>2.969164208208632E-3</v>
      </c>
      <c r="AG24" s="488">
        <f t="shared" si="8"/>
        <v>1.0536348363074968</v>
      </c>
    </row>
    <row r="25" spans="1:33" s="289" customFormat="1">
      <c r="A25" s="1041">
        <v>16</v>
      </c>
      <c r="B25" s="336" t="s">
        <v>129</v>
      </c>
      <c r="C25" s="328">
        <v>0</v>
      </c>
      <c r="D25" s="328">
        <v>0</v>
      </c>
      <c r="E25" s="328">
        <v>0</v>
      </c>
      <c r="F25" s="328">
        <v>0</v>
      </c>
      <c r="G25" s="328">
        <v>0</v>
      </c>
      <c r="H25" s="328">
        <v>0</v>
      </c>
      <c r="I25" s="328">
        <v>0</v>
      </c>
      <c r="J25" s="328">
        <v>0</v>
      </c>
      <c r="K25" s="328">
        <v>0</v>
      </c>
      <c r="L25" s="328">
        <v>0</v>
      </c>
      <c r="M25" s="328">
        <f t="shared" si="2"/>
        <v>0</v>
      </c>
      <c r="N25" s="488"/>
      <c r="O25" s="488">
        <f t="shared" si="3"/>
        <v>0</v>
      </c>
      <c r="P25" s="328">
        <v>0</v>
      </c>
      <c r="Q25" s="328">
        <v>0</v>
      </c>
      <c r="R25" s="328">
        <v>47932</v>
      </c>
      <c r="S25" s="328">
        <v>129025</v>
      </c>
      <c r="T25" s="328">
        <v>125796</v>
      </c>
      <c r="U25" s="328">
        <f>SUM(P25:T25)</f>
        <v>302753</v>
      </c>
      <c r="V25" s="328"/>
      <c r="W25" s="488">
        <f t="shared" si="4"/>
        <v>8.1009604874517031E-3</v>
      </c>
      <c r="X25" s="488"/>
      <c r="Y25" s="328">
        <v>59826</v>
      </c>
      <c r="Z25" s="328">
        <f>'[1]Phụ lục số 1'!H45</f>
        <v>74797</v>
      </c>
      <c r="AA25" s="328">
        <f>'[1]Phụ lục số 1'!N45</f>
        <v>50000</v>
      </c>
      <c r="AB25" s="328">
        <f>'[1]Phụ lục số 1'!T45</f>
        <v>50000</v>
      </c>
      <c r="AC25" s="328">
        <f>'[1]Phụ lục số 1'!Z45</f>
        <v>50000</v>
      </c>
      <c r="AD25" s="328">
        <f t="shared" si="6"/>
        <v>284623</v>
      </c>
      <c r="AE25" s="488"/>
      <c r="AF25" s="488">
        <f t="shared" si="12"/>
        <v>7.2839608728847835E-3</v>
      </c>
      <c r="AG25" s="488">
        <f t="shared" si="8"/>
        <v>0.94011620033492649</v>
      </c>
    </row>
    <row r="26" spans="1:33" s="289" customFormat="1">
      <c r="A26" s="1041">
        <v>15</v>
      </c>
      <c r="B26" s="336" t="s">
        <v>19</v>
      </c>
      <c r="C26" s="328"/>
      <c r="D26" s="328"/>
      <c r="E26" s="328"/>
      <c r="F26" s="328"/>
      <c r="G26" s="328">
        <v>18914</v>
      </c>
      <c r="H26" s="328">
        <v>17981.816880999999</v>
      </c>
      <c r="I26" s="328">
        <v>15843.017508999999</v>
      </c>
      <c r="J26" s="328">
        <v>17170.030866000001</v>
      </c>
      <c r="K26" s="328">
        <v>15943.836121</v>
      </c>
      <c r="L26" s="328">
        <v>15685</v>
      </c>
      <c r="M26" s="328">
        <f t="shared" si="2"/>
        <v>82623.70137699999</v>
      </c>
      <c r="N26" s="488"/>
      <c r="O26" s="488">
        <f t="shared" si="3"/>
        <v>3.6647507121077235E-3</v>
      </c>
      <c r="P26" s="328">
        <v>15566</v>
      </c>
      <c r="Q26" s="328">
        <v>19734</v>
      </c>
      <c r="R26" s="328">
        <v>4849</v>
      </c>
      <c r="S26" s="328">
        <v>3085</v>
      </c>
      <c r="T26" s="328">
        <v>2867</v>
      </c>
      <c r="U26" s="328">
        <f t="shared" si="10"/>
        <v>46101</v>
      </c>
      <c r="V26" s="328"/>
      <c r="W26" s="488">
        <f t="shared" si="4"/>
        <v>1.2335546780114844E-3</v>
      </c>
      <c r="X26" s="488">
        <f t="shared" si="5"/>
        <v>-0.44203661622894608</v>
      </c>
      <c r="Y26" s="328">
        <v>2387</v>
      </c>
      <c r="Z26" s="328">
        <f>'[1]Phụ lục số 1'!H47</f>
        <v>2000</v>
      </c>
      <c r="AA26" s="328">
        <f>'[1]Phụ lục số 1'!N47</f>
        <v>3000</v>
      </c>
      <c r="AB26" s="328">
        <f>'[1]Phụ lục số 1'!T47</f>
        <v>3000</v>
      </c>
      <c r="AC26" s="328">
        <f>'[1]Phụ lục số 1'!Z47</f>
        <v>3000</v>
      </c>
      <c r="AD26" s="328">
        <f t="shared" si="6"/>
        <v>13387</v>
      </c>
      <c r="AE26" s="488"/>
      <c r="AF26" s="488">
        <f t="shared" si="12"/>
        <v>3.4259488588521864E-4</v>
      </c>
      <c r="AG26" s="488">
        <f t="shared" si="8"/>
        <v>0.29038415652588884</v>
      </c>
    </row>
    <row r="27" spans="1:33" s="289" customFormat="1">
      <c r="A27" s="1041">
        <v>16</v>
      </c>
      <c r="B27" s="336" t="s">
        <v>101</v>
      </c>
      <c r="C27" s="328">
        <v>349410</v>
      </c>
      <c r="D27" s="328">
        <v>810346.39989600005</v>
      </c>
      <c r="E27" s="328">
        <v>452760</v>
      </c>
      <c r="F27" s="328">
        <v>500750</v>
      </c>
      <c r="G27" s="328">
        <v>810346.39989600005</v>
      </c>
      <c r="H27" s="328">
        <v>687860.86755299999</v>
      </c>
      <c r="I27" s="328">
        <v>804565.51386399998</v>
      </c>
      <c r="J27" s="328">
        <v>941882.63027900003</v>
      </c>
      <c r="K27" s="328">
        <v>954775.96481699997</v>
      </c>
      <c r="L27" s="328">
        <v>1189344</v>
      </c>
      <c r="M27" s="328">
        <f t="shared" si="2"/>
        <v>4578428.9765130002</v>
      </c>
      <c r="N27" s="488"/>
      <c r="O27" s="488">
        <f t="shared" si="3"/>
        <v>0.2030749115856165</v>
      </c>
      <c r="P27" s="328">
        <v>1310161</v>
      </c>
      <c r="Q27" s="328">
        <v>1477896</v>
      </c>
      <c r="R27" s="328">
        <v>1371274</v>
      </c>
      <c r="S27" s="328">
        <v>1523285</v>
      </c>
      <c r="T27" s="328">
        <v>1976741</v>
      </c>
      <c r="U27" s="328">
        <f t="shared" si="10"/>
        <v>7659357</v>
      </c>
      <c r="V27" s="328"/>
      <c r="W27" s="488">
        <f t="shared" si="4"/>
        <v>0.20494643625756512</v>
      </c>
      <c r="X27" s="488">
        <f t="shared" si="5"/>
        <v>0.6729225328801498</v>
      </c>
      <c r="Y27" s="328">
        <v>1283258</v>
      </c>
      <c r="Z27" s="328">
        <f>'[1]Phụ lục số 1'!H48</f>
        <v>1704000</v>
      </c>
      <c r="AA27" s="328">
        <f>'[1]Phụ lục số 1'!N48</f>
        <v>1600000</v>
      </c>
      <c r="AB27" s="328">
        <f>'[1]Phụ lục số 1'!T48</f>
        <v>1600000</v>
      </c>
      <c r="AC27" s="328">
        <f>'[1]Phụ lục số 1'!Z48</f>
        <v>1600000</v>
      </c>
      <c r="AD27" s="328">
        <f t="shared" si="6"/>
        <v>7787258</v>
      </c>
      <c r="AE27" s="488"/>
      <c r="AF27" s="488">
        <f t="shared" si="12"/>
        <v>0.19928847134300112</v>
      </c>
      <c r="AG27" s="488">
        <f t="shared" si="8"/>
        <v>1.0166986602139056</v>
      </c>
    </row>
    <row r="28" spans="1:33" s="228" customFormat="1">
      <c r="A28" s="1040" t="s">
        <v>20</v>
      </c>
      <c r="B28" s="1042" t="s">
        <v>477</v>
      </c>
      <c r="C28" s="319">
        <v>230940</v>
      </c>
      <c r="D28" s="319">
        <v>305720</v>
      </c>
      <c r="E28" s="319">
        <v>329200</v>
      </c>
      <c r="F28" s="319">
        <v>308830</v>
      </c>
      <c r="G28" s="319">
        <v>306565.00754700002</v>
      </c>
      <c r="H28" s="319">
        <v>357566.61864</v>
      </c>
      <c r="I28" s="319">
        <v>418951.84585500002</v>
      </c>
      <c r="J28" s="319">
        <v>456841.14694599999</v>
      </c>
      <c r="K28" s="319">
        <v>140078.797276</v>
      </c>
      <c r="L28" s="319">
        <v>243841</v>
      </c>
      <c r="M28" s="319">
        <f t="shared" si="2"/>
        <v>1617279.4087169999</v>
      </c>
      <c r="N28" s="592"/>
      <c r="O28" s="592">
        <f t="shared" si="3"/>
        <v>7.1733966960994378E-2</v>
      </c>
      <c r="P28" s="319">
        <v>96965</v>
      </c>
      <c r="Q28" s="319">
        <v>107416</v>
      </c>
      <c r="R28" s="319">
        <v>74262</v>
      </c>
      <c r="S28" s="319">
        <v>126290</v>
      </c>
      <c r="T28" s="319">
        <v>93759</v>
      </c>
      <c r="U28" s="319">
        <f t="shared" si="10"/>
        <v>498692</v>
      </c>
      <c r="V28" s="319"/>
      <c r="W28" s="592">
        <f t="shared" si="4"/>
        <v>1.3343828756142019E-2</v>
      </c>
      <c r="X28" s="592">
        <f t="shared" si="5"/>
        <v>-0.69164759205361048</v>
      </c>
      <c r="Y28" s="319">
        <v>196854</v>
      </c>
      <c r="Z28" s="319">
        <f>'[1]Phụ lục số 1'!H49</f>
        <v>140000</v>
      </c>
      <c r="AA28" s="319">
        <f>'[1]Phụ lục số 1'!N49</f>
        <v>150000</v>
      </c>
      <c r="AB28" s="319">
        <f>'[1]Phụ lục số 1'!T49</f>
        <v>120000</v>
      </c>
      <c r="AC28" s="319">
        <f>'[1]Phụ lục số 1'!Z49</f>
        <v>125000</v>
      </c>
      <c r="AD28" s="319">
        <f t="shared" si="6"/>
        <v>731854</v>
      </c>
      <c r="AE28" s="592"/>
      <c r="AF28" s="592">
        <f t="shared" si="12"/>
        <v>1.8729322298845209E-2</v>
      </c>
      <c r="AG28" s="592">
        <f t="shared" si="8"/>
        <v>1.4675471032220289</v>
      </c>
    </row>
    <row r="29" spans="1:33" s="228" customFormat="1">
      <c r="A29" s="1040" t="s">
        <v>49</v>
      </c>
      <c r="B29" s="1042" t="s">
        <v>480</v>
      </c>
      <c r="C29" s="319"/>
      <c r="D29" s="319"/>
      <c r="E29" s="319"/>
      <c r="F29" s="319"/>
      <c r="G29" s="319"/>
      <c r="H29" s="319"/>
      <c r="I29" s="319"/>
      <c r="J29" s="319"/>
      <c r="K29" s="319"/>
      <c r="L29" s="319"/>
      <c r="M29" s="319"/>
      <c r="N29" s="592"/>
      <c r="O29" s="592"/>
      <c r="P29" s="319"/>
      <c r="Q29" s="319"/>
      <c r="R29" s="319"/>
      <c r="S29" s="319"/>
      <c r="T29" s="319"/>
      <c r="U29" s="319">
        <f t="shared" si="10"/>
        <v>0</v>
      </c>
      <c r="V29" s="319"/>
      <c r="W29" s="592">
        <f t="shared" si="4"/>
        <v>0</v>
      </c>
      <c r="X29" s="592"/>
      <c r="Y29" s="319"/>
      <c r="Z29" s="319"/>
      <c r="AA29" s="319"/>
      <c r="AB29" s="319"/>
      <c r="AC29" s="319"/>
      <c r="AD29" s="319">
        <f t="shared" si="6"/>
        <v>0</v>
      </c>
      <c r="AE29" s="592"/>
      <c r="AF29" s="592"/>
      <c r="AG29" s="592"/>
    </row>
    <row r="30" spans="1:33" s="228" customFormat="1" hidden="1">
      <c r="A30" s="1043" t="s">
        <v>22</v>
      </c>
      <c r="B30" s="1044" t="s">
        <v>481</v>
      </c>
      <c r="C30" s="319"/>
      <c r="D30" s="319"/>
      <c r="E30" s="319"/>
      <c r="F30" s="319"/>
      <c r="G30" s="319"/>
      <c r="H30" s="319"/>
      <c r="I30" s="319"/>
      <c r="J30" s="319"/>
      <c r="K30" s="319"/>
      <c r="L30" s="319"/>
      <c r="M30" s="319"/>
      <c r="N30" s="592"/>
      <c r="O30" s="592"/>
      <c r="P30" s="319"/>
      <c r="Q30" s="319"/>
      <c r="R30" s="319"/>
      <c r="S30" s="319"/>
      <c r="T30" s="319"/>
      <c r="U30" s="319"/>
      <c r="V30" s="319"/>
      <c r="W30" s="592"/>
      <c r="X30" s="592"/>
      <c r="Y30" s="319"/>
      <c r="Z30" s="319"/>
      <c r="AA30" s="319"/>
      <c r="AB30" s="319"/>
      <c r="AC30" s="319"/>
      <c r="AD30" s="319"/>
      <c r="AE30" s="592"/>
      <c r="AF30" s="592"/>
      <c r="AG30" s="592"/>
    </row>
    <row r="31" spans="1:33" s="1049" customFormat="1" ht="19.2" hidden="1">
      <c r="A31" s="1045">
        <v>1</v>
      </c>
      <c r="B31" s="638" t="s">
        <v>482</v>
      </c>
      <c r="C31" s="1046">
        <f>SUM(C32,C33,C36)</f>
        <v>12140916</v>
      </c>
      <c r="D31" s="1046">
        <f>SUM(D32,D33,D36)</f>
        <v>15688862</v>
      </c>
      <c r="E31" s="1046">
        <f>SUM(E32,E33,E36)</f>
        <v>20624075</v>
      </c>
      <c r="F31" s="1046">
        <f>SUM(F32,F33,F36)</f>
        <v>23241053</v>
      </c>
      <c r="G31" s="1047">
        <v>30287000</v>
      </c>
      <c r="H31" s="1047">
        <v>41703000</v>
      </c>
      <c r="I31" s="1047">
        <v>44027000</v>
      </c>
      <c r="J31" s="1047">
        <v>48316000</v>
      </c>
      <c r="K31" s="1047">
        <v>53472000</v>
      </c>
      <c r="L31" s="1047">
        <v>57208361</v>
      </c>
      <c r="M31" s="1047">
        <f>SUM(H31:L31)</f>
        <v>244726361</v>
      </c>
      <c r="N31" s="640"/>
      <c r="O31" s="640">
        <f>L31/$L$31</f>
        <v>1</v>
      </c>
      <c r="P31" s="1047">
        <v>62221079</v>
      </c>
      <c r="Q31" s="1047">
        <v>68288574</v>
      </c>
      <c r="R31" s="1047">
        <v>75875880</v>
      </c>
      <c r="S31" s="1047">
        <f>SUM(S32,S33,S36)</f>
        <v>82283000</v>
      </c>
      <c r="T31" s="1047">
        <f>SUM(T32,T33,T36)</f>
        <v>86575000</v>
      </c>
      <c r="U31" s="1047">
        <f>SUM(P31:T31)</f>
        <v>375243533</v>
      </c>
      <c r="V31" s="1047"/>
      <c r="W31" s="640">
        <f t="shared" ref="W31:W36" si="13">U31/$U$31</f>
        <v>1</v>
      </c>
      <c r="X31" s="640">
        <f>U31/M31-1</f>
        <v>0.53331881153579519</v>
      </c>
      <c r="Y31" s="1047">
        <f>SUM(Y32,Y33,Y36)</f>
        <v>90384749</v>
      </c>
      <c r="Z31" s="1048">
        <f>Y31*1.07</f>
        <v>96711681.430000007</v>
      </c>
      <c r="AA31" s="1048">
        <f>Z31*1.07</f>
        <v>103481499.13010001</v>
      </c>
      <c r="AB31" s="1048">
        <f>AA31*1.07</f>
        <v>110725204.06920701</v>
      </c>
      <c r="AC31" s="1048">
        <f>AB31*1.07</f>
        <v>118475968.35405152</v>
      </c>
      <c r="AD31" s="1048">
        <f t="shared" ref="AD31:AD36" si="14">SUM(Y31:AC31)</f>
        <v>519779101.98335856</v>
      </c>
      <c r="AE31" s="640"/>
      <c r="AF31" s="640"/>
      <c r="AG31" s="640">
        <f t="shared" ref="AG31:AG36" si="15">AD31/U31-1</f>
        <v>0.38517804111858878</v>
      </c>
    </row>
    <row r="32" spans="1:33" hidden="1">
      <c r="A32" s="499" t="s">
        <v>34</v>
      </c>
      <c r="B32" s="1050" t="s">
        <v>483</v>
      </c>
      <c r="C32" s="1051">
        <v>6907745</v>
      </c>
      <c r="D32" s="1051">
        <v>8963673</v>
      </c>
      <c r="E32" s="1051">
        <v>11462136</v>
      </c>
      <c r="F32" s="1051">
        <v>12072143</v>
      </c>
      <c r="G32" s="1052">
        <v>12433000</v>
      </c>
      <c r="H32" s="1052">
        <v>18357000</v>
      </c>
      <c r="I32" s="1052">
        <v>18479000</v>
      </c>
      <c r="J32" s="1052">
        <v>19829000</v>
      </c>
      <c r="K32" s="1052">
        <v>21568000</v>
      </c>
      <c r="L32" s="1052">
        <v>22812751</v>
      </c>
      <c r="M32" s="1052">
        <f t="shared" ref="M32:M38" si="16">SUM(H32:L32)</f>
        <v>101045751</v>
      </c>
      <c r="N32" s="501"/>
      <c r="O32" s="501">
        <f>L32/$L$31</f>
        <v>0.39876603002138095</v>
      </c>
      <c r="P32" s="1052">
        <v>24048745</v>
      </c>
      <c r="Q32" s="1052">
        <v>25053517</v>
      </c>
      <c r="R32" s="1053">
        <v>27636696</v>
      </c>
      <c r="S32" s="1053">
        <v>29135000</v>
      </c>
      <c r="T32" s="1053">
        <v>28219000</v>
      </c>
      <c r="U32" s="1053">
        <f>SUM(P32:T32)</f>
        <v>134092958</v>
      </c>
      <c r="V32" s="1053"/>
      <c r="W32" s="501">
        <f t="shared" si="13"/>
        <v>0.35734915117111427</v>
      </c>
      <c r="X32" s="501"/>
      <c r="Y32" s="1053">
        <f>32671646</f>
        <v>32671646</v>
      </c>
      <c r="Z32" s="1054">
        <f>34042487</f>
        <v>34042487</v>
      </c>
      <c r="AA32" s="1054">
        <f>36883489</f>
        <v>36883489</v>
      </c>
      <c r="AB32" s="1054">
        <v>35695516.944354013</v>
      </c>
      <c r="AC32" s="1054">
        <v>37942371.25841637</v>
      </c>
      <c r="AD32" s="1054">
        <f t="shared" si="14"/>
        <v>177235510.20277035</v>
      </c>
      <c r="AE32" s="501"/>
      <c r="AF32" s="501"/>
      <c r="AG32" s="501">
        <f t="shared" si="15"/>
        <v>0.321736151146508</v>
      </c>
    </row>
    <row r="33" spans="1:33" hidden="1">
      <c r="A33" s="499" t="s">
        <v>35</v>
      </c>
      <c r="B33" s="1050" t="s">
        <v>484</v>
      </c>
      <c r="C33" s="1051">
        <v>1949902</v>
      </c>
      <c r="D33" s="1051">
        <v>2645157</v>
      </c>
      <c r="E33" s="1051">
        <v>3949777</v>
      </c>
      <c r="F33" s="1051">
        <v>4993718</v>
      </c>
      <c r="G33" s="1052">
        <v>5537000</v>
      </c>
      <c r="H33" s="1052">
        <v>7684000</v>
      </c>
      <c r="I33" s="1052">
        <v>7550000</v>
      </c>
      <c r="J33" s="1052">
        <v>8222000</v>
      </c>
      <c r="K33" s="1052">
        <v>9344000</v>
      </c>
      <c r="L33" s="1052">
        <v>9956179</v>
      </c>
      <c r="M33" s="1052">
        <f t="shared" si="16"/>
        <v>42756179</v>
      </c>
      <c r="N33" s="501"/>
      <c r="O33" s="501">
        <f>L33/$L$31</f>
        <v>0.17403363469895597</v>
      </c>
      <c r="P33" s="1052">
        <v>10918344</v>
      </c>
      <c r="Q33" s="1052">
        <v>12602909</v>
      </c>
      <c r="R33" s="1053">
        <v>14241397</v>
      </c>
      <c r="S33" s="1053">
        <v>15934000</v>
      </c>
      <c r="T33" s="1053">
        <v>17300000</v>
      </c>
      <c r="U33" s="1053">
        <f>SUM(P33:T33)</f>
        <v>70996650</v>
      </c>
      <c r="V33" s="1053"/>
      <c r="W33" s="501">
        <f t="shared" si="13"/>
        <v>0.18920152849109861</v>
      </c>
      <c r="X33" s="501"/>
      <c r="Y33" s="1053">
        <f>17873020</f>
        <v>17873020</v>
      </c>
      <c r="Z33" s="1054">
        <f>20312059</f>
        <v>20312059</v>
      </c>
      <c r="AA33" s="1054">
        <f>23204090</f>
        <v>23204090</v>
      </c>
      <c r="AB33" s="1054">
        <v>24733621.047940463</v>
      </c>
      <c r="AC33" s="1054">
        <v>27968987.070854526</v>
      </c>
      <c r="AD33" s="1054">
        <f t="shared" si="14"/>
        <v>114091777.11879499</v>
      </c>
      <c r="AE33" s="501"/>
      <c r="AF33" s="501"/>
      <c r="AG33" s="501">
        <f t="shared" si="15"/>
        <v>0.60700226163903492</v>
      </c>
    </row>
    <row r="34" spans="1:33" s="234" customFormat="1" hidden="1">
      <c r="A34" s="491"/>
      <c r="B34" s="1055" t="s">
        <v>485</v>
      </c>
      <c r="C34" s="1056"/>
      <c r="D34" s="1056"/>
      <c r="E34" s="1056"/>
      <c r="F34" s="1056"/>
      <c r="G34" s="1057">
        <v>4504000</v>
      </c>
      <c r="H34" s="1057">
        <v>6402000</v>
      </c>
      <c r="I34" s="1057">
        <v>5954000</v>
      </c>
      <c r="J34" s="1057">
        <v>6517000</v>
      </c>
      <c r="K34" s="1057">
        <v>7470000</v>
      </c>
      <c r="L34" s="1057">
        <v>7929072</v>
      </c>
      <c r="M34" s="1057">
        <f t="shared" si="16"/>
        <v>34272072</v>
      </c>
      <c r="N34" s="583"/>
      <c r="O34" s="583">
        <f>L34/$L$31</f>
        <v>0.13859988053144889</v>
      </c>
      <c r="P34" s="1057">
        <v>8682916</v>
      </c>
      <c r="Q34" s="1057">
        <v>9979782</v>
      </c>
      <c r="R34" s="1058">
        <v>11226790</v>
      </c>
      <c r="S34" s="1058">
        <v>11226790</v>
      </c>
      <c r="T34" s="1058">
        <v>12407642</v>
      </c>
      <c r="U34" s="1058">
        <f>SUM(P34:S34)</f>
        <v>41116278</v>
      </c>
      <c r="V34" s="1058"/>
      <c r="W34" s="501">
        <f t="shared" si="13"/>
        <v>0.10957224944366996</v>
      </c>
      <c r="X34" s="501"/>
      <c r="Y34" s="1058">
        <v>12407642</v>
      </c>
      <c r="Z34" s="1059">
        <v>15294772.390274998</v>
      </c>
      <c r="AA34" s="1059">
        <v>17183562.06968103</v>
      </c>
      <c r="AB34" s="1059">
        <v>19323388.095313232</v>
      </c>
      <c r="AC34" s="1059">
        <v>21779680.573048972</v>
      </c>
      <c r="AD34" s="1059">
        <f t="shared" si="14"/>
        <v>85989045.12831822</v>
      </c>
      <c r="AE34" s="583"/>
      <c r="AF34" s="583"/>
      <c r="AG34" s="583">
        <f t="shared" si="15"/>
        <v>1.0913625773305213</v>
      </c>
    </row>
    <row r="35" spans="1:33" s="234" customFormat="1" hidden="1">
      <c r="A35" s="491"/>
      <c r="B35" s="1055" t="s">
        <v>486</v>
      </c>
      <c r="C35" s="1056"/>
      <c r="D35" s="1056"/>
      <c r="E35" s="1056"/>
      <c r="F35" s="1056"/>
      <c r="G35" s="1057">
        <v>1033000</v>
      </c>
      <c r="H35" s="1057">
        <v>1282000</v>
      </c>
      <c r="I35" s="1057">
        <v>1596000</v>
      </c>
      <c r="J35" s="1057">
        <v>1705000</v>
      </c>
      <c r="K35" s="1057">
        <v>1874000</v>
      </c>
      <c r="L35" s="1057">
        <v>2027108</v>
      </c>
      <c r="M35" s="1057">
        <f t="shared" si="16"/>
        <v>8484108</v>
      </c>
      <c r="N35" s="583"/>
      <c r="O35" s="583"/>
      <c r="P35" s="1057">
        <v>2235428</v>
      </c>
      <c r="Q35" s="1057">
        <v>2632127</v>
      </c>
      <c r="R35" s="1057">
        <v>3014608</v>
      </c>
      <c r="S35" s="1057">
        <v>3014608</v>
      </c>
      <c r="T35" s="1057">
        <v>3231658</v>
      </c>
      <c r="U35" s="1057">
        <f>SUM(P35:S35)</f>
        <v>10896771</v>
      </c>
      <c r="V35" s="1057"/>
      <c r="W35" s="501">
        <f t="shared" si="13"/>
        <v>2.9039197325753781E-2</v>
      </c>
      <c r="X35" s="501"/>
      <c r="Y35" s="1057">
        <v>3231658</v>
      </c>
      <c r="Z35" s="1059">
        <v>4059787.7528000004</v>
      </c>
      <c r="AA35" s="1059">
        <v>4686618.9818323208</v>
      </c>
      <c r="AB35" s="1059">
        <v>5410232.9526272314</v>
      </c>
      <c r="AC35" s="1059">
        <v>6189306.4978055544</v>
      </c>
      <c r="AD35" s="1059">
        <f t="shared" si="14"/>
        <v>23577604.185065106</v>
      </c>
      <c r="AE35" s="583"/>
      <c r="AF35" s="583"/>
      <c r="AG35" s="583">
        <f t="shared" si="15"/>
        <v>1.1637239311595247</v>
      </c>
    </row>
    <row r="36" spans="1:33" s="234" customFormat="1" hidden="1">
      <c r="A36" s="499" t="s">
        <v>36</v>
      </c>
      <c r="B36" s="1050" t="s">
        <v>487</v>
      </c>
      <c r="C36" s="1051">
        <v>3283269</v>
      </c>
      <c r="D36" s="1051">
        <v>4080032</v>
      </c>
      <c r="E36" s="1051">
        <v>5212162</v>
      </c>
      <c r="F36" s="1051">
        <v>6175192</v>
      </c>
      <c r="G36" s="1052">
        <v>12318000</v>
      </c>
      <c r="H36" s="1052">
        <v>15662000</v>
      </c>
      <c r="I36" s="1052">
        <v>17997000</v>
      </c>
      <c r="J36" s="1052">
        <v>20265000</v>
      </c>
      <c r="K36" s="1052">
        <v>22560000</v>
      </c>
      <c r="L36" s="1052">
        <v>24439431</v>
      </c>
      <c r="M36" s="1052">
        <f t="shared" si="16"/>
        <v>100923431</v>
      </c>
      <c r="N36" s="501"/>
      <c r="O36" s="501">
        <f>L36/$L$31</f>
        <v>0.42720033527966306</v>
      </c>
      <c r="P36" s="1052">
        <v>27253990</v>
      </c>
      <c r="Q36" s="1052">
        <v>30632149</v>
      </c>
      <c r="R36" s="1053">
        <v>33997786</v>
      </c>
      <c r="S36" s="1053">
        <v>37214000</v>
      </c>
      <c r="T36" s="1053">
        <v>41056000</v>
      </c>
      <c r="U36" s="1053">
        <f>SUM(P36:T36)</f>
        <v>170153925</v>
      </c>
      <c r="V36" s="1053"/>
      <c r="W36" s="501">
        <f t="shared" si="13"/>
        <v>0.45344932033778712</v>
      </c>
      <c r="X36" s="501"/>
      <c r="Y36" s="1053">
        <f>39840083</f>
        <v>39840083</v>
      </c>
      <c r="Z36" s="1059">
        <f>43960866</f>
        <v>43960866</v>
      </c>
      <c r="AA36" s="1059">
        <f>49808448</f>
        <v>49808448</v>
      </c>
      <c r="AB36" s="1059">
        <v>57584424.718697324</v>
      </c>
      <c r="AC36" s="1059">
        <v>64879104.399336763</v>
      </c>
      <c r="AD36" s="1059">
        <f t="shared" si="14"/>
        <v>256072926.11803406</v>
      </c>
      <c r="AE36" s="501"/>
      <c r="AF36" s="501"/>
      <c r="AG36" s="501">
        <f t="shared" si="15"/>
        <v>0.50494868759585798</v>
      </c>
    </row>
    <row r="37" spans="1:33" s="234" customFormat="1" hidden="1">
      <c r="A37" s="499"/>
      <c r="B37" s="1050" t="s">
        <v>488</v>
      </c>
      <c r="C37" s="1051"/>
      <c r="D37" s="1051"/>
      <c r="E37" s="1051"/>
      <c r="F37" s="1051"/>
      <c r="G37" s="1052">
        <v>10250000</v>
      </c>
      <c r="H37" s="1052">
        <v>13064000</v>
      </c>
      <c r="I37" s="1052">
        <v>15397000</v>
      </c>
      <c r="J37" s="1052">
        <v>17597000</v>
      </c>
      <c r="K37" s="1052">
        <v>19550000</v>
      </c>
      <c r="L37" s="1052">
        <v>21355327</v>
      </c>
      <c r="M37" s="1052">
        <f t="shared" si="16"/>
        <v>86963327</v>
      </c>
      <c r="N37" s="501"/>
      <c r="O37" s="501"/>
      <c r="P37" s="1052">
        <v>23812618</v>
      </c>
      <c r="Q37" s="1052">
        <v>26587715</v>
      </c>
      <c r="R37" s="1052">
        <v>29244625</v>
      </c>
      <c r="S37" s="1052">
        <v>29244625</v>
      </c>
      <c r="T37" s="1053">
        <v>31342234</v>
      </c>
      <c r="U37" s="1052">
        <f>SUM(P37:S37)</f>
        <v>108889583</v>
      </c>
      <c r="V37" s="1052"/>
      <c r="W37" s="501" t="e">
        <f>#REF!/#REF!</f>
        <v>#REF!</v>
      </c>
      <c r="X37" s="501"/>
      <c r="Y37" s="1053">
        <v>31342234</v>
      </c>
      <c r="Z37" s="1059">
        <v>39218293.328947201</v>
      </c>
      <c r="AA37" s="1059">
        <v>44131561.117197707</v>
      </c>
      <c r="AB37" s="1059">
        <v>49706259.917522117</v>
      </c>
      <c r="AC37" s="1059">
        <v>56036849.180617742</v>
      </c>
      <c r="AD37" s="1059">
        <f>SUM(Z37:AC37)</f>
        <v>189092963.54428476</v>
      </c>
      <c r="AE37" s="501"/>
      <c r="AF37" s="501"/>
      <c r="AG37" s="501"/>
    </row>
    <row r="38" spans="1:33" hidden="1">
      <c r="A38" s="235"/>
      <c r="B38" s="1050" t="s">
        <v>489</v>
      </c>
      <c r="C38" s="1060"/>
      <c r="D38" s="1060"/>
      <c r="E38" s="1060"/>
      <c r="F38" s="1060"/>
      <c r="G38" s="1061">
        <v>2068000</v>
      </c>
      <c r="H38" s="1061">
        <v>2598000</v>
      </c>
      <c r="I38" s="1061">
        <v>2600000</v>
      </c>
      <c r="J38" s="1061">
        <v>2668000</v>
      </c>
      <c r="K38" s="1061">
        <v>3010000</v>
      </c>
      <c r="L38" s="1061">
        <v>3084104</v>
      </c>
      <c r="M38" s="1061">
        <f t="shared" si="16"/>
        <v>13960104</v>
      </c>
      <c r="N38" s="501"/>
      <c r="O38" s="501"/>
      <c r="P38" s="1061">
        <v>3441372</v>
      </c>
      <c r="Q38" s="1061">
        <v>4044434</v>
      </c>
      <c r="R38" s="1062">
        <v>4753161</v>
      </c>
      <c r="S38" s="1062">
        <v>4753161</v>
      </c>
      <c r="T38" s="1062">
        <v>5215166</v>
      </c>
      <c r="U38" s="1062">
        <f>SUM(P38:S38)</f>
        <v>16992128</v>
      </c>
      <c r="V38" s="1062"/>
      <c r="W38" s="501" t="e">
        <f>#REF!/#REF!</f>
        <v>#REF!</v>
      </c>
      <c r="X38" s="501"/>
      <c r="Y38" s="1062">
        <v>5215166</v>
      </c>
      <c r="Z38" s="1063">
        <v>6253873.4999999991</v>
      </c>
      <c r="AA38" s="1063">
        <v>7019191.2695624987</v>
      </c>
      <c r="AB38" s="1063">
        <v>7878164.8011752078</v>
      </c>
      <c r="AC38" s="1063">
        <v>8842255.2187190223</v>
      </c>
      <c r="AD38" s="1063">
        <f>SUM(Z38:AC38)</f>
        <v>29993484.789456725</v>
      </c>
      <c r="AE38" s="501"/>
      <c r="AF38" s="501"/>
      <c r="AG38" s="501"/>
    </row>
    <row r="39" spans="1:33" ht="31.2" hidden="1">
      <c r="A39" s="1043">
        <v>2</v>
      </c>
      <c r="B39" s="632" t="s">
        <v>490</v>
      </c>
      <c r="C39" s="1051"/>
      <c r="D39" s="1051"/>
      <c r="E39" s="1051"/>
      <c r="F39" s="1051"/>
      <c r="G39" s="252"/>
      <c r="H39" s="501">
        <f>H31/G31-1</f>
        <v>0.37692739459173907</v>
      </c>
      <c r="I39" s="501">
        <f>I31/H31-1</f>
        <v>5.5727405702227673E-2</v>
      </c>
      <c r="J39" s="501">
        <f>J31/I31-1</f>
        <v>9.7417493810616262E-2</v>
      </c>
      <c r="K39" s="501">
        <f>K31/J31-1</f>
        <v>0.10671413196456658</v>
      </c>
      <c r="L39" s="501">
        <f>L31/K31-1</f>
        <v>6.9875093506882147E-2</v>
      </c>
      <c r="M39" s="252"/>
      <c r="N39" s="501">
        <f>(H39*I39*J39*K39*L39)^(1/5)</f>
        <v>0.10881820651005422</v>
      </c>
      <c r="O39" s="501"/>
      <c r="P39" s="501">
        <f>P31/L31-1</f>
        <v>8.7622122227902999E-2</v>
      </c>
      <c r="Q39" s="501">
        <f>Q31/P31-1</f>
        <v>9.7515104165905031E-2</v>
      </c>
      <c r="R39" s="501">
        <f>R31/Q31-1</f>
        <v>0.11110652273980715</v>
      </c>
      <c r="S39" s="501">
        <f>S31/R31-1</f>
        <v>8.4442117837710828E-2</v>
      </c>
      <c r="T39" s="501">
        <f>T31/S31-1</f>
        <v>5.2161442825370941E-2</v>
      </c>
      <c r="U39" s="501"/>
      <c r="V39" s="501">
        <f>(P39*Q39*R39*S39*T39)^(1/5)</f>
        <v>8.3997582129730144E-2</v>
      </c>
      <c r="W39" s="501"/>
      <c r="X39" s="501"/>
      <c r="Y39" s="501">
        <f>Y31/T31-1</f>
        <v>4.4005186254692408E-2</v>
      </c>
      <c r="Z39" s="1064">
        <f>Z31/Y31-1</f>
        <v>7.0000000000000062E-2</v>
      </c>
      <c r="AA39" s="1064">
        <f>AA31/Z31-1</f>
        <v>7.0000000000000062E-2</v>
      </c>
      <c r="AB39" s="1064">
        <f>AB31/AA31-1</f>
        <v>7.0000000000000062E-2</v>
      </c>
      <c r="AC39" s="1064">
        <f>AC31/AB31-1</f>
        <v>7.0000000000000062E-2</v>
      </c>
      <c r="AD39" s="1064"/>
      <c r="AE39" s="501">
        <f>(AA39*AB39*AC39*Y39*Z39)^(1/5)</f>
        <v>6.3793907554759041E-2</v>
      </c>
      <c r="AF39" s="501"/>
      <c r="AG39" s="501"/>
    </row>
    <row r="40" spans="1:33" s="228" customFormat="1" hidden="1">
      <c r="A40" s="1043">
        <v>3</v>
      </c>
      <c r="B40" s="1044" t="s">
        <v>491</v>
      </c>
      <c r="C40" s="1065">
        <f t="shared" ref="C40:H40" si="17">C7/C31</f>
        <v>0.12795410165097923</v>
      </c>
      <c r="D40" s="1065">
        <f t="shared" si="17"/>
        <v>0.16213708807534927</v>
      </c>
      <c r="E40" s="1065">
        <f t="shared" si="17"/>
        <v>0.12142265774343819</v>
      </c>
      <c r="F40" s="1065">
        <f t="shared" si="17"/>
        <v>0.12636346554521433</v>
      </c>
      <c r="G40" s="592">
        <f t="shared" si="17"/>
        <v>0.13109611834324961</v>
      </c>
      <c r="H40" s="592">
        <f t="shared" si="17"/>
        <v>9.9664439487974474E-2</v>
      </c>
      <c r="I40" s="592">
        <f>I7/I31</f>
        <v>0.10263370758003042</v>
      </c>
      <c r="J40" s="592">
        <f>J7/J31</f>
        <v>9.4858485299631604E-2</v>
      </c>
      <c r="K40" s="592">
        <f>K7/K31</f>
        <v>7.6907869130460799E-2</v>
      </c>
      <c r="L40" s="592">
        <f>L7/L31</f>
        <v>9.0458053849855974E-2</v>
      </c>
      <c r="M40" s="592"/>
      <c r="N40" s="592">
        <f>(H40*I40*J40*K40*L40)^(1/5)</f>
        <v>9.2441054321229982E-2</v>
      </c>
      <c r="O40" s="592"/>
      <c r="P40" s="592">
        <f>P7/P31</f>
        <v>0.10181081880627625</v>
      </c>
      <c r="Q40" s="592">
        <f>Q7/Q31</f>
        <v>0.10033883560081369</v>
      </c>
      <c r="R40" s="592">
        <f>R7/R31</f>
        <v>9.204332127680101E-2</v>
      </c>
      <c r="S40" s="592">
        <f>S7/S31</f>
        <v>0.10659568805221005</v>
      </c>
      <c r="T40" s="592">
        <f>T7/T31</f>
        <v>9.7381761478486858E-2</v>
      </c>
      <c r="U40" s="592"/>
      <c r="V40" s="501">
        <f>(P40*Q40*R40*S40*T40)^(1/5)</f>
        <v>9.9516365459867473E-2</v>
      </c>
      <c r="W40" s="592"/>
      <c r="X40" s="592"/>
      <c r="Y40" s="592">
        <f>Y7/Y31</f>
        <v>7.980667180920091E-2</v>
      </c>
      <c r="Z40" s="592">
        <f>Z7/Z31</f>
        <v>7.79636946490012E-2</v>
      </c>
      <c r="AA40" s="592">
        <f>AA7/AA31</f>
        <v>7.3346444183782333E-2</v>
      </c>
      <c r="AB40" s="592">
        <f>AB7/AB31</f>
        <v>7.2937323239903221E-2</v>
      </c>
      <c r="AC40" s="592">
        <f>AC7/AC31</f>
        <v>7.3061230224618717E-2</v>
      </c>
      <c r="AD40" s="592"/>
      <c r="AE40" s="592"/>
      <c r="AF40" s="592"/>
      <c r="AG40" s="592"/>
    </row>
    <row r="41" spans="1:33" s="228" customFormat="1" hidden="1">
      <c r="A41" s="1043">
        <v>4</v>
      </c>
      <c r="B41" s="1044" t="s">
        <v>492</v>
      </c>
      <c r="C41" s="1065"/>
      <c r="D41" s="1065"/>
      <c r="E41" s="1065"/>
      <c r="F41" s="1065"/>
      <c r="G41" s="592"/>
      <c r="H41" s="592">
        <f>H7/G7</f>
        <v>1.046794510256291</v>
      </c>
      <c r="I41" s="592">
        <f>I7/H7</f>
        <v>1.0871803262801722</v>
      </c>
      <c r="J41" s="592">
        <f>J7/I7</f>
        <v>1.0142804314364227</v>
      </c>
      <c r="K41" s="592">
        <f>K7/J7</f>
        <v>0.89728425830443836</v>
      </c>
      <c r="L41" s="592">
        <f>L7/K7</f>
        <v>1.2583734267412459</v>
      </c>
      <c r="M41" s="592"/>
      <c r="N41" s="1066">
        <f>(H41*I41*J41*K41*L41)^(1/5)-1</f>
        <v>5.441634872072143E-2</v>
      </c>
      <c r="O41" s="592"/>
      <c r="P41" s="592">
        <f>P7/L7</f>
        <v>1.2241220555069345</v>
      </c>
      <c r="Q41" s="592">
        <f>Q7/P7</f>
        <v>1.0816472050564037</v>
      </c>
      <c r="R41" s="592">
        <f>R7/Q7</f>
        <v>1.0192457788942084</v>
      </c>
      <c r="S41" s="592">
        <f>S7/R7</f>
        <v>1.2558961595494074</v>
      </c>
      <c r="T41" s="592">
        <f>T7/S7</f>
        <v>0.9612146282305134</v>
      </c>
      <c r="U41" s="592"/>
      <c r="V41" s="501">
        <f>(P41*Q41*R41*S41*T41)^(1/5)-1</f>
        <v>0.10253573899298751</v>
      </c>
      <c r="W41" s="592"/>
      <c r="X41" s="592"/>
      <c r="Y41" s="592">
        <f>Y7/T7</f>
        <v>0.85558710380216596</v>
      </c>
      <c r="Z41" s="592">
        <f>Z7/Y7</f>
        <v>1.0452904673668357</v>
      </c>
      <c r="AA41" s="592">
        <f>AA7/Z7</f>
        <v>1.006631299734748</v>
      </c>
      <c r="AB41" s="592">
        <f>AB7/AA7</f>
        <v>1.0640316205533598</v>
      </c>
      <c r="AC41" s="592">
        <f>AC7/AB7</f>
        <v>1.0718177315502724</v>
      </c>
      <c r="AD41" s="592"/>
      <c r="AE41" s="592">
        <f>(AA41*AB41*AC41*Y41*Z41)^(1/5)-1</f>
        <v>5.2855136010061532E-3</v>
      </c>
      <c r="AF41" s="592"/>
      <c r="AG41" s="592"/>
    </row>
    <row r="42" spans="1:33" s="228" customFormat="1" ht="31.2" hidden="1">
      <c r="A42" s="1043">
        <v>5</v>
      </c>
      <c r="B42" s="632" t="s">
        <v>493</v>
      </c>
      <c r="C42" s="1065"/>
      <c r="D42" s="1065"/>
      <c r="E42" s="1065"/>
      <c r="F42" s="1065"/>
      <c r="G42" s="592"/>
      <c r="H42" s="592">
        <f>H9/G9</f>
        <v>1.1107089890644151</v>
      </c>
      <c r="I42" s="592">
        <f>I9/H9</f>
        <v>1.0605983880860459</v>
      </c>
      <c r="J42" s="592">
        <f>J9/I9</f>
        <v>0.99666431137341549</v>
      </c>
      <c r="K42" s="592">
        <f>K9/J9</f>
        <v>0.91861127607160653</v>
      </c>
      <c r="L42" s="592">
        <f>L9/K9</f>
        <v>1.2729331771985084</v>
      </c>
      <c r="M42" s="592"/>
      <c r="N42" s="1066">
        <f>(H42*I42*J42*K42*L42)^(1/5)-1</f>
        <v>6.5436343162004418E-2</v>
      </c>
      <c r="O42" s="592"/>
      <c r="P42" s="592">
        <f>P9/L9</f>
        <v>1.3321136571078873</v>
      </c>
      <c r="Q42" s="592">
        <f>Q9/P9</f>
        <v>1.0343939313663881</v>
      </c>
      <c r="R42" s="592">
        <f>R9/Q9</f>
        <v>1.0146586953378618</v>
      </c>
      <c r="S42" s="592">
        <f>S9/R9</f>
        <v>1.3113079909945025</v>
      </c>
      <c r="T42" s="592">
        <f>T9/S9</f>
        <v>0.8975814561356803</v>
      </c>
      <c r="U42" s="592">
        <f>SUM(P42:T42)</f>
        <v>5.5900557309423196</v>
      </c>
      <c r="V42" s="501">
        <f>(P42*Q42*R42*S42*T42)^(1/5)-1</f>
        <v>0.10475292759219745</v>
      </c>
      <c r="W42" s="592"/>
      <c r="X42" s="592"/>
      <c r="Y42" s="592">
        <f>Y9/T9</f>
        <v>0.81316540763410938</v>
      </c>
      <c r="Z42" s="592">
        <f>Z9/Y9</f>
        <v>1.0517414042505842</v>
      </c>
      <c r="AA42" s="592">
        <f>AA9/Z9</f>
        <v>1.0452814219212865</v>
      </c>
      <c r="AB42" s="592">
        <f>AB9/AA9</f>
        <v>1.1044534412955465</v>
      </c>
      <c r="AC42" s="592">
        <f>AC9/AB9</f>
        <v>1.1053885630498534</v>
      </c>
      <c r="AD42" s="592"/>
      <c r="AE42" s="592">
        <f>(AA42*AB42*AC42*Y42*Z42)^(1/5)-1</f>
        <v>1.7645919550230538E-2</v>
      </c>
      <c r="AF42" s="592"/>
      <c r="AG42" s="592"/>
    </row>
    <row r="43" spans="1:33" s="228" customFormat="1" hidden="1">
      <c r="A43" s="1043">
        <v>6</v>
      </c>
      <c r="B43" s="1042" t="s">
        <v>8</v>
      </c>
      <c r="C43" s="1067">
        <f t="shared" ref="C43:L43" si="18">C7</f>
        <v>1553480</v>
      </c>
      <c r="D43" s="1067">
        <f t="shared" si="18"/>
        <v>2543746.399896</v>
      </c>
      <c r="E43" s="1067">
        <f t="shared" si="18"/>
        <v>2504230</v>
      </c>
      <c r="F43" s="1067">
        <f t="shared" si="18"/>
        <v>2936820</v>
      </c>
      <c r="G43" s="1067">
        <f t="shared" si="18"/>
        <v>3970508.1362620005</v>
      </c>
      <c r="H43" s="1067">
        <f t="shared" si="18"/>
        <v>4156306.1199669996</v>
      </c>
      <c r="I43" s="1067">
        <f t="shared" si="18"/>
        <v>4518654.2436259994</v>
      </c>
      <c r="J43" s="1067">
        <f t="shared" si="18"/>
        <v>4583182.5757370004</v>
      </c>
      <c r="K43" s="1067">
        <f t="shared" si="18"/>
        <v>4112417.5781439999</v>
      </c>
      <c r="L43" s="1067">
        <f t="shared" si="18"/>
        <v>5174957</v>
      </c>
      <c r="M43" s="1067">
        <f>SUM(H43:L43)</f>
        <v>22545517.517473999</v>
      </c>
      <c r="N43" s="592"/>
      <c r="O43" s="592"/>
      <c r="P43" s="319">
        <f>P7</f>
        <v>6334779</v>
      </c>
      <c r="Q43" s="319">
        <f>Q7</f>
        <v>6851996</v>
      </c>
      <c r="R43" s="319">
        <f>R7</f>
        <v>6983868</v>
      </c>
      <c r="S43" s="319">
        <f>S7</f>
        <v>8771013</v>
      </c>
      <c r="T43" s="319">
        <f>T7</f>
        <v>8430826</v>
      </c>
      <c r="U43" s="319">
        <f>SUM(P43:T43)</f>
        <v>37372482</v>
      </c>
      <c r="V43" s="319"/>
      <c r="W43" s="592"/>
      <c r="X43" s="592"/>
      <c r="Y43" s="319">
        <f>Y7</f>
        <v>7213306</v>
      </c>
      <c r="Z43" s="319">
        <f>Z7</f>
        <v>7540000</v>
      </c>
      <c r="AA43" s="319">
        <f>AA7</f>
        <v>7590000</v>
      </c>
      <c r="AB43" s="319">
        <f>AB7</f>
        <v>8076000</v>
      </c>
      <c r="AC43" s="319">
        <f>AC7</f>
        <v>8656000</v>
      </c>
      <c r="AD43" s="319">
        <f>SUM(Y43:AC43)</f>
        <v>39075306</v>
      </c>
      <c r="AE43" s="592"/>
      <c r="AF43" s="592"/>
      <c r="AG43" s="592"/>
    </row>
    <row r="44" spans="1:33" s="1069" customFormat="1" hidden="1">
      <c r="A44" s="491" t="s">
        <v>137</v>
      </c>
      <c r="B44" s="492" t="s">
        <v>494</v>
      </c>
      <c r="C44" s="1068"/>
      <c r="D44" s="1068"/>
      <c r="E44" s="1068"/>
      <c r="F44" s="1068"/>
      <c r="G44" s="1066"/>
      <c r="H44" s="1066">
        <f>H43/G43</f>
        <v>1.046794510256291</v>
      </c>
      <c r="I44" s="1066">
        <f>I43/H43</f>
        <v>1.0871803262801722</v>
      </c>
      <c r="J44" s="1066">
        <f>J43/I43</f>
        <v>1.0142804314364227</v>
      </c>
      <c r="K44" s="1066">
        <f>K43/J43</f>
        <v>0.89728425830443836</v>
      </c>
      <c r="L44" s="1066">
        <f>L43/K43</f>
        <v>1.2583734267412459</v>
      </c>
      <c r="M44" s="1066"/>
      <c r="N44" s="1066">
        <f>(H44*I44*J44*K44*L44)^(1/5)-1</f>
        <v>5.441634872072143E-2</v>
      </c>
      <c r="O44" s="1066"/>
      <c r="P44" s="1066">
        <f>P43/L43</f>
        <v>1.2241220555069345</v>
      </c>
      <c r="Q44" s="1066">
        <f>Q43/P43</f>
        <v>1.0816472050564037</v>
      </c>
      <c r="R44" s="1066">
        <f>R43/Q43</f>
        <v>1.0192457788942084</v>
      </c>
      <c r="S44" s="1066">
        <f>S43/R43</f>
        <v>1.2558961595494074</v>
      </c>
      <c r="T44" s="1066">
        <f>T43/S43</f>
        <v>0.9612146282305134</v>
      </c>
      <c r="U44" s="1066"/>
      <c r="V44" s="501">
        <f>(P44*Q44*R44*S44*T44)^(1/5)-1</f>
        <v>0.10253573899298751</v>
      </c>
      <c r="W44" s="1066"/>
      <c r="X44" s="1066"/>
      <c r="Y44" s="1066">
        <f>Y43/T43</f>
        <v>0.85558710380216596</v>
      </c>
      <c r="Z44" s="1066">
        <f>Z43/Y43</f>
        <v>1.0452904673668357</v>
      </c>
      <c r="AA44" s="1066">
        <f>AA43/Z43</f>
        <v>1.006631299734748</v>
      </c>
      <c r="AB44" s="1066">
        <f>AB43/AA43</f>
        <v>1.0640316205533598</v>
      </c>
      <c r="AC44" s="1066">
        <f>AC43/AB43</f>
        <v>1.0718177315502724</v>
      </c>
      <c r="AD44" s="1066"/>
      <c r="AE44" s="1066">
        <f>(AA44*AB44*AC44*Y44*Z44)^(1/5)-1</f>
        <v>5.2855136010061532E-3</v>
      </c>
      <c r="AF44" s="1066"/>
      <c r="AG44" s="1066"/>
    </row>
    <row r="45" spans="1:33" s="228" customFormat="1" hidden="1">
      <c r="A45" s="1043" t="s">
        <v>34</v>
      </c>
      <c r="B45" s="632" t="s">
        <v>10</v>
      </c>
      <c r="C45" s="319">
        <f t="shared" ref="C45:L45" si="19">C8</f>
        <v>1322540</v>
      </c>
      <c r="D45" s="319">
        <f t="shared" si="19"/>
        <v>2238026.399896</v>
      </c>
      <c r="E45" s="319">
        <f t="shared" si="19"/>
        <v>2175030</v>
      </c>
      <c r="F45" s="319">
        <f t="shared" si="19"/>
        <v>2627990</v>
      </c>
      <c r="G45" s="319">
        <f t="shared" si="19"/>
        <v>3663943.1287150006</v>
      </c>
      <c r="H45" s="319">
        <f t="shared" si="19"/>
        <v>3798739.5013269996</v>
      </c>
      <c r="I45" s="319">
        <f t="shared" si="19"/>
        <v>4099702.3977709995</v>
      </c>
      <c r="J45" s="319">
        <f t="shared" si="19"/>
        <v>4126341.428791</v>
      </c>
      <c r="K45" s="319">
        <f t="shared" si="19"/>
        <v>3972338.7808679999</v>
      </c>
      <c r="L45" s="319">
        <f t="shared" si="19"/>
        <v>4931116</v>
      </c>
      <c r="M45" s="319">
        <f>SUM(H45:L45)</f>
        <v>20928238.108756997</v>
      </c>
      <c r="N45" s="592"/>
      <c r="O45" s="592"/>
      <c r="P45" s="319">
        <f>P8</f>
        <v>6237814</v>
      </c>
      <c r="Q45" s="319">
        <f>Q8</f>
        <v>6744580</v>
      </c>
      <c r="R45" s="319">
        <f>R8</f>
        <v>6909606</v>
      </c>
      <c r="S45" s="319">
        <f>S8</f>
        <v>8644723</v>
      </c>
      <c r="T45" s="319">
        <f>T8</f>
        <v>8337067</v>
      </c>
      <c r="U45" s="319">
        <f>SUM(P45:T45)</f>
        <v>36873790</v>
      </c>
      <c r="V45" s="319"/>
      <c r="W45" s="592"/>
      <c r="X45" s="592"/>
      <c r="Y45" s="319">
        <f>Y8</f>
        <v>7016452</v>
      </c>
      <c r="Z45" s="319">
        <f>Z8</f>
        <v>7400000</v>
      </c>
      <c r="AA45" s="319">
        <f>AA8</f>
        <v>7440000</v>
      </c>
      <c r="AB45" s="319">
        <f>AB8</f>
        <v>7956000</v>
      </c>
      <c r="AC45" s="319">
        <f>AC8</f>
        <v>8531000</v>
      </c>
      <c r="AD45" s="319">
        <f>SUM(Y45:AC45)</f>
        <v>38343452</v>
      </c>
      <c r="AE45" s="592"/>
      <c r="AF45" s="592"/>
      <c r="AG45" s="592"/>
    </row>
    <row r="46" spans="1:33" s="1069" customFormat="1" hidden="1">
      <c r="A46" s="491" t="s">
        <v>137</v>
      </c>
      <c r="B46" s="492" t="s">
        <v>494</v>
      </c>
      <c r="C46" s="1068"/>
      <c r="D46" s="1068"/>
      <c r="E46" s="1068"/>
      <c r="F46" s="1068"/>
      <c r="G46" s="1066"/>
      <c r="H46" s="1066">
        <f>H45/G45</f>
        <v>1.0367899740461513</v>
      </c>
      <c r="I46" s="1066">
        <f>I45/H45</f>
        <v>1.0792270426384503</v>
      </c>
      <c r="J46" s="1066">
        <f>J45/I45</f>
        <v>1.0064977962874779</v>
      </c>
      <c r="K46" s="1066">
        <f>K45/J45</f>
        <v>0.96267816161588882</v>
      </c>
      <c r="L46" s="1066">
        <f>L45/K45</f>
        <v>1.2413634063010348</v>
      </c>
      <c r="M46" s="1066"/>
      <c r="N46" s="1066">
        <f>(H46*I46*J46*K46*L46)^(1/5)-1</f>
        <v>6.1205028008409545E-2</v>
      </c>
      <c r="O46" s="1066"/>
      <c r="P46" s="1066">
        <f>P45/L45</f>
        <v>1.2649903186215858</v>
      </c>
      <c r="Q46" s="1066">
        <f>Q45/P45</f>
        <v>1.0812409603749005</v>
      </c>
      <c r="R46" s="1066">
        <f>R45/Q45</f>
        <v>1.0244679431484243</v>
      </c>
      <c r="S46" s="1066">
        <f>S45/R45</f>
        <v>1.2511166338572706</v>
      </c>
      <c r="T46" s="1066">
        <f>T45/S45</f>
        <v>0.9644111210966505</v>
      </c>
      <c r="U46" s="1066"/>
      <c r="V46" s="501">
        <f>(P46*Q46*R46*S46*T46)^(1/5)-1</f>
        <v>0.11074307562505803</v>
      </c>
      <c r="W46" s="1066"/>
      <c r="X46" s="1066"/>
      <c r="Y46" s="1066">
        <f>Y45/T45</f>
        <v>0.8415971708035932</v>
      </c>
      <c r="Z46" s="1066">
        <f>Z45/Y45</f>
        <v>1.05466409518657</v>
      </c>
      <c r="AA46" s="1066">
        <f>AA45/Z45</f>
        <v>1.0054054054054054</v>
      </c>
      <c r="AB46" s="1066">
        <f>AB45/AA45</f>
        <v>1.0693548387096774</v>
      </c>
      <c r="AC46" s="1066">
        <f>AC45/AB45</f>
        <v>1.0722724987430869</v>
      </c>
      <c r="AD46" s="1066"/>
      <c r="AE46" s="1066">
        <f>(AA46*AB46*AC46*Y46*Z46)^(1/5)-1</f>
        <v>4.6096141478457753E-3</v>
      </c>
      <c r="AF46" s="1066"/>
      <c r="AG46" s="1066"/>
    </row>
    <row r="47" spans="1:33" s="1069" customFormat="1" hidden="1">
      <c r="A47" s="491" t="s">
        <v>137</v>
      </c>
      <c r="B47" s="492" t="s">
        <v>496</v>
      </c>
      <c r="C47" s="1068">
        <f t="shared" ref="C47:L47" si="20">C45/C43</f>
        <v>0.85134021680356364</v>
      </c>
      <c r="D47" s="1068">
        <f t="shared" si="20"/>
        <v>0.87981506332058135</v>
      </c>
      <c r="E47" s="1068">
        <f t="shared" si="20"/>
        <v>0.86854242621484445</v>
      </c>
      <c r="F47" s="1068">
        <f t="shared" si="20"/>
        <v>0.89484204002969203</v>
      </c>
      <c r="G47" s="1066">
        <f t="shared" si="20"/>
        <v>0.92278947756152618</v>
      </c>
      <c r="H47" s="1066">
        <f t="shared" si="20"/>
        <v>0.91397009548400665</v>
      </c>
      <c r="I47" s="1066">
        <f t="shared" si="20"/>
        <v>0.90728393382919881</v>
      </c>
      <c r="J47" s="1066">
        <f t="shared" si="20"/>
        <v>0.90032228928332891</v>
      </c>
      <c r="K47" s="1066">
        <f t="shared" si="20"/>
        <v>0.96593760370530757</v>
      </c>
      <c r="L47" s="1066">
        <f t="shared" si="20"/>
        <v>0.95288057465984743</v>
      </c>
      <c r="M47" s="1066"/>
      <c r="N47" s="1066">
        <f>M45/M43</f>
        <v>0.92826603303900546</v>
      </c>
      <c r="O47" s="1066"/>
      <c r="P47" s="1066">
        <f>P45/P43</f>
        <v>0.98469323081357696</v>
      </c>
      <c r="Q47" s="1066">
        <f>Q45/Q43</f>
        <v>0.98432340007203745</v>
      </c>
      <c r="R47" s="1066">
        <f>R45/R43</f>
        <v>0.98936663751376741</v>
      </c>
      <c r="S47" s="1066">
        <f>S45/S43</f>
        <v>0.98560143509079279</v>
      </c>
      <c r="T47" s="1066">
        <f>T45/T43</f>
        <v>0.98887902561386032</v>
      </c>
      <c r="U47" s="1066"/>
      <c r="V47" s="501">
        <f>(P47*Q47*R47*S47*T47)^(1/5)</f>
        <v>0.9865704499795438</v>
      </c>
      <c r="W47" s="1066"/>
      <c r="X47" s="1066"/>
      <c r="Y47" s="1066">
        <f>Y45/Y43</f>
        <v>0.97270960084044678</v>
      </c>
      <c r="Z47" s="1066">
        <f>Z45/Z43</f>
        <v>0.98143236074270557</v>
      </c>
      <c r="AA47" s="1066">
        <f>AA45/AA43</f>
        <v>0.98023715415019763</v>
      </c>
      <c r="AB47" s="1066">
        <f>AB45/AB43</f>
        <v>0.98514115898959886</v>
      </c>
      <c r="AC47" s="1066">
        <f>AC45/AC43</f>
        <v>0.98555914972273573</v>
      </c>
      <c r="AD47" s="1066"/>
      <c r="AE47" s="1066"/>
      <c r="AF47" s="1066"/>
      <c r="AG47" s="1066"/>
    </row>
    <row r="48" spans="1:33" s="228" customFormat="1" hidden="1">
      <c r="A48" s="1043"/>
      <c r="B48" s="326" t="s">
        <v>470</v>
      </c>
      <c r="C48" s="319">
        <f t="shared" ref="C48:L48" si="21">C9</f>
        <v>781630</v>
      </c>
      <c r="D48" s="319">
        <f t="shared" si="21"/>
        <v>1012420</v>
      </c>
      <c r="E48" s="319">
        <f t="shared" si="21"/>
        <v>1278230</v>
      </c>
      <c r="F48" s="319">
        <f t="shared" si="21"/>
        <v>1827240</v>
      </c>
      <c r="G48" s="319">
        <f t="shared" si="21"/>
        <v>2445921.4765880005</v>
      </c>
      <c r="H48" s="319">
        <f t="shared" si="21"/>
        <v>2716706.9705919996</v>
      </c>
      <c r="I48" s="319">
        <f t="shared" si="21"/>
        <v>2881335.0339119998</v>
      </c>
      <c r="J48" s="319">
        <f t="shared" si="21"/>
        <v>2871723.7974100001</v>
      </c>
      <c r="K48" s="319">
        <f t="shared" si="21"/>
        <v>2637997.8620639998</v>
      </c>
      <c r="L48" s="319">
        <f t="shared" si="21"/>
        <v>3357995</v>
      </c>
      <c r="M48" s="319">
        <f>SUM(H48:L48)</f>
        <v>14465758.663977999</v>
      </c>
      <c r="N48" s="592"/>
      <c r="O48" s="592"/>
      <c r="P48" s="319">
        <f>P9</f>
        <v>4473231</v>
      </c>
      <c r="Q48" s="319">
        <f>Q9</f>
        <v>4627083</v>
      </c>
      <c r="R48" s="319">
        <f>R9</f>
        <v>4694910</v>
      </c>
      <c r="S48" s="319">
        <f>S9</f>
        <v>6156473</v>
      </c>
      <c r="T48" s="319">
        <f>T9</f>
        <v>5525936</v>
      </c>
      <c r="U48" s="319">
        <f>SUM(P48:T48)</f>
        <v>25477633</v>
      </c>
      <c r="V48" s="319"/>
      <c r="W48" s="592"/>
      <c r="X48" s="592"/>
      <c r="Y48" s="319">
        <f>Y9</f>
        <v>4493500</v>
      </c>
      <c r="Z48" s="319">
        <f>Z9</f>
        <v>4726000</v>
      </c>
      <c r="AA48" s="319">
        <f>AA9</f>
        <v>4940000</v>
      </c>
      <c r="AB48" s="319">
        <f>AB9</f>
        <v>5456000</v>
      </c>
      <c r="AC48" s="319">
        <f>AC9</f>
        <v>6031000</v>
      </c>
      <c r="AD48" s="319">
        <f>SUM(Y48:AC48)</f>
        <v>25646500</v>
      </c>
      <c r="AE48" s="592"/>
      <c r="AF48" s="592"/>
      <c r="AG48" s="592"/>
    </row>
    <row r="49" spans="1:33" s="1069" customFormat="1" hidden="1">
      <c r="A49" s="491" t="s">
        <v>137</v>
      </c>
      <c r="B49" s="492" t="s">
        <v>494</v>
      </c>
      <c r="C49" s="1068"/>
      <c r="D49" s="1068"/>
      <c r="E49" s="1068"/>
      <c r="F49" s="1068"/>
      <c r="G49" s="1066"/>
      <c r="H49" s="1066">
        <f>H48/G48</f>
        <v>1.1107089890644151</v>
      </c>
      <c r="I49" s="1066">
        <f>I48/H48</f>
        <v>1.0605983880860459</v>
      </c>
      <c r="J49" s="1066">
        <f>J48/I48</f>
        <v>0.99666431137341549</v>
      </c>
      <c r="K49" s="1066">
        <f>K48/J48</f>
        <v>0.91861127607160653</v>
      </c>
      <c r="L49" s="1066">
        <f>L48/K48</f>
        <v>1.2729331771985084</v>
      </c>
      <c r="M49" s="1066"/>
      <c r="N49" s="1066">
        <f>(H49*I49*J49*K49*L49)^(1/5)-1</f>
        <v>6.5436343162004418E-2</v>
      </c>
      <c r="O49" s="1066"/>
      <c r="P49" s="1066">
        <f>P48/L48</f>
        <v>1.3321136571078873</v>
      </c>
      <c r="Q49" s="1066">
        <f>Q48/P48</f>
        <v>1.0343939313663881</v>
      </c>
      <c r="R49" s="1066">
        <f>R48/Q48</f>
        <v>1.0146586953378618</v>
      </c>
      <c r="S49" s="1066">
        <f>S48/R48</f>
        <v>1.3113079909945025</v>
      </c>
      <c r="T49" s="1066">
        <f>T48/S48</f>
        <v>0.8975814561356803</v>
      </c>
      <c r="U49" s="1066"/>
      <c r="V49" s="1066">
        <f>(P49*Q49*R49*S49*T49)^(1/5)-1</f>
        <v>0.10475292759219745</v>
      </c>
      <c r="W49" s="1066"/>
      <c r="X49" s="1066"/>
      <c r="Y49" s="1066">
        <f>Y48/T48</f>
        <v>0.81316540763410938</v>
      </c>
      <c r="Z49" s="1066">
        <f>Z48/Y48</f>
        <v>1.0517414042505842</v>
      </c>
      <c r="AA49" s="1066">
        <f>AA48/Z48</f>
        <v>1.0452814219212865</v>
      </c>
      <c r="AB49" s="1066">
        <f>AB48/AA48</f>
        <v>1.1044534412955465</v>
      </c>
      <c r="AC49" s="1066">
        <f>AC48/AB48</f>
        <v>1.1053885630498534</v>
      </c>
      <c r="AD49" s="1066"/>
      <c r="AE49" s="1066">
        <f>(AA49*AB49*AC49*Y49*Z49)^(1/5)-1</f>
        <v>1.7645919550230538E-2</v>
      </c>
      <c r="AF49" s="1066"/>
      <c r="AG49" s="1066"/>
    </row>
    <row r="50" spans="1:33" s="1069" customFormat="1" hidden="1">
      <c r="A50" s="491" t="s">
        <v>137</v>
      </c>
      <c r="B50" s="492" t="s">
        <v>496</v>
      </c>
      <c r="C50" s="1068"/>
      <c r="D50" s="1068"/>
      <c r="E50" s="1068"/>
      <c r="F50" s="1068"/>
      <c r="G50" s="1066"/>
      <c r="H50" s="1066">
        <f t="shared" ref="H50:M50" si="22">H48/H43</f>
        <v>0.6536349566604035</v>
      </c>
      <c r="I50" s="1066">
        <f t="shared" si="22"/>
        <v>0.63765335397732692</v>
      </c>
      <c r="J50" s="1066">
        <f t="shared" si="22"/>
        <v>0.62657852921083146</v>
      </c>
      <c r="K50" s="1066">
        <f t="shared" si="22"/>
        <v>0.64147130293479837</v>
      </c>
      <c r="L50" s="1066">
        <f t="shared" si="22"/>
        <v>0.64889331447584975</v>
      </c>
      <c r="M50" s="1066">
        <f t="shared" si="22"/>
        <v>0.64162460022335932</v>
      </c>
      <c r="N50" s="1066"/>
      <c r="O50" s="1066"/>
      <c r="P50" s="1066">
        <f>P48/P43</f>
        <v>0.70613844618730981</v>
      </c>
      <c r="Q50" s="1066">
        <f>Q48/Q43</f>
        <v>0.67528979876812534</v>
      </c>
      <c r="R50" s="1066">
        <f>R48/R43</f>
        <v>0.67225067827742446</v>
      </c>
      <c r="S50" s="1066">
        <f>S48/S43</f>
        <v>0.70191128436361916</v>
      </c>
      <c r="T50" s="1066">
        <f>T48/T43</f>
        <v>0.65544419965493295</v>
      </c>
      <c r="U50" s="1066">
        <f>U48/$U$43</f>
        <v>0.6817217277675055</v>
      </c>
      <c r="V50" s="1066"/>
      <c r="W50" s="1066"/>
      <c r="X50" s="1066"/>
      <c r="Y50" s="1066">
        <f>Y48/Y43</f>
        <v>0.62294598343672092</v>
      </c>
      <c r="Z50" s="1066">
        <f>Z48/Z43</f>
        <v>0.62679045092838193</v>
      </c>
      <c r="AA50" s="1066">
        <f>AA48/AA43</f>
        <v>0.65085638998682482</v>
      </c>
      <c r="AB50" s="1066">
        <f>AB48/AB43</f>
        <v>0.67558197127290742</v>
      </c>
      <c r="AC50" s="1066">
        <f>AC48/AC43</f>
        <v>0.69674214417744917</v>
      </c>
      <c r="AD50" s="1066"/>
      <c r="AE50" s="1066"/>
      <c r="AF50" s="1066"/>
      <c r="AG50" s="1066"/>
    </row>
    <row r="51" spans="1:33" s="228" customFormat="1" hidden="1">
      <c r="A51" s="1043" t="s">
        <v>35</v>
      </c>
      <c r="B51" s="632" t="s">
        <v>497</v>
      </c>
      <c r="C51" s="319">
        <f t="shared" ref="C51:L51" si="23">C28</f>
        <v>230940</v>
      </c>
      <c r="D51" s="319">
        <f t="shared" si="23"/>
        <v>305720</v>
      </c>
      <c r="E51" s="319">
        <f t="shared" si="23"/>
        <v>329200</v>
      </c>
      <c r="F51" s="319">
        <f t="shared" si="23"/>
        <v>308830</v>
      </c>
      <c r="G51" s="319">
        <f t="shared" si="23"/>
        <v>306565.00754700002</v>
      </c>
      <c r="H51" s="319">
        <f t="shared" si="23"/>
        <v>357566.61864</v>
      </c>
      <c r="I51" s="319">
        <f t="shared" si="23"/>
        <v>418951.84585500002</v>
      </c>
      <c r="J51" s="319">
        <f t="shared" si="23"/>
        <v>456841.14694599999</v>
      </c>
      <c r="K51" s="319">
        <f t="shared" si="23"/>
        <v>140078.797276</v>
      </c>
      <c r="L51" s="319">
        <f t="shared" si="23"/>
        <v>243841</v>
      </c>
      <c r="M51" s="319">
        <f>SUM(H51:L51)</f>
        <v>1617279.4087169999</v>
      </c>
      <c r="N51" s="592"/>
      <c r="O51" s="592"/>
      <c r="P51" s="319">
        <f>P28</f>
        <v>96965</v>
      </c>
      <c r="Q51" s="319">
        <f>Q28</f>
        <v>107416</v>
      </c>
      <c r="R51" s="319">
        <f>R28</f>
        <v>74262</v>
      </c>
      <c r="S51" s="319">
        <f>S28</f>
        <v>126290</v>
      </c>
      <c r="T51" s="319">
        <f>T28</f>
        <v>93759</v>
      </c>
      <c r="U51" s="319">
        <f>SUM(P51:T51)</f>
        <v>498692</v>
      </c>
      <c r="V51" s="319"/>
      <c r="W51" s="592"/>
      <c r="X51" s="592"/>
      <c r="Y51" s="319">
        <f>Y28</f>
        <v>196854</v>
      </c>
      <c r="Z51" s="319">
        <f>Z28</f>
        <v>140000</v>
      </c>
      <c r="AA51" s="319">
        <f>AA28</f>
        <v>150000</v>
      </c>
      <c r="AB51" s="319">
        <f>AB28</f>
        <v>120000</v>
      </c>
      <c r="AC51" s="319">
        <f>AC28</f>
        <v>125000</v>
      </c>
      <c r="AD51" s="319">
        <f>SUM(Y51:AC51)</f>
        <v>731854</v>
      </c>
      <c r="AE51" s="592"/>
      <c r="AF51" s="592"/>
      <c r="AG51" s="592"/>
    </row>
    <row r="52" spans="1:33" s="1069" customFormat="1" hidden="1">
      <c r="A52" s="491" t="s">
        <v>137</v>
      </c>
      <c r="B52" s="492" t="s">
        <v>494</v>
      </c>
      <c r="C52" s="1068"/>
      <c r="D52" s="1068"/>
      <c r="E52" s="1068"/>
      <c r="F52" s="1068"/>
      <c r="G52" s="1066"/>
      <c r="H52" s="1066">
        <f>H51/G51</f>
        <v>1.1663647508275414</v>
      </c>
      <c r="I52" s="1066">
        <f>I51/H51</f>
        <v>1.1716749383610749</v>
      </c>
      <c r="J52" s="1066">
        <f>J51/I51</f>
        <v>1.0904383199784577</v>
      </c>
      <c r="K52" s="1066">
        <f>K51/J51</f>
        <v>0.30662473862617662</v>
      </c>
      <c r="L52" s="1066">
        <f>L51/K51</f>
        <v>1.7407416735564576</v>
      </c>
      <c r="M52" s="1066"/>
      <c r="N52" s="1066">
        <f>(H52*I52*J52*K52*L52)^(1/5)-1</f>
        <v>-4.4750476186834587E-2</v>
      </c>
      <c r="O52" s="1066"/>
      <c r="P52" s="1066">
        <f>P51/L51</f>
        <v>0.39765666971510122</v>
      </c>
      <c r="Q52" s="1066">
        <f>Q51/P51</f>
        <v>1.1077811581498478</v>
      </c>
      <c r="R52" s="1066">
        <f>R51/Q51</f>
        <v>0.69134951962463698</v>
      </c>
      <c r="S52" s="1066">
        <f>S51/R51</f>
        <v>1.7006005763378309</v>
      </c>
      <c r="T52" s="1066">
        <f>T51/S51</f>
        <v>0.74241032544144425</v>
      </c>
      <c r="U52" s="1066"/>
      <c r="V52" s="1066">
        <f>(P52*Q52*R52*S52*T52)^(1/5)-1</f>
        <v>-0.17399771792258245</v>
      </c>
      <c r="W52" s="1066"/>
      <c r="X52" s="1066"/>
      <c r="Y52" s="1066">
        <f>Y51/T51</f>
        <v>2.0995744408536781</v>
      </c>
      <c r="Z52" s="1066">
        <f>Z51/Y51</f>
        <v>0.71118697105469031</v>
      </c>
      <c r="AA52" s="1066">
        <f>AA51/Z51</f>
        <v>1.0714285714285714</v>
      </c>
      <c r="AB52" s="1066">
        <f>AB51/AA51</f>
        <v>0.8</v>
      </c>
      <c r="AC52" s="1066">
        <f>AC51/AB51</f>
        <v>1.0416666666666667</v>
      </c>
      <c r="AD52" s="1066"/>
      <c r="AE52" s="1066">
        <f>(AA52*AB52*AC52*Y52*Z52)^(1/5)-1</f>
        <v>5.920350512239847E-2</v>
      </c>
      <c r="AF52" s="1066"/>
      <c r="AG52" s="1066"/>
    </row>
    <row r="53" spans="1:33" s="1069" customFormat="1" hidden="1">
      <c r="A53" s="491" t="s">
        <v>137</v>
      </c>
      <c r="B53" s="492" t="s">
        <v>496</v>
      </c>
      <c r="C53" s="1068">
        <f t="shared" ref="C53:M53" si="24">C51/C43</f>
        <v>0.14865978319643638</v>
      </c>
      <c r="D53" s="1068">
        <f t="shared" si="24"/>
        <v>0.12018493667941868</v>
      </c>
      <c r="E53" s="1068">
        <f t="shared" si="24"/>
        <v>0.13145757378515552</v>
      </c>
      <c r="F53" s="1068">
        <f t="shared" si="24"/>
        <v>0.10515795997030802</v>
      </c>
      <c r="G53" s="1066">
        <f t="shared" si="24"/>
        <v>7.7210522438473803E-2</v>
      </c>
      <c r="H53" s="1066">
        <f t="shared" si="24"/>
        <v>8.6029904515993405E-2</v>
      </c>
      <c r="I53" s="1066">
        <f t="shared" si="24"/>
        <v>9.2716066170801248E-2</v>
      </c>
      <c r="J53" s="1066">
        <f t="shared" si="24"/>
        <v>9.9677710716671045E-2</v>
      </c>
      <c r="K53" s="1066">
        <f t="shared" si="24"/>
        <v>3.4062396294692383E-2</v>
      </c>
      <c r="L53" s="1066">
        <f t="shared" si="24"/>
        <v>4.7119425340152586E-2</v>
      </c>
      <c r="M53" s="1066">
        <f t="shared" si="24"/>
        <v>7.1733966960994378E-2</v>
      </c>
      <c r="N53" s="1066"/>
      <c r="O53" s="1066"/>
      <c r="P53" s="1066">
        <f>P51/P43</f>
        <v>1.5306769186423078E-2</v>
      </c>
      <c r="Q53" s="1066">
        <f>Q51/Q43</f>
        <v>1.5676599927962595E-2</v>
      </c>
      <c r="R53" s="1066">
        <f>R51/R43</f>
        <v>1.0633362486232558E-2</v>
      </c>
      <c r="S53" s="1066">
        <f>S51/S43</f>
        <v>1.4398564909207181E-2</v>
      </c>
      <c r="T53" s="1066">
        <f>T51/T43</f>
        <v>1.1120974386139626E-2</v>
      </c>
      <c r="U53" s="1066">
        <f>U51/$U$43</f>
        <v>1.3343828756142019E-2</v>
      </c>
      <c r="V53" s="1066"/>
      <c r="W53" s="1066"/>
      <c r="X53" s="1066"/>
      <c r="Y53" s="1066">
        <f>Y51/Y43</f>
        <v>2.7290399159553193E-2</v>
      </c>
      <c r="Z53" s="1066">
        <f>Z51/Z43</f>
        <v>1.8567639257294429E-2</v>
      </c>
      <c r="AA53" s="1066">
        <f>AA51/AA43</f>
        <v>1.9762845849802372E-2</v>
      </c>
      <c r="AB53" s="1066">
        <f>AB51/AB43</f>
        <v>1.4858841010401188E-2</v>
      </c>
      <c r="AC53" s="1066">
        <f>AC51/AC43</f>
        <v>1.4440850277264326E-2</v>
      </c>
      <c r="AD53" s="1066"/>
      <c r="AE53" s="1066"/>
      <c r="AF53" s="1066"/>
      <c r="AG53" s="1066"/>
    </row>
    <row r="54" spans="1:33" s="228" customFormat="1" hidden="1">
      <c r="A54" s="1043" t="s">
        <v>36</v>
      </c>
      <c r="B54" s="632" t="s">
        <v>480</v>
      </c>
      <c r="C54" s="319">
        <f t="shared" ref="C54:L54" si="25">C29</f>
        <v>0</v>
      </c>
      <c r="D54" s="319">
        <f t="shared" si="25"/>
        <v>0</v>
      </c>
      <c r="E54" s="319">
        <f t="shared" si="25"/>
        <v>0</v>
      </c>
      <c r="F54" s="319">
        <f t="shared" si="25"/>
        <v>0</v>
      </c>
      <c r="G54" s="319">
        <f t="shared" si="25"/>
        <v>0</v>
      </c>
      <c r="H54" s="319">
        <f t="shared" si="25"/>
        <v>0</v>
      </c>
      <c r="I54" s="319">
        <f t="shared" si="25"/>
        <v>0</v>
      </c>
      <c r="J54" s="319">
        <f t="shared" si="25"/>
        <v>0</v>
      </c>
      <c r="K54" s="319">
        <f t="shared" si="25"/>
        <v>0</v>
      </c>
      <c r="L54" s="319">
        <f t="shared" si="25"/>
        <v>0</v>
      </c>
      <c r="M54" s="319">
        <f>SUM(H54:L54)</f>
        <v>0</v>
      </c>
      <c r="N54" s="592"/>
      <c r="O54" s="592"/>
      <c r="P54" s="319"/>
      <c r="Q54" s="319"/>
      <c r="R54" s="319"/>
      <c r="S54" s="319"/>
      <c r="T54" s="319"/>
      <c r="U54" s="319">
        <f>SUM(P54:S54)</f>
        <v>0</v>
      </c>
      <c r="V54" s="319"/>
      <c r="W54" s="592"/>
      <c r="X54" s="592"/>
      <c r="Y54" s="319"/>
      <c r="Z54" s="319"/>
      <c r="AA54" s="319"/>
      <c r="AB54" s="319"/>
      <c r="AC54" s="319"/>
      <c r="AD54" s="319">
        <f>SUM(Y54:AC54)</f>
        <v>0</v>
      </c>
      <c r="AE54" s="592"/>
      <c r="AF54" s="592"/>
      <c r="AG54" s="592"/>
    </row>
    <row r="55" spans="1:33" s="1069" customFormat="1" hidden="1">
      <c r="A55" s="491" t="s">
        <v>137</v>
      </c>
      <c r="B55" s="492" t="s">
        <v>494</v>
      </c>
      <c r="C55" s="1068"/>
      <c r="D55" s="1068"/>
      <c r="E55" s="1068"/>
      <c r="F55" s="1068"/>
      <c r="G55" s="1068"/>
      <c r="H55" s="1068"/>
      <c r="I55" s="1068"/>
      <c r="J55" s="1068"/>
      <c r="K55" s="1068"/>
      <c r="L55" s="1068"/>
      <c r="M55" s="1068"/>
      <c r="N55" s="1066"/>
      <c r="O55" s="1066"/>
      <c r="P55" s="1068"/>
      <c r="Q55" s="1068"/>
      <c r="R55" s="1068"/>
      <c r="S55" s="1068"/>
      <c r="T55" s="1068"/>
      <c r="U55" s="1068"/>
      <c r="V55" s="1068"/>
      <c r="W55" s="1066"/>
      <c r="X55" s="1066"/>
      <c r="Y55" s="1068"/>
      <c r="Z55" s="1068"/>
      <c r="AA55" s="1068"/>
      <c r="AB55" s="1068"/>
      <c r="AC55" s="1068"/>
      <c r="AD55" s="1068"/>
      <c r="AE55" s="1066"/>
      <c r="AF55" s="1066"/>
      <c r="AG55" s="1066"/>
    </row>
    <row r="56" spans="1:33" s="1069" customFormat="1" hidden="1">
      <c r="A56" s="491" t="s">
        <v>137</v>
      </c>
      <c r="B56" s="492" t="s">
        <v>496</v>
      </c>
      <c r="C56" s="1068"/>
      <c r="D56" s="1068"/>
      <c r="E56" s="1068"/>
      <c r="F56" s="1068"/>
      <c r="G56" s="1068"/>
      <c r="H56" s="1068"/>
      <c r="I56" s="1068"/>
      <c r="J56" s="1068"/>
      <c r="K56" s="1068"/>
      <c r="L56" s="1068"/>
      <c r="M56" s="1068"/>
      <c r="N56" s="1066"/>
      <c r="O56" s="1066"/>
      <c r="P56" s="1068"/>
      <c r="Q56" s="1068"/>
      <c r="R56" s="1068"/>
      <c r="S56" s="1068"/>
      <c r="T56" s="1068"/>
      <c r="U56" s="1068"/>
      <c r="V56" s="1068"/>
      <c r="W56" s="1066"/>
      <c r="X56" s="1066"/>
      <c r="Y56" s="1068"/>
      <c r="Z56" s="1068"/>
      <c r="AA56" s="1068"/>
      <c r="AB56" s="1068"/>
      <c r="AC56" s="1068"/>
      <c r="AD56" s="1068"/>
      <c r="AE56" s="1066"/>
      <c r="AF56" s="1066"/>
      <c r="AG56" s="1066"/>
    </row>
    <row r="57" spans="1:33" s="228" customFormat="1" hidden="1">
      <c r="A57" s="1043">
        <v>7</v>
      </c>
      <c r="B57" s="1044" t="s">
        <v>498</v>
      </c>
      <c r="C57" s="319">
        <f t="shared" ref="C57:M57" si="26">C7</f>
        <v>1553480</v>
      </c>
      <c r="D57" s="319">
        <f t="shared" si="26"/>
        <v>2543746.399896</v>
      </c>
      <c r="E57" s="319">
        <f t="shared" si="26"/>
        <v>2504230</v>
      </c>
      <c r="F57" s="319">
        <f t="shared" si="26"/>
        <v>2936820</v>
      </c>
      <c r="G57" s="319">
        <f t="shared" si="26"/>
        <v>3970508.1362620005</v>
      </c>
      <c r="H57" s="319">
        <f t="shared" si="26"/>
        <v>4156306.1199669996</v>
      </c>
      <c r="I57" s="319">
        <f t="shared" si="26"/>
        <v>4518654.2436259994</v>
      </c>
      <c r="J57" s="319">
        <f t="shared" si="26"/>
        <v>4583182.5757370004</v>
      </c>
      <c r="K57" s="319">
        <f t="shared" si="26"/>
        <v>4112417.5781439999</v>
      </c>
      <c r="L57" s="319">
        <f t="shared" si="26"/>
        <v>5174957</v>
      </c>
      <c r="M57" s="319">
        <f t="shared" si="26"/>
        <v>22545517.517473999</v>
      </c>
      <c r="N57" s="592">
        <f>((L57/H57))^(1/(5-1))-1</f>
        <v>5.6330463780306372E-2</v>
      </c>
      <c r="O57" s="592">
        <f t="shared" ref="O57:O64" si="27">M57/$M$57</f>
        <v>1</v>
      </c>
      <c r="P57" s="319">
        <f>P7</f>
        <v>6334779</v>
      </c>
      <c r="Q57" s="319">
        <f>Q7</f>
        <v>6851996</v>
      </c>
      <c r="R57" s="319">
        <f>R7</f>
        <v>6983868</v>
      </c>
      <c r="S57" s="319">
        <f>S7</f>
        <v>8771013</v>
      </c>
      <c r="T57" s="319">
        <f>T7</f>
        <v>8430826</v>
      </c>
      <c r="U57" s="319">
        <f t="shared" ref="U57:U64" si="28">SUM(P57:T57)</f>
        <v>37372482</v>
      </c>
      <c r="V57" s="592"/>
      <c r="W57" s="592"/>
      <c r="X57" s="592">
        <f t="shared" ref="X57:X64" si="29">U57/M57-1</f>
        <v>0.65764578129707152</v>
      </c>
      <c r="Y57" s="319">
        <f>Y7</f>
        <v>7213306</v>
      </c>
      <c r="Z57" s="319">
        <f>Z7</f>
        <v>7540000</v>
      </c>
      <c r="AA57" s="319">
        <f>AA7</f>
        <v>7590000</v>
      </c>
      <c r="AB57" s="319">
        <f>AB7</f>
        <v>8076000</v>
      </c>
      <c r="AC57" s="319">
        <f>AC7</f>
        <v>8656000</v>
      </c>
      <c r="AD57" s="319">
        <f t="shared" ref="AD57:AD64" si="30">SUM(Y57:AC57)</f>
        <v>39075306</v>
      </c>
      <c r="AE57" s="592"/>
      <c r="AF57" s="592">
        <f t="shared" ref="AF57:AF64" si="31">AD57/$AD$57</f>
        <v>1</v>
      </c>
      <c r="AG57" s="592">
        <f>AD57/U57-1</f>
        <v>4.5563578035839214E-2</v>
      </c>
    </row>
    <row r="58" spans="1:33" s="226" customFormat="1" hidden="1">
      <c r="A58" s="1070" t="s">
        <v>34</v>
      </c>
      <c r="B58" s="1071" t="s">
        <v>499</v>
      </c>
      <c r="C58" s="1072">
        <f t="shared" ref="C58:H58" si="32">SUM(C59:C62)</f>
        <v>641350</v>
      </c>
      <c r="D58" s="1072">
        <f t="shared" si="32"/>
        <v>1201256.399896</v>
      </c>
      <c r="E58" s="1072">
        <f t="shared" si="32"/>
        <v>889140</v>
      </c>
      <c r="F58" s="1072">
        <f t="shared" si="32"/>
        <v>1311340</v>
      </c>
      <c r="G58" s="1072">
        <f t="shared" si="32"/>
        <v>1821513.2475960001</v>
      </c>
      <c r="H58" s="1072">
        <f t="shared" si="32"/>
        <v>1857572.9357869998</v>
      </c>
      <c r="I58" s="1072">
        <f>SUM(I59:I62)</f>
        <v>2072539.6609430001</v>
      </c>
      <c r="J58" s="1072">
        <f>SUM(J59:J62)</f>
        <v>2133134.8145989999</v>
      </c>
      <c r="K58" s="1072">
        <f>SUM(K59:K62)</f>
        <v>2096926.1036820002</v>
      </c>
      <c r="L58" s="1072">
        <f>SUM(L59:L62)</f>
        <v>3025970</v>
      </c>
      <c r="M58" s="1072">
        <f>SUM(M59:M62)</f>
        <v>11186143.515011001</v>
      </c>
      <c r="N58" s="1073">
        <f t="shared" ref="N58:N64" si="33">((L58/H58))^(1/(5-1))-1</f>
        <v>0.12974306945637393</v>
      </c>
      <c r="O58" s="1073">
        <f>M58/$M$57</f>
        <v>0.49615820556530288</v>
      </c>
      <c r="P58" s="1072">
        <f>SUM(P59:P62)</f>
        <v>4110721</v>
      </c>
      <c r="Q58" s="1072">
        <f>SUM(Q59:Q62)</f>
        <v>4008903</v>
      </c>
      <c r="R58" s="1072">
        <f>SUM(R59:R62)</f>
        <v>3661258</v>
      </c>
      <c r="S58" s="1072">
        <f>SUM(S59:S62)</f>
        <v>4507747</v>
      </c>
      <c r="T58" s="1072">
        <f>SUM(T59:T62)</f>
        <v>4554792</v>
      </c>
      <c r="U58" s="1072">
        <f t="shared" si="28"/>
        <v>20843421</v>
      </c>
      <c r="V58" s="1073"/>
      <c r="W58" s="1073"/>
      <c r="X58" s="1073">
        <f t="shared" si="29"/>
        <v>0.86332501205885892</v>
      </c>
      <c r="Y58" s="1072">
        <f>SUM(Y59:Y62)</f>
        <v>3127589</v>
      </c>
      <c r="Z58" s="1072">
        <f>SUM(Z59:Z62)</f>
        <v>3276000</v>
      </c>
      <c r="AA58" s="1072">
        <f>SUM(AA59:AA62)</f>
        <v>3700000</v>
      </c>
      <c r="AB58" s="1072">
        <f>SUM(AB59:AB62)</f>
        <v>3910000</v>
      </c>
      <c r="AC58" s="1072">
        <f>SUM(AC59:AC62)</f>
        <v>4141000</v>
      </c>
      <c r="AD58" s="1072">
        <f t="shared" si="30"/>
        <v>18154589</v>
      </c>
      <c r="AE58" s="1073"/>
      <c r="AF58" s="1073">
        <f t="shared" si="31"/>
        <v>0.46460516521610862</v>
      </c>
      <c r="AG58" s="1073">
        <f t="shared" ref="AG58:AG64" si="34">AD58/U58-1</f>
        <v>-0.12900147245502547</v>
      </c>
    </row>
    <row r="59" spans="1:33" s="234" customFormat="1" hidden="1">
      <c r="A59" s="491" t="s">
        <v>137</v>
      </c>
      <c r="B59" s="1074" t="s">
        <v>500</v>
      </c>
      <c r="C59" s="1056">
        <f t="shared" ref="C59:M60" si="35">C10</f>
        <v>92540</v>
      </c>
      <c r="D59" s="1056">
        <f t="shared" si="35"/>
        <v>116990</v>
      </c>
      <c r="E59" s="1056">
        <f t="shared" si="35"/>
        <v>174910</v>
      </c>
      <c r="F59" s="1056">
        <f t="shared" si="35"/>
        <v>255100</v>
      </c>
      <c r="G59" s="1056">
        <f t="shared" si="35"/>
        <v>363111</v>
      </c>
      <c r="H59" s="1056">
        <f t="shared" si="35"/>
        <v>375470.05056100001</v>
      </c>
      <c r="I59" s="1056">
        <f t="shared" si="35"/>
        <v>392086.67269099999</v>
      </c>
      <c r="J59" s="1056">
        <f t="shared" si="35"/>
        <v>377894.530516</v>
      </c>
      <c r="K59" s="1056">
        <f t="shared" si="35"/>
        <v>203043.31661899999</v>
      </c>
      <c r="L59" s="1056">
        <f t="shared" si="35"/>
        <v>205240</v>
      </c>
      <c r="M59" s="1056">
        <f t="shared" si="35"/>
        <v>1553734.570387</v>
      </c>
      <c r="N59" s="583">
        <f t="shared" si="33"/>
        <v>-0.14015201826253876</v>
      </c>
      <c r="O59" s="583">
        <f t="shared" si="27"/>
        <v>6.8915453778462671E-2</v>
      </c>
      <c r="P59" s="1056">
        <f t="shared" ref="P59:R60" si="36">P10</f>
        <v>203694</v>
      </c>
      <c r="Q59" s="1056">
        <f t="shared" si="36"/>
        <v>198943</v>
      </c>
      <c r="R59" s="1056">
        <f t="shared" si="36"/>
        <v>203584</v>
      </c>
      <c r="S59" s="1056">
        <f>S10</f>
        <v>223875</v>
      </c>
      <c r="T59" s="1056">
        <f>T10</f>
        <v>183101</v>
      </c>
      <c r="U59" s="1056">
        <f t="shared" si="28"/>
        <v>1013197</v>
      </c>
      <c r="V59" s="583"/>
      <c r="W59" s="583"/>
      <c r="X59" s="583">
        <f t="shared" si="29"/>
        <v>-0.34789569640093954</v>
      </c>
      <c r="Y59" s="1056">
        <f>Y10</f>
        <v>245001</v>
      </c>
      <c r="Z59" s="1056">
        <f>Z10</f>
        <v>237000</v>
      </c>
      <c r="AA59" s="1056">
        <f t="shared" ref="AA59:AC60" si="37">AA10</f>
        <v>250000</v>
      </c>
      <c r="AB59" s="1056">
        <f t="shared" si="37"/>
        <v>275000</v>
      </c>
      <c r="AC59" s="1056">
        <f t="shared" si="37"/>
        <v>303000</v>
      </c>
      <c r="AD59" s="1056">
        <f t="shared" si="30"/>
        <v>1310001</v>
      </c>
      <c r="AE59" s="583"/>
      <c r="AF59" s="583">
        <f t="shared" si="31"/>
        <v>3.3525034967096613E-2</v>
      </c>
      <c r="AG59" s="583">
        <f t="shared" si="34"/>
        <v>0.2929380959477772</v>
      </c>
    </row>
    <row r="60" spans="1:33" s="234" customFormat="1" hidden="1">
      <c r="A60" s="491" t="s">
        <v>137</v>
      </c>
      <c r="B60" s="1074" t="s">
        <v>501</v>
      </c>
      <c r="C60" s="1056">
        <f t="shared" si="35"/>
        <v>44800</v>
      </c>
      <c r="D60" s="1056">
        <f t="shared" si="35"/>
        <v>101880</v>
      </c>
      <c r="E60" s="1056">
        <f t="shared" si="35"/>
        <v>76050</v>
      </c>
      <c r="F60" s="1056">
        <f t="shared" si="35"/>
        <v>172870</v>
      </c>
      <c r="G60" s="1056">
        <f t="shared" si="35"/>
        <v>148607</v>
      </c>
      <c r="H60" s="1056">
        <f t="shared" si="35"/>
        <v>143351.48759800001</v>
      </c>
      <c r="I60" s="1056">
        <f t="shared" si="35"/>
        <v>229165.69016900001</v>
      </c>
      <c r="J60" s="1056">
        <f t="shared" si="35"/>
        <v>259813.95480400001</v>
      </c>
      <c r="K60" s="1056">
        <f t="shared" si="35"/>
        <v>268703.66079599998</v>
      </c>
      <c r="L60" s="1056">
        <f t="shared" si="35"/>
        <v>332356</v>
      </c>
      <c r="M60" s="1056">
        <f t="shared" si="35"/>
        <v>1233390.7933670001</v>
      </c>
      <c r="N60" s="583">
        <f t="shared" si="33"/>
        <v>0.23395786331815405</v>
      </c>
      <c r="O60" s="583">
        <f t="shared" si="27"/>
        <v>5.4706696903766137E-2</v>
      </c>
      <c r="P60" s="1056">
        <f t="shared" si="36"/>
        <v>323641</v>
      </c>
      <c r="Q60" s="1056">
        <f t="shared" si="36"/>
        <v>384159</v>
      </c>
      <c r="R60" s="1056">
        <f t="shared" si="36"/>
        <v>385864</v>
      </c>
      <c r="S60" s="1056">
        <f>S11</f>
        <v>479648</v>
      </c>
      <c r="T60" s="1056">
        <f>T11</f>
        <v>455220</v>
      </c>
      <c r="U60" s="1056">
        <f t="shared" si="28"/>
        <v>2028532</v>
      </c>
      <c r="V60" s="583"/>
      <c r="W60" s="583"/>
      <c r="X60" s="583">
        <f t="shared" si="29"/>
        <v>0.64467905136730064</v>
      </c>
      <c r="Y60" s="1056">
        <f>Y11</f>
        <v>286473</v>
      </c>
      <c r="Z60" s="1056">
        <f>Z11</f>
        <v>410000</v>
      </c>
      <c r="AA60" s="1056">
        <f t="shared" si="37"/>
        <v>350000</v>
      </c>
      <c r="AB60" s="1056">
        <f t="shared" si="37"/>
        <v>385000</v>
      </c>
      <c r="AC60" s="1056">
        <f t="shared" si="37"/>
        <v>423000</v>
      </c>
      <c r="AD60" s="1056">
        <f t="shared" si="30"/>
        <v>1854473</v>
      </c>
      <c r="AE60" s="583"/>
      <c r="AF60" s="583">
        <f t="shared" si="31"/>
        <v>4.7458950161516328E-2</v>
      </c>
      <c r="AG60" s="583">
        <f t="shared" si="34"/>
        <v>-8.5805400161298895E-2</v>
      </c>
    </row>
    <row r="61" spans="1:33" s="234" customFormat="1" hidden="1">
      <c r="A61" s="491" t="s">
        <v>137</v>
      </c>
      <c r="B61" s="1074" t="s">
        <v>476</v>
      </c>
      <c r="C61" s="1056">
        <f t="shared" ref="C61:M61" si="38">C18</f>
        <v>154600</v>
      </c>
      <c r="D61" s="1056">
        <f t="shared" si="38"/>
        <v>172040</v>
      </c>
      <c r="E61" s="1056">
        <f t="shared" si="38"/>
        <v>185420</v>
      </c>
      <c r="F61" s="1056">
        <f t="shared" si="38"/>
        <v>382620</v>
      </c>
      <c r="G61" s="1056">
        <f t="shared" si="38"/>
        <v>499448.84769999998</v>
      </c>
      <c r="H61" s="1056">
        <f t="shared" si="38"/>
        <v>650890.53007500002</v>
      </c>
      <c r="I61" s="1056">
        <f t="shared" si="38"/>
        <v>646721.78421900002</v>
      </c>
      <c r="J61" s="1056">
        <f t="shared" si="38"/>
        <v>553543.69900000002</v>
      </c>
      <c r="K61" s="1056">
        <f t="shared" si="38"/>
        <v>670403.16145000001</v>
      </c>
      <c r="L61" s="1056">
        <f t="shared" si="38"/>
        <v>1299030</v>
      </c>
      <c r="M61" s="1056">
        <f t="shared" si="38"/>
        <v>3820589.1747440002</v>
      </c>
      <c r="N61" s="583">
        <f t="shared" si="33"/>
        <v>0.18857832720237511</v>
      </c>
      <c r="O61" s="583">
        <f t="shared" si="27"/>
        <v>0.16946114329745751</v>
      </c>
      <c r="P61" s="1056">
        <f>P18</f>
        <v>2273225</v>
      </c>
      <c r="Q61" s="1056">
        <f>Q18</f>
        <v>1947905</v>
      </c>
      <c r="R61" s="1056">
        <f>R18</f>
        <v>1700536</v>
      </c>
      <c r="S61" s="1056">
        <f>S18</f>
        <v>2280939</v>
      </c>
      <c r="T61" s="1056">
        <f>T18</f>
        <v>1939730</v>
      </c>
      <c r="U61" s="1056">
        <f t="shared" si="28"/>
        <v>10142335</v>
      </c>
      <c r="V61" s="583"/>
      <c r="W61" s="583"/>
      <c r="X61" s="583">
        <f t="shared" si="29"/>
        <v>1.6546520801152589</v>
      </c>
      <c r="Y61" s="1056">
        <f>Y18</f>
        <v>1312857</v>
      </c>
      <c r="Z61" s="1056">
        <f>Z18</f>
        <v>925000</v>
      </c>
      <c r="AA61" s="1056">
        <f>AA18</f>
        <v>1500000</v>
      </c>
      <c r="AB61" s="1056">
        <f>AB18</f>
        <v>1650000</v>
      </c>
      <c r="AC61" s="1056">
        <f>AC18</f>
        <v>1815000</v>
      </c>
      <c r="AD61" s="1056">
        <f t="shared" si="30"/>
        <v>7202857</v>
      </c>
      <c r="AE61" s="583"/>
      <c r="AF61" s="583">
        <f t="shared" si="31"/>
        <v>0.18433270874449453</v>
      </c>
      <c r="AG61" s="583">
        <f t="shared" si="34"/>
        <v>-0.28982260988224107</v>
      </c>
    </row>
    <row r="62" spans="1:33" s="234" customFormat="1" hidden="1">
      <c r="A62" s="491" t="s">
        <v>137</v>
      </c>
      <c r="B62" s="1074" t="s">
        <v>101</v>
      </c>
      <c r="C62" s="1056">
        <f t="shared" ref="C62:M62" si="39">C27</f>
        <v>349410</v>
      </c>
      <c r="D62" s="1056">
        <f t="shared" si="39"/>
        <v>810346.39989600005</v>
      </c>
      <c r="E62" s="1056">
        <f t="shared" si="39"/>
        <v>452760</v>
      </c>
      <c r="F62" s="1056">
        <f t="shared" si="39"/>
        <v>500750</v>
      </c>
      <c r="G62" s="1056">
        <f t="shared" si="39"/>
        <v>810346.39989600005</v>
      </c>
      <c r="H62" s="1056">
        <f t="shared" si="39"/>
        <v>687860.86755299999</v>
      </c>
      <c r="I62" s="1056">
        <f t="shared" si="39"/>
        <v>804565.51386399998</v>
      </c>
      <c r="J62" s="1056">
        <f t="shared" si="39"/>
        <v>941882.63027900003</v>
      </c>
      <c r="K62" s="1056">
        <f t="shared" si="39"/>
        <v>954775.96481699997</v>
      </c>
      <c r="L62" s="1056">
        <f t="shared" si="39"/>
        <v>1189344</v>
      </c>
      <c r="M62" s="1056">
        <f t="shared" si="39"/>
        <v>4578428.9765130002</v>
      </c>
      <c r="N62" s="583">
        <f t="shared" si="33"/>
        <v>0.14670503839993909</v>
      </c>
      <c r="O62" s="583">
        <f t="shared" si="27"/>
        <v>0.2030749115856165</v>
      </c>
      <c r="P62" s="1056">
        <f>P27</f>
        <v>1310161</v>
      </c>
      <c r="Q62" s="1056">
        <f>Q27</f>
        <v>1477896</v>
      </c>
      <c r="R62" s="1056">
        <f>R27</f>
        <v>1371274</v>
      </c>
      <c r="S62" s="1056">
        <f>S27</f>
        <v>1523285</v>
      </c>
      <c r="T62" s="1056">
        <f>T27</f>
        <v>1976741</v>
      </c>
      <c r="U62" s="1056">
        <f t="shared" si="28"/>
        <v>7659357</v>
      </c>
      <c r="V62" s="583"/>
      <c r="W62" s="583"/>
      <c r="X62" s="583">
        <f t="shared" si="29"/>
        <v>0.6729225328801498</v>
      </c>
      <c r="Y62" s="1056">
        <f>Y27</f>
        <v>1283258</v>
      </c>
      <c r="Z62" s="1056">
        <f>Z27</f>
        <v>1704000</v>
      </c>
      <c r="AA62" s="1056">
        <f>AA27</f>
        <v>1600000</v>
      </c>
      <c r="AB62" s="1056">
        <f>AB27</f>
        <v>1600000</v>
      </c>
      <c r="AC62" s="1056">
        <f>AC27</f>
        <v>1600000</v>
      </c>
      <c r="AD62" s="1056">
        <f t="shared" si="30"/>
        <v>7787258</v>
      </c>
      <c r="AE62" s="583"/>
      <c r="AF62" s="583">
        <f t="shared" si="31"/>
        <v>0.19928847134300112</v>
      </c>
      <c r="AG62" s="583">
        <f t="shared" si="34"/>
        <v>1.6698660213905647E-2</v>
      </c>
    </row>
    <row r="63" spans="1:33" s="226" customFormat="1" hidden="1">
      <c r="A63" s="1070" t="s">
        <v>35</v>
      </c>
      <c r="B63" s="1071" t="s">
        <v>502</v>
      </c>
      <c r="C63" s="1072">
        <f t="shared" ref="C63:H63" si="40">C57-C58-C64</f>
        <v>911550</v>
      </c>
      <c r="D63" s="1072">
        <f t="shared" si="40"/>
        <v>1341860</v>
      </c>
      <c r="E63" s="1072">
        <f t="shared" si="40"/>
        <v>1612650</v>
      </c>
      <c r="F63" s="1072">
        <f t="shared" si="40"/>
        <v>1624700</v>
      </c>
      <c r="G63" s="1072">
        <f t="shared" si="40"/>
        <v>2145233.8886660002</v>
      </c>
      <c r="H63" s="1072">
        <f t="shared" si="40"/>
        <v>2290704.576498</v>
      </c>
      <c r="I63" s="1072">
        <f>I57-I58-I64</f>
        <v>2438737.3184049991</v>
      </c>
      <c r="J63" s="1072">
        <f>J57-J58-J64</f>
        <v>2432696.2007730007</v>
      </c>
      <c r="K63" s="1072">
        <f>K57-K58-K64</f>
        <v>1989666.3652289996</v>
      </c>
      <c r="L63" s="1072">
        <f>L57-L58-L64</f>
        <v>2079493</v>
      </c>
      <c r="M63" s="1072">
        <f>M57-M58-M64</f>
        <v>11231297.460904999</v>
      </c>
      <c r="N63" s="1073">
        <f t="shared" si="33"/>
        <v>-2.3893747172246682E-2</v>
      </c>
      <c r="O63" s="1073">
        <f t="shared" si="27"/>
        <v>0.49816099595851521</v>
      </c>
      <c r="P63" s="1072">
        <f>P57-P58-P64</f>
        <v>2162120</v>
      </c>
      <c r="Q63" s="1072">
        <f>Q57-Q58-Q64</f>
        <v>2793308</v>
      </c>
      <c r="R63" s="1072">
        <f>R57-R58-R64</f>
        <v>3286777</v>
      </c>
      <c r="S63" s="1072">
        <f>S57-S58-S64</f>
        <v>4186421</v>
      </c>
      <c r="T63" s="1072">
        <f>T57-T58-T64</f>
        <v>3765875</v>
      </c>
      <c r="U63" s="1072">
        <f t="shared" si="28"/>
        <v>16194501</v>
      </c>
      <c r="V63" s="1073"/>
      <c r="W63" s="1073"/>
      <c r="X63" s="1073">
        <f t="shared" si="29"/>
        <v>0.44190829744928473</v>
      </c>
      <c r="Y63" s="1072">
        <f>Y57-Y58-Y64</f>
        <v>4015240</v>
      </c>
      <c r="Z63" s="1072">
        <f>Z57-Z58-Z64</f>
        <v>4190000</v>
      </c>
      <c r="AA63" s="1072">
        <f>AA57-AA58-AA64</f>
        <v>3820000</v>
      </c>
      <c r="AB63" s="1072">
        <f>AB57-AB58-AB64</f>
        <v>4089000</v>
      </c>
      <c r="AC63" s="1072">
        <f>AC57-AC58-AC64</f>
        <v>4430000</v>
      </c>
      <c r="AD63" s="1072">
        <f t="shared" si="30"/>
        <v>20544240</v>
      </c>
      <c r="AE63" s="1073"/>
      <c r="AF63" s="1073">
        <f t="shared" si="31"/>
        <v>0.52576018214675013</v>
      </c>
      <c r="AG63" s="1073">
        <f t="shared" si="34"/>
        <v>0.26859358000595379</v>
      </c>
    </row>
    <row r="64" spans="1:33" s="226" customFormat="1" hidden="1">
      <c r="A64" s="1070" t="s">
        <v>36</v>
      </c>
      <c r="B64" s="1071" t="s">
        <v>503</v>
      </c>
      <c r="C64" s="1072">
        <f t="shared" ref="C64:M64" si="41">C12</f>
        <v>580</v>
      </c>
      <c r="D64" s="1072">
        <f t="shared" si="41"/>
        <v>630</v>
      </c>
      <c r="E64" s="1072">
        <f t="shared" si="41"/>
        <v>2440</v>
      </c>
      <c r="F64" s="1072">
        <f t="shared" si="41"/>
        <v>780</v>
      </c>
      <c r="G64" s="1072">
        <f t="shared" si="41"/>
        <v>3761</v>
      </c>
      <c r="H64" s="1072">
        <f t="shared" si="41"/>
        <v>8028.6076819999998</v>
      </c>
      <c r="I64" s="1072">
        <f t="shared" si="41"/>
        <v>7377.2642779999996</v>
      </c>
      <c r="J64" s="1072">
        <f t="shared" si="41"/>
        <v>17351.560365000001</v>
      </c>
      <c r="K64" s="1072">
        <f t="shared" si="41"/>
        <v>25825.109232999999</v>
      </c>
      <c r="L64" s="1072">
        <f t="shared" si="41"/>
        <v>69494</v>
      </c>
      <c r="M64" s="1072">
        <f t="shared" si="41"/>
        <v>128076.541558</v>
      </c>
      <c r="N64" s="1073">
        <f t="shared" si="33"/>
        <v>0.71524739460908648</v>
      </c>
      <c r="O64" s="1073">
        <f t="shared" si="27"/>
        <v>5.680798476181961E-3</v>
      </c>
      <c r="P64" s="1072">
        <f>P12</f>
        <v>61938</v>
      </c>
      <c r="Q64" s="1072">
        <f>Q12</f>
        <v>49785</v>
      </c>
      <c r="R64" s="1072">
        <f>R12</f>
        <v>35833</v>
      </c>
      <c r="S64" s="1072">
        <f>S12</f>
        <v>76845</v>
      </c>
      <c r="T64" s="1072">
        <f>T12</f>
        <v>110159</v>
      </c>
      <c r="U64" s="1072">
        <f t="shared" si="28"/>
        <v>334560</v>
      </c>
      <c r="V64" s="1073"/>
      <c r="W64" s="1073"/>
      <c r="X64" s="1073">
        <f t="shared" si="29"/>
        <v>1.6121879614347105</v>
      </c>
      <c r="Y64" s="1072">
        <f>Y12</f>
        <v>70477</v>
      </c>
      <c r="Z64" s="1072">
        <f>Z12</f>
        <v>74000</v>
      </c>
      <c r="AA64" s="1072">
        <f>AA12</f>
        <v>70000</v>
      </c>
      <c r="AB64" s="1072">
        <f>AB12</f>
        <v>77000</v>
      </c>
      <c r="AC64" s="1072">
        <f>AC12</f>
        <v>85000</v>
      </c>
      <c r="AD64" s="1072">
        <f t="shared" si="30"/>
        <v>376477</v>
      </c>
      <c r="AE64" s="1073"/>
      <c r="AF64" s="1073">
        <f t="shared" si="31"/>
        <v>9.634652637141217E-3</v>
      </c>
      <c r="AG64" s="1073">
        <f t="shared" si="34"/>
        <v>0.12528993304638925</v>
      </c>
    </row>
    <row r="65" spans="1:33" s="228" customFormat="1" hidden="1">
      <c r="A65" s="1043">
        <v>8</v>
      </c>
      <c r="B65" s="1044" t="s">
        <v>504</v>
      </c>
      <c r="C65" s="1065">
        <f t="shared" ref="C65:H65" si="42">C57/C57</f>
        <v>1</v>
      </c>
      <c r="D65" s="1065">
        <f t="shared" si="42"/>
        <v>1</v>
      </c>
      <c r="E65" s="1065">
        <f t="shared" si="42"/>
        <v>1</v>
      </c>
      <c r="F65" s="1065">
        <f t="shared" si="42"/>
        <v>1</v>
      </c>
      <c r="G65" s="1065">
        <f t="shared" si="42"/>
        <v>1</v>
      </c>
      <c r="H65" s="1065">
        <f t="shared" si="42"/>
        <v>1</v>
      </c>
      <c r="I65" s="1065">
        <f>I57/I57</f>
        <v>1</v>
      </c>
      <c r="J65" s="1065">
        <f>J57/J57</f>
        <v>1</v>
      </c>
      <c r="K65" s="1065">
        <f>K57/K57</f>
        <v>1</v>
      </c>
      <c r="L65" s="1065">
        <f>L57/L57</f>
        <v>1</v>
      </c>
      <c r="M65" s="319"/>
      <c r="N65" s="592"/>
      <c r="O65" s="592">
        <f>AVERAGE(H65:L65)</f>
        <v>1</v>
      </c>
      <c r="P65" s="1065">
        <f>P57/P57</f>
        <v>1</v>
      </c>
      <c r="Q65" s="1065">
        <f>Q57/Q57</f>
        <v>1</v>
      </c>
      <c r="R65" s="1065">
        <f>R57/R57</f>
        <v>1</v>
      </c>
      <c r="S65" s="1065">
        <f>S57/S57</f>
        <v>1</v>
      </c>
      <c r="T65" s="1065">
        <f>T57/T57</f>
        <v>1</v>
      </c>
      <c r="U65" s="1065"/>
      <c r="V65" s="1065"/>
      <c r="W65" s="592"/>
      <c r="X65" s="592"/>
      <c r="Y65" s="1065">
        <f>Y57/Y57</f>
        <v>1</v>
      </c>
      <c r="Z65" s="1065">
        <f>Z57/Z57</f>
        <v>1</v>
      </c>
      <c r="AA65" s="1065">
        <f>AA57/AA57</f>
        <v>1</v>
      </c>
      <c r="AB65" s="1065">
        <f>AB57/AB57</f>
        <v>1</v>
      </c>
      <c r="AC65" s="1065">
        <f>AC57/AC57</f>
        <v>1</v>
      </c>
      <c r="AD65" s="1065"/>
      <c r="AE65" s="592"/>
      <c r="AF65" s="592">
        <f>AVERAGE(AA65:AC65)</f>
        <v>1</v>
      </c>
      <c r="AG65" s="592"/>
    </row>
    <row r="66" spans="1:33" hidden="1">
      <c r="A66" s="499" t="s">
        <v>34</v>
      </c>
      <c r="B66" s="500" t="s">
        <v>499</v>
      </c>
      <c r="C66" s="605">
        <f t="shared" ref="C66:H66" si="43">C58/C57</f>
        <v>0.41284728480572652</v>
      </c>
      <c r="D66" s="605">
        <f t="shared" si="43"/>
        <v>0.47223905651330372</v>
      </c>
      <c r="E66" s="605">
        <f t="shared" si="43"/>
        <v>0.35505524652288328</v>
      </c>
      <c r="F66" s="605">
        <f t="shared" si="43"/>
        <v>0.44651698095218639</v>
      </c>
      <c r="G66" s="501">
        <f t="shared" si="43"/>
        <v>0.45876073920121657</v>
      </c>
      <c r="H66" s="501">
        <f t="shared" si="43"/>
        <v>0.44692880701524185</v>
      </c>
      <c r="I66" s="501">
        <f>I58/I57</f>
        <v>0.45866303310692969</v>
      </c>
      <c r="J66" s="501">
        <f>J58/J57</f>
        <v>0.46542654134959488</v>
      </c>
      <c r="K66" s="501">
        <f>K58/K57</f>
        <v>0.50990106520952494</v>
      </c>
      <c r="L66" s="501">
        <f>L58/L57</f>
        <v>0.5847333610694736</v>
      </c>
      <c r="M66" s="501"/>
      <c r="N66" s="501"/>
      <c r="O66" s="501">
        <f>AVERAGE(H66:L66)</f>
        <v>0.49313056155015306</v>
      </c>
      <c r="P66" s="501">
        <f>P58/P57</f>
        <v>0.64891308757574651</v>
      </c>
      <c r="Q66" s="501">
        <f>Q58/Q57</f>
        <v>0.58507083191525511</v>
      </c>
      <c r="R66" s="501">
        <f>R58/R57</f>
        <v>0.52424501723113892</v>
      </c>
      <c r="S66" s="501">
        <f>S58/S57</f>
        <v>0.51393687365416063</v>
      </c>
      <c r="T66" s="501">
        <f>T58/T57</f>
        <v>0.54025453733714823</v>
      </c>
      <c r="U66" s="501"/>
      <c r="V66" s="501"/>
      <c r="W66" s="501"/>
      <c r="X66" s="501"/>
      <c r="Y66" s="501">
        <f>Y58/Y57</f>
        <v>0.43358606996569948</v>
      </c>
      <c r="Z66" s="501">
        <f>Z58/Z57</f>
        <v>0.43448275862068964</v>
      </c>
      <c r="AA66" s="501">
        <f>AA58/AA57</f>
        <v>0.48748353096179181</v>
      </c>
      <c r="AB66" s="501">
        <f>AB58/AB57</f>
        <v>0.4841505695889054</v>
      </c>
      <c r="AC66" s="501">
        <f>AC58/AC57</f>
        <v>0.47839648798521256</v>
      </c>
      <c r="AD66" s="501"/>
      <c r="AE66" s="501"/>
      <c r="AF66" s="501">
        <f>AVERAGE(AA66:AC66)</f>
        <v>0.4833435295119699</v>
      </c>
      <c r="AG66" s="501"/>
    </row>
    <row r="67" spans="1:33" hidden="1">
      <c r="A67" s="499" t="s">
        <v>35</v>
      </c>
      <c r="B67" s="500" t="s">
        <v>502</v>
      </c>
      <c r="C67" s="605">
        <f t="shared" ref="C67:H67" si="44">C63/C57</f>
        <v>0.58677935988876584</v>
      </c>
      <c r="D67" s="605">
        <f t="shared" si="44"/>
        <v>0.52751327728851483</v>
      </c>
      <c r="E67" s="605">
        <f t="shared" si="44"/>
        <v>0.64397040207968115</v>
      </c>
      <c r="F67" s="605">
        <f t="shared" si="44"/>
        <v>0.55321742565087406</v>
      </c>
      <c r="G67" s="501">
        <f t="shared" si="44"/>
        <v>0.54029202687533373</v>
      </c>
      <c r="H67" s="501">
        <f t="shared" si="44"/>
        <v>0.55113952398582899</v>
      </c>
      <c r="I67" s="501">
        <f>I63/I57</f>
        <v>0.53970434269120615</v>
      </c>
      <c r="J67" s="501">
        <f>J63/J57</f>
        <v>0.53078753913306853</v>
      </c>
      <c r="K67" s="501">
        <f>K63/K57</f>
        <v>0.48381914711272295</v>
      </c>
      <c r="L67" s="501">
        <f>L63/L57</f>
        <v>0.40183773507683251</v>
      </c>
      <c r="M67" s="501"/>
      <c r="N67" s="501"/>
      <c r="O67" s="501">
        <f>AVERAGE(H67:L67)</f>
        <v>0.50145765759993177</v>
      </c>
      <c r="P67" s="501">
        <f>P63/P57</f>
        <v>0.3413094600458832</v>
      </c>
      <c r="Q67" s="501">
        <f>Q63/Q57</f>
        <v>0.40766340202183421</v>
      </c>
      <c r="R67" s="501">
        <f>R63/R57</f>
        <v>0.47062415841765626</v>
      </c>
      <c r="S67" s="501">
        <f>S63/S57</f>
        <v>0.47730188063796053</v>
      </c>
      <c r="T67" s="501">
        <f>T63/T57</f>
        <v>0.44667924590069824</v>
      </c>
      <c r="U67" s="501"/>
      <c r="V67" s="501"/>
      <c r="W67" s="501"/>
      <c r="X67" s="501"/>
      <c r="Y67" s="501">
        <f>Y63/Y57</f>
        <v>0.55664351408355617</v>
      </c>
      <c r="Z67" s="501">
        <f>Z63/Z57</f>
        <v>0.5557029177718833</v>
      </c>
      <c r="AA67" s="501">
        <f>AA63/AA57</f>
        <v>0.50329380764163378</v>
      </c>
      <c r="AB67" s="501">
        <f>AB63/AB57</f>
        <v>0.50631500742942048</v>
      </c>
      <c r="AC67" s="501">
        <f>AC63/AC57</f>
        <v>0.51178373382624764</v>
      </c>
      <c r="AD67" s="501"/>
      <c r="AE67" s="501"/>
      <c r="AF67" s="501">
        <f>AVERAGE(AA67:AC67)</f>
        <v>0.50713084963243393</v>
      </c>
      <c r="AG67" s="501"/>
    </row>
    <row r="68" spans="1:33" hidden="1">
      <c r="A68" s="499" t="s">
        <v>36</v>
      </c>
      <c r="B68" s="500" t="s">
        <v>503</v>
      </c>
      <c r="C68" s="605">
        <f t="shared" ref="C68:H68" si="45">C64/C57</f>
        <v>3.7335530550763446E-4</v>
      </c>
      <c r="D68" s="605">
        <f t="shared" si="45"/>
        <v>2.4766619818145287E-4</v>
      </c>
      <c r="E68" s="605">
        <f t="shared" si="45"/>
        <v>9.7435139743553905E-4</v>
      </c>
      <c r="F68" s="605">
        <f t="shared" si="45"/>
        <v>2.6559339693954688E-4</v>
      </c>
      <c r="G68" s="501">
        <f t="shared" si="45"/>
        <v>9.4723392344959654E-4</v>
      </c>
      <c r="H68" s="501">
        <f t="shared" si="45"/>
        <v>1.9316689989292092E-3</v>
      </c>
      <c r="I68" s="501">
        <f>I64/I57</f>
        <v>1.6326242018641606E-3</v>
      </c>
      <c r="J68" s="501">
        <f>J64/J57</f>
        <v>3.785919517336657E-3</v>
      </c>
      <c r="K68" s="501">
        <f>K64/K57</f>
        <v>6.2797876777521428E-3</v>
      </c>
      <c r="L68" s="501">
        <f>L64/L57</f>
        <v>1.3428903853693858E-2</v>
      </c>
      <c r="M68" s="501"/>
      <c r="N68" s="501"/>
      <c r="O68" s="501">
        <f>AVERAGE(H68:L68)</f>
        <v>5.4117808499152056E-3</v>
      </c>
      <c r="P68" s="501">
        <f>P64/P57</f>
        <v>9.7774523783702629E-3</v>
      </c>
      <c r="Q68" s="501">
        <f>Q64/Q57</f>
        <v>7.2657660629107199E-3</v>
      </c>
      <c r="R68" s="501">
        <f>R64/R57</f>
        <v>5.1308243512048048E-3</v>
      </c>
      <c r="S68" s="501">
        <f>S64/S57</f>
        <v>8.7612457078788952E-3</v>
      </c>
      <c r="T68" s="501">
        <f>T64/T57</f>
        <v>1.3066216762153554E-2</v>
      </c>
      <c r="U68" s="501"/>
      <c r="V68" s="501"/>
      <c r="W68" s="501"/>
      <c r="X68" s="501"/>
      <c r="Y68" s="501">
        <f>Y64/Y57</f>
        <v>9.770415950744361E-3</v>
      </c>
      <c r="Z68" s="501">
        <f>Z64/Z57</f>
        <v>9.8143236074270564E-3</v>
      </c>
      <c r="AA68" s="501">
        <f>AA64/AA57</f>
        <v>9.22266139657444E-3</v>
      </c>
      <c r="AB68" s="501">
        <f>AB64/AB57</f>
        <v>9.5344229816740969E-3</v>
      </c>
      <c r="AC68" s="501">
        <f>AC64/AC57</f>
        <v>9.8197781885397406E-3</v>
      </c>
      <c r="AD68" s="501"/>
      <c r="AE68" s="501"/>
      <c r="AF68" s="501">
        <f>AVERAGE(AA68:AC68)</f>
        <v>9.5256208555960925E-3</v>
      </c>
      <c r="AG68" s="501"/>
    </row>
    <row r="69" spans="1:33" s="289" customFormat="1" ht="31.2" hidden="1">
      <c r="A69" s="486">
        <v>9</v>
      </c>
      <c r="B69" s="622" t="s">
        <v>505</v>
      </c>
      <c r="C69" s="489"/>
      <c r="D69" s="489"/>
      <c r="E69" s="489"/>
      <c r="F69" s="489"/>
      <c r="G69" s="488"/>
      <c r="H69" s="488">
        <f>H7/G7</f>
        <v>1.046794510256291</v>
      </c>
      <c r="I69" s="488">
        <f>I7/H7</f>
        <v>1.0871803262801722</v>
      </c>
      <c r="J69" s="488">
        <f>J7/I7</f>
        <v>1.0142804314364227</v>
      </c>
      <c r="K69" s="488">
        <f>K7/J7</f>
        <v>0.89728425830443836</v>
      </c>
      <c r="L69" s="488">
        <f>L7/K7</f>
        <v>1.2583734267412459</v>
      </c>
      <c r="M69" s="488"/>
      <c r="N69" s="488">
        <f>(H69*I69*J69*K69*L69)^(1/5)-1</f>
        <v>5.441634872072143E-2</v>
      </c>
      <c r="O69" s="488"/>
      <c r="P69" s="488">
        <f>P7/L7</f>
        <v>1.2241220555069345</v>
      </c>
      <c r="Q69" s="488">
        <f>Q7/P7</f>
        <v>1.0816472050564037</v>
      </c>
      <c r="R69" s="488">
        <f>R7/Q7</f>
        <v>1.0192457788942084</v>
      </c>
      <c r="S69" s="488">
        <f>S7/R7</f>
        <v>1.2558961595494074</v>
      </c>
      <c r="T69" s="488">
        <f>T7/S7</f>
        <v>0.9612146282305134</v>
      </c>
      <c r="U69" s="488"/>
      <c r="V69" s="488">
        <f>(P69*Q69*R69*S69*T69)^(1/5)-1</f>
        <v>0.10253573899298751</v>
      </c>
      <c r="W69" s="488"/>
      <c r="X69" s="488"/>
      <c r="Y69" s="488">
        <f>Y7/T7</f>
        <v>0.85558710380216596</v>
      </c>
      <c r="Z69" s="488">
        <f>Z7/Y7</f>
        <v>1.0452904673668357</v>
      </c>
      <c r="AA69" s="488">
        <f>AA7/Z7</f>
        <v>1.006631299734748</v>
      </c>
      <c r="AB69" s="488">
        <f>AB7/AA7</f>
        <v>1.0640316205533598</v>
      </c>
      <c r="AC69" s="488">
        <f>AC7/AB7</f>
        <v>1.0718177315502724</v>
      </c>
      <c r="AD69" s="488"/>
      <c r="AE69" s="488">
        <f>(AA69*AB69*AC69*Y69*Z69)^(1/5)-1</f>
        <v>5.2855136010061532E-3</v>
      </c>
      <c r="AF69" s="488"/>
      <c r="AG69" s="488"/>
    </row>
    <row r="70" spans="1:33" hidden="1">
      <c r="A70" s="499" t="s">
        <v>34</v>
      </c>
      <c r="B70" s="500" t="s">
        <v>499</v>
      </c>
      <c r="C70" s="605"/>
      <c r="D70" s="605"/>
      <c r="E70" s="605"/>
      <c r="F70" s="605"/>
      <c r="G70" s="501"/>
      <c r="H70" s="501">
        <f>H58/G58</f>
        <v>1.0197965555499475</v>
      </c>
      <c r="I70" s="501">
        <f>I58/H58</f>
        <v>1.1157245139690437</v>
      </c>
      <c r="J70" s="501">
        <f>J58/I58</f>
        <v>1.0292371503416389</v>
      </c>
      <c r="K70" s="501">
        <f>K58/J58</f>
        <v>0.9830255871925252</v>
      </c>
      <c r="L70" s="501">
        <f>L58/K58</f>
        <v>1.4430503748733388</v>
      </c>
      <c r="M70" s="501"/>
      <c r="N70" s="501">
        <f>(H70*I70*J70*K70*L70)^(1/5)-1</f>
        <v>0.1068441060267149</v>
      </c>
      <c r="O70" s="501"/>
      <c r="P70" s="501">
        <f>P58/L58</f>
        <v>1.3584804211542083</v>
      </c>
      <c r="Q70" s="501">
        <f>Q58/P58</f>
        <v>0.97523110909254118</v>
      </c>
      <c r="R70" s="501">
        <f>R58/Q58</f>
        <v>0.91328176311574516</v>
      </c>
      <c r="S70" s="501">
        <f>S58/R58</f>
        <v>1.231201679859764</v>
      </c>
      <c r="T70" s="501">
        <f>T58/S58</f>
        <v>1.0104364774686778</v>
      </c>
      <c r="U70" s="501"/>
      <c r="V70" s="501">
        <f>(P70*Q70*R70*S70*T70)^(1/5)-1</f>
        <v>8.5227489617015983E-2</v>
      </c>
      <c r="W70" s="501"/>
      <c r="X70" s="501"/>
      <c r="Y70" s="501">
        <f>Y58/T58</f>
        <v>0.68665901757972703</v>
      </c>
      <c r="Z70" s="501">
        <f>Z58/Y58</f>
        <v>1.0474522067957139</v>
      </c>
      <c r="AA70" s="501">
        <f>AA58/Z58</f>
        <v>1.1294261294261294</v>
      </c>
      <c r="AB70" s="501">
        <f>AB58/AA58</f>
        <v>1.0567567567567568</v>
      </c>
      <c r="AC70" s="501">
        <f>AC58/AB58</f>
        <v>1.0590792838874681</v>
      </c>
      <c r="AD70" s="501"/>
      <c r="AE70" s="501">
        <f>(AA70*AB70*AC70*Y70*Z70)^(1/5)-1</f>
        <v>-1.8868235772192765E-2</v>
      </c>
      <c r="AF70" s="501"/>
      <c r="AG70" s="501"/>
    </row>
    <row r="71" spans="1:33" hidden="1">
      <c r="A71" s="499" t="s">
        <v>35</v>
      </c>
      <c r="B71" s="500" t="s">
        <v>502</v>
      </c>
      <c r="C71" s="605"/>
      <c r="D71" s="605"/>
      <c r="E71" s="605"/>
      <c r="F71" s="605"/>
      <c r="G71" s="501"/>
      <c r="H71" s="501">
        <f t="shared" ref="H71:L72" si="46">H63/G63</f>
        <v>1.0678111084299808</v>
      </c>
      <c r="I71" s="501">
        <f t="shared" si="46"/>
        <v>1.0646232357615095</v>
      </c>
      <c r="J71" s="501">
        <f t="shared" si="46"/>
        <v>0.99752285021170328</v>
      </c>
      <c r="K71" s="501">
        <f t="shared" si="46"/>
        <v>0.81788526022968822</v>
      </c>
      <c r="L71" s="501">
        <f t="shared" si="46"/>
        <v>1.045146581527834</v>
      </c>
      <c r="M71" s="501"/>
      <c r="N71" s="501">
        <f>(H71*I71*J71*K71*L71)^(1/5)-1</f>
        <v>-6.205559772676783E-3</v>
      </c>
      <c r="O71" s="501"/>
      <c r="P71" s="501">
        <f>P63/L63</f>
        <v>1.0397342044431022</v>
      </c>
      <c r="Q71" s="501">
        <f t="shared" ref="Q71:S72" si="47">Q63/P63</f>
        <v>1.2919301426377814</v>
      </c>
      <c r="R71" s="501">
        <f t="shared" si="47"/>
        <v>1.1766611487168619</v>
      </c>
      <c r="S71" s="501">
        <f t="shared" si="47"/>
        <v>1.2737161663234227</v>
      </c>
      <c r="T71" s="501">
        <f>T63/S63</f>
        <v>0.89954522012955695</v>
      </c>
      <c r="U71" s="501"/>
      <c r="V71" s="501">
        <f>(P71*Q71*R71*S71*T71)^(1/5)-1</f>
        <v>0.12611226225145633</v>
      </c>
      <c r="W71" s="501"/>
      <c r="X71" s="501"/>
      <c r="Y71" s="501">
        <f>Y63/T63</f>
        <v>1.0662170146380323</v>
      </c>
      <c r="Z71" s="501">
        <f t="shared" ref="Z71:AC72" si="48">Z63/Y63</f>
        <v>1.0435241729012463</v>
      </c>
      <c r="AA71" s="501">
        <f t="shared" si="48"/>
        <v>0.91169451073985686</v>
      </c>
      <c r="AB71" s="501">
        <f t="shared" si="48"/>
        <v>1.0704188481675392</v>
      </c>
      <c r="AC71" s="501">
        <f t="shared" si="48"/>
        <v>1.0833944729762779</v>
      </c>
      <c r="AD71" s="501"/>
      <c r="AE71" s="501">
        <f>(AA71*AB71*AC71*Y71*Z71)^(1/5)-1</f>
        <v>3.3017229633488299E-2</v>
      </c>
      <c r="AF71" s="501"/>
      <c r="AG71" s="501"/>
    </row>
    <row r="72" spans="1:33" hidden="1">
      <c r="A72" s="499" t="s">
        <v>36</v>
      </c>
      <c r="B72" s="500" t="s">
        <v>503</v>
      </c>
      <c r="C72" s="605"/>
      <c r="D72" s="605"/>
      <c r="E72" s="605"/>
      <c r="F72" s="605"/>
      <c r="G72" s="501"/>
      <c r="H72" s="501">
        <f t="shared" si="46"/>
        <v>2.1347002611007708</v>
      </c>
      <c r="I72" s="501">
        <f t="shared" si="46"/>
        <v>0.91887218434395534</v>
      </c>
      <c r="J72" s="501">
        <f t="shared" si="46"/>
        <v>2.3520318252315704</v>
      </c>
      <c r="K72" s="501">
        <f t="shared" si="46"/>
        <v>1.4883450646370728</v>
      </c>
      <c r="L72" s="501">
        <f t="shared" si="46"/>
        <v>2.6909469916664959</v>
      </c>
      <c r="M72" s="501"/>
      <c r="N72" s="501">
        <f>(H72*I72*J72*K72*L72)^(1/5)-1</f>
        <v>0.79196199769437925</v>
      </c>
      <c r="O72" s="501"/>
      <c r="P72" s="501">
        <f>P64/L64</f>
        <v>0.89127118887961554</v>
      </c>
      <c r="Q72" s="501">
        <f t="shared" si="47"/>
        <v>0.80378765862636825</v>
      </c>
      <c r="R72" s="501">
        <f t="shared" si="47"/>
        <v>0.71975494626895653</v>
      </c>
      <c r="S72" s="501">
        <f t="shared" si="47"/>
        <v>2.1445315770379261</v>
      </c>
      <c r="T72" s="501">
        <f>T64/S64</f>
        <v>1.4335220248552281</v>
      </c>
      <c r="U72" s="501"/>
      <c r="V72" s="501">
        <f>(P72*Q72*R72*S72*T72)^(1/5)-1</f>
        <v>9.6514893726053597E-2</v>
      </c>
      <c r="W72" s="501"/>
      <c r="X72" s="501"/>
      <c r="Y72" s="501">
        <f>Y64/T64</f>
        <v>0.63977523397997438</v>
      </c>
      <c r="Z72" s="501">
        <f t="shared" si="48"/>
        <v>1.0499879393277238</v>
      </c>
      <c r="AA72" s="501">
        <f t="shared" si="48"/>
        <v>0.94594594594594594</v>
      </c>
      <c r="AB72" s="501">
        <f t="shared" si="48"/>
        <v>1.1000000000000001</v>
      </c>
      <c r="AC72" s="501">
        <f t="shared" si="48"/>
        <v>1.1038961038961039</v>
      </c>
      <c r="AD72" s="501"/>
      <c r="AE72" s="501">
        <f>(AA72*AB72*AC72*Y72*Z72)^(1/5)-1</f>
        <v>-5.0533189483869867E-2</v>
      </c>
      <c r="AF72" s="501"/>
      <c r="AG72" s="501"/>
    </row>
    <row r="73" spans="1:33" s="289" customFormat="1" hidden="1">
      <c r="A73" s="486">
        <v>10</v>
      </c>
      <c r="B73" s="487" t="s">
        <v>506</v>
      </c>
      <c r="C73" s="326">
        <f t="shared" ref="C73:L73" si="49">C7</f>
        <v>1553480</v>
      </c>
      <c r="D73" s="326">
        <f t="shared" si="49"/>
        <v>2543746.399896</v>
      </c>
      <c r="E73" s="326">
        <f t="shared" si="49"/>
        <v>2504230</v>
      </c>
      <c r="F73" s="326">
        <f t="shared" si="49"/>
        <v>2936820</v>
      </c>
      <c r="G73" s="326">
        <f t="shared" si="49"/>
        <v>3970508.1362620005</v>
      </c>
      <c r="H73" s="326">
        <f t="shared" si="49"/>
        <v>4156306.1199669996</v>
      </c>
      <c r="I73" s="326">
        <f t="shared" si="49"/>
        <v>4518654.2436259994</v>
      </c>
      <c r="J73" s="326">
        <f t="shared" si="49"/>
        <v>4583182.5757370004</v>
      </c>
      <c r="K73" s="326">
        <f t="shared" si="49"/>
        <v>4112417.5781439999</v>
      </c>
      <c r="L73" s="326">
        <f t="shared" si="49"/>
        <v>5174957</v>
      </c>
      <c r="M73" s="326">
        <f>SUM(H73:L73)</f>
        <v>22545517.517473999</v>
      </c>
      <c r="N73" s="488"/>
      <c r="O73" s="488">
        <f>M73/$M$73</f>
        <v>1</v>
      </c>
      <c r="P73" s="326">
        <f>P7</f>
        <v>6334779</v>
      </c>
      <c r="Q73" s="326">
        <f>Q7</f>
        <v>6851996</v>
      </c>
      <c r="R73" s="326">
        <f>R7</f>
        <v>6983868</v>
      </c>
      <c r="S73" s="326">
        <f>S7</f>
        <v>8771013</v>
      </c>
      <c r="T73" s="326">
        <f>T7</f>
        <v>8430826</v>
      </c>
      <c r="U73" s="328">
        <f>SUM(P73:T73)</f>
        <v>37372482</v>
      </c>
      <c r="V73" s="326"/>
      <c r="W73" s="488"/>
      <c r="X73" s="488">
        <f>U73/M73-1</f>
        <v>0.65764578129707152</v>
      </c>
      <c r="Y73" s="326">
        <f>Y7</f>
        <v>7213306</v>
      </c>
      <c r="Z73" s="326">
        <f>Z7</f>
        <v>7540000</v>
      </c>
      <c r="AA73" s="326">
        <f>AA7</f>
        <v>7590000</v>
      </c>
      <c r="AB73" s="326">
        <f>AB7</f>
        <v>8076000</v>
      </c>
      <c r="AC73" s="326">
        <f>AC7</f>
        <v>8656000</v>
      </c>
      <c r="AD73" s="326">
        <f>SUM(Y73:AC73)</f>
        <v>39075306</v>
      </c>
      <c r="AE73" s="488"/>
      <c r="AF73" s="488">
        <f>AD73/$AD$73</f>
        <v>1</v>
      </c>
      <c r="AG73" s="488">
        <f>AD73/U73-1</f>
        <v>4.5563578035839214E-2</v>
      </c>
    </row>
    <row r="74" spans="1:33" s="234" customFormat="1" hidden="1">
      <c r="A74" s="491" t="s">
        <v>137</v>
      </c>
      <c r="B74" s="492" t="s">
        <v>494</v>
      </c>
      <c r="C74" s="582"/>
      <c r="D74" s="582"/>
      <c r="E74" s="582"/>
      <c r="F74" s="582"/>
      <c r="G74" s="583"/>
      <c r="H74" s="583">
        <f>H73/G73</f>
        <v>1.046794510256291</v>
      </c>
      <c r="I74" s="583">
        <f>I73/H73</f>
        <v>1.0871803262801722</v>
      </c>
      <c r="J74" s="583">
        <f>J73/I73</f>
        <v>1.0142804314364227</v>
      </c>
      <c r="K74" s="583">
        <f>K73/J73</f>
        <v>0.89728425830443836</v>
      </c>
      <c r="L74" s="583">
        <f>L73/K73</f>
        <v>1.2583734267412459</v>
      </c>
      <c r="M74" s="583"/>
      <c r="N74" s="1066">
        <f>(H74*I74*J74*K74*L74)^(1/5)-1</f>
        <v>5.441634872072143E-2</v>
      </c>
      <c r="O74" s="583"/>
      <c r="P74" s="583">
        <f>P73/L73</f>
        <v>1.2241220555069345</v>
      </c>
      <c r="Q74" s="583">
        <f>Q73/P73</f>
        <v>1.0816472050564037</v>
      </c>
      <c r="R74" s="583">
        <f>R73/Q73</f>
        <v>1.0192457788942084</v>
      </c>
      <c r="S74" s="583">
        <f>S73/R73</f>
        <v>1.2558961595494074</v>
      </c>
      <c r="T74" s="583">
        <f>T73/S73</f>
        <v>0.9612146282305134</v>
      </c>
      <c r="U74" s="583"/>
      <c r="V74" s="501">
        <f>(P74*Q74*R74*S74*T74)^(1/5)-1</f>
        <v>0.10253573899298751</v>
      </c>
      <c r="W74" s="583"/>
      <c r="X74" s="583"/>
      <c r="Y74" s="583">
        <f>Y73/T73</f>
        <v>0.85558710380216596</v>
      </c>
      <c r="Z74" s="583">
        <f>Z73/Y73</f>
        <v>1.0452904673668357</v>
      </c>
      <c r="AA74" s="583">
        <f>AA73/Z73</f>
        <v>1.006631299734748</v>
      </c>
      <c r="AB74" s="583">
        <f>AB73/AA73</f>
        <v>1.0640316205533598</v>
      </c>
      <c r="AC74" s="583">
        <f>AC73/AB73</f>
        <v>1.0718177315502724</v>
      </c>
      <c r="AD74" s="583"/>
      <c r="AE74" s="583">
        <f>(AA74*AB74*AC74*Y74*Z74)^(1/5)-1</f>
        <v>5.2855136010061532E-3</v>
      </c>
      <c r="AF74" s="583"/>
      <c r="AG74" s="583"/>
    </row>
    <row r="75" spans="1:33" s="234" customFormat="1" hidden="1">
      <c r="A75" s="491" t="s">
        <v>137</v>
      </c>
      <c r="B75" s="492" t="s">
        <v>496</v>
      </c>
      <c r="C75" s="582"/>
      <c r="D75" s="582"/>
      <c r="E75" s="582"/>
      <c r="F75" s="582"/>
      <c r="G75" s="583"/>
      <c r="H75" s="583">
        <f t="shared" ref="H75:M75" si="50">H73/H73</f>
        <v>1</v>
      </c>
      <c r="I75" s="583">
        <f t="shared" si="50"/>
        <v>1</v>
      </c>
      <c r="J75" s="583">
        <f t="shared" si="50"/>
        <v>1</v>
      </c>
      <c r="K75" s="583">
        <f t="shared" si="50"/>
        <v>1</v>
      </c>
      <c r="L75" s="583">
        <f t="shared" si="50"/>
        <v>1</v>
      </c>
      <c r="M75" s="583">
        <f t="shared" si="50"/>
        <v>1</v>
      </c>
      <c r="N75" s="583"/>
      <c r="O75" s="583"/>
      <c r="P75" s="583"/>
      <c r="Q75" s="583"/>
      <c r="R75" s="583"/>
      <c r="S75" s="583"/>
      <c r="T75" s="583"/>
      <c r="U75" s="583">
        <f>U73/$U$73</f>
        <v>1</v>
      </c>
      <c r="V75" s="583"/>
      <c r="W75" s="583"/>
      <c r="X75" s="583"/>
      <c r="Y75" s="583"/>
      <c r="Z75" s="583"/>
      <c r="AA75" s="583"/>
      <c r="AB75" s="583"/>
      <c r="AC75" s="583"/>
      <c r="AD75" s="583"/>
      <c r="AE75" s="583"/>
      <c r="AF75" s="583"/>
      <c r="AG75" s="583"/>
    </row>
    <row r="76" spans="1:33" s="289" customFormat="1" hidden="1">
      <c r="A76" s="486" t="s">
        <v>34</v>
      </c>
      <c r="B76" s="487" t="s">
        <v>507</v>
      </c>
      <c r="C76" s="326">
        <f t="shared" ref="C76:H76" si="51">C79+C82</f>
        <v>137340</v>
      </c>
      <c r="D76" s="326">
        <f t="shared" si="51"/>
        <v>218870</v>
      </c>
      <c r="E76" s="326">
        <f t="shared" si="51"/>
        <v>250960</v>
      </c>
      <c r="F76" s="326">
        <f t="shared" si="51"/>
        <v>427970</v>
      </c>
      <c r="G76" s="326">
        <f t="shared" si="51"/>
        <v>511718</v>
      </c>
      <c r="H76" s="326">
        <f t="shared" si="51"/>
        <v>518821.53815899999</v>
      </c>
      <c r="I76" s="326">
        <f>I79+I82</f>
        <v>621252.36285999999</v>
      </c>
      <c r="J76" s="326">
        <f>J79+J82</f>
        <v>637708.48531999998</v>
      </c>
      <c r="K76" s="326">
        <f>K79+K82</f>
        <v>471746.97741499997</v>
      </c>
      <c r="L76" s="326">
        <f>L79+L82</f>
        <v>537596</v>
      </c>
      <c r="M76" s="326">
        <f>M79+M82</f>
        <v>2787125.363754</v>
      </c>
      <c r="N76" s="488"/>
      <c r="O76" s="488">
        <f>M76/$M$73</f>
        <v>0.12362215068222882</v>
      </c>
      <c r="P76" s="326">
        <f>P79+P82</f>
        <v>527335</v>
      </c>
      <c r="Q76" s="326">
        <f>Q79+Q82</f>
        <v>583102</v>
      </c>
      <c r="R76" s="326">
        <f>R79+R82</f>
        <v>589448</v>
      </c>
      <c r="S76" s="326">
        <f>S79+S82</f>
        <v>703523</v>
      </c>
      <c r="T76" s="326">
        <f>T79+T82</f>
        <v>638321</v>
      </c>
      <c r="U76" s="328">
        <f>SUM(P76:T76)</f>
        <v>3041729</v>
      </c>
      <c r="V76" s="326"/>
      <c r="W76" s="488"/>
      <c r="X76" s="488"/>
      <c r="Y76" s="326">
        <f>Y79+Y82</f>
        <v>531474</v>
      </c>
      <c r="Z76" s="326">
        <f>Z79+Z82</f>
        <v>647000</v>
      </c>
      <c r="AA76" s="326">
        <f>AA79+AA82</f>
        <v>600000</v>
      </c>
      <c r="AB76" s="326">
        <f>AB79+AB82</f>
        <v>660000</v>
      </c>
      <c r="AC76" s="326">
        <f>AC79+AC82</f>
        <v>726000</v>
      </c>
      <c r="AD76" s="326">
        <f>SUM(Y76:AC76)</f>
        <v>3164474</v>
      </c>
      <c r="AE76" s="488"/>
      <c r="AF76" s="488"/>
      <c r="AG76" s="488"/>
    </row>
    <row r="77" spans="1:33" s="234" customFormat="1" hidden="1">
      <c r="A77" s="491" t="s">
        <v>137</v>
      </c>
      <c r="B77" s="492" t="s">
        <v>494</v>
      </c>
      <c r="C77" s="582"/>
      <c r="D77" s="582"/>
      <c r="E77" s="582"/>
      <c r="F77" s="582"/>
      <c r="G77" s="583"/>
      <c r="H77" s="583">
        <f>H76/G76</f>
        <v>1.0138817437709833</v>
      </c>
      <c r="I77" s="583">
        <f>I76/H76</f>
        <v>1.1974297849400553</v>
      </c>
      <c r="J77" s="583">
        <f>J76/I76</f>
        <v>1.0264886275590848</v>
      </c>
      <c r="K77" s="583">
        <f>K76/J76</f>
        <v>0.73975333287007927</v>
      </c>
      <c r="L77" s="583">
        <f>L76/K76</f>
        <v>1.1395854679256843</v>
      </c>
      <c r="M77" s="583"/>
      <c r="N77" s="1066">
        <f>(H77*I77*J77*K77*L77)^(1/5)-1</f>
        <v>9.9155680111433497E-3</v>
      </c>
      <c r="O77" s="583"/>
      <c r="P77" s="583">
        <f>P76/L76</f>
        <v>0.98091317643732467</v>
      </c>
      <c r="Q77" s="583">
        <f>Q76/P76</f>
        <v>1.1057525102638741</v>
      </c>
      <c r="R77" s="583">
        <f>R76/Q76</f>
        <v>1.0108831730983601</v>
      </c>
      <c r="S77" s="583">
        <f>S76/R76</f>
        <v>1.1935285215998697</v>
      </c>
      <c r="T77" s="583">
        <f>T76/S76</f>
        <v>0.90732072725411961</v>
      </c>
      <c r="U77" s="583"/>
      <c r="V77" s="501">
        <f>(P77*Q77*R77*S77*T77)^(1/5)-1</f>
        <v>3.4943451073998988E-2</v>
      </c>
      <c r="W77" s="583"/>
      <c r="X77" s="583"/>
      <c r="Y77" s="583">
        <f>Y76/T76</f>
        <v>0.83261243167622556</v>
      </c>
      <c r="Z77" s="583">
        <f>Z76/Y76</f>
        <v>1.217369052860535</v>
      </c>
      <c r="AA77" s="583">
        <f>AA76/Z76</f>
        <v>0.92735703245749612</v>
      </c>
      <c r="AB77" s="583">
        <f>AB76/AA76</f>
        <v>1.1000000000000001</v>
      </c>
      <c r="AC77" s="583">
        <f>AC76/AB76</f>
        <v>1.1000000000000001</v>
      </c>
      <c r="AD77" s="583"/>
      <c r="AE77" s="583">
        <f>(AA77*AB77*AC77*Y77*Z77)^(1/5)-1</f>
        <v>2.6075924648495619E-2</v>
      </c>
      <c r="AF77" s="583"/>
      <c r="AG77" s="583"/>
    </row>
    <row r="78" spans="1:33" s="234" customFormat="1" hidden="1">
      <c r="A78" s="491" t="s">
        <v>137</v>
      </c>
      <c r="B78" s="492" t="s">
        <v>496</v>
      </c>
      <c r="C78" s="582"/>
      <c r="D78" s="582"/>
      <c r="E78" s="582"/>
      <c r="F78" s="582"/>
      <c r="G78" s="583"/>
      <c r="H78" s="583">
        <f>H76/$H$73</f>
        <v>0.12482755677368619</v>
      </c>
      <c r="I78" s="583">
        <f>I76/$I$73</f>
        <v>0.13748614728297409</v>
      </c>
      <c r="J78" s="583">
        <f>J76/$J$73</f>
        <v>0.13914097350081084</v>
      </c>
      <c r="K78" s="583">
        <f>K76/$K$73</f>
        <v>0.11471281027543583</v>
      </c>
      <c r="L78" s="583">
        <f>L76/$L$73</f>
        <v>0.10388414821611078</v>
      </c>
      <c r="M78" s="583">
        <f>M76/$M$73</f>
        <v>0.12362215068222882</v>
      </c>
      <c r="N78" s="583"/>
      <c r="O78" s="583"/>
      <c r="P78" s="583">
        <f>P76/$P$73</f>
        <v>8.3244419418577978E-2</v>
      </c>
      <c r="Q78" s="583">
        <f>Q76/$Q$73</f>
        <v>8.5099582661752868E-2</v>
      </c>
      <c r="R78" s="583">
        <f>R76/$R$73</f>
        <v>8.4401366119749119E-2</v>
      </c>
      <c r="S78" s="583">
        <f>S76/$S$73</f>
        <v>8.0210005389343281E-2</v>
      </c>
      <c r="T78" s="583">
        <f>T76/$T$73</f>
        <v>7.5712747481682108E-2</v>
      </c>
      <c r="U78" s="583">
        <f>U76/$U$73</f>
        <v>8.1389536825517764E-2</v>
      </c>
      <c r="V78" s="583"/>
      <c r="W78" s="501"/>
      <c r="X78" s="501"/>
      <c r="Y78" s="583">
        <f>Y76/$Y$73</f>
        <v>7.3679669211315871E-2</v>
      </c>
      <c r="Z78" s="583">
        <f>Z76/$Z$73</f>
        <v>8.5809018567639256E-2</v>
      </c>
      <c r="AA78" s="583">
        <f>AA76/$AA$73</f>
        <v>7.9051383399209488E-2</v>
      </c>
      <c r="AB78" s="583">
        <f>AB76/$AB$73</f>
        <v>8.1723625557206539E-2</v>
      </c>
      <c r="AC78" s="583">
        <f>AC76/$AC$73</f>
        <v>8.3872458410351208E-2</v>
      </c>
      <c r="AD78" s="583"/>
      <c r="AE78" s="501"/>
      <c r="AF78" s="501"/>
      <c r="AG78" s="501"/>
    </row>
    <row r="79" spans="1:33" s="289" customFormat="1" hidden="1">
      <c r="A79" s="1041" t="s">
        <v>508</v>
      </c>
      <c r="B79" s="336" t="s">
        <v>500</v>
      </c>
      <c r="C79" s="326">
        <f t="shared" ref="C79:M79" si="52">C10</f>
        <v>92540</v>
      </c>
      <c r="D79" s="326">
        <f t="shared" si="52"/>
        <v>116990</v>
      </c>
      <c r="E79" s="326">
        <f t="shared" si="52"/>
        <v>174910</v>
      </c>
      <c r="F79" s="326">
        <f t="shared" si="52"/>
        <v>255100</v>
      </c>
      <c r="G79" s="326">
        <f t="shared" si="52"/>
        <v>363111</v>
      </c>
      <c r="H79" s="326">
        <f t="shared" si="52"/>
        <v>375470.05056100001</v>
      </c>
      <c r="I79" s="326">
        <f t="shared" si="52"/>
        <v>392086.67269099999</v>
      </c>
      <c r="J79" s="326">
        <f t="shared" si="52"/>
        <v>377894.530516</v>
      </c>
      <c r="K79" s="326">
        <f t="shared" si="52"/>
        <v>203043.31661899999</v>
      </c>
      <c r="L79" s="326">
        <f t="shared" si="52"/>
        <v>205240</v>
      </c>
      <c r="M79" s="326">
        <f t="shared" si="52"/>
        <v>1553734.570387</v>
      </c>
      <c r="N79" s="488"/>
      <c r="O79" s="488">
        <f>M79/$M$73</f>
        <v>6.8915453778462671E-2</v>
      </c>
      <c r="P79" s="326">
        <f>P10</f>
        <v>203694</v>
      </c>
      <c r="Q79" s="326">
        <f>Q10</f>
        <v>198943</v>
      </c>
      <c r="R79" s="326">
        <f>R10</f>
        <v>203584</v>
      </c>
      <c r="S79" s="326">
        <f>S10</f>
        <v>223875</v>
      </c>
      <c r="T79" s="326">
        <f>T10</f>
        <v>183101</v>
      </c>
      <c r="U79" s="328">
        <f>SUM(P79:T79)</f>
        <v>1013197</v>
      </c>
      <c r="V79" s="326"/>
      <c r="W79" s="488"/>
      <c r="X79" s="488">
        <f>U79/M79-1</f>
        <v>-0.34789569640093954</v>
      </c>
      <c r="Y79" s="326">
        <f>Y10</f>
        <v>245001</v>
      </c>
      <c r="Z79" s="326">
        <f>Z10</f>
        <v>237000</v>
      </c>
      <c r="AA79" s="326">
        <f>AA10</f>
        <v>250000</v>
      </c>
      <c r="AB79" s="326">
        <f>AB10</f>
        <v>275000</v>
      </c>
      <c r="AC79" s="326">
        <f>AC10</f>
        <v>303000</v>
      </c>
      <c r="AD79" s="326">
        <f>SUM(Y79:AC79)</f>
        <v>1310001</v>
      </c>
      <c r="AE79" s="488"/>
      <c r="AF79" s="488">
        <f>AD79/$AD$73</f>
        <v>3.3525034967096613E-2</v>
      </c>
      <c r="AG79" s="488">
        <f>AD79/U79-1</f>
        <v>0.2929380959477772</v>
      </c>
    </row>
    <row r="80" spans="1:33" s="234" customFormat="1" hidden="1">
      <c r="A80" s="491" t="s">
        <v>137</v>
      </c>
      <c r="B80" s="492" t="s">
        <v>494</v>
      </c>
      <c r="C80" s="582"/>
      <c r="D80" s="582"/>
      <c r="E80" s="582"/>
      <c r="F80" s="582"/>
      <c r="G80" s="583"/>
      <c r="H80" s="583">
        <f>H79/G79</f>
        <v>1.0340365633676756</v>
      </c>
      <c r="I80" s="583">
        <f>I79/H79</f>
        <v>1.0442555194619987</v>
      </c>
      <c r="J80" s="583">
        <f>J79/I79</f>
        <v>0.96380355884683511</v>
      </c>
      <c r="K80" s="583">
        <f>K79/J79</f>
        <v>0.53730154903737926</v>
      </c>
      <c r="L80" s="583">
        <f>L79/K79</f>
        <v>1.0108187918596798</v>
      </c>
      <c r="M80" s="583"/>
      <c r="N80" s="1066">
        <f>(H80*I80*J80*K80*L80)^(1/5)-1</f>
        <v>-0.10783635910935707</v>
      </c>
      <c r="O80" s="583"/>
      <c r="P80" s="583">
        <f>P79/L79</f>
        <v>0.9924673552913662</v>
      </c>
      <c r="Q80" s="583">
        <f>Q79/P79</f>
        <v>0.97667579801074156</v>
      </c>
      <c r="R80" s="583">
        <f>R79/Q79</f>
        <v>1.0233282900127172</v>
      </c>
      <c r="S80" s="583">
        <f>S79/R79</f>
        <v>1.099668932725558</v>
      </c>
      <c r="T80" s="583">
        <f>T79/S79</f>
        <v>0.81787158012283645</v>
      </c>
      <c r="U80" s="583"/>
      <c r="V80" s="501">
        <f>(P80*Q80*R80*S80*T80)^(1/5)-1</f>
        <v>-2.2569825667848264E-2</v>
      </c>
      <c r="W80" s="583"/>
      <c r="X80" s="583"/>
      <c r="Y80" s="583">
        <f>Y79/T79</f>
        <v>1.3380647839170732</v>
      </c>
      <c r="Z80" s="583">
        <f>Z79/Y79</f>
        <v>0.96734299043677374</v>
      </c>
      <c r="AA80" s="583">
        <f>AA79/Z79</f>
        <v>1.0548523206751055</v>
      </c>
      <c r="AB80" s="583">
        <f>AB79/AA79</f>
        <v>1.1000000000000001</v>
      </c>
      <c r="AC80" s="583">
        <f>AC79/AB79</f>
        <v>1.1018181818181818</v>
      </c>
      <c r="AD80" s="583"/>
      <c r="AE80" s="583">
        <f>(AA80*AB80*AC80*Y80*Z80)^(1/5)-1</f>
        <v>0.10598791742447844</v>
      </c>
      <c r="AF80" s="583"/>
      <c r="AG80" s="583"/>
    </row>
    <row r="81" spans="1:33" s="234" customFormat="1" hidden="1">
      <c r="A81" s="491" t="s">
        <v>137</v>
      </c>
      <c r="B81" s="492" t="s">
        <v>496</v>
      </c>
      <c r="C81" s="582"/>
      <c r="D81" s="582"/>
      <c r="E81" s="582"/>
      <c r="F81" s="582"/>
      <c r="G81" s="583"/>
      <c r="H81" s="583">
        <f>H79/$H$73</f>
        <v>9.0337438995946998E-2</v>
      </c>
      <c r="I81" s="583">
        <f>I79/$I$73</f>
        <v>8.6770673645605062E-2</v>
      </c>
      <c r="J81" s="583">
        <f>J79/$J$73</f>
        <v>8.2452427820908378E-2</v>
      </c>
      <c r="K81" s="583">
        <f>K79/$K$73</f>
        <v>4.9373224571867699E-2</v>
      </c>
      <c r="L81" s="583">
        <f>L79/$L$73</f>
        <v>3.9660232925606921E-2</v>
      </c>
      <c r="M81" s="583">
        <f>M79/$M$73</f>
        <v>6.8915453778462671E-2</v>
      </c>
      <c r="N81" s="583"/>
      <c r="O81" s="583"/>
      <c r="P81" s="583">
        <f>P79/$P$73</f>
        <v>3.2154870753975787E-2</v>
      </c>
      <c r="Q81" s="583">
        <f>Q79/$Q$73</f>
        <v>2.9034313505145071E-2</v>
      </c>
      <c r="R81" s="583">
        <f>R79/$R$73</f>
        <v>2.9150608230281559E-2</v>
      </c>
      <c r="S81" s="583">
        <f>S79/$S$73</f>
        <v>2.5524417761095555E-2</v>
      </c>
      <c r="T81" s="583">
        <f>T79/$T$73</f>
        <v>2.1718038066495502E-2</v>
      </c>
      <c r="U81" s="583">
        <f>U79/$U$73</f>
        <v>2.7110776319325004E-2</v>
      </c>
      <c r="V81" s="583"/>
      <c r="W81" s="501"/>
      <c r="X81" s="501"/>
      <c r="Y81" s="583">
        <f>Y79/$Y$73</f>
        <v>3.3965147187711153E-2</v>
      </c>
      <c r="Z81" s="583">
        <f>Z79/$Z$73</f>
        <v>3.143236074270557E-2</v>
      </c>
      <c r="AA81" s="583">
        <f>AA79/$AA$73</f>
        <v>3.2938076416337288E-2</v>
      </c>
      <c r="AB81" s="583">
        <f>AB79/$AB$73</f>
        <v>3.4051510648836054E-2</v>
      </c>
      <c r="AC81" s="583">
        <f>AC79/$AC$73</f>
        <v>3.5004621072088724E-2</v>
      </c>
      <c r="AD81" s="583"/>
      <c r="AE81" s="501"/>
      <c r="AF81" s="501"/>
      <c r="AG81" s="501"/>
    </row>
    <row r="82" spans="1:33" s="289" customFormat="1" hidden="1">
      <c r="A82" s="1041" t="s">
        <v>509</v>
      </c>
      <c r="B82" s="336" t="s">
        <v>501</v>
      </c>
      <c r="C82" s="326">
        <f t="shared" ref="C82:M82" si="53">C11</f>
        <v>44800</v>
      </c>
      <c r="D82" s="326">
        <f t="shared" si="53"/>
        <v>101880</v>
      </c>
      <c r="E82" s="326">
        <f t="shared" si="53"/>
        <v>76050</v>
      </c>
      <c r="F82" s="326">
        <f t="shared" si="53"/>
        <v>172870</v>
      </c>
      <c r="G82" s="326">
        <f t="shared" si="53"/>
        <v>148607</v>
      </c>
      <c r="H82" s="326">
        <f t="shared" si="53"/>
        <v>143351.48759800001</v>
      </c>
      <c r="I82" s="326">
        <f t="shared" si="53"/>
        <v>229165.69016900001</v>
      </c>
      <c r="J82" s="326">
        <f t="shared" si="53"/>
        <v>259813.95480400001</v>
      </c>
      <c r="K82" s="326">
        <f t="shared" si="53"/>
        <v>268703.66079599998</v>
      </c>
      <c r="L82" s="326">
        <f t="shared" si="53"/>
        <v>332356</v>
      </c>
      <c r="M82" s="326">
        <f t="shared" si="53"/>
        <v>1233390.7933670001</v>
      </c>
      <c r="N82" s="488"/>
      <c r="O82" s="488">
        <f>M82/$M$73</f>
        <v>5.4706696903766137E-2</v>
      </c>
      <c r="P82" s="326">
        <f>P11</f>
        <v>323641</v>
      </c>
      <c r="Q82" s="326">
        <f>Q11</f>
        <v>384159</v>
      </c>
      <c r="R82" s="326">
        <f>R11</f>
        <v>385864</v>
      </c>
      <c r="S82" s="326">
        <f>S11</f>
        <v>479648</v>
      </c>
      <c r="T82" s="326">
        <f>T11</f>
        <v>455220</v>
      </c>
      <c r="U82" s="328">
        <f>SUM(P82:T82)</f>
        <v>2028532</v>
      </c>
      <c r="V82" s="326"/>
      <c r="W82" s="488"/>
      <c r="X82" s="488">
        <f>U82/M82-1</f>
        <v>0.64467905136730064</v>
      </c>
      <c r="Y82" s="326">
        <f>Y11</f>
        <v>286473</v>
      </c>
      <c r="Z82" s="326">
        <f>Z11</f>
        <v>410000</v>
      </c>
      <c r="AA82" s="326">
        <f>AA11</f>
        <v>350000</v>
      </c>
      <c r="AB82" s="326">
        <f>AB11</f>
        <v>385000</v>
      </c>
      <c r="AC82" s="326">
        <f>AC11</f>
        <v>423000</v>
      </c>
      <c r="AD82" s="326">
        <f>SUM(Y82:AC82)</f>
        <v>1854473</v>
      </c>
      <c r="AE82" s="488"/>
      <c r="AF82" s="488">
        <f>AD82/$AD$73</f>
        <v>4.7458950161516328E-2</v>
      </c>
      <c r="AG82" s="488">
        <f>AD82/U82-1</f>
        <v>-8.5805400161298895E-2</v>
      </c>
    </row>
    <row r="83" spans="1:33" hidden="1">
      <c r="A83" s="491" t="s">
        <v>137</v>
      </c>
      <c r="B83" s="492" t="s">
        <v>494</v>
      </c>
      <c r="C83" s="582"/>
      <c r="D83" s="582"/>
      <c r="E83" s="582"/>
      <c r="F83" s="582"/>
      <c r="G83" s="583"/>
      <c r="H83" s="583">
        <f>H82/G82</f>
        <v>0.96463482607145024</v>
      </c>
      <c r="I83" s="583">
        <f>I82/H82</f>
        <v>1.5986279180558518</v>
      </c>
      <c r="J83" s="583">
        <f>J82/I82</f>
        <v>1.1337384519139764</v>
      </c>
      <c r="K83" s="583">
        <f>K82/J82</f>
        <v>1.0342156601969523</v>
      </c>
      <c r="L83" s="583">
        <f>L82/K82</f>
        <v>1.2368867585035432</v>
      </c>
      <c r="M83" s="583"/>
      <c r="N83" s="1066">
        <f>(H83*I83*J83*K83*L83)^(1/5)-1</f>
        <v>0.17466181508080636</v>
      </c>
      <c r="O83" s="583"/>
      <c r="P83" s="583">
        <f>P82/L82</f>
        <v>0.97377811744033504</v>
      </c>
      <c r="Q83" s="583">
        <f>Q82/P82</f>
        <v>1.1869911414190415</v>
      </c>
      <c r="R83" s="583">
        <f>R82/Q82</f>
        <v>1.004438266446966</v>
      </c>
      <c r="S83" s="583">
        <f>S82/R82</f>
        <v>1.2430493645429477</v>
      </c>
      <c r="T83" s="583">
        <f>T82/S82</f>
        <v>0.94907098538928547</v>
      </c>
      <c r="U83" s="583"/>
      <c r="V83" s="501">
        <f>(P83*Q83*R83*S83*T83)^(1/5)-1</f>
        <v>6.4936131562515875E-2</v>
      </c>
      <c r="W83" s="583"/>
      <c r="X83" s="583"/>
      <c r="Y83" s="583">
        <f>Y82/T82</f>
        <v>0.62930670884407536</v>
      </c>
      <c r="Z83" s="583">
        <f>Z82/Y82</f>
        <v>1.4311994498608944</v>
      </c>
      <c r="AA83" s="583">
        <f>AA82/Z82</f>
        <v>0.85365853658536583</v>
      </c>
      <c r="AB83" s="583">
        <f>AB82/AA82</f>
        <v>1.1000000000000001</v>
      </c>
      <c r="AC83" s="583">
        <f>AC82/AB82</f>
        <v>1.0987012987012987</v>
      </c>
      <c r="AD83" s="583"/>
      <c r="AE83" s="583">
        <f>(AA83*AB83*AC83*Y83*Z83)^(1/5)-1</f>
        <v>-1.457447685764468E-2</v>
      </c>
      <c r="AF83" s="583"/>
      <c r="AG83" s="583"/>
    </row>
    <row r="84" spans="1:33" hidden="1">
      <c r="A84" s="491" t="s">
        <v>137</v>
      </c>
      <c r="B84" s="492" t="s">
        <v>496</v>
      </c>
      <c r="C84" s="582"/>
      <c r="D84" s="582"/>
      <c r="E84" s="582"/>
      <c r="F84" s="582"/>
      <c r="G84" s="583"/>
      <c r="H84" s="583">
        <f>H82/$H$73</f>
        <v>3.4490117777739186E-2</v>
      </c>
      <c r="I84" s="583">
        <f>I82/$I$73</f>
        <v>5.0715473637369016E-2</v>
      </c>
      <c r="J84" s="583">
        <f>J82/$J$73</f>
        <v>5.6688545679902468E-2</v>
      </c>
      <c r="K84" s="583">
        <f>K82/$K$73</f>
        <v>6.533958570356814E-2</v>
      </c>
      <c r="L84" s="583">
        <f>L82/$L$73</f>
        <v>6.4223915290503863E-2</v>
      </c>
      <c r="M84" s="583">
        <f>M82/$M$73</f>
        <v>5.4706696903766137E-2</v>
      </c>
      <c r="N84" s="583"/>
      <c r="O84" s="583"/>
      <c r="P84" s="583">
        <f>P82/$P$73</f>
        <v>5.1089548664602191E-2</v>
      </c>
      <c r="Q84" s="583">
        <f>Q82/$Q$73</f>
        <v>5.6065269156607797E-2</v>
      </c>
      <c r="R84" s="583">
        <f>R82/$R$73</f>
        <v>5.5250757889467553E-2</v>
      </c>
      <c r="S84" s="583">
        <f>S82/$S$73</f>
        <v>5.4685587628247732E-2</v>
      </c>
      <c r="T84" s="583">
        <f>T82/$T$73</f>
        <v>5.3994709415186602E-2</v>
      </c>
      <c r="U84" s="583">
        <f>U82/$U$73</f>
        <v>5.4278760506192764E-2</v>
      </c>
      <c r="V84" s="583"/>
      <c r="W84" s="501"/>
      <c r="X84" s="501"/>
      <c r="Y84" s="583">
        <f>Y82/$Y$73</f>
        <v>3.9714522023604711E-2</v>
      </c>
      <c r="Z84" s="583">
        <f>Z82/$Z$73</f>
        <v>5.4376657824933686E-2</v>
      </c>
      <c r="AA84" s="583">
        <f>AA82/$AA$73</f>
        <v>4.61133069828722E-2</v>
      </c>
      <c r="AB84" s="583">
        <f>AB82/$AB$73</f>
        <v>4.7672114908370478E-2</v>
      </c>
      <c r="AC84" s="583">
        <f>AC82/$AC$73</f>
        <v>4.8867837338262478E-2</v>
      </c>
      <c r="AD84" s="583"/>
      <c r="AE84" s="501"/>
      <c r="AF84" s="501"/>
      <c r="AG84" s="501"/>
    </row>
    <row r="85" spans="1:33" s="289" customFormat="1" hidden="1">
      <c r="A85" s="1041" t="s">
        <v>35</v>
      </c>
      <c r="B85" s="336" t="s">
        <v>474</v>
      </c>
      <c r="C85" s="326">
        <f t="shared" ref="C85:M85" si="54">C13</f>
        <v>271920</v>
      </c>
      <c r="D85" s="326">
        <f t="shared" si="54"/>
        <v>369340</v>
      </c>
      <c r="E85" s="326">
        <f t="shared" si="54"/>
        <v>554950</v>
      </c>
      <c r="F85" s="326">
        <f t="shared" si="54"/>
        <v>654560</v>
      </c>
      <c r="G85" s="326">
        <f t="shared" si="54"/>
        <v>873678</v>
      </c>
      <c r="H85" s="326">
        <f t="shared" si="54"/>
        <v>1024104.439563</v>
      </c>
      <c r="I85" s="326">
        <f t="shared" si="54"/>
        <v>1064747.6828060001</v>
      </c>
      <c r="J85" s="326">
        <f t="shared" si="54"/>
        <v>1081721.420525</v>
      </c>
      <c r="K85" s="326">
        <f t="shared" si="54"/>
        <v>744273.199104</v>
      </c>
      <c r="L85" s="326">
        <f t="shared" si="54"/>
        <v>586685</v>
      </c>
      <c r="M85" s="326">
        <f t="shared" si="54"/>
        <v>4501531.7419980001</v>
      </c>
      <c r="N85" s="488"/>
      <c r="O85" s="488">
        <f>M85/$M$73</f>
        <v>0.19966415667810991</v>
      </c>
      <c r="P85" s="326">
        <f>P13</f>
        <v>674044</v>
      </c>
      <c r="Q85" s="326">
        <f>Q13</f>
        <v>895287</v>
      </c>
      <c r="R85" s="326">
        <f>R13</f>
        <v>943679</v>
      </c>
      <c r="S85" s="326">
        <f>S13</f>
        <v>1430938</v>
      </c>
      <c r="T85" s="326">
        <f>T13</f>
        <v>1265122</v>
      </c>
      <c r="U85" s="328">
        <f>SUM(P85:T85)</f>
        <v>5209070</v>
      </c>
      <c r="V85" s="326"/>
      <c r="W85" s="488"/>
      <c r="X85" s="488">
        <f>U85/M85-1</f>
        <v>0.15717722289967906</v>
      </c>
      <c r="Y85" s="326">
        <f>Y13</f>
        <v>1132031</v>
      </c>
      <c r="Z85" s="326">
        <f>Z13</f>
        <v>1215000</v>
      </c>
      <c r="AA85" s="326">
        <f>AA13</f>
        <v>1265000</v>
      </c>
      <c r="AB85" s="326">
        <f>AB13</f>
        <v>1455000</v>
      </c>
      <c r="AC85" s="326">
        <f>AC13</f>
        <v>1674000</v>
      </c>
      <c r="AD85" s="326">
        <f>SUM(Y85:AC85)</f>
        <v>6741031</v>
      </c>
      <c r="AE85" s="488"/>
      <c r="AF85" s="488">
        <f>AD85/$AD$73</f>
        <v>0.17251383776751486</v>
      </c>
      <c r="AG85" s="488">
        <f>AD85/U85-1</f>
        <v>0.29409491521519193</v>
      </c>
    </row>
    <row r="86" spans="1:33" hidden="1">
      <c r="A86" s="491" t="s">
        <v>137</v>
      </c>
      <c r="B86" s="492" t="s">
        <v>494</v>
      </c>
      <c r="C86" s="582"/>
      <c r="D86" s="582"/>
      <c r="E86" s="582"/>
      <c r="F86" s="582"/>
      <c r="G86" s="583"/>
      <c r="H86" s="583">
        <f>H85/G85</f>
        <v>1.172176064365819</v>
      </c>
      <c r="I86" s="583">
        <f>I85/H85</f>
        <v>1.0396866195212895</v>
      </c>
      <c r="J86" s="583">
        <f>J85/I85</f>
        <v>1.0159415587308609</v>
      </c>
      <c r="K86" s="583">
        <f>K85/J85</f>
        <v>0.6880451703940339</v>
      </c>
      <c r="L86" s="583">
        <f>L85/K85</f>
        <v>0.78826565393767511</v>
      </c>
      <c r="M86" s="583"/>
      <c r="N86" s="1066">
        <f>(H86*I86*J86*K86*L86)^(1/5)-1</f>
        <v>-7.6555674498281601E-2</v>
      </c>
      <c r="O86" s="583"/>
      <c r="P86" s="583">
        <f>P85/L85</f>
        <v>1.1489027331532253</v>
      </c>
      <c r="Q86" s="583">
        <f>Q85/P85</f>
        <v>1.3282322815721228</v>
      </c>
      <c r="R86" s="583">
        <f>R85/Q85</f>
        <v>1.0540519408859952</v>
      </c>
      <c r="S86" s="583">
        <f>S85/R85</f>
        <v>1.5163397723166459</v>
      </c>
      <c r="T86" s="583">
        <f>T85/S85</f>
        <v>0.88412076553980679</v>
      </c>
      <c r="U86" s="583"/>
      <c r="V86" s="501">
        <f>(P86*Q86*R86*S86*T86)^(1/5)-1</f>
        <v>0.16612601658817661</v>
      </c>
      <c r="W86" s="583"/>
      <c r="X86" s="583"/>
      <c r="Y86" s="583">
        <f>Y85/T85</f>
        <v>0.89479986910353315</v>
      </c>
      <c r="Z86" s="583">
        <f>Z85/Y85</f>
        <v>1.0732921624937832</v>
      </c>
      <c r="AA86" s="583">
        <f>AA85/Z85</f>
        <v>1.0411522633744856</v>
      </c>
      <c r="AB86" s="583">
        <f>AB85/AA85</f>
        <v>1.150197628458498</v>
      </c>
      <c r="AC86" s="583">
        <f>AC85/AB85</f>
        <v>1.1505154639175257</v>
      </c>
      <c r="AD86" s="583"/>
      <c r="AE86" s="583">
        <f>(AA86*AB86*AC86*Y86*Z86)^(1/5)-1</f>
        <v>5.7607712316780857E-2</v>
      </c>
      <c r="AF86" s="583"/>
      <c r="AG86" s="583"/>
    </row>
    <row r="87" spans="1:33" hidden="1">
      <c r="A87" s="491" t="s">
        <v>137</v>
      </c>
      <c r="B87" s="492" t="s">
        <v>496</v>
      </c>
      <c r="C87" s="582"/>
      <c r="D87" s="582"/>
      <c r="E87" s="582"/>
      <c r="F87" s="582"/>
      <c r="G87" s="583"/>
      <c r="H87" s="583">
        <f>H85/$H$73</f>
        <v>0.24639774116809549</v>
      </c>
      <c r="I87" s="583">
        <f>I85/$I$73</f>
        <v>0.2356338027650445</v>
      </c>
      <c r="J87" s="583">
        <f>J85/$J$73</f>
        <v>0.23601970959035018</v>
      </c>
      <c r="K87" s="583">
        <f>K85/$K$73</f>
        <v>0.18098191269766492</v>
      </c>
      <c r="L87" s="583">
        <f>L85/$L$73</f>
        <v>0.11337002413739863</v>
      </c>
      <c r="M87" s="583">
        <f>M85/$M$73</f>
        <v>0.19966415667810991</v>
      </c>
      <c r="N87" s="583"/>
      <c r="O87" s="583"/>
      <c r="P87" s="583">
        <f>P85/$P$73</f>
        <v>0.10640371195269796</v>
      </c>
      <c r="Q87" s="583">
        <f>Q85/$Q$73</f>
        <v>0.13066075928824245</v>
      </c>
      <c r="R87" s="583">
        <f>R85/$R$73</f>
        <v>0.13512268559485946</v>
      </c>
      <c r="S87" s="583">
        <f>S85/$S$73</f>
        <v>0.16314398348286566</v>
      </c>
      <c r="T87" s="583">
        <f>T85/$T$73</f>
        <v>0.15005908080655442</v>
      </c>
      <c r="U87" s="583">
        <f>U85/$U$73</f>
        <v>0.1393825007394478</v>
      </c>
      <c r="V87" s="583"/>
      <c r="W87" s="501"/>
      <c r="X87" s="501"/>
      <c r="Y87" s="583">
        <f>Y85/$Y$73</f>
        <v>0.15693650040633242</v>
      </c>
      <c r="Z87" s="583">
        <f>Z85/$Z$73</f>
        <v>0.16114058355437666</v>
      </c>
      <c r="AA87" s="583">
        <f>AA85/$AA$73</f>
        <v>0.16666666666666666</v>
      </c>
      <c r="AB87" s="583">
        <f>AB85/$AB$73</f>
        <v>0.18016344725111441</v>
      </c>
      <c r="AC87" s="583">
        <f>AC85/$AC$73</f>
        <v>0.19339186691312385</v>
      </c>
      <c r="AD87" s="583"/>
      <c r="AE87" s="501"/>
      <c r="AF87" s="501"/>
      <c r="AG87" s="501"/>
    </row>
    <row r="88" spans="1:33" s="289" customFormat="1" hidden="1">
      <c r="A88" s="486" t="s">
        <v>36</v>
      </c>
      <c r="B88" s="336" t="s">
        <v>476</v>
      </c>
      <c r="C88" s="326">
        <f t="shared" ref="C88:M88" si="55">C18</f>
        <v>154600</v>
      </c>
      <c r="D88" s="326">
        <f t="shared" si="55"/>
        <v>172040</v>
      </c>
      <c r="E88" s="326">
        <f t="shared" si="55"/>
        <v>185420</v>
      </c>
      <c r="F88" s="326">
        <f t="shared" si="55"/>
        <v>382620</v>
      </c>
      <c r="G88" s="326">
        <f t="shared" si="55"/>
        <v>499448.84769999998</v>
      </c>
      <c r="H88" s="326">
        <f t="shared" si="55"/>
        <v>650890.53007500002</v>
      </c>
      <c r="I88" s="326">
        <f t="shared" si="55"/>
        <v>646721.78421900002</v>
      </c>
      <c r="J88" s="326">
        <f t="shared" si="55"/>
        <v>553543.69900000002</v>
      </c>
      <c r="K88" s="326">
        <f t="shared" si="55"/>
        <v>670403.16145000001</v>
      </c>
      <c r="L88" s="326">
        <f t="shared" si="55"/>
        <v>1299030</v>
      </c>
      <c r="M88" s="326">
        <f t="shared" si="55"/>
        <v>3820589.1747440002</v>
      </c>
      <c r="N88" s="488"/>
      <c r="O88" s="488">
        <f>M88/$M$73</f>
        <v>0.16946114329745751</v>
      </c>
      <c r="P88" s="326">
        <f>P18</f>
        <v>2273225</v>
      </c>
      <c r="Q88" s="326">
        <f>Q18</f>
        <v>1947905</v>
      </c>
      <c r="R88" s="326">
        <f>R18</f>
        <v>1700536</v>
      </c>
      <c r="S88" s="326">
        <f>S18</f>
        <v>2280939</v>
      </c>
      <c r="T88" s="326">
        <f>T18</f>
        <v>1939730</v>
      </c>
      <c r="U88" s="328">
        <f>SUM(P88:T88)</f>
        <v>10142335</v>
      </c>
      <c r="V88" s="326"/>
      <c r="W88" s="488"/>
      <c r="X88" s="488">
        <f>U88/M88-1</f>
        <v>1.6546520801152589</v>
      </c>
      <c r="Y88" s="326">
        <f>Y18</f>
        <v>1312857</v>
      </c>
      <c r="Z88" s="326">
        <f>Z18</f>
        <v>925000</v>
      </c>
      <c r="AA88" s="326">
        <f>AA18</f>
        <v>1500000</v>
      </c>
      <c r="AB88" s="326">
        <f>AB18</f>
        <v>1650000</v>
      </c>
      <c r="AC88" s="326">
        <f>AC18</f>
        <v>1815000</v>
      </c>
      <c r="AD88" s="326">
        <f>SUM(Y88:AC88)</f>
        <v>7202857</v>
      </c>
      <c r="AE88" s="488"/>
      <c r="AF88" s="488">
        <f>AD88/$AD$73</f>
        <v>0.18433270874449453</v>
      </c>
      <c r="AG88" s="488">
        <f>AD88/U88-1</f>
        <v>-0.28982260988224107</v>
      </c>
    </row>
    <row r="89" spans="1:33" hidden="1">
      <c r="A89" s="491" t="s">
        <v>137</v>
      </c>
      <c r="B89" s="492" t="s">
        <v>494</v>
      </c>
      <c r="C89" s="582"/>
      <c r="D89" s="582"/>
      <c r="E89" s="582"/>
      <c r="F89" s="582"/>
      <c r="G89" s="583"/>
      <c r="H89" s="583">
        <f>H88/G88</f>
        <v>1.303217602908487</v>
      </c>
      <c r="I89" s="583">
        <f>I88/H88</f>
        <v>0.99359531954548541</v>
      </c>
      <c r="J89" s="583">
        <f>J88/I88</f>
        <v>0.85592245770486208</v>
      </c>
      <c r="K89" s="583">
        <f>K88/J88</f>
        <v>1.2111115394522809</v>
      </c>
      <c r="L89" s="583">
        <f>L88/K88</f>
        <v>1.9376847764117893</v>
      </c>
      <c r="M89" s="583"/>
      <c r="N89" s="1066">
        <f>(H89*I89*J89*K89*L89)^(1/5)-1</f>
        <v>0.21066958798459878</v>
      </c>
      <c r="O89" s="583"/>
      <c r="P89" s="583">
        <f>P88/L88</f>
        <v>1.7499403400999207</v>
      </c>
      <c r="Q89" s="583">
        <f>Q88/P88</f>
        <v>0.85689054097152728</v>
      </c>
      <c r="R89" s="583">
        <f>R88/Q88</f>
        <v>0.87300766721169665</v>
      </c>
      <c r="S89" s="583">
        <f>S88/R88</f>
        <v>1.3413059176636073</v>
      </c>
      <c r="T89" s="583">
        <f>T88/S88</f>
        <v>0.85040853788724735</v>
      </c>
      <c r="U89" s="583"/>
      <c r="V89" s="501">
        <f>(P89*Q89*R89*S89*T89)^(1/5)-1</f>
        <v>8.3488784977151065E-2</v>
      </c>
      <c r="W89" s="583"/>
      <c r="X89" s="583"/>
      <c r="Y89" s="583">
        <f>Y88/T88</f>
        <v>0.67682460961061586</v>
      </c>
      <c r="Z89" s="583">
        <f>Z88/Y88</f>
        <v>0.70457026165073577</v>
      </c>
      <c r="AA89" s="583">
        <f>AA88/Z88</f>
        <v>1.6216216216216217</v>
      </c>
      <c r="AB89" s="583">
        <f>AB88/AA88</f>
        <v>1.1000000000000001</v>
      </c>
      <c r="AC89" s="583">
        <f>AC88/AB88</f>
        <v>1.1000000000000001</v>
      </c>
      <c r="AD89" s="583"/>
      <c r="AE89" s="583">
        <f>(AA89*AB89*AC89*Y89*Z89)^(1/5)-1</f>
        <v>-1.3204706784042841E-2</v>
      </c>
      <c r="AF89" s="583"/>
      <c r="AG89" s="583"/>
    </row>
    <row r="90" spans="1:33" hidden="1">
      <c r="A90" s="491" t="s">
        <v>137</v>
      </c>
      <c r="B90" s="492" t="s">
        <v>496</v>
      </c>
      <c r="C90" s="582"/>
      <c r="D90" s="582"/>
      <c r="E90" s="582"/>
      <c r="F90" s="582"/>
      <c r="G90" s="583"/>
      <c r="H90" s="583">
        <f>H88/$H$73</f>
        <v>0.1566031257775036</v>
      </c>
      <c r="I90" s="583">
        <f>I88/$I$73</f>
        <v>0.14312265319508877</v>
      </c>
      <c r="J90" s="583">
        <f>J88/$J$73</f>
        <v>0.12077714336112548</v>
      </c>
      <c r="K90" s="583">
        <f>K88/$K$73</f>
        <v>0.16301923350706124</v>
      </c>
      <c r="L90" s="583">
        <f>L88/$L$73</f>
        <v>0.25102237564486041</v>
      </c>
      <c r="M90" s="583">
        <f>M88/$M$73</f>
        <v>0.16946114329745751</v>
      </c>
      <c r="N90" s="583"/>
      <c r="O90" s="583"/>
      <c r="P90" s="583">
        <f>P88/$P$73</f>
        <v>0.35884835130002168</v>
      </c>
      <c r="Q90" s="583">
        <f>Q88/$Q$73</f>
        <v>0.28428285714118923</v>
      </c>
      <c r="R90" s="583">
        <f>R88/$R$73</f>
        <v>0.24349486559597061</v>
      </c>
      <c r="S90" s="583">
        <f>S88/$S$73</f>
        <v>0.26005422634762942</v>
      </c>
      <c r="T90" s="583">
        <f>T88/$T$73</f>
        <v>0.23007591426984733</v>
      </c>
      <c r="U90" s="583">
        <f>U88/$U$73</f>
        <v>0.27138510629291357</v>
      </c>
      <c r="V90" s="583"/>
      <c r="W90" s="501"/>
      <c r="X90" s="501"/>
      <c r="Y90" s="583">
        <f>Y88/$Y$73</f>
        <v>0.18200489484294718</v>
      </c>
      <c r="Z90" s="583">
        <f>Z88/$Z$73</f>
        <v>0.1226790450928382</v>
      </c>
      <c r="AA90" s="583">
        <f>AA88/$AA$73</f>
        <v>0.19762845849802371</v>
      </c>
      <c r="AB90" s="583">
        <f>AB88/$AB$73</f>
        <v>0.20430906389301634</v>
      </c>
      <c r="AC90" s="583">
        <f>AC88/$AC$73</f>
        <v>0.20968114602587801</v>
      </c>
      <c r="AD90" s="583"/>
      <c r="AE90" s="501"/>
      <c r="AF90" s="501"/>
      <c r="AG90" s="501"/>
    </row>
    <row r="91" spans="1:33" s="289" customFormat="1" hidden="1">
      <c r="A91" s="486" t="s">
        <v>37</v>
      </c>
      <c r="B91" s="336" t="s">
        <v>18</v>
      </c>
      <c r="C91" s="326">
        <f t="shared" ref="C91:M91" si="56">C20</f>
        <v>191500</v>
      </c>
      <c r="D91" s="326">
        <f t="shared" si="56"/>
        <v>415260</v>
      </c>
      <c r="E91" s="326">
        <f t="shared" si="56"/>
        <v>444040</v>
      </c>
      <c r="F91" s="326">
        <f t="shared" si="56"/>
        <v>300000</v>
      </c>
      <c r="G91" s="326">
        <f t="shared" si="56"/>
        <v>407675.25223099999</v>
      </c>
      <c r="H91" s="326">
        <f t="shared" si="56"/>
        <v>394171.66318199999</v>
      </c>
      <c r="I91" s="326">
        <f t="shared" si="56"/>
        <v>413801.849995</v>
      </c>
      <c r="J91" s="326">
        <f t="shared" si="56"/>
        <v>312735.00110200001</v>
      </c>
      <c r="K91" s="326">
        <f t="shared" si="56"/>
        <v>379564.95398699999</v>
      </c>
      <c r="L91" s="326">
        <f t="shared" si="56"/>
        <v>383777</v>
      </c>
      <c r="M91" s="326">
        <f t="shared" si="56"/>
        <v>1884050.468266</v>
      </c>
      <c r="N91" s="488"/>
      <c r="O91" s="488">
        <f>M91/$M$73</f>
        <v>8.3566521230029819E-2</v>
      </c>
      <c r="P91" s="326">
        <f>P20</f>
        <v>454422</v>
      </c>
      <c r="Q91" s="326">
        <f>Q20</f>
        <v>639601</v>
      </c>
      <c r="R91" s="326">
        <f>R20</f>
        <v>843422</v>
      </c>
      <c r="S91" s="326">
        <f>S20</f>
        <v>964965</v>
      </c>
      <c r="T91" s="326">
        <f>T20</f>
        <v>834390</v>
      </c>
      <c r="U91" s="328">
        <f>SUM(P91:T91)</f>
        <v>3736800</v>
      </c>
      <c r="V91" s="326"/>
      <c r="W91" s="488"/>
      <c r="X91" s="488">
        <f>U91/M91-1</f>
        <v>0.98338635983524991</v>
      </c>
      <c r="Y91" s="326">
        <f>Y20</f>
        <v>1239694</v>
      </c>
      <c r="Z91" s="326">
        <f>Z20</f>
        <v>970000</v>
      </c>
      <c r="AA91" s="326">
        <f>AA20</f>
        <v>900000</v>
      </c>
      <c r="AB91" s="326">
        <f>AB20</f>
        <v>900000</v>
      </c>
      <c r="AC91" s="326">
        <f>AC20</f>
        <v>900000</v>
      </c>
      <c r="AD91" s="326">
        <f>SUM(Y91:AC91)</f>
        <v>4909694</v>
      </c>
      <c r="AE91" s="488"/>
      <c r="AF91" s="488">
        <f>AD91/$AD$73</f>
        <v>0.12564697509982392</v>
      </c>
      <c r="AG91" s="488">
        <f>AD91/U91-1</f>
        <v>0.31387657889102982</v>
      </c>
    </row>
    <row r="92" spans="1:33" hidden="1">
      <c r="A92" s="491" t="s">
        <v>137</v>
      </c>
      <c r="B92" s="492" t="s">
        <v>494</v>
      </c>
      <c r="C92" s="582"/>
      <c r="D92" s="582"/>
      <c r="E92" s="582"/>
      <c r="F92" s="582"/>
      <c r="G92" s="583"/>
      <c r="H92" s="583">
        <f>H91/G91</f>
        <v>0.96687660343594151</v>
      </c>
      <c r="I92" s="583">
        <f>I91/H91</f>
        <v>1.0498011111568317</v>
      </c>
      <c r="J92" s="583">
        <f>J91/I91</f>
        <v>0.755760277789427</v>
      </c>
      <c r="K92" s="583">
        <f>K91/J91</f>
        <v>1.2136951497258315</v>
      </c>
      <c r="L92" s="583">
        <f>L91/K91</f>
        <v>1.0110970361429741</v>
      </c>
      <c r="M92" s="583"/>
      <c r="N92" s="1066">
        <f>(H92*I92*J92*K92*L92)^(1/5)-1</f>
        <v>-1.2009157956660799E-2</v>
      </c>
      <c r="O92" s="583"/>
      <c r="P92" s="583">
        <f>P91/L91</f>
        <v>1.1840782537775845</v>
      </c>
      <c r="Q92" s="583">
        <f>Q91/P91</f>
        <v>1.4075044782162835</v>
      </c>
      <c r="R92" s="583">
        <f>R91/Q91</f>
        <v>1.3186689826938982</v>
      </c>
      <c r="S92" s="583">
        <f>S91/R91</f>
        <v>1.1441069832183652</v>
      </c>
      <c r="T92" s="583">
        <f>T91/S91</f>
        <v>0.86468421134445295</v>
      </c>
      <c r="U92" s="583"/>
      <c r="V92" s="501">
        <f>(P92*Q92*R92*S92*T92)^(1/5)-1</f>
        <v>0.16804084385025586</v>
      </c>
      <c r="W92" s="583"/>
      <c r="X92" s="583"/>
      <c r="Y92" s="583">
        <f>Y91/T91</f>
        <v>1.4857488704322919</v>
      </c>
      <c r="Z92" s="583">
        <f>Z91/Y91</f>
        <v>0.78245115326846781</v>
      </c>
      <c r="AA92" s="583">
        <f>AA91/Z91</f>
        <v>0.92783505154639179</v>
      </c>
      <c r="AB92" s="583">
        <f>AB91/AA91</f>
        <v>1</v>
      </c>
      <c r="AC92" s="583">
        <f>AC91/AB91</f>
        <v>1</v>
      </c>
      <c r="AD92" s="583"/>
      <c r="AE92" s="583">
        <f>(AA92*AB92*AC92*Y92*Z92)^(1/5)-1</f>
        <v>1.5253940486883E-2</v>
      </c>
      <c r="AF92" s="583"/>
      <c r="AG92" s="583"/>
    </row>
    <row r="93" spans="1:33" hidden="1">
      <c r="A93" s="491" t="s">
        <v>137</v>
      </c>
      <c r="B93" s="492" t="s">
        <v>496</v>
      </c>
      <c r="C93" s="582"/>
      <c r="D93" s="582"/>
      <c r="E93" s="582"/>
      <c r="F93" s="582"/>
      <c r="G93" s="583"/>
      <c r="H93" s="583">
        <f>H91/$H$73</f>
        <v>9.4837014359550983E-2</v>
      </c>
      <c r="I93" s="583">
        <f>I91/$I$73</f>
        <v>9.1576347223005103E-2</v>
      </c>
      <c r="J93" s="583">
        <f>J91/$J$73</f>
        <v>6.8235335584838783E-2</v>
      </c>
      <c r="K93" s="583">
        <f>K91/$K$73</f>
        <v>9.2297279343481392E-2</v>
      </c>
      <c r="L93" s="583">
        <f>L91/$L$73</f>
        <v>7.4160422975495258E-2</v>
      </c>
      <c r="M93" s="583">
        <f>M91/$M$73</f>
        <v>8.3566521230029819E-2</v>
      </c>
      <c r="N93" s="583"/>
      <c r="O93" s="583"/>
      <c r="P93" s="583">
        <f>P91/$P$73</f>
        <v>7.1734467769120278E-2</v>
      </c>
      <c r="Q93" s="583">
        <f>Q91/$Q$73</f>
        <v>9.3345209191599054E-2</v>
      </c>
      <c r="R93" s="583">
        <f>R91/$R$73</f>
        <v>0.1207671737209237</v>
      </c>
      <c r="S93" s="583">
        <f>S91/$S$73</f>
        <v>0.1100175088099858</v>
      </c>
      <c r="T93" s="583">
        <f>T91/$T$73</f>
        <v>9.896895037330862E-2</v>
      </c>
      <c r="U93" s="583">
        <f>U91/$U$73</f>
        <v>9.9988007218787339E-2</v>
      </c>
      <c r="V93" s="583"/>
      <c r="W93" s="501"/>
      <c r="X93" s="501"/>
      <c r="Y93" s="583">
        <f>Y91/$Y$73</f>
        <v>0.17186211149228939</v>
      </c>
      <c r="Z93" s="583">
        <f>Z91/$Z$73</f>
        <v>0.1286472148541114</v>
      </c>
      <c r="AA93" s="583">
        <f>AA91/$AA$73</f>
        <v>0.11857707509881422</v>
      </c>
      <c r="AB93" s="583">
        <f>AB91/$AB$73</f>
        <v>0.11144130757800892</v>
      </c>
      <c r="AC93" s="583">
        <f>AC91/$AC$73</f>
        <v>0.10397412199630314</v>
      </c>
      <c r="AD93" s="583"/>
      <c r="AE93" s="501"/>
      <c r="AF93" s="501"/>
      <c r="AG93" s="501"/>
    </row>
    <row r="94" spans="1:33" s="289" customFormat="1" hidden="1">
      <c r="A94" s="486" t="s">
        <v>40</v>
      </c>
      <c r="B94" s="336" t="s">
        <v>101</v>
      </c>
      <c r="C94" s="326">
        <f t="shared" ref="C94:M94" si="57">C27</f>
        <v>349410</v>
      </c>
      <c r="D94" s="326">
        <f t="shared" si="57"/>
        <v>810346.39989600005</v>
      </c>
      <c r="E94" s="326">
        <f t="shared" si="57"/>
        <v>452760</v>
      </c>
      <c r="F94" s="326">
        <f t="shared" si="57"/>
        <v>500750</v>
      </c>
      <c r="G94" s="326">
        <f t="shared" si="57"/>
        <v>810346.39989600005</v>
      </c>
      <c r="H94" s="326">
        <f t="shared" si="57"/>
        <v>687860.86755299999</v>
      </c>
      <c r="I94" s="326">
        <f t="shared" si="57"/>
        <v>804565.51386399998</v>
      </c>
      <c r="J94" s="326">
        <f t="shared" si="57"/>
        <v>941882.63027900003</v>
      </c>
      <c r="K94" s="326">
        <f t="shared" si="57"/>
        <v>954775.96481699997</v>
      </c>
      <c r="L94" s="326">
        <f t="shared" si="57"/>
        <v>1189344</v>
      </c>
      <c r="M94" s="326">
        <f t="shared" si="57"/>
        <v>4578428.9765130002</v>
      </c>
      <c r="N94" s="488"/>
      <c r="O94" s="488">
        <f>M94/$M$73</f>
        <v>0.2030749115856165</v>
      </c>
      <c r="P94" s="326">
        <f>P27</f>
        <v>1310161</v>
      </c>
      <c r="Q94" s="326">
        <f>Q27</f>
        <v>1477896</v>
      </c>
      <c r="R94" s="326">
        <f>R27</f>
        <v>1371274</v>
      </c>
      <c r="S94" s="326">
        <f>S27</f>
        <v>1523285</v>
      </c>
      <c r="T94" s="326">
        <f>T27</f>
        <v>1976741</v>
      </c>
      <c r="U94" s="328">
        <f>SUM(P94:T94)</f>
        <v>7659357</v>
      </c>
      <c r="V94" s="326"/>
      <c r="W94" s="488"/>
      <c r="X94" s="488">
        <f>U94/M94-1</f>
        <v>0.6729225328801498</v>
      </c>
      <c r="Y94" s="326">
        <f>Y27</f>
        <v>1283258</v>
      </c>
      <c r="Z94" s="326">
        <f>Z27</f>
        <v>1704000</v>
      </c>
      <c r="AA94" s="326">
        <f>AA27</f>
        <v>1600000</v>
      </c>
      <c r="AB94" s="326">
        <f>AB27</f>
        <v>1600000</v>
      </c>
      <c r="AC94" s="326">
        <f>AC27</f>
        <v>1600000</v>
      </c>
      <c r="AD94" s="326">
        <f>SUM(Y94:AC94)</f>
        <v>7787258</v>
      </c>
      <c r="AE94" s="488"/>
      <c r="AF94" s="488">
        <f>AD94/$AD$73</f>
        <v>0.19928847134300112</v>
      </c>
      <c r="AG94" s="488">
        <f>AD94/U94-1</f>
        <v>1.6698660213905647E-2</v>
      </c>
    </row>
    <row r="95" spans="1:33" hidden="1">
      <c r="A95" s="491" t="s">
        <v>137</v>
      </c>
      <c r="B95" s="492" t="s">
        <v>494</v>
      </c>
      <c r="C95" s="582"/>
      <c r="D95" s="582"/>
      <c r="E95" s="582"/>
      <c r="F95" s="582"/>
      <c r="G95" s="583"/>
      <c r="H95" s="583">
        <f>H94/G94</f>
        <v>0.84884793421835414</v>
      </c>
      <c r="I95" s="583">
        <f>I94/H94</f>
        <v>1.1696631569203315</v>
      </c>
      <c r="J95" s="583">
        <f>J94/I94</f>
        <v>1.1706723865848065</v>
      </c>
      <c r="K95" s="583">
        <f>K94/J94</f>
        <v>1.013688897239968</v>
      </c>
      <c r="L95" s="583">
        <f>L94/K94</f>
        <v>1.245678613440965</v>
      </c>
      <c r="M95" s="583"/>
      <c r="N95" s="1066">
        <f>(H95*I95*J95*K95*L95)^(1/5)-1</f>
        <v>7.9760300619458269E-2</v>
      </c>
      <c r="O95" s="583"/>
      <c r="P95" s="583">
        <f>P94/L94</f>
        <v>1.1015828893911266</v>
      </c>
      <c r="Q95" s="583">
        <f>Q94/P94</f>
        <v>1.1280262502089438</v>
      </c>
      <c r="R95" s="583">
        <f>R94/Q94</f>
        <v>0.92785554599241082</v>
      </c>
      <c r="S95" s="583">
        <f>S94/R94</f>
        <v>1.1108538483191543</v>
      </c>
      <c r="T95" s="583">
        <f>T94/S94</f>
        <v>1.2976829680591617</v>
      </c>
      <c r="U95" s="583"/>
      <c r="V95" s="501">
        <f>(P95*Q95*R95*S95*T95)^(1/5)-1</f>
        <v>0.10695115266120681</v>
      </c>
      <c r="W95" s="583"/>
      <c r="X95" s="583"/>
      <c r="Y95" s="583">
        <f>Y94/T94</f>
        <v>0.64917862279378025</v>
      </c>
      <c r="Z95" s="583">
        <f>Z94/Y94</f>
        <v>1.327870155494842</v>
      </c>
      <c r="AA95" s="583">
        <f>AA94/Z94</f>
        <v>0.93896713615023475</v>
      </c>
      <c r="AB95" s="583">
        <f>AB94/AA94</f>
        <v>1</v>
      </c>
      <c r="AC95" s="583">
        <f>AC94/AB94</f>
        <v>1</v>
      </c>
      <c r="AD95" s="583"/>
      <c r="AE95" s="583">
        <f>(AA95*AB95*AC95*Y95*Z95)^(1/5)-1</f>
        <v>-4.1407465260531517E-2</v>
      </c>
      <c r="AF95" s="583"/>
      <c r="AG95" s="583"/>
    </row>
    <row r="96" spans="1:33" hidden="1">
      <c r="A96" s="491" t="s">
        <v>137</v>
      </c>
      <c r="B96" s="492" t="s">
        <v>496</v>
      </c>
      <c r="C96" s="582"/>
      <c r="D96" s="582"/>
      <c r="E96" s="582"/>
      <c r="F96" s="582"/>
      <c r="G96" s="583"/>
      <c r="H96" s="583">
        <f>H94/$H$73</f>
        <v>0.1654981244640521</v>
      </c>
      <c r="I96" s="583">
        <f>I94/$I$73</f>
        <v>0.17805423262886683</v>
      </c>
      <c r="J96" s="583">
        <f>J94/$J$73</f>
        <v>0.2055084244876586</v>
      </c>
      <c r="K96" s="583">
        <f>K94/$K$73</f>
        <v>0.23216902142702778</v>
      </c>
      <c r="L96" s="583">
        <f>L94/$L$73</f>
        <v>0.22982683720850242</v>
      </c>
      <c r="M96" s="583">
        <f>M94/$M$73</f>
        <v>0.2030749115856165</v>
      </c>
      <c r="N96" s="583"/>
      <c r="O96" s="583"/>
      <c r="P96" s="583">
        <f>P94/$P$73</f>
        <v>0.20682031685714686</v>
      </c>
      <c r="Q96" s="583">
        <f>Q94/$Q$73</f>
        <v>0.21568839211231297</v>
      </c>
      <c r="R96" s="583">
        <f>R94/$R$73</f>
        <v>0.19634878551541926</v>
      </c>
      <c r="S96" s="583">
        <f>S94/$S$73</f>
        <v>0.1736726419171879</v>
      </c>
      <c r="T96" s="583">
        <f>T94/$T$73</f>
        <v>0.23446587558561877</v>
      </c>
      <c r="U96" s="583">
        <f>U94/$U$73</f>
        <v>0.20494643625756512</v>
      </c>
      <c r="V96" s="583"/>
      <c r="W96" s="501"/>
      <c r="X96" s="501"/>
      <c r="Y96" s="583">
        <f>Y94/$Y$73</f>
        <v>0.17790150591143644</v>
      </c>
      <c r="Z96" s="583">
        <f>Z94/$Z$73</f>
        <v>0.22599469496021221</v>
      </c>
      <c r="AA96" s="583">
        <f>AA94/$AA$73</f>
        <v>0.21080368906455862</v>
      </c>
      <c r="AB96" s="583">
        <f>AB94/$AB$73</f>
        <v>0.19811788013868251</v>
      </c>
      <c r="AC96" s="583">
        <f>AC94/$AC$73</f>
        <v>0.18484288354898337</v>
      </c>
      <c r="AD96" s="583"/>
      <c r="AE96" s="501"/>
      <c r="AF96" s="501"/>
      <c r="AG96" s="501"/>
    </row>
    <row r="97" spans="1:33" s="289" customFormat="1" hidden="1">
      <c r="A97" s="486" t="s">
        <v>44</v>
      </c>
      <c r="B97" s="336" t="s">
        <v>477</v>
      </c>
      <c r="C97" s="326">
        <f t="shared" ref="C97:M97" si="58">C28</f>
        <v>230940</v>
      </c>
      <c r="D97" s="326">
        <f t="shared" si="58"/>
        <v>305720</v>
      </c>
      <c r="E97" s="326">
        <f t="shared" si="58"/>
        <v>329200</v>
      </c>
      <c r="F97" s="326">
        <f t="shared" si="58"/>
        <v>308830</v>
      </c>
      <c r="G97" s="326">
        <f t="shared" si="58"/>
        <v>306565.00754700002</v>
      </c>
      <c r="H97" s="326">
        <f t="shared" si="58"/>
        <v>357566.61864</v>
      </c>
      <c r="I97" s="326">
        <f t="shared" si="58"/>
        <v>418951.84585500002</v>
      </c>
      <c r="J97" s="326">
        <f t="shared" si="58"/>
        <v>456841.14694599999</v>
      </c>
      <c r="K97" s="326">
        <f t="shared" si="58"/>
        <v>140078.797276</v>
      </c>
      <c r="L97" s="326">
        <f t="shared" si="58"/>
        <v>243841</v>
      </c>
      <c r="M97" s="326">
        <f t="shared" si="58"/>
        <v>1617279.4087169999</v>
      </c>
      <c r="N97" s="488"/>
      <c r="O97" s="488">
        <f>M97/$M$73</f>
        <v>7.1733966960994378E-2</v>
      </c>
      <c r="P97" s="326">
        <f>P28</f>
        <v>96965</v>
      </c>
      <c r="Q97" s="326">
        <f>Q28</f>
        <v>107416</v>
      </c>
      <c r="R97" s="326">
        <f>R28</f>
        <v>74262</v>
      </c>
      <c r="S97" s="326">
        <f>S28</f>
        <v>126290</v>
      </c>
      <c r="T97" s="326">
        <f>T28</f>
        <v>93759</v>
      </c>
      <c r="U97" s="328">
        <f>SUM(P97:T97)</f>
        <v>498692</v>
      </c>
      <c r="V97" s="326"/>
      <c r="W97" s="488"/>
      <c r="X97" s="488">
        <f>U97/M97-1</f>
        <v>-0.69164759205361048</v>
      </c>
      <c r="Y97" s="326">
        <f>Y28</f>
        <v>196854</v>
      </c>
      <c r="Z97" s="326">
        <f>Z28</f>
        <v>140000</v>
      </c>
      <c r="AA97" s="326">
        <f>AA28</f>
        <v>150000</v>
      </c>
      <c r="AB97" s="326">
        <f>AB28</f>
        <v>120000</v>
      </c>
      <c r="AC97" s="326">
        <f>AC28</f>
        <v>125000</v>
      </c>
      <c r="AD97" s="326">
        <f>SUM(Y97:AC97)</f>
        <v>731854</v>
      </c>
      <c r="AE97" s="488"/>
      <c r="AF97" s="488">
        <f>AD97/$AD$73</f>
        <v>1.8729322298845209E-2</v>
      </c>
      <c r="AG97" s="488">
        <f>AD97/U97-1</f>
        <v>0.46754710322202886</v>
      </c>
    </row>
    <row r="98" spans="1:33" hidden="1">
      <c r="A98" s="491" t="s">
        <v>137</v>
      </c>
      <c r="B98" s="492" t="s">
        <v>494</v>
      </c>
      <c r="C98" s="582"/>
      <c r="D98" s="582"/>
      <c r="E98" s="582"/>
      <c r="F98" s="582"/>
      <c r="G98" s="583"/>
      <c r="H98" s="583">
        <f>H97/G97</f>
        <v>1.1663647508275414</v>
      </c>
      <c r="I98" s="583">
        <f>I97/H97</f>
        <v>1.1716749383610749</v>
      </c>
      <c r="J98" s="583">
        <f>J97/I97</f>
        <v>1.0904383199784577</v>
      </c>
      <c r="K98" s="583">
        <f>K97/J97</f>
        <v>0.30662473862617662</v>
      </c>
      <c r="L98" s="583">
        <f>L97/K97</f>
        <v>1.7407416735564576</v>
      </c>
      <c r="M98" s="583"/>
      <c r="N98" s="1066">
        <f>(H98*I98*J98*K98*L98)^(1/5)-1</f>
        <v>-4.4750476186834587E-2</v>
      </c>
      <c r="O98" s="583"/>
      <c r="P98" s="583">
        <f>P97/L97</f>
        <v>0.39765666971510122</v>
      </c>
      <c r="Q98" s="583">
        <f>Q97/P97</f>
        <v>1.1077811581498478</v>
      </c>
      <c r="R98" s="583">
        <f>R97/Q97</f>
        <v>0.69134951962463698</v>
      </c>
      <c r="S98" s="583">
        <f>S97/R97</f>
        <v>1.7006005763378309</v>
      </c>
      <c r="T98" s="583">
        <f>T97/S97</f>
        <v>0.74241032544144425</v>
      </c>
      <c r="U98" s="583"/>
      <c r="V98" s="501">
        <f>(P98*Q98*R98*S98*T98)^(1/5)-1</f>
        <v>-0.17399771792258245</v>
      </c>
      <c r="W98" s="583"/>
      <c r="X98" s="583"/>
      <c r="Y98" s="583">
        <f>Y97/T97</f>
        <v>2.0995744408536781</v>
      </c>
      <c r="Z98" s="583">
        <f>Z97/Y97</f>
        <v>0.71118697105469031</v>
      </c>
      <c r="AA98" s="583">
        <f>AA97/Z97</f>
        <v>1.0714285714285714</v>
      </c>
      <c r="AB98" s="583">
        <f>AB97/AA97</f>
        <v>0.8</v>
      </c>
      <c r="AC98" s="583">
        <f>AC97/AB97</f>
        <v>1.0416666666666667</v>
      </c>
      <c r="AD98" s="583"/>
      <c r="AE98" s="583">
        <f>(AA98*AB98*AC98*Y98*Z98)^(1/5)-1</f>
        <v>5.920350512239847E-2</v>
      </c>
      <c r="AF98" s="583"/>
      <c r="AG98" s="583"/>
    </row>
    <row r="99" spans="1:33" hidden="1">
      <c r="A99" s="491" t="s">
        <v>137</v>
      </c>
      <c r="B99" s="492" t="s">
        <v>496</v>
      </c>
      <c r="C99" s="582"/>
      <c r="D99" s="582"/>
      <c r="E99" s="582"/>
      <c r="F99" s="582"/>
      <c r="G99" s="583"/>
      <c r="H99" s="583">
        <f>H97/$H$73</f>
        <v>8.6029904515993405E-2</v>
      </c>
      <c r="I99" s="583">
        <f>I97/$I$73</f>
        <v>9.2716066170801248E-2</v>
      </c>
      <c r="J99" s="583">
        <f>J97/$J$73</f>
        <v>9.9677710716671045E-2</v>
      </c>
      <c r="K99" s="583">
        <f>K97/$K$73</f>
        <v>3.4062396294692383E-2</v>
      </c>
      <c r="L99" s="583">
        <f>L97/$L$73</f>
        <v>4.7119425340152586E-2</v>
      </c>
      <c r="M99" s="583">
        <f>M97/$M$73</f>
        <v>7.1733966960994378E-2</v>
      </c>
      <c r="N99" s="583"/>
      <c r="O99" s="583"/>
      <c r="P99" s="583">
        <f>P97/$P$73</f>
        <v>1.5306769186423078E-2</v>
      </c>
      <c r="Q99" s="583">
        <f>Q97/$Q$73</f>
        <v>1.5676599927962595E-2</v>
      </c>
      <c r="R99" s="583">
        <f>R97/$R$73</f>
        <v>1.0633362486232558E-2</v>
      </c>
      <c r="S99" s="583">
        <f>S97/$S$73</f>
        <v>1.4398564909207181E-2</v>
      </c>
      <c r="T99" s="583">
        <f>T97/$T$73</f>
        <v>1.1120974386139626E-2</v>
      </c>
      <c r="U99" s="583">
        <f>U97/$U$73</f>
        <v>1.3343828756142019E-2</v>
      </c>
      <c r="V99" s="583"/>
      <c r="W99" s="501"/>
      <c r="X99" s="501"/>
      <c r="Y99" s="583">
        <f>Y97/$Y$73</f>
        <v>2.7290399159553193E-2</v>
      </c>
      <c r="Z99" s="583">
        <f>Z97/$Z$73</f>
        <v>1.8567639257294429E-2</v>
      </c>
      <c r="AA99" s="583">
        <f>AA97/$AA$73</f>
        <v>1.9762845849802372E-2</v>
      </c>
      <c r="AB99" s="583">
        <f>AB97/$AB$73</f>
        <v>1.4858841010401188E-2</v>
      </c>
      <c r="AC99" s="583">
        <f>AC97/$AC$73</f>
        <v>1.4440850277264326E-2</v>
      </c>
      <c r="AD99" s="583"/>
      <c r="AE99" s="501"/>
      <c r="AF99" s="501"/>
      <c r="AG99" s="501"/>
    </row>
    <row r="100" spans="1:33" hidden="1">
      <c r="A100" s="486" t="s">
        <v>510</v>
      </c>
      <c r="B100" s="336" t="s">
        <v>473</v>
      </c>
      <c r="C100" s="326">
        <f t="shared" ref="C100:M100" si="59">C12</f>
        <v>580</v>
      </c>
      <c r="D100" s="326">
        <f t="shared" si="59"/>
        <v>630</v>
      </c>
      <c r="E100" s="326">
        <f t="shared" si="59"/>
        <v>2440</v>
      </c>
      <c r="F100" s="326">
        <f t="shared" si="59"/>
        <v>780</v>
      </c>
      <c r="G100" s="326">
        <f t="shared" si="59"/>
        <v>3761</v>
      </c>
      <c r="H100" s="326">
        <f t="shared" si="59"/>
        <v>8028.6076819999998</v>
      </c>
      <c r="I100" s="326">
        <f t="shared" si="59"/>
        <v>7377.2642779999996</v>
      </c>
      <c r="J100" s="326">
        <f t="shared" si="59"/>
        <v>17351.560365000001</v>
      </c>
      <c r="K100" s="326">
        <f t="shared" si="59"/>
        <v>25825.109232999999</v>
      </c>
      <c r="L100" s="326">
        <f t="shared" si="59"/>
        <v>69494</v>
      </c>
      <c r="M100" s="326">
        <f t="shared" si="59"/>
        <v>128076.541558</v>
      </c>
      <c r="N100" s="488"/>
      <c r="O100" s="488">
        <f>M100/$M$73</f>
        <v>5.680798476181961E-3</v>
      </c>
      <c r="P100" s="326">
        <f>P12</f>
        <v>61938</v>
      </c>
      <c r="Q100" s="326">
        <f>Q12</f>
        <v>49785</v>
      </c>
      <c r="R100" s="326">
        <f>R12</f>
        <v>35833</v>
      </c>
      <c r="S100" s="326">
        <f>S12</f>
        <v>76845</v>
      </c>
      <c r="T100" s="326">
        <f>T12</f>
        <v>110159</v>
      </c>
      <c r="U100" s="328">
        <f>SUM(P100:T100)</f>
        <v>334560</v>
      </c>
      <c r="V100" s="326"/>
      <c r="W100" s="488"/>
      <c r="X100" s="488">
        <f>U100/M100-1</f>
        <v>1.6121879614347105</v>
      </c>
      <c r="Y100" s="326">
        <f>Y12</f>
        <v>70477</v>
      </c>
      <c r="Z100" s="326">
        <f>Z12</f>
        <v>74000</v>
      </c>
      <c r="AA100" s="326">
        <f>AA12</f>
        <v>70000</v>
      </c>
      <c r="AB100" s="326">
        <f>AB12</f>
        <v>77000</v>
      </c>
      <c r="AC100" s="326">
        <f>AC12</f>
        <v>85000</v>
      </c>
      <c r="AD100" s="326">
        <f>SUM(Y100:AC100)</f>
        <v>376477</v>
      </c>
      <c r="AE100" s="488"/>
      <c r="AF100" s="488">
        <f>AD100/$AD$73</f>
        <v>9.634652637141217E-3</v>
      </c>
      <c r="AG100" s="488">
        <f>AD100/U100-1</f>
        <v>0.12528993304638925</v>
      </c>
    </row>
    <row r="101" spans="1:33" hidden="1">
      <c r="A101" s="491" t="s">
        <v>137</v>
      </c>
      <c r="B101" s="492" t="s">
        <v>494</v>
      </c>
      <c r="C101" s="582"/>
      <c r="D101" s="582"/>
      <c r="E101" s="582"/>
      <c r="F101" s="582"/>
      <c r="G101" s="583"/>
      <c r="H101" s="583">
        <f>H100/G100</f>
        <v>2.1347002611007708</v>
      </c>
      <c r="I101" s="583">
        <f>I100/H100</f>
        <v>0.91887218434395534</v>
      </c>
      <c r="J101" s="583">
        <f>J100/I100</f>
        <v>2.3520318252315704</v>
      </c>
      <c r="K101" s="583">
        <f>K100/J100</f>
        <v>1.4883450646370728</v>
      </c>
      <c r="L101" s="583">
        <f>L100/K100</f>
        <v>2.6909469916664959</v>
      </c>
      <c r="M101" s="583"/>
      <c r="N101" s="1066">
        <f>(H101*I101*J101*K101*L101)^(1/5)-1</f>
        <v>0.79196199769437925</v>
      </c>
      <c r="O101" s="583"/>
      <c r="P101" s="583">
        <f>P100/L100</f>
        <v>0.89127118887961554</v>
      </c>
      <c r="Q101" s="583">
        <f>Q100/P100</f>
        <v>0.80378765862636825</v>
      </c>
      <c r="R101" s="583">
        <f>R100/Q100</f>
        <v>0.71975494626895653</v>
      </c>
      <c r="S101" s="583">
        <f>S100/R100</f>
        <v>2.1445315770379261</v>
      </c>
      <c r="T101" s="583">
        <f>T100/S100</f>
        <v>1.4335220248552281</v>
      </c>
      <c r="U101" s="583"/>
      <c r="V101" s="501">
        <f>(P101*Q101*R101*S101*T101)^(1/5)-1</f>
        <v>9.6514893726053597E-2</v>
      </c>
      <c r="W101" s="583"/>
      <c r="X101" s="583"/>
      <c r="Y101" s="583">
        <f>Y100/T100</f>
        <v>0.63977523397997438</v>
      </c>
      <c r="Z101" s="583">
        <f>Z100/Y100</f>
        <v>1.0499879393277238</v>
      </c>
      <c r="AA101" s="583">
        <f>AA100/Z100</f>
        <v>0.94594594594594594</v>
      </c>
      <c r="AB101" s="583">
        <f>AB100/AA100</f>
        <v>1.1000000000000001</v>
      </c>
      <c r="AC101" s="583">
        <f>AC100/AB100</f>
        <v>1.1038961038961039</v>
      </c>
      <c r="AD101" s="583"/>
      <c r="AE101" s="583">
        <f>(AA101*AB101*AC101*Y101*Z101)^(1/5)-1</f>
        <v>-5.0533189483869867E-2</v>
      </c>
      <c r="AF101" s="583"/>
      <c r="AG101" s="583"/>
    </row>
    <row r="102" spans="1:33" hidden="1">
      <c r="A102" s="491" t="s">
        <v>137</v>
      </c>
      <c r="B102" s="492" t="s">
        <v>496</v>
      </c>
      <c r="C102" s="582"/>
      <c r="D102" s="582"/>
      <c r="E102" s="582"/>
      <c r="F102" s="582"/>
      <c r="G102" s="583"/>
      <c r="H102" s="583">
        <f>H100/$H$73</f>
        <v>1.9316689989292092E-3</v>
      </c>
      <c r="I102" s="583">
        <f>I100/$I$73</f>
        <v>1.6326242018641606E-3</v>
      </c>
      <c r="J102" s="583">
        <f>J100/$J$73</f>
        <v>3.785919517336657E-3</v>
      </c>
      <c r="K102" s="583">
        <f>K100/$K$73</f>
        <v>6.2797876777521428E-3</v>
      </c>
      <c r="L102" s="583">
        <f>L100/$L$73</f>
        <v>1.3428903853693858E-2</v>
      </c>
      <c r="M102" s="583">
        <f>M100/$M$73</f>
        <v>5.680798476181961E-3</v>
      </c>
      <c r="N102" s="583"/>
      <c r="O102" s="583"/>
      <c r="P102" s="583">
        <f>P100/$P$73</f>
        <v>9.7774523783702629E-3</v>
      </c>
      <c r="Q102" s="583">
        <f>Q100/$Q$73</f>
        <v>7.2657660629107199E-3</v>
      </c>
      <c r="R102" s="583">
        <f>R100/$R$73</f>
        <v>5.1308243512048048E-3</v>
      </c>
      <c r="S102" s="583">
        <f>S100/$S$73</f>
        <v>8.7612457078788952E-3</v>
      </c>
      <c r="T102" s="583">
        <f>T100/$T$73</f>
        <v>1.3066216762153554E-2</v>
      </c>
      <c r="U102" s="583">
        <f>U100/$U$73</f>
        <v>8.9520412371862264E-3</v>
      </c>
      <c r="V102" s="583"/>
      <c r="W102" s="501"/>
      <c r="X102" s="501"/>
      <c r="Y102" s="583">
        <f>Y100/$Y$73</f>
        <v>9.770415950744361E-3</v>
      </c>
      <c r="Z102" s="583">
        <f>Z100/$Z$73</f>
        <v>9.8143236074270564E-3</v>
      </c>
      <c r="AA102" s="583">
        <f>AA100/$AA$73</f>
        <v>9.22266139657444E-3</v>
      </c>
      <c r="AB102" s="583">
        <f>AB100/$AB$73</f>
        <v>9.5344229816740969E-3</v>
      </c>
      <c r="AC102" s="583">
        <f>AC100/$AC$73</f>
        <v>9.8197781885397406E-3</v>
      </c>
      <c r="AD102" s="583"/>
      <c r="AE102" s="501"/>
      <c r="AF102" s="501"/>
      <c r="AG102" s="501"/>
    </row>
    <row r="103" spans="1:33" s="289" customFormat="1" hidden="1">
      <c r="A103" s="486" t="s">
        <v>511</v>
      </c>
      <c r="B103" s="487" t="s">
        <v>512</v>
      </c>
      <c r="C103" s="326">
        <f>C73-C76-C85-C88-C91-C94-C97</f>
        <v>217770</v>
      </c>
      <c r="D103" s="326">
        <f>D73-D76-D85-D88-D91-D94-D97</f>
        <v>252170</v>
      </c>
      <c r="E103" s="326">
        <f>E73-E76-E85-E88-E91-E94-E97</f>
        <v>286900</v>
      </c>
      <c r="F103" s="326">
        <f>F73-F76-F85-F88-F91-F94-F97</f>
        <v>362090</v>
      </c>
      <c r="G103" s="326">
        <f>G73-G76-G85-G88-G91-G94-G97-G100</f>
        <v>557315.6288880005</v>
      </c>
      <c r="H103" s="326">
        <f t="shared" ref="H103:M103" si="60">H73-H76-H85-H88-H91-H94-H97-H100</f>
        <v>514861.85511299974</v>
      </c>
      <c r="I103" s="326">
        <f t="shared" si="60"/>
        <v>541235.93974899943</v>
      </c>
      <c r="J103" s="326">
        <f t="shared" si="60"/>
        <v>581398.63220000057</v>
      </c>
      <c r="K103" s="326">
        <f t="shared" si="60"/>
        <v>725749.41486199992</v>
      </c>
      <c r="L103" s="326">
        <f t="shared" si="60"/>
        <v>865190</v>
      </c>
      <c r="M103" s="326">
        <f t="shared" si="60"/>
        <v>3228435.8419239991</v>
      </c>
      <c r="N103" s="488"/>
      <c r="O103" s="488">
        <f>M103/$M$73</f>
        <v>0.14319635108938111</v>
      </c>
      <c r="P103" s="326">
        <f>P73-P76-P85-P88-P91-P94-P97-P100</f>
        <v>936689</v>
      </c>
      <c r="Q103" s="326">
        <f>Q73-Q76-Q85-Q88-Q91-Q94-Q97-Q100</f>
        <v>1151004</v>
      </c>
      <c r="R103" s="326">
        <f>R73-R76-R85-R88-R91-R94-R97-R100</f>
        <v>1425414</v>
      </c>
      <c r="S103" s="326">
        <f>S73-S76-S85-S88-S91-S94-S97-S100</f>
        <v>1664228</v>
      </c>
      <c r="T103" s="326">
        <f>T73-T76-T85-T88-T91-T94-T97-T100</f>
        <v>1572604</v>
      </c>
      <c r="U103" s="328">
        <f>SUM(P103:T103)</f>
        <v>6749939</v>
      </c>
      <c r="V103" s="326"/>
      <c r="W103" s="488"/>
      <c r="X103" s="488">
        <f>U103/M103-1</f>
        <v>1.0907768747782662</v>
      </c>
      <c r="Y103" s="326">
        <f>Y73-Y76-Y85-Y88-Y91-Y94-Y97-Y100</f>
        <v>1446661</v>
      </c>
      <c r="Z103" s="326">
        <f>Z73-Z76-Z85-Z88-Z91-Z94-Z97-Z100</f>
        <v>1865000</v>
      </c>
      <c r="AA103" s="326">
        <f>AA73-AA76-AA85-AA88-AA91-AA94-AA97-AA100</f>
        <v>1505000</v>
      </c>
      <c r="AB103" s="326">
        <f>AB73-AB76-AB85-AB88-AB91-AB94-AB97-AB100</f>
        <v>1614000</v>
      </c>
      <c r="AC103" s="326">
        <f>AC73-AC76-AC85-AC88-AC91-AC94-AC97-AC100</f>
        <v>1731000</v>
      </c>
      <c r="AD103" s="326">
        <f>SUM(Y103:AC103)</f>
        <v>8161661</v>
      </c>
      <c r="AE103" s="488"/>
      <c r="AF103" s="488">
        <f>AD103/$AD$73</f>
        <v>0.20887004698056619</v>
      </c>
      <c r="AG103" s="488">
        <f>AD103/U103-1</f>
        <v>0.20914589005915452</v>
      </c>
    </row>
    <row r="104" spans="1:33" hidden="1">
      <c r="A104" s="491" t="s">
        <v>137</v>
      </c>
      <c r="B104" s="492" t="s">
        <v>494</v>
      </c>
      <c r="C104" s="582"/>
      <c r="D104" s="582"/>
      <c r="E104" s="582"/>
      <c r="F104" s="582"/>
      <c r="G104" s="583"/>
      <c r="H104" s="583">
        <f>H103/G103</f>
        <v>0.92382454111378887</v>
      </c>
      <c r="I104" s="583">
        <f>I103/H103</f>
        <v>1.0512255556982586</v>
      </c>
      <c r="J104" s="583">
        <f>J103/I103</f>
        <v>1.0742055164881084</v>
      </c>
      <c r="K104" s="583">
        <f>K103/J103</f>
        <v>1.2482819440351605</v>
      </c>
      <c r="L104" s="583">
        <f>L103/K103</f>
        <v>1.1921332381156855</v>
      </c>
      <c r="M104" s="583"/>
      <c r="N104" s="1066">
        <f>(H104*I104*J104*K104*L104)^(1/5)-1</f>
        <v>9.1948242884595688E-2</v>
      </c>
      <c r="O104" s="583"/>
      <c r="P104" s="583">
        <f>P103/L103</f>
        <v>1.0826396514060495</v>
      </c>
      <c r="Q104" s="583">
        <f>Q103/P103</f>
        <v>1.2288005944342253</v>
      </c>
      <c r="R104" s="583">
        <f>R103/Q103</f>
        <v>1.2384092496637717</v>
      </c>
      <c r="S104" s="583">
        <f>S103/R103</f>
        <v>1.1675400971226606</v>
      </c>
      <c r="T104" s="583">
        <f>T103/S103</f>
        <v>0.94494504358777764</v>
      </c>
      <c r="U104" s="583"/>
      <c r="V104" s="501">
        <f>(P104*Q104*R104*S104*T104)^(1/5)-1</f>
        <v>0.12694203127818882</v>
      </c>
      <c r="W104" s="583"/>
      <c r="X104" s="583"/>
      <c r="Y104" s="583">
        <f>Y103/T103</f>
        <v>0.91991435860521786</v>
      </c>
      <c r="Z104" s="583">
        <f>Z103/Y103</f>
        <v>1.2891755566784477</v>
      </c>
      <c r="AA104" s="583">
        <f>AA103/Z103</f>
        <v>0.806970509383378</v>
      </c>
      <c r="AB104" s="583">
        <f>AB103/AA103</f>
        <v>1.0724252491694353</v>
      </c>
      <c r="AC104" s="583">
        <f>AC103/AB103</f>
        <v>1.0724907063197027</v>
      </c>
      <c r="AD104" s="583"/>
      <c r="AE104" s="583">
        <f>(AA104*AB104*AC104*Y104*Z104)^(1/5)-1</f>
        <v>1.9378661621532345E-2</v>
      </c>
      <c r="AF104" s="583"/>
      <c r="AG104" s="583"/>
    </row>
    <row r="105" spans="1:33" hidden="1">
      <c r="A105" s="491" t="s">
        <v>137</v>
      </c>
      <c r="B105" s="492" t="s">
        <v>496</v>
      </c>
      <c r="C105" s="582"/>
      <c r="D105" s="582"/>
      <c r="E105" s="582"/>
      <c r="F105" s="582"/>
      <c r="G105" s="583"/>
      <c r="H105" s="583">
        <f>H103/$H$73</f>
        <v>0.12387486394218905</v>
      </c>
      <c r="I105" s="583">
        <f>I103/$I$73</f>
        <v>0.11977812653235535</v>
      </c>
      <c r="J105" s="583">
        <f>J103/$J$73</f>
        <v>0.12685478324120844</v>
      </c>
      <c r="K105" s="583">
        <f>K103/$K$73</f>
        <v>0.17647755877688429</v>
      </c>
      <c r="L105" s="583">
        <f>L103/$L$73</f>
        <v>0.16718786262378604</v>
      </c>
      <c r="M105" s="583">
        <f>M103/$M$73</f>
        <v>0.14319635108938111</v>
      </c>
      <c r="N105" s="583"/>
      <c r="O105" s="583"/>
      <c r="P105" s="583">
        <f>P103/$P$73</f>
        <v>0.1478645111376419</v>
      </c>
      <c r="Q105" s="583">
        <f>Q103/$Q$73</f>
        <v>0.16798083361403013</v>
      </c>
      <c r="R105" s="583">
        <f>R103/$R$73</f>
        <v>0.20410093661564049</v>
      </c>
      <c r="S105" s="583">
        <f>S103/$S$73</f>
        <v>0.18974182343590187</v>
      </c>
      <c r="T105" s="583">
        <f>T103/$T$73</f>
        <v>0.18653024033469556</v>
      </c>
      <c r="U105" s="583">
        <f>U103/$U$73</f>
        <v>0.18061254267244012</v>
      </c>
      <c r="V105" s="583"/>
      <c r="W105" s="501"/>
      <c r="X105" s="501"/>
      <c r="Y105" s="583">
        <f>Y103/$Y$73</f>
        <v>0.20055450302538114</v>
      </c>
      <c r="Z105" s="583">
        <f>Z103/$Z$73</f>
        <v>0.2473474801061008</v>
      </c>
      <c r="AA105" s="583">
        <f>AA103/$AA$73</f>
        <v>0.19828722002635046</v>
      </c>
      <c r="AB105" s="583">
        <f>AB103/$AB$73</f>
        <v>0.199851411589896</v>
      </c>
      <c r="AC105" s="583">
        <f>AC103/$AC$73</f>
        <v>0.19997689463955637</v>
      </c>
      <c r="AD105" s="583"/>
      <c r="AE105" s="501"/>
      <c r="AF105" s="501"/>
      <c r="AG105" s="501"/>
    </row>
    <row r="106" spans="1:33" s="289" customFormat="1" ht="16.2" hidden="1">
      <c r="A106" s="1075"/>
      <c r="B106" s="1076" t="s">
        <v>513</v>
      </c>
      <c r="C106" s="630"/>
      <c r="D106" s="630"/>
      <c r="E106" s="630"/>
      <c r="F106" s="630"/>
      <c r="G106" s="630"/>
      <c r="H106" s="630"/>
      <c r="I106" s="630"/>
      <c r="J106" s="630"/>
      <c r="K106" s="630"/>
      <c r="L106" s="630"/>
      <c r="M106" s="630"/>
      <c r="N106" s="617"/>
      <c r="O106" s="617"/>
      <c r="P106" s="630"/>
      <c r="Q106" s="630"/>
      <c r="R106" s="630"/>
      <c r="S106" s="630"/>
      <c r="T106" s="630"/>
      <c r="U106" s="630"/>
      <c r="V106" s="630"/>
      <c r="W106" s="488"/>
      <c r="X106" s="488"/>
      <c r="Y106" s="630"/>
      <c r="Z106" s="630"/>
      <c r="AA106" s="630"/>
      <c r="AB106" s="630"/>
      <c r="AC106" s="630"/>
      <c r="AD106" s="630"/>
      <c r="AE106" s="488"/>
      <c r="AF106" s="488"/>
      <c r="AG106" s="488"/>
    </row>
    <row r="107" spans="1:33" s="505" customFormat="1" ht="16.2" hidden="1">
      <c r="A107" s="1077" t="s">
        <v>514</v>
      </c>
      <c r="B107" s="1078" t="s">
        <v>515</v>
      </c>
      <c r="C107" s="623">
        <f t="shared" ref="C107:M107" si="61">C14</f>
        <v>39220</v>
      </c>
      <c r="D107" s="623">
        <f t="shared" si="61"/>
        <v>50330</v>
      </c>
      <c r="E107" s="623">
        <f t="shared" si="61"/>
        <v>56660</v>
      </c>
      <c r="F107" s="623">
        <f t="shared" si="61"/>
        <v>61750</v>
      </c>
      <c r="G107" s="623">
        <f t="shared" si="61"/>
        <v>66384</v>
      </c>
      <c r="H107" s="623">
        <f t="shared" si="61"/>
        <v>83707.295922000005</v>
      </c>
      <c r="I107" s="623">
        <f t="shared" si="61"/>
        <v>85266.235153999995</v>
      </c>
      <c r="J107" s="623">
        <f t="shared" si="61"/>
        <v>86018.719326999999</v>
      </c>
      <c r="K107" s="623">
        <f t="shared" si="61"/>
        <v>102607.365288</v>
      </c>
      <c r="L107" s="623">
        <f t="shared" si="61"/>
        <v>139966</v>
      </c>
      <c r="M107" s="623">
        <f t="shared" si="61"/>
        <v>497565.61569100001</v>
      </c>
      <c r="N107" s="617"/>
      <c r="O107" s="617"/>
      <c r="P107" s="623">
        <f>P14</f>
        <v>184878</v>
      </c>
      <c r="Q107" s="623">
        <f>Q14</f>
        <v>209558</v>
      </c>
      <c r="R107" s="623">
        <f>R14</f>
        <v>247450</v>
      </c>
      <c r="S107" s="623">
        <f>S14</f>
        <v>317324</v>
      </c>
      <c r="T107" s="623">
        <f>T14</f>
        <v>281769</v>
      </c>
      <c r="U107" s="328">
        <f>SUM(P107:T107)</f>
        <v>1240979</v>
      </c>
      <c r="V107" s="623"/>
      <c r="W107" s="617"/>
      <c r="X107" s="617"/>
      <c r="Y107" s="623">
        <f>Y14</f>
        <v>242162</v>
      </c>
      <c r="Z107" s="623">
        <f>Z14</f>
        <v>370000</v>
      </c>
      <c r="AA107" s="623">
        <f>AA14</f>
        <v>295000</v>
      </c>
      <c r="AB107" s="623">
        <f>AB14</f>
        <v>310000</v>
      </c>
      <c r="AC107" s="623">
        <f>AC14</f>
        <v>326000</v>
      </c>
      <c r="AD107" s="623">
        <f>SUM(Y107:AC107)</f>
        <v>1543162</v>
      </c>
      <c r="AE107" s="617"/>
      <c r="AF107" s="617"/>
      <c r="AG107" s="617"/>
    </row>
    <row r="108" spans="1:33" hidden="1">
      <c r="A108" s="491" t="s">
        <v>137</v>
      </c>
      <c r="B108" s="492" t="s">
        <v>494</v>
      </c>
      <c r="C108" s="582"/>
      <c r="D108" s="582"/>
      <c r="E108" s="582"/>
      <c r="F108" s="582"/>
      <c r="G108" s="583"/>
      <c r="H108" s="583">
        <f>H107/G107</f>
        <v>1.26095589181128</v>
      </c>
      <c r="I108" s="583">
        <f>I107/H107</f>
        <v>1.0186236959972119</v>
      </c>
      <c r="J108" s="583">
        <f>J107/I107</f>
        <v>1.0088251131487269</v>
      </c>
      <c r="K108" s="583">
        <f>K107/J107</f>
        <v>1.1928492552642906</v>
      </c>
      <c r="L108" s="583">
        <f>L107/K107</f>
        <v>1.364093109760115</v>
      </c>
      <c r="M108" s="583"/>
      <c r="N108" s="1066">
        <f>(H108*I108*J108*K108*L108)^(1/5)-1</f>
        <v>0.16089202245544021</v>
      </c>
      <c r="O108" s="583"/>
      <c r="P108" s="583">
        <f>P107/L107</f>
        <v>1.3208779274966778</v>
      </c>
      <c r="Q108" s="583">
        <f>Q107/P107</f>
        <v>1.1334934389164746</v>
      </c>
      <c r="R108" s="583">
        <f>R107/Q107</f>
        <v>1.1808186754979528</v>
      </c>
      <c r="S108" s="583">
        <f>S107/R107</f>
        <v>1.2823762376237624</v>
      </c>
      <c r="T108" s="583">
        <f>T107/S107</f>
        <v>0.88795363729185317</v>
      </c>
      <c r="U108" s="583"/>
      <c r="V108" s="501">
        <f>(P108*Q108*R108*S108*T108)^(1/5)-1</f>
        <v>0.15020203559278822</v>
      </c>
      <c r="W108" s="583"/>
      <c r="X108" s="583"/>
      <c r="Y108" s="583">
        <f>Y107/T107</f>
        <v>0.8594345013113579</v>
      </c>
      <c r="Z108" s="583">
        <f>Z107/Y107</f>
        <v>1.5279028088634881</v>
      </c>
      <c r="AA108" s="583">
        <f>AA107/Z107</f>
        <v>0.79729729729729726</v>
      </c>
      <c r="AB108" s="583">
        <f>AB107/AA107</f>
        <v>1.0508474576271187</v>
      </c>
      <c r="AC108" s="583">
        <f>AC107/AB107</f>
        <v>1.0516129032258064</v>
      </c>
      <c r="AD108" s="583"/>
      <c r="AE108" s="583">
        <f>(AA108*AB108*AC108*Y108*Z108)^(1/5)-1</f>
        <v>2.9591332565445549E-2</v>
      </c>
      <c r="AF108" s="583"/>
      <c r="AG108" s="583"/>
    </row>
    <row r="109" spans="1:33" hidden="1">
      <c r="A109" s="491" t="s">
        <v>137</v>
      </c>
      <c r="B109" s="492" t="s">
        <v>496</v>
      </c>
      <c r="C109" s="582"/>
      <c r="D109" s="582"/>
      <c r="E109" s="582"/>
      <c r="F109" s="582"/>
      <c r="G109" s="583"/>
      <c r="H109" s="583">
        <f t="shared" ref="H109:M109" si="62">H107/H73</f>
        <v>2.0139829335444771E-2</v>
      </c>
      <c r="I109" s="583">
        <f t="shared" si="62"/>
        <v>1.8869829501621263E-2</v>
      </c>
      <c r="J109" s="583">
        <f t="shared" si="62"/>
        <v>1.8768337919238952E-2</v>
      </c>
      <c r="K109" s="583">
        <f t="shared" si="62"/>
        <v>2.4950619274005815E-2</v>
      </c>
      <c r="L109" s="583">
        <f t="shared" si="62"/>
        <v>2.7046794784961498E-2</v>
      </c>
      <c r="M109" s="583">
        <f t="shared" si="62"/>
        <v>2.2069380989163796E-2</v>
      </c>
      <c r="N109" s="583"/>
      <c r="O109" s="583"/>
      <c r="P109" s="583">
        <f>P107/P73</f>
        <v>2.918460138861987E-2</v>
      </c>
      <c r="Q109" s="583">
        <f>Q107/Q73</f>
        <v>3.0583497129887408E-2</v>
      </c>
      <c r="R109" s="583">
        <f>R107/R73</f>
        <v>3.5431654779271314E-2</v>
      </c>
      <c r="S109" s="583">
        <f>S107/$S$73</f>
        <v>3.6178717327177604E-2</v>
      </c>
      <c r="T109" s="583">
        <f>T107/$T$73</f>
        <v>3.3421280429699295E-2</v>
      </c>
      <c r="U109" s="583">
        <f>U107/$U$73</f>
        <v>3.3205688613349257E-2</v>
      </c>
      <c r="V109" s="583"/>
      <c r="W109" s="501"/>
      <c r="X109" s="501"/>
      <c r="Y109" s="583">
        <f>Y107/$Y$73</f>
        <v>3.3571568986536827E-2</v>
      </c>
      <c r="Z109" s="583">
        <f>Z107/$Z$73</f>
        <v>4.9071618037135278E-2</v>
      </c>
      <c r="AA109" s="583">
        <f>AA107/AA73</f>
        <v>3.8866930171278E-2</v>
      </c>
      <c r="AB109" s="583">
        <f>AB107/AB73</f>
        <v>3.838533927686974E-2</v>
      </c>
      <c r="AC109" s="583">
        <f>AC107/AC73</f>
        <v>3.7661737523105358E-2</v>
      </c>
      <c r="AD109" s="583"/>
      <c r="AE109" s="501"/>
      <c r="AF109" s="501"/>
      <c r="AG109" s="501"/>
    </row>
    <row r="110" spans="1:33" s="505" customFormat="1" ht="16.2" hidden="1">
      <c r="A110" s="1075" t="s">
        <v>514</v>
      </c>
      <c r="B110" s="1078" t="s">
        <v>97</v>
      </c>
      <c r="C110" s="623">
        <f t="shared" ref="C110:M110" si="63">C17</f>
        <v>64280</v>
      </c>
      <c r="D110" s="623">
        <f t="shared" si="63"/>
        <v>86640</v>
      </c>
      <c r="E110" s="623">
        <f t="shared" si="63"/>
        <v>110420</v>
      </c>
      <c r="F110" s="623">
        <f t="shared" si="63"/>
        <v>115840</v>
      </c>
      <c r="G110" s="623">
        <f t="shared" si="63"/>
        <v>186978.995165</v>
      </c>
      <c r="H110" s="623">
        <f t="shared" si="63"/>
        <v>211576.30287000001</v>
      </c>
      <c r="I110" s="623">
        <f t="shared" si="63"/>
        <v>242659.928071</v>
      </c>
      <c r="J110" s="623">
        <f t="shared" si="63"/>
        <v>238487.114038</v>
      </c>
      <c r="K110" s="623">
        <f t="shared" si="63"/>
        <v>256057.09914899999</v>
      </c>
      <c r="L110" s="623">
        <f t="shared" si="63"/>
        <v>310783</v>
      </c>
      <c r="M110" s="623">
        <f t="shared" si="63"/>
        <v>1259563.4441280002</v>
      </c>
      <c r="N110" s="617"/>
      <c r="O110" s="617">
        <f>M110/$M$73</f>
        <v>5.5867577364403821E-2</v>
      </c>
      <c r="P110" s="623">
        <f>P17</f>
        <v>341640</v>
      </c>
      <c r="Q110" s="623">
        <f>Q17</f>
        <v>382262</v>
      </c>
      <c r="R110" s="623">
        <f>R17</f>
        <v>479310</v>
      </c>
      <c r="S110" s="623">
        <f>S17</f>
        <v>521482</v>
      </c>
      <c r="T110" s="623">
        <f>T17</f>
        <v>534261</v>
      </c>
      <c r="U110" s="328">
        <f>SUM(P110:T110)</f>
        <v>2258955</v>
      </c>
      <c r="V110" s="623"/>
      <c r="W110" s="617"/>
      <c r="X110" s="617">
        <f>U110/M110-1</f>
        <v>0.79344280792769584</v>
      </c>
      <c r="Y110" s="623">
        <f>Y17</f>
        <v>453602</v>
      </c>
      <c r="Z110" s="623">
        <f>Z17</f>
        <v>710000</v>
      </c>
      <c r="AA110" s="623">
        <f>AA17</f>
        <v>600000</v>
      </c>
      <c r="AB110" s="623">
        <f>AB17</f>
        <v>660000</v>
      </c>
      <c r="AC110" s="623">
        <f>AC17</f>
        <v>726000</v>
      </c>
      <c r="AD110" s="623">
        <f>SUM(Y110:AC110)</f>
        <v>3149602</v>
      </c>
      <c r="AE110" s="617"/>
      <c r="AF110" s="617">
        <f>AD110/$AD$73</f>
        <v>8.060338670156543E-2</v>
      </c>
      <c r="AG110" s="617">
        <f>AD110/U110-1</f>
        <v>0.39427390098519011</v>
      </c>
    </row>
    <row r="111" spans="1:33" hidden="1">
      <c r="A111" s="491" t="s">
        <v>137</v>
      </c>
      <c r="B111" s="492" t="s">
        <v>494</v>
      </c>
      <c r="C111" s="582"/>
      <c r="D111" s="582"/>
      <c r="E111" s="582"/>
      <c r="F111" s="582"/>
      <c r="G111" s="583"/>
      <c r="H111" s="583">
        <f>H110/G110</f>
        <v>1.1315511813682284</v>
      </c>
      <c r="I111" s="583">
        <f>I110/H110</f>
        <v>1.1469144926882424</v>
      </c>
      <c r="J111" s="583">
        <f>J110/I110</f>
        <v>0.98280386025755728</v>
      </c>
      <c r="K111" s="583">
        <f>K110/J110</f>
        <v>1.0736726811503972</v>
      </c>
      <c r="L111" s="583">
        <f>L110/K110</f>
        <v>1.2137253801315422</v>
      </c>
      <c r="M111" s="583"/>
      <c r="N111" s="1066">
        <f>(H111*I111*J111*K111*L111)^(1/5)-1</f>
        <v>0.10696244357773277</v>
      </c>
      <c r="O111" s="583"/>
      <c r="P111" s="583">
        <f>P110/L110</f>
        <v>1.099287927589347</v>
      </c>
      <c r="Q111" s="583">
        <f>Q110/P110</f>
        <v>1.1189029387659524</v>
      </c>
      <c r="R111" s="583">
        <f>R110/Q110</f>
        <v>1.2538782301144242</v>
      </c>
      <c r="S111" s="583">
        <f>S110/R110</f>
        <v>1.0879848114998645</v>
      </c>
      <c r="T111" s="583">
        <f>T110/S110</f>
        <v>1.0245051602931645</v>
      </c>
      <c r="U111" s="583"/>
      <c r="V111" s="501">
        <f>(P111*Q111*R111*S111*T111)^(1/5)-1</f>
        <v>0.11444654873328663</v>
      </c>
      <c r="W111" s="583"/>
      <c r="X111" s="583"/>
      <c r="Y111" s="583">
        <f>Y110/T110</f>
        <v>0.84902697370760738</v>
      </c>
      <c r="Z111" s="583">
        <f>Z110/Y110</f>
        <v>1.5652488304725287</v>
      </c>
      <c r="AA111" s="583">
        <f>AA110/Z110</f>
        <v>0.84507042253521125</v>
      </c>
      <c r="AB111" s="583">
        <f>AB110/AA110</f>
        <v>1.1000000000000001</v>
      </c>
      <c r="AC111" s="583">
        <f>AC110/AB110</f>
        <v>1.1000000000000001</v>
      </c>
      <c r="AD111" s="583"/>
      <c r="AE111" s="583">
        <f>(AA111*AB111*AC111*Y111*Z111)^(1/5)-1</f>
        <v>6.3253031429563622E-2</v>
      </c>
      <c r="AF111" s="583"/>
      <c r="AG111" s="583"/>
    </row>
    <row r="112" spans="1:33" hidden="1">
      <c r="A112" s="491" t="s">
        <v>137</v>
      </c>
      <c r="B112" s="492" t="s">
        <v>496</v>
      </c>
      <c r="C112" s="582"/>
      <c r="D112" s="582"/>
      <c r="E112" s="582"/>
      <c r="F112" s="582"/>
      <c r="G112" s="583"/>
      <c r="H112" s="583">
        <f>H110/$H$73</f>
        <v>5.0904889284641985E-2</v>
      </c>
      <c r="I112" s="583">
        <f>I110/$I$73</f>
        <v>5.370181363473326E-2</v>
      </c>
      <c r="J112" s="583">
        <f>J110/$J$73</f>
        <v>5.2035263727116518E-2</v>
      </c>
      <c r="K112" s="583">
        <f>K110/$K$73</f>
        <v>6.2264372302523484E-2</v>
      </c>
      <c r="L112" s="583">
        <f>L110/$L$73</f>
        <v>6.0055184999604827E-2</v>
      </c>
      <c r="M112" s="583">
        <f>M110/$M$73</f>
        <v>5.5867577364403821E-2</v>
      </c>
      <c r="N112" s="583"/>
      <c r="O112" s="583"/>
      <c r="P112" s="583">
        <f>P110/$P$73</f>
        <v>5.3930847469185583E-2</v>
      </c>
      <c r="Q112" s="583">
        <f>Q110/$Q$73</f>
        <v>5.5788415521550214E-2</v>
      </c>
      <c r="R112" s="583">
        <f>R110/$R$73</f>
        <v>6.863102223581545E-2</v>
      </c>
      <c r="S112" s="583">
        <f>S110/$S$73</f>
        <v>5.9455162134635989E-2</v>
      </c>
      <c r="T112" s="583">
        <f>T110/$T$73</f>
        <v>6.3369947381193725E-2</v>
      </c>
      <c r="U112" s="583">
        <f>U110/$U$73</f>
        <v>6.0444339768495975E-2</v>
      </c>
      <c r="V112" s="583"/>
      <c r="W112" s="501"/>
      <c r="X112" s="501"/>
      <c r="Y112" s="583">
        <f>Y110/$Y$73</f>
        <v>6.288406453296172E-2</v>
      </c>
      <c r="Z112" s="583">
        <f>Z110/$Z$73</f>
        <v>9.4164456233421748E-2</v>
      </c>
      <c r="AA112" s="583">
        <f>AA110/$AA$73</f>
        <v>7.9051383399209488E-2</v>
      </c>
      <c r="AB112" s="583">
        <f>AB110/$AB$73</f>
        <v>8.1723625557206539E-2</v>
      </c>
      <c r="AC112" s="583">
        <f>AC110/$AC$73</f>
        <v>8.3872458410351208E-2</v>
      </c>
      <c r="AD112" s="583"/>
      <c r="AE112" s="501"/>
      <c r="AF112" s="501"/>
      <c r="AG112" s="501"/>
    </row>
    <row r="113" spans="1:33" ht="16.2" hidden="1">
      <c r="A113" s="1075" t="s">
        <v>514</v>
      </c>
      <c r="B113" s="1078" t="s">
        <v>271</v>
      </c>
      <c r="C113" s="623">
        <f t="shared" ref="C113:M113" si="64">C16</f>
        <v>6300</v>
      </c>
      <c r="D113" s="623">
        <f t="shared" si="64"/>
        <v>10340</v>
      </c>
      <c r="E113" s="623">
        <f t="shared" si="64"/>
        <v>13690</v>
      </c>
      <c r="F113" s="623">
        <f t="shared" si="64"/>
        <v>17250</v>
      </c>
      <c r="G113" s="623">
        <f t="shared" si="64"/>
        <v>22513.990010999998</v>
      </c>
      <c r="H113" s="623">
        <f t="shared" si="64"/>
        <v>22700.889665999999</v>
      </c>
      <c r="I113" s="623">
        <f t="shared" si="64"/>
        <v>7232.069724</v>
      </c>
      <c r="J113" s="623">
        <f t="shared" si="64"/>
        <v>9025.4512319999994</v>
      </c>
      <c r="K113" s="623">
        <f t="shared" si="64"/>
        <v>8785.7481970000008</v>
      </c>
      <c r="L113" s="623">
        <f t="shared" si="64"/>
        <v>8245</v>
      </c>
      <c r="M113" s="623">
        <f t="shared" si="64"/>
        <v>55989.158818999997</v>
      </c>
      <c r="N113" s="617"/>
      <c r="O113" s="617">
        <f>M113/$M$73</f>
        <v>2.4833831725355323E-3</v>
      </c>
      <c r="P113" s="623">
        <f>P16</f>
        <v>8374</v>
      </c>
      <c r="Q113" s="623">
        <f>Q16</f>
        <v>9759</v>
      </c>
      <c r="R113" s="623">
        <f>R16</f>
        <v>10562</v>
      </c>
      <c r="S113" s="623">
        <f>S16</f>
        <v>11281</v>
      </c>
      <c r="T113" s="623">
        <f>T16</f>
        <v>11443</v>
      </c>
      <c r="U113" s="328">
        <f>SUM(P113:T113)</f>
        <v>51419</v>
      </c>
      <c r="V113" s="623"/>
      <c r="W113" s="617"/>
      <c r="X113" s="617">
        <f>U113/M113-1</f>
        <v>-8.1625781051190005E-2</v>
      </c>
      <c r="Y113" s="623">
        <f>Y16</f>
        <v>9403</v>
      </c>
      <c r="Z113" s="623">
        <f>Z16</f>
        <v>17000</v>
      </c>
      <c r="AA113" s="623">
        <f>AA16</f>
        <v>10000</v>
      </c>
      <c r="AB113" s="623">
        <f>AB16</f>
        <v>10000</v>
      </c>
      <c r="AC113" s="623">
        <f>AC16</f>
        <v>10000</v>
      </c>
      <c r="AD113" s="623">
        <f>SUM(Y113:AC113)</f>
        <v>56403</v>
      </c>
      <c r="AE113" s="617"/>
      <c r="AF113" s="617">
        <f>AD113/$AD$73</f>
        <v>1.4434435906912667E-3</v>
      </c>
      <c r="AG113" s="617">
        <f>AD113/U113-1</f>
        <v>9.6929150703047418E-2</v>
      </c>
    </row>
    <row r="114" spans="1:33" hidden="1">
      <c r="A114" s="491" t="s">
        <v>137</v>
      </c>
      <c r="B114" s="492" t="s">
        <v>494</v>
      </c>
      <c r="C114" s="582"/>
      <c r="D114" s="582"/>
      <c r="E114" s="582"/>
      <c r="F114" s="582"/>
      <c r="G114" s="583"/>
      <c r="H114" s="583">
        <f>H113/G113</f>
        <v>1.0083014896474896</v>
      </c>
      <c r="I114" s="583">
        <f>I113/H113</f>
        <v>0.31858089398283584</v>
      </c>
      <c r="J114" s="583">
        <f>J113/I113</f>
        <v>1.2479762469723668</v>
      </c>
      <c r="K114" s="583">
        <f>K113/J113</f>
        <v>0.97344143480049794</v>
      </c>
      <c r="L114" s="583">
        <f>L113/K113</f>
        <v>0.93845166229728216</v>
      </c>
      <c r="M114" s="583"/>
      <c r="N114" s="1066">
        <f>(H114*I114*J114*K114*L114)^(1/5)-1</f>
        <v>-0.1820106709603595</v>
      </c>
      <c r="O114" s="583"/>
      <c r="P114" s="583">
        <f>P113/L113</f>
        <v>1.0156458459672528</v>
      </c>
      <c r="Q114" s="583">
        <f>Q113/P113</f>
        <v>1.1653928827322666</v>
      </c>
      <c r="R114" s="583">
        <f>R113/Q113</f>
        <v>1.0822830208013117</v>
      </c>
      <c r="S114" s="583">
        <f>S113/R113</f>
        <v>1.0680742283658398</v>
      </c>
      <c r="T114" s="583">
        <f>T113/S113</f>
        <v>1.0143604290399788</v>
      </c>
      <c r="U114" s="583"/>
      <c r="V114" s="501">
        <f>(P114*Q114*R114*S114*T114)^(1/5)-1</f>
        <v>6.775065765451016E-2</v>
      </c>
      <c r="W114" s="583"/>
      <c r="X114" s="583"/>
      <c r="Y114" s="583">
        <f>Y113/T113</f>
        <v>0.82172507209647816</v>
      </c>
      <c r="Z114" s="583">
        <f>Z113/Y113</f>
        <v>1.8079336382005742</v>
      </c>
      <c r="AA114" s="583">
        <f>AA113/Z113</f>
        <v>0.58823529411764708</v>
      </c>
      <c r="AB114" s="583">
        <f>AB113/AA113</f>
        <v>1</v>
      </c>
      <c r="AC114" s="583">
        <f>AC113/AB113</f>
        <v>1</v>
      </c>
      <c r="AD114" s="583"/>
      <c r="AE114" s="583">
        <f>(AA114*AB114*AC114*Y114*Z114)^(1/5)-1</f>
        <v>-2.6598479241900397E-2</v>
      </c>
      <c r="AF114" s="583"/>
      <c r="AG114" s="583"/>
    </row>
    <row r="115" spans="1:33" hidden="1">
      <c r="A115" s="491" t="s">
        <v>137</v>
      </c>
      <c r="B115" s="492" t="s">
        <v>496</v>
      </c>
      <c r="C115" s="582"/>
      <c r="D115" s="582"/>
      <c r="E115" s="582"/>
      <c r="F115" s="582"/>
      <c r="G115" s="583"/>
      <c r="H115" s="583">
        <f>H113/$H$73</f>
        <v>5.4617944421717045E-3</v>
      </c>
      <c r="I115" s="583">
        <f>I113/$I$73</f>
        <v>1.6004919460703452E-3</v>
      </c>
      <c r="J115" s="583">
        <f>J113/$J$73</f>
        <v>1.9692541335315796E-3</v>
      </c>
      <c r="K115" s="583">
        <f>K113/$K$73</f>
        <v>2.1363949623435735E-3</v>
      </c>
      <c r="L115" s="583">
        <f>L113/$L$73</f>
        <v>1.5932499535744934E-3</v>
      </c>
      <c r="M115" s="583">
        <f>M113/$M$73</f>
        <v>2.4833831725355323E-3</v>
      </c>
      <c r="N115" s="583"/>
      <c r="O115" s="583"/>
      <c r="P115" s="583">
        <f>P113/$P$73</f>
        <v>1.3219087832424777E-3</v>
      </c>
      <c r="Q115" s="583">
        <f>Q113/$Q$73</f>
        <v>1.4242565232087116E-3</v>
      </c>
      <c r="R115" s="583">
        <f>R113/$R$73</f>
        <v>1.5123424440439024E-3</v>
      </c>
      <c r="S115" s="583">
        <f>S113/$S$73</f>
        <v>1.2861684277517317E-3</v>
      </c>
      <c r="T115" s="583">
        <f>T113/$T$73</f>
        <v>1.3572810066297182E-3</v>
      </c>
      <c r="U115" s="583">
        <f>U113/$U$73</f>
        <v>1.3758518901688145E-3</v>
      </c>
      <c r="V115" s="583"/>
      <c r="W115" s="501"/>
      <c r="X115" s="501"/>
      <c r="Y115" s="583">
        <f>Y113/$Y$73</f>
        <v>1.3035631650729915E-3</v>
      </c>
      <c r="Z115" s="583">
        <f>Z113/$Z$73</f>
        <v>2.2546419098143236E-3</v>
      </c>
      <c r="AA115" s="583">
        <f>AA113/$AA$73</f>
        <v>1.3175230566534915E-3</v>
      </c>
      <c r="AB115" s="583">
        <f>AB113/$AB$73</f>
        <v>1.2382367508667657E-3</v>
      </c>
      <c r="AC115" s="583">
        <f>AC113/$AC$73</f>
        <v>1.1552680221811461E-3</v>
      </c>
      <c r="AD115" s="583"/>
      <c r="AE115" s="501"/>
      <c r="AF115" s="501"/>
      <c r="AG115" s="501"/>
    </row>
    <row r="116" spans="1:33" ht="16.2" hidden="1">
      <c r="A116" s="1075" t="s">
        <v>514</v>
      </c>
      <c r="B116" s="1078" t="s">
        <v>17</v>
      </c>
      <c r="C116" s="623">
        <f>C19</f>
        <v>83710</v>
      </c>
      <c r="D116" s="623">
        <f>D19</f>
        <v>65760</v>
      </c>
      <c r="E116" s="623">
        <f>E19</f>
        <v>62020</v>
      </c>
      <c r="F116" s="623">
        <f>F19</f>
        <v>108070</v>
      </c>
      <c r="G116" s="623">
        <f>G19</f>
        <v>147763</v>
      </c>
      <c r="H116" s="623">
        <f t="shared" ref="H116:M116" si="65">H19</f>
        <v>129532.067836</v>
      </c>
      <c r="I116" s="623">
        <f t="shared" si="65"/>
        <v>124106.44856800001</v>
      </c>
      <c r="J116" s="623">
        <f t="shared" si="65"/>
        <v>151790.240028</v>
      </c>
      <c r="K116" s="623">
        <f t="shared" si="65"/>
        <v>165870.497191</v>
      </c>
      <c r="L116" s="623">
        <f t="shared" si="65"/>
        <v>212616</v>
      </c>
      <c r="M116" s="623">
        <f t="shared" si="65"/>
        <v>783915.253623</v>
      </c>
      <c r="N116" s="617"/>
      <c r="O116" s="617">
        <f>M116/$M$73</f>
        <v>3.4770337518995657E-2</v>
      </c>
      <c r="P116" s="623">
        <f>P19</f>
        <v>205555</v>
      </c>
      <c r="Q116" s="623">
        <f>Q19</f>
        <v>256429</v>
      </c>
      <c r="R116" s="623">
        <f>R19</f>
        <v>154856</v>
      </c>
      <c r="S116" s="623">
        <f>S19</f>
        <v>172887</v>
      </c>
      <c r="T116" s="623">
        <f>T19</f>
        <v>169168</v>
      </c>
      <c r="U116" s="328">
        <f>SUM(P116:T116)</f>
        <v>958895</v>
      </c>
      <c r="V116" s="623"/>
      <c r="W116" s="617"/>
      <c r="X116" s="617">
        <f>U116/M116-1</f>
        <v>0.22321258014600542</v>
      </c>
      <c r="Y116" s="623">
        <f>Y19</f>
        <v>156068</v>
      </c>
      <c r="Z116" s="623">
        <f>Z19</f>
        <v>170000</v>
      </c>
      <c r="AA116" s="623">
        <f>AA19</f>
        <v>160000</v>
      </c>
      <c r="AB116" s="623">
        <f>AB19</f>
        <v>168000</v>
      </c>
      <c r="AC116" s="623">
        <f>AC19</f>
        <v>176000</v>
      </c>
      <c r="AD116" s="623">
        <f>SUM(Y116:AC116)</f>
        <v>830068</v>
      </c>
      <c r="AE116" s="617"/>
      <c r="AF116" s="617">
        <f>AD116/$AD$73</f>
        <v>2.124277670403912E-2</v>
      </c>
      <c r="AG116" s="617">
        <f>AD116/U116-1</f>
        <v>-0.13434943346247508</v>
      </c>
    </row>
    <row r="117" spans="1:33" hidden="1">
      <c r="A117" s="491" t="s">
        <v>137</v>
      </c>
      <c r="B117" s="492" t="s">
        <v>494</v>
      </c>
      <c r="C117" s="582"/>
      <c r="D117" s="582"/>
      <c r="E117" s="582"/>
      <c r="F117" s="582"/>
      <c r="G117" s="583"/>
      <c r="H117" s="583">
        <f>H116/G116</f>
        <v>0.87662045191286042</v>
      </c>
      <c r="I117" s="583">
        <f>I116/H116</f>
        <v>0.95811369834017202</v>
      </c>
      <c r="J117" s="583">
        <f>J116/I116</f>
        <v>1.223064891304432</v>
      </c>
      <c r="K117" s="583">
        <f>K116/J116</f>
        <v>1.0927612813604002</v>
      </c>
      <c r="L117" s="583">
        <f>L116/K116</f>
        <v>1.2818192722674033</v>
      </c>
      <c r="M117" s="583"/>
      <c r="N117" s="1066">
        <f>(H117*I117*J117*K117*L117)^(1/5)-1</f>
        <v>7.5489187895901422E-2</v>
      </c>
      <c r="O117" s="583"/>
      <c r="P117" s="583">
        <f>P116/L116</f>
        <v>0.96678989351695077</v>
      </c>
      <c r="Q117" s="583">
        <f>Q116/P116</f>
        <v>1.2474958040427135</v>
      </c>
      <c r="R117" s="583">
        <f>R116/Q116</f>
        <v>0.60389425532993535</v>
      </c>
      <c r="S117" s="583">
        <f>S116/R116</f>
        <v>1.1164372061786434</v>
      </c>
      <c r="T117" s="583">
        <f>T116/S116</f>
        <v>0.97848883953102317</v>
      </c>
      <c r="U117" s="583"/>
      <c r="V117" s="501">
        <f>(P117*Q117*R117*S117*T117)^(1/5)-1</f>
        <v>-4.46897131322187E-2</v>
      </c>
      <c r="W117" s="583"/>
      <c r="X117" s="583"/>
      <c r="Y117" s="583">
        <f>Y116/T116</f>
        <v>0.92256218670197676</v>
      </c>
      <c r="Z117" s="583">
        <f>Z116/Y116</f>
        <v>1.0892687802752645</v>
      </c>
      <c r="AA117" s="583">
        <f>AA116/Z116</f>
        <v>0.94117647058823528</v>
      </c>
      <c r="AB117" s="583">
        <f>AB116/AA116</f>
        <v>1.05</v>
      </c>
      <c r="AC117" s="583">
        <f>AC116/AB116</f>
        <v>1.0476190476190477</v>
      </c>
      <c r="AD117" s="583"/>
      <c r="AE117" s="583">
        <f>(AA117*AB117*AC117*Y117*Z117)^(1/5)-1</f>
        <v>7.9497711604008536E-3</v>
      </c>
      <c r="AF117" s="583"/>
      <c r="AG117" s="583"/>
    </row>
    <row r="118" spans="1:33" hidden="1">
      <c r="A118" s="491" t="s">
        <v>137</v>
      </c>
      <c r="B118" s="492" t="s">
        <v>496</v>
      </c>
      <c r="C118" s="582"/>
      <c r="D118" s="582"/>
      <c r="E118" s="582"/>
      <c r="F118" s="582"/>
      <c r="G118" s="583"/>
      <c r="H118" s="583">
        <f>H116/$H$73</f>
        <v>3.1165189496924848E-2</v>
      </c>
      <c r="I118" s="583">
        <f>I116/$I$73</f>
        <v>2.7465356249167371E-2</v>
      </c>
      <c r="J118" s="583">
        <f>J116/$J$73</f>
        <v>3.3118959919154284E-2</v>
      </c>
      <c r="K118" s="583">
        <f>K116/$K$73</f>
        <v>4.0334059963302658E-2</v>
      </c>
      <c r="L118" s="583">
        <f>L116/$L$73</f>
        <v>4.1085558778556033E-2</v>
      </c>
      <c r="M118" s="583">
        <f>M116/$M$73</f>
        <v>3.4770337518995657E-2</v>
      </c>
      <c r="N118" s="583"/>
      <c r="O118" s="583"/>
      <c r="P118" s="583">
        <f>P116/$P$73</f>
        <v>3.244864580121895E-2</v>
      </c>
      <c r="Q118" s="583">
        <f>Q116/$Q$73</f>
        <v>3.7423985653231552E-2</v>
      </c>
      <c r="R118" s="583">
        <f>R116/$R$73</f>
        <v>2.2173385865826789E-2</v>
      </c>
      <c r="S118" s="583">
        <f>S116/$S$73</f>
        <v>1.9711178172920278E-2</v>
      </c>
      <c r="T118" s="583">
        <f>T116/$T$73</f>
        <v>2.0065412333263668E-2</v>
      </c>
      <c r="U118" s="583">
        <f>U116/$U$73</f>
        <v>2.565778210823675E-2</v>
      </c>
      <c r="V118" s="583"/>
      <c r="W118" s="501"/>
      <c r="X118" s="501"/>
      <c r="Y118" s="583">
        <f>Y116/$Y$73</f>
        <v>2.16361263476137E-2</v>
      </c>
      <c r="Z118" s="583">
        <f>Z116/$Z$73</f>
        <v>2.2546419098143235E-2</v>
      </c>
      <c r="AA118" s="583">
        <f>AA116/$AA$73</f>
        <v>2.1080368906455864E-2</v>
      </c>
      <c r="AB118" s="583">
        <f>AB116/$AB$73</f>
        <v>2.0802377414561663E-2</v>
      </c>
      <c r="AC118" s="583">
        <f>AC116/$AC$73</f>
        <v>2.0332717190388171E-2</v>
      </c>
      <c r="AD118" s="583"/>
      <c r="AE118" s="501"/>
      <c r="AF118" s="501"/>
      <c r="AG118" s="501"/>
    </row>
    <row r="119" spans="1:33" ht="16.2" hidden="1">
      <c r="A119" s="1075" t="s">
        <v>514</v>
      </c>
      <c r="B119" s="1078" t="s">
        <v>516</v>
      </c>
      <c r="C119" s="623">
        <f>C22</f>
        <v>2970</v>
      </c>
      <c r="D119" s="623">
        <f>D22</f>
        <v>1390</v>
      </c>
      <c r="E119" s="623">
        <f>E22</f>
        <v>170</v>
      </c>
      <c r="F119" s="623">
        <f>F22</f>
        <v>1150</v>
      </c>
      <c r="G119" s="623">
        <f>G21</f>
        <v>12272.982172</v>
      </c>
      <c r="H119" s="623">
        <f t="shared" ref="H119:M119" si="66">H21</f>
        <v>14797.318150999999</v>
      </c>
      <c r="I119" s="623">
        <f t="shared" si="66"/>
        <v>21280.122105999999</v>
      </c>
      <c r="J119" s="623">
        <f t="shared" si="66"/>
        <v>25056.577998000001</v>
      </c>
      <c r="K119" s="623">
        <f t="shared" si="66"/>
        <v>30109.314546000001</v>
      </c>
      <c r="L119" s="623">
        <f t="shared" si="66"/>
        <v>35945</v>
      </c>
      <c r="M119" s="623">
        <f t="shared" si="66"/>
        <v>127188.332801</v>
      </c>
      <c r="N119" s="617"/>
      <c r="O119" s="617">
        <f>M119/$M$73</f>
        <v>5.6414022300629004E-3</v>
      </c>
      <c r="P119" s="623">
        <f>P21</f>
        <v>53095</v>
      </c>
      <c r="Q119" s="623">
        <f>Q21</f>
        <v>61296</v>
      </c>
      <c r="R119" s="623">
        <f>R21</f>
        <v>194910</v>
      </c>
      <c r="S119" s="623">
        <f>S21</f>
        <v>177724</v>
      </c>
      <c r="T119" s="623">
        <f>T21</f>
        <v>103322</v>
      </c>
      <c r="U119" s="328">
        <f>SUM(P119:T119)</f>
        <v>590347</v>
      </c>
      <c r="V119" s="623"/>
      <c r="W119" s="617"/>
      <c r="X119" s="617">
        <f>U119/M119-1</f>
        <v>3.6415185025159671</v>
      </c>
      <c r="Y119" s="623">
        <f>Y21</f>
        <v>253261</v>
      </c>
      <c r="Z119" s="623">
        <f>Z21</f>
        <v>230000</v>
      </c>
      <c r="AA119" s="623">
        <f>AA21</f>
        <v>115000</v>
      </c>
      <c r="AB119" s="623">
        <f>AB21</f>
        <v>127000</v>
      </c>
      <c r="AC119" s="623">
        <f>AC21</f>
        <v>140000</v>
      </c>
      <c r="AD119" s="623">
        <f>SUM(Y119:AC119)</f>
        <v>865261</v>
      </c>
      <c r="AE119" s="617"/>
      <c r="AF119" s="617">
        <f>AD119/$AD$73</f>
        <v>2.214342224217003E-2</v>
      </c>
      <c r="AG119" s="617">
        <f>AD119/U119-1</f>
        <v>0.46568204801582791</v>
      </c>
    </row>
    <row r="120" spans="1:33" hidden="1">
      <c r="A120" s="491" t="s">
        <v>137</v>
      </c>
      <c r="B120" s="492" t="s">
        <v>494</v>
      </c>
      <c r="C120" s="582"/>
      <c r="D120" s="582"/>
      <c r="E120" s="582"/>
      <c r="F120" s="582"/>
      <c r="G120" s="583"/>
      <c r="H120" s="583">
        <f>H119/G119</f>
        <v>1.2056823633916054</v>
      </c>
      <c r="I120" s="583">
        <f>I119/H119</f>
        <v>1.4381066818220634</v>
      </c>
      <c r="J120" s="583">
        <f>J119/I119</f>
        <v>1.1774640142189419</v>
      </c>
      <c r="K120" s="583">
        <f>K119/J119</f>
        <v>1.2016530967797481</v>
      </c>
      <c r="L120" s="583">
        <f>L119/K119</f>
        <v>1.1938166159539911</v>
      </c>
      <c r="M120" s="583"/>
      <c r="N120" s="1066">
        <f>(H120*I120*J120*K120*L120)^(1/5)-1</f>
        <v>0.23976016239775455</v>
      </c>
      <c r="O120" s="583"/>
      <c r="P120" s="583">
        <f>P119/L119</f>
        <v>1.4771178188899707</v>
      </c>
      <c r="Q120" s="583">
        <f>Q119/P119</f>
        <v>1.15445898860533</v>
      </c>
      <c r="R120" s="583">
        <f>R119/Q119</f>
        <v>3.1798159749412687</v>
      </c>
      <c r="S120" s="583">
        <f>S119/R119</f>
        <v>0.9118259709609563</v>
      </c>
      <c r="T120" s="583">
        <f>T119/S119</f>
        <v>0.58136211203889177</v>
      </c>
      <c r="U120" s="583"/>
      <c r="V120" s="501">
        <f>(P120*Q120*R120*S120*T120)^(1/5)-1</f>
        <v>0.23512486049904591</v>
      </c>
      <c r="W120" s="583"/>
      <c r="X120" s="583"/>
      <c r="Y120" s="583">
        <f>Y119/T119</f>
        <v>2.451181742513695</v>
      </c>
      <c r="Z120" s="583">
        <f>Z119/Y119</f>
        <v>0.90815403871895006</v>
      </c>
      <c r="AA120" s="583">
        <f>AA119/Z119</f>
        <v>0.5</v>
      </c>
      <c r="AB120" s="583">
        <f>AB119/AA119</f>
        <v>1.1043478260869566</v>
      </c>
      <c r="AC120" s="583">
        <f>AC119/AB119</f>
        <v>1.1023622047244095</v>
      </c>
      <c r="AD120" s="583"/>
      <c r="AE120" s="583">
        <f>(AA120*AB120*AC120*Y120*Z120)^(1/5)-1</f>
        <v>6.2642169492720834E-2</v>
      </c>
      <c r="AF120" s="583"/>
      <c r="AG120" s="583"/>
    </row>
    <row r="121" spans="1:33" hidden="1">
      <c r="A121" s="491" t="s">
        <v>137</v>
      </c>
      <c r="B121" s="492" t="s">
        <v>496</v>
      </c>
      <c r="C121" s="582"/>
      <c r="D121" s="582"/>
      <c r="E121" s="582"/>
      <c r="F121" s="582"/>
      <c r="G121" s="583"/>
      <c r="H121" s="583">
        <f>H119/$H$73</f>
        <v>3.5602089268433113E-3</v>
      </c>
      <c r="I121" s="583">
        <f>I119/$I$73</f>
        <v>4.7093937616531911E-3</v>
      </c>
      <c r="J121" s="583">
        <f>J119/$J$73</f>
        <v>5.4670695709674554E-3</v>
      </c>
      <c r="K121" s="583">
        <f>K119/$K$73</f>
        <v>7.3215606085384006E-3</v>
      </c>
      <c r="L121" s="583">
        <f>L119/$L$73</f>
        <v>6.9459514349587831E-3</v>
      </c>
      <c r="M121" s="583">
        <f>M119/$M$73</f>
        <v>5.6414022300629004E-3</v>
      </c>
      <c r="N121" s="583"/>
      <c r="O121" s="583"/>
      <c r="P121" s="583">
        <f>P119/$P$73</f>
        <v>8.3815078631788095E-3</v>
      </c>
      <c r="Q121" s="583">
        <f>Q119/$Q$73</f>
        <v>8.9457145042116191E-3</v>
      </c>
      <c r="R121" s="583">
        <f>R119/$R$73</f>
        <v>2.7908603083563435E-2</v>
      </c>
      <c r="S121" s="583">
        <f>S119/$S$73</f>
        <v>2.0262653812051126E-2</v>
      </c>
      <c r="T121" s="583">
        <f>T119/$T$73</f>
        <v>1.2255264193567747E-2</v>
      </c>
      <c r="U121" s="583">
        <f>U119/$U$73</f>
        <v>1.579630167458506E-2</v>
      </c>
      <c r="V121" s="583"/>
      <c r="W121" s="501"/>
      <c r="X121" s="501"/>
      <c r="Y121" s="583">
        <f>Y119/$Y$73</f>
        <v>3.5110253190423366E-2</v>
      </c>
      <c r="Z121" s="583">
        <f>Z119/$Z$73</f>
        <v>3.0503978779840849E-2</v>
      </c>
      <c r="AA121" s="583">
        <f>AA119/$AA$73</f>
        <v>1.5151515151515152E-2</v>
      </c>
      <c r="AB121" s="583">
        <f>AB119/$AB$73</f>
        <v>1.5725606736007924E-2</v>
      </c>
      <c r="AC121" s="583">
        <f>AC119/$AC$73</f>
        <v>1.6173752310536044E-2</v>
      </c>
      <c r="AD121" s="583"/>
      <c r="AE121" s="501"/>
      <c r="AF121" s="501"/>
      <c r="AG121" s="501"/>
    </row>
    <row r="122" spans="1:33" ht="16.2" hidden="1">
      <c r="A122" s="1075" t="s">
        <v>514</v>
      </c>
      <c r="B122" s="336" t="s">
        <v>129</v>
      </c>
      <c r="C122" s="623">
        <f>C25</f>
        <v>0</v>
      </c>
      <c r="D122" s="623">
        <f>D25</f>
        <v>0</v>
      </c>
      <c r="E122" s="623">
        <f>E25</f>
        <v>0</v>
      </c>
      <c r="F122" s="623">
        <f>F25</f>
        <v>0</v>
      </c>
      <c r="G122" s="623">
        <f>G25</f>
        <v>0</v>
      </c>
      <c r="H122" s="623">
        <f t="shared" ref="H122:M122" si="67">H25</f>
        <v>0</v>
      </c>
      <c r="I122" s="623">
        <f t="shared" si="67"/>
        <v>0</v>
      </c>
      <c r="J122" s="623">
        <f t="shared" si="67"/>
        <v>0</v>
      </c>
      <c r="K122" s="623">
        <f t="shared" si="67"/>
        <v>0</v>
      </c>
      <c r="L122" s="623">
        <f t="shared" si="67"/>
        <v>0</v>
      </c>
      <c r="M122" s="623">
        <f t="shared" si="67"/>
        <v>0</v>
      </c>
      <c r="N122" s="617"/>
      <c r="O122" s="617">
        <f>M122/$M$73</f>
        <v>0</v>
      </c>
      <c r="P122" s="623">
        <f>P25</f>
        <v>0</v>
      </c>
      <c r="Q122" s="623">
        <f>Q25</f>
        <v>0</v>
      </c>
      <c r="R122" s="623">
        <f>R25</f>
        <v>47932</v>
      </c>
      <c r="S122" s="623">
        <f>S25</f>
        <v>129025</v>
      </c>
      <c r="T122" s="623">
        <f>T25</f>
        <v>125796</v>
      </c>
      <c r="U122" s="328">
        <f>SUM(P122:T122)</f>
        <v>302753</v>
      </c>
      <c r="V122" s="623"/>
      <c r="W122" s="617"/>
      <c r="X122" s="617"/>
      <c r="Y122" s="623">
        <f>Y25</f>
        <v>59826</v>
      </c>
      <c r="Z122" s="623">
        <f>Z25</f>
        <v>74797</v>
      </c>
      <c r="AA122" s="623">
        <f>AA25</f>
        <v>50000</v>
      </c>
      <c r="AB122" s="623">
        <f>AB25</f>
        <v>50000</v>
      </c>
      <c r="AC122" s="623">
        <f>AC25</f>
        <v>50000</v>
      </c>
      <c r="AD122" s="623">
        <f>SUM(Y122:AC122)</f>
        <v>284623</v>
      </c>
      <c r="AE122" s="617"/>
      <c r="AF122" s="617">
        <f>AD122/$AD$73</f>
        <v>7.2839608728847835E-3</v>
      </c>
      <c r="AG122" s="617">
        <f>AD122/U122-1</f>
        <v>-5.9883799665073512E-2</v>
      </c>
    </row>
    <row r="123" spans="1:33" hidden="1">
      <c r="A123" s="491" t="s">
        <v>137</v>
      </c>
      <c r="B123" s="492" t="s">
        <v>494</v>
      </c>
      <c r="C123" s="582"/>
      <c r="D123" s="582"/>
      <c r="E123" s="582"/>
      <c r="F123" s="582"/>
      <c r="G123" s="583"/>
      <c r="H123" s="583"/>
      <c r="I123" s="583"/>
      <c r="J123" s="583"/>
      <c r="K123" s="583"/>
      <c r="L123" s="583"/>
      <c r="M123" s="583"/>
      <c r="N123" s="1066"/>
      <c r="O123" s="583"/>
      <c r="P123" s="583"/>
      <c r="Q123" s="583"/>
      <c r="R123" s="583"/>
      <c r="S123" s="583"/>
      <c r="T123" s="583">
        <f>T122/S122</f>
        <v>0.97497384227862816</v>
      </c>
      <c r="U123" s="583"/>
      <c r="V123" s="583"/>
      <c r="W123" s="583"/>
      <c r="X123" s="583"/>
      <c r="Y123" s="583">
        <f>Y122/T122</f>
        <v>0.47557950968234286</v>
      </c>
      <c r="Z123" s="583">
        <f>Z122/Y122</f>
        <v>1.2502423695383278</v>
      </c>
      <c r="AA123" s="583">
        <f>AA122/Z122</f>
        <v>0.6684760083960587</v>
      </c>
      <c r="AB123" s="583">
        <f>AB122/AA122</f>
        <v>1</v>
      </c>
      <c r="AC123" s="583">
        <f>AC122/AB122</f>
        <v>1</v>
      </c>
      <c r="AD123" s="583"/>
      <c r="AE123" s="583">
        <f>(AA123*AB123*AC123*Y123*Z123)^(1/5)-1</f>
        <v>-0.168503099840277</v>
      </c>
      <c r="AF123" s="583"/>
      <c r="AG123" s="583"/>
    </row>
    <row r="124" spans="1:33" hidden="1">
      <c r="A124" s="491" t="s">
        <v>137</v>
      </c>
      <c r="B124" s="492" t="s">
        <v>496</v>
      </c>
      <c r="C124" s="582"/>
      <c r="D124" s="582"/>
      <c r="E124" s="582"/>
      <c r="F124" s="582"/>
      <c r="G124" s="583"/>
      <c r="H124" s="583">
        <f>H122/$H$73</f>
        <v>0</v>
      </c>
      <c r="I124" s="583">
        <f>I122/$I$73</f>
        <v>0</v>
      </c>
      <c r="J124" s="583">
        <f>J122/$J$73</f>
        <v>0</v>
      </c>
      <c r="K124" s="583">
        <f>K122/$K$73</f>
        <v>0</v>
      </c>
      <c r="L124" s="583">
        <f>L122/$L$73</f>
        <v>0</v>
      </c>
      <c r="M124" s="583">
        <f>M122/$M$73</f>
        <v>0</v>
      </c>
      <c r="N124" s="583"/>
      <c r="O124" s="583"/>
      <c r="P124" s="583">
        <f>P122/$P$73</f>
        <v>0</v>
      </c>
      <c r="Q124" s="583">
        <f>Q122/$Q$73</f>
        <v>0</v>
      </c>
      <c r="R124" s="583">
        <f>R122/$R$73</f>
        <v>6.8632454107093663E-3</v>
      </c>
      <c r="S124" s="583">
        <f>S122/$S$73</f>
        <v>1.4710387500280754E-2</v>
      </c>
      <c r="T124" s="583">
        <f>T122/$T$73</f>
        <v>1.4920957922746834E-2</v>
      </c>
      <c r="U124" s="583">
        <f>U122/$U$73</f>
        <v>8.1009604874517031E-3</v>
      </c>
      <c r="V124" s="583"/>
      <c r="W124" s="501"/>
      <c r="X124" s="501"/>
      <c r="Y124" s="583">
        <f>Y122/$Y$73</f>
        <v>8.2938391910727209E-3</v>
      </c>
      <c r="Z124" s="583">
        <f>Z122/$Z$73</f>
        <v>9.9200265251989383E-3</v>
      </c>
      <c r="AA124" s="583">
        <f>AA122/$AA$73</f>
        <v>6.587615283267457E-3</v>
      </c>
      <c r="AB124" s="583">
        <f>AB122/$AB$73</f>
        <v>6.1911837543338283E-3</v>
      </c>
      <c r="AC124" s="583">
        <f>AC122/$AC$73</f>
        <v>5.7763401109057304E-3</v>
      </c>
      <c r="AD124" s="583"/>
      <c r="AE124" s="501"/>
      <c r="AF124" s="501"/>
      <c r="AG124" s="501"/>
    </row>
    <row r="125" spans="1:33" ht="16.2" hidden="1">
      <c r="A125" s="1075" t="s">
        <v>514</v>
      </c>
      <c r="B125" s="1078" t="s">
        <v>517</v>
      </c>
      <c r="C125" s="623">
        <f>C23</f>
        <v>16290</v>
      </c>
      <c r="D125" s="623">
        <f>D23</f>
        <v>34910</v>
      </c>
      <c r="E125" s="623">
        <f>E23</f>
        <v>34190</v>
      </c>
      <c r="F125" s="623">
        <f>F23</f>
        <v>46520</v>
      </c>
      <c r="G125" s="623">
        <f t="shared" ref="G125:M125" si="68">G23+G22+G24+G26+G15</f>
        <v>121402.66154</v>
      </c>
      <c r="H125" s="623">
        <f t="shared" si="68"/>
        <v>52547.980668000004</v>
      </c>
      <c r="I125" s="623">
        <f t="shared" si="68"/>
        <v>60691.136125999998</v>
      </c>
      <c r="J125" s="623">
        <f t="shared" si="68"/>
        <v>71020.529576999994</v>
      </c>
      <c r="K125" s="623">
        <f t="shared" si="68"/>
        <v>162319.390491</v>
      </c>
      <c r="L125" s="623">
        <f t="shared" si="68"/>
        <v>157635</v>
      </c>
      <c r="M125" s="623">
        <f t="shared" si="68"/>
        <v>504214.03686199989</v>
      </c>
      <c r="N125" s="617"/>
      <c r="O125" s="617">
        <f>M125/$M$73</f>
        <v>2.2364269814219462E-2</v>
      </c>
      <c r="P125" s="623">
        <f>P23+P22+P24+P26+P15</f>
        <v>143147</v>
      </c>
      <c r="Q125" s="623">
        <f>Q23+Q22+Q24+Q26+Q15</f>
        <v>231700</v>
      </c>
      <c r="R125" s="623">
        <f>R23+R22+R24+R26+R15</f>
        <v>290394</v>
      </c>
      <c r="S125" s="623">
        <f>S23+S22+S24+S26+S15</f>
        <v>334505</v>
      </c>
      <c r="T125" s="623">
        <f>T23+T22+T24+T26+T15</f>
        <v>346845</v>
      </c>
      <c r="U125" s="328">
        <f>SUM(P125:T125)</f>
        <v>1346591</v>
      </c>
      <c r="V125" s="623"/>
      <c r="W125" s="617"/>
      <c r="X125" s="617">
        <f>U125/M125-1</f>
        <v>1.6706733679620926</v>
      </c>
      <c r="Y125" s="623">
        <f>Y23+Y22+Y24+Y26+Y15</f>
        <v>272339</v>
      </c>
      <c r="Z125" s="623">
        <f>Z23+Z22+Z24+Z26+Z15</f>
        <v>293203</v>
      </c>
      <c r="AA125" s="623">
        <f>AA23+AA22+AA24+AA26+AA15</f>
        <v>275000</v>
      </c>
      <c r="AB125" s="623">
        <f>AB23+AB22+AB24+AB26+AB15</f>
        <v>289000</v>
      </c>
      <c r="AC125" s="623">
        <f>AC23+AC22+AC24+AC26+AC15</f>
        <v>303000</v>
      </c>
      <c r="AD125" s="623">
        <f>SUM(Y125:AC125)</f>
        <v>1432542</v>
      </c>
      <c r="AE125" s="617"/>
      <c r="AF125" s="617">
        <f>AD125/$AD$73</f>
        <v>3.6661056473876366E-2</v>
      </c>
      <c r="AG125" s="617">
        <f>AD125/U125-1</f>
        <v>6.3828586408196664E-2</v>
      </c>
    </row>
    <row r="126" spans="1:33" hidden="1">
      <c r="A126" s="491" t="s">
        <v>137</v>
      </c>
      <c r="B126" s="492" t="s">
        <v>494</v>
      </c>
      <c r="C126" s="582"/>
      <c r="D126" s="582"/>
      <c r="E126" s="582"/>
      <c r="F126" s="582"/>
      <c r="G126" s="583"/>
      <c r="H126" s="583">
        <f>H125/G125</f>
        <v>0.4328404336562785</v>
      </c>
      <c r="I126" s="583">
        <f>I125/H125</f>
        <v>1.1549660967839799</v>
      </c>
      <c r="J126" s="583">
        <f>J125/I125</f>
        <v>1.1701960798617328</v>
      </c>
      <c r="K126" s="583">
        <f>K125/J125</f>
        <v>2.2855277404685412</v>
      </c>
      <c r="L126" s="583">
        <f>L125/K125</f>
        <v>0.97114090635240691</v>
      </c>
      <c r="M126" s="583"/>
      <c r="N126" s="1066">
        <f>(H126*I126*J126*K126*L126)^(1/5)-1</f>
        <v>5.3622141561359138E-2</v>
      </c>
      <c r="O126" s="583"/>
      <c r="P126" s="583">
        <f>P125/L125</f>
        <v>0.90809147714657279</v>
      </c>
      <c r="Q126" s="583">
        <f>Q125/P125</f>
        <v>1.618615828484006</v>
      </c>
      <c r="R126" s="583">
        <f>R125/Q125</f>
        <v>1.2533189469141131</v>
      </c>
      <c r="S126" s="583">
        <f>S125/R125</f>
        <v>1.1519005213606341</v>
      </c>
      <c r="T126" s="583">
        <f>T125/S125</f>
        <v>1.0368903304883335</v>
      </c>
      <c r="U126" s="583"/>
      <c r="V126" s="501">
        <f>(P126*Q126*R126*S126*T126)^(1/5)-1</f>
        <v>0.17083732127563933</v>
      </c>
      <c r="W126" s="583"/>
      <c r="X126" s="583"/>
      <c r="Y126" s="583">
        <f>Y125/T125</f>
        <v>0.78518934970952448</v>
      </c>
      <c r="Z126" s="583">
        <f>Z125/Y125</f>
        <v>1.0766104010075677</v>
      </c>
      <c r="AA126" s="583">
        <f>AA125/Z125</f>
        <v>0.93791673345770676</v>
      </c>
      <c r="AB126" s="583">
        <f>AB125/AA125</f>
        <v>1.050909090909091</v>
      </c>
      <c r="AC126" s="583">
        <f>AC125/AB125</f>
        <v>1.0484429065743945</v>
      </c>
      <c r="AD126" s="583"/>
      <c r="AE126" s="583">
        <f>(AA126*AB126*AC126*Y126*Z126)^(1/5)-1</f>
        <v>-2.6667022288549558E-2</v>
      </c>
      <c r="AF126" s="583"/>
      <c r="AG126" s="583"/>
    </row>
    <row r="127" spans="1:33" hidden="1">
      <c r="A127" s="491" t="s">
        <v>137</v>
      </c>
      <c r="B127" s="492" t="s">
        <v>496</v>
      </c>
      <c r="C127" s="582"/>
      <c r="D127" s="582"/>
      <c r="E127" s="582"/>
      <c r="F127" s="582"/>
      <c r="G127" s="583"/>
      <c r="H127" s="583">
        <f>H125/$H$73</f>
        <v>1.2642952456162499E-2</v>
      </c>
      <c r="I127" s="583">
        <f>I125/$I$73</f>
        <v>1.3431241439110049E-2</v>
      </c>
      <c r="J127" s="583">
        <f>J125/$J$73</f>
        <v>1.5495897971199523E-2</v>
      </c>
      <c r="K127" s="583">
        <f>K125/$K$73</f>
        <v>3.9470551666170375E-2</v>
      </c>
      <c r="L127" s="583">
        <f>L125/$L$73</f>
        <v>3.0461122672130417E-2</v>
      </c>
      <c r="M127" s="583">
        <f>M125/$M$73</f>
        <v>2.2364269814219462E-2</v>
      </c>
      <c r="N127" s="583"/>
      <c r="O127" s="583"/>
      <c r="P127" s="583">
        <f>P125/$P$73</f>
        <v>2.2596999832196197E-2</v>
      </c>
      <c r="Q127" s="583">
        <f>Q125/$Q$73</f>
        <v>3.381496428194062E-2</v>
      </c>
      <c r="R127" s="583">
        <f>R125/$R$73</f>
        <v>4.1580682796410244E-2</v>
      </c>
      <c r="S127" s="583">
        <f>S125/$S$73</f>
        <v>3.8137556061084391E-2</v>
      </c>
      <c r="T127" s="583">
        <f>T125/$T$73</f>
        <v>4.1140097067594562E-2</v>
      </c>
      <c r="U127" s="583">
        <f>U125/$U$73</f>
        <v>3.6031618130152557E-2</v>
      </c>
      <c r="V127" s="583"/>
      <c r="W127" s="501"/>
      <c r="X127" s="501"/>
      <c r="Y127" s="583">
        <f>Y125/$Y$73</f>
        <v>3.7755087611699822E-2</v>
      </c>
      <c r="Z127" s="583">
        <f>Z125/$Z$73</f>
        <v>3.8886339522546422E-2</v>
      </c>
      <c r="AA127" s="583">
        <f>AA125/$AA$73</f>
        <v>3.6231884057971016E-2</v>
      </c>
      <c r="AB127" s="583">
        <f>AB125/$AB$73</f>
        <v>3.5785042100049527E-2</v>
      </c>
      <c r="AC127" s="583">
        <f>AC125/$AC$73</f>
        <v>3.5004621072088724E-2</v>
      </c>
      <c r="AD127" s="583"/>
      <c r="AE127" s="501"/>
      <c r="AF127" s="501"/>
      <c r="AG127" s="501"/>
    </row>
    <row r="128" spans="1:33" s="289" customFormat="1" hidden="1">
      <c r="A128" s="486">
        <v>11</v>
      </c>
      <c r="B128" s="487" t="s">
        <v>492</v>
      </c>
      <c r="C128" s="326"/>
      <c r="D128" s="326"/>
      <c r="E128" s="326"/>
      <c r="F128" s="326"/>
      <c r="G128" s="326"/>
      <c r="H128" s="489">
        <f>H7/G7</f>
        <v>1.046794510256291</v>
      </c>
      <c r="I128" s="489">
        <f>I7/H7</f>
        <v>1.0871803262801722</v>
      </c>
      <c r="J128" s="489">
        <f>J7/I7</f>
        <v>1.0142804314364227</v>
      </c>
      <c r="K128" s="489">
        <f>K7/J7</f>
        <v>0.89728425830443836</v>
      </c>
      <c r="L128" s="489">
        <f>L7/K7</f>
        <v>1.2583734267412459</v>
      </c>
      <c r="M128" s="326"/>
      <c r="N128" s="488">
        <f>AVERAGE(H128:L128)</f>
        <v>1.060782590603714</v>
      </c>
      <c r="O128" s="488"/>
      <c r="P128" s="489">
        <f>P7/L7</f>
        <v>1.2241220555069345</v>
      </c>
      <c r="Q128" s="489">
        <f>Q7/P7</f>
        <v>1.0816472050564037</v>
      </c>
      <c r="R128" s="489">
        <f>R7/Q7</f>
        <v>1.0192457788942084</v>
      </c>
      <c r="S128" s="489">
        <f>S7/R7</f>
        <v>1.2558961595494074</v>
      </c>
      <c r="T128" s="489">
        <f>T7/S7</f>
        <v>0.9612146282305134</v>
      </c>
      <c r="U128" s="489"/>
      <c r="V128" s="501">
        <f>(P128*Q128*R128*S128*T128)^(1/5)-1</f>
        <v>0.10253573899298751</v>
      </c>
      <c r="W128" s="488"/>
      <c r="X128" s="488"/>
      <c r="Y128" s="489">
        <f>Y7/T7</f>
        <v>0.85558710380216596</v>
      </c>
      <c r="Z128" s="488">
        <f>Z7/Y7</f>
        <v>1.0452904673668357</v>
      </c>
      <c r="AA128" s="488">
        <f>AA7/Z7</f>
        <v>1.006631299734748</v>
      </c>
      <c r="AB128" s="488">
        <f>AB7/AA7</f>
        <v>1.0640316205533598</v>
      </c>
      <c r="AC128" s="488">
        <f>AC7/AB7</f>
        <v>1.0718177315502724</v>
      </c>
      <c r="AD128" s="488"/>
      <c r="AE128" s="488"/>
      <c r="AF128" s="488"/>
      <c r="AG128" s="488"/>
    </row>
    <row r="129" spans="1:34" s="289" customFormat="1" hidden="1">
      <c r="A129" s="486">
        <v>12</v>
      </c>
      <c r="B129" s="487" t="s">
        <v>10</v>
      </c>
      <c r="C129" s="326"/>
      <c r="D129" s="326"/>
      <c r="E129" s="326"/>
      <c r="F129" s="326"/>
      <c r="G129" s="326"/>
      <c r="H129" s="326">
        <f>H8</f>
        <v>3798739.5013269996</v>
      </c>
      <c r="I129" s="326">
        <f>I8</f>
        <v>4099702.3977709995</v>
      </c>
      <c r="J129" s="326">
        <f>J8</f>
        <v>4126341.428791</v>
      </c>
      <c r="K129" s="326">
        <f>K8</f>
        <v>3972338.7808679999</v>
      </c>
      <c r="L129" s="326">
        <f>L8</f>
        <v>4931116</v>
      </c>
      <c r="M129" s="326">
        <f>SUM(H129:L129)</f>
        <v>20928238.108756997</v>
      </c>
      <c r="N129" s="488"/>
      <c r="O129" s="488">
        <f>M129/$M$7</f>
        <v>0.92826603303900546</v>
      </c>
      <c r="P129" s="326">
        <f>P8</f>
        <v>6237814</v>
      </c>
      <c r="Q129" s="326">
        <f>Q8</f>
        <v>6744580</v>
      </c>
      <c r="R129" s="326">
        <f>R8</f>
        <v>6909606</v>
      </c>
      <c r="S129" s="326">
        <f>S8</f>
        <v>8644723</v>
      </c>
      <c r="T129" s="326">
        <f>T8</f>
        <v>8337067</v>
      </c>
      <c r="U129" s="328">
        <f>SUM(P129:T129)</f>
        <v>36873790</v>
      </c>
      <c r="V129" s="326"/>
      <c r="W129" s="488"/>
      <c r="X129" s="488"/>
      <c r="Y129" s="326">
        <f>Y8</f>
        <v>7016452</v>
      </c>
      <c r="Z129" s="326">
        <f>Z8</f>
        <v>7400000</v>
      </c>
      <c r="AA129" s="326">
        <f>AA8</f>
        <v>7440000</v>
      </c>
      <c r="AB129" s="326">
        <f>AB8</f>
        <v>7956000</v>
      </c>
      <c r="AC129" s="326">
        <f>AC8</f>
        <v>8531000</v>
      </c>
      <c r="AD129" s="326">
        <f>SUM(Y129:AC129)</f>
        <v>38343452</v>
      </c>
      <c r="AE129" s="488"/>
      <c r="AF129" s="488"/>
      <c r="AG129" s="488">
        <f>AD129/U129-1</f>
        <v>3.9856548513185208E-2</v>
      </c>
    </row>
    <row r="130" spans="1:34" hidden="1">
      <c r="A130" s="499"/>
      <c r="B130" s="500" t="s">
        <v>494</v>
      </c>
      <c r="C130" s="506"/>
      <c r="D130" s="506"/>
      <c r="E130" s="506"/>
      <c r="F130" s="506"/>
      <c r="G130" s="501"/>
      <c r="H130" s="501">
        <f>H8/G8</f>
        <v>1.0367899740461513</v>
      </c>
      <c r="I130" s="501">
        <f>I8/H8</f>
        <v>1.0792270426384503</v>
      </c>
      <c r="J130" s="501">
        <f>J8/I8</f>
        <v>1.0064977962874779</v>
      </c>
      <c r="K130" s="501">
        <f>K8/J8</f>
        <v>0.96267816161588882</v>
      </c>
      <c r="L130" s="501">
        <f>L8/K8</f>
        <v>1.2413634063010348</v>
      </c>
      <c r="M130" s="501"/>
      <c r="N130" s="1066">
        <f>(H130*I130*J130*K130*L130)^(1/5)-1</f>
        <v>6.1205028008409545E-2</v>
      </c>
      <c r="O130" s="501"/>
      <c r="P130" s="501">
        <f>P9/L9</f>
        <v>1.3321136571078873</v>
      </c>
      <c r="Q130" s="501">
        <f>Q9/P9</f>
        <v>1.0343939313663881</v>
      </c>
      <c r="R130" s="501">
        <f>R9/Q9</f>
        <v>1.0146586953378618</v>
      </c>
      <c r="S130" s="501">
        <f>S9/R9</f>
        <v>1.3113079909945025</v>
      </c>
      <c r="T130" s="501">
        <f>T8/S8</f>
        <v>0.9644111210966505</v>
      </c>
      <c r="U130" s="501"/>
      <c r="V130" s="501">
        <f>(P130*Q130*R130*S130*T130)^(1/5)-1</f>
        <v>0.12073472597918133</v>
      </c>
      <c r="W130" s="501"/>
      <c r="X130" s="501"/>
      <c r="Y130" s="501">
        <f>Y8/T8</f>
        <v>0.8415971708035932</v>
      </c>
      <c r="Z130" s="501">
        <f>Z8/Y8</f>
        <v>1.05466409518657</v>
      </c>
      <c r="AA130" s="501">
        <f>AA8/Z8</f>
        <v>1.0054054054054054</v>
      </c>
      <c r="AB130" s="501">
        <f>AB8/AA8</f>
        <v>1.0693548387096774</v>
      </c>
      <c r="AC130" s="501">
        <f>AC8/AB8</f>
        <v>1.0722724987430869</v>
      </c>
      <c r="AD130" s="501"/>
      <c r="AE130" s="501">
        <f>(AA130*AB130*AC130*Y130*Z130)^(1/5)-1</f>
        <v>4.6096141478457753E-3</v>
      </c>
      <c r="AF130" s="501"/>
      <c r="AG130" s="501"/>
    </row>
    <row r="131" spans="1:34" s="289" customFormat="1" ht="31.2" hidden="1">
      <c r="A131" s="486">
        <v>13</v>
      </c>
      <c r="B131" s="622" t="s">
        <v>518</v>
      </c>
      <c r="C131" s="326"/>
      <c r="D131" s="326"/>
      <c r="E131" s="326"/>
      <c r="F131" s="326"/>
      <c r="G131" s="326"/>
      <c r="H131" s="326">
        <f>H9</f>
        <v>2716706.9705919996</v>
      </c>
      <c r="I131" s="326">
        <f>I9</f>
        <v>2881335.0339119998</v>
      </c>
      <c r="J131" s="326">
        <f>J9</f>
        <v>2871723.7974100001</v>
      </c>
      <c r="K131" s="326">
        <f>K9</f>
        <v>2637997.8620639998</v>
      </c>
      <c r="L131" s="326">
        <f>L9</f>
        <v>3357995</v>
      </c>
      <c r="M131" s="326">
        <f>SUM(H131:L131)</f>
        <v>14465758.663977999</v>
      </c>
      <c r="N131" s="488"/>
      <c r="O131" s="488">
        <f>M131/$M$7</f>
        <v>0.64162460022335932</v>
      </c>
      <c r="P131" s="326">
        <f>P9</f>
        <v>4473231</v>
      </c>
      <c r="Q131" s="326">
        <f>Q9</f>
        <v>4627083</v>
      </c>
      <c r="R131" s="326">
        <f>R9</f>
        <v>4694910</v>
      </c>
      <c r="S131" s="326">
        <f>S9</f>
        <v>6156473</v>
      </c>
      <c r="T131" s="326">
        <f>T9</f>
        <v>5525936</v>
      </c>
      <c r="U131" s="328">
        <f>SUM(P131:T131)</f>
        <v>25477633</v>
      </c>
      <c r="V131" s="326"/>
      <c r="W131" s="488"/>
      <c r="X131" s="488"/>
      <c r="Y131" s="326">
        <f>Y9</f>
        <v>4493500</v>
      </c>
      <c r="Z131" s="326">
        <f>Z9</f>
        <v>4726000</v>
      </c>
      <c r="AA131" s="326">
        <f>AA9</f>
        <v>4940000</v>
      </c>
      <c r="AB131" s="326">
        <f>AB9</f>
        <v>5456000</v>
      </c>
      <c r="AC131" s="326">
        <f>AC9</f>
        <v>6031000</v>
      </c>
      <c r="AD131" s="326">
        <f>SUM(Y131:AC131)</f>
        <v>25646500</v>
      </c>
      <c r="AE131" s="488"/>
      <c r="AF131" s="488"/>
      <c r="AG131" s="488"/>
      <c r="AH131" s="289">
        <f>23+24</f>
        <v>47</v>
      </c>
    </row>
    <row r="132" spans="1:34" hidden="1">
      <c r="A132" s="499"/>
      <c r="B132" s="500" t="s">
        <v>494</v>
      </c>
      <c r="C132" s="506"/>
      <c r="D132" s="506"/>
      <c r="E132" s="506"/>
      <c r="F132" s="506"/>
      <c r="G132" s="501"/>
      <c r="H132" s="501">
        <f>H131/G9</f>
        <v>1.1107089890644151</v>
      </c>
      <c r="I132" s="501">
        <f>I131/H9</f>
        <v>1.0605983880860459</v>
      </c>
      <c r="J132" s="501">
        <f>J131/I9</f>
        <v>0.99666431137341549</v>
      </c>
      <c r="K132" s="501">
        <f>K131/J9</f>
        <v>0.91861127607160653</v>
      </c>
      <c r="L132" s="501">
        <f>L9/K9</f>
        <v>1.2729331771985084</v>
      </c>
      <c r="M132" s="501"/>
      <c r="N132" s="1066">
        <f>(H132*I132*J132*K132*L132)^(1/5)-1</f>
        <v>6.5436343162004418E-2</v>
      </c>
      <c r="O132" s="501"/>
      <c r="P132" s="501">
        <f>P9/L9</f>
        <v>1.3321136571078873</v>
      </c>
      <c r="Q132" s="501">
        <f>Q9/P9</f>
        <v>1.0343939313663881</v>
      </c>
      <c r="R132" s="501">
        <f>R9/Q9</f>
        <v>1.0146586953378618</v>
      </c>
      <c r="S132" s="501">
        <f>S9/R9</f>
        <v>1.3113079909945025</v>
      </c>
      <c r="T132" s="501">
        <f>T9/S9</f>
        <v>0.8975814561356803</v>
      </c>
      <c r="U132" s="501"/>
      <c r="V132" s="501">
        <f>(P132*Q132*R132*S132*T132)^(1/5)-1</f>
        <v>0.10475292759219745</v>
      </c>
      <c r="W132" s="501"/>
      <c r="X132" s="501"/>
      <c r="Y132" s="501">
        <f>Y9/T9</f>
        <v>0.81316540763410938</v>
      </c>
      <c r="Z132" s="501">
        <f>Z9/Y9</f>
        <v>1.0517414042505842</v>
      </c>
      <c r="AA132" s="501">
        <f>AA9/Z9</f>
        <v>1.0452814219212865</v>
      </c>
      <c r="AB132" s="501">
        <f>AB9/AA9</f>
        <v>1.1044534412955465</v>
      </c>
      <c r="AC132" s="501">
        <f>AC9/AB9</f>
        <v>1.1053885630498534</v>
      </c>
      <c r="AD132" s="501"/>
      <c r="AE132" s="501">
        <f>(AA132*AB132*AC132*Y132*Z132)^(1/5)-1</f>
        <v>1.7645919550230538E-2</v>
      </c>
      <c r="AF132" s="501"/>
      <c r="AG132" s="501"/>
      <c r="AH132" s="220">
        <f>100-AH131</f>
        <v>53</v>
      </c>
    </row>
    <row r="133" spans="1:34" s="289" customFormat="1" hidden="1">
      <c r="A133" s="486">
        <v>14</v>
      </c>
      <c r="B133" s="487" t="s">
        <v>480</v>
      </c>
      <c r="C133" s="326"/>
      <c r="D133" s="326"/>
      <c r="E133" s="326"/>
      <c r="F133" s="326"/>
      <c r="G133" s="326"/>
      <c r="H133" s="326">
        <f>H29</f>
        <v>0</v>
      </c>
      <c r="I133" s="326">
        <f>I29</f>
        <v>0</v>
      </c>
      <c r="J133" s="326">
        <f>J29</f>
        <v>0</v>
      </c>
      <c r="K133" s="326">
        <f>K29</f>
        <v>0</v>
      </c>
      <c r="L133" s="326">
        <f>L29</f>
        <v>0</v>
      </c>
      <c r="M133" s="326">
        <f>SUM(H133:L133)</f>
        <v>0</v>
      </c>
      <c r="N133" s="488"/>
      <c r="O133" s="488"/>
      <c r="P133" s="326">
        <f>P29</f>
        <v>0</v>
      </c>
      <c r="Q133" s="326">
        <f>Q29</f>
        <v>0</v>
      </c>
      <c r="R133" s="326">
        <f>R29</f>
        <v>0</v>
      </c>
      <c r="S133" s="326">
        <f>S29</f>
        <v>0</v>
      </c>
      <c r="T133" s="326">
        <f>T29</f>
        <v>0</v>
      </c>
      <c r="U133" s="328">
        <f>SUM(P133:T133)</f>
        <v>0</v>
      </c>
      <c r="V133" s="326"/>
      <c r="W133" s="488"/>
      <c r="X133" s="488"/>
      <c r="Y133" s="326">
        <f>Y29</f>
        <v>0</v>
      </c>
      <c r="Z133" s="326">
        <f>Z29</f>
        <v>0</v>
      </c>
      <c r="AA133" s="326">
        <f>AA29</f>
        <v>0</v>
      </c>
      <c r="AB133" s="326">
        <f>AB29</f>
        <v>0</v>
      </c>
      <c r="AC133" s="326">
        <f>AC29</f>
        <v>0</v>
      </c>
      <c r="AD133" s="326">
        <f>SUM(Y133:AC133)</f>
        <v>0</v>
      </c>
      <c r="AE133" s="488"/>
      <c r="AF133" s="488"/>
      <c r="AG133" s="488"/>
    </row>
    <row r="134" spans="1:34" hidden="1">
      <c r="A134" s="499"/>
      <c r="B134" s="500" t="s">
        <v>494</v>
      </c>
      <c r="C134" s="506"/>
      <c r="D134" s="506"/>
      <c r="E134" s="506"/>
      <c r="F134" s="506"/>
      <c r="G134" s="501"/>
      <c r="H134" s="501"/>
      <c r="I134" s="501"/>
      <c r="J134" s="501"/>
      <c r="K134" s="501"/>
      <c r="L134" s="501"/>
      <c r="M134" s="501"/>
      <c r="N134" s="1066"/>
      <c r="O134" s="501"/>
      <c r="P134" s="501"/>
      <c r="Q134" s="501"/>
      <c r="R134" s="501"/>
      <c r="S134" s="501"/>
      <c r="T134" s="501"/>
      <c r="U134" s="501"/>
      <c r="V134" s="501"/>
      <c r="W134" s="501"/>
      <c r="X134" s="501"/>
      <c r="Y134" s="501"/>
      <c r="Z134" s="501"/>
      <c r="AA134" s="501"/>
      <c r="AB134" s="501"/>
      <c r="AC134" s="501"/>
      <c r="AD134" s="501"/>
      <c r="AE134" s="501"/>
      <c r="AF134" s="501"/>
      <c r="AG134" s="501"/>
    </row>
    <row r="135" spans="1:34" s="289" customFormat="1" hidden="1">
      <c r="A135" s="486">
        <v>15</v>
      </c>
      <c r="B135" s="487" t="s">
        <v>519</v>
      </c>
      <c r="C135" s="326">
        <f t="shared" ref="C135:L135" si="69">C28</f>
        <v>230940</v>
      </c>
      <c r="D135" s="326">
        <f t="shared" si="69"/>
        <v>305720</v>
      </c>
      <c r="E135" s="326">
        <f t="shared" si="69"/>
        <v>329200</v>
      </c>
      <c r="F135" s="326">
        <f t="shared" si="69"/>
        <v>308830</v>
      </c>
      <c r="G135" s="326">
        <f t="shared" si="69"/>
        <v>306565.00754700002</v>
      </c>
      <c r="H135" s="326">
        <f t="shared" si="69"/>
        <v>357566.61864</v>
      </c>
      <c r="I135" s="326">
        <f t="shared" si="69"/>
        <v>418951.84585500002</v>
      </c>
      <c r="J135" s="326">
        <f t="shared" si="69"/>
        <v>456841.14694599999</v>
      </c>
      <c r="K135" s="326">
        <f t="shared" si="69"/>
        <v>140078.797276</v>
      </c>
      <c r="L135" s="326">
        <f t="shared" si="69"/>
        <v>243841</v>
      </c>
      <c r="M135" s="326">
        <f>SUM(H135:L135)</f>
        <v>1617279.4087169999</v>
      </c>
      <c r="N135" s="488"/>
      <c r="O135" s="488">
        <f>M135/$M$7</f>
        <v>7.1733966960994378E-2</v>
      </c>
      <c r="P135" s="326">
        <f>P28</f>
        <v>96965</v>
      </c>
      <c r="Q135" s="326">
        <f>Q28</f>
        <v>107416</v>
      </c>
      <c r="R135" s="326">
        <f>R28</f>
        <v>74262</v>
      </c>
      <c r="S135" s="326">
        <f>S28</f>
        <v>126290</v>
      </c>
      <c r="T135" s="326">
        <f>T28</f>
        <v>93759</v>
      </c>
      <c r="U135" s="328">
        <f>SUM(P135:T135)</f>
        <v>498692</v>
      </c>
      <c r="V135" s="326"/>
      <c r="W135" s="488"/>
      <c r="X135" s="488">
        <f>U135/M135-1</f>
        <v>-0.69164759205361048</v>
      </c>
      <c r="Y135" s="326">
        <f>Y28</f>
        <v>196854</v>
      </c>
      <c r="Z135" s="326">
        <f>Z28</f>
        <v>140000</v>
      </c>
      <c r="AA135" s="326">
        <f>AA28</f>
        <v>150000</v>
      </c>
      <c r="AB135" s="326">
        <f>AB28</f>
        <v>120000</v>
      </c>
      <c r="AC135" s="326">
        <f>AC28</f>
        <v>125000</v>
      </c>
      <c r="AD135" s="326">
        <f>SUM(Y135:AC135)</f>
        <v>731854</v>
      </c>
      <c r="AE135" s="488"/>
      <c r="AF135" s="488"/>
      <c r="AG135" s="488">
        <f>AD135/U135-1</f>
        <v>0.46754710322202886</v>
      </c>
    </row>
    <row r="136" spans="1:34" hidden="1">
      <c r="A136" s="499"/>
      <c r="B136" s="500" t="s">
        <v>494</v>
      </c>
      <c r="C136" s="506"/>
      <c r="D136" s="506"/>
      <c r="E136" s="506"/>
      <c r="F136" s="506"/>
      <c r="G136" s="501"/>
      <c r="H136" s="501">
        <f>H135/G135</f>
        <v>1.1663647508275414</v>
      </c>
      <c r="I136" s="501">
        <f>I135/H135</f>
        <v>1.1716749383610749</v>
      </c>
      <c r="J136" s="501">
        <f>J135/I135</f>
        <v>1.0904383199784577</v>
      </c>
      <c r="K136" s="501">
        <f>K135/J135</f>
        <v>0.30662473862617662</v>
      </c>
      <c r="L136" s="501">
        <f>L135/K135</f>
        <v>1.7407416735564576</v>
      </c>
      <c r="M136" s="501"/>
      <c r="N136" s="1066">
        <f>(H136*I136*J136*K136*L136)^(1/5)-1</f>
        <v>-4.4750476186834587E-2</v>
      </c>
      <c r="O136" s="501"/>
      <c r="P136" s="501">
        <f>P135/L135</f>
        <v>0.39765666971510122</v>
      </c>
      <c r="Q136" s="501">
        <f>Q135/P135</f>
        <v>1.1077811581498478</v>
      </c>
      <c r="R136" s="501">
        <f>R135/Q135</f>
        <v>0.69134951962463698</v>
      </c>
      <c r="S136" s="501">
        <f>S135/R135</f>
        <v>1.7006005763378309</v>
      </c>
      <c r="T136" s="501">
        <f>T135/S135</f>
        <v>0.74241032544144425</v>
      </c>
      <c r="U136" s="501"/>
      <c r="V136" s="501">
        <f>(P136*Q136*R136*S136*T136)^(1/5)-1</f>
        <v>-0.17399771792258245</v>
      </c>
      <c r="W136" s="501"/>
      <c r="X136" s="501"/>
      <c r="Y136" s="501">
        <f>Y135/T135</f>
        <v>2.0995744408536781</v>
      </c>
      <c r="Z136" s="501">
        <f>Z135/Y135</f>
        <v>0.71118697105469031</v>
      </c>
      <c r="AA136" s="501">
        <f>AA135/Z135</f>
        <v>1.0714285714285714</v>
      </c>
      <c r="AB136" s="501">
        <f>AB135/AA135</f>
        <v>0.8</v>
      </c>
      <c r="AC136" s="501">
        <f>AC135/AB135</f>
        <v>1.0416666666666667</v>
      </c>
      <c r="AD136" s="501"/>
      <c r="AE136" s="501">
        <f>(AA136*AB136*AC136*Y136*Z136)^(1/5)-1</f>
        <v>5.920350512239847E-2</v>
      </c>
      <c r="AF136" s="501"/>
      <c r="AG136" s="501"/>
    </row>
    <row r="137" spans="1:34" s="289" customFormat="1" hidden="1">
      <c r="A137" s="486">
        <v>16</v>
      </c>
      <c r="B137" s="487" t="s">
        <v>520</v>
      </c>
      <c r="C137" s="326">
        <f>SUM(C139,C142,C147)</f>
        <v>2138770</v>
      </c>
      <c r="D137" s="326">
        <f>SUM(D139,D142,D147)</f>
        <v>3338066.399896</v>
      </c>
      <c r="E137" s="326">
        <f>SUM(E139,E142,E147)</f>
        <v>3203060</v>
      </c>
      <c r="F137" s="326">
        <f>SUM(F139,F142,F147)</f>
        <v>3871950</v>
      </c>
      <c r="G137" s="326">
        <f t="shared" ref="G137:M137" si="70">SUM(G138,G146)</f>
        <v>4688367.1362619996</v>
      </c>
      <c r="H137" s="326">
        <f t="shared" si="70"/>
        <v>5517507.1199670006</v>
      </c>
      <c r="I137" s="326">
        <f t="shared" si="70"/>
        <v>6676916.2436260004</v>
      </c>
      <c r="J137" s="326">
        <f t="shared" si="70"/>
        <v>7325261.5757369995</v>
      </c>
      <c r="K137" s="326">
        <f t="shared" si="70"/>
        <v>8159969.5781439999</v>
      </c>
      <c r="L137" s="326">
        <f t="shared" si="70"/>
        <v>8838258.6639019996</v>
      </c>
      <c r="M137" s="326">
        <f t="shared" si="70"/>
        <v>36517913.181375995</v>
      </c>
      <c r="N137" s="488"/>
      <c r="O137" s="488">
        <f>M137/$M$137</f>
        <v>1</v>
      </c>
      <c r="P137" s="326">
        <f>SUM(P138,P146)</f>
        <v>9435660.1446360014</v>
      </c>
      <c r="Q137" s="326">
        <f>SUM(Q138,Q146)</f>
        <v>10825317.768979</v>
      </c>
      <c r="R137" s="326">
        <f>SUM(R138,R146)</f>
        <v>12245988.776128</v>
      </c>
      <c r="S137" s="326">
        <f>SUM(S138,S146)</f>
        <v>11315739.776128</v>
      </c>
      <c r="T137" s="326" t="e">
        <f>SUM(T138,T146)</f>
        <v>#REF!</v>
      </c>
      <c r="U137" s="328" t="e">
        <f>SUM(P137:T137)</f>
        <v>#REF!</v>
      </c>
      <c r="V137" s="326"/>
      <c r="W137" s="488"/>
      <c r="X137" s="488"/>
      <c r="Y137" s="326" t="e">
        <f>SUM(Y138,Y146)</f>
        <v>#REF!</v>
      </c>
      <c r="Z137" s="326" t="e">
        <f>SUM(Z138,Z146)</f>
        <v>#REF!</v>
      </c>
      <c r="AA137" s="326" t="e">
        <f>SUM(AA138,AA146)</f>
        <v>#REF!</v>
      </c>
      <c r="AB137" s="326" t="e">
        <f>SUM(AB138,AB146)</f>
        <v>#REF!</v>
      </c>
      <c r="AC137" s="326" t="e">
        <f>SUM(AC138,AC146)</f>
        <v>#REF!</v>
      </c>
      <c r="AD137" s="326" t="e">
        <f>SUM(Y137:AC137)</f>
        <v>#REF!</v>
      </c>
      <c r="AE137" s="488"/>
      <c r="AF137" s="488" t="e">
        <f>AD137/$AD$137</f>
        <v>#REF!</v>
      </c>
      <c r="AG137" s="488"/>
    </row>
    <row r="138" spans="1:34" s="234" customFormat="1" hidden="1">
      <c r="A138" s="491"/>
      <c r="B138" s="492" t="s">
        <v>521</v>
      </c>
      <c r="C138" s="494"/>
      <c r="D138" s="494"/>
      <c r="E138" s="494"/>
      <c r="F138" s="494"/>
      <c r="G138" s="494">
        <f t="shared" ref="G138:M138" si="71">SUM(G139,G143,G147)</f>
        <v>4308494.1362619996</v>
      </c>
      <c r="H138" s="494">
        <f t="shared" si="71"/>
        <v>5000023.1199670006</v>
      </c>
      <c r="I138" s="494">
        <f t="shared" si="71"/>
        <v>5990804.2436260004</v>
      </c>
      <c r="J138" s="494">
        <f t="shared" si="71"/>
        <v>6551206.5757369995</v>
      </c>
      <c r="K138" s="494">
        <f t="shared" si="71"/>
        <v>7628457.5781439999</v>
      </c>
      <c r="L138" s="494">
        <f t="shared" si="71"/>
        <v>8304426.6639019996</v>
      </c>
      <c r="M138" s="494">
        <f t="shared" si="71"/>
        <v>33474918.181375999</v>
      </c>
      <c r="N138" s="583"/>
      <c r="O138" s="583"/>
      <c r="P138" s="494">
        <f>SUM(P139,P143,P147)</f>
        <v>8674810.1446360014</v>
      </c>
      <c r="Q138" s="494">
        <f>SUM(Q139,Q143,Q147)</f>
        <v>10083458.768979</v>
      </c>
      <c r="R138" s="494">
        <f>SUM(R139,R143,R147)</f>
        <v>10427702.776128</v>
      </c>
      <c r="S138" s="494">
        <f>SUM(S139,S143,S147)</f>
        <v>10427702.776128</v>
      </c>
      <c r="T138" s="494" t="e">
        <f>SUM(T139,T143,T147)</f>
        <v>#REF!</v>
      </c>
      <c r="U138" s="494" t="e">
        <f>SUM(P138:T138)</f>
        <v>#REF!</v>
      </c>
      <c r="V138" s="494"/>
      <c r="W138" s="583"/>
      <c r="X138" s="583"/>
      <c r="Y138" s="494" t="e">
        <f>SUM(Y139,Y143,Y147)</f>
        <v>#REF!</v>
      </c>
      <c r="Z138" s="494" t="e">
        <f>SUM(Z139,Z143,Z147)</f>
        <v>#REF!</v>
      </c>
      <c r="AA138" s="494" t="e">
        <f>SUM(AA139,AA143,AA147)</f>
        <v>#REF!</v>
      </c>
      <c r="AB138" s="494" t="e">
        <f>SUM(AB139,AB143,AB147)</f>
        <v>#REF!</v>
      </c>
      <c r="AC138" s="494" t="e">
        <f>SUM(AC139,AC143,AC147)</f>
        <v>#REF!</v>
      </c>
      <c r="AD138" s="494" t="e">
        <f>SUM(Y138:AC138)</f>
        <v>#REF!</v>
      </c>
      <c r="AE138" s="583"/>
      <c r="AF138" s="583"/>
      <c r="AG138" s="583"/>
    </row>
    <row r="139" spans="1:34" s="289" customFormat="1" hidden="1">
      <c r="A139" s="486" t="s">
        <v>34</v>
      </c>
      <c r="B139" s="487" t="s">
        <v>522</v>
      </c>
      <c r="C139" s="326">
        <v>1315940</v>
      </c>
      <c r="D139" s="326">
        <v>2230026.399896</v>
      </c>
      <c r="E139" s="326">
        <v>2167000</v>
      </c>
      <c r="F139" s="326">
        <v>2617990</v>
      </c>
      <c r="G139" s="326">
        <v>3650184.1362620001</v>
      </c>
      <c r="H139" s="326">
        <v>3769768.1199670001</v>
      </c>
      <c r="I139" s="326">
        <v>4084137.2436260004</v>
      </c>
      <c r="J139" s="326">
        <v>4073220.5757369995</v>
      </c>
      <c r="K139" s="326">
        <v>3875972.5781439999</v>
      </c>
      <c r="L139" s="326">
        <v>4846821.6639019996</v>
      </c>
      <c r="M139" s="326">
        <f>SUM(H139:L139)</f>
        <v>20649920.181375999</v>
      </c>
      <c r="N139" s="488"/>
      <c r="O139" s="488">
        <f t="shared" ref="O139:O147" si="72">M139/$M$137</f>
        <v>0.56547371912553268</v>
      </c>
      <c r="P139" s="326">
        <v>6154918.1446360005</v>
      </c>
      <c r="Q139" s="326">
        <v>5390332.7689789999</v>
      </c>
      <c r="R139" s="326">
        <v>5734576.7761279996</v>
      </c>
      <c r="S139" s="326">
        <v>5734576.7761279996</v>
      </c>
      <c r="T139" s="326">
        <f>'[1]Phụ lục số 3-thu bs'!C8</f>
        <v>5809777</v>
      </c>
      <c r="U139" s="328">
        <f>SUM(P139:T139)</f>
        <v>28824181.465870999</v>
      </c>
      <c r="V139" s="326"/>
      <c r="W139" s="488"/>
      <c r="X139" s="488">
        <f>U139/M139-1</f>
        <v>0.39584953417240332</v>
      </c>
      <c r="Y139" s="326">
        <f>'[1]Phụ lục số 3-thu bs'!K8</f>
        <v>2897350</v>
      </c>
      <c r="Z139" s="326">
        <f>'[1]Phụ lục số 3-thu bs'!I8</f>
        <v>6704000</v>
      </c>
      <c r="AA139" s="326">
        <f>'[1]Phụ lục số 3-thu bs'!L8</f>
        <v>7153000</v>
      </c>
      <c r="AB139" s="326">
        <f>'[1]Phụ lục số 3-thu bs'!O8</f>
        <v>7655000</v>
      </c>
      <c r="AC139" s="326" t="e">
        <f>'[1]Phụ lục số 3-thu bs'!#REF!</f>
        <v>#REF!</v>
      </c>
      <c r="AD139" s="326" t="e">
        <f>SUM(Y139:AC139)</f>
        <v>#REF!</v>
      </c>
      <c r="AE139" s="488"/>
      <c r="AF139" s="488" t="e">
        <f t="shared" ref="AF139:AF147" si="73">AD139/$AD$137</f>
        <v>#REF!</v>
      </c>
      <c r="AG139" s="488" t="e">
        <f>AD139/U139-1</f>
        <v>#REF!</v>
      </c>
    </row>
    <row r="140" spans="1:34" s="505" customFormat="1" ht="16.2" hidden="1">
      <c r="A140" s="499"/>
      <c r="B140" s="500" t="s">
        <v>494</v>
      </c>
      <c r="C140" s="506"/>
      <c r="D140" s="506"/>
      <c r="E140" s="506"/>
      <c r="F140" s="506"/>
      <c r="G140" s="501"/>
      <c r="H140" s="501">
        <f>H139/G139</f>
        <v>1.0327610825210207</v>
      </c>
      <c r="I140" s="501">
        <f>I139/H139</f>
        <v>1.0833921646251685</v>
      </c>
      <c r="J140" s="501">
        <f>J139/I139</f>
        <v>0.99732705655128551</v>
      </c>
      <c r="K140" s="501">
        <f>K139/J139</f>
        <v>0.9515744374935281</v>
      </c>
      <c r="L140" s="501">
        <f>L139/K139</f>
        <v>1.2504788323922789</v>
      </c>
      <c r="M140" s="501"/>
      <c r="N140" s="1066">
        <f>(H140*I140*J140*K140*L140)^(1/5)-1</f>
        <v>5.8347902472006385E-2</v>
      </c>
      <c r="O140" s="501"/>
      <c r="P140" s="501">
        <f>P139/L139</f>
        <v>1.2698874791446113</v>
      </c>
      <c r="Q140" s="501">
        <f>Q139/P139</f>
        <v>0.87577651600073103</v>
      </c>
      <c r="R140" s="501">
        <f>R139/Q139</f>
        <v>1.0638632199351588</v>
      </c>
      <c r="S140" s="501">
        <f>S139/R139</f>
        <v>1</v>
      </c>
      <c r="T140" s="501">
        <f>T139/S139</f>
        <v>1.013113474072759</v>
      </c>
      <c r="U140" s="501"/>
      <c r="V140" s="501">
        <f>(P140*Q140*R140*S140*T140)^(1/5)-1</f>
        <v>3.6908619167248968E-2</v>
      </c>
      <c r="W140" s="501"/>
      <c r="X140" s="501"/>
      <c r="Y140" s="501">
        <f>Y139/T139</f>
        <v>0.4987024458942228</v>
      </c>
      <c r="Z140" s="501">
        <f>Z139/Y139</f>
        <v>2.313838507601774</v>
      </c>
      <c r="AA140" s="501">
        <f>AA139/Z139</f>
        <v>1.0669749403341289</v>
      </c>
      <c r="AB140" s="501">
        <f>AB139/AA139</f>
        <v>1.0701803439116455</v>
      </c>
      <c r="AC140" s="501" t="e">
        <f>AC139/AB139</f>
        <v>#REF!</v>
      </c>
      <c r="AD140" s="501"/>
      <c r="AE140" s="501" t="e">
        <f>(AA140*AB140*AC140*Y140*Z140)^(1/5)-1</f>
        <v>#REF!</v>
      </c>
      <c r="AF140" s="501"/>
      <c r="AG140" s="501"/>
    </row>
    <row r="141" spans="1:34" s="505" customFormat="1" ht="16.2" hidden="1">
      <c r="A141" s="499"/>
      <c r="B141" s="500" t="s">
        <v>523</v>
      </c>
      <c r="C141" s="506"/>
      <c r="D141" s="506"/>
      <c r="E141" s="506"/>
      <c r="F141" s="506"/>
      <c r="G141" s="501"/>
      <c r="H141" s="501">
        <f>H139/'[1]Chi NSĐP 2010-2025'!D10</f>
        <v>0.75395017943570752</v>
      </c>
      <c r="I141" s="501">
        <f>I139/'[1]Chi NSĐP 2010-2025'!E10</f>
        <v>0.68173446106187663</v>
      </c>
      <c r="J141" s="501">
        <f>J139/'[1]Chi NSĐP 2010-2025'!F10</f>
        <v>0.62175112300288549</v>
      </c>
      <c r="K141" s="501">
        <f>K139/'[1]Chi NSĐP 2010-2025'!G10</f>
        <v>0.50809387640147996</v>
      </c>
      <c r="L141" s="501">
        <f>L139/'[1]Chi NSĐP 2010-2025'!H10</f>
        <v>0.58364310593534119</v>
      </c>
      <c r="M141" s="501">
        <f>(H141*I141*J141*K141*L141)^(1/5)</f>
        <v>0.62421350307285772</v>
      </c>
      <c r="N141" s="1066"/>
      <c r="O141" s="501"/>
      <c r="P141" s="501">
        <f>P139/'[1]Chi NSĐP 2010-2025'!L10</f>
        <v>0.70951621945517296</v>
      </c>
      <c r="Q141" s="501">
        <f>Q139/'[1]Chi NSĐP 2010-2025'!M10</f>
        <v>0.53457177707542691</v>
      </c>
      <c r="R141" s="501">
        <f>R139/'[1]Chi NSĐP 2010-2025'!N10</f>
        <v>0.54993672798003645</v>
      </c>
      <c r="S141" s="501">
        <f>S139/'[1]Chi NSĐP 2010-2025'!O10</f>
        <v>0.55588600966993151</v>
      </c>
      <c r="T141" s="501">
        <f>T139/'[1]Chi NSĐP 2010-2025'!L10</f>
        <v>0.66972962370101474</v>
      </c>
      <c r="U141" s="501">
        <f>(P141*Q141*R141*S141)^(1/4)</f>
        <v>0.58353472595985845</v>
      </c>
      <c r="V141" s="501"/>
      <c r="W141" s="501"/>
      <c r="X141" s="501">
        <f>U141/M141-1</f>
        <v>-6.5168050535188926E-2</v>
      </c>
      <c r="Y141" s="501">
        <f>Y139/'[1]Chi NSĐP 2010-2025'!T10</f>
        <v>4898644.8879433265</v>
      </c>
      <c r="Z141" s="501">
        <f>Z139/'[1]Chi NSĐP 2010-2025'!U10</f>
        <v>0.48678820929830829</v>
      </c>
      <c r="AA141" s="501">
        <f>AA139/'[1]Chi NSĐP 2010-2025'!U10</f>
        <v>0.51939082057141994</v>
      </c>
      <c r="AB141" s="501">
        <f>AB139/'[1]Chi NSĐP 2010-2025'!V10</f>
        <v>0.55584184698367389</v>
      </c>
      <c r="AC141" s="501" t="e">
        <f>AC139/'[1]Chi NSĐP 2010-2025'!W10</f>
        <v>#REF!</v>
      </c>
      <c r="AD141" s="501"/>
      <c r="AE141" s="501"/>
      <c r="AF141" s="501"/>
      <c r="AG141" s="501"/>
    </row>
    <row r="142" spans="1:34" s="289" customFormat="1" hidden="1">
      <c r="A142" s="486" t="s">
        <v>35</v>
      </c>
      <c r="B142" s="487" t="s">
        <v>23</v>
      </c>
      <c r="C142" s="326">
        <f>SUM(C144:C145)</f>
        <v>822830</v>
      </c>
      <c r="D142" s="326">
        <f>SUM(D144:D145)</f>
        <v>1108040</v>
      </c>
      <c r="E142" s="326">
        <f>SUM(E144:E145)</f>
        <v>911070</v>
      </c>
      <c r="F142" s="326">
        <f>SUM(F144:F145)</f>
        <v>1140640</v>
      </c>
      <c r="G142" s="326">
        <f>SUM(G143,G146)</f>
        <v>1038183</v>
      </c>
      <c r="H142" s="326">
        <f t="shared" ref="H142:M142" si="74">SUM(H143,H146)</f>
        <v>1663193</v>
      </c>
      <c r="I142" s="326">
        <f t="shared" si="74"/>
        <v>1860264</v>
      </c>
      <c r="J142" s="326">
        <f t="shared" si="74"/>
        <v>1948207</v>
      </c>
      <c r="K142" s="326">
        <f t="shared" si="74"/>
        <v>1705664</v>
      </c>
      <c r="L142" s="326">
        <f t="shared" si="74"/>
        <v>1707984</v>
      </c>
      <c r="M142" s="326">
        <f t="shared" si="74"/>
        <v>8885312</v>
      </c>
      <c r="N142" s="488"/>
      <c r="O142" s="488">
        <f t="shared" si="72"/>
        <v>0.24331379385970711</v>
      </c>
      <c r="P142" s="326">
        <f>SUM(P144:P145)</f>
        <v>1174152</v>
      </c>
      <c r="Q142" s="326">
        <f>SUM(Q144:Q145)</f>
        <v>4693126</v>
      </c>
      <c r="R142" s="326">
        <f>SUM(R144:R145)</f>
        <v>4693126</v>
      </c>
      <c r="S142" s="326">
        <f>SUM(S144:S145)</f>
        <v>4693126</v>
      </c>
      <c r="T142" s="326" t="e">
        <f>SUM(T144:T145)</f>
        <v>#REF!</v>
      </c>
      <c r="U142" s="326" t="e">
        <f t="shared" ref="U142:U147" si="75">SUM(P142:T142)</f>
        <v>#REF!</v>
      </c>
      <c r="V142" s="326"/>
      <c r="W142" s="488"/>
      <c r="X142" s="488"/>
      <c r="Y142" s="326" t="e">
        <f>SUM(Y144:Y145)</f>
        <v>#REF!</v>
      </c>
      <c r="Z142" s="326" t="e">
        <f>SUM(Z144:Z145)</f>
        <v>#REF!</v>
      </c>
      <c r="AA142" s="326" t="e">
        <f>SUM(AA144:AA145)</f>
        <v>#REF!</v>
      </c>
      <c r="AB142" s="326" t="e">
        <f>SUM(AB144:AB145)</f>
        <v>#REF!</v>
      </c>
      <c r="AC142" s="326" t="e">
        <f>SUM(AC144:AC145)</f>
        <v>#REF!</v>
      </c>
      <c r="AD142" s="326" t="e">
        <f t="shared" ref="AD142:AD150" si="76">SUM(Y142:AC142)</f>
        <v>#REF!</v>
      </c>
      <c r="AE142" s="488"/>
      <c r="AF142" s="488" t="e">
        <f t="shared" si="73"/>
        <v>#REF!</v>
      </c>
      <c r="AG142" s="488"/>
    </row>
    <row r="143" spans="1:34" s="289" customFormat="1" hidden="1">
      <c r="A143" s="486" t="s">
        <v>137</v>
      </c>
      <c r="B143" s="487" t="s">
        <v>238</v>
      </c>
      <c r="C143" s="326"/>
      <c r="D143" s="326"/>
      <c r="E143" s="326"/>
      <c r="F143" s="326"/>
      <c r="G143" s="326">
        <f>SUM(G144:G145)</f>
        <v>658310</v>
      </c>
      <c r="H143" s="326">
        <f t="shared" ref="H143:M143" si="77">SUM(H144:H145)</f>
        <v>1145709</v>
      </c>
      <c r="I143" s="326">
        <f t="shared" si="77"/>
        <v>1174152</v>
      </c>
      <c r="J143" s="326">
        <f t="shared" si="77"/>
        <v>1174152</v>
      </c>
      <c r="K143" s="326">
        <f t="shared" si="77"/>
        <v>1174152</v>
      </c>
      <c r="L143" s="326">
        <f t="shared" si="77"/>
        <v>1174152</v>
      </c>
      <c r="M143" s="326">
        <f t="shared" si="77"/>
        <v>5842317</v>
      </c>
      <c r="N143" s="488"/>
      <c r="O143" s="488"/>
      <c r="P143" s="326">
        <f>SUM(P144:P145)</f>
        <v>1174152</v>
      </c>
      <c r="Q143" s="326">
        <f>SUM(Q144:Q145)</f>
        <v>4693126</v>
      </c>
      <c r="R143" s="326">
        <f>SUM(R144:R145)</f>
        <v>4693126</v>
      </c>
      <c r="S143" s="326">
        <f>SUM(S144:S145)</f>
        <v>4693126</v>
      </c>
      <c r="T143" s="326" t="e">
        <f>SUM(T144:T145)</f>
        <v>#REF!</v>
      </c>
      <c r="U143" s="326" t="e">
        <f t="shared" si="75"/>
        <v>#REF!</v>
      </c>
      <c r="V143" s="326"/>
      <c r="W143" s="488"/>
      <c r="X143" s="488"/>
      <c r="Y143" s="326" t="e">
        <f>SUM(Y144:Y145)</f>
        <v>#REF!</v>
      </c>
      <c r="Z143" s="326" t="e">
        <f>SUM(Z144:Z145)</f>
        <v>#REF!</v>
      </c>
      <c r="AA143" s="326" t="e">
        <f>SUM(AA144:AA145)</f>
        <v>#REF!</v>
      </c>
      <c r="AB143" s="326" t="e">
        <f>SUM(AB144:AB145)</f>
        <v>#REF!</v>
      </c>
      <c r="AC143" s="326" t="e">
        <f>SUM(AC144:AC145)</f>
        <v>#REF!</v>
      </c>
      <c r="AD143" s="326" t="e">
        <f t="shared" si="76"/>
        <v>#REF!</v>
      </c>
      <c r="AE143" s="488"/>
      <c r="AF143" s="488"/>
      <c r="AG143" s="488"/>
    </row>
    <row r="144" spans="1:34" s="234" customFormat="1" hidden="1">
      <c r="A144" s="491" t="s">
        <v>514</v>
      </c>
      <c r="B144" s="492" t="s">
        <v>238</v>
      </c>
      <c r="C144" s="494">
        <v>658310</v>
      </c>
      <c r="D144" s="494">
        <v>658310</v>
      </c>
      <c r="E144" s="494">
        <v>658310</v>
      </c>
      <c r="F144" s="494">
        <v>658310</v>
      </c>
      <c r="G144" s="494">
        <v>658310</v>
      </c>
      <c r="H144" s="494">
        <v>1145709</v>
      </c>
      <c r="I144" s="494">
        <f>1174152</f>
        <v>1174152</v>
      </c>
      <c r="J144" s="494">
        <f>I144</f>
        <v>1174152</v>
      </c>
      <c r="K144" s="494">
        <f>J144</f>
        <v>1174152</v>
      </c>
      <c r="L144" s="494">
        <f>K144</f>
        <v>1174152</v>
      </c>
      <c r="M144" s="494">
        <f>SUM(H144:L144)</f>
        <v>5842317</v>
      </c>
      <c r="N144" s="583"/>
      <c r="O144" s="583">
        <f t="shared" si="72"/>
        <v>0.15998496329685019</v>
      </c>
      <c r="P144" s="494">
        <f>1174152</f>
        <v>1174152</v>
      </c>
      <c r="Q144" s="494">
        <v>4693126</v>
      </c>
      <c r="R144" s="494">
        <v>4693126</v>
      </c>
      <c r="S144" s="494">
        <v>4693126</v>
      </c>
      <c r="T144" s="494">
        <f>'[1]Phụ lục số 3-thu bs'!D14</f>
        <v>6803512</v>
      </c>
      <c r="U144" s="506">
        <f t="shared" si="75"/>
        <v>22057042</v>
      </c>
      <c r="V144" s="494"/>
      <c r="W144" s="583"/>
      <c r="X144" s="583"/>
      <c r="Y144" s="494">
        <f>'[1]Phụ lục số 3-thu bs'!L14</f>
        <v>10918411</v>
      </c>
      <c r="Z144" s="494">
        <f>'[1]Phụ lục số 3-thu bs'!J14</f>
        <v>6487488</v>
      </c>
      <c r="AA144" s="494">
        <f>'[1]Phụ lục số 3-thu bs'!M14</f>
        <v>6487488</v>
      </c>
      <c r="AB144" s="494">
        <f>'[1]Phụ lục số 3-thu bs'!P14</f>
        <v>6487488</v>
      </c>
      <c r="AC144" s="494" t="e">
        <f>'[1]Phụ lục số 3-thu bs'!#REF!</f>
        <v>#REF!</v>
      </c>
      <c r="AD144" s="494" t="e">
        <f t="shared" si="76"/>
        <v>#REF!</v>
      </c>
      <c r="AE144" s="583"/>
      <c r="AF144" s="583" t="e">
        <f t="shared" si="73"/>
        <v>#REF!</v>
      </c>
      <c r="AG144" s="583"/>
    </row>
    <row r="145" spans="1:33" s="234" customFormat="1" hidden="1">
      <c r="A145" s="491" t="s">
        <v>514</v>
      </c>
      <c r="B145" s="494" t="s">
        <v>524</v>
      </c>
      <c r="C145" s="494">
        <f>822830-658310</f>
        <v>164520</v>
      </c>
      <c r="D145" s="494">
        <f>1108040-658310</f>
        <v>449730</v>
      </c>
      <c r="E145" s="494">
        <f>911070-658310</f>
        <v>252760</v>
      </c>
      <c r="F145" s="494">
        <f>1140640-658310</f>
        <v>482330</v>
      </c>
      <c r="G145" s="494"/>
      <c r="H145" s="494">
        <v>0</v>
      </c>
      <c r="I145" s="494"/>
      <c r="J145" s="494"/>
      <c r="K145" s="494"/>
      <c r="L145" s="494"/>
      <c r="M145" s="494">
        <f>SUM(H145:L145)</f>
        <v>0</v>
      </c>
      <c r="N145" s="583"/>
      <c r="O145" s="583">
        <f t="shared" si="72"/>
        <v>0</v>
      </c>
      <c r="P145" s="494"/>
      <c r="Q145" s="494">
        <v>0</v>
      </c>
      <c r="R145" s="494"/>
      <c r="S145" s="494"/>
      <c r="T145" s="494" t="e">
        <f>'[1]Phụ lục số 3-thu bs'!#REF!</f>
        <v>#REF!</v>
      </c>
      <c r="U145" s="506" t="e">
        <f t="shared" si="75"/>
        <v>#REF!</v>
      </c>
      <c r="V145" s="494"/>
      <c r="W145" s="583"/>
      <c r="X145" s="583"/>
      <c r="Y145" s="494" t="e">
        <f>'[1]Phụ lục số 3-thu bs'!#REF!</f>
        <v>#REF!</v>
      </c>
      <c r="Z145" s="494" t="e">
        <f>'[1]Phụ lục số 3-thu bs'!#REF!</f>
        <v>#REF!</v>
      </c>
      <c r="AA145" s="494" t="e">
        <f>'[1]Phụ lục số 3-thu bs'!#REF!</f>
        <v>#REF!</v>
      </c>
      <c r="AB145" s="494" t="e">
        <f>'[1]Phụ lục số 3-thu bs'!#REF!</f>
        <v>#REF!</v>
      </c>
      <c r="AC145" s="494" t="e">
        <f>'[1]Phụ lục số 3-thu bs'!#REF!</f>
        <v>#REF!</v>
      </c>
      <c r="AD145" s="494" t="e">
        <f t="shared" si="76"/>
        <v>#REF!</v>
      </c>
      <c r="AE145" s="583"/>
      <c r="AF145" s="583" t="e">
        <f t="shared" si="73"/>
        <v>#REF!</v>
      </c>
      <c r="AG145" s="583"/>
    </row>
    <row r="146" spans="1:33" s="289" customFormat="1" hidden="1">
      <c r="A146" s="486" t="s">
        <v>137</v>
      </c>
      <c r="B146" s="326" t="s">
        <v>239</v>
      </c>
      <c r="C146" s="326"/>
      <c r="D146" s="326"/>
      <c r="E146" s="326"/>
      <c r="F146" s="326"/>
      <c r="G146" s="326">
        <f>'[1]Chi từ NSTW bổ sung 2010-2025'!C8</f>
        <v>379873</v>
      </c>
      <c r="H146" s="326">
        <f>'[1]Chi từ NSTW bổ sung 2010-2025'!D8</f>
        <v>517484</v>
      </c>
      <c r="I146" s="326">
        <f>'[1]Chi từ NSTW bổ sung 2010-2025'!E8</f>
        <v>686112</v>
      </c>
      <c r="J146" s="326">
        <f>'[1]Chi từ NSTW bổ sung 2010-2025'!F8</f>
        <v>774055</v>
      </c>
      <c r="K146" s="326">
        <f>'[1]Chi từ NSTW bổ sung 2010-2025'!G8</f>
        <v>531512</v>
      </c>
      <c r="L146" s="326">
        <f>'[1]Chi từ NSTW bổ sung 2010-2025'!H8</f>
        <v>533832</v>
      </c>
      <c r="M146" s="326">
        <f>'[1]Chi từ NSTW bổ sung 2010-2025'!I8</f>
        <v>3042995</v>
      </c>
      <c r="N146" s="488"/>
      <c r="O146" s="488"/>
      <c r="P146" s="326">
        <f>'[1]Chi từ NSTW bổ sung 2010-2025'!L8</f>
        <v>760850</v>
      </c>
      <c r="Q146" s="326">
        <f>'[1]Chi từ NSTW bổ sung 2010-2025'!M8</f>
        <v>741859</v>
      </c>
      <c r="R146" s="326">
        <f>'[1]Chi từ NSTW bổ sung 2010-2025'!N8</f>
        <v>1818286</v>
      </c>
      <c r="S146" s="326">
        <f>'[1]Chi từ NSTW bổ sung 2010-2025'!O8</f>
        <v>888037</v>
      </c>
      <c r="T146" s="326">
        <f>'[1]Chi từ NSTW bổ sung 2010-2025'!L8</f>
        <v>760850</v>
      </c>
      <c r="U146" s="326">
        <f t="shared" si="75"/>
        <v>4969882</v>
      </c>
      <c r="V146" s="326"/>
      <c r="W146" s="488"/>
      <c r="X146" s="488"/>
      <c r="Y146" s="326">
        <f>'[1]Chi từ NSTW bổ sung 2010-2025'!U8</f>
        <v>1213473</v>
      </c>
      <c r="Z146" s="326">
        <f>'[1]Chi từ NSTW bổ sung 2010-2025'!V8</f>
        <v>1213473</v>
      </c>
      <c r="AA146" s="326">
        <f>'[1]Chi từ NSTW bổ sung 2010-2025'!W8</f>
        <v>2597007</v>
      </c>
      <c r="AB146" s="326">
        <f>'[1]Chi từ NSTW bổ sung 2010-2025'!X8</f>
        <v>3118036</v>
      </c>
      <c r="AC146" s="326">
        <f>'[1]Chi từ NSTW bổ sung 2010-2025'!Y8</f>
        <v>3751036</v>
      </c>
      <c r="AD146" s="326">
        <f t="shared" si="76"/>
        <v>11893025</v>
      </c>
      <c r="AE146" s="488"/>
      <c r="AF146" s="488"/>
      <c r="AG146" s="488"/>
    </row>
    <row r="147" spans="1:33" s="289" customFormat="1" hidden="1">
      <c r="A147" s="486" t="s">
        <v>26</v>
      </c>
      <c r="B147" s="487" t="s">
        <v>525</v>
      </c>
      <c r="C147" s="326"/>
      <c r="D147" s="326"/>
      <c r="E147" s="326">
        <v>124990</v>
      </c>
      <c r="F147" s="326">
        <v>113320</v>
      </c>
      <c r="G147" s="326"/>
      <c r="H147" s="326">
        <f>5517507-5432961</f>
        <v>84546</v>
      </c>
      <c r="I147" s="326">
        <f>6676916-5944401</f>
        <v>732515</v>
      </c>
      <c r="J147" s="326">
        <f>7325262-6021428</f>
        <v>1303834</v>
      </c>
      <c r="K147" s="326">
        <f>8159970-5581637</f>
        <v>2578333</v>
      </c>
      <c r="L147" s="326">
        <f>8838259-6554806</f>
        <v>2283453</v>
      </c>
      <c r="M147" s="326">
        <f>SUM(H147:L147)</f>
        <v>6982681</v>
      </c>
      <c r="N147" s="488"/>
      <c r="O147" s="488">
        <f t="shared" si="72"/>
        <v>0.19121248701476026</v>
      </c>
      <c r="P147" s="326">
        <f>9435660-8089920</f>
        <v>1345740</v>
      </c>
      <c r="Q147" s="326"/>
      <c r="R147" s="326"/>
      <c r="S147" s="326"/>
      <c r="T147" s="326">
        <f>13322070-12968123</f>
        <v>353947</v>
      </c>
      <c r="U147" s="326">
        <f t="shared" si="75"/>
        <v>1699687</v>
      </c>
      <c r="V147" s="326"/>
      <c r="W147" s="488"/>
      <c r="X147" s="488"/>
      <c r="Y147" s="326">
        <f>13322070-12968123</f>
        <v>353947</v>
      </c>
      <c r="Z147" s="326">
        <f>13655790-13237496</f>
        <v>418294</v>
      </c>
      <c r="AA147" s="326">
        <f>'[1]Phụ lục số 3-thu bs'!L16</f>
        <v>0</v>
      </c>
      <c r="AB147" s="326">
        <f>'[1]Phụ lục số 3-thu bs'!O16</f>
        <v>0</v>
      </c>
      <c r="AC147" s="326" t="e">
        <f>'[1]Phụ lục số 3-thu bs'!#REF!</f>
        <v>#REF!</v>
      </c>
      <c r="AD147" s="326" t="e">
        <f t="shared" si="76"/>
        <v>#REF!</v>
      </c>
      <c r="AE147" s="488"/>
      <c r="AF147" s="488" t="e">
        <f t="shared" si="73"/>
        <v>#REF!</v>
      </c>
      <c r="AG147" s="488"/>
    </row>
    <row r="148" spans="1:33" s="289" customFormat="1" ht="31.2" hidden="1">
      <c r="A148" s="486" t="s">
        <v>130</v>
      </c>
      <c r="B148" s="622" t="s">
        <v>132</v>
      </c>
      <c r="C148" s="326"/>
      <c r="D148" s="326"/>
      <c r="E148" s="326"/>
      <c r="F148" s="326"/>
      <c r="G148" s="326"/>
      <c r="H148" s="326"/>
      <c r="I148" s="326"/>
      <c r="J148" s="326"/>
      <c r="K148" s="326"/>
      <c r="L148" s="326"/>
      <c r="M148" s="326"/>
      <c r="N148" s="488"/>
      <c r="O148" s="488"/>
      <c r="P148" s="326"/>
      <c r="Q148" s="326"/>
      <c r="R148" s="326"/>
      <c r="S148" s="326"/>
      <c r="T148" s="326">
        <f>'[1]Phụ lục số 1'!E58</f>
        <v>48300</v>
      </c>
      <c r="U148" s="326">
        <f t="shared" ref="U148:U153" si="78">SUM(P148:T148)</f>
        <v>48300</v>
      </c>
      <c r="V148" s="326"/>
      <c r="W148" s="488"/>
      <c r="X148" s="488"/>
      <c r="Y148" s="326">
        <f>'[1]Phụ lục số 1'!H58</f>
        <v>48300</v>
      </c>
      <c r="Z148" s="326">
        <f>'[1]Phụ lục số 1'!N58</f>
        <v>31500</v>
      </c>
      <c r="AA148" s="326">
        <f>'[1]Phụ lục số 1'!T58</f>
        <v>19694</v>
      </c>
      <c r="AB148" s="326">
        <f>'[1]Phụ lục số 1'!Z58</f>
        <v>0</v>
      </c>
      <c r="AC148" s="326" t="e">
        <f>'[1]Phụ lục số 1'!#REF!</f>
        <v>#REF!</v>
      </c>
      <c r="AD148" s="326" t="e">
        <f t="shared" si="76"/>
        <v>#REF!</v>
      </c>
      <c r="AE148" s="488"/>
      <c r="AF148" s="488"/>
      <c r="AG148" s="488"/>
    </row>
    <row r="149" spans="1:33" s="289" customFormat="1" hidden="1">
      <c r="A149" s="486">
        <v>17</v>
      </c>
      <c r="B149" s="487" t="s">
        <v>526</v>
      </c>
      <c r="C149" s="326"/>
      <c r="D149" s="326"/>
      <c r="E149" s="326"/>
      <c r="F149" s="326"/>
      <c r="G149" s="326">
        <f>ROUND(('[1]Chi NSĐP 2010-2025'!C11+'[1]Chi NSĐP 2010-2025'!C128)*30%,-3)</f>
        <v>378000</v>
      </c>
      <c r="H149" s="326">
        <f>ROUND(('[1]Chi NSĐP 2010-2025'!D11+'[1]Chi NSĐP 2010-2025'!D128)*30%,-3)</f>
        <v>544000</v>
      </c>
      <c r="I149" s="326">
        <f>ROUND(('[1]Chi NSĐP 2010-2025'!E11+'[1]Chi NSĐP 2010-2025'!E128)*30%,-3)</f>
        <v>591000</v>
      </c>
      <c r="J149" s="326">
        <f>ROUND(('[1]Chi NSĐP 2010-2025'!F11+'[1]Chi NSĐP 2010-2025'!F128)*30%,-3)</f>
        <v>599000</v>
      </c>
      <c r="K149" s="326">
        <f>ROUND(('[1]Chi NSĐP 2010-2025'!G11+'[1]Chi NSĐP 2010-2025'!G128)*30%,-3)</f>
        <v>745000</v>
      </c>
      <c r="L149" s="326">
        <f>ROUND(('[1]Chi NSĐP 2010-2025'!H11+'[1]Chi NSĐP 2010-2025'!H128)*30%,-3)</f>
        <v>721000</v>
      </c>
      <c r="M149" s="326"/>
      <c r="N149" s="488"/>
      <c r="O149" s="488"/>
      <c r="P149" s="326">
        <f>ROUND(('[1]Chi NSĐP 2010-2025'!L11+'[1]Chi NSĐP 2010-2025'!L128)*30%,-3)</f>
        <v>837000</v>
      </c>
      <c r="Q149" s="326">
        <f>ROUND(Q139*20%,-3)</f>
        <v>1078000</v>
      </c>
      <c r="R149" s="326">
        <f>ROUND(R139*20%,-3)</f>
        <v>1147000</v>
      </c>
      <c r="S149" s="326">
        <f>ROUND(S139*20%,-3)</f>
        <v>1147000</v>
      </c>
      <c r="T149" s="326">
        <f>ROUND(T139*20%,-3)</f>
        <v>1162000</v>
      </c>
      <c r="U149" s="326">
        <f t="shared" si="78"/>
        <v>5371000</v>
      </c>
      <c r="V149" s="326"/>
      <c r="W149" s="488"/>
      <c r="X149" s="488"/>
      <c r="Y149" s="326">
        <f>ROUND(Y139*20%,-3)</f>
        <v>579000</v>
      </c>
      <c r="Z149" s="326">
        <f>ROUND(Z139*20%,-3)</f>
        <v>1341000</v>
      </c>
      <c r="AA149" s="326">
        <f>ROUND(AA139*20%,-3)</f>
        <v>1431000</v>
      </c>
      <c r="AB149" s="326">
        <f>ROUND(AB139*20%,-3)</f>
        <v>1531000</v>
      </c>
      <c r="AC149" s="326" t="e">
        <f>ROUND(AC139*20%,-3)</f>
        <v>#REF!</v>
      </c>
      <c r="AD149" s="326" t="e">
        <f t="shared" si="76"/>
        <v>#REF!</v>
      </c>
      <c r="AE149" s="488"/>
      <c r="AF149" s="488"/>
      <c r="AG149" s="488"/>
    </row>
    <row r="150" spans="1:33" s="289" customFormat="1" hidden="1">
      <c r="A150" s="486">
        <v>18</v>
      </c>
      <c r="B150" s="487" t="s">
        <v>527</v>
      </c>
      <c r="C150" s="326"/>
      <c r="D150" s="326"/>
      <c r="E150" s="326"/>
      <c r="F150" s="326"/>
      <c r="G150" s="326">
        <v>720694.66666666709</v>
      </c>
      <c r="H150" s="326">
        <v>672807.91666666709</v>
      </c>
      <c r="I150" s="326">
        <v>850600.91666666686</v>
      </c>
      <c r="J150" s="326">
        <v>880028.91666666698</v>
      </c>
      <c r="K150" s="326">
        <v>942215.91666666709</v>
      </c>
      <c r="L150" s="326">
        <v>1061382.9166666672</v>
      </c>
      <c r="M150" s="326"/>
      <c r="N150" s="488"/>
      <c r="O150" s="488"/>
      <c r="P150" s="326">
        <v>1019612.7466666669</v>
      </c>
      <c r="Q150" s="326">
        <v>1011904.74666667</v>
      </c>
      <c r="R150" s="326">
        <v>782191.23811367003</v>
      </c>
      <c r="S150" s="326">
        <v>782191.23811367003</v>
      </c>
      <c r="T150" s="326">
        <v>638715.73911366996</v>
      </c>
      <c r="U150" s="326">
        <f t="shared" si="78"/>
        <v>4234615.708674347</v>
      </c>
      <c r="V150" s="326"/>
      <c r="W150" s="488"/>
      <c r="X150" s="488"/>
      <c r="Y150" s="326">
        <v>638715.73911366996</v>
      </c>
      <c r="Z150" s="326">
        <v>527199.90711366991</v>
      </c>
      <c r="AA150" s="326">
        <v>232384.00133466991</v>
      </c>
      <c r="AB150" s="326">
        <v>189722.6680026699</v>
      </c>
      <c r="AC150" s="326">
        <v>219407.33467066995</v>
      </c>
      <c r="AD150" s="326">
        <f t="shared" si="76"/>
        <v>1807429.6502353495</v>
      </c>
      <c r="AE150" s="488"/>
      <c r="AF150" s="488"/>
      <c r="AG150" s="488"/>
    </row>
    <row r="151" spans="1:33" ht="46.8" hidden="1">
      <c r="A151" s="499" t="s">
        <v>137</v>
      </c>
      <c r="B151" s="527" t="s">
        <v>528</v>
      </c>
      <c r="C151" s="605" t="e">
        <f t="shared" ref="C151:L151" si="79">C150/C149</f>
        <v>#DIV/0!</v>
      </c>
      <c r="D151" s="605" t="e">
        <f t="shared" si="79"/>
        <v>#DIV/0!</v>
      </c>
      <c r="E151" s="605" t="e">
        <f t="shared" si="79"/>
        <v>#DIV/0!</v>
      </c>
      <c r="F151" s="605" t="e">
        <f t="shared" si="79"/>
        <v>#DIV/0!</v>
      </c>
      <c r="G151" s="501">
        <f>G150/G149</f>
        <v>1.9065996472663151</v>
      </c>
      <c r="H151" s="501">
        <f t="shared" si="79"/>
        <v>1.2367792585784321</v>
      </c>
      <c r="I151" s="501">
        <f t="shared" si="79"/>
        <v>1.4392570501974058</v>
      </c>
      <c r="J151" s="501">
        <f t="shared" si="79"/>
        <v>1.4691634668892604</v>
      </c>
      <c r="K151" s="501">
        <f t="shared" si="79"/>
        <v>1.2647193512304256</v>
      </c>
      <c r="L151" s="501">
        <f t="shared" si="79"/>
        <v>1.4720983587609808</v>
      </c>
      <c r="M151" s="501"/>
      <c r="N151" s="501"/>
      <c r="O151" s="501"/>
      <c r="P151" s="501">
        <f>P150/P149</f>
        <v>1.218175324571884</v>
      </c>
      <c r="Q151" s="501">
        <f>Q150/Q149</f>
        <v>0.9386871490414378</v>
      </c>
      <c r="R151" s="501">
        <f>R150/R149</f>
        <v>0.68194528170328683</v>
      </c>
      <c r="S151" s="501">
        <f>S150/S149</f>
        <v>0.68194528170328683</v>
      </c>
      <c r="T151" s="501">
        <f>T150/T149</f>
        <v>0.5496693107690791</v>
      </c>
      <c r="U151" s="501">
        <f t="shared" si="78"/>
        <v>4.0704223477889743</v>
      </c>
      <c r="V151" s="501"/>
      <c r="W151" s="501"/>
      <c r="X151" s="501"/>
      <c r="Y151" s="501">
        <f>Y150/Y149</f>
        <v>1.1031359915607426</v>
      </c>
      <c r="Z151" s="501">
        <f>Z150/Z149</f>
        <v>0.39313937890653983</v>
      </c>
      <c r="AA151" s="501">
        <f>AA150/AA149</f>
        <v>0.16239273328767989</v>
      </c>
      <c r="AB151" s="501">
        <f>AB150/AB149</f>
        <v>0.12392074983845193</v>
      </c>
      <c r="AC151" s="501" t="e">
        <f>AC150/AC149</f>
        <v>#REF!</v>
      </c>
      <c r="AD151" s="501" t="e">
        <f t="shared" ref="AD151:AD161" si="80">SUM(Z151:AC151)</f>
        <v>#REF!</v>
      </c>
      <c r="AE151" s="501"/>
      <c r="AF151" s="501"/>
      <c r="AG151" s="501"/>
    </row>
    <row r="152" spans="1:33" ht="31.2" hidden="1">
      <c r="A152" s="499" t="s">
        <v>137</v>
      </c>
      <c r="B152" s="527" t="s">
        <v>529</v>
      </c>
      <c r="C152" s="605">
        <f>C150/C31</f>
        <v>0</v>
      </c>
      <c r="D152" s="605">
        <f>D150/D31</f>
        <v>0</v>
      </c>
      <c r="E152" s="605">
        <f>E150/E31</f>
        <v>0</v>
      </c>
      <c r="F152" s="605">
        <f>F150/F31</f>
        <v>0</v>
      </c>
      <c r="G152" s="501"/>
      <c r="H152" s="501">
        <f>H150/H31</f>
        <v>1.6133321743439732E-2</v>
      </c>
      <c r="I152" s="501">
        <f>I150/I31</f>
        <v>1.9319983570687687E-2</v>
      </c>
      <c r="J152" s="501">
        <f>J150/J31</f>
        <v>1.8214026754422283E-2</v>
      </c>
      <c r="K152" s="501">
        <f>K150/K31</f>
        <v>1.7620734527727916E-2</v>
      </c>
      <c r="L152" s="501">
        <f>L150/L31</f>
        <v>1.855293348933152E-2</v>
      </c>
      <c r="M152" s="501"/>
      <c r="N152" s="501"/>
      <c r="O152" s="501"/>
      <c r="P152" s="501">
        <f>P150/P31</f>
        <v>1.6386934509230656E-2</v>
      </c>
      <c r="Q152" s="501">
        <f>Q150/Q31</f>
        <v>1.4818068197860889E-2</v>
      </c>
      <c r="R152" s="501">
        <f>R150/R31</f>
        <v>1.0308825915609414E-2</v>
      </c>
      <c r="S152" s="501">
        <f>S150/S31</f>
        <v>9.506109866116573E-3</v>
      </c>
      <c r="T152" s="501">
        <f>T150/T31</f>
        <v>7.3776002207758583E-3</v>
      </c>
      <c r="U152" s="501">
        <f t="shared" si="78"/>
        <v>5.8397538709593397E-2</v>
      </c>
      <c r="V152" s="501"/>
      <c r="W152" s="501"/>
      <c r="X152" s="501"/>
      <c r="Y152" s="501">
        <f>Y150/Y31</f>
        <v>7.0666317733943142E-3</v>
      </c>
      <c r="Z152" s="501">
        <f>Z150/Z31</f>
        <v>5.451253657452514E-3</v>
      </c>
      <c r="AA152" s="501">
        <f>AA150/AA31</f>
        <v>2.24565746812877E-3</v>
      </c>
      <c r="AB152" s="501">
        <f>AB150/AB31</f>
        <v>1.7134551216007406E-3</v>
      </c>
      <c r="AC152" s="501">
        <f>AC150/AC31</f>
        <v>1.851914255007369E-3</v>
      </c>
      <c r="AD152" s="501">
        <f t="shared" si="80"/>
        <v>1.1262280502189394E-2</v>
      </c>
      <c r="AE152" s="501"/>
      <c r="AF152" s="501"/>
      <c r="AG152" s="501"/>
    </row>
    <row r="153" spans="1:33" s="289" customFormat="1" hidden="1">
      <c r="A153" s="486">
        <v>19</v>
      </c>
      <c r="B153" s="487" t="s">
        <v>530</v>
      </c>
      <c r="C153" s="326">
        <f t="shared" ref="C153:L153" si="81">SUM(C154:C155)</f>
        <v>0</v>
      </c>
      <c r="D153" s="326">
        <f t="shared" si="81"/>
        <v>0</v>
      </c>
      <c r="E153" s="326">
        <f t="shared" si="81"/>
        <v>0</v>
      </c>
      <c r="F153" s="326">
        <f t="shared" si="81"/>
        <v>0</v>
      </c>
      <c r="G153" s="326">
        <f t="shared" si="81"/>
        <v>77886.75</v>
      </c>
      <c r="H153" s="326">
        <f t="shared" si="81"/>
        <v>22675</v>
      </c>
      <c r="I153" s="326">
        <f t="shared" si="81"/>
        <v>45572</v>
      </c>
      <c r="J153" s="326">
        <f t="shared" si="81"/>
        <v>37813</v>
      </c>
      <c r="K153" s="326">
        <f t="shared" si="81"/>
        <v>50833</v>
      </c>
      <c r="L153" s="326">
        <f t="shared" si="81"/>
        <v>81770.5</v>
      </c>
      <c r="M153" s="326"/>
      <c r="N153" s="488"/>
      <c r="O153" s="488"/>
      <c r="P153" s="326">
        <f>SUM(P154:P155)</f>
        <v>92708</v>
      </c>
      <c r="Q153" s="326">
        <f>SUM(Q154:Q155)</f>
        <v>229713.50855299999</v>
      </c>
      <c r="R153" s="326">
        <f>SUM(R154:R155)</f>
        <v>143475.49900000001</v>
      </c>
      <c r="S153" s="326">
        <f>SUM(S154:S155)</f>
        <v>143475.49900000001</v>
      </c>
      <c r="T153" s="326">
        <f>SUM(T154:T155)</f>
        <v>126515.83200000001</v>
      </c>
      <c r="U153" s="326">
        <f t="shared" si="78"/>
        <v>735888.33855300013</v>
      </c>
      <c r="V153" s="326"/>
      <c r="W153" s="488"/>
      <c r="X153" s="488"/>
      <c r="Y153" s="326">
        <f>SUM(Y154:Y155)</f>
        <v>126515.83200000001</v>
      </c>
      <c r="Z153" s="326">
        <f>SUM(Z154:Z155)</f>
        <v>325715.90577900002</v>
      </c>
      <c r="AA153" s="326">
        <f>SUM(AA154:AA155)</f>
        <v>72661.333331999995</v>
      </c>
      <c r="AB153" s="326">
        <f>SUM(AB154:AB155)</f>
        <v>66411.333331999995</v>
      </c>
      <c r="AC153" s="326">
        <f>SUM(AC154:AC155)</f>
        <v>64520.333332000009</v>
      </c>
      <c r="AD153" s="326">
        <f>SUM(Y153:AC153)</f>
        <v>655824.73777500005</v>
      </c>
      <c r="AE153" s="488"/>
      <c r="AF153" s="488"/>
      <c r="AG153" s="488"/>
    </row>
    <row r="154" spans="1:33" hidden="1">
      <c r="A154" s="499" t="s">
        <v>137</v>
      </c>
      <c r="B154" s="527" t="s">
        <v>531</v>
      </c>
      <c r="C154" s="506"/>
      <c r="D154" s="506"/>
      <c r="E154" s="506"/>
      <c r="F154" s="506"/>
      <c r="G154" s="506"/>
      <c r="H154" s="506"/>
      <c r="I154" s="506"/>
      <c r="J154" s="506"/>
      <c r="K154" s="506"/>
      <c r="L154" s="506"/>
      <c r="M154" s="506"/>
      <c r="N154" s="501"/>
      <c r="O154" s="501"/>
      <c r="P154" s="506"/>
      <c r="Q154" s="506"/>
      <c r="R154" s="506"/>
      <c r="S154" s="506"/>
      <c r="T154" s="506"/>
      <c r="U154" s="326">
        <f t="shared" ref="U154:U159" si="82">SUM(P154:T154)</f>
        <v>0</v>
      </c>
      <c r="V154" s="506"/>
      <c r="W154" s="501"/>
      <c r="X154" s="501"/>
      <c r="Y154" s="506"/>
      <c r="Z154" s="506"/>
      <c r="AA154" s="506"/>
      <c r="AB154" s="506"/>
      <c r="AC154" s="506"/>
      <c r="AD154" s="506">
        <f t="shared" si="80"/>
        <v>0</v>
      </c>
      <c r="AE154" s="501"/>
      <c r="AF154" s="501"/>
      <c r="AG154" s="501"/>
    </row>
    <row r="155" spans="1:33" ht="46.8" hidden="1">
      <c r="A155" s="499" t="s">
        <v>137</v>
      </c>
      <c r="B155" s="527" t="s">
        <v>532</v>
      </c>
      <c r="C155" s="506"/>
      <c r="D155" s="506"/>
      <c r="E155" s="506"/>
      <c r="F155" s="506"/>
      <c r="G155" s="506">
        <v>77886.75</v>
      </c>
      <c r="H155" s="506">
        <v>22675</v>
      </c>
      <c r="I155" s="506">
        <v>45572</v>
      </c>
      <c r="J155" s="506">
        <v>37813</v>
      </c>
      <c r="K155" s="506">
        <v>50833</v>
      </c>
      <c r="L155" s="506">
        <v>81770.5</v>
      </c>
      <c r="M155" s="506"/>
      <c r="N155" s="501"/>
      <c r="O155" s="501"/>
      <c r="P155" s="506">
        <v>92708</v>
      </c>
      <c r="Q155" s="506">
        <v>229713.50855299999</v>
      </c>
      <c r="R155" s="506">
        <v>143475.49900000001</v>
      </c>
      <c r="S155" s="506">
        <v>143475.49900000001</v>
      </c>
      <c r="T155" s="506">
        <v>126515.83200000001</v>
      </c>
      <c r="U155" s="326">
        <f t="shared" si="82"/>
        <v>735888.33855300013</v>
      </c>
      <c r="V155" s="506"/>
      <c r="W155" s="501"/>
      <c r="X155" s="501"/>
      <c r="Y155" s="506">
        <v>126515.83200000001</v>
      </c>
      <c r="Z155" s="506">
        <v>325715.90577900002</v>
      </c>
      <c r="AA155" s="506">
        <v>72661.333331999995</v>
      </c>
      <c r="AB155" s="506">
        <v>66411.333331999995</v>
      </c>
      <c r="AC155" s="506">
        <v>64520.333332000009</v>
      </c>
      <c r="AD155" s="506">
        <f t="shared" si="80"/>
        <v>529308.90577500011</v>
      </c>
      <c r="AE155" s="501"/>
      <c r="AF155" s="501"/>
      <c r="AG155" s="501"/>
    </row>
    <row r="156" spans="1:33" s="289" customFormat="1" hidden="1">
      <c r="A156" s="486">
        <v>20</v>
      </c>
      <c r="B156" s="275" t="s">
        <v>533</v>
      </c>
      <c r="C156" s="326"/>
      <c r="D156" s="326"/>
      <c r="E156" s="326"/>
      <c r="F156" s="326"/>
      <c r="G156" s="326">
        <v>30000</v>
      </c>
      <c r="H156" s="326">
        <v>200468</v>
      </c>
      <c r="I156" s="326">
        <v>75000</v>
      </c>
      <c r="J156" s="326">
        <v>100000</v>
      </c>
      <c r="K156" s="326">
        <v>170000</v>
      </c>
      <c r="L156" s="326">
        <v>40000</v>
      </c>
      <c r="M156" s="326"/>
      <c r="N156" s="488"/>
      <c r="O156" s="488"/>
      <c r="P156" s="326">
        <v>85000</v>
      </c>
      <c r="Q156" s="326">
        <v>0</v>
      </c>
      <c r="R156" s="326">
        <v>0</v>
      </c>
      <c r="S156" s="326">
        <v>0</v>
      </c>
      <c r="T156" s="326">
        <f>T148</f>
        <v>48300</v>
      </c>
      <c r="U156" s="326">
        <f t="shared" si="82"/>
        <v>133300</v>
      </c>
      <c r="V156" s="326"/>
      <c r="W156" s="488"/>
      <c r="X156" s="488"/>
      <c r="Y156" s="326">
        <f>Y148</f>
        <v>48300</v>
      </c>
      <c r="Z156" s="326">
        <f>Z148</f>
        <v>31500</v>
      </c>
      <c r="AA156" s="326">
        <f>AA148</f>
        <v>19694</v>
      </c>
      <c r="AB156" s="326">
        <f>AB148</f>
        <v>0</v>
      </c>
      <c r="AC156" s="326" t="e">
        <f>AC148</f>
        <v>#REF!</v>
      </c>
      <c r="AD156" s="326" t="e">
        <f>SUM(Y156:AC156)</f>
        <v>#REF!</v>
      </c>
      <c r="AE156" s="488"/>
      <c r="AF156" s="488"/>
      <c r="AG156" s="488"/>
    </row>
    <row r="157" spans="1:33" hidden="1">
      <c r="A157" s="499" t="s">
        <v>137</v>
      </c>
      <c r="B157" s="527" t="s">
        <v>534</v>
      </c>
      <c r="C157" s="506"/>
      <c r="D157" s="506"/>
      <c r="E157" s="506"/>
      <c r="F157" s="506"/>
      <c r="G157" s="506"/>
      <c r="H157" s="506"/>
      <c r="I157" s="506"/>
      <c r="J157" s="506"/>
      <c r="K157" s="506"/>
      <c r="L157" s="506"/>
      <c r="M157" s="506"/>
      <c r="N157" s="501"/>
      <c r="O157" s="501"/>
      <c r="P157" s="506"/>
      <c r="Q157" s="506"/>
      <c r="R157" s="506"/>
      <c r="S157" s="506"/>
      <c r="T157" s="506"/>
      <c r="U157" s="326">
        <f t="shared" si="82"/>
        <v>0</v>
      </c>
      <c r="V157" s="506"/>
      <c r="W157" s="501"/>
      <c r="X157" s="501"/>
      <c r="Y157" s="506"/>
      <c r="Z157" s="506"/>
      <c r="AA157" s="506"/>
      <c r="AB157" s="506"/>
      <c r="AC157" s="506"/>
      <c r="AD157" s="506">
        <f>SUM(Y157:AC157)</f>
        <v>0</v>
      </c>
      <c r="AE157" s="501"/>
      <c r="AF157" s="501"/>
      <c r="AG157" s="501"/>
    </row>
    <row r="158" spans="1:33" hidden="1">
      <c r="A158" s="499" t="s">
        <v>137</v>
      </c>
      <c r="B158" s="527" t="s">
        <v>535</v>
      </c>
      <c r="C158" s="506"/>
      <c r="D158" s="506"/>
      <c r="E158" s="506"/>
      <c r="F158" s="506"/>
      <c r="G158" s="506"/>
      <c r="H158" s="506"/>
      <c r="I158" s="506"/>
      <c r="J158" s="506"/>
      <c r="K158" s="506"/>
      <c r="L158" s="506"/>
      <c r="M158" s="506"/>
      <c r="N158" s="501"/>
      <c r="O158" s="501"/>
      <c r="P158" s="506"/>
      <c r="Q158" s="506"/>
      <c r="R158" s="506"/>
      <c r="S158" s="506"/>
      <c r="T158" s="506"/>
      <c r="U158" s="326">
        <f t="shared" si="82"/>
        <v>0</v>
      </c>
      <c r="V158" s="506"/>
      <c r="W158" s="501"/>
      <c r="X158" s="501"/>
      <c r="Y158" s="506"/>
      <c r="Z158" s="506"/>
      <c r="AA158" s="506"/>
      <c r="AB158" s="506"/>
      <c r="AC158" s="506"/>
      <c r="AD158" s="506">
        <f>SUM(Y158:AC158)</f>
        <v>0</v>
      </c>
      <c r="AE158" s="501"/>
      <c r="AF158" s="501"/>
      <c r="AG158" s="501"/>
    </row>
    <row r="159" spans="1:33" s="289" customFormat="1" hidden="1">
      <c r="A159" s="486">
        <v>21</v>
      </c>
      <c r="B159" s="275" t="s">
        <v>536</v>
      </c>
      <c r="C159" s="326">
        <f t="shared" ref="C159:L159" si="83">C150+C156-C153</f>
        <v>0</v>
      </c>
      <c r="D159" s="326">
        <f t="shared" si="83"/>
        <v>0</v>
      </c>
      <c r="E159" s="326">
        <f t="shared" si="83"/>
        <v>0</v>
      </c>
      <c r="F159" s="326">
        <f t="shared" si="83"/>
        <v>0</v>
      </c>
      <c r="G159" s="326">
        <f t="shared" si="83"/>
        <v>672807.91666666709</v>
      </c>
      <c r="H159" s="326">
        <f t="shared" si="83"/>
        <v>850600.91666666709</v>
      </c>
      <c r="I159" s="326">
        <f t="shared" si="83"/>
        <v>880028.91666666686</v>
      </c>
      <c r="J159" s="326">
        <f t="shared" si="83"/>
        <v>942215.91666666698</v>
      </c>
      <c r="K159" s="326">
        <f t="shared" si="83"/>
        <v>1061382.916666667</v>
      </c>
      <c r="L159" s="326">
        <f t="shared" si="83"/>
        <v>1019612.4166666672</v>
      </c>
      <c r="M159" s="326"/>
      <c r="N159" s="488"/>
      <c r="O159" s="488"/>
      <c r="P159" s="326">
        <f>P150+P156-P153</f>
        <v>1011904.7466666671</v>
      </c>
      <c r="Q159" s="326">
        <f>Q150+Q156-Q153</f>
        <v>782191.23811366991</v>
      </c>
      <c r="R159" s="326">
        <f>R150+R156-R153</f>
        <v>638715.73911367008</v>
      </c>
      <c r="S159" s="326">
        <f>S150+S156-S153</f>
        <v>638715.73911367008</v>
      </c>
      <c r="T159" s="326">
        <f>T150+T156-T153</f>
        <v>560499.90711366991</v>
      </c>
      <c r="U159" s="326">
        <f t="shared" si="82"/>
        <v>3632027.3701213473</v>
      </c>
      <c r="V159" s="326"/>
      <c r="W159" s="488"/>
      <c r="X159" s="488"/>
      <c r="Y159" s="326">
        <f>Y150+Y156-Y153</f>
        <v>560499.90711366991</v>
      </c>
      <c r="Z159" s="326">
        <f>Z150+Z156-Z153</f>
        <v>232984.00133466988</v>
      </c>
      <c r="AA159" s="326">
        <f>AA150+AA156-AA153</f>
        <v>179416.66800266993</v>
      </c>
      <c r="AB159" s="326">
        <f>AB150+AB156-AB153</f>
        <v>123311.33467066991</v>
      </c>
      <c r="AC159" s="326" t="e">
        <f>AC150+AC156-AC153</f>
        <v>#REF!</v>
      </c>
      <c r="AD159" s="326" t="e">
        <f>SUM(Y159:AC159)</f>
        <v>#REF!</v>
      </c>
      <c r="AE159" s="488"/>
      <c r="AF159" s="488"/>
      <c r="AG159" s="488"/>
    </row>
    <row r="160" spans="1:33" ht="46.8" hidden="1">
      <c r="A160" s="499" t="s">
        <v>137</v>
      </c>
      <c r="B160" s="527" t="s">
        <v>537</v>
      </c>
      <c r="C160" s="605" t="e">
        <f t="shared" ref="C160:L160" si="84">C159/C149</f>
        <v>#DIV/0!</v>
      </c>
      <c r="D160" s="605" t="e">
        <f t="shared" si="84"/>
        <v>#DIV/0!</v>
      </c>
      <c r="E160" s="605" t="e">
        <f t="shared" si="84"/>
        <v>#DIV/0!</v>
      </c>
      <c r="F160" s="605" t="e">
        <f t="shared" si="84"/>
        <v>#DIV/0!</v>
      </c>
      <c r="G160" s="501">
        <f t="shared" si="84"/>
        <v>1.7799151234567911</v>
      </c>
      <c r="H160" s="501">
        <f t="shared" si="84"/>
        <v>1.563604626225491</v>
      </c>
      <c r="I160" s="501">
        <f t="shared" si="84"/>
        <v>1.4890506204173719</v>
      </c>
      <c r="J160" s="501">
        <f t="shared" si="84"/>
        <v>1.5729814969393439</v>
      </c>
      <c r="K160" s="501">
        <f t="shared" si="84"/>
        <v>1.424675055928412</v>
      </c>
      <c r="L160" s="501">
        <f t="shared" si="84"/>
        <v>1.4141642394822014</v>
      </c>
      <c r="M160" s="501"/>
      <c r="N160" s="501"/>
      <c r="O160" s="501"/>
      <c r="P160" s="501">
        <f>P159/P149</f>
        <v>1.2089662445240945</v>
      </c>
      <c r="Q160" s="501">
        <f>Q159/Q149</f>
        <v>0.72559484055071422</v>
      </c>
      <c r="R160" s="501">
        <f>R159/R149</f>
        <v>0.55685766269718406</v>
      </c>
      <c r="S160" s="501">
        <f>S159/S149</f>
        <v>0.55685766269718406</v>
      </c>
      <c r="T160" s="501">
        <f>T159/T149</f>
        <v>0.48235792350574003</v>
      </c>
      <c r="U160" s="501">
        <f>SUM(P160:T160)</f>
        <v>3.5306343339749171</v>
      </c>
      <c r="V160" s="501"/>
      <c r="W160" s="501"/>
      <c r="X160" s="501"/>
      <c r="Y160" s="501">
        <f>Y159/Y149</f>
        <v>0.96804819881462856</v>
      </c>
      <c r="Z160" s="501">
        <f>Z159/Z149</f>
        <v>0.17373900174099172</v>
      </c>
      <c r="AA160" s="501">
        <f>AA159/AA149</f>
        <v>0.12537852411088046</v>
      </c>
      <c r="AB160" s="501">
        <f>AB159/AB149</f>
        <v>8.0543001091227889E-2</v>
      </c>
      <c r="AC160" s="501" t="e">
        <f>AC159/AC149</f>
        <v>#REF!</v>
      </c>
      <c r="AD160" s="501" t="e">
        <f t="shared" si="80"/>
        <v>#REF!</v>
      </c>
      <c r="AE160" s="501"/>
      <c r="AF160" s="501"/>
      <c r="AG160" s="501"/>
    </row>
    <row r="161" spans="1:33" ht="31.2" hidden="1">
      <c r="A161" s="529" t="s">
        <v>137</v>
      </c>
      <c r="B161" s="530" t="s">
        <v>538</v>
      </c>
      <c r="C161" s="1079" t="e">
        <f>C160/C31</f>
        <v>#DIV/0!</v>
      </c>
      <c r="D161" s="1079" t="e">
        <f>D160/D31</f>
        <v>#DIV/0!</v>
      </c>
      <c r="E161" s="1079" t="e">
        <f>E160/E31</f>
        <v>#DIV/0!</v>
      </c>
      <c r="F161" s="1079" t="e">
        <f>F160/F31</f>
        <v>#DIV/0!</v>
      </c>
      <c r="G161" s="534"/>
      <c r="H161" s="534">
        <f>H159/H31</f>
        <v>2.039663613329178E-2</v>
      </c>
      <c r="I161" s="534">
        <f>I159/I31</f>
        <v>1.998839159303761E-2</v>
      </c>
      <c r="J161" s="534">
        <f>J159/J31</f>
        <v>1.9501115917432466E-2</v>
      </c>
      <c r="K161" s="534">
        <f>K159/K31</f>
        <v>1.9849321451725521E-2</v>
      </c>
      <c r="L161" s="534">
        <f>L159/L31</f>
        <v>1.7822786719351516E-2</v>
      </c>
      <c r="M161" s="534"/>
      <c r="N161" s="534"/>
      <c r="O161" s="534"/>
      <c r="P161" s="534">
        <f>P159/P31</f>
        <v>1.6263053661712729E-2</v>
      </c>
      <c r="Q161" s="534">
        <f>Q159/Q31</f>
        <v>1.1454203716622783E-2</v>
      </c>
      <c r="R161" s="534">
        <f>R159/R31</f>
        <v>8.4179022254986715E-3</v>
      </c>
      <c r="S161" s="534">
        <f>S159/S31</f>
        <v>7.7624264928803045E-3</v>
      </c>
      <c r="T161" s="534">
        <f>T159/T31</f>
        <v>6.4741542837270568E-3</v>
      </c>
      <c r="U161" s="534">
        <f>SUM(P161:T161)</f>
        <v>5.0371740380441545E-2</v>
      </c>
      <c r="V161" s="534"/>
      <c r="W161" s="534"/>
      <c r="X161" s="534"/>
      <c r="Y161" s="534">
        <f>Y159/Y31</f>
        <v>6.2012664007472093E-3</v>
      </c>
      <c r="Z161" s="534">
        <f>Z159/Z31</f>
        <v>2.4090574984295347E-3</v>
      </c>
      <c r="AA161" s="534">
        <f>AA159/AA31</f>
        <v>1.7338042984582391E-3</v>
      </c>
      <c r="AB161" s="534">
        <f>AB159/AB31</f>
        <v>1.1136699697893186E-3</v>
      </c>
      <c r="AC161" s="534" t="e">
        <f>AC159/AC31</f>
        <v>#REF!</v>
      </c>
      <c r="AD161" s="534" t="e">
        <f t="shared" si="80"/>
        <v>#REF!</v>
      </c>
      <c r="AE161" s="534"/>
      <c r="AF161" s="534"/>
      <c r="AG161" s="534"/>
    </row>
    <row r="162" spans="1:33" hidden="1"/>
    <row r="163" spans="1:33" hidden="1">
      <c r="H163" s="230"/>
      <c r="I163" s="1080"/>
      <c r="J163" s="1080"/>
      <c r="K163" s="1080"/>
      <c r="L163" s="220">
        <f>L7-L27</f>
        <v>3985613</v>
      </c>
      <c r="N163" s="230"/>
      <c r="P163" s="220">
        <f>P7-P27</f>
        <v>5024618</v>
      </c>
      <c r="Q163" s="220">
        <f>Q7-Q27</f>
        <v>5374100</v>
      </c>
      <c r="R163" s="220">
        <f>R7-R27</f>
        <v>5612594</v>
      </c>
      <c r="AA163" s="552">
        <f>AA7-AA27</f>
        <v>5990000</v>
      </c>
      <c r="AB163" s="552">
        <f>AB7-AB27</f>
        <v>6476000</v>
      </c>
      <c r="AC163" s="552">
        <f>AC7-AC27</f>
        <v>7056000</v>
      </c>
      <c r="AD163" s="552">
        <f>SUM(AA163:AC163)</f>
        <v>19522000</v>
      </c>
    </row>
    <row r="164" spans="1:33" hidden="1">
      <c r="P164" s="230">
        <f>P163/L163</f>
        <v>1.2606888827389915</v>
      </c>
      <c r="Q164" s="230">
        <f>Q163/P163</f>
        <v>1.0695539442003352</v>
      </c>
      <c r="R164" s="230">
        <f>R163/Q163</f>
        <v>1.0443784075473102</v>
      </c>
      <c r="S164" s="230"/>
      <c r="T164" s="230"/>
    </row>
    <row r="165" spans="1:33" hidden="1">
      <c r="R165" s="220">
        <v>202096</v>
      </c>
    </row>
    <row r="166" spans="1:33" hidden="1">
      <c r="G166" s="220">
        <f>G107+G110+G113+G125+G116+G119+G122</f>
        <v>557315.62888800004</v>
      </c>
      <c r="O166" s="1081"/>
      <c r="R166" s="220">
        <f>+R165+R163</f>
        <v>5814690</v>
      </c>
    </row>
    <row r="167" spans="1:33" hidden="1">
      <c r="G167" s="220">
        <f>G103-G166</f>
        <v>0</v>
      </c>
      <c r="N167" s="220">
        <f>400*18%</f>
        <v>72</v>
      </c>
      <c r="R167" s="220">
        <v>17385</v>
      </c>
    </row>
    <row r="168" spans="1:33" hidden="1">
      <c r="R168" s="220">
        <f>+R166+R167</f>
        <v>5832075</v>
      </c>
    </row>
    <row r="169" spans="1:33" hidden="1">
      <c r="R169" s="230"/>
      <c r="S169" s="230"/>
      <c r="T169" s="230"/>
      <c r="X169" s="220">
        <v>91</v>
      </c>
      <c r="AA169" s="220">
        <v>108</v>
      </c>
      <c r="AB169" s="220">
        <f>500-101</f>
        <v>399</v>
      </c>
    </row>
    <row r="170" spans="1:33" hidden="1">
      <c r="R170" s="552">
        <v>200000000</v>
      </c>
      <c r="S170" s="552"/>
      <c r="T170" s="552"/>
      <c r="V170" s="552">
        <f>+R170*R171</f>
        <v>8284000000000</v>
      </c>
      <c r="AA170" s="220">
        <f>+AA169+X169</f>
        <v>199</v>
      </c>
    </row>
    <row r="171" spans="1:33" hidden="1">
      <c r="R171" s="552">
        <v>41420</v>
      </c>
      <c r="S171" s="552"/>
      <c r="T171" s="552"/>
      <c r="U171" s="220">
        <v>214</v>
      </c>
      <c r="V171" s="220">
        <v>7000000</v>
      </c>
      <c r="AA171" s="220">
        <v>140</v>
      </c>
    </row>
    <row r="172" spans="1:33" hidden="1">
      <c r="R172" s="556">
        <f>R171*5</f>
        <v>207100</v>
      </c>
      <c r="S172" s="556"/>
      <c r="T172" s="556"/>
      <c r="V172" s="230">
        <f>V171/V170</f>
        <v>8.4500241429261222E-7</v>
      </c>
      <c r="AA172" s="220">
        <f>+AA170+AA171</f>
        <v>339</v>
      </c>
    </row>
    <row r="173" spans="1:33" hidden="1">
      <c r="V173" s="220" t="s">
        <v>615</v>
      </c>
      <c r="W173" s="220" t="s">
        <v>1263</v>
      </c>
    </row>
    <row r="174" spans="1:33" hidden="1">
      <c r="V174" s="220" t="s">
        <v>621</v>
      </c>
      <c r="W174" s="220">
        <v>1650000</v>
      </c>
      <c r="X174" s="220">
        <f>RANK(W174,$W$174:$W$186,0)</f>
        <v>1</v>
      </c>
      <c r="AA174" s="559">
        <f>W174/$W$187</f>
        <v>0.19219569015725102</v>
      </c>
    </row>
    <row r="175" spans="1:33" hidden="1">
      <c r="V175" s="220" t="s">
        <v>622</v>
      </c>
      <c r="W175" s="220">
        <v>770000</v>
      </c>
      <c r="X175" s="220">
        <f t="shared" ref="X175:X186" si="85">RANK(W175,$W$174:$W$186,0)</f>
        <v>4</v>
      </c>
      <c r="AA175" s="559">
        <f t="shared" ref="AA175:AA186" si="86">W175/$W$187</f>
        <v>8.9691322073383803E-2</v>
      </c>
    </row>
    <row r="176" spans="1:33" hidden="1">
      <c r="V176" s="220" t="s">
        <v>623</v>
      </c>
      <c r="W176" s="220">
        <v>470000</v>
      </c>
      <c r="X176" s="220">
        <f t="shared" si="85"/>
        <v>7</v>
      </c>
      <c r="AA176" s="559">
        <f t="shared" si="86"/>
        <v>5.4746651135701804E-2</v>
      </c>
    </row>
    <row r="177" spans="22:27" hidden="1">
      <c r="V177" s="220" t="s">
        <v>624</v>
      </c>
      <c r="W177" s="220">
        <v>440000</v>
      </c>
      <c r="X177" s="220">
        <f t="shared" si="85"/>
        <v>9</v>
      </c>
      <c r="AA177" s="559">
        <f t="shared" si="86"/>
        <v>5.1252184041933602E-2</v>
      </c>
    </row>
    <row r="178" spans="22:27" hidden="1">
      <c r="V178" s="220" t="s">
        <v>625</v>
      </c>
      <c r="W178" s="220">
        <v>465000</v>
      </c>
      <c r="X178" s="220">
        <f t="shared" si="85"/>
        <v>8</v>
      </c>
      <c r="AA178" s="559">
        <f t="shared" si="86"/>
        <v>5.4164239953407106E-2</v>
      </c>
    </row>
    <row r="179" spans="22:27" hidden="1">
      <c r="V179" s="220" t="s">
        <v>626</v>
      </c>
      <c r="W179" s="220">
        <v>1000000</v>
      </c>
      <c r="X179" s="220">
        <f t="shared" si="85"/>
        <v>3</v>
      </c>
      <c r="AA179" s="559">
        <f t="shared" si="86"/>
        <v>0.11648223645894001</v>
      </c>
    </row>
    <row r="180" spans="22:27" hidden="1">
      <c r="V180" s="220" t="s">
        <v>627</v>
      </c>
      <c r="W180" s="220">
        <v>315000</v>
      </c>
      <c r="X180" s="220">
        <f t="shared" si="85"/>
        <v>13</v>
      </c>
      <c r="AA180" s="559">
        <f t="shared" si="86"/>
        <v>3.6691904484566107E-2</v>
      </c>
    </row>
    <row r="181" spans="22:27" hidden="1">
      <c r="V181" s="220" t="s">
        <v>628</v>
      </c>
      <c r="W181" s="220">
        <v>360000</v>
      </c>
      <c r="X181" s="220">
        <f t="shared" si="85"/>
        <v>11</v>
      </c>
      <c r="AA181" s="559">
        <f t="shared" si="86"/>
        <v>4.1933605125218404E-2</v>
      </c>
    </row>
    <row r="182" spans="22:27" hidden="1">
      <c r="V182" s="220" t="s">
        <v>629</v>
      </c>
      <c r="W182" s="220">
        <v>620000</v>
      </c>
      <c r="X182" s="220">
        <f t="shared" si="85"/>
        <v>5</v>
      </c>
      <c r="AA182" s="559">
        <f t="shared" si="86"/>
        <v>7.2218986604542804E-2</v>
      </c>
    </row>
    <row r="183" spans="22:27" hidden="1">
      <c r="V183" s="220" t="s">
        <v>630</v>
      </c>
      <c r="W183" s="220">
        <v>580000</v>
      </c>
      <c r="X183" s="220">
        <f t="shared" si="85"/>
        <v>6</v>
      </c>
      <c r="AA183" s="559">
        <f t="shared" si="86"/>
        <v>6.7559697146185205E-2</v>
      </c>
    </row>
    <row r="184" spans="22:27" hidden="1">
      <c r="V184" s="220" t="s">
        <v>631</v>
      </c>
      <c r="W184" s="220">
        <v>1200000</v>
      </c>
      <c r="X184" s="220">
        <f t="shared" si="85"/>
        <v>2</v>
      </c>
      <c r="AA184" s="559">
        <f t="shared" si="86"/>
        <v>0.13977868375072802</v>
      </c>
    </row>
    <row r="185" spans="22:27" hidden="1">
      <c r="V185" s="220" t="s">
        <v>632</v>
      </c>
      <c r="W185" s="220">
        <v>335000</v>
      </c>
      <c r="X185" s="220">
        <f t="shared" si="85"/>
        <v>12</v>
      </c>
      <c r="AA185" s="559">
        <f t="shared" si="86"/>
        <v>3.9021549213744906E-2</v>
      </c>
    </row>
    <row r="186" spans="22:27" hidden="1">
      <c r="V186" s="220" t="s">
        <v>633</v>
      </c>
      <c r="W186" s="220">
        <v>380000</v>
      </c>
      <c r="X186" s="220">
        <f t="shared" si="85"/>
        <v>10</v>
      </c>
      <c r="AA186" s="559">
        <f t="shared" si="86"/>
        <v>4.4263249854397203E-2</v>
      </c>
    </row>
    <row r="187" spans="22:27" hidden="1">
      <c r="W187" s="220">
        <f>SUM(W174:W186)</f>
        <v>8585000</v>
      </c>
      <c r="AA187" s="230">
        <f>SUM(AA174:AA186)</f>
        <v>1</v>
      </c>
    </row>
    <row r="188" spans="22:27" hidden="1">
      <c r="W188" s="220">
        <v>71856</v>
      </c>
    </row>
    <row r="189" spans="22:27" hidden="1">
      <c r="W189" s="220">
        <v>18413</v>
      </c>
    </row>
    <row r="190" spans="22:27" hidden="1">
      <c r="W190" s="220">
        <f>+W188+W189</f>
        <v>90269</v>
      </c>
      <c r="X190" s="220">
        <v>90910</v>
      </c>
    </row>
    <row r="191" spans="22:27" hidden="1">
      <c r="X191" s="220">
        <v>213</v>
      </c>
    </row>
    <row r="192" spans="22:27" hidden="1">
      <c r="X192" s="552">
        <f>+X191*X190</f>
        <v>19363830</v>
      </c>
      <c r="Y192" s="552"/>
      <c r="Z192" s="552"/>
    </row>
    <row r="193" spans="24:26" hidden="1">
      <c r="X193" s="220">
        <v>7000000</v>
      </c>
    </row>
    <row r="194" spans="24:26" hidden="1">
      <c r="X194" s="230">
        <f>+X193/X192</f>
        <v>0.36149873243051606</v>
      </c>
      <c r="Y194" s="230"/>
      <c r="Z194" s="230"/>
    </row>
    <row r="195" spans="24:26" hidden="1"/>
    <row r="196" spans="24:26" hidden="1"/>
    <row r="197" spans="24:26" hidden="1"/>
  </sheetData>
  <mergeCells count="34">
    <mergeCell ref="A1:AF1"/>
    <mergeCell ref="A3:A5"/>
    <mergeCell ref="B3:B5"/>
    <mergeCell ref="C3:C5"/>
    <mergeCell ref="D3:D5"/>
    <mergeCell ref="E3:E5"/>
    <mergeCell ref="F3:F5"/>
    <mergeCell ref="G3:G5"/>
    <mergeCell ref="H3:H5"/>
    <mergeCell ref="I3:I5"/>
    <mergeCell ref="U3:U5"/>
    <mergeCell ref="J3:J5"/>
    <mergeCell ref="K3:K5"/>
    <mergeCell ref="L3:L5"/>
    <mergeCell ref="M3:M5"/>
    <mergeCell ref="N3:N5"/>
    <mergeCell ref="O3:O5"/>
    <mergeCell ref="P3:P5"/>
    <mergeCell ref="Q3:Q5"/>
    <mergeCell ref="R3:R5"/>
    <mergeCell ref="S3:S5"/>
    <mergeCell ref="T3:T5"/>
    <mergeCell ref="AG3:AG5"/>
    <mergeCell ref="V3:V5"/>
    <mergeCell ref="W3:W5"/>
    <mergeCell ref="X3:X5"/>
    <mergeCell ref="Y3:Y5"/>
    <mergeCell ref="Z3:Z5"/>
    <mergeCell ref="AA3:AA5"/>
    <mergeCell ref="AB3:AB5"/>
    <mergeCell ref="AC3:AC5"/>
    <mergeCell ref="AD3:AD5"/>
    <mergeCell ref="AE3:AE5"/>
    <mergeCell ref="AF3:AF5"/>
  </mergeCell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U178"/>
  <sheetViews>
    <sheetView workbookViewId="0">
      <selection activeCell="J19" sqref="J19"/>
    </sheetView>
  </sheetViews>
  <sheetFormatPr defaultColWidth="9" defaultRowHeight="15.6"/>
  <cols>
    <col min="1" max="1" width="3.8984375" style="290" customWidth="1"/>
    <col min="2" max="2" width="43.5" style="220" customWidth="1"/>
    <col min="3" max="10" width="8.5" style="220" hidden="1" customWidth="1"/>
    <col min="11" max="11" width="10.59765625" style="220" hidden="1" customWidth="1"/>
    <col min="12" max="15" width="8.5" style="220" hidden="1" customWidth="1"/>
    <col min="16" max="16" width="10" style="220" hidden="1" customWidth="1"/>
    <col min="17" max="18" width="8.5" style="220" customWidth="1"/>
    <col min="19" max="20" width="8.5" style="220" hidden="1" customWidth="1"/>
    <col min="21" max="22" width="8.5" style="220" customWidth="1"/>
    <col min="23" max="23" width="9.59765625" style="220" customWidth="1"/>
    <col min="24" max="28" width="8.5" style="220" customWidth="1"/>
    <col min="29" max="29" width="8.19921875" style="220" customWidth="1"/>
    <col min="30" max="16384" width="9" style="220"/>
  </cols>
  <sheetData>
    <row r="1" spans="1:99">
      <c r="A1" s="246"/>
      <c r="B1" s="245"/>
      <c r="C1" s="245"/>
      <c r="D1" s="245"/>
      <c r="E1" s="245"/>
      <c r="F1" s="245"/>
      <c r="G1" s="245"/>
      <c r="H1" s="245"/>
      <c r="I1" s="245"/>
      <c r="J1" s="245"/>
      <c r="K1" s="245"/>
      <c r="L1" s="245"/>
      <c r="M1" s="245"/>
      <c r="N1" s="245"/>
      <c r="AI1" s="245"/>
      <c r="AQ1" s="245"/>
      <c r="AY1" s="245"/>
      <c r="BG1" s="245"/>
      <c r="BO1" s="245"/>
      <c r="BW1" s="245"/>
      <c r="CE1" s="245"/>
      <c r="CM1" s="245"/>
      <c r="CU1" s="245"/>
    </row>
    <row r="2" spans="1:99">
      <c r="A2" s="4422" t="s">
        <v>1264</v>
      </c>
      <c r="B2" s="4422"/>
      <c r="C2" s="4422"/>
      <c r="D2" s="4422"/>
      <c r="E2" s="4422"/>
      <c r="F2" s="4422"/>
      <c r="G2" s="4422"/>
      <c r="H2" s="4422"/>
      <c r="I2" s="4422"/>
      <c r="J2" s="4422"/>
      <c r="K2" s="4422"/>
      <c r="L2" s="4422"/>
      <c r="M2" s="4422"/>
      <c r="N2" s="4422"/>
      <c r="O2" s="4422"/>
      <c r="P2" s="4422"/>
      <c r="Q2" s="4422"/>
      <c r="R2" s="4422"/>
      <c r="S2" s="4422"/>
      <c r="T2" s="4422"/>
      <c r="U2" s="4422"/>
      <c r="V2" s="4422"/>
      <c r="W2" s="4422"/>
      <c r="X2" s="4422"/>
      <c r="Y2" s="4422"/>
      <c r="Z2" s="4422"/>
      <c r="AA2" s="4422"/>
      <c r="AB2" s="4422"/>
      <c r="AC2" s="4422"/>
    </row>
    <row r="4" spans="1:99">
      <c r="A4" s="246"/>
      <c r="AC4" s="292" t="s">
        <v>64</v>
      </c>
    </row>
    <row r="5" spans="1:99" s="561" customFormat="1" ht="15.9" customHeight="1">
      <c r="A5" s="4423" t="s">
        <v>0</v>
      </c>
      <c r="B5" s="4208" t="s">
        <v>27</v>
      </c>
      <c r="C5" s="4208" t="s">
        <v>428</v>
      </c>
      <c r="D5" s="4208" t="s">
        <v>431</v>
      </c>
      <c r="E5" s="4208" t="s">
        <v>432</v>
      </c>
      <c r="F5" s="4208" t="s">
        <v>433</v>
      </c>
      <c r="G5" s="4208" t="s">
        <v>434</v>
      </c>
      <c r="H5" s="4208" t="s">
        <v>435</v>
      </c>
      <c r="I5" s="4208" t="s">
        <v>544</v>
      </c>
      <c r="J5" s="4208" t="s">
        <v>545</v>
      </c>
      <c r="K5" s="4208" t="s">
        <v>546</v>
      </c>
      <c r="L5" s="4208" t="s">
        <v>438</v>
      </c>
      <c r="M5" s="4208" t="s">
        <v>439</v>
      </c>
      <c r="N5" s="4208" t="s">
        <v>547</v>
      </c>
      <c r="O5" s="4208" t="s">
        <v>548</v>
      </c>
      <c r="P5" s="4208" t="s">
        <v>549</v>
      </c>
      <c r="Q5" s="4208" t="s">
        <v>550</v>
      </c>
      <c r="R5" s="4208" t="s">
        <v>551</v>
      </c>
      <c r="S5" s="4208" t="s">
        <v>546</v>
      </c>
      <c r="T5" s="4208" t="s">
        <v>552</v>
      </c>
      <c r="U5" s="4208" t="s">
        <v>553</v>
      </c>
      <c r="V5" s="4208" t="s">
        <v>371</v>
      </c>
      <c r="W5" s="4208" t="s">
        <v>145</v>
      </c>
      <c r="X5" s="4208" t="s">
        <v>176</v>
      </c>
      <c r="Y5" s="4208" t="s">
        <v>177</v>
      </c>
      <c r="Z5" s="4208" t="s">
        <v>637</v>
      </c>
      <c r="AA5" s="4208" t="s">
        <v>455</v>
      </c>
      <c r="AB5" s="4208" t="s">
        <v>546</v>
      </c>
      <c r="AC5" s="4208" t="s">
        <v>638</v>
      </c>
    </row>
    <row r="6" spans="1:99" s="561" customFormat="1" ht="151.5" customHeight="1">
      <c r="A6" s="4230"/>
      <c r="B6" s="4220"/>
      <c r="C6" s="4220"/>
      <c r="D6" s="4220"/>
      <c r="E6" s="4220"/>
      <c r="F6" s="4220"/>
      <c r="G6" s="4220"/>
      <c r="H6" s="4220"/>
      <c r="I6" s="4220"/>
      <c r="J6" s="4220"/>
      <c r="K6" s="4220"/>
      <c r="L6" s="4220"/>
      <c r="M6" s="4220"/>
      <c r="N6" s="4220"/>
      <c r="O6" s="4220"/>
      <c r="P6" s="4220"/>
      <c r="Q6" s="4220"/>
      <c r="R6" s="4220"/>
      <c r="S6" s="4220"/>
      <c r="T6" s="4220"/>
      <c r="U6" s="4220"/>
      <c r="V6" s="4220"/>
      <c r="W6" s="4220"/>
      <c r="X6" s="4220"/>
      <c r="Y6" s="4220"/>
      <c r="Z6" s="4220"/>
      <c r="AA6" s="4220"/>
      <c r="AB6" s="4220"/>
      <c r="AC6" s="4220"/>
    </row>
    <row r="7" spans="1:99" hidden="1">
      <c r="A7" s="718">
        <v>1</v>
      </c>
      <c r="B7" s="718">
        <v>2</v>
      </c>
      <c r="C7" s="718"/>
      <c r="D7" s="718"/>
      <c r="E7" s="718"/>
      <c r="F7" s="718"/>
      <c r="G7" s="718"/>
      <c r="H7" s="718"/>
      <c r="I7" s="719"/>
      <c r="J7" s="719"/>
      <c r="K7" s="719"/>
      <c r="L7" s="718"/>
      <c r="M7" s="718"/>
      <c r="N7" s="718"/>
      <c r="O7" s="719"/>
      <c r="P7" s="719"/>
      <c r="Q7" s="719"/>
      <c r="R7" s="719"/>
      <c r="S7" s="719"/>
      <c r="T7" s="719"/>
      <c r="U7" s="719"/>
      <c r="V7" s="719"/>
      <c r="W7" s="719"/>
      <c r="X7" s="719"/>
      <c r="Y7" s="719"/>
      <c r="Z7" s="719"/>
      <c r="AA7" s="719"/>
      <c r="AB7" s="719"/>
      <c r="AC7" s="719"/>
    </row>
    <row r="8" spans="1:99">
      <c r="A8" s="1082"/>
      <c r="B8" s="1082" t="s">
        <v>570</v>
      </c>
      <c r="C8" s="570">
        <f t="shared" ref="C8:I8" si="0">C10+C128</f>
        <v>4688367.4799180003</v>
      </c>
      <c r="D8" s="570">
        <f t="shared" si="0"/>
        <v>5517506.8434038907</v>
      </c>
      <c r="E8" s="570">
        <f t="shared" si="0"/>
        <v>6676915.5707400003</v>
      </c>
      <c r="F8" s="570">
        <f t="shared" si="0"/>
        <v>7325262.428568</v>
      </c>
      <c r="G8" s="570">
        <f t="shared" si="0"/>
        <v>8159969.570863001</v>
      </c>
      <c r="H8" s="570">
        <f t="shared" si="0"/>
        <v>8838259.1655269992</v>
      </c>
      <c r="I8" s="570">
        <f t="shared" si="0"/>
        <v>36517913.57910189</v>
      </c>
      <c r="J8" s="571"/>
      <c r="K8" s="571"/>
      <c r="L8" s="570">
        <f t="shared" ref="L8:Q8" si="1">L10+L128</f>
        <v>9435659.6461590007</v>
      </c>
      <c r="M8" s="570">
        <f t="shared" si="1"/>
        <v>10825318.322280001</v>
      </c>
      <c r="N8" s="570">
        <f t="shared" si="1"/>
        <v>12245988.832636001</v>
      </c>
      <c r="O8" s="570">
        <f t="shared" si="1"/>
        <v>11204139</v>
      </c>
      <c r="P8" s="570">
        <f t="shared" si="1"/>
        <v>14985376</v>
      </c>
      <c r="Q8" s="570">
        <f t="shared" si="1"/>
        <v>58696481.801075004</v>
      </c>
      <c r="R8" s="312"/>
      <c r="S8" s="312"/>
      <c r="T8" s="312">
        <f>Q8/I8</f>
        <v>1.6073339369165178</v>
      </c>
      <c r="U8" s="570">
        <f t="shared" ref="U8:Z8" si="2">U10+U128</f>
        <v>14985376</v>
      </c>
      <c r="V8" s="570">
        <f t="shared" si="2"/>
        <v>14985376</v>
      </c>
      <c r="W8" s="570">
        <f t="shared" si="2"/>
        <v>15788495</v>
      </c>
      <c r="X8" s="570">
        <f t="shared" si="2"/>
        <v>16758524</v>
      </c>
      <c r="Y8" s="570">
        <f>Y10+Y128</f>
        <v>17893524</v>
      </c>
      <c r="Z8" s="570">
        <f t="shared" si="2"/>
        <v>80411295</v>
      </c>
      <c r="AA8" s="312"/>
      <c r="AB8" s="312"/>
      <c r="AC8" s="312">
        <f>Z8/Q8-1</f>
        <v>0.36995084769335018</v>
      </c>
    </row>
    <row r="9" spans="1:99" s="234" customFormat="1">
      <c r="A9" s="1083" t="s">
        <v>137</v>
      </c>
      <c r="B9" s="581" t="s">
        <v>494</v>
      </c>
      <c r="C9" s="582"/>
      <c r="D9" s="583">
        <f>D8/C8</f>
        <v>1.1768503358658209</v>
      </c>
      <c r="E9" s="583">
        <f>E8/D8</f>
        <v>1.2101327212166793</v>
      </c>
      <c r="F9" s="583">
        <f>F8/E8</f>
        <v>1.0971027491599903</v>
      </c>
      <c r="G9" s="583">
        <f>G8/F8</f>
        <v>1.1139491110980138</v>
      </c>
      <c r="H9" s="583">
        <f>H8/G8</f>
        <v>1.0831240348108628</v>
      </c>
      <c r="I9" s="583"/>
      <c r="J9" s="583">
        <f>(D9*E9*F9*G9*H9)^(1/5)-1</f>
        <v>0.13519120436932264</v>
      </c>
      <c r="K9" s="583"/>
      <c r="L9" s="583">
        <f>L8/H8</f>
        <v>1.0675925506871444</v>
      </c>
      <c r="M9" s="583">
        <f>M8/L8</f>
        <v>1.147277321166061</v>
      </c>
      <c r="N9" s="583">
        <f>N8/M8</f>
        <v>1.1312359108583498</v>
      </c>
      <c r="O9" s="583">
        <f>O8/N8</f>
        <v>0.91492317632534226</v>
      </c>
      <c r="P9" s="583">
        <f>P8/O8</f>
        <v>1.3374857273727148</v>
      </c>
      <c r="Q9" s="583"/>
      <c r="R9" s="583">
        <f>(L9*M9*N9*O9*P9)^(1/5)-1</f>
        <v>0.11137387187406689</v>
      </c>
      <c r="S9" s="583"/>
      <c r="T9" s="583"/>
      <c r="U9" s="583">
        <f>U8/P8</f>
        <v>1</v>
      </c>
      <c r="V9" s="583">
        <f>V8/U8</f>
        <v>1</v>
      </c>
      <c r="W9" s="583">
        <f>W8/V8</f>
        <v>1.0535935167726189</v>
      </c>
      <c r="X9" s="583">
        <f>X8/W8</f>
        <v>1.061438978192665</v>
      </c>
      <c r="Y9" s="583">
        <f>Y8/X8</f>
        <v>1.0677267282011231</v>
      </c>
      <c r="Z9" s="583">
        <f>AVERAGE(U9:Y9)</f>
        <v>1.0365518446332813</v>
      </c>
      <c r="AA9" s="583">
        <f>(U9*V9*W9*X9*Y9)^(1/5)-1</f>
        <v>3.6109479547336232E-2</v>
      </c>
      <c r="AB9" s="583"/>
      <c r="AC9" s="583"/>
    </row>
    <row r="10" spans="1:99" s="226" customFormat="1">
      <c r="A10" s="1043" t="s">
        <v>7</v>
      </c>
      <c r="B10" s="590" t="s">
        <v>88</v>
      </c>
      <c r="C10" s="591">
        <f t="shared" ref="C10:H10" si="3">SUM(C11,C16,C30,C31,C32,C33,C34)</f>
        <v>4308494.4799180003</v>
      </c>
      <c r="D10" s="591">
        <f t="shared" si="3"/>
        <v>5000022.8434038907</v>
      </c>
      <c r="E10" s="591">
        <f t="shared" si="3"/>
        <v>5990803.5707400003</v>
      </c>
      <c r="F10" s="591">
        <f t="shared" si="3"/>
        <v>6551207.428568</v>
      </c>
      <c r="G10" s="591">
        <f t="shared" si="3"/>
        <v>7628457.570863001</v>
      </c>
      <c r="H10" s="591">
        <f t="shared" si="3"/>
        <v>8304427.1655269992</v>
      </c>
      <c r="I10" s="591">
        <f>SUM(D10:H10)</f>
        <v>33474918.57910189</v>
      </c>
      <c r="J10" s="592"/>
      <c r="K10" s="592">
        <f>I10/$I$10</f>
        <v>1</v>
      </c>
      <c r="L10" s="591">
        <f>SUM(L11,L16,L30,L31,L32,L33,L34)</f>
        <v>8674809.6461590007</v>
      </c>
      <c r="M10" s="591">
        <f>SUM(M11,M16,M30,M31,M32,M33,M34)</f>
        <v>10083459.322280001</v>
      </c>
      <c r="N10" s="591">
        <f>SUM(N11,N16,N30,N31,N32,N33,N34)</f>
        <v>10427702.832636001</v>
      </c>
      <c r="O10" s="591">
        <f>SUM(O11,O16,O30,O31,O32,O33,O34)</f>
        <v>10316102</v>
      </c>
      <c r="P10" s="591">
        <f>SUM(P11,P16,P30,P31,P32,P33,P34)</f>
        <v>13771903</v>
      </c>
      <c r="Q10" s="591">
        <f>L10+M10+N10+O10+P10</f>
        <v>53273976.801075004</v>
      </c>
      <c r="R10" s="592"/>
      <c r="S10" s="592">
        <f>Q10/$Q$10</f>
        <v>1</v>
      </c>
      <c r="T10" s="592">
        <f t="shared" ref="T10:T30" si="4">Q10/I10-1</f>
        <v>0.59145948854774799</v>
      </c>
      <c r="U10" s="591">
        <f>SUM(U11,U16,U30,U31,U32,U33,U34)</f>
        <v>13771903</v>
      </c>
      <c r="V10" s="591">
        <f>SUM(V11,V16,V30,V31,V32,V33,V34)</f>
        <v>13771903</v>
      </c>
      <c r="W10" s="591">
        <f>SUM(W11,W16,W30,W31,W32,W33,W34)</f>
        <v>13191488</v>
      </c>
      <c r="X10" s="591">
        <f>SUM(X11,X16,X30,X31,X32,X33,X34)</f>
        <v>13640488</v>
      </c>
      <c r="Y10" s="591">
        <f>SUM(Y11,Y16,Y30,Y31,Y32,Y33,Y34)</f>
        <v>14142488</v>
      </c>
      <c r="Z10" s="591">
        <f>SUM(U10:Y10)</f>
        <v>68518270</v>
      </c>
      <c r="AA10" s="592"/>
      <c r="AB10" s="592">
        <f>Z10/$Z$10</f>
        <v>1</v>
      </c>
      <c r="AC10" s="592">
        <f>+Z10/Q10-1</f>
        <v>0.28614896266984502</v>
      </c>
    </row>
    <row r="11" spans="1:99">
      <c r="A11" s="486" t="s">
        <v>9</v>
      </c>
      <c r="B11" s="276" t="s">
        <v>31</v>
      </c>
      <c r="C11" s="326">
        <f>SUM(C12:C15)</f>
        <v>881389.27447200008</v>
      </c>
      <c r="D11" s="326">
        <f>SUM(D12:D15)</f>
        <v>1296865.3711568909</v>
      </c>
      <c r="E11" s="326">
        <f>SUM(E12:E15)</f>
        <v>1283487.4238549999</v>
      </c>
      <c r="F11" s="326">
        <f>SUM(F12:F15)</f>
        <v>1221622.2457999999</v>
      </c>
      <c r="G11" s="326">
        <f>SUM(G12:G15)</f>
        <v>1952654.9714940002</v>
      </c>
      <c r="H11" s="326">
        <f t="shared" ref="H11:N11" si="5">SUM(H12:H15)</f>
        <v>1868861</v>
      </c>
      <c r="I11" s="326">
        <f>SUM(D11:H11)</f>
        <v>7623491.0123058911</v>
      </c>
      <c r="J11" s="488"/>
      <c r="K11" s="488">
        <f>I11/$I$10</f>
        <v>0.22773740268528009</v>
      </c>
      <c r="L11" s="326">
        <f t="shared" si="5"/>
        <v>2029265</v>
      </c>
      <c r="M11" s="326">
        <f t="shared" si="5"/>
        <v>1800118</v>
      </c>
      <c r="N11" s="326">
        <f t="shared" si="5"/>
        <v>2605155</v>
      </c>
      <c r="O11" s="326">
        <f>SUM(O12:O15)</f>
        <v>1919429</v>
      </c>
      <c r="P11" s="326">
        <f>SUM(P12:P15)</f>
        <v>3748957</v>
      </c>
      <c r="Q11" s="326">
        <f t="shared" ref="Q11:Q41" si="6">L11+M11+N11+O11+P11</f>
        <v>12102924</v>
      </c>
      <c r="R11" s="488"/>
      <c r="S11" s="488">
        <f>Q11/$Q$10</f>
        <v>0.22718266453417418</v>
      </c>
      <c r="T11" s="488">
        <f t="shared" si="4"/>
        <v>0.58758290400859359</v>
      </c>
      <c r="U11" s="326">
        <f>SUM(U12:U15)</f>
        <v>3748957</v>
      </c>
      <c r="V11" s="326">
        <f>SUM(V12:V15)</f>
        <v>3748957</v>
      </c>
      <c r="W11" s="326">
        <f>SUM(W12:W15)</f>
        <v>3561000</v>
      </c>
      <c r="X11" s="326">
        <f>SUM(X12:X15)</f>
        <v>3585000</v>
      </c>
      <c r="Y11" s="326">
        <f>SUM(Y12:Y15)</f>
        <v>3611000</v>
      </c>
      <c r="Z11" s="326">
        <f>SUM(U11:Y11)</f>
        <v>18254914</v>
      </c>
      <c r="AA11" s="488"/>
      <c r="AB11" s="488">
        <f t="shared" ref="AB11:AB34" si="7">Z11/$Z$10</f>
        <v>0.26642403551636668</v>
      </c>
      <c r="AC11" s="488">
        <f>+Z11/Q11-1</f>
        <v>0.50830609198240029</v>
      </c>
    </row>
    <row r="12" spans="1:99">
      <c r="A12" s="499">
        <v>1</v>
      </c>
      <c r="B12" s="604" t="s">
        <v>571</v>
      </c>
      <c r="C12" s="506">
        <v>249673.54338399999</v>
      </c>
      <c r="D12" s="506">
        <v>478645.8879538909</v>
      </c>
      <c r="E12" s="506">
        <v>473880.659055</v>
      </c>
      <c r="F12" s="506">
        <v>347996.01699999999</v>
      </c>
      <c r="G12" s="506">
        <v>453930.929489</v>
      </c>
      <c r="H12" s="506">
        <v>494263</v>
      </c>
      <c r="I12" s="506">
        <f t="shared" ref="I12:I39" si="8">SUM(D12:H12)</f>
        <v>2248716.4934978909</v>
      </c>
      <c r="J12" s="501"/>
      <c r="K12" s="501">
        <f>I12/$I$10</f>
        <v>6.7176160210341646E-2</v>
      </c>
      <c r="L12" s="506">
        <v>755259</v>
      </c>
      <c r="M12" s="506">
        <v>553506</v>
      </c>
      <c r="N12" s="506">
        <v>1113443</v>
      </c>
      <c r="O12" s="506">
        <v>435314</v>
      </c>
      <c r="P12" s="506">
        <f>'[1]Phụ lục số 2'!F10</f>
        <v>1036180</v>
      </c>
      <c r="Q12" s="506">
        <f t="shared" si="6"/>
        <v>3893702</v>
      </c>
      <c r="R12" s="501"/>
      <c r="S12" s="501">
        <f t="shared" ref="S12:S34" si="9">Q12/$Q$10</f>
        <v>7.3088254975578054E-2</v>
      </c>
      <c r="T12" s="501">
        <f>Q12/I12-1</f>
        <v>0.7315219643109947</v>
      </c>
      <c r="U12" s="506">
        <f>'[1]Phụ lục số 2'!F10</f>
        <v>1036180</v>
      </c>
      <c r="V12" s="506">
        <f>'[1]Phụ lục số 2'!F10</f>
        <v>1036180</v>
      </c>
      <c r="W12" s="506">
        <f>'[1]Phụ lục số 2'!K10</f>
        <v>1061000</v>
      </c>
      <c r="X12" s="506">
        <f>'[1]Phụ lục số 2'!P10</f>
        <v>1085000</v>
      </c>
      <c r="Y12" s="506">
        <f>'[1]Phụ lục số 2'!U10</f>
        <v>1111000</v>
      </c>
      <c r="Z12" s="506">
        <f>SUM(U12:Y12)</f>
        <v>5329360</v>
      </c>
      <c r="AA12" s="501"/>
      <c r="AB12" s="501">
        <f t="shared" si="7"/>
        <v>7.7780130759285082E-2</v>
      </c>
      <c r="AC12" s="501">
        <f>+Z12/Q12-1</f>
        <v>0.36871285989528735</v>
      </c>
    </row>
    <row r="13" spans="1:99">
      <c r="A13" s="499">
        <v>2</v>
      </c>
      <c r="B13" s="604" t="s">
        <v>76</v>
      </c>
      <c r="C13" s="506">
        <v>282628.00725800003</v>
      </c>
      <c r="D13" s="506">
        <v>262379.85220299999</v>
      </c>
      <c r="E13" s="506">
        <v>291839.82780000003</v>
      </c>
      <c r="F13" s="506">
        <v>303789.2758</v>
      </c>
      <c r="G13" s="506">
        <v>355825.039116</v>
      </c>
      <c r="H13" s="506">
        <v>317091</v>
      </c>
      <c r="I13" s="506">
        <f t="shared" si="8"/>
        <v>1530924.994919</v>
      </c>
      <c r="J13" s="501"/>
      <c r="K13" s="501">
        <f>I13/$I$10</f>
        <v>4.5733494207055178E-2</v>
      </c>
      <c r="L13" s="506">
        <v>333567</v>
      </c>
      <c r="M13" s="506">
        <v>351441</v>
      </c>
      <c r="N13" s="506">
        <v>281847</v>
      </c>
      <c r="O13" s="506">
        <v>323534</v>
      </c>
      <c r="P13" s="506">
        <f>'[1]Phụ lục số 2'!F11</f>
        <v>970000</v>
      </c>
      <c r="Q13" s="506">
        <f t="shared" si="6"/>
        <v>2260389</v>
      </c>
      <c r="R13" s="501"/>
      <c r="S13" s="501">
        <f t="shared" si="9"/>
        <v>4.2429515041467455E-2</v>
      </c>
      <c r="T13" s="501">
        <f t="shared" si="4"/>
        <v>0.47648578963830657</v>
      </c>
      <c r="U13" s="506">
        <f>'[1]Phụ lục số 2'!F11</f>
        <v>970000</v>
      </c>
      <c r="V13" s="506">
        <f>'[1]Phụ lục số 2'!F11</f>
        <v>970000</v>
      </c>
      <c r="W13" s="506">
        <f>'[1]Phụ lục số 2'!K11</f>
        <v>900000</v>
      </c>
      <c r="X13" s="506">
        <f>'[1]Phụ lục số 2'!P11</f>
        <v>900000</v>
      </c>
      <c r="Y13" s="506">
        <f>'[1]Phụ lục số 2'!U11</f>
        <v>900000</v>
      </c>
      <c r="Z13" s="506">
        <f>SUM(U13:Y13)</f>
        <v>4640000</v>
      </c>
      <c r="AA13" s="501"/>
      <c r="AB13" s="501">
        <f t="shared" si="7"/>
        <v>6.7719164538158946E-2</v>
      </c>
      <c r="AC13" s="501">
        <f>+Z13/Q13-1</f>
        <v>1.0527440188392352</v>
      </c>
    </row>
    <row r="14" spans="1:99">
      <c r="A14" s="499">
        <v>3</v>
      </c>
      <c r="B14" s="604" t="s">
        <v>121</v>
      </c>
      <c r="C14" s="506">
        <v>349087.72382999997</v>
      </c>
      <c r="D14" s="506">
        <v>555839.63100000005</v>
      </c>
      <c r="E14" s="506">
        <v>517766.93699999998</v>
      </c>
      <c r="F14" s="506">
        <v>569836.95299999998</v>
      </c>
      <c r="G14" s="506">
        <v>1142899.0028890001</v>
      </c>
      <c r="H14" s="506">
        <v>1057507</v>
      </c>
      <c r="I14" s="506">
        <f t="shared" si="8"/>
        <v>3843849.5238890001</v>
      </c>
      <c r="J14" s="501"/>
      <c r="K14" s="501">
        <f>I14/$I$10</f>
        <v>0.11482774826788325</v>
      </c>
      <c r="L14" s="506">
        <v>940439</v>
      </c>
      <c r="M14" s="506">
        <v>895171</v>
      </c>
      <c r="N14" s="506">
        <v>1209865</v>
      </c>
      <c r="O14" s="506">
        <v>1121804</v>
      </c>
      <c r="P14" s="506">
        <f>'[1]Phụ lục số 2'!F12</f>
        <v>1704000</v>
      </c>
      <c r="Q14" s="506">
        <f t="shared" si="6"/>
        <v>5871279</v>
      </c>
      <c r="R14" s="501"/>
      <c r="S14" s="501">
        <f t="shared" si="9"/>
        <v>0.11020913685350264</v>
      </c>
      <c r="T14" s="501">
        <f t="shared" si="4"/>
        <v>0.5274476702354769</v>
      </c>
      <c r="U14" s="506">
        <f>'[1]Phụ lục số 2'!F12</f>
        <v>1704000</v>
      </c>
      <c r="V14" s="506">
        <f>'[1]Phụ lục số 2'!F12</f>
        <v>1704000</v>
      </c>
      <c r="W14" s="506">
        <f>'[1]Phụ lục số 2'!K12</f>
        <v>1600000</v>
      </c>
      <c r="X14" s="506">
        <f>'[1]Phụ lục số 2'!P12</f>
        <v>1600000</v>
      </c>
      <c r="Y14" s="506">
        <f>'[1]Phụ lục số 2'!U12</f>
        <v>1600000</v>
      </c>
      <c r="Z14" s="506">
        <f t="shared" ref="Z14:Z34" si="10">SUM(U14:Y14)</f>
        <v>8208000</v>
      </c>
      <c r="AA14" s="501"/>
      <c r="AB14" s="501">
        <f t="shared" si="7"/>
        <v>0.11979286692439842</v>
      </c>
      <c r="AC14" s="501">
        <f>+Z14/Q14-1</f>
        <v>0.39799181745578771</v>
      </c>
    </row>
    <row r="15" spans="1:99">
      <c r="A15" s="499">
        <v>4</v>
      </c>
      <c r="B15" s="604" t="s">
        <v>821</v>
      </c>
      <c r="C15" s="506"/>
      <c r="D15" s="506"/>
      <c r="E15" s="506"/>
      <c r="F15" s="506"/>
      <c r="G15" s="506"/>
      <c r="H15" s="506"/>
      <c r="I15" s="506"/>
      <c r="J15" s="501"/>
      <c r="K15" s="501"/>
      <c r="L15" s="506"/>
      <c r="M15" s="506"/>
      <c r="N15" s="506"/>
      <c r="O15" s="506">
        <f>'[1]Phụ lục số 2'!F13</f>
        <v>38777</v>
      </c>
      <c r="P15" s="506">
        <f>'[1]Phụ lục số 2'!F13</f>
        <v>38777</v>
      </c>
      <c r="Q15" s="506">
        <f t="shared" si="6"/>
        <v>77554</v>
      </c>
      <c r="R15" s="501"/>
      <c r="S15" s="501"/>
      <c r="T15" s="501"/>
      <c r="U15" s="506">
        <f>'[1]Phụ lục số 2'!F13</f>
        <v>38777</v>
      </c>
      <c r="V15" s="506">
        <f>'[1]Phụ lục số 2'!F13</f>
        <v>38777</v>
      </c>
      <c r="W15" s="506">
        <f>'[1]Phụ lục số 2'!K13</f>
        <v>0</v>
      </c>
      <c r="X15" s="506">
        <f>'[1]Phụ lục số 2'!P13</f>
        <v>0</v>
      </c>
      <c r="Y15" s="506">
        <f>'[1]Phụ lục số 2'!U13</f>
        <v>0</v>
      </c>
      <c r="Z15" s="506">
        <f t="shared" si="10"/>
        <v>77554</v>
      </c>
      <c r="AA15" s="501"/>
      <c r="AB15" s="501"/>
      <c r="AC15" s="501"/>
    </row>
    <row r="16" spans="1:99" s="289" customFormat="1">
      <c r="A16" s="486" t="s">
        <v>20</v>
      </c>
      <c r="B16" s="276" t="s">
        <v>33</v>
      </c>
      <c r="C16" s="326">
        <f>SUM(C17,C18,C19,C20)</f>
        <v>2567842.2054460002</v>
      </c>
      <c r="D16" s="326">
        <f>SUM(D17,D18,D19,D20)</f>
        <v>3701157.4722469999</v>
      </c>
      <c r="E16" s="326">
        <f>SUM(E17,E18,E19,E20)</f>
        <v>4705316.1468850002</v>
      </c>
      <c r="F16" s="326">
        <f>SUM(F17,F18,F19,F20)</f>
        <v>5327585.1827680003</v>
      </c>
      <c r="G16" s="326">
        <f>SUM(G17,G18,G19,G20)</f>
        <v>5673802.5993690006</v>
      </c>
      <c r="H16" s="326">
        <f t="shared" ref="H16:N16" si="11">SUM(H17,H18,H19,H20)</f>
        <v>5943201.1655269992</v>
      </c>
      <c r="I16" s="326">
        <f t="shared" si="8"/>
        <v>25351062.566796005</v>
      </c>
      <c r="J16" s="488"/>
      <c r="K16" s="488">
        <f t="shared" ref="K16:K30" si="12">I16/$I$10</f>
        <v>0.7573151375078313</v>
      </c>
      <c r="L16" s="326">
        <f t="shared" si="11"/>
        <v>6231312.6461589998</v>
      </c>
      <c r="M16" s="326">
        <f t="shared" si="11"/>
        <v>7010541.32228</v>
      </c>
      <c r="N16" s="326">
        <f t="shared" si="11"/>
        <v>7541051.8326360006</v>
      </c>
      <c r="O16" s="326">
        <f>SUM(O17,O18,O19,O20)</f>
        <v>8394673</v>
      </c>
      <c r="P16" s="326">
        <f>SUM(P17,P18,P19,P20)</f>
        <v>9458532</v>
      </c>
      <c r="Q16" s="326">
        <f t="shared" si="6"/>
        <v>38636110.801074997</v>
      </c>
      <c r="R16" s="488"/>
      <c r="S16" s="488">
        <f>Q16/$Q$10</f>
        <v>0.72523421604777527</v>
      </c>
      <c r="T16" s="488">
        <f t="shared" si="4"/>
        <v>0.52404305339371904</v>
      </c>
      <c r="U16" s="326">
        <f>SUM(U17,U18,U19,U20)</f>
        <v>9458532</v>
      </c>
      <c r="V16" s="326">
        <f>SUM(V17,V18,V19,V20)</f>
        <v>9458532</v>
      </c>
      <c r="W16" s="326">
        <f>SUM(W17,W18,W19,W20)</f>
        <v>9353865</v>
      </c>
      <c r="X16" s="326">
        <f>SUM(X17,X18,X19,X20)</f>
        <v>9555000</v>
      </c>
      <c r="Y16" s="326">
        <f>SUM(Y17,Y18,Y19,Y20)</f>
        <v>9775000</v>
      </c>
      <c r="Z16" s="326">
        <f t="shared" si="10"/>
        <v>47600929</v>
      </c>
      <c r="AA16" s="488"/>
      <c r="AB16" s="488">
        <f t="shared" si="7"/>
        <v>0.69471878084487537</v>
      </c>
      <c r="AC16" s="488">
        <f t="shared" ref="AC16:AC30" si="13">+Z16/Q16-1</f>
        <v>0.23203210708971178</v>
      </c>
    </row>
    <row r="17" spans="1:29" s="289" customFormat="1">
      <c r="A17" s="486">
        <v>1</v>
      </c>
      <c r="B17" s="276" t="s">
        <v>573</v>
      </c>
      <c r="C17" s="326">
        <v>1195670.773844</v>
      </c>
      <c r="D17" s="326">
        <v>1428490.927049</v>
      </c>
      <c r="E17" s="326">
        <v>1957330.7359720001</v>
      </c>
      <c r="F17" s="326">
        <v>2188274.0349940001</v>
      </c>
      <c r="G17" s="326">
        <v>2397442.1445920002</v>
      </c>
      <c r="H17" s="326">
        <v>2477605.390437</v>
      </c>
      <c r="I17" s="326">
        <f t="shared" si="8"/>
        <v>10449143.233044</v>
      </c>
      <c r="J17" s="488"/>
      <c r="K17" s="488">
        <f t="shared" si="12"/>
        <v>0.31214842863179698</v>
      </c>
      <c r="L17" s="326">
        <v>2573258.7171829999</v>
      </c>
      <c r="M17" s="326">
        <v>2856667.320301</v>
      </c>
      <c r="N17" s="326">
        <v>3044195.1281700004</v>
      </c>
      <c r="O17" s="326">
        <v>3320884</v>
      </c>
      <c r="P17" s="326">
        <f>'[1]Phụ lục số 2'!F19</f>
        <v>4090257</v>
      </c>
      <c r="Q17" s="326">
        <f t="shared" si="6"/>
        <v>15885262.165654</v>
      </c>
      <c r="R17" s="488"/>
      <c r="S17" s="488">
        <f t="shared" si="9"/>
        <v>0.2981805211382953</v>
      </c>
      <c r="T17" s="488">
        <f t="shared" si="4"/>
        <v>0.52024542217193548</v>
      </c>
      <c r="U17" s="326">
        <f>'[1]Phụ lục số 2'!F19</f>
        <v>4090257</v>
      </c>
      <c r="V17" s="326">
        <f>'[1]Phụ lục số 2'!F19</f>
        <v>4090257</v>
      </c>
      <c r="W17" s="326">
        <f>'[1]Phụ lục số 2'!K19</f>
        <v>4179745</v>
      </c>
      <c r="X17" s="326">
        <f>'[1]Phụ lục số 2'!P19</f>
        <v>4266000</v>
      </c>
      <c r="Y17" s="326">
        <f>'[1]Phụ lục số 2'!U19</f>
        <v>4361000</v>
      </c>
      <c r="Z17" s="326">
        <f t="shared" si="10"/>
        <v>20987259</v>
      </c>
      <c r="AA17" s="488"/>
      <c r="AB17" s="488">
        <f t="shared" si="7"/>
        <v>0.30630164772111146</v>
      </c>
      <c r="AC17" s="488">
        <f t="shared" si="13"/>
        <v>0.32117800645287309</v>
      </c>
    </row>
    <row r="18" spans="1:29" s="289" customFormat="1">
      <c r="A18" s="486">
        <v>2</v>
      </c>
      <c r="B18" s="276" t="s">
        <v>99</v>
      </c>
      <c r="C18" s="326">
        <v>10103.887626</v>
      </c>
      <c r="D18" s="326">
        <v>16708.203065999998</v>
      </c>
      <c r="E18" s="326">
        <v>13732.921410000001</v>
      </c>
      <c r="F18" s="326">
        <v>21991.801834000002</v>
      </c>
      <c r="G18" s="326">
        <v>21685.136095999998</v>
      </c>
      <c r="H18" s="326">
        <v>19615.733521999999</v>
      </c>
      <c r="I18" s="326">
        <f t="shared" si="8"/>
        <v>93733.795927999992</v>
      </c>
      <c r="J18" s="488"/>
      <c r="K18" s="488">
        <f t="shared" si="12"/>
        <v>2.8001202066109641E-3</v>
      </c>
      <c r="L18" s="326">
        <v>17427.107277999999</v>
      </c>
      <c r="M18" s="326">
        <v>20608.003771</v>
      </c>
      <c r="N18" s="326">
        <v>18902.695590000003</v>
      </c>
      <c r="O18" s="326">
        <v>21132</v>
      </c>
      <c r="P18" s="326">
        <f>'[1]Phụ lục số 2'!F18</f>
        <v>31000</v>
      </c>
      <c r="Q18" s="326">
        <f t="shared" si="6"/>
        <v>109069.806639</v>
      </c>
      <c r="R18" s="488"/>
      <c r="S18" s="488">
        <f t="shared" si="9"/>
        <v>2.0473374279203257E-3</v>
      </c>
      <c r="T18" s="488">
        <f t="shared" si="4"/>
        <v>0.16361239357872703</v>
      </c>
      <c r="U18" s="326">
        <f>'[1]Phụ lục số 2'!F18</f>
        <v>31000</v>
      </c>
      <c r="V18" s="326">
        <f>'[1]Phụ lục số 2'!F18</f>
        <v>31000</v>
      </c>
      <c r="W18" s="326">
        <f>'[1]Phụ lục số 2'!K18</f>
        <v>31000</v>
      </c>
      <c r="X18" s="326">
        <f>'[1]Phụ lục số 2'!P18</f>
        <v>32000</v>
      </c>
      <c r="Y18" s="326">
        <f>'[1]Phụ lục số 2'!U18</f>
        <v>33000</v>
      </c>
      <c r="Z18" s="326">
        <f t="shared" si="10"/>
        <v>158000</v>
      </c>
      <c r="AA18" s="488"/>
      <c r="AB18" s="488">
        <f t="shared" si="7"/>
        <v>2.3059543097045504E-3</v>
      </c>
      <c r="AC18" s="488">
        <f t="shared" si="13"/>
        <v>0.44861355189662611</v>
      </c>
    </row>
    <row r="19" spans="1:29" s="289" customFormat="1">
      <c r="A19" s="486">
        <v>3</v>
      </c>
      <c r="B19" s="276" t="s">
        <v>89</v>
      </c>
      <c r="C19" s="326">
        <v>34249.1469</v>
      </c>
      <c r="D19" s="326">
        <v>55015.130089999999</v>
      </c>
      <c r="E19" s="326">
        <v>58794.641531000001</v>
      </c>
      <c r="F19" s="326">
        <v>63064.983071000002</v>
      </c>
      <c r="G19" s="326">
        <v>73254.026125999997</v>
      </c>
      <c r="H19" s="326">
        <v>66554.003003000005</v>
      </c>
      <c r="I19" s="326">
        <f t="shared" si="8"/>
        <v>316682.78382099996</v>
      </c>
      <c r="J19" s="488"/>
      <c r="K19" s="488">
        <f t="shared" si="12"/>
        <v>9.460300346143407E-3</v>
      </c>
      <c r="L19" s="326">
        <v>69874.356060000006</v>
      </c>
      <c r="M19" s="326">
        <v>114730.499979</v>
      </c>
      <c r="N19" s="326">
        <v>174534.90139499999</v>
      </c>
      <c r="O19" s="326">
        <v>143120</v>
      </c>
      <c r="P19" s="326">
        <f>'[1]Phụ lục số 2'!F16</f>
        <v>133115</v>
      </c>
      <c r="Q19" s="326">
        <f t="shared" si="6"/>
        <v>635374.75743400003</v>
      </c>
      <c r="R19" s="488"/>
      <c r="S19" s="488">
        <f t="shared" si="9"/>
        <v>1.1926550176768087E-2</v>
      </c>
      <c r="T19" s="488">
        <f t="shared" si="4"/>
        <v>1.0063444869587093</v>
      </c>
      <c r="U19" s="326">
        <f>'[1]Phụ lục số 2'!F16</f>
        <v>133115</v>
      </c>
      <c r="V19" s="326">
        <f>'[1]Phụ lục số 2'!F16</f>
        <v>133115</v>
      </c>
      <c r="W19" s="326">
        <f>'[1]Phụ lục số 2'!K16</f>
        <v>136670</v>
      </c>
      <c r="X19" s="326">
        <f>'[1]Phụ lục số 2'!P16</f>
        <v>140000</v>
      </c>
      <c r="Y19" s="326">
        <f>'[1]Phụ lục số 2'!U16</f>
        <v>144000</v>
      </c>
      <c r="Z19" s="326">
        <f t="shared" si="10"/>
        <v>686900</v>
      </c>
      <c r="AA19" s="488"/>
      <c r="AB19" s="488">
        <f>Z19/$Z$10</f>
        <v>1.0025063388202884E-2</v>
      </c>
      <c r="AC19" s="488">
        <f t="shared" si="13"/>
        <v>8.1094254946620481E-2</v>
      </c>
    </row>
    <row r="20" spans="1:29" s="289" customFormat="1">
      <c r="A20" s="486">
        <v>4</v>
      </c>
      <c r="B20" s="276" t="s">
        <v>301</v>
      </c>
      <c r="C20" s="326">
        <f>SUM(C21:C29)</f>
        <v>1327818.397076</v>
      </c>
      <c r="D20" s="326">
        <f>SUM(D21:D29)</f>
        <v>2200943.2120419997</v>
      </c>
      <c r="E20" s="326">
        <f>SUM(E21:E29)</f>
        <v>2675457.847972</v>
      </c>
      <c r="F20" s="326">
        <f>SUM(F21:F29)</f>
        <v>3054254.3628690001</v>
      </c>
      <c r="G20" s="326">
        <f>SUM(G21:G29)</f>
        <v>3181421.2925549997</v>
      </c>
      <c r="H20" s="326">
        <f t="shared" ref="H20:N20" si="14">SUM(H21:H29)</f>
        <v>3379426.0385650001</v>
      </c>
      <c r="I20" s="326">
        <f t="shared" si="8"/>
        <v>14491502.754003001</v>
      </c>
      <c r="J20" s="488"/>
      <c r="K20" s="488">
        <f t="shared" si="12"/>
        <v>0.43290628832327988</v>
      </c>
      <c r="L20" s="326">
        <f t="shared" si="14"/>
        <v>3570752.4656379996</v>
      </c>
      <c r="M20" s="326">
        <f t="shared" si="14"/>
        <v>4018535.4982289998</v>
      </c>
      <c r="N20" s="326">
        <f t="shared" si="14"/>
        <v>4303419.107481</v>
      </c>
      <c r="O20" s="326">
        <f>SUM(O21:O29)</f>
        <v>4909537</v>
      </c>
      <c r="P20" s="326">
        <f>SUM(P21:P29)</f>
        <v>5204160</v>
      </c>
      <c r="Q20" s="326">
        <f t="shared" si="6"/>
        <v>22006404.071348</v>
      </c>
      <c r="R20" s="488"/>
      <c r="S20" s="488">
        <f t="shared" si="9"/>
        <v>0.4130798073047916</v>
      </c>
      <c r="T20" s="488">
        <f t="shared" si="4"/>
        <v>0.51857294891443551</v>
      </c>
      <c r="U20" s="326">
        <f>SUM(U21:U29)</f>
        <v>5204160</v>
      </c>
      <c r="V20" s="326">
        <f>SUM(V21:V29)</f>
        <v>5204160</v>
      </c>
      <c r="W20" s="326">
        <f>SUM(W21:W29)</f>
        <v>5006450</v>
      </c>
      <c r="X20" s="326">
        <f>SUM(X21:X29)</f>
        <v>5117000</v>
      </c>
      <c r="Y20" s="326">
        <f>SUM(Y21:Y29)</f>
        <v>5237000</v>
      </c>
      <c r="Z20" s="326">
        <f t="shared" si="10"/>
        <v>25768770</v>
      </c>
      <c r="AA20" s="488"/>
      <c r="AB20" s="488">
        <f t="shared" si="7"/>
        <v>0.37608611542585652</v>
      </c>
      <c r="AC20" s="488">
        <f t="shared" si="13"/>
        <v>0.17096686566573327</v>
      </c>
    </row>
    <row r="21" spans="1:29">
      <c r="A21" s="499" t="s">
        <v>137</v>
      </c>
      <c r="B21" s="604" t="s">
        <v>574</v>
      </c>
      <c r="C21" s="506">
        <v>203470.804259</v>
      </c>
      <c r="D21" s="506">
        <v>437527.82894199999</v>
      </c>
      <c r="E21" s="506">
        <v>556462.56830799999</v>
      </c>
      <c r="F21" s="506">
        <v>576982.66837099998</v>
      </c>
      <c r="G21" s="506">
        <v>616646.97566200001</v>
      </c>
      <c r="H21" s="506">
        <v>662261.89618699998</v>
      </c>
      <c r="I21" s="506">
        <f>SUM(D21:H21)</f>
        <v>2849881.9374699998</v>
      </c>
      <c r="J21" s="501"/>
      <c r="K21" s="501">
        <f t="shared" si="12"/>
        <v>8.5134842994036647E-2</v>
      </c>
      <c r="L21" s="506">
        <v>698207.90548199997</v>
      </c>
      <c r="M21" s="506">
        <v>712910.13209700002</v>
      </c>
      <c r="N21" s="506">
        <v>722455.72826600005</v>
      </c>
      <c r="O21" s="506">
        <v>780602</v>
      </c>
      <c r="P21" s="506">
        <f>'[1]Phụ lục số 2'!F20</f>
        <v>770000</v>
      </c>
      <c r="Q21" s="506">
        <f t="shared" si="6"/>
        <v>3684175.7658449998</v>
      </c>
      <c r="R21" s="501"/>
      <c r="S21" s="501">
        <f t="shared" si="9"/>
        <v>6.9155260918510167E-2</v>
      </c>
      <c r="T21" s="501">
        <f t="shared" si="4"/>
        <v>0.29274680379063334</v>
      </c>
      <c r="U21" s="506">
        <f>'[1]Phụ lục số 2'!F20</f>
        <v>770000</v>
      </c>
      <c r="V21" s="506">
        <f>'[1]Phụ lục số 2'!F20</f>
        <v>770000</v>
      </c>
      <c r="W21" s="506">
        <f>'[1]Phụ lục số 2'!K20</f>
        <v>750000</v>
      </c>
      <c r="X21" s="506">
        <f>'[1]Phụ lục số 2'!P20</f>
        <v>770000</v>
      </c>
      <c r="Y21" s="506">
        <f>'[1]Phụ lục số 2'!U20</f>
        <v>791000</v>
      </c>
      <c r="Z21" s="506">
        <f t="shared" si="10"/>
        <v>3851000</v>
      </c>
      <c r="AA21" s="501"/>
      <c r="AB21" s="501">
        <f t="shared" si="7"/>
        <v>5.620398763716597E-2</v>
      </c>
      <c r="AC21" s="501">
        <f t="shared" si="13"/>
        <v>4.5281290784653372E-2</v>
      </c>
    </row>
    <row r="22" spans="1:29">
      <c r="A22" s="499" t="s">
        <v>137</v>
      </c>
      <c r="B22" s="604" t="s">
        <v>63</v>
      </c>
      <c r="C22" s="506">
        <v>154262.51921500001</v>
      </c>
      <c r="D22" s="506">
        <v>490696.08976399997</v>
      </c>
      <c r="E22" s="506">
        <v>548010.31741000002</v>
      </c>
      <c r="F22" s="506">
        <v>764485.16498500004</v>
      </c>
      <c r="G22" s="506">
        <v>783114.82380200003</v>
      </c>
      <c r="H22" s="506">
        <v>796081.78902999999</v>
      </c>
      <c r="I22" s="506">
        <f t="shared" si="8"/>
        <v>3382388.1849910002</v>
      </c>
      <c r="J22" s="501"/>
      <c r="K22" s="501">
        <f t="shared" si="12"/>
        <v>0.10104246189571307</v>
      </c>
      <c r="L22" s="506">
        <v>765575.05895500001</v>
      </c>
      <c r="M22" s="506">
        <v>975931.92331099999</v>
      </c>
      <c r="N22" s="506">
        <v>1107514.761126</v>
      </c>
      <c r="O22" s="506">
        <v>1591367</v>
      </c>
      <c r="P22" s="506">
        <f>'[1]Phụ lục số 2'!F15</f>
        <v>1779657</v>
      </c>
      <c r="Q22" s="506">
        <f t="shared" si="6"/>
        <v>6220045.743392</v>
      </c>
      <c r="R22" s="501"/>
      <c r="S22" s="501">
        <f t="shared" si="9"/>
        <v>0.11675579930174251</v>
      </c>
      <c r="T22" s="501">
        <f t="shared" si="4"/>
        <v>0.83895088416900609</v>
      </c>
      <c r="U22" s="506">
        <f>'[1]Phụ lục số 2'!F15</f>
        <v>1779657</v>
      </c>
      <c r="V22" s="506">
        <f>'[1]Phụ lục số 2'!F15</f>
        <v>1779657</v>
      </c>
      <c r="W22" s="506">
        <f>'[1]Phụ lục số 2'!K15</f>
        <v>1793642</v>
      </c>
      <c r="X22" s="506">
        <f>'[1]Phụ lục số 2'!P15</f>
        <v>1831000</v>
      </c>
      <c r="Y22" s="506">
        <f>'[1]Phụ lục số 2'!U15</f>
        <v>1872000</v>
      </c>
      <c r="Z22" s="506">
        <f t="shared" si="10"/>
        <v>9055956</v>
      </c>
      <c r="AA22" s="501"/>
      <c r="AB22" s="501">
        <f t="shared" si="7"/>
        <v>0.13216848586515684</v>
      </c>
      <c r="AC22" s="501">
        <f t="shared" si="13"/>
        <v>0.45593077183086494</v>
      </c>
    </row>
    <row r="23" spans="1:29">
      <c r="A23" s="499" t="s">
        <v>137</v>
      </c>
      <c r="B23" s="604" t="s">
        <v>575</v>
      </c>
      <c r="C23" s="506">
        <v>43533.981120999997</v>
      </c>
      <c r="D23" s="506">
        <v>39757.294290999998</v>
      </c>
      <c r="E23" s="506">
        <v>52360.173611999999</v>
      </c>
      <c r="F23" s="506">
        <v>52303.291445000003</v>
      </c>
      <c r="G23" s="506">
        <v>63059.284599999999</v>
      </c>
      <c r="H23" s="506">
        <v>67830.687684999997</v>
      </c>
      <c r="I23" s="506">
        <f t="shared" si="8"/>
        <v>275310.73163300002</v>
      </c>
      <c r="J23" s="501"/>
      <c r="K23" s="501">
        <f t="shared" si="12"/>
        <v>8.2243883874559796E-3</v>
      </c>
      <c r="L23" s="506">
        <v>71963.686795999995</v>
      </c>
      <c r="M23" s="506">
        <v>82277.291335000002</v>
      </c>
      <c r="N23" s="506">
        <v>83162.060146000003</v>
      </c>
      <c r="O23" s="506">
        <v>83133</v>
      </c>
      <c r="P23" s="506">
        <f>'[1]Phụ lục số 2'!F21</f>
        <v>77843</v>
      </c>
      <c r="Q23" s="506">
        <f t="shared" si="6"/>
        <v>398379.03827700001</v>
      </c>
      <c r="R23" s="501"/>
      <c r="S23" s="501">
        <f t="shared" si="9"/>
        <v>7.4779294169186415E-3</v>
      </c>
      <c r="T23" s="501">
        <f t="shared" si="4"/>
        <v>0.447016016825871</v>
      </c>
      <c r="U23" s="506">
        <f>'[1]Phụ lục số 2'!F21</f>
        <v>77843</v>
      </c>
      <c r="V23" s="506">
        <f>'[1]Phụ lục số 2'!F21</f>
        <v>77843</v>
      </c>
      <c r="W23" s="506">
        <f>'[1]Phụ lục số 2'!K21</f>
        <v>78978</v>
      </c>
      <c r="X23" s="506">
        <f>'[1]Phụ lục số 2'!P21</f>
        <v>81000</v>
      </c>
      <c r="Y23" s="506">
        <f>'[1]Phụ lục số 2'!U21</f>
        <v>83000</v>
      </c>
      <c r="Z23" s="506">
        <f t="shared" si="10"/>
        <v>398664</v>
      </c>
      <c r="AA23" s="501"/>
      <c r="AB23" s="501">
        <f t="shared" si="7"/>
        <v>5.8183605628104734E-3</v>
      </c>
      <c r="AC23" s="501">
        <f t="shared" si="13"/>
        <v>7.153030044764197E-4</v>
      </c>
    </row>
    <row r="24" spans="1:29">
      <c r="A24" s="499" t="s">
        <v>137</v>
      </c>
      <c r="B24" s="604" t="s">
        <v>576</v>
      </c>
      <c r="C24" s="506">
        <v>14485.369694999999</v>
      </c>
      <c r="D24" s="506">
        <v>13384.146613999999</v>
      </c>
      <c r="E24" s="506">
        <v>18335.384052000001</v>
      </c>
      <c r="F24" s="506">
        <v>21908.077399999998</v>
      </c>
      <c r="G24" s="506">
        <v>19416.014755</v>
      </c>
      <c r="H24" s="506">
        <v>20078.266750999999</v>
      </c>
      <c r="I24" s="506">
        <f t="shared" si="8"/>
        <v>93121.889572</v>
      </c>
      <c r="J24" s="501"/>
      <c r="K24" s="501">
        <f t="shared" si="12"/>
        <v>2.7818406593566806E-3</v>
      </c>
      <c r="L24" s="506">
        <v>20810.145353</v>
      </c>
      <c r="M24" s="506">
        <v>22929.685490999997</v>
      </c>
      <c r="N24" s="506">
        <v>21712.812980000002</v>
      </c>
      <c r="O24" s="506">
        <v>21575</v>
      </c>
      <c r="P24" s="506">
        <f>'[1]Phụ lục số 2'!F22</f>
        <v>41920</v>
      </c>
      <c r="Q24" s="506">
        <f t="shared" si="6"/>
        <v>128947.643824</v>
      </c>
      <c r="R24" s="501"/>
      <c r="S24" s="501">
        <f t="shared" si="9"/>
        <v>2.4204621386815259E-3</v>
      </c>
      <c r="T24" s="501">
        <f t="shared" si="4"/>
        <v>0.38471893575892535</v>
      </c>
      <c r="U24" s="506">
        <f>'[1]Phụ lục số 2'!F22</f>
        <v>41920</v>
      </c>
      <c r="V24" s="506">
        <f>'[1]Phụ lục số 2'!F22</f>
        <v>41920</v>
      </c>
      <c r="W24" s="506">
        <f>'[1]Phụ lục số 2'!K22</f>
        <v>42757</v>
      </c>
      <c r="X24" s="506">
        <f>'[1]Phụ lục số 2'!P22</f>
        <v>43000</v>
      </c>
      <c r="Y24" s="506">
        <f>'[1]Phụ lục số 2'!U22</f>
        <v>44000</v>
      </c>
      <c r="Z24" s="506">
        <f t="shared" si="10"/>
        <v>213597</v>
      </c>
      <c r="AA24" s="501"/>
      <c r="AB24" s="501">
        <f>Z24/$Z$10</f>
        <v>3.1173729284174863E-3</v>
      </c>
      <c r="AC24" s="501">
        <f t="shared" si="13"/>
        <v>0.65646299277509468</v>
      </c>
    </row>
    <row r="25" spans="1:29">
      <c r="A25" s="499" t="s">
        <v>137</v>
      </c>
      <c r="B25" s="604" t="s">
        <v>577</v>
      </c>
      <c r="C25" s="506">
        <v>23029.594314000002</v>
      </c>
      <c r="D25" s="506">
        <v>31166.499995999999</v>
      </c>
      <c r="E25" s="506">
        <v>23136.025249999999</v>
      </c>
      <c r="F25" s="506">
        <v>29067.688738000001</v>
      </c>
      <c r="G25" s="506">
        <v>25959.988635000002</v>
      </c>
      <c r="H25" s="506">
        <v>29270.382845</v>
      </c>
      <c r="I25" s="506">
        <f t="shared" si="8"/>
        <v>138600.585464</v>
      </c>
      <c r="J25" s="501"/>
      <c r="K25" s="501">
        <f t="shared" si="12"/>
        <v>4.1404308463509508E-3</v>
      </c>
      <c r="L25" s="506">
        <v>25568.900889</v>
      </c>
      <c r="M25" s="506">
        <v>31644.635216999995</v>
      </c>
      <c r="N25" s="506">
        <v>33093.863715</v>
      </c>
      <c r="O25" s="506">
        <v>32699</v>
      </c>
      <c r="P25" s="506">
        <f>'[1]Phụ lục số 2'!F23</f>
        <v>37960</v>
      </c>
      <c r="Q25" s="506">
        <f t="shared" si="6"/>
        <v>160966.399821</v>
      </c>
      <c r="R25" s="501"/>
      <c r="S25" s="501">
        <f t="shared" si="9"/>
        <v>3.021482710443195E-3</v>
      </c>
      <c r="T25" s="501">
        <f t="shared" si="4"/>
        <v>0.16136883031283644</v>
      </c>
      <c r="U25" s="506">
        <f>'[1]Phụ lục số 2'!F23</f>
        <v>37960</v>
      </c>
      <c r="V25" s="506">
        <f>'[1]Phụ lục số 2'!F23</f>
        <v>37960</v>
      </c>
      <c r="W25" s="506">
        <f>'[1]Phụ lục số 2'!K23</f>
        <v>38378</v>
      </c>
      <c r="X25" s="506">
        <f>'[1]Phụ lục số 2'!P23</f>
        <v>40000</v>
      </c>
      <c r="Y25" s="506">
        <f>'[1]Phụ lục số 2'!U23</f>
        <v>41000</v>
      </c>
      <c r="Z25" s="506">
        <f t="shared" si="10"/>
        <v>195298</v>
      </c>
      <c r="AA25" s="501"/>
      <c r="AB25" s="501">
        <f t="shared" si="7"/>
        <v>2.8503054732701219E-3</v>
      </c>
      <c r="AC25" s="501">
        <f t="shared" si="13"/>
        <v>0.21328426440038339</v>
      </c>
    </row>
    <row r="26" spans="1:29">
      <c r="A26" s="499" t="s">
        <v>137</v>
      </c>
      <c r="B26" s="604" t="s">
        <v>578</v>
      </c>
      <c r="C26" s="506">
        <v>43901.085969</v>
      </c>
      <c r="D26" s="506">
        <v>218884.160164</v>
      </c>
      <c r="E26" s="506">
        <v>202429.24258699999</v>
      </c>
      <c r="F26" s="506">
        <v>246506.12884799999</v>
      </c>
      <c r="G26" s="506">
        <v>220529.87967299999</v>
      </c>
      <c r="H26" s="506">
        <v>268672.20944100001</v>
      </c>
      <c r="I26" s="506">
        <f t="shared" si="8"/>
        <v>1157021.620713</v>
      </c>
      <c r="J26" s="501"/>
      <c r="K26" s="501">
        <f t="shared" si="12"/>
        <v>3.4563836741796257E-2</v>
      </c>
      <c r="L26" s="506">
        <v>429583.572162</v>
      </c>
      <c r="M26" s="506">
        <v>427772.94375599996</v>
      </c>
      <c r="N26" s="506">
        <v>484349.07345999999</v>
      </c>
      <c r="O26" s="506">
        <v>412864</v>
      </c>
      <c r="P26" s="506">
        <f>'[1]Phụ lục số 2'!F24</f>
        <v>734512</v>
      </c>
      <c r="Q26" s="506">
        <f t="shared" si="6"/>
        <v>2489081.5893779998</v>
      </c>
      <c r="R26" s="501"/>
      <c r="S26" s="501">
        <f t="shared" si="9"/>
        <v>4.6722278659095208E-2</v>
      </c>
      <c r="T26" s="501">
        <f t="shared" si="4"/>
        <v>1.151283558421436</v>
      </c>
      <c r="U26" s="506">
        <f>'[1]Phụ lục số 2'!F24</f>
        <v>734512</v>
      </c>
      <c r="V26" s="506">
        <f>'[1]Phụ lục số 2'!F24</f>
        <v>734512</v>
      </c>
      <c r="W26" s="506">
        <f>'[1]Phụ lục số 2'!K24</f>
        <v>539140</v>
      </c>
      <c r="X26" s="506">
        <f>'[1]Phụ lục số 2'!P24</f>
        <v>550000</v>
      </c>
      <c r="Y26" s="506">
        <f>'[1]Phụ lục số 2'!U24</f>
        <v>562000</v>
      </c>
      <c r="Z26" s="506">
        <f t="shared" si="10"/>
        <v>3120164</v>
      </c>
      <c r="AA26" s="501"/>
      <c r="AB26" s="501">
        <f t="shared" si="7"/>
        <v>4.5537693815094864E-2</v>
      </c>
      <c r="AC26" s="501">
        <f t="shared" si="13"/>
        <v>0.2535402669462925</v>
      </c>
    </row>
    <row r="27" spans="1:29">
      <c r="A27" s="499" t="s">
        <v>137</v>
      </c>
      <c r="B27" s="604" t="s">
        <v>579</v>
      </c>
      <c r="C27" s="506">
        <v>622912.42801599996</v>
      </c>
      <c r="D27" s="506">
        <v>717228.87336099998</v>
      </c>
      <c r="E27" s="506">
        <v>908800.16295799997</v>
      </c>
      <c r="F27" s="506">
        <v>916290.82646599994</v>
      </c>
      <c r="G27" s="506">
        <v>1102294.9754869998</v>
      </c>
      <c r="H27" s="506">
        <v>1151725.5044160001</v>
      </c>
      <c r="I27" s="506">
        <f t="shared" si="8"/>
        <v>4796340.3426879998</v>
      </c>
      <c r="J27" s="501"/>
      <c r="K27" s="501">
        <f t="shared" si="12"/>
        <v>0.14328161340718884</v>
      </c>
      <c r="L27" s="506">
        <v>1165502.862461</v>
      </c>
      <c r="M27" s="506">
        <v>1339203.8982509999</v>
      </c>
      <c r="N27" s="506">
        <v>1385398.590177</v>
      </c>
      <c r="O27" s="506">
        <v>1476156</v>
      </c>
      <c r="P27" s="506">
        <f>'[1]Phụ lục số 2'!F25</f>
        <v>1386350</v>
      </c>
      <c r="Q27" s="506">
        <f t="shared" si="6"/>
        <v>6752611.3508889992</v>
      </c>
      <c r="R27" s="501"/>
      <c r="S27" s="501">
        <f t="shared" si="9"/>
        <v>0.12675253015376053</v>
      </c>
      <c r="T27" s="501">
        <f t="shared" si="4"/>
        <v>0.40786742983811108</v>
      </c>
      <c r="U27" s="506">
        <f>'[1]Phụ lục số 2'!F25</f>
        <v>1386350</v>
      </c>
      <c r="V27" s="506">
        <f>'[1]Phụ lục số 2'!F25</f>
        <v>1386350</v>
      </c>
      <c r="W27" s="506">
        <f>'[1]Phụ lục số 2'!K25</f>
        <v>1388540</v>
      </c>
      <c r="X27" s="506">
        <f>'[1]Phụ lục số 2'!P25</f>
        <v>1418000</v>
      </c>
      <c r="Y27" s="506">
        <f>'[1]Phụ lục số 2'!U25</f>
        <v>1450000</v>
      </c>
      <c r="Z27" s="506">
        <f t="shared" si="10"/>
        <v>7029240</v>
      </c>
      <c r="AA27" s="501"/>
      <c r="AB27" s="501">
        <f t="shared" si="7"/>
        <v>0.10258928020220008</v>
      </c>
      <c r="AC27" s="501">
        <f t="shared" si="13"/>
        <v>4.0966173638081749E-2</v>
      </c>
    </row>
    <row r="28" spans="1:29">
      <c r="A28" s="499" t="s">
        <v>137</v>
      </c>
      <c r="B28" s="604" t="s">
        <v>580</v>
      </c>
      <c r="C28" s="506">
        <v>94193.786722000004</v>
      </c>
      <c r="D28" s="506">
        <v>152596.82905999999</v>
      </c>
      <c r="E28" s="506">
        <v>178848.46695199999</v>
      </c>
      <c r="F28" s="506">
        <v>238787.16765700001</v>
      </c>
      <c r="G28" s="506">
        <v>225609.581118</v>
      </c>
      <c r="H28" s="506">
        <v>248340.399725</v>
      </c>
      <c r="I28" s="506">
        <f t="shared" si="8"/>
        <v>1044182.444512</v>
      </c>
      <c r="J28" s="501"/>
      <c r="K28" s="501">
        <f t="shared" si="12"/>
        <v>3.1192979365866905E-2</v>
      </c>
      <c r="L28" s="506">
        <v>281758.40066300001</v>
      </c>
      <c r="M28" s="506">
        <v>323370.00026400003</v>
      </c>
      <c r="N28" s="506">
        <v>369167.60954500001</v>
      </c>
      <c r="O28" s="506">
        <v>398306</v>
      </c>
      <c r="P28" s="506">
        <f>'[1]Phụ lục số 2'!F26</f>
        <v>317623</v>
      </c>
      <c r="Q28" s="506">
        <f t="shared" si="6"/>
        <v>1690225.0104720001</v>
      </c>
      <c r="R28" s="501"/>
      <c r="S28" s="501">
        <f t="shared" si="9"/>
        <v>3.1727029066804968E-2</v>
      </c>
      <c r="T28" s="501">
        <f t="shared" si="4"/>
        <v>0.61870659610823941</v>
      </c>
      <c r="U28" s="506">
        <f>'[1]Phụ lục số 2'!F26</f>
        <v>317623</v>
      </c>
      <c r="V28" s="506">
        <f>'[1]Phụ lục số 2'!F26</f>
        <v>317623</v>
      </c>
      <c r="W28" s="506">
        <f>'[1]Phụ lục số 2'!K26</f>
        <v>326504</v>
      </c>
      <c r="X28" s="506">
        <f>'[1]Phụ lục số 2'!P26</f>
        <v>334000</v>
      </c>
      <c r="Y28" s="506">
        <f>'[1]Phụ lục số 2'!U26</f>
        <v>342000</v>
      </c>
      <c r="Z28" s="506">
        <f t="shared" si="10"/>
        <v>1637750</v>
      </c>
      <c r="AA28" s="501"/>
      <c r="AB28" s="501">
        <f t="shared" si="7"/>
        <v>2.3902383991890045E-2</v>
      </c>
      <c r="AC28" s="501">
        <f t="shared" si="13"/>
        <v>-3.1046168496433713E-2</v>
      </c>
    </row>
    <row r="29" spans="1:29">
      <c r="A29" s="499" t="s">
        <v>137</v>
      </c>
      <c r="B29" s="604" t="s">
        <v>90</v>
      </c>
      <c r="C29" s="506">
        <v>128028.82776499999</v>
      </c>
      <c r="D29" s="506">
        <v>99701.489849999984</v>
      </c>
      <c r="E29" s="506">
        <v>187075.50684300001</v>
      </c>
      <c r="F29" s="506">
        <v>207923.348959</v>
      </c>
      <c r="G29" s="506">
        <v>124789.76882299999</v>
      </c>
      <c r="H29" s="506">
        <v>135164.902485</v>
      </c>
      <c r="I29" s="506">
        <f t="shared" si="8"/>
        <v>754655.01695999992</v>
      </c>
      <c r="J29" s="501"/>
      <c r="K29" s="501">
        <f t="shared" si="12"/>
        <v>2.2543894025514516E-2</v>
      </c>
      <c r="L29" s="506">
        <v>111781.932877</v>
      </c>
      <c r="M29" s="506">
        <v>102494.98850700002</v>
      </c>
      <c r="N29" s="506">
        <v>96564.608066000015</v>
      </c>
      <c r="O29" s="506">
        <v>112835</v>
      </c>
      <c r="P29" s="506">
        <f>'[1]Phụ lục số 2'!F27</f>
        <v>58295</v>
      </c>
      <c r="Q29" s="506">
        <f t="shared" si="6"/>
        <v>481971.52945000003</v>
      </c>
      <c r="R29" s="501"/>
      <c r="S29" s="501">
        <f t="shared" si="9"/>
        <v>9.047034938834797E-3</v>
      </c>
      <c r="T29" s="501">
        <f t="shared" si="4"/>
        <v>-0.3613352874913085</v>
      </c>
      <c r="U29" s="506">
        <f>'[1]Phụ lục số 2'!F27</f>
        <v>58295</v>
      </c>
      <c r="V29" s="506">
        <f>'[1]Phụ lục số 2'!F27</f>
        <v>58295</v>
      </c>
      <c r="W29" s="506">
        <f>'[1]Phụ lục số 2'!K27</f>
        <v>48511</v>
      </c>
      <c r="X29" s="506">
        <f>'[1]Phụ lục số 2'!P27</f>
        <v>50000</v>
      </c>
      <c r="Y29" s="506">
        <f>'[1]Phụ lục số 2'!U27</f>
        <v>52000</v>
      </c>
      <c r="Z29" s="506">
        <f t="shared" si="10"/>
        <v>267101</v>
      </c>
      <c r="AA29" s="501"/>
      <c r="AB29" s="501">
        <f t="shared" si="7"/>
        <v>3.8982449498506017E-3</v>
      </c>
      <c r="AC29" s="501">
        <f t="shared" si="13"/>
        <v>-0.44581581342615551</v>
      </c>
    </row>
    <row r="30" spans="1:29" s="289" customFormat="1">
      <c r="A30" s="486" t="s">
        <v>49</v>
      </c>
      <c r="B30" s="276" t="s">
        <v>65</v>
      </c>
      <c r="C30" s="326">
        <v>2000</v>
      </c>
      <c r="D30" s="326">
        <v>2000</v>
      </c>
      <c r="E30" s="326">
        <v>2000</v>
      </c>
      <c r="F30" s="326">
        <v>2000</v>
      </c>
      <c r="G30" s="326">
        <v>2000</v>
      </c>
      <c r="H30" s="326">
        <v>2000</v>
      </c>
      <c r="I30" s="326">
        <f t="shared" si="8"/>
        <v>10000</v>
      </c>
      <c r="J30" s="488"/>
      <c r="K30" s="488">
        <f t="shared" si="12"/>
        <v>2.9873112241841015E-4</v>
      </c>
      <c r="L30" s="326">
        <v>2000</v>
      </c>
      <c r="M30" s="326">
        <v>2000</v>
      </c>
      <c r="N30" s="326">
        <v>2000</v>
      </c>
      <c r="O30" s="326">
        <f>'[1]Phụ lục số 2'!F28</f>
        <v>2000</v>
      </c>
      <c r="P30" s="326">
        <f>'[1]Phụ lục số 2'!F28</f>
        <v>2000</v>
      </c>
      <c r="Q30" s="326">
        <f t="shared" si="6"/>
        <v>10000</v>
      </c>
      <c r="R30" s="488"/>
      <c r="S30" s="488">
        <f t="shared" si="9"/>
        <v>1.8770890780952948E-4</v>
      </c>
      <c r="T30" s="488">
        <f t="shared" si="4"/>
        <v>0</v>
      </c>
      <c r="U30" s="326">
        <f>'[1]Phụ lục số 2'!F28</f>
        <v>2000</v>
      </c>
      <c r="V30" s="326">
        <f>'[1]Phụ lục số 2'!F28</f>
        <v>2000</v>
      </c>
      <c r="W30" s="326">
        <f>'[1]Phụ lục số 2'!K28</f>
        <v>2000</v>
      </c>
      <c r="X30" s="326">
        <f>'[1]Phụ lục số 2'!P28</f>
        <v>2000</v>
      </c>
      <c r="Y30" s="326">
        <f>'[1]Phụ lục số 2'!U28</f>
        <v>2000</v>
      </c>
      <c r="Z30" s="326">
        <f t="shared" si="10"/>
        <v>10000</v>
      </c>
      <c r="AA30" s="488"/>
      <c r="AB30" s="488">
        <f t="shared" si="7"/>
        <v>1.4594647529775635E-4</v>
      </c>
      <c r="AC30" s="488">
        <f t="shared" si="13"/>
        <v>0</v>
      </c>
    </row>
    <row r="31" spans="1:29" s="289" customFormat="1">
      <c r="A31" s="486" t="s">
        <v>50</v>
      </c>
      <c r="B31" s="276" t="s">
        <v>87</v>
      </c>
      <c r="C31" s="326"/>
      <c r="D31" s="326"/>
      <c r="E31" s="326"/>
      <c r="F31" s="326"/>
      <c r="G31" s="326"/>
      <c r="H31" s="326"/>
      <c r="I31" s="326"/>
      <c r="J31" s="592"/>
      <c r="K31" s="592"/>
      <c r="L31" s="326"/>
      <c r="M31" s="326"/>
      <c r="N31" s="326"/>
      <c r="O31" s="326">
        <f>'[1]Phụ lục số 2'!F29</f>
        <v>0</v>
      </c>
      <c r="P31" s="326">
        <f>'[1]Phụ lục số 2'!F29</f>
        <v>0</v>
      </c>
      <c r="Q31" s="326">
        <f t="shared" si="6"/>
        <v>0</v>
      </c>
      <c r="R31" s="488"/>
      <c r="S31" s="488"/>
      <c r="T31" s="488"/>
      <c r="U31" s="326">
        <f>'[1]Phụ lục số 2'!F29</f>
        <v>0</v>
      </c>
      <c r="V31" s="326">
        <f>'[1]Phụ lục số 2'!F29</f>
        <v>0</v>
      </c>
      <c r="W31" s="326">
        <f>'[1]Phụ lục số 2'!K29</f>
        <v>274623</v>
      </c>
      <c r="X31" s="326">
        <f>'[1]Phụ lục số 2'!P29</f>
        <v>281000</v>
      </c>
      <c r="Y31" s="326">
        <f>'[1]Phụ lục số 2'!U29</f>
        <v>288000</v>
      </c>
      <c r="Z31" s="326">
        <f t="shared" si="10"/>
        <v>843623</v>
      </c>
      <c r="AA31" s="488"/>
      <c r="AB31" s="488">
        <f t="shared" si="7"/>
        <v>1.2312380333011911E-2</v>
      </c>
      <c r="AC31" s="488"/>
    </row>
    <row r="32" spans="1:29" s="289" customFormat="1">
      <c r="A32" s="486" t="s">
        <v>72</v>
      </c>
      <c r="B32" s="276" t="s">
        <v>302</v>
      </c>
      <c r="C32" s="326"/>
      <c r="D32" s="326"/>
      <c r="E32" s="326"/>
      <c r="F32" s="326"/>
      <c r="G32" s="326"/>
      <c r="H32" s="326"/>
      <c r="I32" s="326">
        <f t="shared" si="8"/>
        <v>0</v>
      </c>
      <c r="J32" s="592"/>
      <c r="K32" s="592"/>
      <c r="L32" s="326"/>
      <c r="M32" s="326"/>
      <c r="N32" s="326"/>
      <c r="O32" s="326"/>
      <c r="P32" s="326">
        <f>'[1]Phụ lục số 2'!F30</f>
        <v>560414</v>
      </c>
      <c r="Q32" s="326">
        <f t="shared" si="6"/>
        <v>560414</v>
      </c>
      <c r="R32" s="488"/>
      <c r="S32" s="488">
        <f t="shared" si="9"/>
        <v>1.0519469986116966E-2</v>
      </c>
      <c r="T32" s="488"/>
      <c r="U32" s="326">
        <f>'[1]Phụ lục số 2'!F30</f>
        <v>560414</v>
      </c>
      <c r="V32" s="326">
        <f>'[1]Phụ lục số 2'!F30</f>
        <v>560414</v>
      </c>
      <c r="W32" s="326">
        <f>'[1]Phụ lục số 2'!K30</f>
        <v>0</v>
      </c>
      <c r="X32" s="326">
        <f>'[1]Phụ lục số 2'!P30</f>
        <v>217488</v>
      </c>
      <c r="Y32" s="326">
        <f>'[1]Phụ lục số 2'!U30</f>
        <v>466488</v>
      </c>
      <c r="Z32" s="326">
        <f>SUM(U32:Y32)</f>
        <v>1804804</v>
      </c>
      <c r="AA32" s="488"/>
      <c r="AB32" s="488">
        <f t="shared" si="7"/>
        <v>2.6340478240329184E-2</v>
      </c>
      <c r="AC32" s="488"/>
    </row>
    <row r="33" spans="1:29" s="289" customFormat="1">
      <c r="A33" s="486" t="s">
        <v>100</v>
      </c>
      <c r="B33" s="276" t="s">
        <v>581</v>
      </c>
      <c r="C33" s="326">
        <f>4688367-3831104</f>
        <v>857263</v>
      </c>
      <c r="D33" s="326"/>
      <c r="E33" s="326"/>
      <c r="F33" s="326"/>
      <c r="G33" s="326"/>
      <c r="H33" s="326">
        <f>8838259-8347894</f>
        <v>490365</v>
      </c>
      <c r="I33" s="326">
        <f t="shared" si="8"/>
        <v>490365</v>
      </c>
      <c r="J33" s="592"/>
      <c r="K33" s="592"/>
      <c r="L33" s="326">
        <f>9435660-9023428</f>
        <v>412232</v>
      </c>
      <c r="M33" s="326">
        <f>10825318-9554518</f>
        <v>1270800</v>
      </c>
      <c r="N33" s="326">
        <f>12245989-11966493</f>
        <v>279496</v>
      </c>
      <c r="O33" s="326"/>
      <c r="P33" s="326"/>
      <c r="Q33" s="326">
        <f t="shared" si="6"/>
        <v>1962528</v>
      </c>
      <c r="R33" s="488"/>
      <c r="S33" s="488">
        <f t="shared" si="9"/>
        <v>3.6838398742562027E-2</v>
      </c>
      <c r="T33" s="488"/>
      <c r="U33" s="326"/>
      <c r="V33" s="326"/>
      <c r="W33" s="326"/>
      <c r="X33" s="326"/>
      <c r="Y33" s="326"/>
      <c r="Z33" s="326">
        <f t="shared" si="10"/>
        <v>0</v>
      </c>
      <c r="AA33" s="488"/>
      <c r="AB33" s="488">
        <f t="shared" si="7"/>
        <v>0</v>
      </c>
      <c r="AC33" s="488"/>
    </row>
    <row r="34" spans="1:29" s="289" customFormat="1">
      <c r="A34" s="486" t="s">
        <v>151</v>
      </c>
      <c r="B34" s="276" t="s">
        <v>582</v>
      </c>
      <c r="C34" s="326"/>
      <c r="D34" s="326"/>
      <c r="E34" s="326"/>
      <c r="F34" s="326"/>
      <c r="G34" s="326"/>
      <c r="H34" s="326"/>
      <c r="I34" s="326">
        <f t="shared" si="8"/>
        <v>0</v>
      </c>
      <c r="J34" s="592"/>
      <c r="K34" s="592"/>
      <c r="L34" s="326"/>
      <c r="M34" s="326"/>
      <c r="N34" s="326"/>
      <c r="O34" s="326"/>
      <c r="P34" s="326">
        <f>'[1]Phụ lục số 2'!F31</f>
        <v>2000</v>
      </c>
      <c r="Q34" s="326">
        <f t="shared" si="6"/>
        <v>2000</v>
      </c>
      <c r="R34" s="488"/>
      <c r="S34" s="488">
        <f t="shared" si="9"/>
        <v>3.7541781561905897E-5</v>
      </c>
      <c r="T34" s="488"/>
      <c r="U34" s="326">
        <f>'[1]Phụ lục số 2'!F31</f>
        <v>2000</v>
      </c>
      <c r="V34" s="326">
        <f>'[1]Phụ lục số 2'!F31</f>
        <v>2000</v>
      </c>
      <c r="W34" s="326">
        <f>'[1]Phụ lục số 2'!K31</f>
        <v>0</v>
      </c>
      <c r="X34" s="326">
        <f>'[1]Phụ lục số 2'!P31</f>
        <v>0</v>
      </c>
      <c r="Y34" s="326">
        <f>'[1]Phụ lục số 2'!U31</f>
        <v>0</v>
      </c>
      <c r="Z34" s="326">
        <f t="shared" si="10"/>
        <v>4000</v>
      </c>
      <c r="AA34" s="488"/>
      <c r="AB34" s="488">
        <f t="shared" si="7"/>
        <v>5.8378590119102539E-5</v>
      </c>
      <c r="AC34" s="488"/>
    </row>
    <row r="35" spans="1:29" s="289" customFormat="1" ht="31.2">
      <c r="A35" s="486" t="s">
        <v>130</v>
      </c>
      <c r="B35" s="276" t="s">
        <v>133</v>
      </c>
      <c r="C35" s="326"/>
      <c r="D35" s="326"/>
      <c r="E35" s="326"/>
      <c r="F35" s="326"/>
      <c r="G35" s="326"/>
      <c r="H35" s="326"/>
      <c r="I35" s="326"/>
      <c r="J35" s="592"/>
      <c r="K35" s="592"/>
      <c r="L35" s="326"/>
      <c r="M35" s="326"/>
      <c r="N35" s="326"/>
      <c r="O35" s="326"/>
      <c r="P35" s="326">
        <f>'[1]Phụ lục số 2'!F35</f>
        <v>48300</v>
      </c>
      <c r="Q35" s="326">
        <f t="shared" si="6"/>
        <v>48300</v>
      </c>
      <c r="R35" s="488"/>
      <c r="S35" s="488"/>
      <c r="T35" s="488"/>
      <c r="U35" s="326">
        <f>'[1]Phụ lục số 2'!F35</f>
        <v>48300</v>
      </c>
      <c r="V35" s="326">
        <f>'[1]Phụ lục số 2'!F35</f>
        <v>48300</v>
      </c>
      <c r="W35" s="326">
        <f>'[1]Phụ lục số 2'!K35</f>
        <v>31500</v>
      </c>
      <c r="X35" s="326">
        <f>'[1]Phụ lục số 2'!P35</f>
        <v>19694</v>
      </c>
      <c r="Y35" s="326">
        <f>'[1]Phụ lục số 2'!U35</f>
        <v>0</v>
      </c>
      <c r="Z35" s="326">
        <f>SUM(U35:Y35)</f>
        <v>147794</v>
      </c>
      <c r="AA35" s="488"/>
      <c r="AB35" s="488"/>
      <c r="AC35" s="488"/>
    </row>
    <row r="36" spans="1:29" s="228" customFormat="1" hidden="1">
      <c r="A36" s="1043" t="s">
        <v>217</v>
      </c>
      <c r="B36" s="590" t="s">
        <v>583</v>
      </c>
      <c r="C36" s="591"/>
      <c r="D36" s="591"/>
      <c r="E36" s="591"/>
      <c r="F36" s="591"/>
      <c r="G36" s="591"/>
      <c r="H36" s="591"/>
      <c r="I36" s="591"/>
      <c r="J36" s="592"/>
      <c r="K36" s="592"/>
      <c r="L36" s="591"/>
      <c r="M36" s="591"/>
      <c r="N36" s="591"/>
      <c r="O36" s="591"/>
      <c r="P36" s="591"/>
      <c r="Q36" s="591">
        <f t="shared" si="6"/>
        <v>0</v>
      </c>
      <c r="R36" s="592"/>
      <c r="S36" s="592"/>
      <c r="T36" s="592"/>
      <c r="U36" s="591"/>
      <c r="V36" s="591"/>
      <c r="W36" s="591"/>
      <c r="X36" s="591"/>
      <c r="Y36" s="591"/>
      <c r="Z36" s="591"/>
      <c r="AA36" s="592"/>
      <c r="AB36" s="592"/>
      <c r="AC36" s="592"/>
    </row>
    <row r="37" spans="1:29" s="289" customFormat="1" hidden="1">
      <c r="A37" s="486" t="s">
        <v>7</v>
      </c>
      <c r="B37" s="276" t="s">
        <v>584</v>
      </c>
      <c r="C37" s="326"/>
      <c r="D37" s="326">
        <f>1609847+91395</f>
        <v>1701242</v>
      </c>
      <c r="E37" s="326">
        <v>2568878</v>
      </c>
      <c r="F37" s="326">
        <v>2531523</v>
      </c>
      <c r="G37" s="326">
        <v>2752464</v>
      </c>
      <c r="H37" s="326">
        <v>2928002</v>
      </c>
      <c r="I37" s="326">
        <f t="shared" si="8"/>
        <v>12482109</v>
      </c>
      <c r="J37" s="488"/>
      <c r="K37" s="488"/>
      <c r="L37" s="326">
        <v>3063372</v>
      </c>
      <c r="M37" s="326">
        <v>3626119</v>
      </c>
      <c r="N37" s="326">
        <v>3812056</v>
      </c>
      <c r="O37" s="326">
        <v>4137585</v>
      </c>
      <c r="P37" s="326">
        <v>4277080</v>
      </c>
      <c r="Q37" s="326">
        <f t="shared" si="6"/>
        <v>18916212</v>
      </c>
      <c r="R37" s="583"/>
      <c r="S37" s="488"/>
      <c r="T37" s="488">
        <f t="shared" ref="T37:T62" si="15">Q37/I37-1</f>
        <v>0.51546601619966625</v>
      </c>
      <c r="U37" s="326">
        <f>P37*(1+$R$38)</f>
        <v>4613840.473430654</v>
      </c>
      <c r="V37" s="326">
        <f>U37*(1+$R$38)</f>
        <v>4977116.143318994</v>
      </c>
      <c r="W37" s="326">
        <f>V37*(1+$R$38)</f>
        <v>5368994.7120489348</v>
      </c>
      <c r="X37" s="326">
        <f>W37*(1+$R$38)</f>
        <v>5791728.2594869714</v>
      </c>
      <c r="Y37" s="326">
        <f>X37*(1+$R$38)</f>
        <v>6247746.1854192736</v>
      </c>
      <c r="Z37" s="326">
        <f>SUM(U37:Y37)</f>
        <v>26999425.773704827</v>
      </c>
      <c r="AA37" s="488"/>
      <c r="AB37" s="488"/>
      <c r="AC37" s="488"/>
    </row>
    <row r="38" spans="1:29" s="289" customFormat="1" hidden="1">
      <c r="A38" s="1083" t="s">
        <v>137</v>
      </c>
      <c r="B38" s="581" t="s">
        <v>494</v>
      </c>
      <c r="C38" s="583"/>
      <c r="D38" s="583"/>
      <c r="E38" s="583">
        <f>E37/D37</f>
        <v>1.5100015165390932</v>
      </c>
      <c r="F38" s="583">
        <f>F37/E37</f>
        <v>0.98545863213434037</v>
      </c>
      <c r="G38" s="583">
        <f>G37/F37</f>
        <v>1.0872759204636893</v>
      </c>
      <c r="H38" s="583">
        <f>H37/G37</f>
        <v>1.0637748577274762</v>
      </c>
      <c r="I38" s="583"/>
      <c r="J38" s="583">
        <f>(E38*F38*G38*H38)^(1/4)-1</f>
        <v>0.14538454370462239</v>
      </c>
      <c r="K38" s="583"/>
      <c r="L38" s="583">
        <f>L37/H37</f>
        <v>1.0462328919174235</v>
      </c>
      <c r="M38" s="583">
        <f>M37/L37</f>
        <v>1.1837018161685882</v>
      </c>
      <c r="N38" s="583">
        <f>N37/M37</f>
        <v>1.0512771367955658</v>
      </c>
      <c r="O38" s="583">
        <f>O37/N37</f>
        <v>1.0853946007089088</v>
      </c>
      <c r="P38" s="583">
        <f>P37/O37</f>
        <v>1.0337141110091999</v>
      </c>
      <c r="Q38" s="583"/>
      <c r="R38" s="583">
        <f>(L38*M38*N38*O38*P38)^(1/5)-1</f>
        <v>7.873607073766542E-2</v>
      </c>
      <c r="S38" s="583"/>
      <c r="T38" s="583"/>
      <c r="U38" s="583">
        <f>U37/P37</f>
        <v>1.0787360707376654</v>
      </c>
      <c r="V38" s="583">
        <f>V37/U37</f>
        <v>1.0787360707376654</v>
      </c>
      <c r="W38" s="583">
        <f>W37/V37</f>
        <v>1.0787360707376654</v>
      </c>
      <c r="X38" s="583">
        <f>X37/W37</f>
        <v>1.0787360707376654</v>
      </c>
      <c r="Y38" s="583">
        <f>Y37/X37</f>
        <v>1.0787360707376654</v>
      </c>
      <c r="Z38" s="583"/>
      <c r="AA38" s="583">
        <f>(U38*V38*W38*X38*Y38)^(1/5)-1</f>
        <v>7.873607073766542E-2</v>
      </c>
      <c r="AB38" s="583"/>
      <c r="AC38" s="583"/>
    </row>
    <row r="39" spans="1:29" hidden="1">
      <c r="A39" s="499">
        <v>1</v>
      </c>
      <c r="B39" s="604" t="s">
        <v>585</v>
      </c>
      <c r="C39" s="506"/>
      <c r="D39" s="506">
        <f>996120+91395</f>
        <v>1087515</v>
      </c>
      <c r="E39" s="506">
        <v>1294679</v>
      </c>
      <c r="F39" s="506">
        <v>1467800</v>
      </c>
      <c r="G39" s="506">
        <v>1577166</v>
      </c>
      <c r="H39" s="506">
        <v>1674236</v>
      </c>
      <c r="I39" s="506">
        <f t="shared" si="8"/>
        <v>7101396</v>
      </c>
      <c r="J39" s="501"/>
      <c r="K39" s="501"/>
      <c r="L39" s="506">
        <v>1718923</v>
      </c>
      <c r="M39" s="506">
        <v>2269384</v>
      </c>
      <c r="N39" s="506">
        <v>2435846</v>
      </c>
      <c r="O39" s="506">
        <v>2618473</v>
      </c>
      <c r="P39" s="506">
        <v>2723364</v>
      </c>
      <c r="Q39" s="506">
        <f t="shared" si="6"/>
        <v>11765990</v>
      </c>
      <c r="R39" s="501"/>
      <c r="S39" s="501"/>
      <c r="T39" s="501">
        <f t="shared" si="15"/>
        <v>0.6568559195966539</v>
      </c>
      <c r="U39" s="506">
        <f>P39*(1+R39)</f>
        <v>2723364</v>
      </c>
      <c r="V39" s="506">
        <f t="shared" ref="V39:Y41" si="16">U39*(1+$R$37)</f>
        <v>2723364</v>
      </c>
      <c r="W39" s="506">
        <f t="shared" si="16"/>
        <v>2723364</v>
      </c>
      <c r="X39" s="506">
        <f t="shared" si="16"/>
        <v>2723364</v>
      </c>
      <c r="Y39" s="506">
        <f t="shared" si="16"/>
        <v>2723364</v>
      </c>
      <c r="Z39" s="506">
        <f>SUM(U39:Y39)</f>
        <v>13616820</v>
      </c>
      <c r="AA39" s="501"/>
      <c r="AB39" s="501"/>
      <c r="AC39" s="501"/>
    </row>
    <row r="40" spans="1:29" hidden="1">
      <c r="A40" s="1083" t="s">
        <v>137</v>
      </c>
      <c r="B40" s="581" t="s">
        <v>494</v>
      </c>
      <c r="C40" s="583"/>
      <c r="D40" s="583"/>
      <c r="E40" s="583">
        <f>E39/D39</f>
        <v>1.1904930046941882</v>
      </c>
      <c r="F40" s="583">
        <f>F39/E39</f>
        <v>1.1337173152572955</v>
      </c>
      <c r="G40" s="583">
        <f>G39/F39</f>
        <v>1.0745101512467639</v>
      </c>
      <c r="H40" s="583">
        <f>H39/G39</f>
        <v>1.061547104109523</v>
      </c>
      <c r="I40" s="583"/>
      <c r="J40" s="583">
        <f>(E40*F40*G40*H40)^(1/4)-1</f>
        <v>0.11389782270493187</v>
      </c>
      <c r="K40" s="583"/>
      <c r="L40" s="583">
        <f>L39/H39</f>
        <v>1.0266909802441233</v>
      </c>
      <c r="M40" s="583">
        <f>M39/L39</f>
        <v>1.3202359849743124</v>
      </c>
      <c r="N40" s="583">
        <f>N39/M39</f>
        <v>1.0733511825235393</v>
      </c>
      <c r="O40" s="583">
        <f>O39/N39</f>
        <v>1.0749747726251988</v>
      </c>
      <c r="P40" s="583">
        <f>P39/O39</f>
        <v>1.0400580796517664</v>
      </c>
      <c r="Q40" s="583"/>
      <c r="R40" s="583">
        <f>(L40*M40*N40*O40*P40)^(1/5)-1</f>
        <v>0.10219339270453331</v>
      </c>
      <c r="S40" s="583"/>
      <c r="T40" s="583"/>
      <c r="U40" s="583">
        <f>U39/P39</f>
        <v>1</v>
      </c>
      <c r="V40" s="583">
        <f>V39/U39</f>
        <v>1</v>
      </c>
      <c r="W40" s="583">
        <f>W39/V39</f>
        <v>1</v>
      </c>
      <c r="X40" s="583">
        <f>X39/W39</f>
        <v>1</v>
      </c>
      <c r="Y40" s="583">
        <f>Y39/X39</f>
        <v>1</v>
      </c>
      <c r="Z40" s="583"/>
      <c r="AA40" s="583">
        <f>(U40*V40*W40*X40*Y40)^(1/5)-1</f>
        <v>0</v>
      </c>
      <c r="AB40" s="583"/>
      <c r="AC40" s="583"/>
    </row>
    <row r="41" spans="1:29" hidden="1">
      <c r="A41" s="499">
        <v>2</v>
      </c>
      <c r="B41" s="604" t="s">
        <v>586</v>
      </c>
      <c r="C41" s="506"/>
      <c r="D41" s="506">
        <f t="shared" ref="D41:I41" si="17">D37-D39</f>
        <v>613727</v>
      </c>
      <c r="E41" s="506">
        <f t="shared" si="17"/>
        <v>1274199</v>
      </c>
      <c r="F41" s="506">
        <f t="shared" si="17"/>
        <v>1063723</v>
      </c>
      <c r="G41" s="506">
        <f t="shared" si="17"/>
        <v>1175298</v>
      </c>
      <c r="H41" s="506">
        <f t="shared" si="17"/>
        <v>1253766</v>
      </c>
      <c r="I41" s="506">
        <f t="shared" si="17"/>
        <v>5380713</v>
      </c>
      <c r="J41" s="501"/>
      <c r="K41" s="501"/>
      <c r="L41" s="506">
        <f>L37-L39</f>
        <v>1344449</v>
      </c>
      <c r="M41" s="506">
        <f>M37-M39</f>
        <v>1356735</v>
      </c>
      <c r="N41" s="506">
        <f>N37-N39</f>
        <v>1376210</v>
      </c>
      <c r="O41" s="506">
        <f>O37-O39</f>
        <v>1519112</v>
      </c>
      <c r="P41" s="506">
        <f>P37-P39</f>
        <v>1553716</v>
      </c>
      <c r="Q41" s="506">
        <f t="shared" si="6"/>
        <v>7150222</v>
      </c>
      <c r="R41" s="501"/>
      <c r="S41" s="501"/>
      <c r="T41" s="501">
        <f t="shared" si="15"/>
        <v>0.32886143527818712</v>
      </c>
      <c r="U41" s="506">
        <f>P41*(1+R41)</f>
        <v>1553716</v>
      </c>
      <c r="V41" s="506">
        <f t="shared" si="16"/>
        <v>1553716</v>
      </c>
      <c r="W41" s="506">
        <f t="shared" si="16"/>
        <v>1553716</v>
      </c>
      <c r="X41" s="506">
        <f t="shared" si="16"/>
        <v>1553716</v>
      </c>
      <c r="Y41" s="506">
        <f t="shared" si="16"/>
        <v>1553716</v>
      </c>
      <c r="Z41" s="506">
        <f>SUM(U41:Y41)</f>
        <v>7768580</v>
      </c>
      <c r="AA41" s="501"/>
      <c r="AB41" s="501"/>
      <c r="AC41" s="501"/>
    </row>
    <row r="42" spans="1:29" hidden="1">
      <c r="A42" s="1083" t="s">
        <v>137</v>
      </c>
      <c r="B42" s="581" t="s">
        <v>494</v>
      </c>
      <c r="C42" s="583"/>
      <c r="D42" s="583"/>
      <c r="E42" s="583">
        <f>E41/D41</f>
        <v>2.0761657870681915</v>
      </c>
      <c r="F42" s="583">
        <f>F41/E41</f>
        <v>0.83481701052975243</v>
      </c>
      <c r="G42" s="583">
        <f>G41/F41</f>
        <v>1.1048910289614871</v>
      </c>
      <c r="H42" s="583">
        <f>H41/G41</f>
        <v>1.0667643440216865</v>
      </c>
      <c r="I42" s="583"/>
      <c r="J42" s="583">
        <f>(E42*F42*G42*H42)^(1/4)-1</f>
        <v>0.19552954875555795</v>
      </c>
      <c r="K42" s="583"/>
      <c r="L42" s="583">
        <f>L41/H41</f>
        <v>1.0723284887291569</v>
      </c>
      <c r="M42" s="583">
        <f>M41/L41</f>
        <v>1.0091383161428957</v>
      </c>
      <c r="N42" s="583">
        <f>N41/M41</f>
        <v>1.0143543138490567</v>
      </c>
      <c r="O42" s="583">
        <f>O41/N41</f>
        <v>1.1038373504043715</v>
      </c>
      <c r="P42" s="583">
        <f>P41/O41</f>
        <v>1.0227790972620847</v>
      </c>
      <c r="Q42" s="583"/>
      <c r="R42" s="583">
        <f>(L42*M42*N42*O42*P42)^(1/5)-1</f>
        <v>4.3833017585819256E-2</v>
      </c>
      <c r="S42" s="583"/>
      <c r="T42" s="583"/>
      <c r="U42" s="583">
        <f>U41/P41</f>
        <v>1</v>
      </c>
      <c r="V42" s="583">
        <f>V41/U41</f>
        <v>1</v>
      </c>
      <c r="W42" s="583">
        <f>W41/V41</f>
        <v>1</v>
      </c>
      <c r="X42" s="583">
        <f>X41/W41</f>
        <v>1</v>
      </c>
      <c r="Y42" s="583">
        <f>Y41/X41</f>
        <v>1</v>
      </c>
      <c r="Z42" s="583"/>
      <c r="AA42" s="583">
        <f>(U42*V42*W42*X42*Y42)^(1/5)-1</f>
        <v>0</v>
      </c>
      <c r="AB42" s="583"/>
      <c r="AC42" s="583"/>
    </row>
    <row r="43" spans="1:29" hidden="1">
      <c r="A43" s="499">
        <v>3</v>
      </c>
      <c r="B43" s="604" t="s">
        <v>587</v>
      </c>
      <c r="C43" s="501"/>
      <c r="D43" s="501">
        <f t="shared" ref="D43:I43" si="18">D37/D16</f>
        <v>0.45965134225082388</v>
      </c>
      <c r="E43" s="501">
        <f t="shared" si="18"/>
        <v>0.54595226331404767</v>
      </c>
      <c r="F43" s="501">
        <f t="shared" si="18"/>
        <v>0.47517269328478795</v>
      </c>
      <c r="G43" s="501">
        <f t="shared" si="18"/>
        <v>0.48511804064281494</v>
      </c>
      <c r="H43" s="501">
        <f t="shared" si="18"/>
        <v>0.49266412467806253</v>
      </c>
      <c r="I43" s="501">
        <f t="shared" si="18"/>
        <v>0.49237024945647284</v>
      </c>
      <c r="J43" s="501"/>
      <c r="K43" s="501"/>
      <c r="L43" s="501">
        <f>L37/L16</f>
        <v>0.49160942067130459</v>
      </c>
      <c r="M43" s="501">
        <f>M37/M16</f>
        <v>0.51723808951470485</v>
      </c>
      <c r="N43" s="501">
        <f>N37/N16</f>
        <v>0.50550720040170882</v>
      </c>
      <c r="O43" s="501">
        <f>O37/O16</f>
        <v>0.49288221232679341</v>
      </c>
      <c r="P43" s="501">
        <f>P37/P16</f>
        <v>0.45219279270821305</v>
      </c>
      <c r="Q43" s="501">
        <f>(L43*M43*N43*O43*P43)^(1/5)</f>
        <v>0.49138394714238232</v>
      </c>
      <c r="R43" s="501"/>
      <c r="S43" s="501"/>
      <c r="T43" s="501">
        <f t="shared" si="15"/>
        <v>-2.0031720340115688E-3</v>
      </c>
      <c r="U43" s="501">
        <f t="shared" ref="U43:Z43" si="19">U37/U16</f>
        <v>0.4877966764219494</v>
      </c>
      <c r="V43" s="501">
        <f t="shared" si="19"/>
        <v>0.52620387004230618</v>
      </c>
      <c r="W43" s="501">
        <f t="shared" si="19"/>
        <v>0.57398676504834467</v>
      </c>
      <c r="X43" s="501">
        <f t="shared" si="19"/>
        <v>0.60614633798921735</v>
      </c>
      <c r="Y43" s="501">
        <f>Y37/Y16</f>
        <v>0.63915561999174153</v>
      </c>
      <c r="Z43" s="501">
        <f t="shared" si="19"/>
        <v>0.56720375717257177</v>
      </c>
      <c r="AA43" s="501"/>
      <c r="AB43" s="501"/>
      <c r="AC43" s="501"/>
    </row>
    <row r="44" spans="1:29" ht="31.2" hidden="1">
      <c r="A44" s="499">
        <v>4</v>
      </c>
      <c r="B44" s="604" t="s">
        <v>588</v>
      </c>
      <c r="C44" s="501"/>
      <c r="D44" s="501">
        <f t="shared" ref="D44:I44" si="20">D39/D37</f>
        <v>0.63924767904860091</v>
      </c>
      <c r="E44" s="501">
        <f t="shared" si="20"/>
        <v>0.50398617606597118</v>
      </c>
      <c r="F44" s="501">
        <f t="shared" si="20"/>
        <v>0.57980907145619454</v>
      </c>
      <c r="G44" s="501">
        <f t="shared" si="20"/>
        <v>0.57300149974713566</v>
      </c>
      <c r="H44" s="501">
        <f t="shared" si="20"/>
        <v>0.57180152199349588</v>
      </c>
      <c r="I44" s="501">
        <f t="shared" si="20"/>
        <v>0.56892597236572762</v>
      </c>
      <c r="J44" s="501"/>
      <c r="K44" s="501"/>
      <c r="L44" s="501">
        <f>L39/L37</f>
        <v>0.56112120891618777</v>
      </c>
      <c r="M44" s="501">
        <f>M39/M37</f>
        <v>0.62584377401844782</v>
      </c>
      <c r="N44" s="501">
        <f>N39/N37</f>
        <v>0.63898484177567172</v>
      </c>
      <c r="O44" s="501">
        <f>O39/O37</f>
        <v>0.63285056379506399</v>
      </c>
      <c r="P44" s="501">
        <f>P39/P37</f>
        <v>0.63673440758648425</v>
      </c>
      <c r="Q44" s="501">
        <f>(L44*M44*N44*O44*P44)^(1/5)</f>
        <v>0.61837871611008355</v>
      </c>
      <c r="R44" s="501"/>
      <c r="S44" s="501"/>
      <c r="T44" s="501">
        <f t="shared" si="15"/>
        <v>8.6922984968887729E-2</v>
      </c>
      <c r="U44" s="501">
        <f t="shared" ref="U44:Z44" si="21">U39/U37</f>
        <v>0.59025967969261484</v>
      </c>
      <c r="V44" s="501">
        <f t="shared" si="21"/>
        <v>0.54717710448764467</v>
      </c>
      <c r="W44" s="501">
        <f t="shared" si="21"/>
        <v>0.50723909149850888</v>
      </c>
      <c r="X44" s="501">
        <f t="shared" si="21"/>
        <v>0.47021612167992743</v>
      </c>
      <c r="Y44" s="501">
        <f>Y39/Y37</f>
        <v>0.4358954283955504</v>
      </c>
      <c r="Z44" s="501">
        <f t="shared" si="21"/>
        <v>0.50433739273305722</v>
      </c>
      <c r="AA44" s="501"/>
      <c r="AB44" s="501"/>
      <c r="AC44" s="501"/>
    </row>
    <row r="45" spans="1:29" hidden="1">
      <c r="A45" s="499">
        <v>5</v>
      </c>
      <c r="B45" s="604" t="s">
        <v>589</v>
      </c>
      <c r="C45" s="501"/>
      <c r="D45" s="501">
        <f t="shared" ref="D45:I45" si="22">D17/D16</f>
        <v>0.38595788959548177</v>
      </c>
      <c r="E45" s="501">
        <f t="shared" si="22"/>
        <v>0.41598283194377628</v>
      </c>
      <c r="F45" s="501">
        <f t="shared" si="22"/>
        <v>0.4107440725813154</v>
      </c>
      <c r="G45" s="501">
        <f t="shared" si="22"/>
        <v>0.42254592094173782</v>
      </c>
      <c r="H45" s="501">
        <f t="shared" si="22"/>
        <v>0.41688062063389775</v>
      </c>
      <c r="I45" s="501">
        <f t="shared" si="22"/>
        <v>0.41217772255155677</v>
      </c>
      <c r="J45" s="501"/>
      <c r="K45" s="501"/>
      <c r="L45" s="501">
        <f t="shared" ref="L45:Q45" si="23">L17/L16</f>
        <v>0.41295612390258807</v>
      </c>
      <c r="M45" s="501">
        <f t="shared" si="23"/>
        <v>0.40748170347734886</v>
      </c>
      <c r="N45" s="501">
        <f t="shared" si="23"/>
        <v>0.40368309298649807</v>
      </c>
      <c r="O45" s="501">
        <f t="shared" si="23"/>
        <v>0.39559420599230011</v>
      </c>
      <c r="P45" s="501">
        <f t="shared" si="23"/>
        <v>0.43244099612920905</v>
      </c>
      <c r="Q45" s="501">
        <f t="shared" si="23"/>
        <v>0.41115065249300442</v>
      </c>
      <c r="R45" s="501"/>
      <c r="S45" s="501"/>
      <c r="T45" s="501">
        <f t="shared" si="15"/>
        <v>-2.4918136094167487E-3</v>
      </c>
      <c r="U45" s="501">
        <f t="shared" ref="U45:Z45" si="24">U17/U16</f>
        <v>0.43244099612920905</v>
      </c>
      <c r="V45" s="501">
        <f t="shared" si="24"/>
        <v>0.43244099612920905</v>
      </c>
      <c r="W45" s="501">
        <f t="shared" si="24"/>
        <v>0.44684683817865661</v>
      </c>
      <c r="X45" s="501">
        <f t="shared" si="24"/>
        <v>0.44646781789638934</v>
      </c>
      <c r="Y45" s="501">
        <f>Y17/Y16</f>
        <v>0.44613810741687981</v>
      </c>
      <c r="Z45" s="501">
        <f t="shared" si="24"/>
        <v>0.44090019755706866</v>
      </c>
      <c r="AA45" s="501"/>
      <c r="AB45" s="501"/>
      <c r="AC45" s="501"/>
    </row>
    <row r="46" spans="1:29" ht="31.2" hidden="1">
      <c r="A46" s="499">
        <v>6</v>
      </c>
      <c r="B46" s="604" t="s">
        <v>590</v>
      </c>
      <c r="C46" s="501"/>
      <c r="D46" s="501">
        <f t="shared" ref="D46:I46" si="25">D17/D10</f>
        <v>0.28569688015195527</v>
      </c>
      <c r="E46" s="501">
        <f t="shared" si="25"/>
        <v>0.326722569495001</v>
      </c>
      <c r="F46" s="501">
        <f t="shared" si="25"/>
        <v>0.33402606448569211</v>
      </c>
      <c r="G46" s="501">
        <f t="shared" si="25"/>
        <v>0.31427613279898986</v>
      </c>
      <c r="H46" s="501">
        <f t="shared" si="25"/>
        <v>0.29834753692848737</v>
      </c>
      <c r="I46" s="501">
        <f t="shared" si="25"/>
        <v>0.31214842863179698</v>
      </c>
      <c r="J46" s="501"/>
      <c r="K46" s="501"/>
      <c r="L46" s="501">
        <f t="shared" ref="L46:Q46" si="26">L17/L10</f>
        <v>0.29663575595833136</v>
      </c>
      <c r="M46" s="501">
        <f t="shared" si="26"/>
        <v>0.28330231014955592</v>
      </c>
      <c r="N46" s="501">
        <f t="shared" si="26"/>
        <v>0.29193343702147517</v>
      </c>
      <c r="O46" s="501">
        <f t="shared" si="26"/>
        <v>0.32191267593127715</v>
      </c>
      <c r="P46" s="501">
        <f t="shared" si="26"/>
        <v>0.29700013135439596</v>
      </c>
      <c r="Q46" s="501">
        <f t="shared" si="26"/>
        <v>0.2981805211382953</v>
      </c>
      <c r="R46" s="501"/>
      <c r="S46" s="501"/>
      <c r="T46" s="501">
        <f t="shared" si="15"/>
        <v>-4.4747646351210424E-2</v>
      </c>
      <c r="U46" s="501">
        <f t="shared" ref="U46:Z46" si="27">U17/U10</f>
        <v>0.29700013135439596</v>
      </c>
      <c r="V46" s="501">
        <f t="shared" si="27"/>
        <v>0.29700013135439596</v>
      </c>
      <c r="W46" s="501">
        <f t="shared" si="27"/>
        <v>0.31685166980404333</v>
      </c>
      <c r="X46" s="501">
        <f t="shared" si="27"/>
        <v>0.31274540910853044</v>
      </c>
      <c r="Y46" s="501">
        <f>Y17/Y10</f>
        <v>0.30836158390235158</v>
      </c>
      <c r="Z46" s="501">
        <f t="shared" si="27"/>
        <v>0.30630164772111146</v>
      </c>
      <c r="AA46" s="501"/>
      <c r="AB46" s="501"/>
      <c r="AC46" s="501"/>
    </row>
    <row r="47" spans="1:29" hidden="1">
      <c r="A47" s="499">
        <v>7</v>
      </c>
      <c r="B47" s="604" t="s">
        <v>591</v>
      </c>
      <c r="C47" s="501"/>
      <c r="D47" s="501">
        <f t="shared" ref="D47:I47" si="28">D22/D16</f>
        <v>0.13257909003966123</v>
      </c>
      <c r="E47" s="501">
        <f t="shared" si="28"/>
        <v>0.11646620552219264</v>
      </c>
      <c r="F47" s="501">
        <f t="shared" si="28"/>
        <v>0.14349562489544354</v>
      </c>
      <c r="G47" s="501">
        <f t="shared" si="28"/>
        <v>0.13802292379525019</v>
      </c>
      <c r="H47" s="501">
        <f t="shared" si="28"/>
        <v>0.1339483162117413</v>
      </c>
      <c r="I47" s="501">
        <f t="shared" si="28"/>
        <v>0.13342194931983412</v>
      </c>
      <c r="J47" s="501"/>
      <c r="K47" s="501"/>
      <c r="L47" s="501">
        <f t="shared" ref="L47:Q47" si="29">L22/L16</f>
        <v>0.12285935603422224</v>
      </c>
      <c r="M47" s="501">
        <f t="shared" si="29"/>
        <v>0.13920921059396923</v>
      </c>
      <c r="N47" s="501">
        <f t="shared" si="29"/>
        <v>0.14686475914844155</v>
      </c>
      <c r="O47" s="501">
        <f t="shared" si="29"/>
        <v>0.18956867051283594</v>
      </c>
      <c r="P47" s="501">
        <f t="shared" si="29"/>
        <v>0.18815361622712701</v>
      </c>
      <c r="Q47" s="501">
        <f t="shared" si="29"/>
        <v>0.16099047275790854</v>
      </c>
      <c r="R47" s="501"/>
      <c r="S47" s="501"/>
      <c r="T47" s="501">
        <f t="shared" si="15"/>
        <v>0.20662659763715618</v>
      </c>
      <c r="U47" s="501">
        <f t="shared" ref="U47:Z47" si="30">U22/U16</f>
        <v>0.18815361622712701</v>
      </c>
      <c r="V47" s="501">
        <f t="shared" si="30"/>
        <v>0.18815361622712701</v>
      </c>
      <c r="W47" s="501">
        <f t="shared" si="30"/>
        <v>0.19175410378490604</v>
      </c>
      <c r="X47" s="501">
        <f t="shared" si="30"/>
        <v>0.19162742019884876</v>
      </c>
      <c r="Y47" s="501">
        <f>Y22/Y16</f>
        <v>0.19150895140664961</v>
      </c>
      <c r="Z47" s="501">
        <f t="shared" si="30"/>
        <v>0.19024746344761465</v>
      </c>
      <c r="AA47" s="501"/>
      <c r="AB47" s="501"/>
      <c r="AC47" s="501"/>
    </row>
    <row r="48" spans="1:29" ht="31.2" hidden="1">
      <c r="A48" s="499">
        <v>8</v>
      </c>
      <c r="B48" s="604" t="s">
        <v>592</v>
      </c>
      <c r="C48" s="506"/>
      <c r="D48" s="506"/>
      <c r="E48" s="506"/>
      <c r="F48" s="506"/>
      <c r="G48" s="506"/>
      <c r="H48" s="506"/>
      <c r="I48" s="506">
        <f>AVERAGE(D11:H11)</f>
        <v>1524698.2024611782</v>
      </c>
      <c r="J48" s="501"/>
      <c r="K48" s="501"/>
      <c r="L48" s="506"/>
      <c r="M48" s="506"/>
      <c r="N48" s="506"/>
      <c r="O48" s="506"/>
      <c r="P48" s="506"/>
      <c r="Q48" s="506">
        <f>AVERAGE(L11:P11)</f>
        <v>2420584.7999999998</v>
      </c>
      <c r="R48" s="501"/>
      <c r="S48" s="501"/>
      <c r="T48" s="501">
        <f t="shared" si="15"/>
        <v>0.58758290400859359</v>
      </c>
      <c r="U48" s="506"/>
      <c r="V48" s="506"/>
      <c r="W48" s="506"/>
      <c r="X48" s="506"/>
      <c r="Y48" s="506"/>
      <c r="Z48" s="506">
        <f>AVERAGE(U11:Y11)</f>
        <v>3650982.8</v>
      </c>
      <c r="AA48" s="501"/>
      <c r="AB48" s="501"/>
      <c r="AC48" s="501"/>
    </row>
    <row r="49" spans="1:29" ht="31.2" hidden="1">
      <c r="A49" s="499">
        <v>9</v>
      </c>
      <c r="B49" s="604" t="s">
        <v>593</v>
      </c>
      <c r="C49" s="506"/>
      <c r="D49" s="506"/>
      <c r="E49" s="506"/>
      <c r="F49" s="506"/>
      <c r="G49" s="506"/>
      <c r="H49" s="506"/>
      <c r="I49" s="506">
        <f>AVERAGE(D12:H12)</f>
        <v>449743.29869957815</v>
      </c>
      <c r="J49" s="501"/>
      <c r="K49" s="501"/>
      <c r="L49" s="506"/>
      <c r="M49" s="506"/>
      <c r="N49" s="506"/>
      <c r="O49" s="506"/>
      <c r="P49" s="506"/>
      <c r="Q49" s="506">
        <f>AVERAGE(L12:P12)</f>
        <v>778740.4</v>
      </c>
      <c r="R49" s="501"/>
      <c r="S49" s="501"/>
      <c r="T49" s="501">
        <f t="shared" si="15"/>
        <v>0.7315219643109947</v>
      </c>
      <c r="U49" s="506"/>
      <c r="V49" s="506"/>
      <c r="W49" s="506"/>
      <c r="X49" s="506"/>
      <c r="Y49" s="506"/>
      <c r="Z49" s="506">
        <f>AVERAGE(U12:Y12)</f>
        <v>1065872</v>
      </c>
      <c r="AA49" s="501"/>
      <c r="AB49" s="501"/>
      <c r="AC49" s="501"/>
    </row>
    <row r="50" spans="1:29" s="289" customFormat="1" hidden="1">
      <c r="A50" s="486">
        <v>10</v>
      </c>
      <c r="B50" s="622" t="s">
        <v>594</v>
      </c>
      <c r="C50" s="326">
        <f t="shared" ref="C50:I50" si="31">C16</f>
        <v>2567842.2054460002</v>
      </c>
      <c r="D50" s="326">
        <f t="shared" si="31"/>
        <v>3701157.4722469999</v>
      </c>
      <c r="E50" s="326">
        <f t="shared" si="31"/>
        <v>4705316.1468850002</v>
      </c>
      <c r="F50" s="326">
        <f t="shared" si="31"/>
        <v>5327585.1827680003</v>
      </c>
      <c r="G50" s="326">
        <f t="shared" si="31"/>
        <v>5673802.5993690006</v>
      </c>
      <c r="H50" s="326">
        <f t="shared" si="31"/>
        <v>5943201.1655269992</v>
      </c>
      <c r="I50" s="326">
        <f t="shared" si="31"/>
        <v>25351062.566796005</v>
      </c>
      <c r="J50" s="488"/>
      <c r="K50" s="488">
        <f>I50/$I$50</f>
        <v>1</v>
      </c>
      <c r="L50" s="326">
        <f>L16</f>
        <v>6231312.6461589998</v>
      </c>
      <c r="M50" s="326">
        <f>M16</f>
        <v>7010541.32228</v>
      </c>
      <c r="N50" s="326">
        <f>N16</f>
        <v>7541051.8326360006</v>
      </c>
      <c r="O50" s="326">
        <f>O16</f>
        <v>8394673</v>
      </c>
      <c r="P50" s="326">
        <f>P16</f>
        <v>9458532</v>
      </c>
      <c r="Q50" s="326">
        <f>L50+M50+N50+O50+P50</f>
        <v>38636110.801074997</v>
      </c>
      <c r="R50" s="488"/>
      <c r="S50" s="488">
        <f>Q50/$Q$50</f>
        <v>1</v>
      </c>
      <c r="T50" s="488">
        <f t="shared" si="15"/>
        <v>0.52404305339371904</v>
      </c>
      <c r="U50" s="326">
        <f t="shared" ref="U50:Z50" si="32">U16</f>
        <v>9458532</v>
      </c>
      <c r="V50" s="326">
        <f t="shared" si="32"/>
        <v>9458532</v>
      </c>
      <c r="W50" s="326">
        <f t="shared" si="32"/>
        <v>9353865</v>
      </c>
      <c r="X50" s="326">
        <f t="shared" si="32"/>
        <v>9555000</v>
      </c>
      <c r="Y50" s="326">
        <f>Y16</f>
        <v>9775000</v>
      </c>
      <c r="Z50" s="326">
        <f t="shared" si="32"/>
        <v>47600929</v>
      </c>
      <c r="AA50" s="488"/>
      <c r="AB50" s="488">
        <f>Z50/$Z$50</f>
        <v>1</v>
      </c>
      <c r="AC50" s="488">
        <f>+Z50/Q50-1</f>
        <v>0.23203210708971178</v>
      </c>
    </row>
    <row r="51" spans="1:29" s="289" customFormat="1" hidden="1">
      <c r="A51" s="1083" t="s">
        <v>137</v>
      </c>
      <c r="B51" s="581" t="s">
        <v>494</v>
      </c>
      <c r="C51" s="583"/>
      <c r="D51" s="583">
        <f>D50/C50</f>
        <v>1.4413492637504794</v>
      </c>
      <c r="E51" s="583">
        <f>E50/D50</f>
        <v>1.2713093625893113</v>
      </c>
      <c r="F51" s="583">
        <f>F50/E50</f>
        <v>1.1322480820539451</v>
      </c>
      <c r="G51" s="583">
        <f>G50/F50</f>
        <v>1.0649858058996102</v>
      </c>
      <c r="H51" s="583">
        <f>H50/G50</f>
        <v>1.0474811312941974</v>
      </c>
      <c r="I51" s="583"/>
      <c r="J51" s="583">
        <f>(D51*E51*F51*G51*H51)^(1/5)-1</f>
        <v>0.18274309036120373</v>
      </c>
      <c r="K51" s="583"/>
      <c r="L51" s="583">
        <f>L50/H50</f>
        <v>1.0484774909358892</v>
      </c>
      <c r="M51" s="583">
        <f>M50/L50</f>
        <v>1.1250504862087636</v>
      </c>
      <c r="N51" s="583">
        <f>N50/M50</f>
        <v>1.0756732591633118</v>
      </c>
      <c r="O51" s="583">
        <f>O50/N50</f>
        <v>1.1131965654538689</v>
      </c>
      <c r="P51" s="583">
        <f>P50/O50</f>
        <v>1.1267302490519882</v>
      </c>
      <c r="Q51" s="583"/>
      <c r="R51" s="583">
        <f>(L51*M51*N51*O51*P51)^(1/5)-1</f>
        <v>9.7389148553781446E-2</v>
      </c>
      <c r="S51" s="583"/>
      <c r="T51" s="583"/>
      <c r="U51" s="583">
        <f>U50/P50</f>
        <v>1</v>
      </c>
      <c r="V51" s="583">
        <f>V50/U50</f>
        <v>1</v>
      </c>
      <c r="W51" s="583">
        <f>W50/V50</f>
        <v>0.98893411789482766</v>
      </c>
      <c r="X51" s="583">
        <f>X50/W50</f>
        <v>1.0215028760838434</v>
      </c>
      <c r="Y51" s="583">
        <f>Y50/X50</f>
        <v>1.023024594453166</v>
      </c>
      <c r="Z51" s="583"/>
      <c r="AA51" s="583">
        <f>(U51*V51*W51*X51*Y51)^(1/5)-1</f>
        <v>6.6038930838943077E-3</v>
      </c>
      <c r="AB51" s="583"/>
      <c r="AC51" s="583"/>
    </row>
    <row r="52" spans="1:29" s="289" customFormat="1" hidden="1">
      <c r="A52" s="1083" t="s">
        <v>137</v>
      </c>
      <c r="B52" s="581" t="s">
        <v>595</v>
      </c>
      <c r="C52" s="583"/>
      <c r="D52" s="583">
        <f>D50/D10</f>
        <v>0.74022811258345056</v>
      </c>
      <c r="E52" s="583">
        <f>E50/E10</f>
        <v>0.7854232059729821</v>
      </c>
      <c r="F52" s="583">
        <f>F50/F10</f>
        <v>0.81322187411375157</v>
      </c>
      <c r="G52" s="583">
        <f>G50/G10</f>
        <v>0.74376799591049281</v>
      </c>
      <c r="H52" s="583">
        <f>H50/H10</f>
        <v>0.71566660132780435</v>
      </c>
      <c r="I52" s="583"/>
      <c r="J52" s="583"/>
      <c r="K52" s="583">
        <f>I50/I10</f>
        <v>0.7573151375078313</v>
      </c>
      <c r="L52" s="583">
        <f>L50/L10</f>
        <v>0.71832269529027382</v>
      </c>
      <c r="M52" s="583">
        <f>M50/M10</f>
        <v>0.69525160941441921</v>
      </c>
      <c r="N52" s="583">
        <f>N50/N10</f>
        <v>0.72317479253766881</v>
      </c>
      <c r="O52" s="583">
        <f>O50/O10</f>
        <v>0.81374466828652914</v>
      </c>
      <c r="P52" s="583">
        <f>P50/P10</f>
        <v>0.68679920269551709</v>
      </c>
      <c r="Q52" s="583"/>
      <c r="R52" s="583"/>
      <c r="S52" s="583">
        <f>Q50/Q10</f>
        <v>0.72523421604777527</v>
      </c>
      <c r="T52" s="583"/>
      <c r="U52" s="583">
        <f>U50/U10</f>
        <v>0.68679920269551709</v>
      </c>
      <c r="V52" s="583">
        <f>V50/V10</f>
        <v>0.68679920269551709</v>
      </c>
      <c r="W52" s="583">
        <f>W50/W10</f>
        <v>0.70908338771183355</v>
      </c>
      <c r="X52" s="583">
        <f>X50/X10</f>
        <v>0.70048813502860019</v>
      </c>
      <c r="Y52" s="583">
        <f>Y50/Y10</f>
        <v>0.69117965664881598</v>
      </c>
      <c r="Z52" s="583"/>
      <c r="AA52" s="583"/>
      <c r="AB52" s="583">
        <f>Z50/Z10</f>
        <v>0.69471878084487537</v>
      </c>
      <c r="AC52" s="583"/>
    </row>
    <row r="53" spans="1:29" hidden="1">
      <c r="A53" s="499" t="s">
        <v>34</v>
      </c>
      <c r="B53" s="1084" t="s">
        <v>596</v>
      </c>
      <c r="C53" s="506">
        <f t="shared" ref="C53:I53" si="33">C17</f>
        <v>1195670.773844</v>
      </c>
      <c r="D53" s="506">
        <f t="shared" si="33"/>
        <v>1428490.927049</v>
      </c>
      <c r="E53" s="506">
        <f t="shared" si="33"/>
        <v>1957330.7359720001</v>
      </c>
      <c r="F53" s="506">
        <f t="shared" si="33"/>
        <v>2188274.0349940001</v>
      </c>
      <c r="G53" s="506">
        <f t="shared" si="33"/>
        <v>2397442.1445920002</v>
      </c>
      <c r="H53" s="506">
        <f t="shared" si="33"/>
        <v>2477605.390437</v>
      </c>
      <c r="I53" s="506">
        <f t="shared" si="33"/>
        <v>10449143.233044</v>
      </c>
      <c r="J53" s="501"/>
      <c r="K53" s="501">
        <f>I53/$I$50</f>
        <v>0.41217772255155677</v>
      </c>
      <c r="L53" s="506">
        <f>L17</f>
        <v>2573258.7171829999</v>
      </c>
      <c r="M53" s="506">
        <f>M17</f>
        <v>2856667.320301</v>
      </c>
      <c r="N53" s="506">
        <f>N17</f>
        <v>3044195.1281700004</v>
      </c>
      <c r="O53" s="506">
        <f>O17</f>
        <v>3320884</v>
      </c>
      <c r="P53" s="506">
        <f>P17</f>
        <v>4090257</v>
      </c>
      <c r="Q53" s="506">
        <f>L53+M53+N53+O53+P53</f>
        <v>15885262.165654</v>
      </c>
      <c r="R53" s="501"/>
      <c r="S53" s="501">
        <f>Q53/$Q$50</f>
        <v>0.41115065249300442</v>
      </c>
      <c r="T53" s="501">
        <f t="shared" si="15"/>
        <v>0.52024542217193548</v>
      </c>
      <c r="U53" s="506">
        <f t="shared" ref="U53:Z53" si="34">U17</f>
        <v>4090257</v>
      </c>
      <c r="V53" s="506">
        <f t="shared" si="34"/>
        <v>4090257</v>
      </c>
      <c r="W53" s="506">
        <f t="shared" si="34"/>
        <v>4179745</v>
      </c>
      <c r="X53" s="506">
        <f t="shared" si="34"/>
        <v>4266000</v>
      </c>
      <c r="Y53" s="506">
        <f>Y17</f>
        <v>4361000</v>
      </c>
      <c r="Z53" s="506">
        <f t="shared" si="34"/>
        <v>20987259</v>
      </c>
      <c r="AA53" s="501"/>
      <c r="AB53" s="501">
        <f>Z53/$Z$50</f>
        <v>0.44090019755706866</v>
      </c>
      <c r="AC53" s="501">
        <f>+Z53/Q53-1</f>
        <v>0.32117800645287309</v>
      </c>
    </row>
    <row r="54" spans="1:29" s="234" customFormat="1" hidden="1">
      <c r="A54" s="1083" t="s">
        <v>137</v>
      </c>
      <c r="B54" s="581" t="s">
        <v>494</v>
      </c>
      <c r="C54" s="583"/>
      <c r="D54" s="583">
        <f>D53/C53</f>
        <v>1.1947192808405771</v>
      </c>
      <c r="E54" s="583">
        <f>E53/D53</f>
        <v>1.3702087279024486</v>
      </c>
      <c r="F54" s="583">
        <f>F53/E53</f>
        <v>1.1179888992584153</v>
      </c>
      <c r="G54" s="583">
        <f>G53/F53</f>
        <v>1.0955858846986564</v>
      </c>
      <c r="H54" s="583">
        <f>H53/G53</f>
        <v>1.0334369886780488</v>
      </c>
      <c r="I54" s="583"/>
      <c r="J54" s="583">
        <f>(D54*E54*F54*G54*H54)^(1/5)-1</f>
        <v>0.15686878960784822</v>
      </c>
      <c r="K54" s="583"/>
      <c r="L54" s="583">
        <f>L53/H53</f>
        <v>1.0386071676769837</v>
      </c>
      <c r="M54" s="583">
        <f>M53/L53</f>
        <v>1.1101360703552783</v>
      </c>
      <c r="N54" s="583">
        <f>N53/M53</f>
        <v>1.0656456586793737</v>
      </c>
      <c r="O54" s="583">
        <f>O53/N53</f>
        <v>1.090890649311409</v>
      </c>
      <c r="P54" s="583">
        <f>P53/O53</f>
        <v>1.231677167886623</v>
      </c>
      <c r="Q54" s="583"/>
      <c r="R54" s="583">
        <f>(L54*M54*N54*O54*P54)^(1/5)-1</f>
        <v>0.10546167792000216</v>
      </c>
      <c r="S54" s="583"/>
      <c r="T54" s="583"/>
      <c r="U54" s="583">
        <f>U53/P53</f>
        <v>1</v>
      </c>
      <c r="V54" s="583">
        <f>V53/U53</f>
        <v>1</v>
      </c>
      <c r="W54" s="583">
        <f>W53/V53</f>
        <v>1.0218783318505413</v>
      </c>
      <c r="X54" s="583">
        <f>X53/W53</f>
        <v>1.0206364263848633</v>
      </c>
      <c r="Y54" s="583">
        <f>Y53/X53</f>
        <v>1.0222691045475856</v>
      </c>
      <c r="Z54" s="583"/>
      <c r="AA54" s="583">
        <f>(U54*V54*W54*X54*Y54)^(1/5)-1</f>
        <v>1.2901228859359293E-2</v>
      </c>
      <c r="AB54" s="583"/>
      <c r="AC54" s="583"/>
    </row>
    <row r="55" spans="1:29" s="234" customFormat="1" hidden="1">
      <c r="A55" s="491" t="s">
        <v>137</v>
      </c>
      <c r="B55" s="1085" t="s">
        <v>29</v>
      </c>
      <c r="C55" s="583">
        <f t="shared" ref="C55:I55" si="35">C53/C50</f>
        <v>0.46563249537224882</v>
      </c>
      <c r="D55" s="583">
        <f t="shared" si="35"/>
        <v>0.38595788959548177</v>
      </c>
      <c r="E55" s="583">
        <f t="shared" si="35"/>
        <v>0.41598283194377628</v>
      </c>
      <c r="F55" s="583">
        <f t="shared" si="35"/>
        <v>0.4107440725813154</v>
      </c>
      <c r="G55" s="583">
        <f t="shared" si="35"/>
        <v>0.42254592094173782</v>
      </c>
      <c r="H55" s="583">
        <f t="shared" si="35"/>
        <v>0.41688062063389775</v>
      </c>
      <c r="I55" s="583">
        <f t="shared" si="35"/>
        <v>0.41217772255155677</v>
      </c>
      <c r="J55" s="583"/>
      <c r="K55" s="583"/>
      <c r="L55" s="583">
        <f>L53/L50</f>
        <v>0.41295612390258807</v>
      </c>
      <c r="M55" s="583">
        <f>M53/M50</f>
        <v>0.40748170347734886</v>
      </c>
      <c r="N55" s="583">
        <f>N53/N50</f>
        <v>0.40368309298649807</v>
      </c>
      <c r="O55" s="583">
        <f>O53/O50</f>
        <v>0.39559420599230011</v>
      </c>
      <c r="P55" s="583">
        <f>P53/P50</f>
        <v>0.43244099612920905</v>
      </c>
      <c r="Q55" s="583">
        <f>(L55*M55*N55*O55*P55)^(1/5)</f>
        <v>0.41024743384978546</v>
      </c>
      <c r="R55" s="583"/>
      <c r="S55" s="583"/>
      <c r="T55" s="583"/>
      <c r="U55" s="583">
        <f t="shared" ref="U55:Z55" si="36">U53/U50</f>
        <v>0.43244099612920905</v>
      </c>
      <c r="V55" s="583">
        <f t="shared" si="36"/>
        <v>0.43244099612920905</v>
      </c>
      <c r="W55" s="583">
        <f t="shared" si="36"/>
        <v>0.44684683817865661</v>
      </c>
      <c r="X55" s="583">
        <f t="shared" si="36"/>
        <v>0.44646781789638934</v>
      </c>
      <c r="Y55" s="583">
        <f>Y53/Y50</f>
        <v>0.44613810741687981</v>
      </c>
      <c r="Z55" s="583">
        <f t="shared" si="36"/>
        <v>0.44090019755706866</v>
      </c>
      <c r="AA55" s="583"/>
      <c r="AB55" s="583"/>
      <c r="AC55" s="583"/>
    </row>
    <row r="56" spans="1:29" hidden="1">
      <c r="A56" s="499" t="s">
        <v>35</v>
      </c>
      <c r="B56" s="1084" t="s">
        <v>597</v>
      </c>
      <c r="C56" s="506">
        <f t="shared" ref="C56:H56" si="37">C18</f>
        <v>10103.887626</v>
      </c>
      <c r="D56" s="506">
        <f t="shared" si="37"/>
        <v>16708.203065999998</v>
      </c>
      <c r="E56" s="506">
        <f t="shared" si="37"/>
        <v>13732.921410000001</v>
      </c>
      <c r="F56" s="506">
        <f t="shared" si="37"/>
        <v>21991.801834000002</v>
      </c>
      <c r="G56" s="506">
        <f t="shared" si="37"/>
        <v>21685.136095999998</v>
      </c>
      <c r="H56" s="506">
        <f t="shared" si="37"/>
        <v>19615.733521999999</v>
      </c>
      <c r="I56" s="506">
        <f>SUM(D56:H56)</f>
        <v>93733.795927999992</v>
      </c>
      <c r="J56" s="501"/>
      <c r="K56" s="501">
        <f>I56/$I$50</f>
        <v>3.6974306572368082E-3</v>
      </c>
      <c r="L56" s="506">
        <f>L18</f>
        <v>17427.107277999999</v>
      </c>
      <c r="M56" s="506">
        <f>M18</f>
        <v>20608.003771</v>
      </c>
      <c r="N56" s="506">
        <f>N18</f>
        <v>18902.695590000003</v>
      </c>
      <c r="O56" s="506">
        <f>O18</f>
        <v>21132</v>
      </c>
      <c r="P56" s="506">
        <f>P18</f>
        <v>31000</v>
      </c>
      <c r="Q56" s="506">
        <f>L56+M56+N56+O56+P56</f>
        <v>109069.806639</v>
      </c>
      <c r="R56" s="501"/>
      <c r="S56" s="501">
        <f>Q56/$Q$50</f>
        <v>2.8230017043010779E-3</v>
      </c>
      <c r="T56" s="501">
        <f t="shared" si="15"/>
        <v>0.16361239357872703</v>
      </c>
      <c r="U56" s="506">
        <f t="shared" ref="U56:Z56" si="38">U18</f>
        <v>31000</v>
      </c>
      <c r="V56" s="506">
        <f t="shared" si="38"/>
        <v>31000</v>
      </c>
      <c r="W56" s="506">
        <f t="shared" si="38"/>
        <v>31000</v>
      </c>
      <c r="X56" s="506">
        <f t="shared" si="38"/>
        <v>32000</v>
      </c>
      <c r="Y56" s="506">
        <f>Y18</f>
        <v>33000</v>
      </c>
      <c r="Z56" s="506">
        <f t="shared" si="38"/>
        <v>158000</v>
      </c>
      <c r="AA56" s="501"/>
      <c r="AB56" s="501">
        <f>Z56/$Z$50</f>
        <v>3.3192629496789864E-3</v>
      </c>
      <c r="AC56" s="501">
        <f>+Z56/Q56-1</f>
        <v>0.44861355189662611</v>
      </c>
    </row>
    <row r="57" spans="1:29" s="234" customFormat="1" hidden="1">
      <c r="A57" s="1083" t="s">
        <v>137</v>
      </c>
      <c r="B57" s="581" t="s">
        <v>494</v>
      </c>
      <c r="C57" s="583"/>
      <c r="D57" s="583">
        <f>D56/C56</f>
        <v>1.6536410225906839</v>
      </c>
      <c r="E57" s="583">
        <f>E56/D56</f>
        <v>0.82192689158450061</v>
      </c>
      <c r="F57" s="583">
        <f>F56/E56</f>
        <v>1.6013928265828472</v>
      </c>
      <c r="G57" s="583">
        <f>G56/F56</f>
        <v>0.98605545192182076</v>
      </c>
      <c r="H57" s="583">
        <f>H56/G56</f>
        <v>0.90457045946869952</v>
      </c>
      <c r="I57" s="583"/>
      <c r="J57" s="583">
        <f>(D57*E57*F57*G57*H57)^(1/5)-1</f>
        <v>0.14188721148932903</v>
      </c>
      <c r="K57" s="583"/>
      <c r="L57" s="583">
        <f>L56/H56</f>
        <v>0.8884249604254999</v>
      </c>
      <c r="M57" s="583">
        <f>M56/L56</f>
        <v>1.1825257882595104</v>
      </c>
      <c r="N57" s="583">
        <f>N56/M56</f>
        <v>0.91725020045853534</v>
      </c>
      <c r="O57" s="583">
        <f>O56/N56</f>
        <v>1.1179357938335184</v>
      </c>
      <c r="P57" s="583">
        <f>P56/O56</f>
        <v>1.4669695248911603</v>
      </c>
      <c r="Q57" s="583"/>
      <c r="R57" s="583">
        <f>(L57*M57*N57*O57*P57)^(1/5)-1</f>
        <v>9.5850797849754699E-2</v>
      </c>
      <c r="S57" s="583"/>
      <c r="T57" s="583"/>
      <c r="U57" s="583">
        <f>U56/P56</f>
        <v>1</v>
      </c>
      <c r="V57" s="583">
        <f>V56/U56</f>
        <v>1</v>
      </c>
      <c r="W57" s="583">
        <f>W56/V56</f>
        <v>1</v>
      </c>
      <c r="X57" s="583">
        <f>X56/W56</f>
        <v>1.032258064516129</v>
      </c>
      <c r="Y57" s="583">
        <f>Y56/X56</f>
        <v>1.03125</v>
      </c>
      <c r="Z57" s="583"/>
      <c r="AA57" s="583">
        <f>(U57*V57*W57*X57*Y57)^(1/5)-1</f>
        <v>1.2582574157154136E-2</v>
      </c>
      <c r="AB57" s="583"/>
      <c r="AC57" s="583"/>
    </row>
    <row r="58" spans="1:29" s="234" customFormat="1" hidden="1">
      <c r="A58" s="491" t="s">
        <v>137</v>
      </c>
      <c r="B58" s="1085" t="s">
        <v>29</v>
      </c>
      <c r="C58" s="583"/>
      <c r="D58" s="583">
        <f t="shared" ref="D58:I58" si="39">D56/D50</f>
        <v>4.5143183426497998E-3</v>
      </c>
      <c r="E58" s="583">
        <f t="shared" si="39"/>
        <v>2.9185969616709879E-3</v>
      </c>
      <c r="F58" s="583">
        <f t="shared" si="39"/>
        <v>4.1279118173712503E-3</v>
      </c>
      <c r="G58" s="583">
        <f t="shared" si="39"/>
        <v>3.8219757766002754E-3</v>
      </c>
      <c r="H58" s="583">
        <f t="shared" si="39"/>
        <v>3.3005333280285527E-3</v>
      </c>
      <c r="I58" s="583">
        <f t="shared" si="39"/>
        <v>3.6974306572368082E-3</v>
      </c>
      <c r="J58" s="583"/>
      <c r="K58" s="583"/>
      <c r="L58" s="583">
        <f>L56/L50</f>
        <v>2.7966992297749852E-3</v>
      </c>
      <c r="M58" s="583">
        <f>M56/M50</f>
        <v>2.9395738251347717E-3</v>
      </c>
      <c r="N58" s="583">
        <f>N56/N50</f>
        <v>2.506639128005105E-3</v>
      </c>
      <c r="O58" s="583">
        <f>O56/O50</f>
        <v>2.5173106802373361E-3</v>
      </c>
      <c r="P58" s="583">
        <f>P56/P50</f>
        <v>3.2774641984612413E-3</v>
      </c>
      <c r="Q58" s="583">
        <f>(L58*M58*N58*O58*P58)^(1/5)</f>
        <v>2.7931827080583389E-3</v>
      </c>
      <c r="R58" s="583"/>
      <c r="S58" s="583"/>
      <c r="T58" s="583"/>
      <c r="U58" s="583">
        <f t="shared" ref="U58:Z58" si="40">U56/U50</f>
        <v>3.2774641984612413E-3</v>
      </c>
      <c r="V58" s="583">
        <f t="shared" si="40"/>
        <v>3.2774641984612413E-3</v>
      </c>
      <c r="W58" s="583">
        <f t="shared" si="40"/>
        <v>3.3141380595080217E-3</v>
      </c>
      <c r="X58" s="583">
        <f t="shared" si="40"/>
        <v>3.3490319204604918E-3</v>
      </c>
      <c r="Y58" s="583">
        <f>Y56/Y50</f>
        <v>3.3759590792838876E-3</v>
      </c>
      <c r="Z58" s="583">
        <f t="shared" si="40"/>
        <v>3.3192629496789864E-3</v>
      </c>
      <c r="AA58" s="583"/>
      <c r="AB58" s="583"/>
      <c r="AC58" s="583"/>
    </row>
    <row r="59" spans="1:29" hidden="1">
      <c r="A59" s="499" t="s">
        <v>36</v>
      </c>
      <c r="B59" s="1084" t="s">
        <v>598</v>
      </c>
      <c r="C59" s="506">
        <f t="shared" ref="C59:H59" si="41">C19</f>
        <v>34249.1469</v>
      </c>
      <c r="D59" s="506">
        <f t="shared" si="41"/>
        <v>55015.130089999999</v>
      </c>
      <c r="E59" s="506">
        <f t="shared" si="41"/>
        <v>58794.641531000001</v>
      </c>
      <c r="F59" s="506">
        <f t="shared" si="41"/>
        <v>63064.983071000002</v>
      </c>
      <c r="G59" s="506">
        <f t="shared" si="41"/>
        <v>73254.026125999997</v>
      </c>
      <c r="H59" s="506">
        <f t="shared" si="41"/>
        <v>66554.003003000005</v>
      </c>
      <c r="I59" s="506">
        <f>SUM(D59:H59)</f>
        <v>316682.78382099996</v>
      </c>
      <c r="J59" s="501"/>
      <c r="K59" s="501">
        <f>I59/$I$50</f>
        <v>1.2491893899381589E-2</v>
      </c>
      <c r="L59" s="506">
        <f>L19</f>
        <v>69874.356060000006</v>
      </c>
      <c r="M59" s="506">
        <f>M19</f>
        <v>114730.499979</v>
      </c>
      <c r="N59" s="506">
        <f>N19</f>
        <v>174534.90139499999</v>
      </c>
      <c r="O59" s="506">
        <f>O19</f>
        <v>143120</v>
      </c>
      <c r="P59" s="506">
        <f>P19</f>
        <v>133115</v>
      </c>
      <c r="Q59" s="506">
        <f>L59+M59+N59+O59+P59</f>
        <v>635374.75743400003</v>
      </c>
      <c r="R59" s="501"/>
      <c r="S59" s="501">
        <f>Q59/$Q$50</f>
        <v>1.6445101338106775E-2</v>
      </c>
      <c r="T59" s="501">
        <f t="shared" si="15"/>
        <v>1.0063444869587093</v>
      </c>
      <c r="U59" s="506">
        <f t="shared" ref="U59:Z59" si="42">U19</f>
        <v>133115</v>
      </c>
      <c r="V59" s="506">
        <f t="shared" si="42"/>
        <v>133115</v>
      </c>
      <c r="W59" s="506">
        <f t="shared" si="42"/>
        <v>136670</v>
      </c>
      <c r="X59" s="506">
        <f t="shared" si="42"/>
        <v>140000</v>
      </c>
      <c r="Y59" s="506">
        <f>Y19</f>
        <v>144000</v>
      </c>
      <c r="Z59" s="506">
        <f t="shared" si="42"/>
        <v>686900</v>
      </c>
      <c r="AA59" s="501"/>
      <c r="AB59" s="501">
        <f>Z59/$Z$50</f>
        <v>1.443039063376263E-2</v>
      </c>
      <c r="AC59" s="501">
        <f>+Z59/Q59-1</f>
        <v>8.1094254946620481E-2</v>
      </c>
    </row>
    <row r="60" spans="1:29" s="234" customFormat="1" hidden="1">
      <c r="A60" s="1083" t="s">
        <v>137</v>
      </c>
      <c r="B60" s="581" t="s">
        <v>494</v>
      </c>
      <c r="C60" s="583"/>
      <c r="D60" s="583">
        <f>D59/C59</f>
        <v>1.6063211808058202</v>
      </c>
      <c r="E60" s="583">
        <f>E59/D59</f>
        <v>1.0686994911184804</v>
      </c>
      <c r="F60" s="583">
        <f>F59/E59</f>
        <v>1.072631475059652</v>
      </c>
      <c r="G60" s="583">
        <f>G59/F59</f>
        <v>1.1615641923431412</v>
      </c>
      <c r="H60" s="583">
        <f>H59/G59</f>
        <v>0.90853713471699604</v>
      </c>
      <c r="I60" s="583"/>
      <c r="J60" s="583">
        <f>(D60*E60*F60*G60*H60)^(1/5)-1</f>
        <v>0.14210198076841918</v>
      </c>
      <c r="K60" s="583"/>
      <c r="L60" s="583">
        <f>L59/H59</f>
        <v>1.0498896070436263</v>
      </c>
      <c r="M60" s="583">
        <f>M59/L59</f>
        <v>1.6419543083943806</v>
      </c>
      <c r="N60" s="583">
        <f>N59/M59</f>
        <v>1.5212598343679009</v>
      </c>
      <c r="O60" s="583">
        <f>O59/N59</f>
        <v>0.82000791163308295</v>
      </c>
      <c r="P60" s="583">
        <f>P59/O59</f>
        <v>0.93009362772498605</v>
      </c>
      <c r="Q60" s="583"/>
      <c r="R60" s="583">
        <f>(L60*M60*N60*O60*P60)^(1/5)-1</f>
        <v>0.14871042612753227</v>
      </c>
      <c r="S60" s="583"/>
      <c r="T60" s="583"/>
      <c r="U60" s="583">
        <f>U59/P59</f>
        <v>1</v>
      </c>
      <c r="V60" s="583">
        <f>V59/U59</f>
        <v>1</v>
      </c>
      <c r="W60" s="583">
        <f>W59/V59</f>
        <v>1.0267062314540059</v>
      </c>
      <c r="X60" s="583">
        <f>X59/W59</f>
        <v>1.0243652593839174</v>
      </c>
      <c r="Y60" s="583">
        <f>Y59/X59</f>
        <v>1.0285714285714285</v>
      </c>
      <c r="Z60" s="583"/>
      <c r="AA60" s="583">
        <f>(U60*V60*W60*X60*Y60)^(1/5)-1</f>
        <v>1.5844185493850027E-2</v>
      </c>
      <c r="AB60" s="583"/>
      <c r="AC60" s="583"/>
    </row>
    <row r="61" spans="1:29" s="234" customFormat="1" hidden="1">
      <c r="A61" s="491" t="s">
        <v>137</v>
      </c>
      <c r="B61" s="1085" t="s">
        <v>29</v>
      </c>
      <c r="C61" s="583"/>
      <c r="D61" s="583">
        <f t="shared" ref="D61:I61" si="43">D59/D50</f>
        <v>1.4864304073125511E-2</v>
      </c>
      <c r="E61" s="583">
        <f t="shared" si="43"/>
        <v>1.2495364752466858E-2</v>
      </c>
      <c r="F61" s="583">
        <f t="shared" si="43"/>
        <v>1.1837442463610494E-2</v>
      </c>
      <c r="G61" s="583">
        <f t="shared" si="43"/>
        <v>1.291092258552435E-2</v>
      </c>
      <c r="H61" s="583">
        <f t="shared" si="43"/>
        <v>1.1198342635453849E-2</v>
      </c>
      <c r="I61" s="583">
        <f t="shared" si="43"/>
        <v>1.2491893899381589E-2</v>
      </c>
      <c r="J61" s="583"/>
      <c r="K61" s="583"/>
      <c r="L61" s="583">
        <f>L59/L50</f>
        <v>1.1213424847663642E-2</v>
      </c>
      <c r="M61" s="583">
        <f>M59/M50</f>
        <v>1.6365426677449044E-2</v>
      </c>
      <c r="N61" s="583">
        <f>N59/N50</f>
        <v>2.3144636221654337E-2</v>
      </c>
      <c r="O61" s="583">
        <f>O59/O50</f>
        <v>1.7048907086672702E-2</v>
      </c>
      <c r="P61" s="583">
        <f>P59/P50</f>
        <v>1.4073536992844133E-2</v>
      </c>
      <c r="Q61" s="583">
        <f>(L61*M61*N61*O61*P61)^(1/5)</f>
        <v>1.5909009980690562E-2</v>
      </c>
      <c r="R61" s="583"/>
      <c r="S61" s="583"/>
      <c r="T61" s="583"/>
      <c r="U61" s="583">
        <f t="shared" ref="U61:Z61" si="44">U59/U50</f>
        <v>1.4073536992844133E-2</v>
      </c>
      <c r="V61" s="583">
        <f t="shared" si="44"/>
        <v>1.4073536992844133E-2</v>
      </c>
      <c r="W61" s="583">
        <f t="shared" si="44"/>
        <v>1.4611072535256816E-2</v>
      </c>
      <c r="X61" s="583">
        <f t="shared" si="44"/>
        <v>1.4652014652014652E-2</v>
      </c>
      <c r="Y61" s="583">
        <f>Y59/Y50</f>
        <v>1.4731457800511509E-2</v>
      </c>
      <c r="Z61" s="583">
        <f t="shared" si="44"/>
        <v>1.443039063376263E-2</v>
      </c>
      <c r="AA61" s="583"/>
      <c r="AB61" s="583"/>
      <c r="AC61" s="583"/>
    </row>
    <row r="62" spans="1:29" hidden="1">
      <c r="A62" s="1086" t="s">
        <v>37</v>
      </c>
      <c r="B62" s="604" t="s">
        <v>301</v>
      </c>
      <c r="C62" s="506">
        <f t="shared" ref="C62:H62" si="45">C20</f>
        <v>1327818.397076</v>
      </c>
      <c r="D62" s="506">
        <f t="shared" si="45"/>
        <v>2200943.2120419997</v>
      </c>
      <c r="E62" s="506">
        <f t="shared" si="45"/>
        <v>2675457.847972</v>
      </c>
      <c r="F62" s="506">
        <f t="shared" si="45"/>
        <v>3054254.3628690001</v>
      </c>
      <c r="G62" s="506">
        <f t="shared" si="45"/>
        <v>3181421.2925549997</v>
      </c>
      <c r="H62" s="506">
        <f t="shared" si="45"/>
        <v>3379426.0385650001</v>
      </c>
      <c r="I62" s="506">
        <f>SUM(D62:H62)</f>
        <v>14491502.754003001</v>
      </c>
      <c r="J62" s="501"/>
      <c r="K62" s="501">
        <f>I62/$I$50</f>
        <v>0.5716329528918247</v>
      </c>
      <c r="L62" s="506">
        <f>L20</f>
        <v>3570752.4656379996</v>
      </c>
      <c r="M62" s="506">
        <f>M20</f>
        <v>4018535.4982289998</v>
      </c>
      <c r="N62" s="506">
        <f>N20</f>
        <v>4303419.107481</v>
      </c>
      <c r="O62" s="506">
        <f>O20</f>
        <v>4909537</v>
      </c>
      <c r="P62" s="506">
        <f>P20</f>
        <v>5204160</v>
      </c>
      <c r="Q62" s="506">
        <f>SUM(L62:P62)</f>
        <v>22006404.071348</v>
      </c>
      <c r="R62" s="501"/>
      <c r="S62" s="501">
        <f>Q62/$Q$50</f>
        <v>0.5695812444645878</v>
      </c>
      <c r="T62" s="501">
        <f t="shared" si="15"/>
        <v>0.51857294891443551</v>
      </c>
      <c r="U62" s="506">
        <f t="shared" ref="U62:Z62" si="46">U20</f>
        <v>5204160</v>
      </c>
      <c r="V62" s="506">
        <f t="shared" si="46"/>
        <v>5204160</v>
      </c>
      <c r="W62" s="506">
        <f t="shared" si="46"/>
        <v>5006450</v>
      </c>
      <c r="X62" s="506">
        <f t="shared" si="46"/>
        <v>5117000</v>
      </c>
      <c r="Y62" s="506">
        <f>Y20</f>
        <v>5237000</v>
      </c>
      <c r="Z62" s="506">
        <f t="shared" si="46"/>
        <v>25768770</v>
      </c>
      <c r="AA62" s="501"/>
      <c r="AB62" s="501">
        <f>Z62/$Z$50</f>
        <v>0.54135014885948973</v>
      </c>
      <c r="AC62" s="501">
        <f>+Z62/Q62-1</f>
        <v>0.17096686566573327</v>
      </c>
    </row>
    <row r="63" spans="1:29" s="234" customFormat="1" hidden="1">
      <c r="A63" s="1083" t="s">
        <v>137</v>
      </c>
      <c r="B63" s="581" t="s">
        <v>494</v>
      </c>
      <c r="C63" s="583"/>
      <c r="D63" s="583">
        <f>D62/C62</f>
        <v>1.6575634265112722</v>
      </c>
      <c r="E63" s="583">
        <f>E62/D62</f>
        <v>1.2155960377958837</v>
      </c>
      <c r="F63" s="583">
        <f>F62/E62</f>
        <v>1.1415819408943886</v>
      </c>
      <c r="G63" s="583">
        <f>G62/F62</f>
        <v>1.0416359983739356</v>
      </c>
      <c r="H63" s="583">
        <f>H62/G62</f>
        <v>1.0622378263681584</v>
      </c>
      <c r="I63" s="583"/>
      <c r="J63" s="583">
        <f>(D63*E63*F63*G63*H63)^(1/5)-1</f>
        <v>0.20542682795877787</v>
      </c>
      <c r="K63" s="583"/>
      <c r="L63" s="583">
        <f>L62/H62</f>
        <v>1.0566150656619318</v>
      </c>
      <c r="M63" s="583">
        <f>M62/L62</f>
        <v>1.1254029891178674</v>
      </c>
      <c r="N63" s="583">
        <f>N62/M62</f>
        <v>1.0708923958435979</v>
      </c>
      <c r="O63" s="583">
        <f>O62/N62</f>
        <v>1.1408456572276062</v>
      </c>
      <c r="P63" s="583">
        <f>P62/O62</f>
        <v>1.0600103431341896</v>
      </c>
      <c r="Q63" s="583"/>
      <c r="R63" s="583">
        <f>(L63*M63*N63*O63*P63)^(1/5)-1</f>
        <v>9.0188355312806667E-2</v>
      </c>
      <c r="S63" s="583"/>
      <c r="T63" s="583"/>
      <c r="U63" s="583">
        <f>U62/P62</f>
        <v>1</v>
      </c>
      <c r="V63" s="583">
        <f>V62/U62</f>
        <v>1</v>
      </c>
      <c r="W63" s="583">
        <f>W62/V62</f>
        <v>0.96200923876283584</v>
      </c>
      <c r="X63" s="583">
        <f>X62/W62</f>
        <v>1.0220815148458489</v>
      </c>
      <c r="Y63" s="583">
        <f>Y62/X62</f>
        <v>1.0234512409615009</v>
      </c>
      <c r="Z63" s="583"/>
      <c r="AA63" s="583">
        <f>(U63*V63*W63*X63*Y63)^(1/5)-1</f>
        <v>1.2588936500821379E-3</v>
      </c>
      <c r="AB63" s="583"/>
      <c r="AC63" s="583"/>
    </row>
    <row r="64" spans="1:29" s="234" customFormat="1" hidden="1">
      <c r="A64" s="491" t="s">
        <v>137</v>
      </c>
      <c r="B64" s="1085" t="s">
        <v>29</v>
      </c>
      <c r="C64" s="583"/>
      <c r="D64" s="583">
        <f t="shared" ref="D64:I64" si="47">D62/D50</f>
        <v>0.59466348798874291</v>
      </c>
      <c r="E64" s="583">
        <f t="shared" si="47"/>
        <v>0.56860320634208583</v>
      </c>
      <c r="F64" s="583">
        <f t="shared" si="47"/>
        <v>0.57329057313770282</v>
      </c>
      <c r="G64" s="583">
        <f t="shared" si="47"/>
        <v>0.56072118069613741</v>
      </c>
      <c r="H64" s="583">
        <f t="shared" si="47"/>
        <v>0.56862050340261994</v>
      </c>
      <c r="I64" s="583">
        <f t="shared" si="47"/>
        <v>0.5716329528918247</v>
      </c>
      <c r="J64" s="583"/>
      <c r="K64" s="583"/>
      <c r="L64" s="583">
        <f>L62/L50</f>
        <v>0.5730337520199732</v>
      </c>
      <c r="M64" s="583">
        <f>M62/M50</f>
        <v>0.57321329602006732</v>
      </c>
      <c r="N64" s="583">
        <f>N62/N50</f>
        <v>0.57066563166384243</v>
      </c>
      <c r="O64" s="583">
        <f>O62/O50</f>
        <v>0.58483957624078986</v>
      </c>
      <c r="P64" s="583">
        <f>P62/P50</f>
        <v>0.55020800267948555</v>
      </c>
      <c r="Q64" s="583">
        <f>(L64*M64*N64*O64*P64)^(1/5)</f>
        <v>0.57028029633682542</v>
      </c>
      <c r="R64" s="583"/>
      <c r="S64" s="583"/>
      <c r="T64" s="583"/>
      <c r="U64" s="583">
        <f t="shared" ref="U64:Z64" si="48">U62/U50</f>
        <v>0.55020800267948555</v>
      </c>
      <c r="V64" s="583">
        <f t="shared" si="48"/>
        <v>0.55020800267948555</v>
      </c>
      <c r="W64" s="583">
        <f t="shared" si="48"/>
        <v>0.53522795122657851</v>
      </c>
      <c r="X64" s="583">
        <f t="shared" si="48"/>
        <v>0.53553113553113552</v>
      </c>
      <c r="Y64" s="583">
        <f>Y62/Y50</f>
        <v>0.5357544757033248</v>
      </c>
      <c r="Z64" s="583">
        <f t="shared" si="48"/>
        <v>0.54135014885948973</v>
      </c>
      <c r="AA64" s="583"/>
      <c r="AB64" s="583"/>
      <c r="AC64" s="583"/>
    </row>
    <row r="65" spans="1:29" s="234" customFormat="1" hidden="1">
      <c r="A65" s="491"/>
      <c r="B65" s="1085" t="s">
        <v>513</v>
      </c>
      <c r="C65" s="582"/>
      <c r="D65" s="582"/>
      <c r="E65" s="582"/>
      <c r="F65" s="582"/>
      <c r="G65" s="582"/>
      <c r="H65" s="582"/>
      <c r="I65" s="582"/>
      <c r="J65" s="583"/>
      <c r="K65" s="583"/>
      <c r="L65" s="582"/>
      <c r="M65" s="582"/>
      <c r="N65" s="582"/>
      <c r="O65" s="582"/>
      <c r="P65" s="582"/>
      <c r="Q65" s="582"/>
      <c r="R65" s="583"/>
      <c r="S65" s="583"/>
      <c r="T65" s="583"/>
      <c r="U65" s="582"/>
      <c r="V65" s="582"/>
      <c r="W65" s="582"/>
      <c r="X65" s="582"/>
      <c r="Y65" s="582"/>
      <c r="Z65" s="582"/>
      <c r="AA65" s="583"/>
      <c r="AB65" s="583"/>
      <c r="AC65" s="583"/>
    </row>
    <row r="66" spans="1:29" s="234" customFormat="1" hidden="1">
      <c r="A66" s="491" t="s">
        <v>514</v>
      </c>
      <c r="B66" s="1085" t="s">
        <v>63</v>
      </c>
      <c r="C66" s="506">
        <f t="shared" ref="C66:H66" si="49">C22</f>
        <v>154262.51921500001</v>
      </c>
      <c r="D66" s="506">
        <f t="shared" si="49"/>
        <v>490696.08976399997</v>
      </c>
      <c r="E66" s="506">
        <f t="shared" si="49"/>
        <v>548010.31741000002</v>
      </c>
      <c r="F66" s="506">
        <f t="shared" si="49"/>
        <v>764485.16498500004</v>
      </c>
      <c r="G66" s="506">
        <f t="shared" si="49"/>
        <v>783114.82380200003</v>
      </c>
      <c r="H66" s="506">
        <f t="shared" si="49"/>
        <v>796081.78902999999</v>
      </c>
      <c r="I66" s="506">
        <f>SUM(D66:H66)</f>
        <v>3382388.1849910002</v>
      </c>
      <c r="J66" s="501"/>
      <c r="K66" s="501">
        <f>I66/$I$50</f>
        <v>0.13342194931983412</v>
      </c>
      <c r="L66" s="506">
        <f>L22</f>
        <v>765575.05895500001</v>
      </c>
      <c r="M66" s="506">
        <f>M22</f>
        <v>975931.92331099999</v>
      </c>
      <c r="N66" s="506">
        <f>N22</f>
        <v>1107514.761126</v>
      </c>
      <c r="O66" s="506">
        <f>O22</f>
        <v>1591367</v>
      </c>
      <c r="P66" s="506">
        <f>P22</f>
        <v>1779657</v>
      </c>
      <c r="Q66" s="506">
        <f>SUM(L66:P66)</f>
        <v>6220045.743392</v>
      </c>
      <c r="R66" s="501"/>
      <c r="S66" s="501"/>
      <c r="T66" s="501"/>
      <c r="U66" s="506">
        <f>U22</f>
        <v>1779657</v>
      </c>
      <c r="V66" s="506">
        <f>V22</f>
        <v>1779657</v>
      </c>
      <c r="W66" s="506">
        <f>W22</f>
        <v>1793642</v>
      </c>
      <c r="X66" s="506">
        <f>X22</f>
        <v>1831000</v>
      </c>
      <c r="Y66" s="506">
        <f>Y22</f>
        <v>1872000</v>
      </c>
      <c r="Z66" s="506">
        <f>SUM(U66:Y66)</f>
        <v>9055956</v>
      </c>
      <c r="AA66" s="501"/>
      <c r="AB66" s="501">
        <f>Z66/$Z$50</f>
        <v>0.19024746344761465</v>
      </c>
      <c r="AC66" s="501"/>
    </row>
    <row r="67" spans="1:29" s="234" customFormat="1" hidden="1">
      <c r="A67" s="491"/>
      <c r="B67" s="581" t="s">
        <v>494</v>
      </c>
      <c r="C67" s="583"/>
      <c r="D67" s="583">
        <f>D66/C66</f>
        <v>3.1809158327053058</v>
      </c>
      <c r="E67" s="583">
        <f>E66/D66</f>
        <v>1.1168018837760971</v>
      </c>
      <c r="F67" s="583">
        <f>F66/E66</f>
        <v>1.395019656925623</v>
      </c>
      <c r="G67" s="583">
        <f>G66/F66</f>
        <v>1.0243688951339762</v>
      </c>
      <c r="H67" s="583">
        <f>H66/G66</f>
        <v>1.0165581915114896</v>
      </c>
      <c r="I67" s="583"/>
      <c r="J67" s="583">
        <f>(D67*E67*F67*G67*H67)^(1/5)-1</f>
        <v>0.38847944214347718</v>
      </c>
      <c r="K67" s="583"/>
      <c r="L67" s="583">
        <f>L66/H66</f>
        <v>0.96167889971183562</v>
      </c>
      <c r="M67" s="583">
        <f>M66/L66</f>
        <v>1.274769745821049</v>
      </c>
      <c r="N67" s="583">
        <f>N66/M66</f>
        <v>1.1348278857080367</v>
      </c>
      <c r="O67" s="583">
        <f>O66/N66</f>
        <v>1.4368810745078213</v>
      </c>
      <c r="P67" s="583">
        <f>P66/O66</f>
        <v>1.1183196585074342</v>
      </c>
      <c r="Q67" s="583"/>
      <c r="R67" s="583">
        <f>(L67*M67*N67*O67*P67)^(1/5)-1</f>
        <v>0.17456139786423663</v>
      </c>
      <c r="S67" s="583"/>
      <c r="T67" s="583"/>
      <c r="U67" s="583">
        <f>U66/P66</f>
        <v>1</v>
      </c>
      <c r="V67" s="583">
        <f>V66/U66</f>
        <v>1</v>
      </c>
      <c r="W67" s="583">
        <f>W66/V66</f>
        <v>1.007858255832444</v>
      </c>
      <c r="X67" s="583">
        <f>X66/W66</f>
        <v>1.0208280136169872</v>
      </c>
      <c r="Y67" s="583">
        <f>Y66/X66</f>
        <v>1.022392135445112</v>
      </c>
      <c r="Z67" s="583"/>
      <c r="AA67" s="583">
        <f>(U67*V67*W67*X67*Y67)^(1/5)-1</f>
        <v>1.0168699173247253E-2</v>
      </c>
      <c r="AB67" s="583"/>
      <c r="AC67" s="583"/>
    </row>
    <row r="68" spans="1:29" s="234" customFormat="1" hidden="1">
      <c r="A68" s="491"/>
      <c r="B68" s="1085" t="s">
        <v>29</v>
      </c>
      <c r="C68" s="583"/>
      <c r="D68" s="583">
        <f>D66/D50</f>
        <v>0.13257909003966123</v>
      </c>
      <c r="E68" s="583">
        <f>E66/E50</f>
        <v>0.11646620552219264</v>
      </c>
      <c r="F68" s="583">
        <f>F66/F50</f>
        <v>0.14349562489544354</v>
      </c>
      <c r="G68" s="583">
        <f>G66/G50</f>
        <v>0.13802292379525019</v>
      </c>
      <c r="H68" s="583">
        <f>H66/H50</f>
        <v>0.1339483162117413</v>
      </c>
      <c r="I68" s="583"/>
      <c r="J68" s="583"/>
      <c r="K68" s="583"/>
      <c r="L68" s="583">
        <f>L66/L50</f>
        <v>0.12285935603422224</v>
      </c>
      <c r="M68" s="583">
        <f>M66/M50</f>
        <v>0.13920921059396923</v>
      </c>
      <c r="N68" s="583">
        <f>N66/N50</f>
        <v>0.14686475914844155</v>
      </c>
      <c r="O68" s="583">
        <f>O66/O50</f>
        <v>0.18956867051283594</v>
      </c>
      <c r="P68" s="583">
        <f>P66/P50</f>
        <v>0.18815361622712701</v>
      </c>
      <c r="Q68" s="583">
        <f>(L68*M68*N68*O68*P68)^(1/5)</f>
        <v>0.15504386543936913</v>
      </c>
      <c r="R68" s="583"/>
      <c r="S68" s="583"/>
      <c r="T68" s="583"/>
      <c r="U68" s="583">
        <f>U66/U50</f>
        <v>0.18815361622712701</v>
      </c>
      <c r="V68" s="583">
        <f>V66/V50</f>
        <v>0.18815361622712701</v>
      </c>
      <c r="W68" s="583">
        <f>W66/W50</f>
        <v>0.19175410378490604</v>
      </c>
      <c r="X68" s="583">
        <f>X66/X50</f>
        <v>0.19162742019884876</v>
      </c>
      <c r="Y68" s="583">
        <f>Y66/Y50</f>
        <v>0.19150895140664961</v>
      </c>
      <c r="Z68" s="583"/>
      <c r="AA68" s="583"/>
      <c r="AB68" s="583"/>
      <c r="AC68" s="583"/>
    </row>
    <row r="69" spans="1:29" s="234" customFormat="1" hidden="1">
      <c r="A69" s="491" t="s">
        <v>514</v>
      </c>
      <c r="B69" s="1085" t="s">
        <v>579</v>
      </c>
      <c r="C69" s="506">
        <f t="shared" ref="C69:H69" si="50">C27</f>
        <v>622912.42801599996</v>
      </c>
      <c r="D69" s="506">
        <f t="shared" si="50"/>
        <v>717228.87336099998</v>
      </c>
      <c r="E69" s="506">
        <f t="shared" si="50"/>
        <v>908800.16295799997</v>
      </c>
      <c r="F69" s="506">
        <f t="shared" si="50"/>
        <v>916290.82646599994</v>
      </c>
      <c r="G69" s="506">
        <f t="shared" si="50"/>
        <v>1102294.9754869998</v>
      </c>
      <c r="H69" s="506">
        <f t="shared" si="50"/>
        <v>1151725.5044160001</v>
      </c>
      <c r="I69" s="506">
        <f>SUM(D69:H69)</f>
        <v>4796340.3426879998</v>
      </c>
      <c r="J69" s="501"/>
      <c r="K69" s="501">
        <f>I69/$I$50</f>
        <v>0.18919681690068843</v>
      </c>
      <c r="L69" s="506">
        <f>L27</f>
        <v>1165502.862461</v>
      </c>
      <c r="M69" s="506">
        <f>M27</f>
        <v>1339203.8982509999</v>
      </c>
      <c r="N69" s="506">
        <f>N27</f>
        <v>1385398.590177</v>
      </c>
      <c r="O69" s="506">
        <f>O27</f>
        <v>1476156</v>
      </c>
      <c r="P69" s="506">
        <f>P27</f>
        <v>1386350</v>
      </c>
      <c r="Q69" s="506">
        <f>SUM(L69:P69)</f>
        <v>6752611.3508889992</v>
      </c>
      <c r="R69" s="501"/>
      <c r="S69" s="501"/>
      <c r="T69" s="501"/>
      <c r="U69" s="506">
        <f>U27</f>
        <v>1386350</v>
      </c>
      <c r="V69" s="506">
        <f>V27</f>
        <v>1386350</v>
      </c>
      <c r="W69" s="506">
        <f>W27</f>
        <v>1388540</v>
      </c>
      <c r="X69" s="506">
        <f>X27</f>
        <v>1418000</v>
      </c>
      <c r="Y69" s="506">
        <f>Y27</f>
        <v>1450000</v>
      </c>
      <c r="Z69" s="506">
        <f>SUM(U69:Y69)</f>
        <v>7029240</v>
      </c>
      <c r="AA69" s="501"/>
      <c r="AB69" s="501">
        <f>Z69/$Z$50</f>
        <v>0.14767022719241468</v>
      </c>
      <c r="AC69" s="501"/>
    </row>
    <row r="70" spans="1:29" s="234" customFormat="1" hidden="1">
      <c r="A70" s="491"/>
      <c r="B70" s="581" t="s">
        <v>494</v>
      </c>
      <c r="C70" s="583"/>
      <c r="D70" s="583">
        <f>D69/C69</f>
        <v>1.1514120462251838</v>
      </c>
      <c r="E70" s="583">
        <f>E69/D69</f>
        <v>1.2670992436476789</v>
      </c>
      <c r="F70" s="583">
        <f>F69/E69</f>
        <v>1.0082423659384248</v>
      </c>
      <c r="G70" s="583">
        <f>G69/F69</f>
        <v>1.202996847342007</v>
      </c>
      <c r="H70" s="583">
        <f>H69/G69</f>
        <v>1.0448432860788117</v>
      </c>
      <c r="I70" s="583"/>
      <c r="J70" s="583">
        <f>(D70*E70*F70*G70*H70)^(1/5)-1</f>
        <v>0.13079634918081728</v>
      </c>
      <c r="K70" s="583"/>
      <c r="L70" s="583">
        <f>L69/H69</f>
        <v>1.0119623625526866</v>
      </c>
      <c r="M70" s="583">
        <f>M69/L69</f>
        <v>1.1490352717137253</v>
      </c>
      <c r="N70" s="583">
        <f>N69/M69</f>
        <v>1.0344941438613868</v>
      </c>
      <c r="O70" s="583">
        <f>O69/N69</f>
        <v>1.0655099625959665</v>
      </c>
      <c r="P70" s="583">
        <f>P69/O69</f>
        <v>0.93916225656366947</v>
      </c>
      <c r="Q70" s="583"/>
      <c r="R70" s="583">
        <f>(L70*M70*N70*O70*P70)^(1/5)-1</f>
        <v>3.7778766397319918E-2</v>
      </c>
      <c r="S70" s="583"/>
      <c r="T70" s="583"/>
      <c r="U70" s="583">
        <f>U69/P69</f>
        <v>1</v>
      </c>
      <c r="V70" s="583">
        <f>V69/U69</f>
        <v>1</v>
      </c>
      <c r="W70" s="583">
        <f>W69/V69</f>
        <v>1.001579687669059</v>
      </c>
      <c r="X70" s="583">
        <f>X69/W69</f>
        <v>1.0212165295922335</v>
      </c>
      <c r="Y70" s="583">
        <f>Y69/X69</f>
        <v>1.0225669957686883</v>
      </c>
      <c r="Z70" s="583"/>
      <c r="AA70" s="583">
        <f>(U70*V70*W70*X70*Y70)^(1/5)-1</f>
        <v>9.0182540717029802E-3</v>
      </c>
      <c r="AB70" s="583"/>
      <c r="AC70" s="583"/>
    </row>
    <row r="71" spans="1:29" s="234" customFormat="1" hidden="1">
      <c r="A71" s="491"/>
      <c r="B71" s="1085" t="s">
        <v>29</v>
      </c>
      <c r="C71" s="583"/>
      <c r="D71" s="583">
        <f>D69/D50</f>
        <v>0.19378501961592168</v>
      </c>
      <c r="E71" s="583">
        <f>E69/E50</f>
        <v>0.19314327339293477</v>
      </c>
      <c r="F71" s="583">
        <f>F69/F50</f>
        <v>0.17198989692923725</v>
      </c>
      <c r="G71" s="583">
        <f>G69/G50</f>
        <v>0.19427799190785897</v>
      </c>
      <c r="H71" s="583">
        <f>H69/H50</f>
        <v>0.19378874655909004</v>
      </c>
      <c r="I71" s="583"/>
      <c r="J71" s="583"/>
      <c r="K71" s="583"/>
      <c r="L71" s="583">
        <f>L69/L50</f>
        <v>0.18703970232972014</v>
      </c>
      <c r="M71" s="583">
        <f>M69/M50</f>
        <v>0.19102717417767931</v>
      </c>
      <c r="N71" s="583">
        <f>N69/N50</f>
        <v>0.18371423787081029</v>
      </c>
      <c r="O71" s="583">
        <f>O69/O50</f>
        <v>0.17584437178196222</v>
      </c>
      <c r="P71" s="583">
        <f>P69/P50</f>
        <v>0.14657137069473361</v>
      </c>
      <c r="Q71" s="583">
        <f>(L71*M71*N71*O71*P71)^(1/5)</f>
        <v>0.17606372183965005</v>
      </c>
      <c r="R71" s="583"/>
      <c r="S71" s="583"/>
      <c r="T71" s="583"/>
      <c r="U71" s="583">
        <f>U69/U50</f>
        <v>0.14657137069473361</v>
      </c>
      <c r="V71" s="583">
        <f>V69/V50</f>
        <v>0.14657137069473361</v>
      </c>
      <c r="W71" s="583">
        <f>W69/W50</f>
        <v>0.14844558906933122</v>
      </c>
      <c r="X71" s="583">
        <f>X69/X50</f>
        <v>0.14840397697540555</v>
      </c>
      <c r="Y71" s="583">
        <f>Y69/Y50</f>
        <v>0.14833759590792839</v>
      </c>
      <c r="Z71" s="583"/>
      <c r="AA71" s="583"/>
      <c r="AB71" s="583"/>
      <c r="AC71" s="583"/>
    </row>
    <row r="72" spans="1:29" s="234" customFormat="1" hidden="1">
      <c r="A72" s="491" t="s">
        <v>514</v>
      </c>
      <c r="B72" s="1085" t="s">
        <v>574</v>
      </c>
      <c r="C72" s="506">
        <f t="shared" ref="C72:H72" si="51">C21</f>
        <v>203470.804259</v>
      </c>
      <c r="D72" s="506">
        <f t="shared" si="51"/>
        <v>437527.82894199999</v>
      </c>
      <c r="E72" s="506">
        <f t="shared" si="51"/>
        <v>556462.56830799999</v>
      </c>
      <c r="F72" s="506">
        <f t="shared" si="51"/>
        <v>576982.66837099998</v>
      </c>
      <c r="G72" s="506">
        <f t="shared" si="51"/>
        <v>616646.97566200001</v>
      </c>
      <c r="H72" s="506">
        <f t="shared" si="51"/>
        <v>662261.89618699998</v>
      </c>
      <c r="I72" s="506">
        <f>SUM(D72:H72)</f>
        <v>2849881.9374699998</v>
      </c>
      <c r="J72" s="501"/>
      <c r="K72" s="501">
        <f>I72/$I$50</f>
        <v>0.11241666616383497</v>
      </c>
      <c r="L72" s="506">
        <f>L21</f>
        <v>698207.90548199997</v>
      </c>
      <c r="M72" s="506">
        <f>M21</f>
        <v>712910.13209700002</v>
      </c>
      <c r="N72" s="506">
        <f>N21</f>
        <v>722455.72826600005</v>
      </c>
      <c r="O72" s="506">
        <f>O21</f>
        <v>780602</v>
      </c>
      <c r="P72" s="506">
        <f>P21</f>
        <v>770000</v>
      </c>
      <c r="Q72" s="506">
        <f>SUM(L72:P72)</f>
        <v>3684175.7658449998</v>
      </c>
      <c r="R72" s="501"/>
      <c r="S72" s="501">
        <f>Q72/$Q$50</f>
        <v>9.5355761474379366E-2</v>
      </c>
      <c r="T72" s="501"/>
      <c r="U72" s="506">
        <f>U21</f>
        <v>770000</v>
      </c>
      <c r="V72" s="506">
        <f>V21</f>
        <v>770000</v>
      </c>
      <c r="W72" s="506">
        <f>W21</f>
        <v>750000</v>
      </c>
      <c r="X72" s="506">
        <f>X21</f>
        <v>770000</v>
      </c>
      <c r="Y72" s="506">
        <f>Y21</f>
        <v>791000</v>
      </c>
      <c r="Z72" s="506">
        <f>SUM(U72:Y72)</f>
        <v>3851000</v>
      </c>
      <c r="AA72" s="501"/>
      <c r="AB72" s="501">
        <f>Z72/$Z$50</f>
        <v>8.0901782400087191E-2</v>
      </c>
      <c r="AC72" s="501"/>
    </row>
    <row r="73" spans="1:29" s="234" customFormat="1" hidden="1">
      <c r="A73" s="491"/>
      <c r="B73" s="581" t="s">
        <v>494</v>
      </c>
      <c r="C73" s="583"/>
      <c r="D73" s="583">
        <f>D72/C72</f>
        <v>2.1503224039212352</v>
      </c>
      <c r="E73" s="583">
        <f>E72/D72</f>
        <v>1.2718335417740168</v>
      </c>
      <c r="F73" s="583">
        <f>F72/E72</f>
        <v>1.0368759755492525</v>
      </c>
      <c r="G73" s="583">
        <f>G72/F72</f>
        <v>1.0687443652388808</v>
      </c>
      <c r="H73" s="583">
        <f>H72/G72</f>
        <v>1.0739725034344492</v>
      </c>
      <c r="I73" s="583"/>
      <c r="J73" s="583">
        <f>(D73*E73*F73*G73*H73)^(1/5)-1</f>
        <v>0.26620940006647875</v>
      </c>
      <c r="K73" s="583"/>
      <c r="L73" s="583">
        <f>L72/H72</f>
        <v>1.0542776347272289</v>
      </c>
      <c r="M73" s="583">
        <f>M72/L72</f>
        <v>1.0210570898718923</v>
      </c>
      <c r="N73" s="583">
        <f>N72/M72</f>
        <v>1.0133896205695969</v>
      </c>
      <c r="O73" s="583">
        <f>O72/N72</f>
        <v>1.080484200566254</v>
      </c>
      <c r="P73" s="583">
        <f>P72/O72</f>
        <v>0.9864181746908155</v>
      </c>
      <c r="Q73" s="583"/>
      <c r="R73" s="583">
        <f>(L73*M73*N73*O73*P73)^(1/5)-1</f>
        <v>3.0604872484192525E-2</v>
      </c>
      <c r="S73" s="583"/>
      <c r="T73" s="583"/>
      <c r="U73" s="583">
        <f>U72/P72</f>
        <v>1</v>
      </c>
      <c r="V73" s="583">
        <f>V72/U72</f>
        <v>1</v>
      </c>
      <c r="W73" s="583">
        <f>W72/V72</f>
        <v>0.97402597402597402</v>
      </c>
      <c r="X73" s="583">
        <f>X72/W72</f>
        <v>1.0266666666666666</v>
      </c>
      <c r="Y73" s="583">
        <f>Y72/X72</f>
        <v>1.0272727272727273</v>
      </c>
      <c r="Z73" s="583"/>
      <c r="AA73" s="583">
        <f>(U73*V73*W73*X73*Y73)^(1/5)-1</f>
        <v>5.3959968144781101E-3</v>
      </c>
      <c r="AB73" s="583"/>
      <c r="AC73" s="583"/>
    </row>
    <row r="74" spans="1:29" s="234" customFormat="1" hidden="1">
      <c r="A74" s="491"/>
      <c r="B74" s="1085" t="s">
        <v>29</v>
      </c>
      <c r="C74" s="583"/>
      <c r="D74" s="583">
        <f>D72/D50</f>
        <v>0.11821378372111621</v>
      </c>
      <c r="E74" s="583">
        <f>E72/E50</f>
        <v>0.11826252496899443</v>
      </c>
      <c r="F74" s="583">
        <f>F72/F50</f>
        <v>0.10830097475254687</v>
      </c>
      <c r="G74" s="583">
        <f>G72/G50</f>
        <v>0.10868319171530201</v>
      </c>
      <c r="H74" s="583">
        <f>H72/H50</f>
        <v>0.1114318492243524</v>
      </c>
      <c r="I74" s="583"/>
      <c r="J74" s="583"/>
      <c r="K74" s="583"/>
      <c r="L74" s="583">
        <f>L72/L50</f>
        <v>0.11204828663385674</v>
      </c>
      <c r="M74" s="583">
        <f>M72/M50</f>
        <v>0.10169116753243017</v>
      </c>
      <c r="N74" s="583">
        <f>N72/N50</f>
        <v>9.5803045026076047E-2</v>
      </c>
      <c r="O74" s="583">
        <f>O72/O50</f>
        <v>9.2987779273832352E-2</v>
      </c>
      <c r="P74" s="583">
        <f>P72/P50</f>
        <v>8.1407981703714702E-2</v>
      </c>
      <c r="Q74" s="583">
        <f>(L74*M74*N74*O74*P74)^(1/5)</f>
        <v>9.625695655334672E-2</v>
      </c>
      <c r="R74" s="583"/>
      <c r="S74" s="583"/>
      <c r="T74" s="583"/>
      <c r="U74" s="583">
        <f>U72/U50</f>
        <v>8.1407981703714702E-2</v>
      </c>
      <c r="V74" s="583">
        <f>V72/V50</f>
        <v>8.1407981703714702E-2</v>
      </c>
      <c r="W74" s="583">
        <f>W72/W50</f>
        <v>8.0180759504226332E-2</v>
      </c>
      <c r="X74" s="583">
        <f>X72/X50</f>
        <v>8.0586080586080591E-2</v>
      </c>
      <c r="Y74" s="583">
        <f>Y72/Y50</f>
        <v>8.0920716112531973E-2</v>
      </c>
      <c r="Z74" s="583"/>
      <c r="AA74" s="583"/>
      <c r="AB74" s="583"/>
      <c r="AC74" s="583"/>
    </row>
    <row r="75" spans="1:29" s="234" customFormat="1" hidden="1">
      <c r="A75" s="491" t="s">
        <v>514</v>
      </c>
      <c r="B75" s="1085" t="s">
        <v>599</v>
      </c>
      <c r="C75" s="506">
        <f t="shared" ref="C75:H75" si="52">C23</f>
        <v>43533.981120999997</v>
      </c>
      <c r="D75" s="506">
        <f t="shared" si="52"/>
        <v>39757.294290999998</v>
      </c>
      <c r="E75" s="506">
        <f t="shared" si="52"/>
        <v>52360.173611999999</v>
      </c>
      <c r="F75" s="506">
        <f t="shared" si="52"/>
        <v>52303.291445000003</v>
      </c>
      <c r="G75" s="506">
        <f t="shared" si="52"/>
        <v>63059.284599999999</v>
      </c>
      <c r="H75" s="506">
        <f t="shared" si="52"/>
        <v>67830.687684999997</v>
      </c>
      <c r="I75" s="506">
        <f>SUM(D75:H75)</f>
        <v>275310.73163300002</v>
      </c>
      <c r="J75" s="501"/>
      <c r="K75" s="501">
        <f>I75/$I$50</f>
        <v>1.0859928687706882E-2</v>
      </c>
      <c r="L75" s="506">
        <f>L23</f>
        <v>71963.686795999995</v>
      </c>
      <c r="M75" s="506">
        <f>M23</f>
        <v>82277.291335000002</v>
      </c>
      <c r="N75" s="506">
        <f>N23</f>
        <v>83162.060146000003</v>
      </c>
      <c r="O75" s="506">
        <f>O23</f>
        <v>83133</v>
      </c>
      <c r="P75" s="506">
        <f>P23</f>
        <v>77843</v>
      </c>
      <c r="Q75" s="506">
        <f>SUM(L75:P75)</f>
        <v>398379.03827700001</v>
      </c>
      <c r="R75" s="501"/>
      <c r="S75" s="501">
        <f>Q75/$Q$50</f>
        <v>1.0311054348304531E-2</v>
      </c>
      <c r="T75" s="501"/>
      <c r="U75" s="506">
        <f>U23</f>
        <v>77843</v>
      </c>
      <c r="V75" s="506">
        <f>V23</f>
        <v>77843</v>
      </c>
      <c r="W75" s="506">
        <f>W23</f>
        <v>78978</v>
      </c>
      <c r="X75" s="506">
        <f>X23</f>
        <v>81000</v>
      </c>
      <c r="Y75" s="506">
        <f>Y23</f>
        <v>83000</v>
      </c>
      <c r="Z75" s="506">
        <f>SUM(U75:Y75)</f>
        <v>398664</v>
      </c>
      <c r="AA75" s="501"/>
      <c r="AB75" s="501">
        <f>Z75/$Z$50</f>
        <v>8.3751306618406549E-3</v>
      </c>
      <c r="AC75" s="501"/>
    </row>
    <row r="76" spans="1:29" s="234" customFormat="1" hidden="1">
      <c r="A76" s="491"/>
      <c r="B76" s="581" t="s">
        <v>494</v>
      </c>
      <c r="C76" s="583"/>
      <c r="D76" s="583">
        <f>D75/C75</f>
        <v>0.91324738209669054</v>
      </c>
      <c r="E76" s="583">
        <f>E75/D75</f>
        <v>1.3169953978445903</v>
      </c>
      <c r="F76" s="583">
        <f>F75/E75</f>
        <v>0.99891363677627376</v>
      </c>
      <c r="G76" s="583">
        <f>G75/F75</f>
        <v>1.2056465828027392</v>
      </c>
      <c r="H76" s="583">
        <f>H75/G75</f>
        <v>1.0756653538850962</v>
      </c>
      <c r="I76" s="583"/>
      <c r="J76" s="583">
        <f>(D76*E76*F76*G76*H76)^(1/5)-1</f>
        <v>9.2746859687812933E-2</v>
      </c>
      <c r="K76" s="583"/>
      <c r="L76" s="583">
        <f>L75/H75</f>
        <v>1.0609311102696364</v>
      </c>
      <c r="M76" s="583">
        <f>M75/L75</f>
        <v>1.1433167893167653</v>
      </c>
      <c r="N76" s="583">
        <f>N75/M75</f>
        <v>1.010753499497177</v>
      </c>
      <c r="O76" s="583">
        <f>O75/N75</f>
        <v>0.99965056005167519</v>
      </c>
      <c r="P76" s="583">
        <f>P75/O75</f>
        <v>0.93636702633130042</v>
      </c>
      <c r="Q76" s="583"/>
      <c r="R76" s="583">
        <f>(L76*M76*N76*O76*P76)^(1/5)-1</f>
        <v>2.7918468297247312E-2</v>
      </c>
      <c r="S76" s="583"/>
      <c r="T76" s="583"/>
      <c r="U76" s="583">
        <f>U75/P75</f>
        <v>1</v>
      </c>
      <c r="V76" s="583">
        <f>V75/U75</f>
        <v>1</v>
      </c>
      <c r="W76" s="583">
        <f>W75/V75</f>
        <v>1.0145806302429248</v>
      </c>
      <c r="X76" s="583">
        <f>X75/W75</f>
        <v>1.0256020663982375</v>
      </c>
      <c r="Y76" s="583">
        <f>Y75/X75</f>
        <v>1.0246913580246915</v>
      </c>
      <c r="Z76" s="583"/>
      <c r="AA76" s="583">
        <f>(U76*V76*W76*X76*Y76)^(1/5)-1</f>
        <v>1.2911974880957411E-2</v>
      </c>
      <c r="AB76" s="583"/>
      <c r="AC76" s="583"/>
    </row>
    <row r="77" spans="1:29" s="234" customFormat="1" hidden="1">
      <c r="A77" s="491"/>
      <c r="B77" s="1085" t="s">
        <v>29</v>
      </c>
      <c r="C77" s="583"/>
      <c r="D77" s="583">
        <f>D75/D50</f>
        <v>1.0741854295343736E-2</v>
      </c>
      <c r="E77" s="583">
        <f>E75/E50</f>
        <v>1.112787578506565E-2</v>
      </c>
      <c r="F77" s="583">
        <f>F75/F50</f>
        <v>9.817448177867576E-3</v>
      </c>
      <c r="G77" s="583">
        <f>G75/G50</f>
        <v>1.1114113241622646E-2</v>
      </c>
      <c r="H77" s="583">
        <f>H75/H50</f>
        <v>1.1413156949565458E-2</v>
      </c>
      <c r="I77" s="583"/>
      <c r="J77" s="583"/>
      <c r="K77" s="583"/>
      <c r="L77" s="583">
        <f>L75/L50</f>
        <v>1.1548720290958058E-2</v>
      </c>
      <c r="M77" s="583">
        <f>M75/M50</f>
        <v>1.1736225143344766E-2</v>
      </c>
      <c r="N77" s="583">
        <f>N75/N50</f>
        <v>1.1027912550089239E-2</v>
      </c>
      <c r="O77" s="583">
        <f>O75/O50</f>
        <v>9.9030659085827411E-3</v>
      </c>
      <c r="P77" s="583">
        <f>P75/P50</f>
        <v>8.2299240516393035E-3</v>
      </c>
      <c r="Q77" s="583">
        <f>(L77*M77*N77*O77*P77)^(1/5)</f>
        <v>1.0402655613105603E-2</v>
      </c>
      <c r="R77" s="583"/>
      <c r="S77" s="583"/>
      <c r="T77" s="583"/>
      <c r="U77" s="583">
        <f>U75/U50</f>
        <v>8.2299240516393035E-3</v>
      </c>
      <c r="V77" s="583">
        <f>V75/V50</f>
        <v>8.2299240516393035E-3</v>
      </c>
      <c r="W77" s="583">
        <f>W75/W50</f>
        <v>8.4433546988330489E-3</v>
      </c>
      <c r="X77" s="583">
        <f>X75/X50</f>
        <v>8.4772370486656205E-3</v>
      </c>
      <c r="Y77" s="583">
        <f>Y75/Y50</f>
        <v>8.4910485933503838E-3</v>
      </c>
      <c r="Z77" s="583"/>
      <c r="AA77" s="583"/>
      <c r="AB77" s="583"/>
      <c r="AC77" s="583"/>
    </row>
    <row r="78" spans="1:29" s="234" customFormat="1" hidden="1">
      <c r="A78" s="491" t="s">
        <v>514</v>
      </c>
      <c r="B78" s="1085" t="s">
        <v>600</v>
      </c>
      <c r="C78" s="506">
        <f t="shared" ref="C78:H78" si="53">C24</f>
        <v>14485.369694999999</v>
      </c>
      <c r="D78" s="506">
        <f t="shared" si="53"/>
        <v>13384.146613999999</v>
      </c>
      <c r="E78" s="506">
        <f t="shared" si="53"/>
        <v>18335.384052000001</v>
      </c>
      <c r="F78" s="506">
        <f t="shared" si="53"/>
        <v>21908.077399999998</v>
      </c>
      <c r="G78" s="506">
        <f t="shared" si="53"/>
        <v>19416.014755</v>
      </c>
      <c r="H78" s="506">
        <f t="shared" si="53"/>
        <v>20078.266750999999</v>
      </c>
      <c r="I78" s="506">
        <f>SUM(D78:H78)</f>
        <v>93121.889572</v>
      </c>
      <c r="J78" s="501"/>
      <c r="K78" s="501">
        <f>I78/$I$50</f>
        <v>3.6732933511815797E-3</v>
      </c>
      <c r="L78" s="506">
        <f>L24</f>
        <v>20810.145353</v>
      </c>
      <c r="M78" s="506">
        <f>M24</f>
        <v>22929.685490999997</v>
      </c>
      <c r="N78" s="506">
        <f>N24</f>
        <v>21712.812980000002</v>
      </c>
      <c r="O78" s="506">
        <f>O24</f>
        <v>21575</v>
      </c>
      <c r="P78" s="506">
        <f>P24</f>
        <v>41920</v>
      </c>
      <c r="Q78" s="506">
        <f>SUM(L78:P78)</f>
        <v>128947.643824</v>
      </c>
      <c r="R78" s="501"/>
      <c r="S78" s="501">
        <f>Q78/$Q$50</f>
        <v>3.337490268829341E-3</v>
      </c>
      <c r="T78" s="501"/>
      <c r="U78" s="506">
        <f>U24</f>
        <v>41920</v>
      </c>
      <c r="V78" s="506">
        <f>V24</f>
        <v>41920</v>
      </c>
      <c r="W78" s="506">
        <f>W24</f>
        <v>42757</v>
      </c>
      <c r="X78" s="506">
        <f>X24</f>
        <v>43000</v>
      </c>
      <c r="Y78" s="506">
        <f>Y24</f>
        <v>44000</v>
      </c>
      <c r="Z78" s="506">
        <f>SUM(U78:Y78)</f>
        <v>213597</v>
      </c>
      <c r="AA78" s="501"/>
      <c r="AB78" s="501">
        <f>Z78/$Z$50</f>
        <v>4.4872443560922941E-3</v>
      </c>
      <c r="AC78" s="501"/>
    </row>
    <row r="79" spans="1:29" s="234" customFormat="1" hidden="1">
      <c r="A79" s="491"/>
      <c r="B79" s="581" t="s">
        <v>494</v>
      </c>
      <c r="C79" s="583"/>
      <c r="D79" s="583">
        <f>D78/C78</f>
        <v>0.92397687430924769</v>
      </c>
      <c r="E79" s="583">
        <f>E78/D78</f>
        <v>1.3699329946685537</v>
      </c>
      <c r="F79" s="583">
        <f>F78/E78</f>
        <v>1.1948523869403376</v>
      </c>
      <c r="G79" s="583">
        <f>G78/F78</f>
        <v>0.88624914000897226</v>
      </c>
      <c r="H79" s="583">
        <f>H78/G78</f>
        <v>1.0341085441248676</v>
      </c>
      <c r="I79" s="583"/>
      <c r="J79" s="583">
        <f>(D79*E79*F79*G79*H79)^(1/5)-1</f>
        <v>6.7478968281253326E-2</v>
      </c>
      <c r="K79" s="583"/>
      <c r="L79" s="583">
        <f>L78/H78</f>
        <v>1.0364512839218829</v>
      </c>
      <c r="M79" s="583">
        <f>M78/L78</f>
        <v>1.1018512894574493</v>
      </c>
      <c r="N79" s="583">
        <f>N78/M78</f>
        <v>0.94693025722146862</v>
      </c>
      <c r="O79" s="583">
        <f>O78/N78</f>
        <v>0.99365291912535958</v>
      </c>
      <c r="P79" s="583">
        <f>P78/O78</f>
        <v>1.9429895712630358</v>
      </c>
      <c r="Q79" s="583"/>
      <c r="R79" s="583">
        <f>(L79*M79*N79*O79*P79)^(1/5)-1</f>
        <v>0.15861463731054681</v>
      </c>
      <c r="S79" s="583"/>
      <c r="T79" s="583"/>
      <c r="U79" s="583">
        <f>U78/P78</f>
        <v>1</v>
      </c>
      <c r="V79" s="583">
        <f>V78/U78</f>
        <v>1</v>
      </c>
      <c r="W79" s="583">
        <f>W78/V78</f>
        <v>1.0199666030534351</v>
      </c>
      <c r="X79" s="583">
        <f>X78/W78</f>
        <v>1.0056832799307716</v>
      </c>
      <c r="Y79" s="583">
        <f>Y78/X78</f>
        <v>1.0232558139534884</v>
      </c>
      <c r="Z79" s="583"/>
      <c r="AA79" s="583">
        <f>(U79*V79*W79*X79*Y79)^(1/5)-1</f>
        <v>9.7323732709293509E-3</v>
      </c>
      <c r="AB79" s="583"/>
      <c r="AC79" s="583"/>
    </row>
    <row r="80" spans="1:29" s="234" customFormat="1" hidden="1">
      <c r="A80" s="491"/>
      <c r="B80" s="1085" t="s">
        <v>29</v>
      </c>
      <c r="C80" s="583"/>
      <c r="D80" s="583">
        <f>D78/D50</f>
        <v>3.6162056638661165E-3</v>
      </c>
      <c r="E80" s="583">
        <f>E78/E50</f>
        <v>3.8967379618345815E-3</v>
      </c>
      <c r="F80" s="583">
        <f>F78/F50</f>
        <v>4.1121965484214812E-3</v>
      </c>
      <c r="G80" s="583">
        <f>G78/G50</f>
        <v>3.4220462229615301E-3</v>
      </c>
      <c r="H80" s="583">
        <f>H78/H50</f>
        <v>3.3783589334754759E-3</v>
      </c>
      <c r="I80" s="583"/>
      <c r="J80" s="583"/>
      <c r="K80" s="583"/>
      <c r="L80" s="583">
        <f>L78/L50</f>
        <v>3.3396086081200625E-3</v>
      </c>
      <c r="M80" s="583">
        <f>M78/M50</f>
        <v>3.2707439321593931E-3</v>
      </c>
      <c r="N80" s="583">
        <f>N78/N50</f>
        <v>2.8792817582862593E-3</v>
      </c>
      <c r="O80" s="583">
        <f>O78/O50</f>
        <v>2.5700822414404943E-3</v>
      </c>
      <c r="P80" s="583">
        <f>P78/P50</f>
        <v>4.4319773935321037E-3</v>
      </c>
      <c r="Q80" s="583">
        <f>(L80*M80*N80*O80*P80)^(1/5)</f>
        <v>3.2421579429298031E-3</v>
      </c>
      <c r="R80" s="583"/>
      <c r="S80" s="583"/>
      <c r="T80" s="583"/>
      <c r="U80" s="583">
        <f>U78/U50</f>
        <v>4.4319773935321037E-3</v>
      </c>
      <c r="V80" s="583">
        <f>V78/V50</f>
        <v>4.4319773935321037E-3</v>
      </c>
      <c r="W80" s="583">
        <f>W78/W50</f>
        <v>4.5710516454962732E-3</v>
      </c>
      <c r="X80" s="583">
        <f>X78/X50</f>
        <v>4.5002616431187858E-3</v>
      </c>
      <c r="Y80" s="583">
        <f>Y78/Y50</f>
        <v>4.5012787723785162E-3</v>
      </c>
      <c r="Z80" s="583"/>
      <c r="AA80" s="583"/>
      <c r="AB80" s="583"/>
      <c r="AC80" s="583"/>
    </row>
    <row r="81" spans="1:29" s="234" customFormat="1" hidden="1">
      <c r="A81" s="491" t="s">
        <v>514</v>
      </c>
      <c r="B81" s="1085" t="s">
        <v>577</v>
      </c>
      <c r="C81" s="506">
        <f t="shared" ref="C81:H81" si="54">C25</f>
        <v>23029.594314000002</v>
      </c>
      <c r="D81" s="506">
        <f t="shared" si="54"/>
        <v>31166.499995999999</v>
      </c>
      <c r="E81" s="506">
        <f t="shared" si="54"/>
        <v>23136.025249999999</v>
      </c>
      <c r="F81" s="506">
        <f t="shared" si="54"/>
        <v>29067.688738000001</v>
      </c>
      <c r="G81" s="506">
        <f t="shared" si="54"/>
        <v>25959.988635000002</v>
      </c>
      <c r="H81" s="506">
        <f t="shared" si="54"/>
        <v>29270.382845</v>
      </c>
      <c r="I81" s="506">
        <f>SUM(D81:H81)</f>
        <v>138600.585464</v>
      </c>
      <c r="J81" s="501"/>
      <c r="K81" s="501">
        <f>I81/$I$50</f>
        <v>5.4672495521167833E-3</v>
      </c>
      <c r="L81" s="506">
        <f>L25</f>
        <v>25568.900889</v>
      </c>
      <c r="M81" s="506">
        <f>M25</f>
        <v>31644.635216999995</v>
      </c>
      <c r="N81" s="506">
        <f>N25</f>
        <v>33093.863715</v>
      </c>
      <c r="O81" s="506">
        <f>O25</f>
        <v>32699</v>
      </c>
      <c r="P81" s="506">
        <f>P25</f>
        <v>37960</v>
      </c>
      <c r="Q81" s="506">
        <f>SUM(L81:P81)</f>
        <v>160966.399821</v>
      </c>
      <c r="R81" s="501"/>
      <c r="S81" s="501">
        <f>Q81/$Q$50</f>
        <v>4.1662164354420821E-3</v>
      </c>
      <c r="T81" s="501"/>
      <c r="U81" s="506">
        <f>U25</f>
        <v>37960</v>
      </c>
      <c r="V81" s="506">
        <f>V25</f>
        <v>37960</v>
      </c>
      <c r="W81" s="506">
        <f>W25</f>
        <v>38378</v>
      </c>
      <c r="X81" s="506">
        <f>X25</f>
        <v>40000</v>
      </c>
      <c r="Y81" s="506">
        <f>Y25</f>
        <v>41000</v>
      </c>
      <c r="Z81" s="506">
        <f>SUM(U81:Y81)</f>
        <v>195298</v>
      </c>
      <c r="AA81" s="501"/>
      <c r="AB81" s="501">
        <f>Z81/$Z$50</f>
        <v>4.1028190857367508E-3</v>
      </c>
      <c r="AC81" s="501"/>
    </row>
    <row r="82" spans="1:29" s="234" customFormat="1" hidden="1">
      <c r="A82" s="491"/>
      <c r="B82" s="581" t="s">
        <v>494</v>
      </c>
      <c r="C82" s="583"/>
      <c r="D82" s="583">
        <f>D81/C81</f>
        <v>1.3533238827856147</v>
      </c>
      <c r="E82" s="583">
        <f>E81/D81</f>
        <v>0.74233633077083871</v>
      </c>
      <c r="F82" s="583">
        <f>F81/E81</f>
        <v>1.2563821323630342</v>
      </c>
      <c r="G82" s="583">
        <f>G81/F81</f>
        <v>0.89308747141848521</v>
      </c>
      <c r="H82" s="583">
        <f>H81/G81</f>
        <v>1.1275190931916215</v>
      </c>
      <c r="I82" s="583"/>
      <c r="J82" s="583">
        <f>(D82*E82*F82*G82*H82)^(1/5)-1</f>
        <v>4.9127867295275518E-2</v>
      </c>
      <c r="K82" s="583"/>
      <c r="L82" s="583">
        <f>L81/H81</f>
        <v>0.87354173071117547</v>
      </c>
      <c r="M82" s="583">
        <f>M81/L81</f>
        <v>1.2376220375829232</v>
      </c>
      <c r="N82" s="583">
        <f>N81/M81</f>
        <v>1.0457969727905556</v>
      </c>
      <c r="O82" s="583">
        <f>O81/N81</f>
        <v>0.98806837066833553</v>
      </c>
      <c r="P82" s="583">
        <f>P81/O81</f>
        <v>1.1608917703905319</v>
      </c>
      <c r="Q82" s="583"/>
      <c r="R82" s="583">
        <f>(L82*M82*N82*O82*P82)^(1/5)-1</f>
        <v>5.336663998506963E-2</v>
      </c>
      <c r="S82" s="583"/>
      <c r="T82" s="583"/>
      <c r="U82" s="583">
        <f>U81/P81</f>
        <v>1</v>
      </c>
      <c r="V82" s="583">
        <f>V81/U81</f>
        <v>1</v>
      </c>
      <c r="W82" s="583">
        <f>W81/V81</f>
        <v>1.0110115911485775</v>
      </c>
      <c r="X82" s="583">
        <f>X81/W81</f>
        <v>1.0422637969670123</v>
      </c>
      <c r="Y82" s="583">
        <f>Y81/X81</f>
        <v>1.0249999999999999</v>
      </c>
      <c r="Z82" s="583"/>
      <c r="AA82" s="583">
        <f>(U82*V82*W82*X82*Y82)^(1/5)-1</f>
        <v>1.5527131023226115E-2</v>
      </c>
      <c r="AB82" s="583"/>
      <c r="AC82" s="583"/>
    </row>
    <row r="83" spans="1:29" s="234" customFormat="1" hidden="1">
      <c r="A83" s="491"/>
      <c r="B83" s="1085" t="s">
        <v>29</v>
      </c>
      <c r="C83" s="583"/>
      <c r="D83" s="583">
        <f>D81/D50</f>
        <v>8.4207441130783843E-3</v>
      </c>
      <c r="E83" s="583">
        <f>E81/E50</f>
        <v>4.9169969727361346E-3</v>
      </c>
      <c r="F83" s="583">
        <f>F81/F50</f>
        <v>5.4560720740832137E-3</v>
      </c>
      <c r="G83" s="583">
        <f>G81/G50</f>
        <v>4.5754127290024305E-3</v>
      </c>
      <c r="H83" s="583">
        <f>H81/H50</f>
        <v>4.9250197039905378E-3</v>
      </c>
      <c r="I83" s="583"/>
      <c r="J83" s="583"/>
      <c r="K83" s="583"/>
      <c r="L83" s="583">
        <f>L81/L50</f>
        <v>4.1032928920298594E-3</v>
      </c>
      <c r="M83" s="583">
        <f>M81/M50</f>
        <v>4.5138647305923568E-3</v>
      </c>
      <c r="N83" s="583">
        <f>N81/N50</f>
        <v>4.3884943969987175E-3</v>
      </c>
      <c r="O83" s="583">
        <f>O81/O50</f>
        <v>3.8952083065058045E-3</v>
      </c>
      <c r="P83" s="583">
        <f>P81/P50</f>
        <v>4.0133077733415711E-3</v>
      </c>
      <c r="Q83" s="583">
        <f>(L83*M83*N83*O83*P83)^(1/5)</f>
        <v>4.1764371676251983E-3</v>
      </c>
      <c r="R83" s="583"/>
      <c r="S83" s="583"/>
      <c r="T83" s="583"/>
      <c r="U83" s="583">
        <f>U81/U50</f>
        <v>4.0133077733415711E-3</v>
      </c>
      <c r="V83" s="583">
        <f>V81/V50</f>
        <v>4.0133077733415711E-3</v>
      </c>
      <c r="W83" s="583">
        <f>W81/W50</f>
        <v>4.1029029176709308E-3</v>
      </c>
      <c r="X83" s="583">
        <f>X81/X50</f>
        <v>4.1862899005756151E-3</v>
      </c>
      <c r="Y83" s="583">
        <f>Y81/Y50</f>
        <v>4.1943734015345265E-3</v>
      </c>
      <c r="Z83" s="583"/>
      <c r="AA83" s="583"/>
      <c r="AB83" s="583"/>
      <c r="AC83" s="583"/>
    </row>
    <row r="84" spans="1:29" s="234" customFormat="1" hidden="1">
      <c r="A84" s="491" t="s">
        <v>514</v>
      </c>
      <c r="B84" s="1085" t="s">
        <v>601</v>
      </c>
      <c r="C84" s="506">
        <f t="shared" ref="C84:H84" si="55">C26</f>
        <v>43901.085969</v>
      </c>
      <c r="D84" s="506">
        <f t="shared" si="55"/>
        <v>218884.160164</v>
      </c>
      <c r="E84" s="506">
        <f t="shared" si="55"/>
        <v>202429.24258699999</v>
      </c>
      <c r="F84" s="506">
        <f t="shared" si="55"/>
        <v>246506.12884799999</v>
      </c>
      <c r="G84" s="506">
        <f t="shared" si="55"/>
        <v>220529.87967299999</v>
      </c>
      <c r="H84" s="506">
        <f t="shared" si="55"/>
        <v>268672.20944100001</v>
      </c>
      <c r="I84" s="506">
        <f>SUM(D84:H84)</f>
        <v>1157021.620713</v>
      </c>
      <c r="J84" s="501"/>
      <c r="K84" s="501">
        <f>I84/$I$50</f>
        <v>4.5639965491167583E-2</v>
      </c>
      <c r="L84" s="506">
        <f>L26</f>
        <v>429583.572162</v>
      </c>
      <c r="M84" s="506">
        <f>M26</f>
        <v>427772.94375599996</v>
      </c>
      <c r="N84" s="506">
        <f>N26</f>
        <v>484349.07345999999</v>
      </c>
      <c r="O84" s="506">
        <f>O26</f>
        <v>412864</v>
      </c>
      <c r="P84" s="506">
        <f>P26</f>
        <v>734512</v>
      </c>
      <c r="Q84" s="506">
        <f>SUM(L84:P84)</f>
        <v>2489081.5893779998</v>
      </c>
      <c r="R84" s="501"/>
      <c r="S84" s="501">
        <f>Q84/$Q$50</f>
        <v>6.4423709782630206E-2</v>
      </c>
      <c r="T84" s="501"/>
      <c r="U84" s="506">
        <f>U26</f>
        <v>734512</v>
      </c>
      <c r="V84" s="506">
        <f>V26</f>
        <v>734512</v>
      </c>
      <c r="W84" s="506">
        <f>W26</f>
        <v>539140</v>
      </c>
      <c r="X84" s="506">
        <f>X26</f>
        <v>550000</v>
      </c>
      <c r="Y84" s="506">
        <f>Y26</f>
        <v>562000</v>
      </c>
      <c r="Z84" s="506">
        <f>SUM(U84:Y84)</f>
        <v>3120164</v>
      </c>
      <c r="AA84" s="501"/>
      <c r="AB84" s="501">
        <f>Z84/$Z$50</f>
        <v>6.5548384570393567E-2</v>
      </c>
      <c r="AC84" s="501"/>
    </row>
    <row r="85" spans="1:29" s="234" customFormat="1" hidden="1">
      <c r="A85" s="491"/>
      <c r="B85" s="581" t="s">
        <v>494</v>
      </c>
      <c r="C85" s="583"/>
      <c r="D85" s="583">
        <f>D84/C84</f>
        <v>4.9858484211201812</v>
      </c>
      <c r="E85" s="583">
        <f>E84/D84</f>
        <v>0.92482362558957631</v>
      </c>
      <c r="F85" s="583">
        <f>F84/E84</f>
        <v>1.2177397183218559</v>
      </c>
      <c r="G85" s="583">
        <f>G84/F84</f>
        <v>0.89462229885968714</v>
      </c>
      <c r="H85" s="583">
        <f>H84/G84</f>
        <v>1.2183029793485813</v>
      </c>
      <c r="I85" s="583"/>
      <c r="J85" s="583">
        <f>(D85*E85*F85*G85*H85)^(1/5)-1</f>
        <v>0.43664510244794985</v>
      </c>
      <c r="K85" s="583"/>
      <c r="L85" s="583">
        <f>L84/H84</f>
        <v>1.5989133117109229</v>
      </c>
      <c r="M85" s="583">
        <f>M84/L84</f>
        <v>0.9957851544534454</v>
      </c>
      <c r="N85" s="583">
        <f>N84/M84</f>
        <v>1.1322573821692445</v>
      </c>
      <c r="O85" s="583">
        <f>O84/N84</f>
        <v>0.85241001299055119</v>
      </c>
      <c r="P85" s="583">
        <f>P84/O84</f>
        <v>1.7790652611998139</v>
      </c>
      <c r="Q85" s="583"/>
      <c r="R85" s="583">
        <f>(L85*M85*N85*O85*P85)^(1/5)-1</f>
        <v>0.22279943595991081</v>
      </c>
      <c r="S85" s="583"/>
      <c r="T85" s="583"/>
      <c r="U85" s="583">
        <f>U84/P84</f>
        <v>1</v>
      </c>
      <c r="V85" s="583">
        <f>V84/U84</f>
        <v>1</v>
      </c>
      <c r="W85" s="583">
        <f>W84/V84</f>
        <v>0.73401115298320518</v>
      </c>
      <c r="X85" s="583">
        <f>X84/W84</f>
        <v>1.0201431910079015</v>
      </c>
      <c r="Y85" s="583">
        <f>Y84/X84</f>
        <v>1.0218181818181817</v>
      </c>
      <c r="Z85" s="583"/>
      <c r="AA85" s="583">
        <f>(U85*V85*W85*X85*Y85)^(1/5)-1</f>
        <v>-5.2132824377487785E-2</v>
      </c>
      <c r="AB85" s="583"/>
      <c r="AC85" s="583"/>
    </row>
    <row r="86" spans="1:29" s="234" customFormat="1" hidden="1">
      <c r="A86" s="491"/>
      <c r="B86" s="1085" t="s">
        <v>29</v>
      </c>
      <c r="C86" s="583"/>
      <c r="D86" s="583">
        <f>D84/D50</f>
        <v>5.9139380533061683E-2</v>
      </c>
      <c r="E86" s="583">
        <f>E84/E50</f>
        <v>4.3021390331234512E-2</v>
      </c>
      <c r="F86" s="583">
        <f>F84/F50</f>
        <v>4.6269767707388443E-2</v>
      </c>
      <c r="G86" s="583">
        <f>G84/G50</f>
        <v>3.8868091691721125E-2</v>
      </c>
      <c r="H86" s="583">
        <f>H84/H50</f>
        <v>4.5206649069765445E-2</v>
      </c>
      <c r="I86" s="583"/>
      <c r="J86" s="583"/>
      <c r="K86" s="583"/>
      <c r="L86" s="583">
        <f>L84/L50</f>
        <v>6.8939499035856694E-2</v>
      </c>
      <c r="M86" s="583">
        <f>M84/M50</f>
        <v>6.1018532534214874E-2</v>
      </c>
      <c r="N86" s="583">
        <f>N84/N50</f>
        <v>6.4228317774430957E-2</v>
      </c>
      <c r="O86" s="583">
        <f>O84/O50</f>
        <v>4.9181665563387642E-2</v>
      </c>
      <c r="P86" s="583">
        <f>P84/P50</f>
        <v>7.7656025269037518E-2</v>
      </c>
      <c r="Q86" s="583">
        <f>(L86*M86*N86*O86*P86)^(1/5)</f>
        <v>6.3493163195389279E-2</v>
      </c>
      <c r="R86" s="583"/>
      <c r="S86" s="583"/>
      <c r="T86" s="583"/>
      <c r="U86" s="583">
        <f>U84/U50</f>
        <v>7.7656025269037518E-2</v>
      </c>
      <c r="V86" s="583">
        <f>V84/V50</f>
        <v>7.7656025269037518E-2</v>
      </c>
      <c r="W86" s="583">
        <f>W84/W50</f>
        <v>5.763820623881144E-2</v>
      </c>
      <c r="X86" s="583">
        <f>X84/X50</f>
        <v>5.7561486132914702E-2</v>
      </c>
      <c r="Y86" s="583">
        <f>Y84/Y50</f>
        <v>5.7493606138107417E-2</v>
      </c>
      <c r="Z86" s="583"/>
      <c r="AA86" s="583"/>
      <c r="AB86" s="583"/>
      <c r="AC86" s="583"/>
    </row>
    <row r="87" spans="1:29" s="234" customFormat="1" hidden="1">
      <c r="A87" s="491" t="s">
        <v>514</v>
      </c>
      <c r="B87" s="1085" t="s">
        <v>602</v>
      </c>
      <c r="C87" s="506">
        <f t="shared" ref="C87:H87" si="56">C28</f>
        <v>94193.786722000004</v>
      </c>
      <c r="D87" s="506">
        <f t="shared" si="56"/>
        <v>152596.82905999999</v>
      </c>
      <c r="E87" s="506">
        <f t="shared" si="56"/>
        <v>178848.46695199999</v>
      </c>
      <c r="F87" s="506">
        <f t="shared" si="56"/>
        <v>238787.16765700001</v>
      </c>
      <c r="G87" s="506">
        <f t="shared" si="56"/>
        <v>225609.581118</v>
      </c>
      <c r="H87" s="506">
        <f t="shared" si="56"/>
        <v>248340.399725</v>
      </c>
      <c r="I87" s="506">
        <f>SUM(D87:H87)</f>
        <v>1044182.444512</v>
      </c>
      <c r="J87" s="501"/>
      <c r="K87" s="501">
        <f>I87/$I$50</f>
        <v>4.1188902506975628E-2</v>
      </c>
      <c r="L87" s="506">
        <f>L28</f>
        <v>281758.40066300001</v>
      </c>
      <c r="M87" s="506">
        <f>M28</f>
        <v>323370.00026400003</v>
      </c>
      <c r="N87" s="506">
        <f>N28</f>
        <v>369167.60954500001</v>
      </c>
      <c r="O87" s="506">
        <f>O28</f>
        <v>398306</v>
      </c>
      <c r="P87" s="506">
        <f>P28</f>
        <v>317623</v>
      </c>
      <c r="Q87" s="506">
        <f>SUM(L87:P87)</f>
        <v>1690225.0104720001</v>
      </c>
      <c r="R87" s="501"/>
      <c r="S87" s="501">
        <f>Q87/$Q$50</f>
        <v>4.3747286552066E-2</v>
      </c>
      <c r="T87" s="501"/>
      <c r="U87" s="506">
        <f>U28</f>
        <v>317623</v>
      </c>
      <c r="V87" s="506">
        <f>V28</f>
        <v>317623</v>
      </c>
      <c r="W87" s="506">
        <f>W28</f>
        <v>326504</v>
      </c>
      <c r="X87" s="506">
        <f>X28</f>
        <v>334000</v>
      </c>
      <c r="Y87" s="506">
        <f>Y28</f>
        <v>342000</v>
      </c>
      <c r="Z87" s="506">
        <f>SUM(U87:Y87)</f>
        <v>1637750</v>
      </c>
      <c r="AA87" s="501"/>
      <c r="AB87" s="501">
        <f>Z87/$Z$50</f>
        <v>3.4405841112890884E-2</v>
      </c>
      <c r="AC87" s="501"/>
    </row>
    <row r="88" spans="1:29" s="234" customFormat="1" hidden="1">
      <c r="A88" s="491"/>
      <c r="B88" s="581" t="s">
        <v>494</v>
      </c>
      <c r="C88" s="583"/>
      <c r="D88" s="583">
        <f>D87/C87</f>
        <v>1.6200307299500394</v>
      </c>
      <c r="E88" s="583">
        <f>E87/D87</f>
        <v>1.1720326566004726</v>
      </c>
      <c r="F88" s="583">
        <f>F87/E87</f>
        <v>1.335136787731519</v>
      </c>
      <c r="G88" s="583">
        <f>G87/F87</f>
        <v>0.94481451131440763</v>
      </c>
      <c r="H88" s="583">
        <f>H87/G87</f>
        <v>1.1007528957518482</v>
      </c>
      <c r="I88" s="583"/>
      <c r="J88" s="583">
        <f>(D88*E88*F88*G88*H88)^(1/5)-1</f>
        <v>0.21396180824494704</v>
      </c>
      <c r="K88" s="583"/>
      <c r="L88" s="583">
        <f>L87/H87</f>
        <v>1.1345653022021607</v>
      </c>
      <c r="M88" s="583">
        <f>M87/L87</f>
        <v>1.1476853911119762</v>
      </c>
      <c r="N88" s="583">
        <f>N87/M87</f>
        <v>1.1416260297603695</v>
      </c>
      <c r="O88" s="583">
        <f>O87/N87</f>
        <v>1.0789299757118809</v>
      </c>
      <c r="P88" s="583">
        <f>P87/O87</f>
        <v>0.7974346356821137</v>
      </c>
      <c r="Q88" s="583"/>
      <c r="R88" s="583">
        <f>(L88*M88*N88*O88*P88)^(1/5)-1</f>
        <v>5.0444021144357309E-2</v>
      </c>
      <c r="S88" s="583"/>
      <c r="T88" s="583"/>
      <c r="U88" s="583">
        <f>U87/P87</f>
        <v>1</v>
      </c>
      <c r="V88" s="583">
        <f>V87/U87</f>
        <v>1</v>
      </c>
      <c r="W88" s="583">
        <f>W87/V87</f>
        <v>1.0279608214770342</v>
      </c>
      <c r="X88" s="583">
        <f>X87/W87</f>
        <v>1.0229583711072452</v>
      </c>
      <c r="Y88" s="583">
        <f>Y87/X87</f>
        <v>1.0239520958083832</v>
      </c>
      <c r="Z88" s="583"/>
      <c r="AA88" s="583">
        <f>(U88*V88*W88*X88*Y88)^(1/5)-1</f>
        <v>1.4899018554114463E-2</v>
      </c>
      <c r="AB88" s="583"/>
      <c r="AC88" s="583"/>
    </row>
    <row r="89" spans="1:29" s="234" customFormat="1" hidden="1">
      <c r="A89" s="491"/>
      <c r="B89" s="1085" t="s">
        <v>29</v>
      </c>
      <c r="C89" s="583"/>
      <c r="D89" s="583">
        <f>D87/D50</f>
        <v>4.1229488397681535E-2</v>
      </c>
      <c r="E89" s="583">
        <f>E87/E50</f>
        <v>3.8009872529054342E-2</v>
      </c>
      <c r="F89" s="583">
        <f>F87/F50</f>
        <v>4.4820900927000432E-2</v>
      </c>
      <c r="G89" s="583">
        <f>G87/G50</f>
        <v>3.9763382170379113E-2</v>
      </c>
      <c r="H89" s="583">
        <f>H87/H50</f>
        <v>4.1785629126181362E-2</v>
      </c>
      <c r="I89" s="583"/>
      <c r="J89" s="583"/>
      <c r="K89" s="583"/>
      <c r="L89" s="583">
        <f>L87/L50</f>
        <v>4.5216540504780599E-2</v>
      </c>
      <c r="M89" s="583">
        <f>M87/M50</f>
        <v>4.6126252652745531E-2</v>
      </c>
      <c r="N89" s="583">
        <f>N87/N50</f>
        <v>4.8954392270230053E-2</v>
      </c>
      <c r="O89" s="583">
        <f>O87/O50</f>
        <v>4.7447470556625612E-2</v>
      </c>
      <c r="P89" s="583">
        <f>P87/P50</f>
        <v>3.3580581003479187E-2</v>
      </c>
      <c r="Q89" s="583">
        <f>(L89*M89*N89*O89*P89)^(1/5)</f>
        <v>4.3880108009353748E-2</v>
      </c>
      <c r="R89" s="583"/>
      <c r="S89" s="583"/>
      <c r="T89" s="583"/>
      <c r="U89" s="583">
        <f>U87/U50</f>
        <v>3.3580581003479187E-2</v>
      </c>
      <c r="V89" s="583">
        <f>V87/V50</f>
        <v>3.3580581003479187E-2</v>
      </c>
      <c r="W89" s="583">
        <f>W87/W50</f>
        <v>3.4905784934890549E-2</v>
      </c>
      <c r="X89" s="583">
        <f>X87/X50</f>
        <v>3.4955520669806381E-2</v>
      </c>
      <c r="Y89" s="583">
        <f>Y87/Y50</f>
        <v>3.4987212276214832E-2</v>
      </c>
      <c r="Z89" s="583"/>
      <c r="AA89" s="583"/>
      <c r="AB89" s="583"/>
      <c r="AC89" s="583"/>
    </row>
    <row r="90" spans="1:29" s="234" customFormat="1" hidden="1">
      <c r="A90" s="491" t="s">
        <v>514</v>
      </c>
      <c r="B90" s="1085" t="s">
        <v>90</v>
      </c>
      <c r="C90" s="506">
        <f t="shared" ref="C90:H90" si="57">C29</f>
        <v>128028.82776499999</v>
      </c>
      <c r="D90" s="506">
        <f t="shared" si="57"/>
        <v>99701.489849999984</v>
      </c>
      <c r="E90" s="506">
        <f t="shared" si="57"/>
        <v>187075.50684300001</v>
      </c>
      <c r="F90" s="506">
        <f t="shared" si="57"/>
        <v>207923.348959</v>
      </c>
      <c r="G90" s="506">
        <f t="shared" si="57"/>
        <v>124789.76882299999</v>
      </c>
      <c r="H90" s="506">
        <f t="shared" si="57"/>
        <v>135164.902485</v>
      </c>
      <c r="I90" s="506">
        <f>SUM(D90:H90)</f>
        <v>754655.01695999992</v>
      </c>
      <c r="J90" s="501"/>
      <c r="K90" s="501">
        <f>I90/$I$50</f>
        <v>2.9768180918318683E-2</v>
      </c>
      <c r="L90" s="506">
        <f>L29</f>
        <v>111781.932877</v>
      </c>
      <c r="M90" s="506">
        <f>M29</f>
        <v>102494.98850700002</v>
      </c>
      <c r="N90" s="506">
        <f>N29</f>
        <v>96564.608066000015</v>
      </c>
      <c r="O90" s="506">
        <f>O29</f>
        <v>112835</v>
      </c>
      <c r="P90" s="506">
        <f>P29</f>
        <v>58295</v>
      </c>
      <c r="Q90" s="506">
        <f>SUM(L90:P90)</f>
        <v>481971.52945000003</v>
      </c>
      <c r="R90" s="501"/>
      <c r="S90" s="501">
        <f>Q90/$Q$50</f>
        <v>1.2474638866513186E-2</v>
      </c>
      <c r="T90" s="501"/>
      <c r="U90" s="506">
        <f>U29</f>
        <v>58295</v>
      </c>
      <c r="V90" s="506">
        <f>V29</f>
        <v>58295</v>
      </c>
      <c r="W90" s="506">
        <f>W29</f>
        <v>48511</v>
      </c>
      <c r="X90" s="506">
        <f>X29</f>
        <v>50000</v>
      </c>
      <c r="Y90" s="506">
        <f>Y29</f>
        <v>52000</v>
      </c>
      <c r="Z90" s="506">
        <f>SUM(U90:Y90)</f>
        <v>267101</v>
      </c>
      <c r="AA90" s="501"/>
      <c r="AB90" s="501">
        <f>Z90/$Z$50</f>
        <v>5.6112560324190312E-3</v>
      </c>
      <c r="AC90" s="501"/>
    </row>
    <row r="91" spans="1:29" s="234" customFormat="1" hidden="1">
      <c r="A91" s="491"/>
      <c r="B91" s="581" t="s">
        <v>494</v>
      </c>
      <c r="C91" s="583"/>
      <c r="D91" s="583">
        <f>D90/C90</f>
        <v>0.77874250346964413</v>
      </c>
      <c r="E91" s="583">
        <f>E90/D90</f>
        <v>1.8763561820836727</v>
      </c>
      <c r="F91" s="583">
        <f>F90/E90</f>
        <v>1.1114407891648594</v>
      </c>
      <c r="G91" s="583">
        <f>G90/F90</f>
        <v>0.60017198379969849</v>
      </c>
      <c r="H91" s="583">
        <f>H90/G90</f>
        <v>1.0831408997697234</v>
      </c>
      <c r="I91" s="583"/>
      <c r="J91" s="583">
        <f>(D91*E91*F91*G91*H91)^(1/5)-1</f>
        <v>1.0907068548416721E-2</v>
      </c>
      <c r="K91" s="583"/>
      <c r="L91" s="583">
        <f>L90/H90</f>
        <v>0.82700413215187329</v>
      </c>
      <c r="M91" s="583">
        <f>M90/L90</f>
        <v>0.91691909299672847</v>
      </c>
      <c r="N91" s="583">
        <f>N90/M90</f>
        <v>0.9421398009074855</v>
      </c>
      <c r="O91" s="583">
        <f>O90/N90</f>
        <v>1.1684922898758052</v>
      </c>
      <c r="P91" s="583">
        <f>P90/O90</f>
        <v>0.51663934063012362</v>
      </c>
      <c r="Q91" s="583"/>
      <c r="R91" s="583">
        <f>(L91*M91*N91*O91*P91)^(1/5)-1</f>
        <v>-0.15481170430212066</v>
      </c>
      <c r="S91" s="583"/>
      <c r="T91" s="583"/>
      <c r="U91" s="583">
        <f>U90/P90</f>
        <v>1</v>
      </c>
      <c r="V91" s="583">
        <f>V90/U90</f>
        <v>1</v>
      </c>
      <c r="W91" s="583">
        <f>W90/V90</f>
        <v>0.83216399348143066</v>
      </c>
      <c r="X91" s="583">
        <f>X90/W90</f>
        <v>1.0306940693863247</v>
      </c>
      <c r="Y91" s="583">
        <f>Y90/X90</f>
        <v>1.04</v>
      </c>
      <c r="Z91" s="583"/>
      <c r="AA91" s="583">
        <f>(U91*V91*W91*X91*Y91)^(1/5)-1</f>
        <v>-2.259533526397961E-2</v>
      </c>
      <c r="AB91" s="583"/>
      <c r="AC91" s="583"/>
    </row>
    <row r="92" spans="1:29" s="234" customFormat="1" hidden="1">
      <c r="A92" s="491"/>
      <c r="B92" s="1085" t="s">
        <v>29</v>
      </c>
      <c r="C92" s="583"/>
      <c r="D92" s="583">
        <f>D90/D50</f>
        <v>2.6937921609012351E-2</v>
      </c>
      <c r="E92" s="583">
        <f>E90/E50</f>
        <v>3.9758328878038769E-2</v>
      </c>
      <c r="F92" s="583">
        <f>F90/F50</f>
        <v>3.9027691125713984E-2</v>
      </c>
      <c r="G92" s="583">
        <f>G90/G50</f>
        <v>2.1994027222039449E-2</v>
      </c>
      <c r="H92" s="583">
        <f>H90/H50</f>
        <v>2.2742777624457977E-2</v>
      </c>
      <c r="I92" s="583"/>
      <c r="J92" s="583"/>
      <c r="K92" s="583"/>
      <c r="L92" s="583">
        <f>L90/L50</f>
        <v>1.7938745690428921E-2</v>
      </c>
      <c r="M92" s="583">
        <f>M90/M50</f>
        <v>1.4620124722931685E-2</v>
      </c>
      <c r="N92" s="583">
        <f>N90/N50</f>
        <v>1.2805190868479354E-2</v>
      </c>
      <c r="O92" s="583">
        <f>O90/O50</f>
        <v>1.3441262095617065E-2</v>
      </c>
      <c r="P92" s="583">
        <f>P90/P50</f>
        <v>6.1632185628805822E-3</v>
      </c>
      <c r="Q92" s="583">
        <f>(L92*M92*N92*O92*P92)^(1/5)</f>
        <v>1.227087028284818E-2</v>
      </c>
      <c r="R92" s="583"/>
      <c r="S92" s="583"/>
      <c r="T92" s="583"/>
      <c r="U92" s="583">
        <f>U90/U50</f>
        <v>6.1632185628805822E-3</v>
      </c>
      <c r="V92" s="583">
        <f>V90/V50</f>
        <v>6.1632185628805822E-3</v>
      </c>
      <c r="W92" s="583">
        <f>W90/W50</f>
        <v>5.186198432412698E-3</v>
      </c>
      <c r="X92" s="583">
        <f>X90/X50</f>
        <v>5.2328623757195184E-3</v>
      </c>
      <c r="Y92" s="583">
        <f>Y90/Y50</f>
        <v>5.3196930946291564E-3</v>
      </c>
      <c r="Z92" s="583"/>
      <c r="AA92" s="583"/>
      <c r="AB92" s="583"/>
      <c r="AC92" s="583"/>
    </row>
    <row r="93" spans="1:29" hidden="1">
      <c r="A93" s="1086">
        <v>11</v>
      </c>
      <c r="B93" s="604" t="s">
        <v>603</v>
      </c>
      <c r="C93" s="501"/>
      <c r="D93" s="501">
        <f>D10/'[1]Thu NSNN 2010-2025'!H31</f>
        <v>0.11989599893062587</v>
      </c>
      <c r="E93" s="501">
        <f>E10/'[1]Thu NSNN 2010-2025'!I31</f>
        <v>0.13607112841529062</v>
      </c>
      <c r="F93" s="501">
        <f>F10/'[1]Thu NSNN 2010-2025'!J31</f>
        <v>0.13559084834357149</v>
      </c>
      <c r="G93" s="501">
        <f>G10/'[1]Thu NSNN 2010-2025'!K31</f>
        <v>0.14266265654665997</v>
      </c>
      <c r="H93" s="501">
        <f>H10/'[1]Thu NSNN 2010-2025'!L31</f>
        <v>0.1451610747164562</v>
      </c>
      <c r="I93" s="501"/>
      <c r="J93" s="583">
        <f>AVERAGE(D93:H93)</f>
        <v>0.13587634139052082</v>
      </c>
      <c r="K93" s="501"/>
      <c r="L93" s="501">
        <f>L10/'[1]Thu NSNN 2010-2025'!P31</f>
        <v>0.13941914517681381</v>
      </c>
      <c r="M93" s="501">
        <f>M10/'[1]Thu NSNN 2010-2025'!Q31</f>
        <v>0.14765953850903374</v>
      </c>
      <c r="N93" s="501">
        <f>N10/'[1]Thu NSNN 2010-2025'!R31</f>
        <v>0.13743106284416076</v>
      </c>
      <c r="O93" s="501">
        <f>O10/'[1]Thu NSNN 2010-2025'!S31</f>
        <v>0.12537343072080503</v>
      </c>
      <c r="P93" s="501" t="e">
        <f>P10/'[1]Thu NSNN 2010-2025'!#REF!</f>
        <v>#REF!</v>
      </c>
      <c r="Q93" s="501"/>
      <c r="R93" s="501" t="e">
        <f>AVERAGE(L93,M93,N93,O93,P93)</f>
        <v>#REF!</v>
      </c>
      <c r="S93" s="501"/>
      <c r="T93" s="501"/>
      <c r="U93" s="501">
        <f>U10/'[1]Thu NSNN 2010-2025'!Z31</f>
        <v>0.14240164989756809</v>
      </c>
      <c r="V93" s="501">
        <f>V10/'[1]Thu NSNN 2010-2025'!AA31</f>
        <v>0.13308565410987674</v>
      </c>
      <c r="W93" s="501">
        <f>W10/'[1]Thu NSNN 2010-2025'!AB31</f>
        <v>0.11913717487262315</v>
      </c>
      <c r="X93" s="501">
        <f>X10/'[1]Thu NSNN 2010-2025'!AC31</f>
        <v>0.11513295218855696</v>
      </c>
      <c r="Y93" s="501">
        <f>Y10/'[1]Thu NSNN 2010-2025'!AD31</f>
        <v>2.7208650648006989E-2</v>
      </c>
      <c r="Z93" s="501"/>
      <c r="AA93" s="501">
        <f>AVERAGE(U93:Y93)</f>
        <v>0.10739321634332639</v>
      </c>
      <c r="AB93" s="501"/>
      <c r="AC93" s="501"/>
    </row>
    <row r="94" spans="1:29" s="228" customFormat="1" hidden="1">
      <c r="A94" s="1043">
        <v>12</v>
      </c>
      <c r="B94" s="632" t="s">
        <v>604</v>
      </c>
      <c r="C94" s="591">
        <f t="shared" ref="C94:H94" si="58">C10</f>
        <v>4308494.4799180003</v>
      </c>
      <c r="D94" s="591">
        <f t="shared" si="58"/>
        <v>5000022.8434038907</v>
      </c>
      <c r="E94" s="591">
        <f t="shared" si="58"/>
        <v>5990803.5707400003</v>
      </c>
      <c r="F94" s="591">
        <f t="shared" si="58"/>
        <v>6551207.428568</v>
      </c>
      <c r="G94" s="591">
        <f t="shared" si="58"/>
        <v>7628457.570863001</v>
      </c>
      <c r="H94" s="591">
        <f t="shared" si="58"/>
        <v>8304427.1655269992</v>
      </c>
      <c r="I94" s="591">
        <f>SUM(D94:H94)</f>
        <v>33474918.57910189</v>
      </c>
      <c r="J94" s="592"/>
      <c r="K94" s="592">
        <f>I94/I8</f>
        <v>0.91667117034469858</v>
      </c>
      <c r="L94" s="591">
        <f>L10</f>
        <v>8674809.6461590007</v>
      </c>
      <c r="M94" s="591">
        <f>M10</f>
        <v>10083459.322280001</v>
      </c>
      <c r="N94" s="591">
        <f>N10</f>
        <v>10427702.832636001</v>
      </c>
      <c r="O94" s="591">
        <f>O10</f>
        <v>10316102</v>
      </c>
      <c r="P94" s="591">
        <f>P10</f>
        <v>13771903</v>
      </c>
      <c r="Q94" s="591">
        <f>SUM(L94:P94)</f>
        <v>53273976.801075004</v>
      </c>
      <c r="R94" s="592"/>
      <c r="S94" s="592">
        <f>Q94/Q8</f>
        <v>0.90761788724617076</v>
      </c>
      <c r="T94" s="592"/>
      <c r="U94" s="591">
        <f>U10</f>
        <v>13771903</v>
      </c>
      <c r="V94" s="591">
        <f>V10</f>
        <v>13771903</v>
      </c>
      <c r="W94" s="591">
        <f>W10</f>
        <v>13191488</v>
      </c>
      <c r="X94" s="591">
        <f>X10</f>
        <v>13640488</v>
      </c>
      <c r="Y94" s="591">
        <f>Y10</f>
        <v>14142488</v>
      </c>
      <c r="Z94" s="591">
        <f>SUM(U94:Y94)</f>
        <v>68518270</v>
      </c>
      <c r="AA94" s="592"/>
      <c r="AB94" s="592">
        <f>Z94/Z8</f>
        <v>0.85209758156487847</v>
      </c>
      <c r="AC94" s="592"/>
    </row>
    <row r="95" spans="1:29" s="228" customFormat="1" hidden="1">
      <c r="A95" s="1083" t="s">
        <v>137</v>
      </c>
      <c r="B95" s="581" t="s">
        <v>494</v>
      </c>
      <c r="C95" s="583"/>
      <c r="D95" s="583">
        <f>D94/C94</f>
        <v>1.1605034813689843</v>
      </c>
      <c r="E95" s="583">
        <f>E94/D94</f>
        <v>1.1981552401591851</v>
      </c>
      <c r="F95" s="583">
        <f>F94/E94</f>
        <v>1.0935440214673533</v>
      </c>
      <c r="G95" s="583">
        <f>G94/F94</f>
        <v>1.1644353585260347</v>
      </c>
      <c r="H95" s="583">
        <f>H94/G94</f>
        <v>1.0886115690340696</v>
      </c>
      <c r="I95" s="583"/>
      <c r="J95" s="583">
        <f>(D95*E95*F95*G95*H95)^(1/5)-1</f>
        <v>0.14024145921695053</v>
      </c>
      <c r="K95" s="583"/>
      <c r="L95" s="583">
        <f>L94/H94</f>
        <v>1.0446006055865622</v>
      </c>
      <c r="M95" s="583">
        <f>M94/L94</f>
        <v>1.1623839292824962</v>
      </c>
      <c r="N95" s="583">
        <f>N94/M94</f>
        <v>1.034139425702385</v>
      </c>
      <c r="O95" s="583">
        <f>O94/N94</f>
        <v>0.98929765889696064</v>
      </c>
      <c r="P95" s="583">
        <f>P94/O94</f>
        <v>1.3349909684879038</v>
      </c>
      <c r="Q95" s="583"/>
      <c r="R95" s="583">
        <f>(L95*M95*N95*O95*P95)^(1/5)-1</f>
        <v>0.10646289604659676</v>
      </c>
      <c r="S95" s="583"/>
      <c r="T95" s="583"/>
      <c r="U95" s="583">
        <f>U94/P94</f>
        <v>1</v>
      </c>
      <c r="V95" s="583">
        <f>V94/U94</f>
        <v>1</v>
      </c>
      <c r="W95" s="583">
        <f>W94/V94</f>
        <v>0.95785513447197534</v>
      </c>
      <c r="X95" s="583">
        <f>X94/W94</f>
        <v>1.0340371002877007</v>
      </c>
      <c r="Y95" s="583">
        <f>Y94/X94</f>
        <v>1.036802202384548</v>
      </c>
      <c r="Z95" s="583"/>
      <c r="AA95" s="583">
        <f>(U95*V95*W95*X95*Y95)^(1/5)-1</f>
        <v>5.3247458459089181E-3</v>
      </c>
      <c r="AB95" s="583"/>
      <c r="AC95" s="583"/>
    </row>
    <row r="96" spans="1:29" s="228" customFormat="1" hidden="1">
      <c r="A96" s="1083" t="s">
        <v>137</v>
      </c>
      <c r="B96" s="581" t="s">
        <v>605</v>
      </c>
      <c r="C96" s="583"/>
      <c r="D96" s="583">
        <f>D94/D8</f>
        <v>0.90621053771439442</v>
      </c>
      <c r="E96" s="583">
        <f>E94/E8</f>
        <v>0.89724117480132248</v>
      </c>
      <c r="F96" s="583">
        <f>F94/F8</f>
        <v>0.89433074820893232</v>
      </c>
      <c r="G96" s="583">
        <f>G94/G8</f>
        <v>0.93486348259215546</v>
      </c>
      <c r="H96" s="583">
        <f>H94/H8</f>
        <v>0.93959987029095349</v>
      </c>
      <c r="I96" s="583"/>
      <c r="J96" s="583"/>
      <c r="K96" s="583">
        <f>AVERAGE(D96:H96)</f>
        <v>0.91444916272155174</v>
      </c>
      <c r="L96" s="583">
        <f>L94/L8</f>
        <v>0.91936440815669718</v>
      </c>
      <c r="M96" s="583">
        <f>M94/M8</f>
        <v>0.93147000596987972</v>
      </c>
      <c r="N96" s="583">
        <f>N94/N8</f>
        <v>0.85151987113084715</v>
      </c>
      <c r="O96" s="583">
        <f>O94/O8</f>
        <v>0.9207402728580929</v>
      </c>
      <c r="P96" s="583">
        <f>P94/P8</f>
        <v>0.9190228526798393</v>
      </c>
      <c r="Q96" s="583"/>
      <c r="R96" s="583"/>
      <c r="S96" s="583">
        <f>AVERAGE(L96:P96)</f>
        <v>0.90842348215907121</v>
      </c>
      <c r="T96" s="583"/>
      <c r="U96" s="583">
        <f>U94/U8</f>
        <v>0.9190228526798393</v>
      </c>
      <c r="V96" s="583">
        <f>V94/V8</f>
        <v>0.9190228526798393</v>
      </c>
      <c r="W96" s="583">
        <f>W94/W8</f>
        <v>0.83551269452851584</v>
      </c>
      <c r="X96" s="583">
        <f>X94/X8</f>
        <v>0.8139432804464164</v>
      </c>
      <c r="Y96" s="583">
        <f>Y94/Y8</f>
        <v>0.79036907430867165</v>
      </c>
      <c r="Z96" s="583">
        <f>AVERAGE(U96:Y96)</f>
        <v>0.85557415092865641</v>
      </c>
      <c r="AA96" s="583"/>
      <c r="AB96" s="583">
        <f>(U96*V96*W96*X96*Y96)^(1/5)</f>
        <v>0.85389791097726775</v>
      </c>
      <c r="AC96" s="583"/>
    </row>
    <row r="97" spans="1:29" s="289" customFormat="1" hidden="1">
      <c r="A97" s="486" t="s">
        <v>34</v>
      </c>
      <c r="B97" s="622" t="s">
        <v>31</v>
      </c>
      <c r="C97" s="326">
        <f t="shared" ref="C97:H97" si="59">C11</f>
        <v>881389.27447200008</v>
      </c>
      <c r="D97" s="326">
        <f t="shared" si="59"/>
        <v>1296865.3711568909</v>
      </c>
      <c r="E97" s="326">
        <f t="shared" si="59"/>
        <v>1283487.4238549999</v>
      </c>
      <c r="F97" s="326">
        <f t="shared" si="59"/>
        <v>1221622.2457999999</v>
      </c>
      <c r="G97" s="326">
        <f t="shared" si="59"/>
        <v>1952654.9714940002</v>
      </c>
      <c r="H97" s="326">
        <f t="shared" si="59"/>
        <v>1868861</v>
      </c>
      <c r="I97" s="326">
        <f>SUM(D97:H97)</f>
        <v>7623491.0123058911</v>
      </c>
      <c r="J97" s="488"/>
      <c r="K97" s="488"/>
      <c r="L97" s="326">
        <f>L11</f>
        <v>2029265</v>
      </c>
      <c r="M97" s="326">
        <f>M11</f>
        <v>1800118</v>
      </c>
      <c r="N97" s="326">
        <f>N11</f>
        <v>2605155</v>
      </c>
      <c r="O97" s="326">
        <f>O11</f>
        <v>1919429</v>
      </c>
      <c r="P97" s="326">
        <f>P11</f>
        <v>3748957</v>
      </c>
      <c r="Q97" s="326">
        <f>SUM(L97:P97)</f>
        <v>12102924</v>
      </c>
      <c r="R97" s="488"/>
      <c r="S97" s="488"/>
      <c r="T97" s="488"/>
      <c r="U97" s="326">
        <f>U11</f>
        <v>3748957</v>
      </c>
      <c r="V97" s="326">
        <f>V11</f>
        <v>3748957</v>
      </c>
      <c r="W97" s="326">
        <f>W11</f>
        <v>3561000</v>
      </c>
      <c r="X97" s="326">
        <f>X11</f>
        <v>3585000</v>
      </c>
      <c r="Y97" s="326">
        <f>Y11</f>
        <v>3611000</v>
      </c>
      <c r="Z97" s="326">
        <f>SUM(U97:Y97)</f>
        <v>18254914</v>
      </c>
      <c r="AA97" s="488"/>
      <c r="AB97" s="488"/>
      <c r="AC97" s="488"/>
    </row>
    <row r="98" spans="1:29" s="1087" customFormat="1" hidden="1">
      <c r="A98" s="1083" t="s">
        <v>137</v>
      </c>
      <c r="B98" s="581" t="s">
        <v>494</v>
      </c>
      <c r="C98" s="583"/>
      <c r="D98" s="583">
        <f>D97/C97</f>
        <v>1.4713877383336478</v>
      </c>
      <c r="E98" s="583">
        <f>E97/D97</f>
        <v>0.98968439777988915</v>
      </c>
      <c r="F98" s="583">
        <f>F97/E97</f>
        <v>0.95179915525063286</v>
      </c>
      <c r="G98" s="583">
        <f>G97/F97</f>
        <v>1.5984114387302035</v>
      </c>
      <c r="H98" s="583">
        <f>H97/G97</f>
        <v>0.95708715942279943</v>
      </c>
      <c r="I98" s="583"/>
      <c r="J98" s="583">
        <f>(D98*E98*F98*G98*H98)^(1/5)-1</f>
        <v>0.16220261413492998</v>
      </c>
      <c r="K98" s="583"/>
      <c r="L98" s="583">
        <f>L97/H97</f>
        <v>1.0858298182689885</v>
      </c>
      <c r="M98" s="583">
        <f>M97/L97</f>
        <v>0.8870788191783725</v>
      </c>
      <c r="N98" s="583">
        <f>N97/M97</f>
        <v>1.4472134604509259</v>
      </c>
      <c r="O98" s="583">
        <f>O97/N97</f>
        <v>0.73678111283205794</v>
      </c>
      <c r="P98" s="583">
        <f>P97/O97</f>
        <v>1.953162633262288</v>
      </c>
      <c r="Q98" s="583"/>
      <c r="R98" s="583">
        <f>(L98*M98*N98*O98*P98)^(1/5)-1</f>
        <v>0.14938808724773844</v>
      </c>
      <c r="S98" s="583"/>
      <c r="T98" s="583"/>
      <c r="U98" s="583">
        <f>U97/P97</f>
        <v>1</v>
      </c>
      <c r="V98" s="583">
        <f>V97/U97</f>
        <v>1</v>
      </c>
      <c r="W98" s="583">
        <f>W97/V97</f>
        <v>0.94986418889307078</v>
      </c>
      <c r="X98" s="583">
        <f>X97/W97</f>
        <v>1.0067396798652064</v>
      </c>
      <c r="Y98" s="583">
        <f>Y97/X97</f>
        <v>1.0072524407252441</v>
      </c>
      <c r="Z98" s="583"/>
      <c r="AA98" s="583">
        <f>(U98*V98*W98*X98*Y98)^(1/5)-1</f>
        <v>-7.4705408851564181E-3</v>
      </c>
      <c r="AB98" s="583"/>
      <c r="AC98" s="583"/>
    </row>
    <row r="99" spans="1:29" s="234" customFormat="1" hidden="1">
      <c r="A99" s="491" t="s">
        <v>137</v>
      </c>
      <c r="B99" s="1085" t="s">
        <v>29</v>
      </c>
      <c r="C99" s="583">
        <f t="shared" ref="C99:H99" si="60">C97/C94</f>
        <v>0.20457012967758861</v>
      </c>
      <c r="D99" s="583">
        <f t="shared" si="60"/>
        <v>0.25937188924401339</v>
      </c>
      <c r="E99" s="583">
        <f t="shared" si="60"/>
        <v>0.21424294899665022</v>
      </c>
      <c r="F99" s="583">
        <f t="shared" si="60"/>
        <v>0.18647283865152001</v>
      </c>
      <c r="G99" s="583">
        <f t="shared" si="60"/>
        <v>0.2559698278918392</v>
      </c>
      <c r="H99" s="583">
        <f t="shared" si="60"/>
        <v>0.22504393894354807</v>
      </c>
      <c r="I99" s="583">
        <f>(D99*E99*F99*G99*H99)^(1/5)</f>
        <v>0.22655842895540435</v>
      </c>
      <c r="J99" s="583"/>
      <c r="K99" s="583"/>
      <c r="L99" s="583">
        <f>L97/L94</f>
        <v>0.23392617046052536</v>
      </c>
      <c r="M99" s="583">
        <f>M97/M94</f>
        <v>0.17852186858358546</v>
      </c>
      <c r="N99" s="583">
        <f>N97/N94</f>
        <v>0.2498301919236269</v>
      </c>
      <c r="O99" s="583">
        <f>O97/O94</f>
        <v>0.18606146003597096</v>
      </c>
      <c r="P99" s="583">
        <f>P97/P94</f>
        <v>0.27221779009044722</v>
      </c>
      <c r="Q99" s="583">
        <f>(L99*M99*N99*O99*P99)^(1/5)</f>
        <v>0.22110451805533216</v>
      </c>
      <c r="R99" s="583"/>
      <c r="S99" s="583"/>
      <c r="T99" s="583">
        <f>Q99-I99</f>
        <v>-5.4539109000721897E-3</v>
      </c>
      <c r="U99" s="583">
        <f>U97/U94</f>
        <v>0.27221779009044722</v>
      </c>
      <c r="V99" s="583">
        <f>V97/V94</f>
        <v>0.27221779009044722</v>
      </c>
      <c r="W99" s="583">
        <f>W97/W94</f>
        <v>0.26994680205902472</v>
      </c>
      <c r="X99" s="583">
        <f>X97/X94</f>
        <v>0.26282050906096616</v>
      </c>
      <c r="Y99" s="583">
        <f>Y97/Y94</f>
        <v>0.25532989669144496</v>
      </c>
      <c r="Z99" s="583">
        <f>(U99*V99*W99*X99*Y99)^(1/5)</f>
        <v>0.2664246618994216</v>
      </c>
      <c r="AA99" s="583"/>
      <c r="AB99" s="583"/>
      <c r="AC99" s="583">
        <f>Z99-Q99</f>
        <v>4.5320143844089444E-2</v>
      </c>
    </row>
    <row r="100" spans="1:29" s="289" customFormat="1" hidden="1">
      <c r="A100" s="486" t="s">
        <v>35</v>
      </c>
      <c r="B100" s="622" t="s">
        <v>58</v>
      </c>
      <c r="C100" s="326">
        <f t="shared" ref="C100:H100" si="61">C16</f>
        <v>2567842.2054460002</v>
      </c>
      <c r="D100" s="326">
        <f t="shared" si="61"/>
        <v>3701157.4722469999</v>
      </c>
      <c r="E100" s="326">
        <f t="shared" si="61"/>
        <v>4705316.1468850002</v>
      </c>
      <c r="F100" s="326">
        <f t="shared" si="61"/>
        <v>5327585.1827680003</v>
      </c>
      <c r="G100" s="326">
        <f t="shared" si="61"/>
        <v>5673802.5993690006</v>
      </c>
      <c r="H100" s="326">
        <f t="shared" si="61"/>
        <v>5943201.1655269992</v>
      </c>
      <c r="I100" s="326">
        <f>SUM(D100:H100)</f>
        <v>25351062.566796005</v>
      </c>
      <c r="J100" s="488"/>
      <c r="K100" s="488"/>
      <c r="L100" s="326">
        <f>L16</f>
        <v>6231312.6461589998</v>
      </c>
      <c r="M100" s="326">
        <f>M16</f>
        <v>7010541.32228</v>
      </c>
      <c r="N100" s="326">
        <f>N16</f>
        <v>7541051.8326360006</v>
      </c>
      <c r="O100" s="326">
        <f>O16</f>
        <v>8394673</v>
      </c>
      <c r="P100" s="326">
        <f>P16</f>
        <v>9458532</v>
      </c>
      <c r="Q100" s="326">
        <f>SUM(L100:P100)</f>
        <v>38636110.801074997</v>
      </c>
      <c r="R100" s="488"/>
      <c r="S100" s="488"/>
      <c r="T100" s="488"/>
      <c r="U100" s="326">
        <f>U16</f>
        <v>9458532</v>
      </c>
      <c r="V100" s="326">
        <f>V16</f>
        <v>9458532</v>
      </c>
      <c r="W100" s="326">
        <f>W16</f>
        <v>9353865</v>
      </c>
      <c r="X100" s="326">
        <f>X16</f>
        <v>9555000</v>
      </c>
      <c r="Y100" s="326">
        <f>Y16</f>
        <v>9775000</v>
      </c>
      <c r="Z100" s="326">
        <f>SUM(U100:Y100)</f>
        <v>47600929</v>
      </c>
      <c r="AA100" s="488"/>
      <c r="AB100" s="488"/>
      <c r="AC100" s="488"/>
    </row>
    <row r="101" spans="1:29" s="289" customFormat="1" hidden="1">
      <c r="A101" s="1083" t="s">
        <v>137</v>
      </c>
      <c r="B101" s="581" t="s">
        <v>494</v>
      </c>
      <c r="C101" s="583"/>
      <c r="D101" s="583">
        <f>D100/C100</f>
        <v>1.4413492637504794</v>
      </c>
      <c r="E101" s="583">
        <f>E100/D100</f>
        <v>1.2713093625893113</v>
      </c>
      <c r="F101" s="583">
        <f>F100/E100</f>
        <v>1.1322480820539451</v>
      </c>
      <c r="G101" s="583">
        <f>G100/F100</f>
        <v>1.0649858058996102</v>
      </c>
      <c r="H101" s="583">
        <f>H100/G100</f>
        <v>1.0474811312941974</v>
      </c>
      <c r="I101" s="583"/>
      <c r="J101" s="583">
        <f>(D101*E101*F101*G101*H101)^(1/5)-1</f>
        <v>0.18274309036120373</v>
      </c>
      <c r="K101" s="583"/>
      <c r="L101" s="583">
        <f>L100/H100</f>
        <v>1.0484774909358892</v>
      </c>
      <c r="M101" s="583">
        <f>M100/L100</f>
        <v>1.1250504862087636</v>
      </c>
      <c r="N101" s="583">
        <f>N100/M100</f>
        <v>1.0756732591633118</v>
      </c>
      <c r="O101" s="583">
        <f>O100/N100</f>
        <v>1.1131965654538689</v>
      </c>
      <c r="P101" s="583">
        <f>P100/O100</f>
        <v>1.1267302490519882</v>
      </c>
      <c r="Q101" s="583"/>
      <c r="R101" s="583">
        <f>(L101*M101*N101*O101*P101)^(1/5)-1</f>
        <v>9.7389148553781446E-2</v>
      </c>
      <c r="S101" s="583"/>
      <c r="T101" s="583"/>
      <c r="U101" s="583">
        <f>U100/P100</f>
        <v>1</v>
      </c>
      <c r="V101" s="583">
        <f>V100/U100</f>
        <v>1</v>
      </c>
      <c r="W101" s="583">
        <f>W100/V100</f>
        <v>0.98893411789482766</v>
      </c>
      <c r="X101" s="583">
        <f>X100/W100</f>
        <v>1.0215028760838434</v>
      </c>
      <c r="Y101" s="583">
        <f>Y100/X100</f>
        <v>1.023024594453166</v>
      </c>
      <c r="Z101" s="583"/>
      <c r="AA101" s="583">
        <f>(U101*V101*W101*X101*Y101)^(1/5)-1</f>
        <v>6.6038930838943077E-3</v>
      </c>
      <c r="AB101" s="583"/>
      <c r="AC101" s="583"/>
    </row>
    <row r="102" spans="1:29" s="234" customFormat="1" hidden="1">
      <c r="A102" s="491" t="s">
        <v>137</v>
      </c>
      <c r="B102" s="1085" t="s">
        <v>29</v>
      </c>
      <c r="C102" s="583">
        <f>C100/C94</f>
        <v>0.59599524089325784</v>
      </c>
      <c r="D102" s="583">
        <f t="shared" ref="D102:I102" si="62">D100/D94</f>
        <v>0.74022811258345056</v>
      </c>
      <c r="E102" s="583">
        <f t="shared" si="62"/>
        <v>0.7854232059729821</v>
      </c>
      <c r="F102" s="583">
        <f t="shared" si="62"/>
        <v>0.81322187411375157</v>
      </c>
      <c r="G102" s="583">
        <f t="shared" si="62"/>
        <v>0.74376799591049281</v>
      </c>
      <c r="H102" s="583">
        <f t="shared" si="62"/>
        <v>0.71566660132780435</v>
      </c>
      <c r="I102" s="583">
        <f t="shared" si="62"/>
        <v>0.7573151375078313</v>
      </c>
      <c r="J102" s="583"/>
      <c r="K102" s="583"/>
      <c r="L102" s="583">
        <f>L100/L94</f>
        <v>0.71832269529027382</v>
      </c>
      <c r="M102" s="583">
        <f>M100/M94</f>
        <v>0.69525160941441921</v>
      </c>
      <c r="N102" s="583">
        <f>N100/N94</f>
        <v>0.72317479253766881</v>
      </c>
      <c r="O102" s="583">
        <f>O100/O94</f>
        <v>0.81374466828652914</v>
      </c>
      <c r="P102" s="583">
        <f>P100/P94</f>
        <v>0.68679920269551709</v>
      </c>
      <c r="Q102" s="583">
        <f>(L102*M102*N102*O102*P102)^(1/5)</f>
        <v>0.72611358445432173</v>
      </c>
      <c r="R102" s="583"/>
      <c r="S102" s="583"/>
      <c r="T102" s="583"/>
      <c r="U102" s="583">
        <f>U100/U94</f>
        <v>0.68679920269551709</v>
      </c>
      <c r="V102" s="583">
        <f>V100/V94</f>
        <v>0.68679920269551709</v>
      </c>
      <c r="W102" s="583">
        <f>W100/W94</f>
        <v>0.70908338771183355</v>
      </c>
      <c r="X102" s="583">
        <f>X100/X94</f>
        <v>0.70048813502860019</v>
      </c>
      <c r="Y102" s="583">
        <f>Y100/Y94</f>
        <v>0.69117965664881598</v>
      </c>
      <c r="Z102" s="583">
        <f>(U102*V102*W102*X102*Y102)^(1/5)</f>
        <v>0.69481585691533676</v>
      </c>
      <c r="AA102" s="583"/>
      <c r="AB102" s="583"/>
      <c r="AC102" s="583"/>
    </row>
    <row r="103" spans="1:29" s="289" customFormat="1" hidden="1">
      <c r="A103" s="486" t="s">
        <v>36</v>
      </c>
      <c r="B103" s="622" t="s">
        <v>302</v>
      </c>
      <c r="C103" s="326">
        <f t="shared" ref="C103:H103" si="63">C32</f>
        <v>0</v>
      </c>
      <c r="D103" s="326">
        <f t="shared" si="63"/>
        <v>0</v>
      </c>
      <c r="E103" s="326">
        <f t="shared" si="63"/>
        <v>0</v>
      </c>
      <c r="F103" s="326">
        <f t="shared" si="63"/>
        <v>0</v>
      </c>
      <c r="G103" s="326">
        <f t="shared" si="63"/>
        <v>0</v>
      </c>
      <c r="H103" s="326">
        <f t="shared" si="63"/>
        <v>0</v>
      </c>
      <c r="I103" s="326">
        <f>SUM(D103:H103)</f>
        <v>0</v>
      </c>
      <c r="J103" s="488"/>
      <c r="K103" s="488"/>
      <c r="L103" s="326">
        <f>L32</f>
        <v>0</v>
      </c>
      <c r="M103" s="326">
        <f>M32</f>
        <v>0</v>
      </c>
      <c r="N103" s="326">
        <f>N32</f>
        <v>0</v>
      </c>
      <c r="O103" s="326">
        <f>O32</f>
        <v>0</v>
      </c>
      <c r="P103" s="326">
        <f>P32</f>
        <v>560414</v>
      </c>
      <c r="Q103" s="326">
        <f>SUM(L103:P103)</f>
        <v>560414</v>
      </c>
      <c r="R103" s="488"/>
      <c r="S103" s="488"/>
      <c r="T103" s="488"/>
      <c r="U103" s="326">
        <f>U32</f>
        <v>560414</v>
      </c>
      <c r="V103" s="326">
        <f>V32</f>
        <v>560414</v>
      </c>
      <c r="W103" s="326">
        <f>W32</f>
        <v>0</v>
      </c>
      <c r="X103" s="326">
        <f>X32</f>
        <v>217488</v>
      </c>
      <c r="Y103" s="326">
        <f>Y32</f>
        <v>466488</v>
      </c>
      <c r="Z103" s="326">
        <f>SUM(U103:Y103)</f>
        <v>1804804</v>
      </c>
      <c r="AA103" s="488"/>
      <c r="AB103" s="488"/>
      <c r="AC103" s="488"/>
    </row>
    <row r="104" spans="1:29" s="289" customFormat="1" hidden="1">
      <c r="A104" s="1083" t="s">
        <v>137</v>
      </c>
      <c r="B104" s="581" t="s">
        <v>494</v>
      </c>
      <c r="C104" s="583"/>
      <c r="D104" s="583"/>
      <c r="E104" s="583"/>
      <c r="F104" s="583"/>
      <c r="G104" s="583"/>
      <c r="H104" s="583"/>
      <c r="I104" s="583"/>
      <c r="J104" s="583"/>
      <c r="K104" s="583"/>
      <c r="L104" s="583"/>
      <c r="M104" s="583"/>
      <c r="N104" s="583"/>
      <c r="O104" s="583"/>
      <c r="P104" s="583"/>
      <c r="Q104" s="583"/>
      <c r="R104" s="583"/>
      <c r="S104" s="583"/>
      <c r="T104" s="583"/>
      <c r="U104" s="583"/>
      <c r="V104" s="583"/>
      <c r="W104" s="583"/>
      <c r="X104" s="583"/>
      <c r="Y104" s="583"/>
      <c r="Z104" s="583"/>
      <c r="AA104" s="583"/>
      <c r="AB104" s="583"/>
      <c r="AC104" s="583"/>
    </row>
    <row r="105" spans="1:29" s="234" customFormat="1" hidden="1">
      <c r="A105" s="491" t="s">
        <v>137</v>
      </c>
      <c r="B105" s="1085" t="s">
        <v>29</v>
      </c>
      <c r="C105" s="583">
        <f>C103/C94</f>
        <v>0</v>
      </c>
      <c r="D105" s="583">
        <f t="shared" ref="D105:I105" si="64">D103/D94</f>
        <v>0</v>
      </c>
      <c r="E105" s="583">
        <f t="shared" si="64"/>
        <v>0</v>
      </c>
      <c r="F105" s="583">
        <f t="shared" si="64"/>
        <v>0</v>
      </c>
      <c r="G105" s="583">
        <f t="shared" si="64"/>
        <v>0</v>
      </c>
      <c r="H105" s="583">
        <f t="shared" si="64"/>
        <v>0</v>
      </c>
      <c r="I105" s="583">
        <f t="shared" si="64"/>
        <v>0</v>
      </c>
      <c r="J105" s="583"/>
      <c r="K105" s="583"/>
      <c r="L105" s="583">
        <f t="shared" ref="L105:Q105" si="65">L103/L94</f>
        <v>0</v>
      </c>
      <c r="M105" s="583">
        <f t="shared" si="65"/>
        <v>0</v>
      </c>
      <c r="N105" s="583">
        <f t="shared" si="65"/>
        <v>0</v>
      </c>
      <c r="O105" s="583">
        <f t="shared" si="65"/>
        <v>0</v>
      </c>
      <c r="P105" s="583">
        <f t="shared" si="65"/>
        <v>4.0692560788440059E-2</v>
      </c>
      <c r="Q105" s="583">
        <f t="shared" si="65"/>
        <v>1.0519469986116966E-2</v>
      </c>
      <c r="R105" s="583"/>
      <c r="S105" s="583"/>
      <c r="T105" s="583"/>
      <c r="U105" s="583">
        <f t="shared" ref="U105:Z105" si="66">U103/U94</f>
        <v>4.0692560788440059E-2</v>
      </c>
      <c r="V105" s="583">
        <f t="shared" si="66"/>
        <v>4.0692560788440059E-2</v>
      </c>
      <c r="W105" s="583">
        <f t="shared" si="66"/>
        <v>0</v>
      </c>
      <c r="X105" s="583">
        <f t="shared" si="66"/>
        <v>1.5944297594045021E-2</v>
      </c>
      <c r="Y105" s="583">
        <f>Y103/Y94</f>
        <v>3.2984860938188525E-2</v>
      </c>
      <c r="Z105" s="583">
        <f t="shared" si="66"/>
        <v>2.6340478240329184E-2</v>
      </c>
      <c r="AA105" s="583"/>
      <c r="AB105" s="583"/>
      <c r="AC105" s="583"/>
    </row>
    <row r="106" spans="1:29" s="289" customFormat="1" hidden="1">
      <c r="A106" s="486" t="s">
        <v>37</v>
      </c>
      <c r="B106" s="622" t="s">
        <v>606</v>
      </c>
      <c r="C106" s="326">
        <f t="shared" ref="C106:H106" si="67">C94-C97-C100-C103</f>
        <v>859263</v>
      </c>
      <c r="D106" s="326">
        <f t="shared" si="67"/>
        <v>2000</v>
      </c>
      <c r="E106" s="326">
        <f t="shared" si="67"/>
        <v>2000</v>
      </c>
      <c r="F106" s="326">
        <f t="shared" si="67"/>
        <v>2000</v>
      </c>
      <c r="G106" s="326">
        <f t="shared" si="67"/>
        <v>2000</v>
      </c>
      <c r="H106" s="326">
        <f t="shared" si="67"/>
        <v>492365</v>
      </c>
      <c r="I106" s="326">
        <f>SUM(D106:H106)</f>
        <v>500365</v>
      </c>
      <c r="J106" s="488"/>
      <c r="K106" s="488"/>
      <c r="L106" s="326">
        <f>L94-L97-L100-L103</f>
        <v>414232.00000000093</v>
      </c>
      <c r="M106" s="326">
        <f>M94-M97-M100-M103</f>
        <v>1272800.0000000009</v>
      </c>
      <c r="N106" s="326">
        <f>N94-N97-N100-N103</f>
        <v>281496</v>
      </c>
      <c r="O106" s="326">
        <f>O94-O97-O100-O103</f>
        <v>2000</v>
      </c>
      <c r="P106" s="326">
        <f>P94-P97-P100-P103</f>
        <v>4000</v>
      </c>
      <c r="Q106" s="326">
        <f>SUM(L106:P106)</f>
        <v>1974528.0000000019</v>
      </c>
      <c r="R106" s="488"/>
      <c r="S106" s="488"/>
      <c r="T106" s="488"/>
      <c r="U106" s="326">
        <f>U94-U97-U100-U103</f>
        <v>4000</v>
      </c>
      <c r="V106" s="326">
        <f>V94-V97-V100-V103</f>
        <v>4000</v>
      </c>
      <c r="W106" s="326">
        <f>W94-W97-W100-W103</f>
        <v>276623</v>
      </c>
      <c r="X106" s="326">
        <f>X94-X97-X100-X103</f>
        <v>283000</v>
      </c>
      <c r="Y106" s="326">
        <f>Y94-Y97-Y100-Y103</f>
        <v>290000</v>
      </c>
      <c r="Z106" s="326">
        <f>SUM(U106:Y106)</f>
        <v>857623</v>
      </c>
      <c r="AA106" s="488"/>
      <c r="AB106" s="488"/>
      <c r="AC106" s="488"/>
    </row>
    <row r="107" spans="1:29" s="289" customFormat="1" hidden="1">
      <c r="A107" s="1083" t="s">
        <v>137</v>
      </c>
      <c r="B107" s="581" t="s">
        <v>494</v>
      </c>
      <c r="C107" s="583"/>
      <c r="D107" s="583">
        <f>D106/C106</f>
        <v>2.3275760739145056E-3</v>
      </c>
      <c r="E107" s="583">
        <f>E106/D106</f>
        <v>1</v>
      </c>
      <c r="F107" s="583">
        <f>F106/E106</f>
        <v>1</v>
      </c>
      <c r="G107" s="583">
        <f>G106/F106</f>
        <v>1</v>
      </c>
      <c r="H107" s="583">
        <f>H106/G106</f>
        <v>246.1825</v>
      </c>
      <c r="I107" s="583"/>
      <c r="J107" s="583">
        <f>(D107*E107*F107*G107*H107)^(1/5)-1</f>
        <v>-0.10539316412243604</v>
      </c>
      <c r="K107" s="583"/>
      <c r="L107" s="583">
        <f>L106/H106</f>
        <v>0.8413108161628079</v>
      </c>
      <c r="M107" s="583">
        <f>M106/L106</f>
        <v>3.0726742501786393</v>
      </c>
      <c r="N107" s="583">
        <f>N106/M106</f>
        <v>0.22116279069767425</v>
      </c>
      <c r="O107" s="583">
        <f>O106/N106</f>
        <v>7.1048966948020573E-3</v>
      </c>
      <c r="P107" s="583">
        <f>P106/O106</f>
        <v>2</v>
      </c>
      <c r="Q107" s="583"/>
      <c r="R107" s="583">
        <f>(L107*M107*N107*O107*P107)^(1/5)-1</f>
        <v>-0.6180956865288183</v>
      </c>
      <c r="S107" s="583"/>
      <c r="T107" s="583"/>
      <c r="U107" s="583">
        <f>U106/P106</f>
        <v>1</v>
      </c>
      <c r="V107" s="583">
        <f>V106/U106</f>
        <v>1</v>
      </c>
      <c r="W107" s="583">
        <f>W106/V106</f>
        <v>69.155749999999998</v>
      </c>
      <c r="X107" s="583">
        <f>X106/W106</f>
        <v>1.0230530360815984</v>
      </c>
      <c r="Y107" s="583">
        <f>Y106/X106</f>
        <v>1.0247349823321554</v>
      </c>
      <c r="Z107" s="583"/>
      <c r="AA107" s="583">
        <f>(U107*V107*W107*X107*Y107)^(1/5)-1</f>
        <v>1.355415894167554</v>
      </c>
      <c r="AB107" s="583"/>
      <c r="AC107" s="583"/>
    </row>
    <row r="108" spans="1:29" s="234" customFormat="1" hidden="1">
      <c r="A108" s="491" t="s">
        <v>137</v>
      </c>
      <c r="B108" s="1085" t="s">
        <v>29</v>
      </c>
      <c r="C108" s="583">
        <f>C106/C94</f>
        <v>0.19943462942915355</v>
      </c>
      <c r="D108" s="583">
        <f t="shared" ref="D108:I108" si="68">D106/D94</f>
        <v>3.9999817253603785E-4</v>
      </c>
      <c r="E108" s="583">
        <f t="shared" si="68"/>
        <v>3.3384503036759634E-4</v>
      </c>
      <c r="F108" s="583">
        <f t="shared" si="68"/>
        <v>3.0528723472844936E-4</v>
      </c>
      <c r="G108" s="583">
        <f t="shared" si="68"/>
        <v>2.6217619766793061E-4</v>
      </c>
      <c r="H108" s="583">
        <f t="shared" si="68"/>
        <v>5.9289459728647582E-2</v>
      </c>
      <c r="I108" s="583">
        <f t="shared" si="68"/>
        <v>1.4947459806888781E-2</v>
      </c>
      <c r="J108" s="583"/>
      <c r="K108" s="583"/>
      <c r="L108" s="583">
        <f t="shared" ref="L108:Q108" si="69">L106/L94</f>
        <v>4.7751134249200848E-2</v>
      </c>
      <c r="M108" s="583">
        <f t="shared" si="69"/>
        <v>0.12622652200199527</v>
      </c>
      <c r="N108" s="583">
        <f t="shared" si="69"/>
        <v>2.6995015538704332E-2</v>
      </c>
      <c r="O108" s="583">
        <f t="shared" si="69"/>
        <v>1.9387167749989289E-4</v>
      </c>
      <c r="P108" s="583">
        <f t="shared" si="69"/>
        <v>2.9044642559564936E-4</v>
      </c>
      <c r="Q108" s="583">
        <f t="shared" si="69"/>
        <v>3.70636494319335E-2</v>
      </c>
      <c r="R108" s="583"/>
      <c r="S108" s="583"/>
      <c r="T108" s="583"/>
      <c r="U108" s="583">
        <f t="shared" ref="U108:Z108" si="70">U106/U94</f>
        <v>2.9044642559564936E-4</v>
      </c>
      <c r="V108" s="583">
        <f t="shared" si="70"/>
        <v>2.9044642559564936E-4</v>
      </c>
      <c r="W108" s="583">
        <f t="shared" si="70"/>
        <v>2.0969810229141701E-2</v>
      </c>
      <c r="X108" s="583">
        <f t="shared" si="70"/>
        <v>2.0747058316388681E-2</v>
      </c>
      <c r="Y108" s="583">
        <f>Y106/Y94</f>
        <v>2.0505585721550552E-2</v>
      </c>
      <c r="Z108" s="583">
        <f t="shared" si="70"/>
        <v>1.2516705398428769E-2</v>
      </c>
      <c r="AA108" s="583"/>
      <c r="AB108" s="583"/>
      <c r="AC108" s="583"/>
    </row>
    <row r="109" spans="1:29" s="228" customFormat="1" ht="31.2" hidden="1">
      <c r="A109" s="1043">
        <v>13</v>
      </c>
      <c r="B109" s="590" t="s">
        <v>607</v>
      </c>
      <c r="C109" s="591">
        <f t="shared" ref="C109:H110" si="71">C11</f>
        <v>881389.27447200008</v>
      </c>
      <c r="D109" s="591">
        <f t="shared" si="71"/>
        <v>1296865.3711568909</v>
      </c>
      <c r="E109" s="591">
        <f t="shared" si="71"/>
        <v>1283487.4238549999</v>
      </c>
      <c r="F109" s="591">
        <f t="shared" si="71"/>
        <v>1221622.2457999999</v>
      </c>
      <c r="G109" s="591">
        <f t="shared" si="71"/>
        <v>1952654.9714940002</v>
      </c>
      <c r="H109" s="591">
        <f t="shared" si="71"/>
        <v>1868861</v>
      </c>
      <c r="I109" s="591">
        <f>SUM(D109:H109)</f>
        <v>7623491.0123058911</v>
      </c>
      <c r="J109" s="592"/>
      <c r="K109" s="592"/>
      <c r="L109" s="591">
        <f t="shared" ref="L109:P110" si="72">L11</f>
        <v>2029265</v>
      </c>
      <c r="M109" s="591">
        <f t="shared" si="72"/>
        <v>1800118</v>
      </c>
      <c r="N109" s="591">
        <f t="shared" si="72"/>
        <v>2605155</v>
      </c>
      <c r="O109" s="591">
        <f t="shared" si="72"/>
        <v>1919429</v>
      </c>
      <c r="P109" s="591">
        <f t="shared" si="72"/>
        <v>3748957</v>
      </c>
      <c r="Q109" s="591">
        <f>SUM(L109:P109)</f>
        <v>12102924</v>
      </c>
      <c r="R109" s="592"/>
      <c r="S109" s="592"/>
      <c r="T109" s="592"/>
      <c r="U109" s="591">
        <f t="shared" ref="U109:X110" si="73">U11</f>
        <v>3748957</v>
      </c>
      <c r="V109" s="591">
        <f t="shared" si="73"/>
        <v>3748957</v>
      </c>
      <c r="W109" s="591">
        <f t="shared" si="73"/>
        <v>3561000</v>
      </c>
      <c r="X109" s="591">
        <f t="shared" si="73"/>
        <v>3585000</v>
      </c>
      <c r="Y109" s="591">
        <f>Y11</f>
        <v>3611000</v>
      </c>
      <c r="Z109" s="591">
        <f>SUM(U109:Y109)</f>
        <v>18254914</v>
      </c>
      <c r="AA109" s="592"/>
      <c r="AB109" s="592"/>
      <c r="AC109" s="592"/>
    </row>
    <row r="110" spans="1:29" s="289" customFormat="1" hidden="1">
      <c r="A110" s="486" t="s">
        <v>34</v>
      </c>
      <c r="B110" s="276" t="s">
        <v>571</v>
      </c>
      <c r="C110" s="326">
        <f t="shared" si="71"/>
        <v>249673.54338399999</v>
      </c>
      <c r="D110" s="326">
        <f t="shared" si="71"/>
        <v>478645.8879538909</v>
      </c>
      <c r="E110" s="326">
        <f t="shared" si="71"/>
        <v>473880.659055</v>
      </c>
      <c r="F110" s="326">
        <f t="shared" si="71"/>
        <v>347996.01699999999</v>
      </c>
      <c r="G110" s="326">
        <f t="shared" si="71"/>
        <v>453930.929489</v>
      </c>
      <c r="H110" s="326">
        <f t="shared" si="71"/>
        <v>494263</v>
      </c>
      <c r="I110" s="326">
        <f>SUM(D110:H110)</f>
        <v>2248716.4934978909</v>
      </c>
      <c r="J110" s="488"/>
      <c r="K110" s="488"/>
      <c r="L110" s="326">
        <f t="shared" si="72"/>
        <v>755259</v>
      </c>
      <c r="M110" s="326">
        <f t="shared" si="72"/>
        <v>553506</v>
      </c>
      <c r="N110" s="326">
        <f t="shared" si="72"/>
        <v>1113443</v>
      </c>
      <c r="O110" s="326">
        <f t="shared" si="72"/>
        <v>435314</v>
      </c>
      <c r="P110" s="326">
        <f t="shared" si="72"/>
        <v>1036180</v>
      </c>
      <c r="Q110" s="326">
        <f>SUM(L110:P110)</f>
        <v>3893702</v>
      </c>
      <c r="R110" s="488"/>
      <c r="S110" s="488"/>
      <c r="T110" s="488"/>
      <c r="U110" s="326">
        <f t="shared" si="73"/>
        <v>1036180</v>
      </c>
      <c r="V110" s="326">
        <f t="shared" si="73"/>
        <v>1036180</v>
      </c>
      <c r="W110" s="326">
        <f t="shared" si="73"/>
        <v>1061000</v>
      </c>
      <c r="X110" s="326">
        <f t="shared" si="73"/>
        <v>1085000</v>
      </c>
      <c r="Y110" s="326">
        <f>Y12</f>
        <v>1111000</v>
      </c>
      <c r="Z110" s="326">
        <f>SUM(U110:Y110)</f>
        <v>5329360</v>
      </c>
      <c r="AA110" s="488"/>
      <c r="AB110" s="488"/>
      <c r="AC110" s="488"/>
    </row>
    <row r="111" spans="1:29" s="234" customFormat="1" hidden="1">
      <c r="A111" s="491" t="s">
        <v>137</v>
      </c>
      <c r="B111" s="691" t="s">
        <v>494</v>
      </c>
      <c r="C111" s="583"/>
      <c r="D111" s="583">
        <f>D110/C110</f>
        <v>1.9170869346686426</v>
      </c>
      <c r="E111" s="583">
        <f>E110/D110</f>
        <v>0.99004435425265802</v>
      </c>
      <c r="F111" s="583">
        <f>F110/E110</f>
        <v>0.73435370351253471</v>
      </c>
      <c r="G111" s="583">
        <f>G110/F110</f>
        <v>1.3044141522142767</v>
      </c>
      <c r="H111" s="583">
        <f>H110/G110</f>
        <v>1.0888506772526003</v>
      </c>
      <c r="I111" s="583"/>
      <c r="J111" s="583">
        <f>(D111*E111*F111*G111*H111)^(1/5)-1</f>
        <v>0.1463496829624471</v>
      </c>
      <c r="K111" s="583"/>
      <c r="L111" s="583">
        <f>L110/H110</f>
        <v>1.5280508555161927</v>
      </c>
      <c r="M111" s="583">
        <f>M110/L110</f>
        <v>0.73286912171850982</v>
      </c>
      <c r="N111" s="583">
        <f>N110/M110</f>
        <v>2.0116186635736559</v>
      </c>
      <c r="O111" s="583">
        <f>O110/N110</f>
        <v>0.39096208786619524</v>
      </c>
      <c r="P111" s="583">
        <f>P110/O110</f>
        <v>2.3803047914838484</v>
      </c>
      <c r="Q111" s="583"/>
      <c r="R111" s="583">
        <f>(L111*M111*N111*O111*P111)^(1/5)-1</f>
        <v>0.15956586150538743</v>
      </c>
      <c r="S111" s="583"/>
      <c r="T111" s="583"/>
      <c r="U111" s="583">
        <f>U110/P110</f>
        <v>1</v>
      </c>
      <c r="V111" s="583">
        <f>V110/U110</f>
        <v>1</v>
      </c>
      <c r="W111" s="583">
        <f>W110/V110</f>
        <v>1.0239533671755872</v>
      </c>
      <c r="X111" s="583">
        <f>X110/W110</f>
        <v>1.0226201696512724</v>
      </c>
      <c r="Y111" s="583">
        <f>Y110/X110</f>
        <v>1.023963133640553</v>
      </c>
      <c r="Z111" s="583"/>
      <c r="AA111" s="583">
        <f>(U111*V111*W111*X111*Y111)^(1/5)-1</f>
        <v>1.4041597342391299E-2</v>
      </c>
      <c r="AB111" s="583"/>
      <c r="AC111" s="583"/>
    </row>
    <row r="112" spans="1:29" s="234" customFormat="1" hidden="1">
      <c r="A112" s="491" t="s">
        <v>137</v>
      </c>
      <c r="B112" s="691" t="s">
        <v>29</v>
      </c>
      <c r="C112" s="583">
        <f>C110/C109</f>
        <v>0.2832727270632695</v>
      </c>
      <c r="D112" s="583">
        <f t="shared" ref="D112:I112" si="74">D110/D109</f>
        <v>0.36907908762102781</v>
      </c>
      <c r="E112" s="583">
        <f t="shared" si="74"/>
        <v>0.36921332476455643</v>
      </c>
      <c r="F112" s="583">
        <f t="shared" si="74"/>
        <v>0.28486385066777248</v>
      </c>
      <c r="G112" s="583">
        <f t="shared" si="74"/>
        <v>0.2324685805304825</v>
      </c>
      <c r="H112" s="583">
        <f t="shared" si="74"/>
        <v>0.2644728527161731</v>
      </c>
      <c r="I112" s="583">
        <f t="shared" si="74"/>
        <v>0.29497201346049956</v>
      </c>
      <c r="J112" s="583"/>
      <c r="K112" s="583"/>
      <c r="L112" s="583">
        <f>L110/L109</f>
        <v>0.37218352457663245</v>
      </c>
      <c r="M112" s="583">
        <f>M110/M109</f>
        <v>0.30748317610289994</v>
      </c>
      <c r="N112" s="583">
        <f>N110/N109</f>
        <v>0.42739990518798304</v>
      </c>
      <c r="O112" s="583">
        <f>O110/O109</f>
        <v>0.22679348910535374</v>
      </c>
      <c r="P112" s="583">
        <f>P110/P109</f>
        <v>0.27639154036709412</v>
      </c>
      <c r="Q112" s="583">
        <f>(L112*M112*N112*O112*P112)^(1/5)</f>
        <v>0.31427776110163291</v>
      </c>
      <c r="R112" s="583"/>
      <c r="S112" s="583"/>
      <c r="T112" s="583"/>
      <c r="U112" s="583">
        <f t="shared" ref="U112:Z112" si="75">U110/U109</f>
        <v>0.27639154036709412</v>
      </c>
      <c r="V112" s="583">
        <f t="shared" si="75"/>
        <v>0.27639154036709412</v>
      </c>
      <c r="W112" s="583">
        <f t="shared" si="75"/>
        <v>0.29795001404099974</v>
      </c>
      <c r="X112" s="583">
        <f t="shared" si="75"/>
        <v>0.30264993026499304</v>
      </c>
      <c r="Y112" s="583">
        <f>Y110/Y109</f>
        <v>0.30767100526170038</v>
      </c>
      <c r="Z112" s="583">
        <f t="shared" si="75"/>
        <v>0.29194111788201249</v>
      </c>
      <c r="AA112" s="583"/>
      <c r="AB112" s="583"/>
      <c r="AC112" s="583"/>
    </row>
    <row r="113" spans="1:29" s="289" customFormat="1" hidden="1">
      <c r="A113" s="486" t="s">
        <v>35</v>
      </c>
      <c r="B113" s="276" t="s">
        <v>76</v>
      </c>
      <c r="C113" s="326">
        <f t="shared" ref="C113:H113" si="76">C13</f>
        <v>282628.00725800003</v>
      </c>
      <c r="D113" s="326">
        <f t="shared" si="76"/>
        <v>262379.85220299999</v>
      </c>
      <c r="E113" s="326">
        <f t="shared" si="76"/>
        <v>291839.82780000003</v>
      </c>
      <c r="F113" s="326">
        <f t="shared" si="76"/>
        <v>303789.2758</v>
      </c>
      <c r="G113" s="326">
        <f t="shared" si="76"/>
        <v>355825.039116</v>
      </c>
      <c r="H113" s="326">
        <f t="shared" si="76"/>
        <v>317091</v>
      </c>
      <c r="I113" s="326">
        <f>SUM(D113:H113)</f>
        <v>1530924.994919</v>
      </c>
      <c r="J113" s="488"/>
      <c r="K113" s="488"/>
      <c r="L113" s="326">
        <f>L13</f>
        <v>333567</v>
      </c>
      <c r="M113" s="326">
        <f>M13</f>
        <v>351441</v>
      </c>
      <c r="N113" s="326">
        <f>N13</f>
        <v>281847</v>
      </c>
      <c r="O113" s="326">
        <f>O13</f>
        <v>323534</v>
      </c>
      <c r="P113" s="326">
        <f>P13</f>
        <v>970000</v>
      </c>
      <c r="Q113" s="326">
        <f>SUM(L113:P113)</f>
        <v>2260389</v>
      </c>
      <c r="R113" s="488"/>
      <c r="S113" s="488"/>
      <c r="T113" s="488"/>
      <c r="U113" s="326">
        <f t="shared" ref="U113:Z113" si="77">U13</f>
        <v>970000</v>
      </c>
      <c r="V113" s="326">
        <f t="shared" si="77"/>
        <v>970000</v>
      </c>
      <c r="W113" s="326">
        <f t="shared" si="77"/>
        <v>900000</v>
      </c>
      <c r="X113" s="326">
        <f t="shared" si="77"/>
        <v>900000</v>
      </c>
      <c r="Y113" s="326">
        <f>Y13</f>
        <v>900000</v>
      </c>
      <c r="Z113" s="326">
        <f t="shared" si="77"/>
        <v>4640000</v>
      </c>
      <c r="AA113" s="488"/>
      <c r="AB113" s="488"/>
      <c r="AC113" s="488"/>
    </row>
    <row r="114" spans="1:29" s="234" customFormat="1" hidden="1">
      <c r="A114" s="491" t="s">
        <v>137</v>
      </c>
      <c r="B114" s="691" t="s">
        <v>494</v>
      </c>
      <c r="C114" s="583"/>
      <c r="D114" s="583">
        <f>D113/C113</f>
        <v>0.92835757768154836</v>
      </c>
      <c r="E114" s="583">
        <f>E113/D113</f>
        <v>1.1122798696227911</v>
      </c>
      <c r="F114" s="583">
        <f>F113/E113</f>
        <v>1.0409452270105815</v>
      </c>
      <c r="G114" s="583">
        <f>G113/F113</f>
        <v>1.1712890067595993</v>
      </c>
      <c r="H114" s="583">
        <f>H113/G113</f>
        <v>0.89114302014206315</v>
      </c>
      <c r="I114" s="583"/>
      <c r="J114" s="583">
        <f>(D114*E114*F114*G114*H114)^(1/5)-1</f>
        <v>2.3278251500093994E-2</v>
      </c>
      <c r="K114" s="583"/>
      <c r="L114" s="583">
        <f>L113/H113</f>
        <v>1.0519598474885758</v>
      </c>
      <c r="M114" s="583">
        <f>M113/L113</f>
        <v>1.0535844373094461</v>
      </c>
      <c r="N114" s="583">
        <f>N113/M113</f>
        <v>0.80197529599562944</v>
      </c>
      <c r="O114" s="583">
        <f>O113/N113</f>
        <v>1.1479064882720058</v>
      </c>
      <c r="P114" s="583">
        <f>P113/O113</f>
        <v>2.9981392991153943</v>
      </c>
      <c r="Q114" s="583"/>
      <c r="R114" s="583">
        <f>(L114*M114*N114*O114*P114)^(1/5)-1</f>
        <v>0.25059752176707817</v>
      </c>
      <c r="S114" s="583"/>
      <c r="T114" s="583"/>
      <c r="U114" s="583">
        <f>U113/P113</f>
        <v>1</v>
      </c>
      <c r="V114" s="583">
        <f>V113/U113</f>
        <v>1</v>
      </c>
      <c r="W114" s="583">
        <f>W113/V113</f>
        <v>0.92783505154639179</v>
      </c>
      <c r="X114" s="583">
        <f>X113/W113</f>
        <v>1</v>
      </c>
      <c r="Y114" s="583">
        <f>Y113/X113</f>
        <v>1</v>
      </c>
      <c r="Z114" s="583"/>
      <c r="AA114" s="583">
        <f>(U114*V114*W114*X114*Y114)^(1/5)-1</f>
        <v>-1.4868615705634136E-2</v>
      </c>
      <c r="AB114" s="583"/>
      <c r="AC114" s="583"/>
    </row>
    <row r="115" spans="1:29" s="234" customFormat="1" hidden="1">
      <c r="A115" s="491" t="s">
        <v>137</v>
      </c>
      <c r="B115" s="691" t="s">
        <v>29</v>
      </c>
      <c r="C115" s="583">
        <f>C113/C109</f>
        <v>0.32066195430765765</v>
      </c>
      <c r="D115" s="583">
        <f t="shared" ref="D115:I115" si="78">D113/D109</f>
        <v>0.20231849661383092</v>
      </c>
      <c r="E115" s="583">
        <f t="shared" si="78"/>
        <v>0.22738035634462919</v>
      </c>
      <c r="F115" s="583">
        <f t="shared" si="78"/>
        <v>0.24867693498906324</v>
      </c>
      <c r="G115" s="583">
        <f t="shared" si="78"/>
        <v>0.18222627361748087</v>
      </c>
      <c r="H115" s="583">
        <f t="shared" si="78"/>
        <v>0.16967072457502189</v>
      </c>
      <c r="I115" s="583">
        <f t="shared" si="78"/>
        <v>0.20081679016185242</v>
      </c>
      <c r="J115" s="583"/>
      <c r="K115" s="583"/>
      <c r="L115" s="583">
        <f>L113/L109</f>
        <v>0.16437823546949265</v>
      </c>
      <c r="M115" s="583">
        <f>M113/M109</f>
        <v>0.19523220144457196</v>
      </c>
      <c r="N115" s="583">
        <f>N113/N109</f>
        <v>0.10818818841873132</v>
      </c>
      <c r="O115" s="583">
        <f>O113/O109</f>
        <v>0.16855741994103454</v>
      </c>
      <c r="P115" s="583">
        <f>P113/P109</f>
        <v>0.25873863050443097</v>
      </c>
      <c r="Q115" s="583">
        <f>(L115*M115*N115*O115*P115)^(1/5)</f>
        <v>0.17220150901528458</v>
      </c>
      <c r="R115" s="583"/>
      <c r="S115" s="583"/>
      <c r="T115" s="583"/>
      <c r="U115" s="583">
        <f t="shared" ref="U115:Z115" si="79">U113/U109</f>
        <v>0.25873863050443097</v>
      </c>
      <c r="V115" s="583">
        <f t="shared" si="79"/>
        <v>0.25873863050443097</v>
      </c>
      <c r="W115" s="583">
        <f t="shared" si="79"/>
        <v>0.25273799494524007</v>
      </c>
      <c r="X115" s="583">
        <f t="shared" si="79"/>
        <v>0.2510460251046025</v>
      </c>
      <c r="Y115" s="583">
        <f>Y113/Y109</f>
        <v>0.24923843810578786</v>
      </c>
      <c r="Z115" s="583">
        <f t="shared" si="79"/>
        <v>0.2541781352681256</v>
      </c>
      <c r="AA115" s="583"/>
      <c r="AB115" s="583"/>
      <c r="AC115" s="583"/>
    </row>
    <row r="116" spans="1:29" s="289" customFormat="1" hidden="1">
      <c r="A116" s="486" t="s">
        <v>36</v>
      </c>
      <c r="B116" s="276" t="s">
        <v>121</v>
      </c>
      <c r="C116" s="326">
        <f t="shared" ref="C116:H116" si="80">C14</f>
        <v>349087.72382999997</v>
      </c>
      <c r="D116" s="326">
        <f t="shared" si="80"/>
        <v>555839.63100000005</v>
      </c>
      <c r="E116" s="326">
        <f t="shared" si="80"/>
        <v>517766.93699999998</v>
      </c>
      <c r="F116" s="326">
        <f t="shared" si="80"/>
        <v>569836.95299999998</v>
      </c>
      <c r="G116" s="326">
        <f t="shared" si="80"/>
        <v>1142899.0028890001</v>
      </c>
      <c r="H116" s="326">
        <f t="shared" si="80"/>
        <v>1057507</v>
      </c>
      <c r="I116" s="326">
        <f>SUM(D116:H116)</f>
        <v>3843849.5238890001</v>
      </c>
      <c r="J116" s="488"/>
      <c r="K116" s="488"/>
      <c r="L116" s="326">
        <f>L14</f>
        <v>940439</v>
      </c>
      <c r="M116" s="326">
        <f>M14</f>
        <v>895171</v>
      </c>
      <c r="N116" s="326">
        <f>N14</f>
        <v>1209865</v>
      </c>
      <c r="O116" s="326">
        <f>O14</f>
        <v>1121804</v>
      </c>
      <c r="P116" s="326">
        <f>P14</f>
        <v>1704000</v>
      </c>
      <c r="Q116" s="326">
        <f>SUM(L116:P116)</f>
        <v>5871279</v>
      </c>
      <c r="R116" s="488"/>
      <c r="S116" s="488"/>
      <c r="T116" s="488"/>
      <c r="U116" s="326">
        <f>U14</f>
        <v>1704000</v>
      </c>
      <c r="V116" s="326">
        <f>V14</f>
        <v>1704000</v>
      </c>
      <c r="W116" s="326">
        <f>W14</f>
        <v>1600000</v>
      </c>
      <c r="X116" s="326">
        <f>X14</f>
        <v>1600000</v>
      </c>
      <c r="Y116" s="326">
        <f>Y14</f>
        <v>1600000</v>
      </c>
      <c r="Z116" s="326">
        <f>SUM(U116:Y116)</f>
        <v>8208000</v>
      </c>
      <c r="AA116" s="488"/>
      <c r="AB116" s="488"/>
      <c r="AC116" s="488"/>
    </row>
    <row r="117" spans="1:29" s="234" customFormat="1" hidden="1">
      <c r="A117" s="491" t="s">
        <v>137</v>
      </c>
      <c r="B117" s="691" t="s">
        <v>494</v>
      </c>
      <c r="C117" s="583"/>
      <c r="D117" s="583">
        <f>D116/C116</f>
        <v>1.592263471489719</v>
      </c>
      <c r="E117" s="583">
        <f>E116/D116</f>
        <v>0.93150417516738726</v>
      </c>
      <c r="F117" s="583">
        <f>F116/E116</f>
        <v>1.1005665141573149</v>
      </c>
      <c r="G117" s="583">
        <f>G116/F116</f>
        <v>2.0056596836551597</v>
      </c>
      <c r="H117" s="583">
        <f>H116/G116</f>
        <v>0.92528473410760903</v>
      </c>
      <c r="I117" s="583"/>
      <c r="J117" s="583">
        <f>(D117*E117*F117*G117*H117)^(1/5)-1</f>
        <v>0.24815848915268068</v>
      </c>
      <c r="K117" s="583"/>
      <c r="L117" s="583">
        <f>L116/H116</f>
        <v>0.88929813230550725</v>
      </c>
      <c r="M117" s="583">
        <f>M116/L116</f>
        <v>0.95186503324511207</v>
      </c>
      <c r="N117" s="583">
        <f>N116/M116</f>
        <v>1.3515462408858196</v>
      </c>
      <c r="O117" s="583">
        <f>O116/N116</f>
        <v>0.92721419331908927</v>
      </c>
      <c r="P117" s="583">
        <f>P116/O116</f>
        <v>1.5189819255413601</v>
      </c>
      <c r="Q117" s="583"/>
      <c r="R117" s="583">
        <f>(L117*M117*N117*O117*P117)^(1/5)-1</f>
        <v>0.10011292697462415</v>
      </c>
      <c r="S117" s="583"/>
      <c r="T117" s="583"/>
      <c r="U117" s="583">
        <f>U116/P116</f>
        <v>1</v>
      </c>
      <c r="V117" s="583">
        <f>V116/U116</f>
        <v>1</v>
      </c>
      <c r="W117" s="583">
        <f>W116/V116</f>
        <v>0.93896713615023475</v>
      </c>
      <c r="X117" s="583">
        <f>X116/W116</f>
        <v>1</v>
      </c>
      <c r="Y117" s="583">
        <f>Y116/X116</f>
        <v>1</v>
      </c>
      <c r="Z117" s="583"/>
      <c r="AA117" s="583">
        <f>(U117*V117*W117*X117*Y117)^(1/5)-1</f>
        <v>-1.2515975275878444E-2</v>
      </c>
      <c r="AB117" s="583"/>
      <c r="AC117" s="583"/>
    </row>
    <row r="118" spans="1:29" s="234" customFormat="1" hidden="1">
      <c r="A118" s="491" t="s">
        <v>137</v>
      </c>
      <c r="B118" s="691" t="s">
        <v>29</v>
      </c>
      <c r="C118" s="583">
        <f>C116/C109</f>
        <v>0.39606531862907274</v>
      </c>
      <c r="D118" s="583">
        <f t="shared" ref="D118:I118" si="81">D116/D109</f>
        <v>0.4286024157651413</v>
      </c>
      <c r="E118" s="583">
        <f t="shared" si="81"/>
        <v>0.40340631889081441</v>
      </c>
      <c r="F118" s="583">
        <f t="shared" si="81"/>
        <v>0.46645921434316434</v>
      </c>
      <c r="G118" s="583">
        <f t="shared" si="81"/>
        <v>0.58530514585203663</v>
      </c>
      <c r="H118" s="583">
        <f t="shared" si="81"/>
        <v>0.56585642270880498</v>
      </c>
      <c r="I118" s="583">
        <f t="shared" si="81"/>
        <v>0.504211196377648</v>
      </c>
      <c r="J118" s="583"/>
      <c r="K118" s="583"/>
      <c r="L118" s="583">
        <f>L116/L109</f>
        <v>0.4634382399538749</v>
      </c>
      <c r="M118" s="583">
        <f>M116/M109</f>
        <v>0.49728462245252814</v>
      </c>
      <c r="N118" s="583">
        <f>N116/N109</f>
        <v>0.46441190639328561</v>
      </c>
      <c r="O118" s="583">
        <f>O116/O109</f>
        <v>0.58444672868858394</v>
      </c>
      <c r="P118" s="583">
        <f>P116/P109</f>
        <v>0.45452641894799006</v>
      </c>
      <c r="Q118" s="583">
        <f>(L118*M118*N118*O118*P118)^(1/5)</f>
        <v>0.490637638017137</v>
      </c>
      <c r="R118" s="583"/>
      <c r="S118" s="583"/>
      <c r="T118" s="583"/>
      <c r="U118" s="583">
        <f t="shared" ref="U118:Z118" si="82">U116/U109</f>
        <v>0.45452641894799006</v>
      </c>
      <c r="V118" s="583">
        <f t="shared" si="82"/>
        <v>0.45452641894799006</v>
      </c>
      <c r="W118" s="583">
        <f t="shared" si="82"/>
        <v>0.44931199101376018</v>
      </c>
      <c r="X118" s="583">
        <f t="shared" si="82"/>
        <v>0.44630404463040446</v>
      </c>
      <c r="Y118" s="583">
        <f>Y116/Y109</f>
        <v>0.44309055663251179</v>
      </c>
      <c r="Z118" s="583">
        <f t="shared" si="82"/>
        <v>0.44963235652602912</v>
      </c>
      <c r="AA118" s="583"/>
      <c r="AB118" s="583"/>
      <c r="AC118" s="583"/>
    </row>
    <row r="119" spans="1:29" s="1090" customFormat="1" ht="19.2" hidden="1">
      <c r="A119" s="1045">
        <v>14</v>
      </c>
      <c r="B119" s="638" t="s">
        <v>482</v>
      </c>
      <c r="C119" s="1047">
        <v>30287000</v>
      </c>
      <c r="D119" s="1047">
        <v>41703000</v>
      </c>
      <c r="E119" s="1047">
        <v>44027000</v>
      </c>
      <c r="F119" s="1047">
        <v>48316000</v>
      </c>
      <c r="G119" s="1047">
        <v>53472000</v>
      </c>
      <c r="H119" s="1047">
        <v>57208361</v>
      </c>
      <c r="I119" s="1047">
        <f>SUM(D119:H119)</f>
        <v>244726361</v>
      </c>
      <c r="J119" s="640"/>
      <c r="K119" s="640">
        <f t="shared" ref="K119:K126" si="83">H119/$H$119</f>
        <v>1</v>
      </c>
      <c r="L119" s="1047">
        <v>62221079</v>
      </c>
      <c r="M119" s="1047">
        <v>68288574</v>
      </c>
      <c r="N119" s="1047">
        <v>75875880</v>
      </c>
      <c r="O119" s="1088">
        <f>SUM(O120,O121,O124)</f>
        <v>82283000</v>
      </c>
      <c r="P119" s="1088">
        <f>SUM(P120,P121,P124)</f>
        <v>86575000</v>
      </c>
      <c r="Q119" s="1088">
        <f>SUM(L119:P119)</f>
        <v>375243533</v>
      </c>
      <c r="R119" s="640"/>
      <c r="S119" s="640">
        <f t="shared" ref="S119:S126" si="84">P119/$P$119</f>
        <v>1</v>
      </c>
      <c r="T119" s="640"/>
      <c r="U119" s="1048">
        <f>P119*1.07</f>
        <v>92635250</v>
      </c>
      <c r="V119" s="1048">
        <f>U119*1.07</f>
        <v>99119717.5</v>
      </c>
      <c r="W119" s="1048">
        <f>V119*1.07</f>
        <v>106058097.72500001</v>
      </c>
      <c r="X119" s="1048">
        <f>W119*1.07</f>
        <v>113482164.56575002</v>
      </c>
      <c r="Y119" s="1048">
        <f>X119*1.07</f>
        <v>121425916.08535253</v>
      </c>
      <c r="Z119" s="1089">
        <f>SUM(U119:Y119)</f>
        <v>532721145.87610257</v>
      </c>
      <c r="AA119" s="640"/>
      <c r="AB119" s="640"/>
      <c r="AC119" s="640"/>
    </row>
    <row r="120" spans="1:29" hidden="1">
      <c r="A120" s="499" t="s">
        <v>34</v>
      </c>
      <c r="B120" s="1050" t="s">
        <v>483</v>
      </c>
      <c r="C120" s="1052">
        <v>12433000</v>
      </c>
      <c r="D120" s="1052">
        <v>18357000</v>
      </c>
      <c r="E120" s="1052">
        <v>18479000</v>
      </c>
      <c r="F120" s="1052">
        <v>19829000</v>
      </c>
      <c r="G120" s="1052">
        <v>21568000</v>
      </c>
      <c r="H120" s="1052">
        <v>22812751</v>
      </c>
      <c r="I120" s="1052">
        <f t="shared" ref="I120:I126" si="85">SUM(D120:H120)</f>
        <v>101045751</v>
      </c>
      <c r="J120" s="501"/>
      <c r="K120" s="501">
        <f t="shared" si="83"/>
        <v>0.39876603002138095</v>
      </c>
      <c r="L120" s="1052">
        <v>24048745</v>
      </c>
      <c r="M120" s="1052">
        <v>25053517</v>
      </c>
      <c r="N120" s="1053">
        <v>27636696</v>
      </c>
      <c r="O120" s="1053">
        <v>29135000</v>
      </c>
      <c r="P120" s="1053">
        <v>28219000</v>
      </c>
      <c r="Q120" s="1053">
        <f t="shared" ref="Q120:Q126" si="86">SUM(L120:P120)</f>
        <v>134092958</v>
      </c>
      <c r="R120" s="501"/>
      <c r="S120" s="501">
        <f t="shared" si="84"/>
        <v>0.32594859948021948</v>
      </c>
      <c r="T120" s="501"/>
      <c r="U120" s="1054">
        <v>33516948.789955687</v>
      </c>
      <c r="V120" s="1054">
        <v>35695516.944354013</v>
      </c>
      <c r="W120" s="1054">
        <v>37942371.25841637</v>
      </c>
      <c r="X120" s="1091">
        <v>40155819.530657232</v>
      </c>
      <c r="Y120" s="1091">
        <v>40155819.530657232</v>
      </c>
      <c r="Z120" s="1091">
        <f t="shared" ref="Z120:Z126" si="87">SUM(U120:Y120)</f>
        <v>187466476.05404055</v>
      </c>
      <c r="AA120" s="501"/>
      <c r="AB120" s="501"/>
      <c r="AC120" s="501"/>
    </row>
    <row r="121" spans="1:29" hidden="1">
      <c r="A121" s="499" t="s">
        <v>35</v>
      </c>
      <c r="B121" s="1050" t="s">
        <v>484</v>
      </c>
      <c r="C121" s="1052">
        <v>5537000</v>
      </c>
      <c r="D121" s="1052">
        <v>7684000</v>
      </c>
      <c r="E121" s="1052">
        <v>7550000</v>
      </c>
      <c r="F121" s="1052">
        <v>8222000</v>
      </c>
      <c r="G121" s="1052">
        <v>9344000</v>
      </c>
      <c r="H121" s="1052">
        <v>9956179</v>
      </c>
      <c r="I121" s="1052">
        <f t="shared" si="85"/>
        <v>42756179</v>
      </c>
      <c r="J121" s="501"/>
      <c r="K121" s="501">
        <f t="shared" si="83"/>
        <v>0.17403363469895597</v>
      </c>
      <c r="L121" s="1052">
        <v>10918344</v>
      </c>
      <c r="M121" s="1052">
        <v>12602909</v>
      </c>
      <c r="N121" s="1053">
        <v>14241397</v>
      </c>
      <c r="O121" s="1053">
        <v>15934000</v>
      </c>
      <c r="P121" s="1053">
        <v>17300000</v>
      </c>
      <c r="Q121" s="1053">
        <f t="shared" si="86"/>
        <v>70996650</v>
      </c>
      <c r="R121" s="501"/>
      <c r="S121" s="501">
        <f t="shared" si="84"/>
        <v>0.19982673982096449</v>
      </c>
      <c r="T121" s="501"/>
      <c r="U121" s="1054">
        <v>21870181.051513352</v>
      </c>
      <c r="V121" s="1054">
        <v>24733621.047940463</v>
      </c>
      <c r="W121" s="1054">
        <v>27968987.070854526</v>
      </c>
      <c r="X121" s="1054">
        <v>31565712.958486915</v>
      </c>
      <c r="Y121" s="1054">
        <v>31565712.958486915</v>
      </c>
      <c r="Z121" s="1054">
        <f t="shared" si="87"/>
        <v>137704215.08728218</v>
      </c>
      <c r="AA121" s="501"/>
      <c r="AB121" s="501"/>
      <c r="AC121" s="501"/>
    </row>
    <row r="122" spans="1:29" s="234" customFormat="1" hidden="1">
      <c r="A122" s="491"/>
      <c r="B122" s="1055" t="s">
        <v>485</v>
      </c>
      <c r="C122" s="1057">
        <v>4504000</v>
      </c>
      <c r="D122" s="1057">
        <v>6402000</v>
      </c>
      <c r="E122" s="1057">
        <v>5954000</v>
      </c>
      <c r="F122" s="1057">
        <v>6517000</v>
      </c>
      <c r="G122" s="1057">
        <v>7470000</v>
      </c>
      <c r="H122" s="1057">
        <v>7929072</v>
      </c>
      <c r="I122" s="1057">
        <f t="shared" si="85"/>
        <v>34272072</v>
      </c>
      <c r="J122" s="583"/>
      <c r="K122" s="583">
        <f t="shared" si="83"/>
        <v>0.13859988053144889</v>
      </c>
      <c r="L122" s="1057">
        <v>8682916</v>
      </c>
      <c r="M122" s="1057">
        <v>9979782</v>
      </c>
      <c r="N122" s="1058">
        <v>11226790</v>
      </c>
      <c r="O122" s="1058">
        <v>12407642</v>
      </c>
      <c r="P122" s="1058">
        <v>13619869</v>
      </c>
      <c r="Q122" s="1058">
        <f t="shared" si="86"/>
        <v>55916999</v>
      </c>
      <c r="R122" s="583"/>
      <c r="S122" s="583">
        <f t="shared" si="84"/>
        <v>0.15731872942535374</v>
      </c>
      <c r="T122" s="583"/>
      <c r="U122" s="1059">
        <v>17183562.06968103</v>
      </c>
      <c r="V122" s="1059">
        <v>19323388.095313232</v>
      </c>
      <c r="W122" s="1059">
        <v>21779680.573048972</v>
      </c>
      <c r="X122" s="1059">
        <v>24548355.266670678</v>
      </c>
      <c r="Y122" s="1059">
        <v>24548355.266670678</v>
      </c>
      <c r="Z122" s="1059">
        <f t="shared" si="87"/>
        <v>107383341.27138458</v>
      </c>
      <c r="AA122" s="583"/>
      <c r="AB122" s="583"/>
      <c r="AC122" s="583"/>
    </row>
    <row r="123" spans="1:29" s="234" customFormat="1" hidden="1">
      <c r="A123" s="491"/>
      <c r="B123" s="1055" t="s">
        <v>486</v>
      </c>
      <c r="C123" s="1057">
        <v>1033000</v>
      </c>
      <c r="D123" s="1057">
        <v>1282000</v>
      </c>
      <c r="E123" s="1057">
        <v>1596000</v>
      </c>
      <c r="F123" s="1057">
        <v>1705000</v>
      </c>
      <c r="G123" s="1057">
        <v>1874000</v>
      </c>
      <c r="H123" s="1057">
        <v>2027108</v>
      </c>
      <c r="I123" s="1057">
        <f t="shared" si="85"/>
        <v>8484108</v>
      </c>
      <c r="J123" s="583"/>
      <c r="K123" s="583"/>
      <c r="L123" s="1057">
        <v>2235428</v>
      </c>
      <c r="M123" s="1057">
        <v>2632127</v>
      </c>
      <c r="N123" s="1057">
        <v>3014608</v>
      </c>
      <c r="O123" s="1057">
        <v>3231658</v>
      </c>
      <c r="P123" s="1058">
        <v>3581323</v>
      </c>
      <c r="Q123" s="1058">
        <f t="shared" si="86"/>
        <v>14695144</v>
      </c>
      <c r="R123" s="583"/>
      <c r="S123" s="583"/>
      <c r="T123" s="583"/>
      <c r="U123" s="1059">
        <v>4686618.9818323208</v>
      </c>
      <c r="V123" s="1059">
        <v>5410232.9526272314</v>
      </c>
      <c r="W123" s="1059">
        <v>6189306.4978055544</v>
      </c>
      <c r="X123" s="1059">
        <v>7017357.6918162387</v>
      </c>
      <c r="Y123" s="1059">
        <v>7017357.6918162387</v>
      </c>
      <c r="Z123" s="1059">
        <f t="shared" si="87"/>
        <v>30320873.815897584</v>
      </c>
      <c r="AA123" s="583"/>
      <c r="AB123" s="583"/>
      <c r="AC123" s="583"/>
    </row>
    <row r="124" spans="1:29" hidden="1">
      <c r="A124" s="499" t="s">
        <v>36</v>
      </c>
      <c r="B124" s="1050" t="s">
        <v>487</v>
      </c>
      <c r="C124" s="1052">
        <v>12318000</v>
      </c>
      <c r="D124" s="1052">
        <v>15662000</v>
      </c>
      <c r="E124" s="1052">
        <v>17997000</v>
      </c>
      <c r="F124" s="1052">
        <v>20265000</v>
      </c>
      <c r="G124" s="1052">
        <v>22560000</v>
      </c>
      <c r="H124" s="1052">
        <v>24439431</v>
      </c>
      <c r="I124" s="1052">
        <f t="shared" si="85"/>
        <v>100923431</v>
      </c>
      <c r="J124" s="583"/>
      <c r="K124" s="583">
        <f t="shared" si="83"/>
        <v>0.42720033527966306</v>
      </c>
      <c r="L124" s="1052">
        <v>27253990</v>
      </c>
      <c r="M124" s="1052">
        <v>30632149</v>
      </c>
      <c r="N124" s="1053">
        <v>33997786</v>
      </c>
      <c r="O124" s="1053">
        <v>37214000</v>
      </c>
      <c r="P124" s="1053">
        <v>41056000</v>
      </c>
      <c r="Q124" s="1053">
        <f t="shared" si="86"/>
        <v>170153925</v>
      </c>
      <c r="R124" s="583"/>
      <c r="S124" s="583">
        <f t="shared" si="84"/>
        <v>0.47422466069881608</v>
      </c>
      <c r="T124" s="583"/>
      <c r="U124" s="1059">
        <v>51150752.386760205</v>
      </c>
      <c r="V124" s="1059">
        <v>57584424.718697324</v>
      </c>
      <c r="W124" s="1059">
        <v>64879104.399336763</v>
      </c>
      <c r="X124" s="1059">
        <v>73002529.284254506</v>
      </c>
      <c r="Y124" s="1059">
        <v>73002529.284254506</v>
      </c>
      <c r="Z124" s="1059">
        <f t="shared" si="87"/>
        <v>319619340.07330328</v>
      </c>
      <c r="AA124" s="583"/>
      <c r="AB124" s="583"/>
      <c r="AC124" s="583"/>
    </row>
    <row r="125" spans="1:29" hidden="1">
      <c r="A125" s="499"/>
      <c r="B125" s="1050" t="s">
        <v>488</v>
      </c>
      <c r="C125" s="1052">
        <v>10250000</v>
      </c>
      <c r="D125" s="1052">
        <v>13064000</v>
      </c>
      <c r="E125" s="1052">
        <v>15397000</v>
      </c>
      <c r="F125" s="1052">
        <v>17597000</v>
      </c>
      <c r="G125" s="1052">
        <v>19550000</v>
      </c>
      <c r="H125" s="1052">
        <v>21355327</v>
      </c>
      <c r="I125" s="1052">
        <f t="shared" si="85"/>
        <v>86963327</v>
      </c>
      <c r="J125" s="583"/>
      <c r="K125" s="583"/>
      <c r="L125" s="1052">
        <v>23812618</v>
      </c>
      <c r="M125" s="1052">
        <v>26587715</v>
      </c>
      <c r="N125" s="1052">
        <v>29244625</v>
      </c>
      <c r="O125" s="1053">
        <v>31342234</v>
      </c>
      <c r="P125" s="1053">
        <v>34916571.696000002</v>
      </c>
      <c r="Q125" s="1053">
        <f t="shared" si="86"/>
        <v>145903763.69600001</v>
      </c>
      <c r="R125" s="583"/>
      <c r="S125" s="583"/>
      <c r="T125" s="583"/>
      <c r="U125" s="1059">
        <v>44131561.117197707</v>
      </c>
      <c r="V125" s="1059">
        <v>49706259.917522117</v>
      </c>
      <c r="W125" s="1059">
        <v>56036849.180617742</v>
      </c>
      <c r="X125" s="1059">
        <v>63078203.083144747</v>
      </c>
      <c r="Y125" s="1059">
        <v>63078203.083144747</v>
      </c>
      <c r="Z125" s="1059">
        <f t="shared" si="87"/>
        <v>276031076.38162708</v>
      </c>
      <c r="AA125" s="583"/>
      <c r="AB125" s="583"/>
      <c r="AC125" s="583"/>
    </row>
    <row r="126" spans="1:29" hidden="1">
      <c r="A126" s="235"/>
      <c r="B126" s="1050" t="s">
        <v>489</v>
      </c>
      <c r="C126" s="1061">
        <v>2068000</v>
      </c>
      <c r="D126" s="1061">
        <v>2598000</v>
      </c>
      <c r="E126" s="1061">
        <v>2600000</v>
      </c>
      <c r="F126" s="1061">
        <v>2668000</v>
      </c>
      <c r="G126" s="1061">
        <v>3010000</v>
      </c>
      <c r="H126" s="1061">
        <v>3084104</v>
      </c>
      <c r="I126" s="1061">
        <f t="shared" si="85"/>
        <v>13960104</v>
      </c>
      <c r="J126" s="501"/>
      <c r="K126" s="501">
        <f t="shared" si="83"/>
        <v>5.3910021998357899E-2</v>
      </c>
      <c r="L126" s="1061">
        <v>3441372</v>
      </c>
      <c r="M126" s="1061">
        <v>4044434</v>
      </c>
      <c r="N126" s="1062">
        <v>4753161</v>
      </c>
      <c r="O126" s="1062">
        <v>5215166</v>
      </c>
      <c r="P126" s="1062">
        <v>5572000</v>
      </c>
      <c r="Q126" s="1062">
        <f t="shared" si="86"/>
        <v>23026133</v>
      </c>
      <c r="R126" s="501"/>
      <c r="S126" s="501">
        <f t="shared" si="84"/>
        <v>6.4360381172393871E-2</v>
      </c>
      <c r="T126" s="501"/>
      <c r="U126" s="1063">
        <v>7019191.2695624987</v>
      </c>
      <c r="V126" s="1063">
        <v>7878164.8011752078</v>
      </c>
      <c r="W126" s="1063">
        <v>8842255.2187190223</v>
      </c>
      <c r="X126" s="1063">
        <v>9924326.2011097651</v>
      </c>
      <c r="Y126" s="1063">
        <v>9924326.2011097651</v>
      </c>
      <c r="Z126" s="1063">
        <f t="shared" si="87"/>
        <v>43588263.691676259</v>
      </c>
      <c r="AA126" s="501"/>
      <c r="AB126" s="501"/>
      <c r="AC126" s="501"/>
    </row>
    <row r="127" spans="1:29" s="289" customFormat="1" hidden="1">
      <c r="A127" s="1043">
        <v>15</v>
      </c>
      <c r="B127" s="263" t="s">
        <v>608</v>
      </c>
      <c r="C127" s="592">
        <f t="shared" ref="C127:I127" si="88">C8/C119</f>
        <v>0.15479801498722226</v>
      </c>
      <c r="D127" s="592">
        <f t="shared" si="88"/>
        <v>0.13230479446092344</v>
      </c>
      <c r="E127" s="592">
        <f t="shared" si="88"/>
        <v>0.15165502011810936</v>
      </c>
      <c r="F127" s="592">
        <f t="shared" si="88"/>
        <v>0.15161152472406655</v>
      </c>
      <c r="G127" s="592">
        <f t="shared" si="88"/>
        <v>0.15260266253110041</v>
      </c>
      <c r="H127" s="592">
        <f t="shared" si="88"/>
        <v>0.15449243801141233</v>
      </c>
      <c r="I127" s="592">
        <f t="shared" si="88"/>
        <v>0.14921937068766322</v>
      </c>
      <c r="J127" s="592"/>
      <c r="K127" s="592"/>
      <c r="L127" s="592">
        <f>L8/L119</f>
        <v>0.15164731627619316</v>
      </c>
      <c r="M127" s="592">
        <f>M8/M119</f>
        <v>0.15852312748952704</v>
      </c>
      <c r="N127" s="592">
        <f>N8/N119</f>
        <v>0.16139501555218866</v>
      </c>
      <c r="O127" s="592">
        <f>O8/O119</f>
        <v>0.13616590304194062</v>
      </c>
      <c r="P127" s="592">
        <f>P8/P119</f>
        <v>0.17309126191163732</v>
      </c>
      <c r="Q127" s="592">
        <f>(L127*M127*N127*O127*P127)^(1/5)</f>
        <v>0.15567977624707291</v>
      </c>
      <c r="R127" s="592"/>
      <c r="S127" s="592"/>
      <c r="T127" s="592">
        <f>Q127-I127</f>
        <v>6.4604055594096876E-3</v>
      </c>
      <c r="U127" s="592">
        <f>U8/U119</f>
        <v>0.1617675344968573</v>
      </c>
      <c r="V127" s="592">
        <f>V8/V119</f>
        <v>0.15118461167930589</v>
      </c>
      <c r="W127" s="592">
        <f>W8/W119</f>
        <v>0.14886647355243235</v>
      </c>
      <c r="X127" s="592">
        <f>X8/X119</f>
        <v>0.14767539960246651</v>
      </c>
      <c r="Y127" s="592">
        <f>Y8/Y119</f>
        <v>0.14736165537694862</v>
      </c>
      <c r="Z127" s="592">
        <f>(U127*V127*W127*X127*Y127)^(1/5)</f>
        <v>0.15127867095948855</v>
      </c>
      <c r="AA127" s="592"/>
      <c r="AB127" s="592"/>
      <c r="AC127" s="592">
        <f>+Z127-Q127</f>
        <v>-4.4011052875843615E-3</v>
      </c>
    </row>
    <row r="128" spans="1:29" ht="30.75" hidden="1" customHeight="1">
      <c r="A128" s="1043" t="s">
        <v>22</v>
      </c>
      <c r="B128" s="590" t="s">
        <v>51</v>
      </c>
      <c r="C128" s="591">
        <f t="shared" ref="C128:H128" si="89">SUM(C131,C134)</f>
        <v>379873</v>
      </c>
      <c r="D128" s="591">
        <f t="shared" si="89"/>
        <v>517484</v>
      </c>
      <c r="E128" s="591">
        <f t="shared" si="89"/>
        <v>686112</v>
      </c>
      <c r="F128" s="591">
        <f t="shared" si="89"/>
        <v>774055</v>
      </c>
      <c r="G128" s="591">
        <f t="shared" si="89"/>
        <v>531512</v>
      </c>
      <c r="H128" s="591">
        <f t="shared" si="89"/>
        <v>533832</v>
      </c>
      <c r="I128" s="591">
        <f>SUM(D128:H128)</f>
        <v>3042995</v>
      </c>
      <c r="J128" s="592"/>
      <c r="K128" s="592">
        <f>I128/I8</f>
        <v>8.3328829655301417E-2</v>
      </c>
      <c r="L128" s="591">
        <f>SUM(L131,L134)</f>
        <v>760850</v>
      </c>
      <c r="M128" s="591">
        <f>SUM(M131,M134)</f>
        <v>741859</v>
      </c>
      <c r="N128" s="591">
        <f>SUM(N131,N134)</f>
        <v>1818286</v>
      </c>
      <c r="O128" s="591">
        <f>SUM(O131,O134)</f>
        <v>888037</v>
      </c>
      <c r="P128" s="591">
        <f>SUM(P131,P134)</f>
        <v>1213473</v>
      </c>
      <c r="Q128" s="591">
        <f>SUM(L128:P128)</f>
        <v>5422505</v>
      </c>
      <c r="R128" s="592"/>
      <c r="S128" s="592">
        <f>Q128/Q8</f>
        <v>9.2382112753829293E-2</v>
      </c>
      <c r="T128" s="592">
        <f>Q128/I128-1</f>
        <v>0.781963164579633</v>
      </c>
      <c r="U128" s="591">
        <f>SUM(U131,U134)</f>
        <v>1213473</v>
      </c>
      <c r="V128" s="591">
        <f>SUM(V131,V134)</f>
        <v>1213473</v>
      </c>
      <c r="W128" s="591">
        <f>SUM(W131,W134)</f>
        <v>2597007</v>
      </c>
      <c r="X128" s="591">
        <f>SUM(X131,X134)</f>
        <v>3118036</v>
      </c>
      <c r="Y128" s="591">
        <f>SUM(Y131,Y134)</f>
        <v>3751036</v>
      </c>
      <c r="Z128" s="591">
        <f>SUM(U128:Y128)</f>
        <v>11893025</v>
      </c>
      <c r="AA128" s="592"/>
      <c r="AB128" s="592">
        <f>Z128/Z8</f>
        <v>0.14790241843512159</v>
      </c>
      <c r="AC128" s="592">
        <f>+Z128/Q128-1</f>
        <v>1.1932713754989623</v>
      </c>
    </row>
    <row r="129" spans="1:29" hidden="1">
      <c r="A129" s="491" t="s">
        <v>137</v>
      </c>
      <c r="B129" s="691" t="s">
        <v>494</v>
      </c>
      <c r="C129" s="583"/>
      <c r="D129" s="583">
        <f>D128/C128</f>
        <v>1.3622552800541234</v>
      </c>
      <c r="E129" s="583">
        <f>E128/D128</f>
        <v>1.3258612826676768</v>
      </c>
      <c r="F129" s="583">
        <f>F128/E128</f>
        <v>1.1281758663308614</v>
      </c>
      <c r="G129" s="583">
        <f>G128/F128</f>
        <v>0.68665921672232588</v>
      </c>
      <c r="H129" s="583">
        <f>H128/G128</f>
        <v>1.0043649061545177</v>
      </c>
      <c r="I129" s="583"/>
      <c r="J129" s="583">
        <f>(D129*E129*F129*G129*H129)^(1/5)-1</f>
        <v>7.04175856234035E-2</v>
      </c>
      <c r="K129" s="583"/>
      <c r="L129" s="583">
        <f>L128/H128</f>
        <v>1.4252611308426621</v>
      </c>
      <c r="M129" s="583">
        <f>M128/L128</f>
        <v>0.97503975816520994</v>
      </c>
      <c r="N129" s="583">
        <f>N128/M128</f>
        <v>2.450985969031851</v>
      </c>
      <c r="O129" s="583">
        <f>O128/N128</f>
        <v>0.48839236511747874</v>
      </c>
      <c r="P129" s="583">
        <f>P128/O128</f>
        <v>1.3664667125356262</v>
      </c>
      <c r="Q129" s="583"/>
      <c r="R129" s="583">
        <f>(L129*M129*N129*O129*P129)^(1/5)-1</f>
        <v>0.17848783217720943</v>
      </c>
      <c r="S129" s="583"/>
      <c r="T129" s="583"/>
      <c r="U129" s="583">
        <f>U128/P128</f>
        <v>1</v>
      </c>
      <c r="V129" s="583">
        <f>V128/U128</f>
        <v>1</v>
      </c>
      <c r="W129" s="583">
        <f>W128/V128</f>
        <v>2.1401440328709413</v>
      </c>
      <c r="X129" s="583">
        <f>X128/W128</f>
        <v>1.2006267214528108</v>
      </c>
      <c r="Y129" s="583">
        <f>Y128/X128</f>
        <v>1.2030124090934164</v>
      </c>
      <c r="Z129" s="583"/>
      <c r="AA129" s="583">
        <f>(U129*V129*W129*X129*Y129)^(1/5)-1</f>
        <v>0.25321107126105202</v>
      </c>
      <c r="AB129" s="583"/>
      <c r="AC129" s="583"/>
    </row>
    <row r="130" spans="1:29" hidden="1">
      <c r="A130" s="491" t="s">
        <v>137</v>
      </c>
      <c r="B130" s="691" t="s">
        <v>609</v>
      </c>
      <c r="C130" s="583"/>
      <c r="D130" s="583">
        <f t="shared" ref="D130:I130" si="90">D128/D8</f>
        <v>9.3789462285605599E-2</v>
      </c>
      <c r="E130" s="583">
        <f t="shared" si="90"/>
        <v>0.10275882519867754</v>
      </c>
      <c r="F130" s="583">
        <f t="shared" si="90"/>
        <v>0.10566925179106769</v>
      </c>
      <c r="G130" s="583">
        <f t="shared" si="90"/>
        <v>6.5136517407844582E-2</v>
      </c>
      <c r="H130" s="583">
        <f t="shared" si="90"/>
        <v>6.040012970904652E-2</v>
      </c>
      <c r="I130" s="583">
        <f t="shared" si="90"/>
        <v>8.3328829655301417E-2</v>
      </c>
      <c r="J130" s="583"/>
      <c r="K130" s="583"/>
      <c r="L130" s="583">
        <f>L128/L8</f>
        <v>8.0635591843302795E-2</v>
      </c>
      <c r="M130" s="583">
        <f>M128/M8</f>
        <v>6.8529994030120264E-2</v>
      </c>
      <c r="N130" s="583">
        <f>N128/N8</f>
        <v>0.14848012886915285</v>
      </c>
      <c r="O130" s="583">
        <f>O128/O8</f>
        <v>7.9259727141907113E-2</v>
      </c>
      <c r="P130" s="583">
        <f>P128/P8</f>
        <v>8.0977147320160675E-2</v>
      </c>
      <c r="Q130" s="583">
        <f>(L130*M130*N130*O130*P130)^(1/5)</f>
        <v>8.7962622890221553E-2</v>
      </c>
      <c r="R130" s="583"/>
      <c r="S130" s="583"/>
      <c r="T130" s="583"/>
      <c r="U130" s="583">
        <f>U128/U8</f>
        <v>8.0977147320160675E-2</v>
      </c>
      <c r="V130" s="583">
        <f>V128/V8</f>
        <v>8.0977147320160675E-2</v>
      </c>
      <c r="W130" s="583">
        <f>W128/W8</f>
        <v>0.16448730547148413</v>
      </c>
      <c r="X130" s="583">
        <f>X128/X8</f>
        <v>0.1860567195535836</v>
      </c>
      <c r="Y130" s="583">
        <f>Y128/Y8</f>
        <v>0.20963092569132832</v>
      </c>
      <c r="Z130" s="583">
        <f>AVERAGE(U130:Y130)</f>
        <v>0.14442584907134348</v>
      </c>
      <c r="AA130" s="583"/>
      <c r="AB130" s="583"/>
      <c r="AC130" s="583"/>
    </row>
    <row r="131" spans="1:29" hidden="1">
      <c r="A131" s="499">
        <v>1</v>
      </c>
      <c r="B131" s="604" t="s">
        <v>610</v>
      </c>
      <c r="C131" s="506">
        <v>88679</v>
      </c>
      <c r="D131" s="506">
        <v>148144</v>
      </c>
      <c r="E131" s="506">
        <v>167267</v>
      </c>
      <c r="F131" s="506">
        <v>155140</v>
      </c>
      <c r="G131" s="506">
        <f>65206+17050</f>
        <v>82256</v>
      </c>
      <c r="H131" s="506">
        <v>76245</v>
      </c>
      <c r="I131" s="506">
        <f>SUM(D131:H131)</f>
        <v>629052</v>
      </c>
      <c r="J131" s="501"/>
      <c r="K131" s="501">
        <f>I131/$I$10</f>
        <v>1.8791741001954576E-2</v>
      </c>
      <c r="L131" s="506">
        <f>'[1]Chi từ NSTW bổ sung 2010-2025'!L9</f>
        <v>53674</v>
      </c>
      <c r="M131" s="506">
        <f>'[1]Chi từ NSTW bổ sung 2010-2025'!M9</f>
        <v>158319</v>
      </c>
      <c r="N131" s="506">
        <f>'[1]Chi từ NSTW bổ sung 2010-2025'!N9</f>
        <v>158489</v>
      </c>
      <c r="O131" s="506">
        <f>'[1]Chi từ NSTW bổ sung 2010-2025'!O9</f>
        <v>374600</v>
      </c>
      <c r="P131" s="506">
        <f>'[1]Chi từ NSTW bổ sung 2010-2025'!P9</f>
        <v>0</v>
      </c>
      <c r="Q131" s="506">
        <f>SUM(L131:P131)</f>
        <v>745082</v>
      </c>
      <c r="R131" s="501"/>
      <c r="S131" s="501">
        <f>Q131/$Q$10</f>
        <v>1.3985852844853984E-2</v>
      </c>
      <c r="T131" s="501">
        <f>Q131/I131-1</f>
        <v>0.18445215975785789</v>
      </c>
      <c r="U131" s="506">
        <f>'[1]Chi từ NSTW bổ sung 2010-2025'!U9</f>
        <v>0</v>
      </c>
      <c r="V131" s="506">
        <f>'[1]Chi từ NSTW bổ sung 2010-2025'!V9</f>
        <v>0</v>
      </c>
      <c r="W131" s="506">
        <f>'[1]Chi từ NSTW bổ sung 2010-2025'!W9</f>
        <v>0</v>
      </c>
      <c r="X131" s="506">
        <f>'[1]Chi từ NSTW bổ sung 2010-2025'!X9</f>
        <v>0</v>
      </c>
      <c r="Y131" s="506">
        <f>'[1]Chi từ NSTW bổ sung 2010-2025'!Y9</f>
        <v>0</v>
      </c>
      <c r="Z131" s="506">
        <f>SUM(U131:Y131)</f>
        <v>0</v>
      </c>
      <c r="AA131" s="501"/>
      <c r="AB131" s="501"/>
      <c r="AC131" s="501">
        <f>+Z131/Q131-1</f>
        <v>-1</v>
      </c>
    </row>
    <row r="132" spans="1:29" hidden="1">
      <c r="A132" s="491" t="s">
        <v>137</v>
      </c>
      <c r="B132" s="691" t="s">
        <v>494</v>
      </c>
      <c r="C132" s="583"/>
      <c r="D132" s="583">
        <f>D131/C131</f>
        <v>1.670564620710653</v>
      </c>
      <c r="E132" s="583">
        <f>E131/D131</f>
        <v>1.1290838643482017</v>
      </c>
      <c r="F132" s="583">
        <f>F131/E131</f>
        <v>0.92749914806865674</v>
      </c>
      <c r="G132" s="583">
        <f>G131/F131</f>
        <v>0.53020497615057371</v>
      </c>
      <c r="H132" s="583">
        <f>H131/G131</f>
        <v>0.92692326395642866</v>
      </c>
      <c r="I132" s="583"/>
      <c r="J132" s="583">
        <f>(D132*E132*F132*G132*H132)^(1/5)-1</f>
        <v>-2.9762365748168484E-2</v>
      </c>
      <c r="K132" s="583"/>
      <c r="L132" s="583">
        <f>L131/H131</f>
        <v>0.70396747327693621</v>
      </c>
      <c r="M132" s="583">
        <f>M131/L131</f>
        <v>2.9496404218057162</v>
      </c>
      <c r="N132" s="583">
        <f>N131/M131</f>
        <v>1.0010737814160018</v>
      </c>
      <c r="O132" s="583">
        <f>O131/N131</f>
        <v>2.363570973379856</v>
      </c>
      <c r="P132" s="583">
        <f>P131/O131</f>
        <v>0</v>
      </c>
      <c r="Q132" s="583"/>
      <c r="R132" s="583">
        <f>(L132*M132*N132*O132*P132)^(1/5)-1</f>
        <v>-1</v>
      </c>
      <c r="S132" s="583"/>
      <c r="T132" s="583"/>
      <c r="U132" s="583"/>
      <c r="V132" s="583"/>
      <c r="W132" s="583"/>
      <c r="X132" s="583"/>
      <c r="Y132" s="583"/>
      <c r="Z132" s="583"/>
      <c r="AA132" s="583">
        <f>(U132*V132*W132*X132*Y132)^(1/5)-1</f>
        <v>-1</v>
      </c>
      <c r="AB132" s="583"/>
      <c r="AC132" s="583"/>
    </row>
    <row r="133" spans="1:29" hidden="1">
      <c r="A133" s="491" t="s">
        <v>137</v>
      </c>
      <c r="B133" s="691" t="s">
        <v>609</v>
      </c>
      <c r="C133" s="583"/>
      <c r="D133" s="583">
        <f t="shared" ref="D133:I133" si="91">D131/D8</f>
        <v>2.6849808111630031E-2</v>
      </c>
      <c r="E133" s="583">
        <f t="shared" si="91"/>
        <v>2.5051537379476234E-2</v>
      </c>
      <c r="F133" s="583">
        <f t="shared" si="91"/>
        <v>2.1178763424906811E-2</v>
      </c>
      <c r="G133" s="583">
        <f t="shared" si="91"/>
        <v>1.008042974739924E-2</v>
      </c>
      <c r="H133" s="583">
        <f t="shared" si="91"/>
        <v>8.6266988297184349E-3</v>
      </c>
      <c r="I133" s="583">
        <f t="shared" si="91"/>
        <v>1.7225847217076158E-2</v>
      </c>
      <c r="J133" s="583"/>
      <c r="K133" s="583"/>
      <c r="L133" s="583">
        <f>L131/L8</f>
        <v>5.6884205251987036E-3</v>
      </c>
      <c r="M133" s="583">
        <f>M131/M8</f>
        <v>1.462488171587136E-2</v>
      </c>
      <c r="N133" s="583">
        <f>N131/N8</f>
        <v>1.2942115346179405E-2</v>
      </c>
      <c r="O133" s="583">
        <f>O131/O8</f>
        <v>3.3434072890384525E-2</v>
      </c>
      <c r="P133" s="583">
        <f>P131/P8</f>
        <v>0</v>
      </c>
      <c r="Q133" s="583">
        <f>(L133*M133*N133*O133*P133)^(1/5)</f>
        <v>0</v>
      </c>
      <c r="R133" s="583"/>
      <c r="S133" s="583"/>
      <c r="T133" s="583"/>
      <c r="U133" s="583">
        <f>U131/U8</f>
        <v>0</v>
      </c>
      <c r="V133" s="583">
        <f>V131/V8</f>
        <v>0</v>
      </c>
      <c r="W133" s="583">
        <f>W131/W8</f>
        <v>0</v>
      </c>
      <c r="X133" s="583">
        <f>X131/X8</f>
        <v>0</v>
      </c>
      <c r="Y133" s="583">
        <f>Y131/Y8</f>
        <v>0</v>
      </c>
      <c r="Z133" s="583">
        <f>(U133*V133*W133*X133*Y133)^(1/5)</f>
        <v>0</v>
      </c>
      <c r="AA133" s="583"/>
      <c r="AB133" s="583"/>
      <c r="AC133" s="583"/>
    </row>
    <row r="134" spans="1:29" hidden="1">
      <c r="A134" s="499">
        <v>2</v>
      </c>
      <c r="B134" s="604" t="s">
        <v>611</v>
      </c>
      <c r="C134" s="506">
        <v>291194</v>
      </c>
      <c r="D134" s="506">
        <v>369340</v>
      </c>
      <c r="E134" s="506">
        <v>518845</v>
      </c>
      <c r="F134" s="506">
        <v>618915</v>
      </c>
      <c r="G134" s="506">
        <f>336800+112456</f>
        <v>449256</v>
      </c>
      <c r="H134" s="506">
        <f>372200+85387</f>
        <v>457587</v>
      </c>
      <c r="I134" s="506">
        <f>SUM(D134:H134)</f>
        <v>2413943</v>
      </c>
      <c r="J134" s="501"/>
      <c r="K134" s="501">
        <f>I134/$I$10</f>
        <v>7.2111990184406435E-2</v>
      </c>
      <c r="L134" s="506">
        <f>'[1]Chi từ NSTW bổ sung 2010-2025'!L10</f>
        <v>707176</v>
      </c>
      <c r="M134" s="506">
        <f>'[1]Chi từ NSTW bổ sung 2010-2025'!M10</f>
        <v>583540</v>
      </c>
      <c r="N134" s="506">
        <f>'[1]Chi từ NSTW bổ sung 2010-2025'!N10</f>
        <v>1659797</v>
      </c>
      <c r="O134" s="506">
        <f>'[1]Chi từ NSTW bổ sung 2010-2025'!O10</f>
        <v>513437</v>
      </c>
      <c r="P134" s="506">
        <f>'[1]Chi từ NSTW bổ sung 2010-2025'!P10</f>
        <v>1213473</v>
      </c>
      <c r="Q134" s="506">
        <f>SUM(L134:P134)</f>
        <v>4677423</v>
      </c>
      <c r="R134" s="501"/>
      <c r="S134" s="501">
        <f>Q134/$Q$10</f>
        <v>8.7799396269317279E-2</v>
      </c>
      <c r="T134" s="501">
        <f>Q134/I134-1</f>
        <v>0.93766919931415127</v>
      </c>
      <c r="U134" s="506">
        <f>'[1]Chi từ NSTW bổ sung 2010-2025'!U10</f>
        <v>1213473</v>
      </c>
      <c r="V134" s="506">
        <f>'[1]Chi từ NSTW bổ sung 2010-2025'!V10</f>
        <v>1213473</v>
      </c>
      <c r="W134" s="506">
        <f>'[1]Chi từ NSTW bổ sung 2010-2025'!W10</f>
        <v>2597007</v>
      </c>
      <c r="X134" s="506">
        <f>'[1]Chi từ NSTW bổ sung 2010-2025'!X10</f>
        <v>3118036</v>
      </c>
      <c r="Y134" s="506">
        <f>'[1]Chi từ NSTW bổ sung 2010-2025'!Y10</f>
        <v>3751036</v>
      </c>
      <c r="Z134" s="506">
        <f>SUM(U134:Y134)</f>
        <v>11893025</v>
      </c>
      <c r="AA134" s="501"/>
      <c r="AB134" s="501"/>
      <c r="AC134" s="501">
        <f>+Z134/Q134-1</f>
        <v>1.5426447426285801</v>
      </c>
    </row>
    <row r="135" spans="1:29" hidden="1">
      <c r="A135" s="491" t="s">
        <v>137</v>
      </c>
      <c r="B135" s="691" t="s">
        <v>494</v>
      </c>
      <c r="C135" s="583"/>
      <c r="D135" s="583">
        <f>D134/C134</f>
        <v>1.2683640459624854</v>
      </c>
      <c r="E135" s="583">
        <f>E134/D134</f>
        <v>1.4047896247360157</v>
      </c>
      <c r="F135" s="583">
        <f>F134/E134</f>
        <v>1.1928707031965231</v>
      </c>
      <c r="G135" s="583">
        <f>G134/F134</f>
        <v>0.72587673590072954</v>
      </c>
      <c r="H135" s="583">
        <f>H134/G134</f>
        <v>1.0185439927346547</v>
      </c>
      <c r="I135" s="583"/>
      <c r="J135" s="583">
        <f>(D135*E135*F135*G135*H135)^(1/5)-1</f>
        <v>9.4607075565009691E-2</v>
      </c>
      <c r="K135" s="583"/>
      <c r="L135" s="583">
        <f>L134/H134</f>
        <v>1.5454460026180814</v>
      </c>
      <c r="M135" s="583">
        <f>M134/L134</f>
        <v>0.82516940620156798</v>
      </c>
      <c r="N135" s="583">
        <f>N134/M134</f>
        <v>2.844358570106591</v>
      </c>
      <c r="O135" s="583">
        <f>O134/N134</f>
        <v>0.30933722617886406</v>
      </c>
      <c r="P135" s="583">
        <f>P134/O134</f>
        <v>2.3634311512415351</v>
      </c>
      <c r="Q135" s="583"/>
      <c r="R135" s="583">
        <f>(L135*M135*N135*O135*P135)^(1/5)-1</f>
        <v>0.21537776836454103</v>
      </c>
      <c r="S135" s="583"/>
      <c r="T135" s="583"/>
      <c r="U135" s="583">
        <f>U134/P134</f>
        <v>1</v>
      </c>
      <c r="V135" s="583">
        <f>V134/U134</f>
        <v>1</v>
      </c>
      <c r="W135" s="583">
        <f>W134/V134</f>
        <v>2.1401440328709413</v>
      </c>
      <c r="X135" s="583">
        <f>X134/W134</f>
        <v>1.2006267214528108</v>
      </c>
      <c r="Y135" s="583">
        <f>Y134/X134</f>
        <v>1.2030124090934164</v>
      </c>
      <c r="Z135" s="583"/>
      <c r="AA135" s="583">
        <f>(U135*V135*W135*X135*Y135)^(1/5)-1</f>
        <v>0.25321107126105202</v>
      </c>
      <c r="AB135" s="583"/>
      <c r="AC135" s="583"/>
    </row>
    <row r="136" spans="1:29" hidden="1">
      <c r="A136" s="491" t="s">
        <v>137</v>
      </c>
      <c r="B136" s="691" t="s">
        <v>609</v>
      </c>
      <c r="C136" s="583"/>
      <c r="D136" s="583">
        <f t="shared" ref="D136:I136" si="92">D134/D8</f>
        <v>6.6939654173975571E-2</v>
      </c>
      <c r="E136" s="583">
        <f t="shared" si="92"/>
        <v>7.7707287819201318E-2</v>
      </c>
      <c r="F136" s="583">
        <f t="shared" si="92"/>
        <v>8.4490488366160882E-2</v>
      </c>
      <c r="G136" s="583">
        <f t="shared" si="92"/>
        <v>5.5056087660445348E-2</v>
      </c>
      <c r="H136" s="583">
        <f t="shared" si="92"/>
        <v>5.1773430879328085E-2</v>
      </c>
      <c r="I136" s="583">
        <f t="shared" si="92"/>
        <v>6.6102982438225266E-2</v>
      </c>
      <c r="J136" s="583"/>
      <c r="K136" s="583"/>
      <c r="L136" s="583">
        <f>L134/L8</f>
        <v>7.4947171318104092E-2</v>
      </c>
      <c r="M136" s="583">
        <f>M134/M8</f>
        <v>5.390511231424891E-2</v>
      </c>
      <c r="N136" s="583">
        <f>N134/N8</f>
        <v>0.13553801352297346</v>
      </c>
      <c r="O136" s="583">
        <f>O134/O8</f>
        <v>4.5825654251522588E-2</v>
      </c>
      <c r="P136" s="583">
        <f>P134/P8</f>
        <v>8.0977147320160675E-2</v>
      </c>
      <c r="Q136" s="583">
        <f>(L136*M136*N136*O136*P136)^(1/5)</f>
        <v>7.2708216715316354E-2</v>
      </c>
      <c r="R136" s="583"/>
      <c r="S136" s="583"/>
      <c r="T136" s="583"/>
      <c r="U136" s="583">
        <f>U134/U8</f>
        <v>8.0977147320160675E-2</v>
      </c>
      <c r="V136" s="583">
        <f>V134/V8</f>
        <v>8.0977147320160675E-2</v>
      </c>
      <c r="W136" s="583">
        <f>W134/W8</f>
        <v>0.16448730547148413</v>
      </c>
      <c r="X136" s="583">
        <f>X134/X8</f>
        <v>0.1860567195535836</v>
      </c>
      <c r="Y136" s="583">
        <f>Y134/Y8</f>
        <v>0.20963092569132832</v>
      </c>
      <c r="Z136" s="583">
        <f>(U136*V136*W136*X136*Y136)^(1/5)</f>
        <v>0.13328817110467417</v>
      </c>
      <c r="AA136" s="583"/>
      <c r="AB136" s="583"/>
      <c r="AC136" s="583"/>
    </row>
    <row r="137" spans="1:29" s="289" customFormat="1" ht="31.2" hidden="1">
      <c r="A137" s="486" t="s">
        <v>26</v>
      </c>
      <c r="B137" s="276" t="s">
        <v>612</v>
      </c>
      <c r="C137" s="488">
        <f>'[1]Thu NSNN 2010-2025'!G139/'[1]Chi NSĐP 2010-2025'!C10</f>
        <v>0.84720640893834231</v>
      </c>
      <c r="D137" s="488">
        <f>'[1]Thu NSNN 2010-2025'!H139/'[1]Chi NSĐP 2010-2025'!D10</f>
        <v>0.75395017943570752</v>
      </c>
      <c r="E137" s="488">
        <f>'[1]Thu NSNN 2010-2025'!I139/'[1]Chi NSĐP 2010-2025'!E10</f>
        <v>0.68173446106187663</v>
      </c>
      <c r="F137" s="488">
        <f>'[1]Thu NSNN 2010-2025'!J139/'[1]Chi NSĐP 2010-2025'!F10</f>
        <v>0.62175112300288549</v>
      </c>
      <c r="G137" s="488">
        <f>'[1]Thu NSNN 2010-2025'!K139/'[1]Chi NSĐP 2010-2025'!G10</f>
        <v>0.50809387640147996</v>
      </c>
      <c r="H137" s="488">
        <f>'[1]Thu NSNN 2010-2025'!L139/'[1]Chi NSĐP 2010-2025'!H10</f>
        <v>0.58364310593534119</v>
      </c>
      <c r="I137" s="488">
        <f>(D137*E137*F137*G137*H137)^(1/5)</f>
        <v>0.62421350307285772</v>
      </c>
      <c r="J137" s="488"/>
      <c r="K137" s="488"/>
      <c r="L137" s="488">
        <f>'[1]Thu NSNN 2010-2025'!P139/'[1]Chi NSĐP 2010-2025'!L10</f>
        <v>0.70951621945517296</v>
      </c>
      <c r="M137" s="488">
        <f>'[1]Thu NSNN 2010-2025'!Q139/'[1]Chi NSĐP 2010-2025'!M10</f>
        <v>0.53457177707542691</v>
      </c>
      <c r="N137" s="488">
        <f>'[1]Thu NSNN 2010-2025'!R139/'[1]Chi NSĐP 2010-2025'!N10</f>
        <v>0.54993672798003645</v>
      </c>
      <c r="O137" s="488">
        <f>'[1]Thu NSNN 2010-2025'!S139/'[1]Chi NSĐP 2010-2025'!O10</f>
        <v>0.55588600966993151</v>
      </c>
      <c r="P137" s="488">
        <f>'[1]Thu NSNN 2010-2025'!T139/'[1]Chi NSĐP 2010-2025'!P10</f>
        <v>0.42185724078945369</v>
      </c>
      <c r="Q137" s="488">
        <f>(L137*M137*N137*O137*P137)^(1/5)</f>
        <v>0.54687298006080987</v>
      </c>
      <c r="R137" s="488"/>
      <c r="S137" s="488"/>
      <c r="T137" s="488"/>
      <c r="U137" s="488">
        <f>'[1]Thu NSNN 2010-2025'!Z139/'[1]Chi NSĐP 2010-2025'!U10</f>
        <v>0.48678820929830829</v>
      </c>
      <c r="V137" s="488">
        <f>'[1]Thu NSNN 2010-2025'!AA139/'[1]Chi NSĐP 2010-2025'!V10</f>
        <v>0.51939082057141994</v>
      </c>
      <c r="W137" s="488">
        <f>'[1]Thu NSNN 2010-2025'!AB139/'[1]Chi NSĐP 2010-2025'!W10</f>
        <v>0.58029844699854938</v>
      </c>
      <c r="X137" s="488" t="e">
        <f>'[1]Thu NSNN 2010-2025'!AC139/'[1]Chi NSĐP 2010-2025'!X10</f>
        <v>#REF!</v>
      </c>
      <c r="Y137" s="488" t="e">
        <f>'[1]Thu NSNN 2010-2025'!AD139/'[1]Chi NSĐP 2010-2025'!Y10</f>
        <v>#REF!</v>
      </c>
      <c r="Z137" s="488" t="e">
        <f>(U137*V137*W137*X137*Y137)^(1/5)</f>
        <v>#REF!</v>
      </c>
      <c r="AA137" s="488"/>
      <c r="AB137" s="488"/>
      <c r="AC137" s="488"/>
    </row>
    <row r="138" spans="1:29" ht="31.2" hidden="1">
      <c r="A138" s="486" t="s">
        <v>130</v>
      </c>
      <c r="B138" s="276" t="s">
        <v>613</v>
      </c>
      <c r="C138" s="488">
        <f>C8/'[1]Thu NSNN 2010-2025'!G139-1</f>
        <v>0.28441944430758492</v>
      </c>
      <c r="D138" s="488">
        <f>D8/'[1]Thu NSNN 2010-2025'!H139-1</f>
        <v>0.4636196890147688</v>
      </c>
      <c r="E138" s="488">
        <f>E8/'[1]Thu NSNN 2010-2025'!I139-1</f>
        <v>0.63484113594871894</v>
      </c>
      <c r="F138" s="488">
        <f>F8/'[1]Thu NSNN 2010-2025'!J139-1</f>
        <v>0.79839571473307291</v>
      </c>
      <c r="G138" s="488">
        <f>G8/'[1]Thu NSNN 2010-2025'!K139-1</f>
        <v>1.1052702015684495</v>
      </c>
      <c r="H138" s="488">
        <f>H8/'[1]Thu NSNN 2010-2025'!L139-1</f>
        <v>0.8235164770662593</v>
      </c>
      <c r="I138" s="488">
        <f>(D138*E138*F138*G138*H138)^(1/5)</f>
        <v>0.73457674696982012</v>
      </c>
      <c r="J138" s="488"/>
      <c r="K138" s="488"/>
      <c r="L138" s="488">
        <f>L10/'[1]Thu NSNN 2010-2025'!P139-1</f>
        <v>0.40941105020528679</v>
      </c>
      <c r="M138" s="488">
        <f>M10/'[1]Thu NSNN 2010-2025'!Q139-1</f>
        <v>0.87065618291872937</v>
      </c>
      <c r="N138" s="488">
        <f>N10/'[1]Thu NSNN 2010-2025'!R139-1</f>
        <v>0.81839100594914549</v>
      </c>
      <c r="O138" s="488">
        <f>O10/'[1]Thu NSNN 2010-2025'!S139-1</f>
        <v>0.79892996514477876</v>
      </c>
      <c r="P138" s="488">
        <f>P10/'[1]Thu NSNN 2010-2025'!T139-1</f>
        <v>1.3704701574604328</v>
      </c>
      <c r="Q138" s="488">
        <f>(L138*M138*N138*O138*P138)^(1/5)</f>
        <v>0.79591937718005701</v>
      </c>
      <c r="R138" s="488"/>
      <c r="S138" s="488"/>
      <c r="T138" s="488"/>
      <c r="U138" s="488">
        <f>U10/'[1]Thu NSNN 2010-2025'!Z139-1</f>
        <v>1.0542814737470168</v>
      </c>
      <c r="V138" s="488">
        <f>V10/'[1]Thu NSNN 2010-2025'!AA139-1</f>
        <v>0.92533244792394798</v>
      </c>
      <c r="W138" s="488">
        <f>W10/'[1]Thu NSNN 2010-2025'!AB139-1</f>
        <v>0.72325120836054868</v>
      </c>
      <c r="X138" s="488" t="e">
        <f>X10/'[1]Thu NSNN 2010-2025'!AC139-1</f>
        <v>#REF!</v>
      </c>
      <c r="Y138" s="488" t="e">
        <f>Y10/'[1]Thu NSNN 2010-2025'!AD139-1</f>
        <v>#REF!</v>
      </c>
      <c r="Z138" s="488" t="e">
        <f>(U138*V138*W138*X138*Y138)^(1/5)</f>
        <v>#REF!</v>
      </c>
      <c r="AA138" s="488"/>
      <c r="AB138" s="488"/>
      <c r="AC138" s="488"/>
    </row>
    <row r="139" spans="1:29" hidden="1">
      <c r="A139" s="511" t="s">
        <v>217</v>
      </c>
      <c r="B139" s="697" t="s">
        <v>614</v>
      </c>
      <c r="C139" s="698">
        <f>D37/'[1]Thu NSNN 2010-2025'!H137</f>
        <v>0.30833526137981221</v>
      </c>
      <c r="D139" s="698">
        <f>E37/'[1]Thu NSNN 2010-2025'!I137</f>
        <v>0.38474018637755625</v>
      </c>
      <c r="E139" s="698">
        <f>F37/'[1]Thu NSNN 2010-2025'!J137</f>
        <v>0.34558806860699737</v>
      </c>
      <c r="F139" s="698">
        <f>G37/'[1]Thu NSNN 2010-2025'!K137</f>
        <v>0.33731302226570958</v>
      </c>
      <c r="G139" s="698">
        <f>H37/'[1]Thu NSNN 2010-2025'!L137</f>
        <v>0.33128720388766236</v>
      </c>
      <c r="H139" s="698">
        <f>I37/'[1]Thu NSNN 2010-2025'!M137</f>
        <v>0.34180783929257574</v>
      </c>
      <c r="I139" s="698">
        <f>(D139*E139*F139*G139*H139)^(1/5)</f>
        <v>0.34765558920372519</v>
      </c>
      <c r="J139" s="698"/>
      <c r="K139" s="698"/>
      <c r="L139" s="698">
        <f>L37/'[1]Thu NSNN 2010-2025'!P137</f>
        <v>0.32465900138862785</v>
      </c>
      <c r="M139" s="698">
        <f>M37/'[1]Thu NSNN 2010-2025'!Q137</f>
        <v>0.33496651806296129</v>
      </c>
      <c r="N139" s="698">
        <f>N37/'[1]Thu NSNN 2010-2025'!R137</f>
        <v>0.31129017588445934</v>
      </c>
      <c r="O139" s="698">
        <f>O37/'[1]Thu NSNN 2010-2025'!S137</f>
        <v>0.36564865239555655</v>
      </c>
      <c r="P139" s="698" t="e">
        <f>P37/'[1]Thu NSNN 2010-2025'!T137</f>
        <v>#REF!</v>
      </c>
      <c r="Q139" s="698" t="e">
        <f>(L139*M139*N139*O139*P139)^(1/5)</f>
        <v>#REF!</v>
      </c>
      <c r="R139" s="698"/>
      <c r="S139" s="698"/>
      <c r="T139" s="698"/>
      <c r="U139" s="698" t="e">
        <f>U37/'[1]Thu NSNN 2010-2025'!Z137</f>
        <v>#REF!</v>
      </c>
      <c r="V139" s="698" t="e">
        <f>V37/'[1]Thu NSNN 2010-2025'!AA137</f>
        <v>#REF!</v>
      </c>
      <c r="W139" s="698" t="e">
        <f>W37/'[1]Thu NSNN 2010-2025'!AB137</f>
        <v>#REF!</v>
      </c>
      <c r="X139" s="698" t="e">
        <f>X37/'[1]Thu NSNN 2010-2025'!AC137</f>
        <v>#REF!</v>
      </c>
      <c r="Y139" s="698" t="e">
        <f>Y37/'[1]Thu NSNN 2010-2025'!AD137</f>
        <v>#REF!</v>
      </c>
      <c r="Z139" s="698" t="e">
        <f>(U139*V139*W139*X139*Y139)^(1/5)</f>
        <v>#REF!</v>
      </c>
      <c r="AA139" s="698"/>
      <c r="AB139" s="698"/>
      <c r="AC139" s="698"/>
    </row>
    <row r="140" spans="1:29" hidden="1">
      <c r="O140" s="220" t="s">
        <v>615</v>
      </c>
      <c r="P140" s="220" t="s">
        <v>616</v>
      </c>
      <c r="Q140" s="220" t="s">
        <v>617</v>
      </c>
      <c r="S140" s="220" t="s">
        <v>618</v>
      </c>
      <c r="V140" s="220" t="s">
        <v>619</v>
      </c>
      <c r="W140" s="220" t="s">
        <v>620</v>
      </c>
    </row>
    <row r="141" spans="1:29" hidden="1">
      <c r="O141" s="220" t="s">
        <v>621</v>
      </c>
      <c r="P141" s="220">
        <v>1131.7059999999999</v>
      </c>
      <c r="Q141" s="220">
        <f>RANK(P141,$P$141:$P$153,0)</f>
        <v>4</v>
      </c>
      <c r="R141" s="710">
        <f>P141/$P$154</f>
        <v>0.10104789423358611</v>
      </c>
      <c r="S141" s="220">
        <v>1200</v>
      </c>
      <c r="T141" s="220">
        <f>RANK(S141,$S$141:$S$153,0)</f>
        <v>1</v>
      </c>
      <c r="U141" s="710">
        <f>S141/$S$154</f>
        <v>0.20294266869609334</v>
      </c>
      <c r="W141" s="220">
        <v>1688547</v>
      </c>
      <c r="X141" s="220">
        <f>RANK(W141,$W$141:$W$153,0)</f>
        <v>4</v>
      </c>
      <c r="Y141" s="710">
        <f>W141/$W$154</f>
        <v>9.7752875336567943E-2</v>
      </c>
    </row>
    <row r="142" spans="1:29" hidden="1">
      <c r="O142" s="220" t="s">
        <v>622</v>
      </c>
      <c r="P142" s="220">
        <v>798.99099999999999</v>
      </c>
      <c r="Q142" s="220">
        <f t="shared" ref="Q142:Q153" si="93">RANK(P142,$P$141:$P$153,0)</f>
        <v>7</v>
      </c>
      <c r="R142" s="710">
        <f t="shared" ref="R142:R153" si="94">P142/$P$154</f>
        <v>7.1340399416091452E-2</v>
      </c>
      <c r="S142" s="220">
        <v>500</v>
      </c>
      <c r="T142" s="220">
        <f t="shared" ref="T142:T153" si="95">RANK(S142,$S$141:$S$153,0)</f>
        <v>5</v>
      </c>
      <c r="U142" s="710">
        <f t="shared" ref="U142:U153" si="96">S142/$S$154</f>
        <v>8.4559445290038893E-2</v>
      </c>
      <c r="V142" s="552"/>
      <c r="W142" s="220">
        <v>1764185</v>
      </c>
      <c r="X142" s="220">
        <f t="shared" ref="X142:X153" si="97">RANK(W142,$W$141:$W$153,0)</f>
        <v>2</v>
      </c>
      <c r="Y142" s="710">
        <f t="shared" ref="Y142:Y153" si="98">W142/$W$154</f>
        <v>0.10213168859122257</v>
      </c>
    </row>
    <row r="143" spans="1:29" hidden="1">
      <c r="L143" s="220">
        <v>39781</v>
      </c>
      <c r="O143" s="220" t="s">
        <v>623</v>
      </c>
      <c r="P143" s="220">
        <v>454.64800000000002</v>
      </c>
      <c r="Q143" s="220">
        <f t="shared" si="93"/>
        <v>13</v>
      </c>
      <c r="R143" s="710">
        <f t="shared" si="94"/>
        <v>4.0594662410123709E-2</v>
      </c>
      <c r="S143" s="220">
        <v>150</v>
      </c>
      <c r="T143" s="220">
        <f t="shared" si="95"/>
        <v>12</v>
      </c>
      <c r="U143" s="710">
        <f t="shared" si="96"/>
        <v>2.5367833587011668E-2</v>
      </c>
      <c r="W143" s="220">
        <v>1288463</v>
      </c>
      <c r="X143" s="220">
        <f t="shared" si="97"/>
        <v>6</v>
      </c>
      <c r="Y143" s="710">
        <f t="shared" si="98"/>
        <v>7.4591327937439902E-2</v>
      </c>
    </row>
    <row r="144" spans="1:29" hidden="1">
      <c r="L144" s="220">
        <v>37123</v>
      </c>
      <c r="O144" s="220" t="s">
        <v>624</v>
      </c>
      <c r="P144" s="220">
        <v>720.31399999999996</v>
      </c>
      <c r="Q144" s="220">
        <f t="shared" si="93"/>
        <v>8</v>
      </c>
      <c r="R144" s="710">
        <f t="shared" si="94"/>
        <v>6.4315478478484109E-2</v>
      </c>
      <c r="S144" s="220">
        <v>190</v>
      </c>
      <c r="T144" s="220">
        <f t="shared" si="95"/>
        <v>11</v>
      </c>
      <c r="U144" s="710">
        <f t="shared" si="96"/>
        <v>3.2132589210214779E-2</v>
      </c>
      <c r="W144" s="220">
        <v>1009168</v>
      </c>
      <c r="X144" s="220">
        <f t="shared" si="97"/>
        <v>11</v>
      </c>
      <c r="Y144" s="710">
        <f t="shared" si="98"/>
        <v>5.842246244709421E-2</v>
      </c>
    </row>
    <row r="145" spans="1:25" hidden="1">
      <c r="L145" s="220">
        <f>+L143-L144</f>
        <v>2658</v>
      </c>
      <c r="O145" s="220" t="s">
        <v>625</v>
      </c>
      <c r="P145" s="220">
        <v>572.27599999999995</v>
      </c>
      <c r="Q145" s="220">
        <f t="shared" si="93"/>
        <v>10</v>
      </c>
      <c r="R145" s="710">
        <f t="shared" si="94"/>
        <v>5.1097444672396998E-2</v>
      </c>
      <c r="S145" s="220">
        <v>400</v>
      </c>
      <c r="T145" s="220">
        <f t="shared" si="95"/>
        <v>6</v>
      </c>
      <c r="U145" s="710">
        <f t="shared" si="96"/>
        <v>6.7647556232031114E-2</v>
      </c>
      <c r="W145" s="220">
        <v>1022791</v>
      </c>
      <c r="X145" s="220">
        <f t="shared" si="97"/>
        <v>10</v>
      </c>
      <c r="Y145" s="710">
        <f t="shared" si="98"/>
        <v>5.9211121229295754E-2</v>
      </c>
    </row>
    <row r="146" spans="1:25" hidden="1">
      <c r="A146" s="220"/>
      <c r="O146" s="220" t="s">
        <v>626</v>
      </c>
      <c r="P146" s="220">
        <v>1464.8</v>
      </c>
      <c r="Q146" s="220">
        <f t="shared" si="93"/>
        <v>1</v>
      </c>
      <c r="R146" s="710">
        <f t="shared" si="94"/>
        <v>0.13078922924625028</v>
      </c>
      <c r="S146" s="220">
        <v>700</v>
      </c>
      <c r="T146" s="220">
        <f t="shared" si="95"/>
        <v>3</v>
      </c>
      <c r="U146" s="710">
        <f t="shared" si="96"/>
        <v>0.11838322340605445</v>
      </c>
      <c r="W146" s="220">
        <v>1235171</v>
      </c>
      <c r="X146" s="220">
        <f t="shared" si="97"/>
        <v>7</v>
      </c>
      <c r="Y146" s="710">
        <f t="shared" si="98"/>
        <v>7.1506162862119887E-2</v>
      </c>
    </row>
    <row r="147" spans="1:25" hidden="1">
      <c r="O147" s="220" t="s">
        <v>627</v>
      </c>
      <c r="P147" s="220">
        <v>571.46699999999998</v>
      </c>
      <c r="Q147" s="220">
        <f t="shared" si="93"/>
        <v>11</v>
      </c>
      <c r="R147" s="710">
        <f t="shared" si="94"/>
        <v>5.1025210588248847E-2</v>
      </c>
      <c r="S147" s="220">
        <v>200</v>
      </c>
      <c r="T147" s="220">
        <f t="shared" si="95"/>
        <v>9</v>
      </c>
      <c r="U147" s="710">
        <f t="shared" si="96"/>
        <v>3.3823778116015557E-2</v>
      </c>
      <c r="W147" s="220">
        <v>733017</v>
      </c>
      <c r="X147" s="220">
        <f t="shared" si="97"/>
        <v>13</v>
      </c>
      <c r="Y147" s="710">
        <f t="shared" si="98"/>
        <v>4.2435608496882243E-2</v>
      </c>
    </row>
    <row r="148" spans="1:25" hidden="1">
      <c r="O148" s="220" t="s">
        <v>628</v>
      </c>
      <c r="P148" s="220">
        <v>813.48599999999999</v>
      </c>
      <c r="Q148" s="220">
        <f t="shared" si="93"/>
        <v>6</v>
      </c>
      <c r="R148" s="710">
        <f t="shared" si="94"/>
        <v>7.2634630627126689E-2</v>
      </c>
      <c r="S148" s="220">
        <v>200</v>
      </c>
      <c r="T148" s="220">
        <f t="shared" si="95"/>
        <v>9</v>
      </c>
      <c r="U148" s="710">
        <f t="shared" si="96"/>
        <v>3.3823778116015557E-2</v>
      </c>
      <c r="W148" s="220">
        <v>1199653</v>
      </c>
      <c r="X148" s="220">
        <f t="shared" si="97"/>
        <v>8</v>
      </c>
      <c r="Y148" s="710">
        <f t="shared" si="98"/>
        <v>6.9449965062352265E-2</v>
      </c>
    </row>
    <row r="149" spans="1:25" hidden="1">
      <c r="O149" s="220" t="s">
        <v>629</v>
      </c>
      <c r="P149" s="220">
        <v>1300.9960000000001</v>
      </c>
      <c r="Q149" s="220">
        <f t="shared" si="93"/>
        <v>2</v>
      </c>
      <c r="R149" s="710">
        <f t="shared" si="94"/>
        <v>0.11616347903635627</v>
      </c>
      <c r="S149" s="220">
        <v>300</v>
      </c>
      <c r="T149" s="220">
        <f t="shared" si="95"/>
        <v>8</v>
      </c>
      <c r="U149" s="710">
        <f t="shared" si="96"/>
        <v>5.0735667174023336E-2</v>
      </c>
      <c r="W149" s="220">
        <v>1908352</v>
      </c>
      <c r="X149" s="220">
        <f t="shared" si="97"/>
        <v>1</v>
      </c>
      <c r="Y149" s="710">
        <f t="shared" si="98"/>
        <v>0.11047776292533763</v>
      </c>
    </row>
    <row r="150" spans="1:25" hidden="1">
      <c r="O150" s="220" t="s">
        <v>630</v>
      </c>
      <c r="P150" s="220">
        <v>1067.085</v>
      </c>
      <c r="Q150" s="220">
        <f t="shared" si="93"/>
        <v>5</v>
      </c>
      <c r="R150" s="710">
        <f t="shared" si="94"/>
        <v>9.5278007025010242E-2</v>
      </c>
      <c r="S150" s="220">
        <v>573</v>
      </c>
      <c r="T150" s="220">
        <f t="shared" si="95"/>
        <v>4</v>
      </c>
      <c r="U150" s="710">
        <f t="shared" si="96"/>
        <v>9.6905124302384571E-2</v>
      </c>
      <c r="W150" s="220">
        <v>1599504</v>
      </c>
      <c r="X150" s="220">
        <f t="shared" si="97"/>
        <v>5</v>
      </c>
      <c r="Y150" s="710">
        <f t="shared" si="98"/>
        <v>9.2598023692761738E-2</v>
      </c>
    </row>
    <row r="151" spans="1:25" hidden="1">
      <c r="O151" s="220" t="s">
        <v>631</v>
      </c>
      <c r="P151" s="220">
        <v>1211.692</v>
      </c>
      <c r="Q151" s="220">
        <f t="shared" si="93"/>
        <v>3</v>
      </c>
      <c r="R151" s="710">
        <f t="shared" si="94"/>
        <v>0.1081896933122935</v>
      </c>
      <c r="S151" s="220">
        <v>1000</v>
      </c>
      <c r="T151" s="220">
        <f t="shared" si="95"/>
        <v>2</v>
      </c>
      <c r="U151" s="710">
        <f t="shared" si="96"/>
        <v>0.16911889058007779</v>
      </c>
      <c r="W151" s="220">
        <v>1723067</v>
      </c>
      <c r="X151" s="220">
        <f t="shared" si="97"/>
        <v>3</v>
      </c>
      <c r="Y151" s="710">
        <f t="shared" si="98"/>
        <v>9.9751297208519579E-2</v>
      </c>
    </row>
    <row r="152" spans="1:25" hidden="1">
      <c r="O152" s="220" t="s">
        <v>632</v>
      </c>
      <c r="P152" s="220">
        <v>456.42</v>
      </c>
      <c r="Q152" s="220">
        <f t="shared" si="93"/>
        <v>12</v>
      </c>
      <c r="R152" s="710">
        <f t="shared" si="94"/>
        <v>4.0752880947961194E-2</v>
      </c>
      <c r="S152" s="220">
        <v>140</v>
      </c>
      <c r="T152" s="220">
        <f t="shared" si="95"/>
        <v>13</v>
      </c>
      <c r="U152" s="710">
        <f t="shared" si="96"/>
        <v>2.367664468121089E-2</v>
      </c>
      <c r="W152" s="220">
        <v>907236</v>
      </c>
      <c r="X152" s="220">
        <f t="shared" si="97"/>
        <v>12</v>
      </c>
      <c r="Y152" s="710">
        <f t="shared" si="98"/>
        <v>5.2521444537135503E-2</v>
      </c>
    </row>
    <row r="153" spans="1:25" hidden="1">
      <c r="O153" s="220" t="s">
        <v>633</v>
      </c>
      <c r="P153" s="220">
        <v>635.81799999999998</v>
      </c>
      <c r="Q153" s="220">
        <f t="shared" si="93"/>
        <v>9</v>
      </c>
      <c r="R153" s="710">
        <f t="shared" si="94"/>
        <v>5.6770990006070707E-2</v>
      </c>
      <c r="S153" s="220">
        <v>360</v>
      </c>
      <c r="T153" s="220">
        <f t="shared" si="95"/>
        <v>7</v>
      </c>
      <c r="U153" s="710">
        <f t="shared" si="96"/>
        <v>6.0882800608828003E-2</v>
      </c>
      <c r="W153" s="220">
        <v>1194476</v>
      </c>
      <c r="X153" s="220">
        <f t="shared" si="97"/>
        <v>9</v>
      </c>
      <c r="Y153" s="710">
        <f t="shared" si="98"/>
        <v>6.9150259673270764E-2</v>
      </c>
    </row>
    <row r="154" spans="1:25" hidden="1">
      <c r="P154" s="220">
        <f>SUM(P141:P153)</f>
        <v>11199.698999999999</v>
      </c>
      <c r="R154" s="710">
        <f>SUM(R141:R153)</f>
        <v>1</v>
      </c>
      <c r="S154" s="220">
        <f>SUM(S141:S153)</f>
        <v>5913</v>
      </c>
      <c r="U154" s="710">
        <f>SUM(U141:U153)</f>
        <v>1</v>
      </c>
      <c r="W154" s="220">
        <f>SUM(W141:W153)</f>
        <v>17273630</v>
      </c>
      <c r="Y154" s="710">
        <f>SUM(Y141:Y153)</f>
        <v>0.99999999999999978</v>
      </c>
    </row>
    <row r="155" spans="1:25" hidden="1"/>
    <row r="156" spans="1:25" ht="16.8" hidden="1">
      <c r="V156" s="712">
        <v>61239</v>
      </c>
      <c r="W156" s="712">
        <v>65552</v>
      </c>
    </row>
    <row r="157" spans="1:25" hidden="1">
      <c r="W157" s="710">
        <f>+W156/V156</f>
        <v>1.0704289749995917</v>
      </c>
    </row>
    <row r="158" spans="1:25" hidden="1">
      <c r="I158" s="220">
        <f>I11/5</f>
        <v>1524698.2024611782</v>
      </c>
      <c r="O158" s="220">
        <v>18916</v>
      </c>
      <c r="Q158" s="220">
        <f>Q11/5</f>
        <v>2420584.7999999998</v>
      </c>
    </row>
    <row r="159" spans="1:25" hidden="1">
      <c r="O159" s="220">
        <v>37999</v>
      </c>
      <c r="Q159" s="220">
        <f>Q12/5</f>
        <v>778740.4</v>
      </c>
      <c r="X159" s="220">
        <v>213</v>
      </c>
    </row>
    <row r="160" spans="1:25" hidden="1">
      <c r="O160" s="710">
        <f>+O158/O159</f>
        <v>0.49780257375194081</v>
      </c>
      <c r="X160" s="220">
        <v>2300</v>
      </c>
    </row>
    <row r="161" spans="24:24" hidden="1">
      <c r="X161" s="220">
        <f>+X159*X160</f>
        <v>489900</v>
      </c>
    </row>
    <row r="162" spans="24:24" hidden="1"/>
    <row r="163" spans="24:24" hidden="1"/>
    <row r="164" spans="24:24" hidden="1"/>
    <row r="165" spans="24:24" hidden="1"/>
    <row r="166" spans="24:24" hidden="1"/>
    <row r="167" spans="24:24" hidden="1"/>
    <row r="168" spans="24:24" hidden="1"/>
    <row r="169" spans="24:24" hidden="1"/>
    <row r="170" spans="24:24" hidden="1"/>
    <row r="171" spans="24:24" hidden="1"/>
    <row r="172" spans="24:24" hidden="1"/>
    <row r="173" spans="24:24" hidden="1"/>
    <row r="174" spans="24:24" hidden="1"/>
    <row r="175" spans="24:24" hidden="1"/>
    <row r="176" spans="24:24" hidden="1"/>
    <row r="177" hidden="1"/>
    <row r="178" hidden="1"/>
  </sheetData>
  <mergeCells count="30">
    <mergeCell ref="A2:AC2"/>
    <mergeCell ref="A5:A6"/>
    <mergeCell ref="B5:B6"/>
    <mergeCell ref="C5:C6"/>
    <mergeCell ref="D5:D6"/>
    <mergeCell ref="E5:E6"/>
    <mergeCell ref="F5:F6"/>
    <mergeCell ref="G5:G6"/>
    <mergeCell ref="H5:H6"/>
    <mergeCell ref="I5:I6"/>
    <mergeCell ref="U5:U6"/>
    <mergeCell ref="J5:J6"/>
    <mergeCell ref="K5:K6"/>
    <mergeCell ref="L5:L6"/>
    <mergeCell ref="M5:M6"/>
    <mergeCell ref="N5:N6"/>
    <mergeCell ref="O5:O6"/>
    <mergeCell ref="P5:P6"/>
    <mergeCell ref="Q5:Q6"/>
    <mergeCell ref="R5:R6"/>
    <mergeCell ref="S5:S6"/>
    <mergeCell ref="T5:T6"/>
    <mergeCell ref="AB5:AB6"/>
    <mergeCell ref="AC5:AC6"/>
    <mergeCell ref="V5:V6"/>
    <mergeCell ref="W5:W6"/>
    <mergeCell ref="X5:X6"/>
    <mergeCell ref="Y5:Y6"/>
    <mergeCell ref="Z5:Z6"/>
    <mergeCell ref="AA5:AA6"/>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BO114"/>
  <sheetViews>
    <sheetView workbookViewId="0">
      <pane xSplit="13" ySplit="10" topLeftCell="BP59" activePane="bottomRight" state="frozen"/>
      <selection pane="topRight" activeCell="N1" sqref="N1"/>
      <selection pane="bottomLeft" activeCell="A11" sqref="A11"/>
      <selection pane="bottomRight" sqref="A1:S1"/>
    </sheetView>
  </sheetViews>
  <sheetFormatPr defaultColWidth="9" defaultRowHeight="15.6"/>
  <cols>
    <col min="1" max="1" width="4.5" style="220" customWidth="1"/>
    <col min="2" max="2" width="47.59765625" style="220" customWidth="1"/>
    <col min="3" max="3" width="9.5" style="220" customWidth="1"/>
    <col min="4" max="4" width="8.09765625" style="220" customWidth="1"/>
    <col min="5" max="5" width="10.69921875" style="220" customWidth="1"/>
    <col min="6" max="6" width="10.5" style="220" customWidth="1"/>
    <col min="7" max="8" width="8.09765625" style="220" customWidth="1"/>
    <col min="9" max="9" width="6.59765625" style="290" customWidth="1"/>
    <col min="10" max="10" width="7" style="220" customWidth="1"/>
    <col min="11" max="12" width="8.09765625" style="220" customWidth="1"/>
    <col min="13" max="13" width="8.5" style="220" customWidth="1"/>
    <col min="14" max="14" width="8.19921875" style="553" customWidth="1"/>
    <col min="15" max="15" width="6.59765625" style="1486" customWidth="1"/>
    <col min="16" max="16" width="7.19921875" style="553" customWidth="1"/>
    <col min="17" max="17" width="8.09765625" style="553" customWidth="1"/>
    <col min="18" max="18" width="9" style="553" customWidth="1"/>
    <col min="19" max="22" width="7.69921875" style="553" customWidth="1"/>
    <col min="23" max="23" width="9.19921875" style="553" customWidth="1"/>
    <col min="24" max="24" width="10.19921875" style="553" customWidth="1"/>
    <col min="25" max="25" width="7.69921875" style="553" customWidth="1"/>
    <col min="26" max="26" width="9" style="220"/>
    <col min="27" max="27" width="9" style="290"/>
    <col min="28" max="28" width="9" style="220"/>
    <col min="29" max="30" width="9.69921875" style="220" bestFit="1" customWidth="1"/>
    <col min="31" max="31" width="9" style="220"/>
    <col min="32" max="32" width="9.09765625" style="220" customWidth="1"/>
    <col min="33" max="33" width="9.09765625" style="290" customWidth="1"/>
    <col min="34" max="37" width="9.09765625" style="220" customWidth="1"/>
    <col min="38" max="43" width="9.09765625" style="553" customWidth="1"/>
    <col min="44" max="44" width="9.5" style="220" hidden="1" customWidth="1"/>
    <col min="45" max="49" width="0" style="220" hidden="1" customWidth="1"/>
    <col min="50" max="50" width="10.19921875" style="220" hidden="1" customWidth="1"/>
    <col min="51" max="55" width="0" style="220" hidden="1" customWidth="1"/>
    <col min="56" max="56" width="9.8984375" style="220" hidden="1" customWidth="1"/>
    <col min="57" max="67" width="0" style="220" hidden="1" customWidth="1"/>
    <col min="68" max="16384" width="9" style="220"/>
  </cols>
  <sheetData>
    <row r="1" spans="1:67" s="289" customFormat="1" ht="33.75" customHeight="1">
      <c r="A1" s="4201" t="s">
        <v>1241</v>
      </c>
      <c r="B1" s="4201"/>
      <c r="C1" s="4201"/>
      <c r="D1" s="4201"/>
      <c r="E1" s="4201"/>
      <c r="F1" s="4201"/>
      <c r="G1" s="4201"/>
      <c r="H1" s="4201"/>
      <c r="I1" s="4201"/>
      <c r="J1" s="4201"/>
      <c r="K1" s="4201"/>
      <c r="L1" s="4201"/>
      <c r="M1" s="4201"/>
      <c r="N1" s="4201"/>
      <c r="O1" s="4201"/>
      <c r="P1" s="4201"/>
      <c r="Q1" s="4201"/>
      <c r="R1" s="4201"/>
      <c r="S1" s="4201"/>
      <c r="T1" s="1481"/>
      <c r="U1" s="1481"/>
      <c r="V1" s="1481"/>
      <c r="W1" s="1481"/>
      <c r="X1" s="1481"/>
      <c r="Y1" s="1481"/>
      <c r="AA1" s="219"/>
      <c r="AG1" s="219"/>
      <c r="AL1" s="546"/>
      <c r="AM1" s="546"/>
      <c r="AN1" s="546"/>
      <c r="AO1" s="546"/>
      <c r="AP1" s="546"/>
      <c r="AQ1" s="546"/>
    </row>
    <row r="2" spans="1:67" s="289" customFormat="1">
      <c r="A2" s="221"/>
      <c r="B2" s="221"/>
      <c r="C2" s="221"/>
      <c r="D2" s="221"/>
      <c r="E2" s="4202"/>
      <c r="F2" s="4202"/>
      <c r="G2" s="4202"/>
      <c r="H2" s="1482">
        <f>K8/E8</f>
        <v>1.1817745553595258</v>
      </c>
      <c r="I2" s="1385"/>
      <c r="J2" s="1095"/>
      <c r="K2" s="4203"/>
      <c r="L2" s="4203"/>
      <c r="M2" s="4203"/>
      <c r="N2" s="1483"/>
      <c r="O2" s="1484"/>
      <c r="P2" s="546"/>
      <c r="Q2" s="546"/>
      <c r="R2" s="546"/>
      <c r="S2" s="546"/>
      <c r="T2" s="546"/>
      <c r="U2" s="546"/>
      <c r="V2" s="546"/>
      <c r="W2" s="546"/>
      <c r="X2" s="546"/>
      <c r="Y2" s="546"/>
      <c r="AA2" s="1485">
        <f>AC9/Q9</f>
        <v>1.2656518496420048</v>
      </c>
      <c r="AB2" s="690">
        <f>AC10/Q10</f>
        <v>1.1381632161771786</v>
      </c>
      <c r="AC2" s="690">
        <f>AC8/Z8</f>
        <v>0.91570580617310593</v>
      </c>
      <c r="AG2" s="219"/>
      <c r="AL2" s="546"/>
      <c r="AM2" s="546"/>
      <c r="AN2" s="546"/>
      <c r="AO2" s="546"/>
      <c r="AP2" s="546"/>
      <c r="AQ2" s="546"/>
    </row>
    <row r="3" spans="1:67">
      <c r="B3" s="1033"/>
      <c r="C3" s="717"/>
      <c r="D3" s="717"/>
      <c r="E3" s="4204"/>
      <c r="F3" s="4204"/>
      <c r="G3" s="4204"/>
      <c r="H3" s="1096">
        <f>+H46-C46</f>
        <v>0</v>
      </c>
      <c r="I3" s="1097"/>
      <c r="J3" s="1098"/>
      <c r="L3" s="1031"/>
      <c r="S3" s="1487" t="s">
        <v>73</v>
      </c>
      <c r="T3" s="293"/>
      <c r="U3" s="293"/>
      <c r="V3" s="293"/>
      <c r="W3" s="293"/>
      <c r="X3" s="293"/>
      <c r="Y3" s="293"/>
      <c r="AC3" s="230">
        <f>AC10/Z10</f>
        <v>0.89055000941796947</v>
      </c>
    </row>
    <row r="4" spans="1:67" s="295" customFormat="1" ht="22.95" customHeight="1">
      <c r="A4" s="4205" t="s">
        <v>0</v>
      </c>
      <c r="B4" s="4208" t="s">
        <v>1</v>
      </c>
      <c r="C4" s="4211" t="s">
        <v>1242</v>
      </c>
      <c r="D4" s="1387"/>
      <c r="E4" s="1387"/>
      <c r="F4" s="1387"/>
      <c r="G4" s="1383"/>
      <c r="H4" s="4214" t="s">
        <v>371</v>
      </c>
      <c r="I4" s="4215"/>
      <c r="J4" s="4215"/>
      <c r="K4" s="4215"/>
      <c r="L4" s="4215"/>
      <c r="M4" s="4216"/>
      <c r="N4" s="4217" t="s">
        <v>145</v>
      </c>
      <c r="O4" s="4218"/>
      <c r="P4" s="4218"/>
      <c r="Q4" s="4218"/>
      <c r="R4" s="4218"/>
      <c r="S4" s="4219"/>
      <c r="T4" s="4217" t="s">
        <v>1703</v>
      </c>
      <c r="U4" s="4218"/>
      <c r="V4" s="4218"/>
      <c r="W4" s="4218"/>
      <c r="X4" s="4218"/>
      <c r="Y4" s="4219"/>
      <c r="Z4" s="4223" t="s">
        <v>647</v>
      </c>
      <c r="AA4" s="4224"/>
      <c r="AB4" s="4224"/>
      <c r="AC4" s="4224"/>
      <c r="AD4" s="4224"/>
      <c r="AE4" s="4225"/>
      <c r="AF4" s="4214" t="s">
        <v>648</v>
      </c>
      <c r="AG4" s="4215"/>
      <c r="AH4" s="4215"/>
      <c r="AI4" s="4215"/>
      <c r="AJ4" s="4215"/>
      <c r="AK4" s="4216"/>
      <c r="AL4" s="4217" t="s">
        <v>1704</v>
      </c>
      <c r="AM4" s="4218"/>
      <c r="AN4" s="4218"/>
      <c r="AO4" s="4218"/>
      <c r="AP4" s="4218"/>
      <c r="AQ4" s="4219"/>
      <c r="AR4" s="4217" t="s">
        <v>1717</v>
      </c>
      <c r="AS4" s="4218"/>
      <c r="AT4" s="4218"/>
      <c r="AU4" s="4218"/>
      <c r="AV4" s="4218"/>
      <c r="AW4" s="4219"/>
      <c r="AX4" s="4217" t="s">
        <v>1718</v>
      </c>
      <c r="AY4" s="4218"/>
      <c r="AZ4" s="4218"/>
      <c r="BA4" s="4218"/>
      <c r="BB4" s="4218"/>
      <c r="BC4" s="4219"/>
      <c r="BD4" s="4217" t="s">
        <v>1719</v>
      </c>
      <c r="BE4" s="4218"/>
      <c r="BF4" s="4218"/>
      <c r="BG4" s="4218"/>
      <c r="BH4" s="4218"/>
      <c r="BI4" s="4219"/>
      <c r="BJ4" s="4217" t="s">
        <v>1720</v>
      </c>
      <c r="BK4" s="4218"/>
      <c r="BL4" s="4218"/>
      <c r="BM4" s="4218"/>
      <c r="BN4" s="4218"/>
      <c r="BO4" s="4219"/>
    </row>
    <row r="5" spans="1:67" s="295" customFormat="1" ht="22.35" customHeight="1">
      <c r="A5" s="4206"/>
      <c r="B5" s="4209"/>
      <c r="C5" s="4212"/>
      <c r="D5" s="4208" t="s">
        <v>2</v>
      </c>
      <c r="E5" s="1386" t="s">
        <v>3</v>
      </c>
      <c r="F5" s="1387"/>
      <c r="G5" s="1383"/>
      <c r="H5" s="4208" t="s">
        <v>66</v>
      </c>
      <c r="I5" s="4208" t="s">
        <v>1280</v>
      </c>
      <c r="J5" s="4208" t="s">
        <v>2</v>
      </c>
      <c r="K5" s="4214" t="s">
        <v>3</v>
      </c>
      <c r="L5" s="4215"/>
      <c r="M5" s="4216"/>
      <c r="N5" s="4221" t="s">
        <v>66</v>
      </c>
      <c r="O5" s="4221" t="s">
        <v>1281</v>
      </c>
      <c r="P5" s="4221" t="s">
        <v>2</v>
      </c>
      <c r="Q5" s="4217" t="s">
        <v>3</v>
      </c>
      <c r="R5" s="4218"/>
      <c r="S5" s="4219"/>
      <c r="T5" s="4221" t="s">
        <v>66</v>
      </c>
      <c r="U5" s="4221" t="s">
        <v>1721</v>
      </c>
      <c r="V5" s="4221" t="s">
        <v>2</v>
      </c>
      <c r="W5" s="4217" t="s">
        <v>3</v>
      </c>
      <c r="X5" s="4218"/>
      <c r="Y5" s="4219"/>
      <c r="Z5" s="4226" t="s">
        <v>66</v>
      </c>
      <c r="AA5" s="4226" t="s">
        <v>1722</v>
      </c>
      <c r="AB5" s="4226" t="s">
        <v>2</v>
      </c>
      <c r="AC5" s="4223" t="s">
        <v>3</v>
      </c>
      <c r="AD5" s="4224"/>
      <c r="AE5" s="4225"/>
      <c r="AF5" s="4208" t="s">
        <v>66</v>
      </c>
      <c r="AG5" s="4208" t="s">
        <v>179</v>
      </c>
      <c r="AH5" s="4208" t="s">
        <v>2</v>
      </c>
      <c r="AI5" s="4214" t="s">
        <v>3</v>
      </c>
      <c r="AJ5" s="4215"/>
      <c r="AK5" s="4216"/>
      <c r="AL5" s="4221" t="s">
        <v>66</v>
      </c>
      <c r="AM5" s="4221" t="s">
        <v>180</v>
      </c>
      <c r="AN5" s="4221" t="s">
        <v>2</v>
      </c>
      <c r="AO5" s="4217" t="s">
        <v>3</v>
      </c>
      <c r="AP5" s="4218"/>
      <c r="AQ5" s="4219"/>
      <c r="AR5" s="4221" t="s">
        <v>66</v>
      </c>
      <c r="AS5" s="4221" t="s">
        <v>179</v>
      </c>
      <c r="AT5" s="4221" t="s">
        <v>2</v>
      </c>
      <c r="AU5" s="4217" t="s">
        <v>3</v>
      </c>
      <c r="AV5" s="4218"/>
      <c r="AW5" s="4219"/>
      <c r="AX5" s="4221" t="s">
        <v>66</v>
      </c>
      <c r="AY5" s="4221" t="s">
        <v>179</v>
      </c>
      <c r="AZ5" s="4221" t="s">
        <v>2</v>
      </c>
      <c r="BA5" s="4217" t="s">
        <v>3</v>
      </c>
      <c r="BB5" s="4218"/>
      <c r="BC5" s="4219"/>
      <c r="BD5" s="4221" t="s">
        <v>66</v>
      </c>
      <c r="BE5" s="4221" t="s">
        <v>179</v>
      </c>
      <c r="BF5" s="4221" t="s">
        <v>2</v>
      </c>
      <c r="BG5" s="4217" t="s">
        <v>3</v>
      </c>
      <c r="BH5" s="4218"/>
      <c r="BI5" s="4219"/>
      <c r="BJ5" s="4221" t="s">
        <v>66</v>
      </c>
      <c r="BK5" s="4221" t="s">
        <v>179</v>
      </c>
      <c r="BL5" s="4221" t="s">
        <v>2</v>
      </c>
      <c r="BM5" s="4217" t="s">
        <v>3</v>
      </c>
      <c r="BN5" s="4218"/>
      <c r="BO5" s="4219"/>
    </row>
    <row r="6" spans="1:67" s="295" customFormat="1" ht="79.5" customHeight="1">
      <c r="A6" s="4207"/>
      <c r="B6" s="4210"/>
      <c r="C6" s="4213"/>
      <c r="D6" s="4220"/>
      <c r="E6" s="1381" t="s">
        <v>4</v>
      </c>
      <c r="F6" s="1381" t="s">
        <v>5</v>
      </c>
      <c r="G6" s="1381" t="s">
        <v>69</v>
      </c>
      <c r="H6" s="4210"/>
      <c r="I6" s="4210"/>
      <c r="J6" s="4210"/>
      <c r="K6" s="1381" t="s">
        <v>4</v>
      </c>
      <c r="L6" s="1381" t="s">
        <v>5</v>
      </c>
      <c r="M6" s="1381" t="s">
        <v>69</v>
      </c>
      <c r="N6" s="4222"/>
      <c r="O6" s="4222"/>
      <c r="P6" s="4222"/>
      <c r="Q6" s="562" t="s">
        <v>4</v>
      </c>
      <c r="R6" s="562" t="s">
        <v>5</v>
      </c>
      <c r="S6" s="562" t="s">
        <v>69</v>
      </c>
      <c r="T6" s="4222"/>
      <c r="U6" s="4222"/>
      <c r="V6" s="4222"/>
      <c r="W6" s="562" t="s">
        <v>4</v>
      </c>
      <c r="X6" s="562" t="s">
        <v>5</v>
      </c>
      <c r="Y6" s="562" t="s">
        <v>69</v>
      </c>
      <c r="Z6" s="4227"/>
      <c r="AA6" s="4227"/>
      <c r="AB6" s="4227"/>
      <c r="AC6" s="1382" t="s">
        <v>4</v>
      </c>
      <c r="AD6" s="1382" t="s">
        <v>5</v>
      </c>
      <c r="AE6" s="1382" t="s">
        <v>69</v>
      </c>
      <c r="AF6" s="4210"/>
      <c r="AG6" s="4210"/>
      <c r="AH6" s="4210"/>
      <c r="AI6" s="1381" t="s">
        <v>4</v>
      </c>
      <c r="AJ6" s="1381" t="s">
        <v>5</v>
      </c>
      <c r="AK6" s="1381" t="s">
        <v>69</v>
      </c>
      <c r="AL6" s="4222"/>
      <c r="AM6" s="4222"/>
      <c r="AN6" s="4222"/>
      <c r="AO6" s="562" t="s">
        <v>4</v>
      </c>
      <c r="AP6" s="562" t="s">
        <v>5</v>
      </c>
      <c r="AQ6" s="562" t="s">
        <v>69</v>
      </c>
      <c r="AR6" s="4222"/>
      <c r="AS6" s="4222"/>
      <c r="AT6" s="4222"/>
      <c r="AU6" s="562" t="s">
        <v>4</v>
      </c>
      <c r="AV6" s="562" t="s">
        <v>5</v>
      </c>
      <c r="AW6" s="562" t="s">
        <v>69</v>
      </c>
      <c r="AX6" s="4222"/>
      <c r="AY6" s="4222"/>
      <c r="AZ6" s="4222"/>
      <c r="BA6" s="562" t="s">
        <v>4</v>
      </c>
      <c r="BB6" s="562" t="s">
        <v>5</v>
      </c>
      <c r="BC6" s="562" t="s">
        <v>69</v>
      </c>
      <c r="BD6" s="4222"/>
      <c r="BE6" s="4222"/>
      <c r="BF6" s="4222"/>
      <c r="BG6" s="562" t="s">
        <v>4</v>
      </c>
      <c r="BH6" s="562" t="s">
        <v>5</v>
      </c>
      <c r="BI6" s="562" t="s">
        <v>69</v>
      </c>
      <c r="BJ6" s="4222"/>
      <c r="BK6" s="4222"/>
      <c r="BL6" s="4222"/>
      <c r="BM6" s="562" t="s">
        <v>4</v>
      </c>
      <c r="BN6" s="562" t="s">
        <v>5</v>
      </c>
      <c r="BO6" s="562" t="s">
        <v>69</v>
      </c>
    </row>
    <row r="7" spans="1:67" s="537" customFormat="1">
      <c r="A7" s="1099">
        <v>1</v>
      </c>
      <c r="B7" s="1099">
        <v>2</v>
      </c>
      <c r="C7" s="1099">
        <v>3</v>
      </c>
      <c r="D7" s="1099"/>
      <c r="E7" s="1099"/>
      <c r="F7" s="1099"/>
      <c r="G7" s="1099"/>
      <c r="H7" s="1099" t="s">
        <v>81</v>
      </c>
      <c r="I7" s="1099" t="s">
        <v>77</v>
      </c>
      <c r="J7" s="1099">
        <v>6</v>
      </c>
      <c r="K7" s="1099" t="s">
        <v>78</v>
      </c>
      <c r="L7" s="1099">
        <v>8</v>
      </c>
      <c r="M7" s="1099">
        <v>9</v>
      </c>
      <c r="N7" s="1488" t="s">
        <v>79</v>
      </c>
      <c r="O7" s="1488" t="s">
        <v>1282</v>
      </c>
      <c r="P7" s="1488">
        <v>12</v>
      </c>
      <c r="Q7" s="1488" t="s">
        <v>80</v>
      </c>
      <c r="R7" s="1488">
        <v>14</v>
      </c>
      <c r="S7" s="1488">
        <v>15</v>
      </c>
      <c r="T7" s="1488" t="s">
        <v>79</v>
      </c>
      <c r="U7" s="1488" t="s">
        <v>1282</v>
      </c>
      <c r="V7" s="1488">
        <v>12</v>
      </c>
      <c r="W7" s="1488" t="s">
        <v>80</v>
      </c>
      <c r="X7" s="1488">
        <v>14</v>
      </c>
      <c r="Y7" s="1488">
        <v>15</v>
      </c>
      <c r="Z7" s="1099">
        <v>16</v>
      </c>
      <c r="AA7" s="1099" t="s">
        <v>1283</v>
      </c>
      <c r="AB7" s="1099">
        <v>18</v>
      </c>
      <c r="AC7" s="1099" t="s">
        <v>1284</v>
      </c>
      <c r="AD7" s="1099">
        <v>20</v>
      </c>
      <c r="AE7" s="1099">
        <v>21</v>
      </c>
      <c r="AF7" s="1099">
        <v>22</v>
      </c>
      <c r="AG7" s="1099" t="s">
        <v>1285</v>
      </c>
      <c r="AH7" s="1099">
        <v>24</v>
      </c>
      <c r="AI7" s="1099" t="s">
        <v>1286</v>
      </c>
      <c r="AJ7" s="1099">
        <v>26</v>
      </c>
      <c r="AK7" s="1099">
        <v>27</v>
      </c>
      <c r="AL7" s="1489"/>
      <c r="AM7" s="1489"/>
      <c r="AN7" s="1489"/>
      <c r="AO7" s="1489"/>
      <c r="AP7" s="1489"/>
      <c r="AQ7" s="1489"/>
      <c r="AR7" s="1489"/>
      <c r="AS7" s="1489"/>
      <c r="AT7" s="1489"/>
      <c r="AU7" s="1489"/>
      <c r="AV7" s="1489"/>
      <c r="AW7" s="1489"/>
      <c r="AX7" s="1489"/>
      <c r="AY7" s="1489"/>
      <c r="AZ7" s="1489"/>
      <c r="BA7" s="1489"/>
      <c r="BB7" s="1489"/>
      <c r="BC7" s="1489"/>
      <c r="BD7" s="1489"/>
      <c r="BE7" s="1489"/>
      <c r="BF7" s="1489"/>
      <c r="BG7" s="1489"/>
      <c r="BH7" s="1489"/>
      <c r="BI7" s="1489"/>
      <c r="BJ7" s="1489"/>
      <c r="BK7" s="1489"/>
      <c r="BL7" s="1489"/>
      <c r="BM7" s="1489"/>
      <c r="BN7" s="1489"/>
      <c r="BO7" s="1489"/>
    </row>
    <row r="8" spans="1:67" s="228" customFormat="1">
      <c r="A8" s="223" t="s">
        <v>7</v>
      </c>
      <c r="B8" s="1100" t="s">
        <v>8</v>
      </c>
      <c r="C8" s="232">
        <f t="shared" ref="C8:H8" si="0">SUM(C9,C49)</f>
        <v>6818777</v>
      </c>
      <c r="D8" s="1101">
        <f t="shared" si="0"/>
        <v>1009000</v>
      </c>
      <c r="E8" s="1101">
        <f t="shared" si="0"/>
        <v>5809777</v>
      </c>
      <c r="F8" s="1101">
        <f t="shared" si="0"/>
        <v>3489997</v>
      </c>
      <c r="G8" s="1101">
        <f t="shared" si="0"/>
        <v>2319780</v>
      </c>
      <c r="H8" s="1101">
        <f t="shared" si="0"/>
        <v>7877094.2005829997</v>
      </c>
      <c r="I8" s="1102">
        <f>H8/C8*100</f>
        <v>115.52063076095611</v>
      </c>
      <c r="J8" s="306">
        <f>SUM(J9,J49)</f>
        <v>1011247.5696699999</v>
      </c>
      <c r="K8" s="306">
        <f>SUM(K9,K49)</f>
        <v>6865846.6309129996</v>
      </c>
      <c r="L8" s="306">
        <f>SUM(L9,L49)</f>
        <v>3854279.9841919998</v>
      </c>
      <c r="M8" s="306">
        <f>SUM(M9,M49)</f>
        <v>3011566.6467210003</v>
      </c>
      <c r="N8" s="1490">
        <f>+N9+N49</f>
        <v>7590000</v>
      </c>
      <c r="O8" s="1491">
        <f>N8/H8*100</f>
        <v>96.355328585993661</v>
      </c>
      <c r="P8" s="1490">
        <f>+P9+P49</f>
        <v>886000</v>
      </c>
      <c r="Q8" s="1490">
        <f>+Q9+Q49</f>
        <v>6704000</v>
      </c>
      <c r="R8" s="1490">
        <f>+R9+R49</f>
        <v>3806650</v>
      </c>
      <c r="S8" s="1490">
        <f>+S9+S49</f>
        <v>2897350</v>
      </c>
      <c r="T8" s="1490">
        <f>+T9+T49</f>
        <v>8150745.3199999984</v>
      </c>
      <c r="U8" s="1491">
        <f>T8/N8*100</f>
        <v>107.38794888010538</v>
      </c>
      <c r="V8" s="1490">
        <f>+V9+V49</f>
        <v>700345.52</v>
      </c>
      <c r="W8" s="1490">
        <f>+W9+W49</f>
        <v>7450399.7999999989</v>
      </c>
      <c r="X8" s="1490">
        <f>+X9+X49</f>
        <v>3862350.7333333334</v>
      </c>
      <c r="Y8" s="1490">
        <f>+Y9+Y49</f>
        <v>3588049.0666666669</v>
      </c>
      <c r="Z8" s="1634">
        <f>SUM(Z9,Z49)</f>
        <v>9266000</v>
      </c>
      <c r="AA8" s="1493">
        <f>Z8/T8*100</f>
        <v>113.68285520176211</v>
      </c>
      <c r="AB8" s="1634">
        <f>SUM(AB9,AB49)</f>
        <v>781070</v>
      </c>
      <c r="AC8" s="1634">
        <f>SUM(AC9,AC49)</f>
        <v>8484930</v>
      </c>
      <c r="AD8" s="1634">
        <f>SUM(AD9,AD49)</f>
        <v>4444450</v>
      </c>
      <c r="AE8" s="1634">
        <f>SUM(AE9,AE49)</f>
        <v>4040480</v>
      </c>
      <c r="AF8" s="1634">
        <f>SUM(AF9,AF49)</f>
        <v>10162499.699999999</v>
      </c>
      <c r="AG8" s="1102">
        <f>AF8/Z8*100</f>
        <v>109.67515324843514</v>
      </c>
      <c r="AH8" s="1101">
        <f>SUM(AH9,AH49)</f>
        <v>1047900.1176470588</v>
      </c>
      <c r="AI8" s="1101">
        <f>SUM(AI9,AI49)</f>
        <v>9114599.58235294</v>
      </c>
      <c r="AJ8" s="1101">
        <f>SUM(AJ9,AJ49)</f>
        <v>5575798.8960600672</v>
      </c>
      <c r="AK8" s="1101">
        <f>SUM(AK9,AK49)</f>
        <v>3538800.6862928737</v>
      </c>
      <c r="AL8" s="1492">
        <f>SUM(AL9+AL49)</f>
        <v>11039000</v>
      </c>
      <c r="AM8" s="1493">
        <f>AL8/AF8*100</f>
        <v>108.62484945510012</v>
      </c>
      <c r="AN8" s="1492">
        <f>SUM(AN9,AN49)</f>
        <v>1127999.4667532584</v>
      </c>
      <c r="AO8" s="1492">
        <f>SUM(AO9,AO49)</f>
        <v>9911000.5332467407</v>
      </c>
      <c r="AP8" s="1492">
        <f>SUM(AP9,AP49)</f>
        <v>6135500.5618025828</v>
      </c>
      <c r="AQ8" s="1492">
        <f>SUM(AQ9,AQ49)</f>
        <v>3775499.9714441583</v>
      </c>
      <c r="AR8" s="423">
        <f>SUM(AR9+AR49)</f>
        <v>11935999.6</v>
      </c>
      <c r="AS8" s="1641">
        <f>AR8/AL8*100</f>
        <v>108.12573240329739</v>
      </c>
      <c r="AT8" s="423">
        <f>SUM(AT9,AT49)</f>
        <v>1232999.6000000001</v>
      </c>
      <c r="AU8" s="423">
        <f>SUM(AU9,AU49)</f>
        <v>10703000</v>
      </c>
      <c r="AV8" s="423">
        <f>SUM(AV9,AV49)</f>
        <v>6569000</v>
      </c>
      <c r="AW8" s="423">
        <f>SUM(AW9,AW49)</f>
        <v>4134000</v>
      </c>
      <c r="AX8" s="423">
        <f>SUM(AX9+AX49)</f>
        <v>12893500.18296</v>
      </c>
      <c r="AY8" s="1641">
        <f>AX8/AR8*100</f>
        <v>108.02195555502531</v>
      </c>
      <c r="AZ8" s="423">
        <f>SUM(AZ9,AZ49)</f>
        <v>1343500.1829599999</v>
      </c>
      <c r="BA8" s="423">
        <f>SUM(BA9,BA49)</f>
        <v>11550000</v>
      </c>
      <c r="BB8" s="423">
        <f>SUM(BB9,BB49)</f>
        <v>6857000</v>
      </c>
      <c r="BC8" s="423">
        <f>SUM(BC9,BC49)</f>
        <v>4693000</v>
      </c>
      <c r="BD8" s="423">
        <f>SUM(BD9+BD49)</f>
        <v>13961499.790937057</v>
      </c>
      <c r="BE8" s="1641">
        <f>BD8/AX8*100</f>
        <v>108.28324033677465</v>
      </c>
      <c r="BF8" s="423">
        <f>SUM(BF9,BF49)</f>
        <v>1457499.7909370561</v>
      </c>
      <c r="BG8" s="423">
        <f>SUM(BG9,BG49)</f>
        <v>12504000</v>
      </c>
      <c r="BH8" s="423">
        <f>SUM(BH9,BH49)</f>
        <v>7289000</v>
      </c>
      <c r="BI8" s="423">
        <f>SUM(BI9,BI49)</f>
        <v>5215000</v>
      </c>
      <c r="BJ8" s="423">
        <f>SUM(BJ9+BJ49)</f>
        <v>15199999.781738287</v>
      </c>
      <c r="BK8" s="1641">
        <f>BJ8/BD8*100</f>
        <v>108.87082340254868</v>
      </c>
      <c r="BL8" s="423">
        <f>SUM(BL9,BL49)</f>
        <v>1565999.7817382864</v>
      </c>
      <c r="BM8" s="423">
        <f>SUM(BM9,BM49)</f>
        <v>13634000</v>
      </c>
      <c r="BN8" s="423">
        <f>SUM(BN9,BN49)</f>
        <v>7805000</v>
      </c>
      <c r="BO8" s="423">
        <f>SUM(BO9,BO49)</f>
        <v>5829000</v>
      </c>
    </row>
    <row r="9" spans="1:67" s="228" customFormat="1">
      <c r="A9" s="1034" t="s">
        <v>9</v>
      </c>
      <c r="B9" s="591" t="s">
        <v>10</v>
      </c>
      <c r="C9" s="1042">
        <f t="shared" ref="C9:H9" si="1">SUM(C11,C17,C23,C28,C34:C45,C47:C48)</f>
        <v>6708777</v>
      </c>
      <c r="D9" s="1042">
        <f t="shared" si="1"/>
        <v>899000</v>
      </c>
      <c r="E9" s="1042">
        <f t="shared" si="1"/>
        <v>5809777</v>
      </c>
      <c r="F9" s="1042">
        <f t="shared" si="1"/>
        <v>3489997</v>
      </c>
      <c r="G9" s="1042">
        <f t="shared" si="1"/>
        <v>2319780</v>
      </c>
      <c r="H9" s="1042">
        <f t="shared" si="1"/>
        <v>7487310.8303279998</v>
      </c>
      <c r="I9" s="1103">
        <f>H9/C9*100</f>
        <v>111.60470575080971</v>
      </c>
      <c r="J9" s="1042">
        <f>SUM(J11,J17,J23,J28,J34:J45,J47:J48)</f>
        <v>621464.19941499992</v>
      </c>
      <c r="K9" s="1042">
        <f>SUM(K11,K17,K23,K28,K34:K45,K47:K48)</f>
        <v>6865846.6309129996</v>
      </c>
      <c r="L9" s="1042">
        <f>SUM(L11,L17,L23,L28,L34:L45,L47:L48)</f>
        <v>3854279.9841919998</v>
      </c>
      <c r="M9" s="1042">
        <f>SUM(M11,M17,M23,M28,M34:M45,M47:M48)</f>
        <v>3011566.6467210003</v>
      </c>
      <c r="N9" s="1492">
        <f>N11+N17+N23+N28+SUM(N34:N45)+N47+N48</f>
        <v>7440000</v>
      </c>
      <c r="O9" s="1494">
        <f>N9/H9*100</f>
        <v>99.368119857714959</v>
      </c>
      <c r="P9" s="1492">
        <f>P11+P17+P23+P28+SUM(P34:P45)+P47+P48</f>
        <v>736000</v>
      </c>
      <c r="Q9" s="1492">
        <f>Q11+Q17+Q23+Q28+SUM(Q34:Q45)+Q47+Q48</f>
        <v>6704000</v>
      </c>
      <c r="R9" s="1492">
        <f>R11+R17+R23+R28+SUM(R34:R45)+R47+R48</f>
        <v>3806650</v>
      </c>
      <c r="S9" s="1492">
        <f>S11+S17+S23+S28+SUM(S34:S45)+S47+S48</f>
        <v>2897350</v>
      </c>
      <c r="T9" s="1492">
        <f>T11+T17+T23+T28+SUM(T34:T45)+T47+T48</f>
        <v>7999999.7999999989</v>
      </c>
      <c r="U9" s="1494">
        <f>T9/N9*100</f>
        <v>107.52687903225807</v>
      </c>
      <c r="V9" s="1492">
        <f>V11+V17+V23+V28+SUM(V34:V45)+V47+V48</f>
        <v>549600</v>
      </c>
      <c r="W9" s="1492">
        <f>W11+W17+W23+W28+SUM(W34:W45)+W47+W48</f>
        <v>7450399.7999999989</v>
      </c>
      <c r="X9" s="1492">
        <f>X11+X17+X23+X28+SUM(X34:X45)+X47+X48</f>
        <v>3862350.7333333334</v>
      </c>
      <c r="Y9" s="1492">
        <f>Y11+Y17+Y23+Y28+SUM(Y34:Y45)+Y47+Y48</f>
        <v>3588049.0666666669</v>
      </c>
      <c r="Z9" s="1492">
        <f>SUM(Z11,Z17,Z23,Z28,Z34:Z45,Z47:Z48)</f>
        <v>9066000</v>
      </c>
      <c r="AA9" s="1493">
        <f t="shared" ref="AA9:AA10" si="2">Z9/T9*100</f>
        <v>113.32500283312508</v>
      </c>
      <c r="AB9" s="1492">
        <f>SUM(AB11,AB17,AB23,AB28,AB34:AB45,AB47:AB48)</f>
        <v>581070</v>
      </c>
      <c r="AC9" s="1492">
        <f>SUM(AC11,AC17,AC23,AC28,AC34:AC45,AC47:AC48)</f>
        <v>8484930</v>
      </c>
      <c r="AD9" s="1492">
        <f>SUM(AD11,AD17,AD23,AD28,AD34:AD45,AD47:AD48)</f>
        <v>4444450</v>
      </c>
      <c r="AE9" s="1492">
        <f>SUM(AE11,AE17,AE23,AE28,AE34:AE45,AE47:AE48)</f>
        <v>4040480</v>
      </c>
      <c r="AF9" s="1492">
        <f>SUM(AF11,AF17,AF23,AF28,AF34:AF45,AF47:AF48)</f>
        <v>9999999.6999999993</v>
      </c>
      <c r="AG9" s="1103">
        <f>AF9/Z9*100</f>
        <v>110.30222479594087</v>
      </c>
      <c r="AH9" s="1042">
        <f>SUM(AH11,AH17,AH23,AH28,AH34:AH45,AH47:AH48)</f>
        <v>885400.1176470588</v>
      </c>
      <c r="AI9" s="1042">
        <f>SUM(AI11,AI17,AI23,AI28,AI34:AI45,AI47:AI48)</f>
        <v>9114599.58235294</v>
      </c>
      <c r="AJ9" s="1042">
        <f>SUM(AJ11,AJ17,AJ23,AJ28,AJ34:AJ45,AJ47:AJ48)</f>
        <v>5575798.8960600672</v>
      </c>
      <c r="AK9" s="1042">
        <f>SUM(AK11,AK17,AK23,AK28,AK34:AK45,AK47:AK48)</f>
        <v>3538800.6862928737</v>
      </c>
      <c r="AL9" s="1492">
        <f>SUM(AL11,AL17,AL23,AL28,AL34:AL45,AL47:AL48)</f>
        <v>10870000</v>
      </c>
      <c r="AM9" s="1493">
        <f>AL9/AF9*100</f>
        <v>108.70000326100011</v>
      </c>
      <c r="AN9" s="1492">
        <f>SUM(AN11,AN17,AN23,AN28,AN34:AN45,AN47:AN48)</f>
        <v>958999.46675325837</v>
      </c>
      <c r="AO9" s="1492">
        <f>SUM(AO11,AO17,AO23,AO28,AO34:AO45,AO47:AO48)</f>
        <v>9911000.5332467407</v>
      </c>
      <c r="AP9" s="1492">
        <f>SUM(AP11,AP17,AP23,AP28,AP34:AP45,AP47:AP48)</f>
        <v>6135500.5618025828</v>
      </c>
      <c r="AQ9" s="1492">
        <f>SUM(AQ11,AQ17,AQ23,AQ28,AQ34:AQ45,AQ47:AQ48)</f>
        <v>3775499.9714441583</v>
      </c>
      <c r="AR9" s="423">
        <f>SUM(AR11,AR17,AR23,AR28,AR34:AR45,AR47:AR48)</f>
        <v>11760000</v>
      </c>
      <c r="AS9" s="1641">
        <f>AR9/AL9*100</f>
        <v>108.18767249310028</v>
      </c>
      <c r="AT9" s="423">
        <f>SUM(AT11,AT17,AT23,AT28,AT34:AT45,AT47:AT48)</f>
        <v>1057000</v>
      </c>
      <c r="AU9" s="423">
        <f>SUM(AU11,AU17,AU23,AU28,AU34:AU45,AU47:AU48)</f>
        <v>10703000</v>
      </c>
      <c r="AV9" s="423">
        <f>SUM(AV11,AV17,AV23,AV28,AV34:AV45,AV47:AV48)</f>
        <v>6569000</v>
      </c>
      <c r="AW9" s="423">
        <f>SUM(AW11,AW17,AW23,AW28,AW34:AW45,AW47:AW48)</f>
        <v>4134000</v>
      </c>
      <c r="AX9" s="423">
        <f>SUM(AX11,AX17,AX23,AX28,AX34:AX45,AX47:AX48)</f>
        <v>12710000</v>
      </c>
      <c r="AY9" s="1641">
        <f>AX9/AR9*100</f>
        <v>108.07823129251702</v>
      </c>
      <c r="AZ9" s="423">
        <f>SUM(AZ11,AZ17,AZ23,AZ28,AZ34:AZ45,AZ47:AZ48)</f>
        <v>1160000</v>
      </c>
      <c r="BA9" s="423">
        <f>SUM(BA11,BA17,BA23,BA28,BA34:BA45,BA47:BA48)</f>
        <v>11550000</v>
      </c>
      <c r="BB9" s="423">
        <f>SUM(BB11,BB17,BB23,BB28,BB34:BB45,BB47:BB48)</f>
        <v>6857000</v>
      </c>
      <c r="BC9" s="423">
        <f>SUM(BC11,BC17,BC23,BC28,BC34:BC45,BC47:BC48)</f>
        <v>4693000</v>
      </c>
      <c r="BD9" s="423">
        <f>SUM(BD11,BD17,BD23,BD28,BD34:BD45,BD47:BD48)</f>
        <v>13770000</v>
      </c>
      <c r="BE9" s="1641">
        <f>BD9/AX9*100</f>
        <v>108.33988985051141</v>
      </c>
      <c r="BF9" s="423">
        <f>SUM(BF11,BF17,BF23,BF28,BF34:BF45,BF47:BF48)</f>
        <v>1266000</v>
      </c>
      <c r="BG9" s="423">
        <f>SUM(BG11,BG17,BG23,BG28,BG34:BG45,BG47:BG48)</f>
        <v>12504000</v>
      </c>
      <c r="BH9" s="423">
        <f>SUM(BH11,BH17,BH23,BH28,BH34:BH45,BH47:BH48)</f>
        <v>7289000</v>
      </c>
      <c r="BI9" s="423">
        <f>SUM(BI11,BI17,BI23,BI28,BI34:BI45,BI47:BI48)</f>
        <v>5215000</v>
      </c>
      <c r="BJ9" s="423">
        <f>SUM(BJ11,BJ17,BJ23,BJ28,BJ34:BJ45,BJ47:BJ48)</f>
        <v>15000000</v>
      </c>
      <c r="BK9" s="1641">
        <f>BJ9/BD9*100</f>
        <v>108.93246187363835</v>
      </c>
      <c r="BL9" s="423">
        <f>SUM(BL11,BL17,BL23,BL28,BL34:BL45,BL47:BL48)</f>
        <v>1366000</v>
      </c>
      <c r="BM9" s="423">
        <f>SUM(BM11,BM17,BM23,BM28,BM34:BM45,BM47:BM48)</f>
        <v>13634000</v>
      </c>
      <c r="BN9" s="423">
        <f>SUM(BN11,BN17,BN23,BN28,BN34:BN45,BN47:BN48)</f>
        <v>7805000</v>
      </c>
      <c r="BO9" s="423">
        <f>SUM(BO11,BO17,BO23,BO28,BO34:BO45,BO47:BO48)</f>
        <v>5829000</v>
      </c>
    </row>
    <row r="10" spans="1:67" s="228" customFormat="1">
      <c r="A10" s="1034"/>
      <c r="B10" s="591" t="s">
        <v>147</v>
      </c>
      <c r="C10" s="1042">
        <f t="shared" ref="C10:H10" si="3">C9-C40-C48-C45</f>
        <v>4310000</v>
      </c>
      <c r="D10" s="1042">
        <f t="shared" si="3"/>
        <v>899000</v>
      </c>
      <c r="E10" s="1042">
        <f t="shared" si="3"/>
        <v>3411000</v>
      </c>
      <c r="F10" s="1042">
        <f t="shared" si="3"/>
        <v>1791220</v>
      </c>
      <c r="G10" s="1042">
        <f t="shared" si="3"/>
        <v>1619780</v>
      </c>
      <c r="H10" s="1042">
        <f t="shared" si="3"/>
        <v>4638245.6744579999</v>
      </c>
      <c r="I10" s="1103">
        <f>H10/C10*100</f>
        <v>107.61590892013922</v>
      </c>
      <c r="J10" s="1042">
        <f>J9-J40-J48-J45</f>
        <v>621464.19941499992</v>
      </c>
      <c r="K10" s="1042">
        <f>K9-K40-K48-K45</f>
        <v>4016781.4750429997</v>
      </c>
      <c r="L10" s="1042">
        <f>L9-L40-L48-L45</f>
        <v>1905214.8283219999</v>
      </c>
      <c r="M10" s="1042">
        <f>M9-M40-M48-M45</f>
        <v>2111566.6467210003</v>
      </c>
      <c r="N10" s="1492">
        <f>N9-N40-N48</f>
        <v>4940000</v>
      </c>
      <c r="O10" s="1493">
        <f>N10/H10*100</f>
        <v>106.50578573713135</v>
      </c>
      <c r="P10" s="1492">
        <f>P9-P40-P48-P45</f>
        <v>736000</v>
      </c>
      <c r="Q10" s="1492">
        <f>Q9-Q40-Q48-Q45</f>
        <v>4154000</v>
      </c>
      <c r="R10" s="1492">
        <f>R9-R40-R48</f>
        <v>2106650</v>
      </c>
      <c r="S10" s="1492">
        <f>S9-S40-S48</f>
        <v>2097350</v>
      </c>
      <c r="T10" s="1492">
        <f>T9-T40-T48-T45</f>
        <v>4869999.7999999989</v>
      </c>
      <c r="U10" s="1493">
        <f>T10/N10*100</f>
        <v>98.582991902833982</v>
      </c>
      <c r="V10" s="1492">
        <f>V9-V40-V48-V45</f>
        <v>549600</v>
      </c>
      <c r="W10" s="1492">
        <f>W9-W40-W48-W45</f>
        <v>4320399.7999999989</v>
      </c>
      <c r="X10" s="1492">
        <f>X9-X40-X48</f>
        <v>1812350.7333333334</v>
      </c>
      <c r="Y10" s="1492">
        <f>Y9-Y40-Y48</f>
        <v>2608049.0666666669</v>
      </c>
      <c r="Z10" s="1492">
        <f>Z9-Z40-Z48-Z45</f>
        <v>5309000</v>
      </c>
      <c r="AA10" s="1493">
        <f t="shared" si="2"/>
        <v>109.01437819360899</v>
      </c>
      <c r="AB10" s="1492">
        <f>AB9-AB40-AB48-AB45</f>
        <v>581070</v>
      </c>
      <c r="AC10" s="1492">
        <f>AC9-AC40-AC48-AC45</f>
        <v>4727930</v>
      </c>
      <c r="AD10" s="1492">
        <f>AD9-AD40-AD48-AD45</f>
        <v>1830450</v>
      </c>
      <c r="AE10" s="1492">
        <f>AE9-AE40-AE48-AE45</f>
        <v>2897480</v>
      </c>
      <c r="AF10" s="1492">
        <f>AF9-AF40-AF48-AF45</f>
        <v>6363999.6999999993</v>
      </c>
      <c r="AG10" s="1103">
        <f>AF10/Z10*100</f>
        <v>119.87190996421171</v>
      </c>
      <c r="AH10" s="1042">
        <f>AH9-AH40-AH48-AH45</f>
        <v>885400.1176470588</v>
      </c>
      <c r="AI10" s="1042">
        <f>AI9-AI40-AI48-AI45</f>
        <v>5478599.58235294</v>
      </c>
      <c r="AJ10" s="1042">
        <f>AJ9-AJ40-AJ48-AJ45</f>
        <v>2714699.1502973549</v>
      </c>
      <c r="AK10" s="1042">
        <f>AK9-AK40-AK48-AK45</f>
        <v>2763900.4320555856</v>
      </c>
      <c r="AL10" s="1492">
        <f>AL9-AL40-AL48-AL45</f>
        <v>6990000</v>
      </c>
      <c r="AM10" s="1493">
        <f>AL10/AF10*100</f>
        <v>109.83658594452794</v>
      </c>
      <c r="AN10" s="1492">
        <f>AN9-AN40-AN48-AN45</f>
        <v>958999.46675325837</v>
      </c>
      <c r="AO10" s="1492">
        <f>AO9-AO40-AO48-AO45</f>
        <v>6031000.5332467407</v>
      </c>
      <c r="AP10" s="1492">
        <f>AP9-AP40-AP48-AP45</f>
        <v>3069100.8287517354</v>
      </c>
      <c r="AQ10" s="1492">
        <f>AQ9-AQ40-AQ48-AQ45</f>
        <v>2961899.7044950058</v>
      </c>
      <c r="AR10" s="423">
        <f>AR9-AR40-AR48-AR45</f>
        <v>7730000</v>
      </c>
      <c r="AS10" s="1641">
        <f>AR10/AL10*100</f>
        <v>110.5865522174535</v>
      </c>
      <c r="AT10" s="423">
        <f>AT9-AT40-AT48-AT45</f>
        <v>1057000</v>
      </c>
      <c r="AU10" s="423">
        <f>AU9-AU40-AU48-AU45</f>
        <v>6673000</v>
      </c>
      <c r="AV10" s="423">
        <f>AV9-AV40-AV48-AV45</f>
        <v>3378000</v>
      </c>
      <c r="AW10" s="423">
        <f>AW9-AW40-AW48-AW45</f>
        <v>3295000</v>
      </c>
      <c r="AX10" s="423">
        <f>AX9-AX40-AX48-AX45</f>
        <v>8560000</v>
      </c>
      <c r="AY10" s="1641">
        <f>AX10/AR10*100</f>
        <v>110.73738680465719</v>
      </c>
      <c r="AZ10" s="423">
        <f>AZ9-AZ40-AZ48-AZ45</f>
        <v>1160000</v>
      </c>
      <c r="BA10" s="423">
        <f>BA9-BA40-BA48-BA45</f>
        <v>7400000</v>
      </c>
      <c r="BB10" s="423">
        <f>BB9-BB40-BB48-BB45</f>
        <v>3578000</v>
      </c>
      <c r="BC10" s="423">
        <f>BC9-BC40-BC48-BC45</f>
        <v>3822000</v>
      </c>
      <c r="BD10" s="423">
        <f>BD9-BD40-BD48-BD45</f>
        <v>9510000</v>
      </c>
      <c r="BE10" s="1641">
        <f>BD10/AX10*100</f>
        <v>111.0981308411215</v>
      </c>
      <c r="BF10" s="423">
        <f>BF9-BF40-BF48-BF45</f>
        <v>1266000</v>
      </c>
      <c r="BG10" s="423">
        <f>BG9-BG40-BG48-BG45</f>
        <v>8244000</v>
      </c>
      <c r="BH10" s="423">
        <f>BH9-BH40-BH48-BH45</f>
        <v>3932000</v>
      </c>
      <c r="BI10" s="423">
        <f>BI9-BI40-BI48-BI45</f>
        <v>4312000</v>
      </c>
      <c r="BJ10" s="423">
        <f>BJ9-BJ40-BJ48-BJ45</f>
        <v>10580000</v>
      </c>
      <c r="BK10" s="1641">
        <f>BJ10/BD10*100</f>
        <v>111.25131440588854</v>
      </c>
      <c r="BL10" s="423">
        <f>BL9-BL40-BL48-BL45</f>
        <v>1366000</v>
      </c>
      <c r="BM10" s="423">
        <f>BM9-BM40-BM48-BM45</f>
        <v>9214000</v>
      </c>
      <c r="BN10" s="423">
        <f>BN9-BN40-BN48-BN45</f>
        <v>4320000</v>
      </c>
      <c r="BO10" s="423">
        <f>BO9-BO40-BO48-BO45</f>
        <v>4894000</v>
      </c>
    </row>
    <row r="11" spans="1:67" ht="15" customHeight="1">
      <c r="A11" s="1035">
        <v>1</v>
      </c>
      <c r="B11" s="326" t="s">
        <v>103</v>
      </c>
      <c r="C11" s="336">
        <f t="shared" ref="C11:H11" si="4">SUM(C12:C16)</f>
        <v>185000</v>
      </c>
      <c r="D11" s="1104">
        <f t="shared" si="4"/>
        <v>0</v>
      </c>
      <c r="E11" s="1104">
        <f t="shared" si="4"/>
        <v>185000</v>
      </c>
      <c r="F11" s="1104">
        <f t="shared" si="4"/>
        <v>185000</v>
      </c>
      <c r="G11" s="1104">
        <f t="shared" si="4"/>
        <v>0</v>
      </c>
      <c r="H11" s="336">
        <f t="shared" si="4"/>
        <v>227900.049615</v>
      </c>
      <c r="I11" s="1105">
        <f>H11/C11*100</f>
        <v>123.1892160081081</v>
      </c>
      <c r="J11" s="328">
        <f>SUM(J12:J16)</f>
        <v>0</v>
      </c>
      <c r="K11" s="328">
        <f>SUM(K12:K16)</f>
        <v>227900.049615</v>
      </c>
      <c r="L11" s="328">
        <f>SUM(L12:L16)</f>
        <v>227900.049615</v>
      </c>
      <c r="M11" s="328">
        <f>SUM(M12:M16)</f>
        <v>0</v>
      </c>
      <c r="N11" s="1495">
        <f>SUM(N12:N16)</f>
        <v>250000</v>
      </c>
      <c r="O11" s="1496">
        <f>N11/H11*100</f>
        <v>109.69721174801596</v>
      </c>
      <c r="P11" s="1495">
        <f>SUM(P12:P16)</f>
        <v>0</v>
      </c>
      <c r="Q11" s="1495">
        <f>SUM(Q12:Q16)</f>
        <v>250000</v>
      </c>
      <c r="R11" s="1495">
        <f>SUM(R12:R16)</f>
        <v>250000</v>
      </c>
      <c r="S11" s="1495">
        <f>SUM(S12:S16)</f>
        <v>0</v>
      </c>
      <c r="T11" s="1495">
        <f>SUM(T12:T16)</f>
        <v>210000</v>
      </c>
      <c r="U11" s="1495" t="e">
        <f t="shared" ref="U11:Y11" si="5">SUM(U12:U16)</f>
        <v>#DIV/0!</v>
      </c>
      <c r="V11" s="1495">
        <f t="shared" si="5"/>
        <v>0</v>
      </c>
      <c r="W11" s="1495">
        <f t="shared" si="5"/>
        <v>210000</v>
      </c>
      <c r="X11" s="1495">
        <f t="shared" si="5"/>
        <v>210000</v>
      </c>
      <c r="Y11" s="1495">
        <f t="shared" si="5"/>
        <v>0</v>
      </c>
      <c r="Z11" s="1495">
        <f>SUM(Z12:Z16)</f>
        <v>230000</v>
      </c>
      <c r="AA11" s="1496">
        <f>Z11/T11*100</f>
        <v>109.52380952380953</v>
      </c>
      <c r="AB11" s="1495">
        <f>SUM(AB12:AB16)</f>
        <v>0</v>
      </c>
      <c r="AC11" s="1495">
        <f>SUM(AC12:AC16)</f>
        <v>230000</v>
      </c>
      <c r="AD11" s="1495">
        <f>SUM(AD12:AD16)</f>
        <v>230000</v>
      </c>
      <c r="AE11" s="1495">
        <f>SUM(AE12:AE16)</f>
        <v>0</v>
      </c>
      <c r="AF11" s="1495">
        <f>SUM(AF12:AF16)</f>
        <v>309999.7</v>
      </c>
      <c r="AG11" s="1105">
        <f>AF11/Z11*100</f>
        <v>134.78247826086957</v>
      </c>
      <c r="AH11" s="336">
        <f>SUM(AH12:AH16)</f>
        <v>0</v>
      </c>
      <c r="AI11" s="336">
        <f>SUM(AI12:AI16)</f>
        <v>309999.7</v>
      </c>
      <c r="AJ11" s="336">
        <f>SUM(AJ12:AJ16)</f>
        <v>309999.7</v>
      </c>
      <c r="AK11" s="336">
        <f>SUM(AK12:AK16)</f>
        <v>0</v>
      </c>
      <c r="AL11" s="1495">
        <f>SUM(AL12:AL16)</f>
        <v>340000</v>
      </c>
      <c r="AM11" s="1496">
        <f>AL11/AF11*100</f>
        <v>109.67752549437949</v>
      </c>
      <c r="AN11" s="1495">
        <f>SUM(AN12:AN16)</f>
        <v>0</v>
      </c>
      <c r="AO11" s="1495">
        <f>SUM(AO12:AO16)</f>
        <v>340000</v>
      </c>
      <c r="AP11" s="1495">
        <f>SUM(AP12:AP16)</f>
        <v>340000</v>
      </c>
      <c r="AQ11" s="1495">
        <f>SUM(AQ12:AQ16)</f>
        <v>0</v>
      </c>
      <c r="AR11" s="337">
        <f>SUM(AR12:AR16)</f>
        <v>370000</v>
      </c>
      <c r="AS11" s="1642">
        <f>AR11/AL11*100</f>
        <v>108.8235294117647</v>
      </c>
      <c r="AT11" s="337">
        <f>SUM(AT12:AT16)</f>
        <v>0</v>
      </c>
      <c r="AU11" s="337">
        <f>SUM(AU12:AU16)</f>
        <v>370000</v>
      </c>
      <c r="AV11" s="337">
        <f>SUM(AV12:AV16)</f>
        <v>370000</v>
      </c>
      <c r="AW11" s="337">
        <f>SUM(AW12:AW16)</f>
        <v>0</v>
      </c>
      <c r="AX11" s="337">
        <f>SUM(AX12:AX16)</f>
        <v>410000</v>
      </c>
      <c r="AY11" s="1642">
        <f>AX11/AR11*100</f>
        <v>110.81081081081081</v>
      </c>
      <c r="AZ11" s="337">
        <f>SUM(AZ12:AZ16)</f>
        <v>0</v>
      </c>
      <c r="BA11" s="337">
        <f>SUM(BA12:BA16)</f>
        <v>410000</v>
      </c>
      <c r="BB11" s="337">
        <f>SUM(BB12:BB16)</f>
        <v>410000</v>
      </c>
      <c r="BC11" s="337">
        <f>SUM(BC12:BC16)</f>
        <v>0</v>
      </c>
      <c r="BD11" s="337">
        <f>SUM(BD12:BD16)</f>
        <v>455000</v>
      </c>
      <c r="BE11" s="1642">
        <f>BD11/AX11*100</f>
        <v>110.97560975609757</v>
      </c>
      <c r="BF11" s="337">
        <f>SUM(BF12:BF16)</f>
        <v>0</v>
      </c>
      <c r="BG11" s="337">
        <f>SUM(BG12:BG16)</f>
        <v>455000</v>
      </c>
      <c r="BH11" s="337">
        <f>SUM(BH12:BH16)</f>
        <v>455000</v>
      </c>
      <c r="BI11" s="337">
        <f>SUM(BI12:BI16)</f>
        <v>0</v>
      </c>
      <c r="BJ11" s="337">
        <f>SUM(BJ12:BJ16)</f>
        <v>510000</v>
      </c>
      <c r="BK11" s="1642">
        <f>BJ11/BD11*100</f>
        <v>112.08791208791209</v>
      </c>
      <c r="BL11" s="337">
        <f>SUM(BL12:BL16)</f>
        <v>0</v>
      </c>
      <c r="BM11" s="337">
        <f>SUM(BM12:BM16)</f>
        <v>510000</v>
      </c>
      <c r="BN11" s="337">
        <f>SUM(BN12:BN16)</f>
        <v>510000</v>
      </c>
      <c r="BO11" s="337">
        <f>SUM(BO12:BO16)</f>
        <v>0</v>
      </c>
    </row>
    <row r="12" spans="1:67" ht="15.75" customHeight="1">
      <c r="A12" s="1106" t="s">
        <v>137</v>
      </c>
      <c r="B12" s="506" t="s">
        <v>11</v>
      </c>
      <c r="C12" s="51">
        <f>155000-15000</f>
        <v>140000</v>
      </c>
      <c r="D12" s="236">
        <v>0</v>
      </c>
      <c r="E12" s="236">
        <f>C12-D12</f>
        <v>140000</v>
      </c>
      <c r="F12" s="236">
        <f>E12-G12</f>
        <v>140000</v>
      </c>
      <c r="G12" s="236">
        <v>0</v>
      </c>
      <c r="H12" s="1424">
        <v>178487.19149200001</v>
      </c>
      <c r="I12" s="1107"/>
      <c r="J12" s="252"/>
      <c r="K12" s="252">
        <f>H12-J12</f>
        <v>178487.19149200001</v>
      </c>
      <c r="L12" s="252">
        <f t="shared" ref="L12:L22" si="6">K12</f>
        <v>178487.19149200001</v>
      </c>
      <c r="M12" s="252">
        <v>0</v>
      </c>
      <c r="N12" s="183">
        <v>196000</v>
      </c>
      <c r="O12" s="1498"/>
      <c r="P12" s="183"/>
      <c r="Q12" s="183">
        <f>N12-P12</f>
        <v>196000</v>
      </c>
      <c r="R12" s="183">
        <f>Q12</f>
        <v>196000</v>
      </c>
      <c r="S12" s="183">
        <v>0</v>
      </c>
      <c r="T12" s="183">
        <f>'Phụ lục số 1'!T12</f>
        <v>154000</v>
      </c>
      <c r="U12" s="1499">
        <f>T12/N12*100</f>
        <v>78.571428571428569</v>
      </c>
      <c r="V12" s="183"/>
      <c r="W12" s="183">
        <f>T12-V12</f>
        <v>154000</v>
      </c>
      <c r="X12" s="183">
        <f>W12</f>
        <v>154000</v>
      </c>
      <c r="Y12" s="183">
        <v>0</v>
      </c>
      <c r="Z12" s="183">
        <f>'Phụ lục số 1'!AE12</f>
        <v>170000</v>
      </c>
      <c r="AA12" s="1498"/>
      <c r="AB12" s="183"/>
      <c r="AC12" s="183">
        <f>Z12-AB12</f>
        <v>170000</v>
      </c>
      <c r="AD12" s="183">
        <f>AC12</f>
        <v>170000</v>
      </c>
      <c r="AE12" s="183">
        <v>0</v>
      </c>
      <c r="AF12" s="183">
        <f>'Phụ lục số 1'!AK12</f>
        <v>244000</v>
      </c>
      <c r="AG12" s="1107"/>
      <c r="AH12" s="51"/>
      <c r="AI12" s="51">
        <f>AF12-AH12</f>
        <v>244000</v>
      </c>
      <c r="AJ12" s="51">
        <f>AI12</f>
        <v>244000</v>
      </c>
      <c r="AK12" s="51">
        <v>0</v>
      </c>
      <c r="AL12" s="1500">
        <f>'Phụ lục số 1'!AQ12</f>
        <v>268000</v>
      </c>
      <c r="AM12" s="1500"/>
      <c r="AN12" s="1500"/>
      <c r="AO12" s="183">
        <f>AL12-AN12</f>
        <v>268000</v>
      </c>
      <c r="AP12" s="1500">
        <f>AL12</f>
        <v>268000</v>
      </c>
      <c r="AQ12" s="1500"/>
      <c r="AR12" s="405">
        <f>'[2]5 năm A'!$R$21</f>
        <v>292000</v>
      </c>
      <c r="AS12" s="405"/>
      <c r="AT12" s="405"/>
      <c r="AU12" s="1395">
        <f>AR12-AT12</f>
        <v>292000</v>
      </c>
      <c r="AV12" s="405">
        <f>AR12</f>
        <v>292000</v>
      </c>
      <c r="AW12" s="405"/>
      <c r="AX12" s="405">
        <f>'[2]5 năm A'!$S$21</f>
        <v>325000</v>
      </c>
      <c r="AY12" s="405"/>
      <c r="AZ12" s="405"/>
      <c r="BA12" s="1395">
        <f>AX12-AZ12</f>
        <v>325000</v>
      </c>
      <c r="BB12" s="405">
        <f>AX12</f>
        <v>325000</v>
      </c>
      <c r="BC12" s="405"/>
      <c r="BD12" s="405">
        <f>'[2]5 năm A'!$T$21</f>
        <v>362000</v>
      </c>
      <c r="BE12" s="405"/>
      <c r="BF12" s="405"/>
      <c r="BG12" s="1395">
        <f>BD12-BF12</f>
        <v>362000</v>
      </c>
      <c r="BH12" s="405">
        <f>BD12</f>
        <v>362000</v>
      </c>
      <c r="BI12" s="405"/>
      <c r="BJ12" s="405">
        <f>'[2]5 năm A'!$U$21</f>
        <v>406000</v>
      </c>
      <c r="BK12" s="405"/>
      <c r="BL12" s="405"/>
      <c r="BM12" s="1395">
        <f>BJ12-BL12</f>
        <v>406000</v>
      </c>
      <c r="BN12" s="405">
        <f>BJ12</f>
        <v>406000</v>
      </c>
      <c r="BO12" s="405"/>
    </row>
    <row r="13" spans="1:67" ht="15.75" customHeight="1">
      <c r="A13" s="1106" t="s">
        <v>137</v>
      </c>
      <c r="B13" s="506" t="s">
        <v>12</v>
      </c>
      <c r="C13" s="51">
        <v>16985</v>
      </c>
      <c r="D13" s="236">
        <v>0</v>
      </c>
      <c r="E13" s="236">
        <f>C13-D13</f>
        <v>16985</v>
      </c>
      <c r="F13" s="236">
        <f t="shared" ref="F13:F27" si="7">E13-G13</f>
        <v>16985</v>
      </c>
      <c r="G13" s="236">
        <v>0</v>
      </c>
      <c r="H13" s="1424">
        <v>42098.391465000001</v>
      </c>
      <c r="I13" s="1107"/>
      <c r="J13" s="252"/>
      <c r="K13" s="252">
        <f t="shared" ref="K13:K22" si="8">H13-J13</f>
        <v>42098.391465000001</v>
      </c>
      <c r="L13" s="252">
        <f t="shared" si="6"/>
        <v>42098.391465000001</v>
      </c>
      <c r="M13" s="252">
        <v>0</v>
      </c>
      <c r="N13" s="183">
        <v>12000</v>
      </c>
      <c r="O13" s="1498"/>
      <c r="P13" s="183"/>
      <c r="Q13" s="183">
        <f>N13-P13</f>
        <v>12000</v>
      </c>
      <c r="R13" s="183">
        <f>Q13</f>
        <v>12000</v>
      </c>
      <c r="S13" s="183">
        <v>0</v>
      </c>
      <c r="T13" s="183">
        <f>'Phụ lục số 1'!T13</f>
        <v>37000</v>
      </c>
      <c r="U13" s="1499">
        <f t="shared" ref="U13:U14" si="9">T13/N13*100</f>
        <v>308.33333333333337</v>
      </c>
      <c r="V13" s="183"/>
      <c r="W13" s="183">
        <f>T13-V13</f>
        <v>37000</v>
      </c>
      <c r="X13" s="183">
        <f>W13</f>
        <v>37000</v>
      </c>
      <c r="Y13" s="183">
        <v>0</v>
      </c>
      <c r="Z13" s="183">
        <f>'Phụ lục số 1'!AE13</f>
        <v>20000</v>
      </c>
      <c r="AA13" s="1498"/>
      <c r="AB13" s="183"/>
      <c r="AC13" s="183">
        <f>Z13-AB13</f>
        <v>20000</v>
      </c>
      <c r="AD13" s="183">
        <f>AC13</f>
        <v>20000</v>
      </c>
      <c r="AE13" s="183">
        <v>0</v>
      </c>
      <c r="AF13" s="183">
        <f>'Phụ lục số 1'!AK13</f>
        <v>14000</v>
      </c>
      <c r="AG13" s="1107"/>
      <c r="AH13" s="51"/>
      <c r="AI13" s="51">
        <f>AF13-AH13</f>
        <v>14000</v>
      </c>
      <c r="AJ13" s="51">
        <f>AI13</f>
        <v>14000</v>
      </c>
      <c r="AK13" s="51">
        <v>0</v>
      </c>
      <c r="AL13" s="1500">
        <f>'Phụ lục số 1'!AQ13</f>
        <v>15000</v>
      </c>
      <c r="AM13" s="1500"/>
      <c r="AN13" s="1500"/>
      <c r="AO13" s="183">
        <f>AL13-AN13</f>
        <v>15000</v>
      </c>
      <c r="AP13" s="1500">
        <f>AL13</f>
        <v>15000</v>
      </c>
      <c r="AQ13" s="1500"/>
      <c r="AR13" s="405">
        <f>'[2]5 năm A'!$R$23</f>
        <v>16000</v>
      </c>
      <c r="AS13" s="405"/>
      <c r="AT13" s="405"/>
      <c r="AU13" s="1395">
        <f>AR13-AT13</f>
        <v>16000</v>
      </c>
      <c r="AV13" s="405">
        <f>AR13</f>
        <v>16000</v>
      </c>
      <c r="AW13" s="405"/>
      <c r="AX13" s="405">
        <f>'[2]5 năm A'!$S$23</f>
        <v>17000</v>
      </c>
      <c r="AY13" s="405"/>
      <c r="AZ13" s="405"/>
      <c r="BA13" s="1395">
        <f>AX13-AZ13</f>
        <v>17000</v>
      </c>
      <c r="BB13" s="405">
        <f>AX13</f>
        <v>17000</v>
      </c>
      <c r="BC13" s="405"/>
      <c r="BD13" s="405">
        <f>'[2]5 năm A'!$T$23</f>
        <v>19000</v>
      </c>
      <c r="BE13" s="405"/>
      <c r="BF13" s="405"/>
      <c r="BG13" s="1395">
        <f>BD13-BF13</f>
        <v>19000</v>
      </c>
      <c r="BH13" s="405">
        <f>BD13</f>
        <v>19000</v>
      </c>
      <c r="BI13" s="405"/>
      <c r="BJ13" s="405">
        <f>'[2]5 năm A'!$U$23</f>
        <v>21000</v>
      </c>
      <c r="BK13" s="405"/>
      <c r="BL13" s="405"/>
      <c r="BM13" s="1395">
        <f>BJ13-BL13</f>
        <v>21000</v>
      </c>
      <c r="BN13" s="405">
        <f>BJ13</f>
        <v>21000</v>
      </c>
      <c r="BO13" s="405"/>
    </row>
    <row r="14" spans="1:67" ht="15.75" customHeight="1">
      <c r="A14" s="1106" t="s">
        <v>137</v>
      </c>
      <c r="B14" s="506" t="s">
        <v>13</v>
      </c>
      <c r="C14" s="51">
        <v>28000</v>
      </c>
      <c r="D14" s="236">
        <v>0</v>
      </c>
      <c r="E14" s="236">
        <f>C14-D14</f>
        <v>28000</v>
      </c>
      <c r="F14" s="236">
        <f t="shared" si="7"/>
        <v>28000</v>
      </c>
      <c r="G14" s="236">
        <v>0</v>
      </c>
      <c r="H14" s="1424">
        <v>7305.2439379999996</v>
      </c>
      <c r="I14" s="1107"/>
      <c r="J14" s="252"/>
      <c r="K14" s="252">
        <f t="shared" si="8"/>
        <v>7305.2439379999996</v>
      </c>
      <c r="L14" s="252">
        <f t="shared" si="6"/>
        <v>7305.2439379999996</v>
      </c>
      <c r="M14" s="252">
        <v>0</v>
      </c>
      <c r="N14" s="183">
        <v>42000</v>
      </c>
      <c r="O14" s="1498"/>
      <c r="P14" s="183"/>
      <c r="Q14" s="183">
        <f>N14-P14</f>
        <v>42000</v>
      </c>
      <c r="R14" s="183">
        <f>Q14</f>
        <v>42000</v>
      </c>
      <c r="S14" s="183">
        <v>0</v>
      </c>
      <c r="T14" s="183">
        <f>'Phụ lục số 1'!T14</f>
        <v>18990</v>
      </c>
      <c r="U14" s="1498">
        <f t="shared" si="9"/>
        <v>45.214285714285715</v>
      </c>
      <c r="V14" s="183"/>
      <c r="W14" s="183">
        <f>T14-V14</f>
        <v>18990</v>
      </c>
      <c r="X14" s="183">
        <f>W14</f>
        <v>18990</v>
      </c>
      <c r="Y14" s="183">
        <v>0</v>
      </c>
      <c r="Z14" s="183">
        <f>'Phụ lục số 1'!AE14</f>
        <v>40000</v>
      </c>
      <c r="AA14" s="1498"/>
      <c r="AB14" s="183"/>
      <c r="AC14" s="183">
        <f>Z14-AB14</f>
        <v>40000</v>
      </c>
      <c r="AD14" s="183">
        <f>AC14</f>
        <v>40000</v>
      </c>
      <c r="AE14" s="183">
        <v>0</v>
      </c>
      <c r="AF14" s="183">
        <f>'Phụ lục số 1'!AK14</f>
        <v>51999.7</v>
      </c>
      <c r="AG14" s="1107"/>
      <c r="AH14" s="51"/>
      <c r="AI14" s="51">
        <f>AF14-AH14</f>
        <v>51999.7</v>
      </c>
      <c r="AJ14" s="51">
        <f>AI14</f>
        <v>51999.7</v>
      </c>
      <c r="AK14" s="51">
        <v>0</v>
      </c>
      <c r="AL14" s="1500">
        <f>'Phụ lục số 1'!AQ14</f>
        <v>57000</v>
      </c>
      <c r="AM14" s="1500"/>
      <c r="AN14" s="1500"/>
      <c r="AO14" s="183">
        <f>AL14-AN14</f>
        <v>57000</v>
      </c>
      <c r="AP14" s="1500">
        <f>AL14</f>
        <v>57000</v>
      </c>
      <c r="AQ14" s="1500"/>
      <c r="AR14" s="405">
        <f>'[2]5 năm A'!$R$22</f>
        <v>62000</v>
      </c>
      <c r="AS14" s="405"/>
      <c r="AT14" s="405"/>
      <c r="AU14" s="1395">
        <f>AR14-AT14</f>
        <v>62000</v>
      </c>
      <c r="AV14" s="405">
        <f>AR14</f>
        <v>62000</v>
      </c>
      <c r="AW14" s="405"/>
      <c r="AX14" s="405">
        <f>'[2]5 năm A'!$S$22</f>
        <v>68000</v>
      </c>
      <c r="AY14" s="405"/>
      <c r="AZ14" s="405"/>
      <c r="BA14" s="1395">
        <f>AX14-AZ14</f>
        <v>68000</v>
      </c>
      <c r="BB14" s="405">
        <f>AX14</f>
        <v>68000</v>
      </c>
      <c r="BC14" s="405"/>
      <c r="BD14" s="405">
        <f>'[2]5 năm A'!$T$22</f>
        <v>74000</v>
      </c>
      <c r="BE14" s="405"/>
      <c r="BF14" s="405"/>
      <c r="BG14" s="1395">
        <f>BD14-BF14</f>
        <v>74000</v>
      </c>
      <c r="BH14" s="405">
        <f>BD14</f>
        <v>74000</v>
      </c>
      <c r="BI14" s="405"/>
      <c r="BJ14" s="405">
        <f>'[2]5 năm A'!$U$22</f>
        <v>83000</v>
      </c>
      <c r="BK14" s="405"/>
      <c r="BL14" s="405"/>
      <c r="BM14" s="1395">
        <f>BJ14-BL14</f>
        <v>83000</v>
      </c>
      <c r="BN14" s="405">
        <f>BJ14</f>
        <v>83000</v>
      </c>
      <c r="BO14" s="405"/>
    </row>
    <row r="15" spans="1:67" ht="15.75" customHeight="1">
      <c r="A15" s="1106" t="s">
        <v>137</v>
      </c>
      <c r="B15" s="506" t="s">
        <v>14</v>
      </c>
      <c r="C15" s="51">
        <v>15</v>
      </c>
      <c r="D15" s="236">
        <v>0</v>
      </c>
      <c r="E15" s="236">
        <f>C15-D15</f>
        <v>15</v>
      </c>
      <c r="F15" s="236">
        <f t="shared" si="7"/>
        <v>15</v>
      </c>
      <c r="G15" s="236">
        <v>0</v>
      </c>
      <c r="H15" s="1424">
        <v>9.2227200000000007</v>
      </c>
      <c r="I15" s="1107"/>
      <c r="J15" s="252"/>
      <c r="K15" s="252">
        <f t="shared" si="8"/>
        <v>9.2227200000000007</v>
      </c>
      <c r="L15" s="252">
        <f t="shared" si="6"/>
        <v>9.2227200000000007</v>
      </c>
      <c r="M15" s="252">
        <v>0</v>
      </c>
      <c r="N15" s="183">
        <v>0</v>
      </c>
      <c r="O15" s="1498"/>
      <c r="P15" s="183"/>
      <c r="Q15" s="183">
        <f>N15-P15</f>
        <v>0</v>
      </c>
      <c r="R15" s="183">
        <f>Q15</f>
        <v>0</v>
      </c>
      <c r="S15" s="183">
        <v>0</v>
      </c>
      <c r="T15" s="183">
        <f>'Phụ lục số 1'!T15</f>
        <v>10</v>
      </c>
      <c r="U15" s="1498">
        <f t="shared" ref="U15" si="10">T15/H15*100</f>
        <v>108.42788244682696</v>
      </c>
      <c r="V15" s="183"/>
      <c r="W15" s="183">
        <f>T15-V15</f>
        <v>10</v>
      </c>
      <c r="X15" s="183">
        <f>W15</f>
        <v>10</v>
      </c>
      <c r="Y15" s="183">
        <v>0</v>
      </c>
      <c r="Z15" s="183">
        <f>'Phụ lục số 1'!AE15</f>
        <v>0</v>
      </c>
      <c r="AA15" s="1498"/>
      <c r="AB15" s="183"/>
      <c r="AC15" s="183">
        <f>Z15-AB15</f>
        <v>0</v>
      </c>
      <c r="AD15" s="183">
        <f>AC15</f>
        <v>0</v>
      </c>
      <c r="AE15" s="183">
        <v>0</v>
      </c>
      <c r="AF15" s="183">
        <f>'Phụ lục số 1'!AK15</f>
        <v>0</v>
      </c>
      <c r="AG15" s="1107"/>
      <c r="AH15" s="51"/>
      <c r="AI15" s="51">
        <f>AF15-AH15</f>
        <v>0</v>
      </c>
      <c r="AJ15" s="51">
        <f>AI15</f>
        <v>0</v>
      </c>
      <c r="AK15" s="51">
        <v>0</v>
      </c>
      <c r="AL15" s="1500">
        <f>'Phụ lục số 1'!AQ15</f>
        <v>0</v>
      </c>
      <c r="AM15" s="1500"/>
      <c r="AN15" s="1500"/>
      <c r="AO15" s="183">
        <f>AL15-AN15</f>
        <v>0</v>
      </c>
      <c r="AP15" s="1500"/>
      <c r="AQ15" s="1500"/>
      <c r="AR15" s="405"/>
      <c r="AS15" s="405"/>
      <c r="AT15" s="405"/>
      <c r="AU15" s="1395">
        <f>AR15-AT15</f>
        <v>0</v>
      </c>
      <c r="AV15" s="405"/>
      <c r="AW15" s="405"/>
      <c r="AX15" s="405"/>
      <c r="AY15" s="405"/>
      <c r="AZ15" s="405"/>
      <c r="BA15" s="1395">
        <f>AX15-AZ15</f>
        <v>0</v>
      </c>
      <c r="BB15" s="405"/>
      <c r="BC15" s="405"/>
      <c r="BD15" s="405"/>
      <c r="BE15" s="405"/>
      <c r="BF15" s="405"/>
      <c r="BG15" s="1395">
        <f>BD15-BF15</f>
        <v>0</v>
      </c>
      <c r="BH15" s="405"/>
      <c r="BI15" s="405"/>
      <c r="BJ15" s="405"/>
      <c r="BK15" s="405"/>
      <c r="BL15" s="405"/>
      <c r="BM15" s="1395">
        <f>BJ15-BL15</f>
        <v>0</v>
      </c>
      <c r="BN15" s="405"/>
      <c r="BO15" s="405"/>
    </row>
    <row r="16" spans="1:67" ht="15.75" customHeight="1">
      <c r="A16" s="1106" t="s">
        <v>137</v>
      </c>
      <c r="B16" s="506" t="s">
        <v>67</v>
      </c>
      <c r="C16" s="51">
        <v>0</v>
      </c>
      <c r="D16" s="236">
        <f>C16</f>
        <v>0</v>
      </c>
      <c r="E16" s="236">
        <f>C16-D16</f>
        <v>0</v>
      </c>
      <c r="F16" s="236">
        <f t="shared" si="7"/>
        <v>0</v>
      </c>
      <c r="G16" s="236">
        <v>0</v>
      </c>
      <c r="H16" s="1424">
        <v>0</v>
      </c>
      <c r="I16" s="1107"/>
      <c r="J16" s="252">
        <f>H16</f>
        <v>0</v>
      </c>
      <c r="K16" s="252">
        <f t="shared" si="8"/>
        <v>0</v>
      </c>
      <c r="L16" s="252">
        <f t="shared" si="6"/>
        <v>0</v>
      </c>
      <c r="M16" s="252">
        <v>0</v>
      </c>
      <c r="N16" s="183">
        <v>0</v>
      </c>
      <c r="O16" s="1498"/>
      <c r="P16" s="183">
        <f>N16</f>
        <v>0</v>
      </c>
      <c r="Q16" s="183">
        <f>N16-P16</f>
        <v>0</v>
      </c>
      <c r="R16" s="183"/>
      <c r="S16" s="183"/>
      <c r="T16" s="183">
        <f>'Phụ lục số 1'!T16</f>
        <v>0</v>
      </c>
      <c r="U16" s="1499" t="e">
        <f t="shared" ref="U16:U18" si="11">T16/N16*100</f>
        <v>#DIV/0!</v>
      </c>
      <c r="V16" s="183"/>
      <c r="W16" s="183"/>
      <c r="X16" s="183"/>
      <c r="Y16" s="183"/>
      <c r="Z16" s="183">
        <f>'Phụ lục số 1'!AE16</f>
        <v>0</v>
      </c>
      <c r="AA16" s="1498"/>
      <c r="AB16" s="183"/>
      <c r="AC16" s="183"/>
      <c r="AD16" s="183"/>
      <c r="AE16" s="183"/>
      <c r="AF16" s="183">
        <f>'Phụ lục số 1'!AK16</f>
        <v>0</v>
      </c>
      <c r="AG16" s="1107"/>
      <c r="AH16" s="51"/>
      <c r="AI16" s="51"/>
      <c r="AJ16" s="51">
        <f>AI16</f>
        <v>0</v>
      </c>
      <c r="AK16" s="51">
        <v>0</v>
      </c>
      <c r="AL16" s="1500">
        <f>'Phụ lục số 1'!AQ16</f>
        <v>0</v>
      </c>
      <c r="AM16" s="1500"/>
      <c r="AN16" s="1500"/>
      <c r="AO16" s="183"/>
      <c r="AP16" s="1500"/>
      <c r="AQ16" s="1500"/>
      <c r="AR16" s="405"/>
      <c r="AS16" s="405"/>
      <c r="AT16" s="405"/>
      <c r="AU16" s="1395"/>
      <c r="AV16" s="405"/>
      <c r="AW16" s="405"/>
      <c r="AX16" s="405"/>
      <c r="AY16" s="405"/>
      <c r="AZ16" s="405"/>
      <c r="BA16" s="1395"/>
      <c r="BB16" s="405"/>
      <c r="BC16" s="405"/>
      <c r="BD16" s="405"/>
      <c r="BE16" s="405"/>
      <c r="BF16" s="405"/>
      <c r="BG16" s="1395"/>
      <c r="BH16" s="405"/>
      <c r="BI16" s="405"/>
      <c r="BJ16" s="405"/>
      <c r="BK16" s="405"/>
      <c r="BL16" s="405"/>
      <c r="BM16" s="1395"/>
      <c r="BN16" s="405"/>
      <c r="BO16" s="405"/>
    </row>
    <row r="17" spans="1:67">
      <c r="A17" s="1035">
        <v>2</v>
      </c>
      <c r="B17" s="326" t="s">
        <v>104</v>
      </c>
      <c r="C17" s="696">
        <f t="shared" ref="C17:H17" si="12">SUM(C18:C22)</f>
        <v>300000</v>
      </c>
      <c r="D17" s="1104">
        <f t="shared" si="12"/>
        <v>0</v>
      </c>
      <c r="E17" s="1104">
        <f t="shared" si="12"/>
        <v>300000</v>
      </c>
      <c r="F17" s="1104">
        <f t="shared" si="12"/>
        <v>300000</v>
      </c>
      <c r="G17" s="1104">
        <f t="shared" si="12"/>
        <v>0</v>
      </c>
      <c r="H17" s="336">
        <f t="shared" si="12"/>
        <v>391144.28547999996</v>
      </c>
      <c r="I17" s="1105">
        <f>H17/C17*100</f>
        <v>130.38142849333332</v>
      </c>
      <c r="J17" s="328">
        <f>SUM(J18:J22)</f>
        <v>0</v>
      </c>
      <c r="K17" s="328">
        <f>SUM(K18:K22)</f>
        <v>391144.28547999996</v>
      </c>
      <c r="L17" s="328">
        <f>SUM(L18:L22)</f>
        <v>391144.28547999996</v>
      </c>
      <c r="M17" s="328">
        <f>SUM(M18:M22)</f>
        <v>0</v>
      </c>
      <c r="N17" s="1495">
        <f>SUM(N18:N22)</f>
        <v>350000</v>
      </c>
      <c r="O17" s="1496">
        <f>N17/H17*100</f>
        <v>89.481046507043047</v>
      </c>
      <c r="P17" s="1495">
        <f>SUM(P18:P22)</f>
        <v>0</v>
      </c>
      <c r="Q17" s="1495">
        <f>SUM(Q18:Q22)</f>
        <v>350000</v>
      </c>
      <c r="R17" s="1495">
        <f>SUM(R18:R22)</f>
        <v>350000</v>
      </c>
      <c r="S17" s="1495">
        <f t="shared" ref="S17:Y17" si="13">SUM(S18:S22)</f>
        <v>0</v>
      </c>
      <c r="T17" s="1495">
        <f t="shared" si="13"/>
        <v>270000</v>
      </c>
      <c r="U17" s="1495" t="e">
        <f t="shared" si="13"/>
        <v>#DIV/0!</v>
      </c>
      <c r="V17" s="1495">
        <f t="shared" si="13"/>
        <v>0</v>
      </c>
      <c r="W17" s="1495">
        <f t="shared" si="13"/>
        <v>270000</v>
      </c>
      <c r="X17" s="1495">
        <f t="shared" si="13"/>
        <v>270000</v>
      </c>
      <c r="Y17" s="1495">
        <f t="shared" si="13"/>
        <v>0</v>
      </c>
      <c r="Z17" s="1495">
        <f>SUM(Z18:Z22)</f>
        <v>300000</v>
      </c>
      <c r="AA17" s="1496">
        <f>Z17/T17*100</f>
        <v>111.11111111111111</v>
      </c>
      <c r="AB17" s="1495">
        <f>SUM(AB18:AB22)</f>
        <v>0</v>
      </c>
      <c r="AC17" s="1495">
        <f>SUM(AC18:AC22)</f>
        <v>300000</v>
      </c>
      <c r="AD17" s="1495">
        <f>SUM(AD18:AD22)</f>
        <v>300000</v>
      </c>
      <c r="AE17" s="1495">
        <f>SUM(AE18:AE22)</f>
        <v>0</v>
      </c>
      <c r="AF17" s="1495">
        <f>SUM(AF18:AF22)</f>
        <v>470000</v>
      </c>
      <c r="AG17" s="1105">
        <f>AF17/Z17*100</f>
        <v>156.66666666666666</v>
      </c>
      <c r="AH17" s="336">
        <f>SUM(AH18:AH22)</f>
        <v>0</v>
      </c>
      <c r="AI17" s="336">
        <f>SUM(AI18:AI22)</f>
        <v>470000</v>
      </c>
      <c r="AJ17" s="336">
        <f>SUM(AJ18:AJ22)</f>
        <v>470000</v>
      </c>
      <c r="AK17" s="336">
        <f>SUM(AK18:AK22)</f>
        <v>0</v>
      </c>
      <c r="AL17" s="1495">
        <f>SUM(AL18:AL22)</f>
        <v>510000</v>
      </c>
      <c r="AM17" s="1496">
        <f>AL17/AF17*100</f>
        <v>108.51063829787233</v>
      </c>
      <c r="AN17" s="1495">
        <f>SUM(AN18:AN22)</f>
        <v>0</v>
      </c>
      <c r="AO17" s="1495">
        <f>SUM(AO18:AO22)</f>
        <v>510000</v>
      </c>
      <c r="AP17" s="1495">
        <f>SUM(AP18:AP22)</f>
        <v>510000</v>
      </c>
      <c r="AQ17" s="1495">
        <f>SUM(AQ18:AQ22)</f>
        <v>0</v>
      </c>
      <c r="AR17" s="337">
        <f>SUM(AR18:AR22)</f>
        <v>560000</v>
      </c>
      <c r="AS17" s="1642">
        <f>AR17/AL17*100</f>
        <v>109.80392156862746</v>
      </c>
      <c r="AT17" s="337">
        <f>SUM(AT18:AT22)</f>
        <v>0</v>
      </c>
      <c r="AU17" s="337">
        <f>SUM(AU18:AU22)</f>
        <v>560000</v>
      </c>
      <c r="AV17" s="337">
        <f>SUM(AV18:AV22)</f>
        <v>560000</v>
      </c>
      <c r="AW17" s="337">
        <f>SUM(AW18:AW22)</f>
        <v>0</v>
      </c>
      <c r="AX17" s="337">
        <f>SUM(AX18:AX22)</f>
        <v>620000</v>
      </c>
      <c r="AY17" s="1642">
        <f>AX17/AR17*100</f>
        <v>110.71428571428572</v>
      </c>
      <c r="AZ17" s="337">
        <f>SUM(AZ18:AZ22)</f>
        <v>0</v>
      </c>
      <c r="BA17" s="337">
        <f>SUM(BA18:BA22)</f>
        <v>620000</v>
      </c>
      <c r="BB17" s="337">
        <f>SUM(BB18:BB22)</f>
        <v>620000</v>
      </c>
      <c r="BC17" s="337">
        <f>SUM(BC18:BC22)</f>
        <v>0</v>
      </c>
      <c r="BD17" s="337">
        <f>SUM(BD18:BD22)</f>
        <v>690000</v>
      </c>
      <c r="BE17" s="1642">
        <f>BD17/AX17*100</f>
        <v>111.29032258064515</v>
      </c>
      <c r="BF17" s="337">
        <f>SUM(BF18:BF22)</f>
        <v>0</v>
      </c>
      <c r="BG17" s="337">
        <f>SUM(BG18:BG22)</f>
        <v>690000</v>
      </c>
      <c r="BH17" s="337">
        <f>SUM(BH18:BH22)</f>
        <v>690000</v>
      </c>
      <c r="BI17" s="337">
        <f>SUM(BI18:BI22)</f>
        <v>0</v>
      </c>
      <c r="BJ17" s="337">
        <f>SUM(BJ18:BJ22)</f>
        <v>770000</v>
      </c>
      <c r="BK17" s="1642">
        <f>BJ17/BD17*100</f>
        <v>111.59420289855073</v>
      </c>
      <c r="BL17" s="337">
        <f>SUM(BL18:BL22)</f>
        <v>0</v>
      </c>
      <c r="BM17" s="337">
        <f>SUM(BM18:BM22)</f>
        <v>770000</v>
      </c>
      <c r="BN17" s="337">
        <f>SUM(BN18:BN22)</f>
        <v>770000</v>
      </c>
      <c r="BO17" s="337">
        <f>SUM(BO18:BO22)</f>
        <v>0</v>
      </c>
    </row>
    <row r="18" spans="1:67" ht="15.75" customHeight="1">
      <c r="A18" s="1106" t="s">
        <v>137</v>
      </c>
      <c r="B18" s="506" t="s">
        <v>11</v>
      </c>
      <c r="C18" s="51">
        <f>180000-10000</f>
        <v>170000</v>
      </c>
      <c r="D18" s="236">
        <v>0</v>
      </c>
      <c r="E18" s="236">
        <f>C18-D18</f>
        <v>170000</v>
      </c>
      <c r="F18" s="236">
        <f t="shared" si="7"/>
        <v>170000</v>
      </c>
      <c r="G18" s="236">
        <v>0</v>
      </c>
      <c r="H18" s="1424">
        <v>196199.34763999999</v>
      </c>
      <c r="I18" s="1107"/>
      <c r="J18" s="252"/>
      <c r="K18" s="252">
        <f t="shared" si="8"/>
        <v>196199.34763999999</v>
      </c>
      <c r="L18" s="252">
        <f t="shared" si="6"/>
        <v>196199.34763999999</v>
      </c>
      <c r="M18" s="252">
        <v>0</v>
      </c>
      <c r="N18" s="183">
        <v>183000</v>
      </c>
      <c r="O18" s="1498"/>
      <c r="P18" s="183"/>
      <c r="Q18" s="183">
        <f>N18-P18</f>
        <v>183000</v>
      </c>
      <c r="R18" s="183">
        <f>Q18</f>
        <v>183000</v>
      </c>
      <c r="S18" s="183">
        <v>0</v>
      </c>
      <c r="T18" s="183">
        <f>'Phụ lục số 1'!T18</f>
        <v>100000</v>
      </c>
      <c r="U18" s="1498">
        <f t="shared" si="11"/>
        <v>54.644808743169406</v>
      </c>
      <c r="V18" s="183"/>
      <c r="W18" s="183">
        <f>T18-V18</f>
        <v>100000</v>
      </c>
      <c r="X18" s="183">
        <f>W18</f>
        <v>100000</v>
      </c>
      <c r="Y18" s="183">
        <v>0</v>
      </c>
      <c r="Z18" s="183">
        <f>'Phụ lục số 1'!AE18</f>
        <v>110000</v>
      </c>
      <c r="AA18" s="1498"/>
      <c r="AB18" s="183"/>
      <c r="AC18" s="183">
        <f>Z18-AB18</f>
        <v>110000</v>
      </c>
      <c r="AD18" s="183">
        <f>AC18</f>
        <v>110000</v>
      </c>
      <c r="AE18" s="183">
        <v>0</v>
      </c>
      <c r="AF18" s="183">
        <f>'Phụ lục số 1'!AK18</f>
        <v>241000</v>
      </c>
      <c r="AG18" s="1107"/>
      <c r="AH18" s="51"/>
      <c r="AI18" s="51">
        <f>AF18-AH18</f>
        <v>241000</v>
      </c>
      <c r="AJ18" s="51">
        <f>AI18</f>
        <v>241000</v>
      </c>
      <c r="AK18" s="51">
        <v>0</v>
      </c>
      <c r="AL18" s="1500">
        <f>'Phụ lục số 1'!AQ18</f>
        <v>263000</v>
      </c>
      <c r="AM18" s="1500"/>
      <c r="AN18" s="1500"/>
      <c r="AO18" s="183">
        <f>AL18-AN18</f>
        <v>263000</v>
      </c>
      <c r="AP18" s="1500">
        <f>AL18</f>
        <v>263000</v>
      </c>
      <c r="AQ18" s="1500"/>
      <c r="AR18" s="405">
        <f>'[2]5 năm A'!$R$28</f>
        <v>291000</v>
      </c>
      <c r="AS18" s="405"/>
      <c r="AT18" s="405"/>
      <c r="AU18" s="1395">
        <f>AR18-AT18</f>
        <v>291000</v>
      </c>
      <c r="AV18" s="405">
        <f>AR18</f>
        <v>291000</v>
      </c>
      <c r="AW18" s="405"/>
      <c r="AX18" s="405">
        <f>'[2]5 năm A'!$S$28</f>
        <v>325000</v>
      </c>
      <c r="AY18" s="405"/>
      <c r="AZ18" s="405"/>
      <c r="BA18" s="1395">
        <f>AX18-AZ18</f>
        <v>325000</v>
      </c>
      <c r="BB18" s="405">
        <f>AX18</f>
        <v>325000</v>
      </c>
      <c r="BC18" s="405"/>
      <c r="BD18" s="405">
        <f>'[2]5 năm A'!$T$28</f>
        <v>364000</v>
      </c>
      <c r="BE18" s="405"/>
      <c r="BF18" s="405"/>
      <c r="BG18" s="1395">
        <f>BD18-BF18</f>
        <v>364000</v>
      </c>
      <c r="BH18" s="405">
        <f>BD18</f>
        <v>364000</v>
      </c>
      <c r="BI18" s="405"/>
      <c r="BJ18" s="405">
        <f>'[2]5 năm A'!$U$28</f>
        <v>407000</v>
      </c>
      <c r="BK18" s="405"/>
      <c r="BL18" s="405"/>
      <c r="BM18" s="1395">
        <f>BJ18-BL18</f>
        <v>407000</v>
      </c>
      <c r="BN18" s="405">
        <f>BJ18</f>
        <v>407000</v>
      </c>
      <c r="BO18" s="405"/>
    </row>
    <row r="19" spans="1:67" ht="15.75" customHeight="1">
      <c r="A19" s="1106" t="s">
        <v>137</v>
      </c>
      <c r="B19" s="506" t="s">
        <v>12</v>
      </c>
      <c r="C19" s="51">
        <v>60000</v>
      </c>
      <c r="D19" s="236">
        <v>0</v>
      </c>
      <c r="E19" s="236">
        <f>C19-D19</f>
        <v>60000</v>
      </c>
      <c r="F19" s="236">
        <f t="shared" si="7"/>
        <v>60000</v>
      </c>
      <c r="G19" s="236">
        <v>0</v>
      </c>
      <c r="H19" s="1424">
        <v>90271.968951999996</v>
      </c>
      <c r="I19" s="1107"/>
      <c r="J19" s="252"/>
      <c r="K19" s="252">
        <f t="shared" si="8"/>
        <v>90271.968951999996</v>
      </c>
      <c r="L19" s="252">
        <f t="shared" si="6"/>
        <v>90271.968951999996</v>
      </c>
      <c r="M19" s="252">
        <v>0</v>
      </c>
      <c r="N19" s="183">
        <v>65000</v>
      </c>
      <c r="O19" s="1498"/>
      <c r="P19" s="183"/>
      <c r="Q19" s="183">
        <f>N19-P19</f>
        <v>65000</v>
      </c>
      <c r="R19" s="183">
        <f>Q19</f>
        <v>65000</v>
      </c>
      <c r="S19" s="183">
        <v>0</v>
      </c>
      <c r="T19" s="183">
        <f>'Phụ lục số 1'!T19</f>
        <v>100000</v>
      </c>
      <c r="U19" s="1498">
        <f t="shared" ref="U19" si="14">T19/H19*100</f>
        <v>110.77635855397445</v>
      </c>
      <c r="V19" s="183"/>
      <c r="W19" s="183">
        <f>T19-V19</f>
        <v>100000</v>
      </c>
      <c r="X19" s="183">
        <f>W19</f>
        <v>100000</v>
      </c>
      <c r="Y19" s="183">
        <v>0</v>
      </c>
      <c r="Z19" s="183">
        <f>'Phụ lục số 1'!AE19</f>
        <v>105970</v>
      </c>
      <c r="AA19" s="1498"/>
      <c r="AB19" s="183"/>
      <c r="AC19" s="183">
        <f>Z19-AB19</f>
        <v>105970</v>
      </c>
      <c r="AD19" s="183">
        <f>AC19</f>
        <v>105970</v>
      </c>
      <c r="AE19" s="183">
        <v>0</v>
      </c>
      <c r="AF19" s="183">
        <f>'Phụ lục số 1'!AK19</f>
        <v>103000</v>
      </c>
      <c r="AG19" s="1107"/>
      <c r="AH19" s="51"/>
      <c r="AI19" s="51">
        <f>AF19-AH19</f>
        <v>103000</v>
      </c>
      <c r="AJ19" s="51">
        <f>AI19</f>
        <v>103000</v>
      </c>
      <c r="AK19" s="51">
        <v>0</v>
      </c>
      <c r="AL19" s="1500">
        <f>'Phụ lục số 1'!AQ19</f>
        <v>112000</v>
      </c>
      <c r="AM19" s="1500"/>
      <c r="AN19" s="1500"/>
      <c r="AO19" s="183">
        <f>AL19-AN19</f>
        <v>112000</v>
      </c>
      <c r="AP19" s="1500">
        <f>AL19</f>
        <v>112000</v>
      </c>
      <c r="AQ19" s="1500"/>
      <c r="AR19" s="405">
        <f>'[2]5 năm A'!$R$30</f>
        <v>122000</v>
      </c>
      <c r="AS19" s="405"/>
      <c r="AT19" s="405"/>
      <c r="AU19" s="1395">
        <f>AR19-AT19</f>
        <v>122000</v>
      </c>
      <c r="AV19" s="405">
        <f>AR19</f>
        <v>122000</v>
      </c>
      <c r="AW19" s="405"/>
      <c r="AX19" s="405">
        <f>'[2]5 năm A'!$S$30</f>
        <v>135000</v>
      </c>
      <c r="AY19" s="405"/>
      <c r="AZ19" s="405"/>
      <c r="BA19" s="1395">
        <f>AX19-AZ19</f>
        <v>135000</v>
      </c>
      <c r="BB19" s="405">
        <f>AX19</f>
        <v>135000</v>
      </c>
      <c r="BC19" s="405"/>
      <c r="BD19" s="405">
        <f>'[2]5 năm A'!$T$30</f>
        <v>149000</v>
      </c>
      <c r="BE19" s="405"/>
      <c r="BF19" s="405"/>
      <c r="BG19" s="1395">
        <f>BD19-BF19</f>
        <v>149000</v>
      </c>
      <c r="BH19" s="405">
        <f>BD19</f>
        <v>149000</v>
      </c>
      <c r="BI19" s="405"/>
      <c r="BJ19" s="405">
        <f>'[2]5 năm A'!$U$30</f>
        <v>166000</v>
      </c>
      <c r="BK19" s="405"/>
      <c r="BL19" s="405"/>
      <c r="BM19" s="1395">
        <f>BJ19-BL19</f>
        <v>166000</v>
      </c>
      <c r="BN19" s="405">
        <f>BJ19</f>
        <v>166000</v>
      </c>
      <c r="BO19" s="405"/>
    </row>
    <row r="20" spans="1:67" ht="15.75" customHeight="1">
      <c r="A20" s="1106" t="s">
        <v>137</v>
      </c>
      <c r="B20" s="506" t="s">
        <v>13</v>
      </c>
      <c r="C20" s="51">
        <v>0</v>
      </c>
      <c r="D20" s="236">
        <v>0</v>
      </c>
      <c r="E20" s="236">
        <f>C20-D20</f>
        <v>0</v>
      </c>
      <c r="F20" s="236">
        <f t="shared" si="7"/>
        <v>0</v>
      </c>
      <c r="G20" s="236">
        <v>0</v>
      </c>
      <c r="H20" s="1424">
        <v>0</v>
      </c>
      <c r="I20" s="1107"/>
      <c r="J20" s="252"/>
      <c r="K20" s="252">
        <f t="shared" si="8"/>
        <v>0</v>
      </c>
      <c r="L20" s="252">
        <f t="shared" si="6"/>
        <v>0</v>
      </c>
      <c r="M20" s="252">
        <v>0</v>
      </c>
      <c r="N20" s="183">
        <v>0</v>
      </c>
      <c r="O20" s="1498"/>
      <c r="P20" s="183"/>
      <c r="Q20" s="183">
        <f>N20-P20</f>
        <v>0</v>
      </c>
      <c r="R20" s="183">
        <f>Q20</f>
        <v>0</v>
      </c>
      <c r="S20" s="183">
        <v>0</v>
      </c>
      <c r="T20" s="183">
        <f>'Phụ lục số 1'!T20</f>
        <v>0</v>
      </c>
      <c r="U20" s="1499" t="e">
        <f t="shared" ref="U20:U22" si="15">T20/N20*100</f>
        <v>#DIV/0!</v>
      </c>
      <c r="V20" s="183"/>
      <c r="W20" s="183">
        <f>T20-V20</f>
        <v>0</v>
      </c>
      <c r="X20" s="183">
        <f>W20</f>
        <v>0</v>
      </c>
      <c r="Y20" s="183">
        <v>0</v>
      </c>
      <c r="Z20" s="183">
        <f>'Phụ lục số 1'!AE20</f>
        <v>0</v>
      </c>
      <c r="AA20" s="1498"/>
      <c r="AB20" s="183"/>
      <c r="AC20" s="183">
        <f>Z20-AB20</f>
        <v>0</v>
      </c>
      <c r="AD20" s="183">
        <f>AC20</f>
        <v>0</v>
      </c>
      <c r="AE20" s="183">
        <v>0</v>
      </c>
      <c r="AF20" s="183">
        <f>'Phụ lục số 1'!AK20</f>
        <v>0</v>
      </c>
      <c r="AG20" s="1107"/>
      <c r="AH20" s="51"/>
      <c r="AI20" s="51">
        <f>AF20-AH20</f>
        <v>0</v>
      </c>
      <c r="AJ20" s="51">
        <f>AI20</f>
        <v>0</v>
      </c>
      <c r="AK20" s="51">
        <v>0</v>
      </c>
      <c r="AL20" s="1500">
        <f>'Phụ lục số 1'!AQ20</f>
        <v>0</v>
      </c>
      <c r="AM20" s="1500"/>
      <c r="AN20" s="1500"/>
      <c r="AO20" s="183">
        <f>AL20-AN20</f>
        <v>0</v>
      </c>
      <c r="AP20" s="1500">
        <f>AL20</f>
        <v>0</v>
      </c>
      <c r="AQ20" s="1500"/>
      <c r="AR20" s="405"/>
      <c r="AS20" s="405"/>
      <c r="AT20" s="405"/>
      <c r="AU20" s="1395">
        <f>AR20-AT20</f>
        <v>0</v>
      </c>
      <c r="AV20" s="405">
        <f>AR20</f>
        <v>0</v>
      </c>
      <c r="AW20" s="405"/>
      <c r="AX20" s="405"/>
      <c r="AY20" s="405"/>
      <c r="AZ20" s="405"/>
      <c r="BA20" s="1395">
        <f>AX20-AZ20</f>
        <v>0</v>
      </c>
      <c r="BB20" s="405">
        <f>AX20</f>
        <v>0</v>
      </c>
      <c r="BC20" s="405"/>
      <c r="BD20" s="405"/>
      <c r="BE20" s="405"/>
      <c r="BF20" s="405"/>
      <c r="BG20" s="1395">
        <f>BD20-BF20</f>
        <v>0</v>
      </c>
      <c r="BH20" s="405">
        <f>BD20</f>
        <v>0</v>
      </c>
      <c r="BI20" s="405"/>
      <c r="BJ20" s="405"/>
      <c r="BK20" s="405"/>
      <c r="BL20" s="405"/>
      <c r="BM20" s="1395">
        <f>BJ20-BL20</f>
        <v>0</v>
      </c>
      <c r="BN20" s="405">
        <f>BJ20</f>
        <v>0</v>
      </c>
      <c r="BO20" s="405"/>
    </row>
    <row r="21" spans="1:67" ht="15.75" customHeight="1">
      <c r="A21" s="1106" t="s">
        <v>137</v>
      </c>
      <c r="B21" s="506" t="s">
        <v>14</v>
      </c>
      <c r="C21" s="51">
        <v>70000</v>
      </c>
      <c r="D21" s="236">
        <v>0</v>
      </c>
      <c r="E21" s="236">
        <f>C21-D21</f>
        <v>70000</v>
      </c>
      <c r="F21" s="236">
        <f t="shared" si="7"/>
        <v>70000</v>
      </c>
      <c r="G21" s="236">
        <v>0</v>
      </c>
      <c r="H21" s="1424">
        <v>104672.968888</v>
      </c>
      <c r="I21" s="1107"/>
      <c r="J21" s="252"/>
      <c r="K21" s="252">
        <f t="shared" si="8"/>
        <v>104672.968888</v>
      </c>
      <c r="L21" s="252">
        <f t="shared" si="6"/>
        <v>104672.968888</v>
      </c>
      <c r="M21" s="252">
        <v>0</v>
      </c>
      <c r="N21" s="183">
        <v>102000</v>
      </c>
      <c r="O21" s="1498"/>
      <c r="P21" s="183"/>
      <c r="Q21" s="183">
        <f>N21-P21</f>
        <v>102000</v>
      </c>
      <c r="R21" s="183">
        <f>Q21</f>
        <v>102000</v>
      </c>
      <c r="S21" s="183">
        <v>0</v>
      </c>
      <c r="T21" s="183">
        <f>'Phụ lục số 1'!T21</f>
        <v>70000</v>
      </c>
      <c r="U21" s="1499">
        <f t="shared" si="15"/>
        <v>68.627450980392155</v>
      </c>
      <c r="V21" s="183"/>
      <c r="W21" s="183">
        <f>T21-V21</f>
        <v>70000</v>
      </c>
      <c r="X21" s="183">
        <f>W21</f>
        <v>70000</v>
      </c>
      <c r="Y21" s="183">
        <v>0</v>
      </c>
      <c r="Z21" s="183">
        <f>'Phụ lục số 1'!AE21</f>
        <v>84030</v>
      </c>
      <c r="AA21" s="1498"/>
      <c r="AB21" s="183"/>
      <c r="AC21" s="183">
        <f>Z21-AB21</f>
        <v>84030</v>
      </c>
      <c r="AD21" s="183">
        <f>AC21</f>
        <v>84030</v>
      </c>
      <c r="AE21" s="183">
        <v>0</v>
      </c>
      <c r="AF21" s="183">
        <f>'Phụ lục số 1'!AK21</f>
        <v>126000</v>
      </c>
      <c r="AG21" s="1107"/>
      <c r="AH21" s="51"/>
      <c r="AI21" s="51">
        <f>AF21-AH21</f>
        <v>126000</v>
      </c>
      <c r="AJ21" s="51">
        <f>AI21</f>
        <v>126000</v>
      </c>
      <c r="AK21" s="51">
        <v>0</v>
      </c>
      <c r="AL21" s="1500">
        <f>'Phụ lục số 1'!AQ21</f>
        <v>135000</v>
      </c>
      <c r="AM21" s="1500"/>
      <c r="AN21" s="1500"/>
      <c r="AO21" s="183">
        <f>AL21-AN21</f>
        <v>135000</v>
      </c>
      <c r="AP21" s="1500">
        <f>AL21</f>
        <v>135000</v>
      </c>
      <c r="AQ21" s="1500"/>
      <c r="AR21" s="405">
        <f>'[2]5 năm A'!$R$31</f>
        <v>147000</v>
      </c>
      <c r="AS21" s="405"/>
      <c r="AT21" s="405"/>
      <c r="AU21" s="1395">
        <f>AR21-AT21</f>
        <v>147000</v>
      </c>
      <c r="AV21" s="405">
        <f>AR21</f>
        <v>147000</v>
      </c>
      <c r="AW21" s="405"/>
      <c r="AX21" s="405">
        <f>'[2]5 năm A'!$S$31</f>
        <v>160000</v>
      </c>
      <c r="AY21" s="405"/>
      <c r="AZ21" s="405"/>
      <c r="BA21" s="1395">
        <f>AX21-AZ21</f>
        <v>160000</v>
      </c>
      <c r="BB21" s="405">
        <f>AX21</f>
        <v>160000</v>
      </c>
      <c r="BC21" s="405"/>
      <c r="BD21" s="405">
        <f>'[2]5 năm A'!$T$31</f>
        <v>177000</v>
      </c>
      <c r="BE21" s="405"/>
      <c r="BF21" s="405"/>
      <c r="BG21" s="1395">
        <f>BD21-BF21</f>
        <v>177000</v>
      </c>
      <c r="BH21" s="405">
        <f>BD21</f>
        <v>177000</v>
      </c>
      <c r="BI21" s="405"/>
      <c r="BJ21" s="405">
        <f>'[2]5 năm A'!$U$31</f>
        <v>197000</v>
      </c>
      <c r="BK21" s="405"/>
      <c r="BL21" s="405"/>
      <c r="BM21" s="1395">
        <f>BJ21-BL21</f>
        <v>197000</v>
      </c>
      <c r="BN21" s="405">
        <f>BJ21</f>
        <v>197000</v>
      </c>
      <c r="BO21" s="405"/>
    </row>
    <row r="22" spans="1:67" ht="15.75" customHeight="1">
      <c r="A22" s="1106" t="s">
        <v>137</v>
      </c>
      <c r="B22" s="506" t="s">
        <v>67</v>
      </c>
      <c r="C22" s="51">
        <v>0</v>
      </c>
      <c r="D22" s="236">
        <v>0</v>
      </c>
      <c r="E22" s="236">
        <f>C22-D22</f>
        <v>0</v>
      </c>
      <c r="F22" s="236">
        <f t="shared" si="7"/>
        <v>0</v>
      </c>
      <c r="G22" s="236">
        <v>0</v>
      </c>
      <c r="H22" s="1424">
        <v>0</v>
      </c>
      <c r="I22" s="1107"/>
      <c r="J22" s="252"/>
      <c r="K22" s="252">
        <f t="shared" si="8"/>
        <v>0</v>
      </c>
      <c r="L22" s="252">
        <f t="shared" si="6"/>
        <v>0</v>
      </c>
      <c r="M22" s="252">
        <v>0</v>
      </c>
      <c r="N22" s="183">
        <v>0</v>
      </c>
      <c r="O22" s="1498"/>
      <c r="P22" s="183"/>
      <c r="Q22" s="183">
        <f>N22-P22</f>
        <v>0</v>
      </c>
      <c r="R22" s="183">
        <f>Q22</f>
        <v>0</v>
      </c>
      <c r="S22" s="183">
        <v>0</v>
      </c>
      <c r="T22" s="183">
        <f>'Phụ lục số 1'!T22</f>
        <v>0</v>
      </c>
      <c r="U22" s="1498" t="e">
        <f t="shared" si="15"/>
        <v>#DIV/0!</v>
      </c>
      <c r="V22" s="183"/>
      <c r="W22" s="183">
        <f>T22-V22</f>
        <v>0</v>
      </c>
      <c r="X22" s="183">
        <f>W22</f>
        <v>0</v>
      </c>
      <c r="Y22" s="183">
        <v>0</v>
      </c>
      <c r="Z22" s="183">
        <f>'Phụ lục số 1'!AE22</f>
        <v>0</v>
      </c>
      <c r="AA22" s="1498"/>
      <c r="AB22" s="183"/>
      <c r="AC22" s="183">
        <f>Z22-AB22</f>
        <v>0</v>
      </c>
      <c r="AD22" s="183">
        <f>AC22</f>
        <v>0</v>
      </c>
      <c r="AE22" s="183">
        <v>0</v>
      </c>
      <c r="AF22" s="183">
        <f>'Phụ lục số 1'!AK22</f>
        <v>0</v>
      </c>
      <c r="AG22" s="1107"/>
      <c r="AH22" s="51"/>
      <c r="AI22" s="51">
        <f>AF22-AH22</f>
        <v>0</v>
      </c>
      <c r="AJ22" s="51">
        <f>AI22</f>
        <v>0</v>
      </c>
      <c r="AK22" s="51">
        <v>0</v>
      </c>
      <c r="AL22" s="1500">
        <f>'Phụ lục số 1'!AQ22</f>
        <v>0</v>
      </c>
      <c r="AM22" s="1500"/>
      <c r="AN22" s="1500"/>
      <c r="AO22" s="183"/>
      <c r="AP22" s="1500"/>
      <c r="AQ22" s="1500"/>
      <c r="AR22" s="405"/>
      <c r="AS22" s="405"/>
      <c r="AT22" s="405"/>
      <c r="AU22" s="1395"/>
      <c r="AV22" s="405"/>
      <c r="AW22" s="405"/>
      <c r="AX22" s="405"/>
      <c r="AY22" s="405"/>
      <c r="AZ22" s="405"/>
      <c r="BA22" s="1395"/>
      <c r="BB22" s="405"/>
      <c r="BC22" s="405"/>
      <c r="BD22" s="405"/>
      <c r="BE22" s="405"/>
      <c r="BF22" s="405"/>
      <c r="BG22" s="1395"/>
      <c r="BH22" s="405"/>
      <c r="BI22" s="405"/>
      <c r="BJ22" s="405"/>
      <c r="BK22" s="405"/>
      <c r="BL22" s="405"/>
      <c r="BM22" s="1395"/>
      <c r="BN22" s="405"/>
      <c r="BO22" s="405"/>
    </row>
    <row r="23" spans="1:67" ht="16.5" customHeight="1">
      <c r="A23" s="1035">
        <v>3</v>
      </c>
      <c r="B23" s="1501" t="s">
        <v>1723</v>
      </c>
      <c r="C23" s="696">
        <f t="shared" ref="C23:H23" si="16">SUM(C24:C27)</f>
        <v>74000</v>
      </c>
      <c r="D23" s="1104">
        <f t="shared" si="16"/>
        <v>0</v>
      </c>
      <c r="E23" s="1104">
        <f t="shared" si="16"/>
        <v>74000</v>
      </c>
      <c r="F23" s="1104">
        <f t="shared" si="16"/>
        <v>74000</v>
      </c>
      <c r="G23" s="1104">
        <f t="shared" si="16"/>
        <v>0</v>
      </c>
      <c r="H23" s="336">
        <f t="shared" si="16"/>
        <v>74729.223614999995</v>
      </c>
      <c r="I23" s="1105">
        <f>H23/C23*100</f>
        <v>100.98543731756757</v>
      </c>
      <c r="J23" s="328">
        <f>SUM(J24:J27)</f>
        <v>0</v>
      </c>
      <c r="K23" s="328">
        <f>SUM(K24:K27)</f>
        <v>74729.223614999995</v>
      </c>
      <c r="L23" s="328">
        <f>SUM(L24:L27)</f>
        <v>74729.223614999995</v>
      </c>
      <c r="M23" s="328">
        <f>SUM(M24:M27)</f>
        <v>0</v>
      </c>
      <c r="N23" s="1495">
        <f>SUM(N24:N27)</f>
        <v>70000</v>
      </c>
      <c r="O23" s="1496">
        <f>N23/H23*100</f>
        <v>93.671520475892208</v>
      </c>
      <c r="P23" s="1495">
        <f>SUM(P24:P27)</f>
        <v>0</v>
      </c>
      <c r="Q23" s="1495">
        <f>SUM(Q24:Q27)</f>
        <v>70000</v>
      </c>
      <c r="R23" s="1495">
        <f>SUM(R24:R27)</f>
        <v>70000</v>
      </c>
      <c r="S23" s="1495">
        <f t="shared" ref="S23:Y23" si="17">SUM(S24:S27)</f>
        <v>0</v>
      </c>
      <c r="T23" s="1495">
        <f t="shared" si="17"/>
        <v>70000</v>
      </c>
      <c r="U23" s="1495" t="e">
        <f t="shared" si="17"/>
        <v>#DIV/0!</v>
      </c>
      <c r="V23" s="1495">
        <f t="shared" si="17"/>
        <v>0</v>
      </c>
      <c r="W23" s="1495">
        <f t="shared" si="17"/>
        <v>70000</v>
      </c>
      <c r="X23" s="1495">
        <f t="shared" si="17"/>
        <v>70000</v>
      </c>
      <c r="Y23" s="1495">
        <f t="shared" si="17"/>
        <v>0</v>
      </c>
      <c r="Z23" s="1495">
        <f>SUM(Z24:Z27)</f>
        <v>75000</v>
      </c>
      <c r="AA23" s="1496">
        <f>Z23/T23*100</f>
        <v>107.14285714285714</v>
      </c>
      <c r="AB23" s="1495">
        <f>SUM(AB24:AB27)</f>
        <v>0</v>
      </c>
      <c r="AC23" s="1495">
        <f>SUM(AC24:AC27)</f>
        <v>75000</v>
      </c>
      <c r="AD23" s="1495">
        <f>SUM(AD24:AD27)</f>
        <v>75000</v>
      </c>
      <c r="AE23" s="1495">
        <f>SUM(AE24:AE27)</f>
        <v>0</v>
      </c>
      <c r="AF23" s="1495">
        <f>SUM(AF24:AF27)</f>
        <v>100000</v>
      </c>
      <c r="AG23" s="1105">
        <f>AF23/Z23*100</f>
        <v>133.33333333333331</v>
      </c>
      <c r="AH23" s="336">
        <f>SUM(AH24:AH27)</f>
        <v>0</v>
      </c>
      <c r="AI23" s="336">
        <f>SUM(AI24:AI27)</f>
        <v>100000</v>
      </c>
      <c r="AJ23" s="336">
        <f>SUM(AJ24:AJ27)</f>
        <v>100000</v>
      </c>
      <c r="AK23" s="336">
        <f>SUM(AK24:AK27)</f>
        <v>0</v>
      </c>
      <c r="AL23" s="1495">
        <f>SUM(AL24:AL27)</f>
        <v>110000</v>
      </c>
      <c r="AM23" s="1496">
        <f>AL23/AF23*100</f>
        <v>110.00000000000001</v>
      </c>
      <c r="AN23" s="1495">
        <f>SUM(AN24:AN27)</f>
        <v>0</v>
      </c>
      <c r="AO23" s="1495">
        <f>SUM(AO24:AO27)</f>
        <v>110000</v>
      </c>
      <c r="AP23" s="1495">
        <f>SUM(AP24:AP27)</f>
        <v>110000</v>
      </c>
      <c r="AQ23" s="1495">
        <f>SUM(AQ24:AQ27)</f>
        <v>0</v>
      </c>
      <c r="AR23" s="337">
        <f>SUM(AR24:AR27)</f>
        <v>120000</v>
      </c>
      <c r="AS23" s="1642">
        <f>AR23/AL23*100</f>
        <v>109.09090909090908</v>
      </c>
      <c r="AT23" s="337">
        <f>SUM(AT24:AT27)</f>
        <v>0</v>
      </c>
      <c r="AU23" s="337">
        <f>SUM(AU24:AU27)</f>
        <v>120000</v>
      </c>
      <c r="AV23" s="337">
        <f>SUM(AV24:AV27)</f>
        <v>120000</v>
      </c>
      <c r="AW23" s="337">
        <f>SUM(AW24:AW27)</f>
        <v>0</v>
      </c>
      <c r="AX23" s="337">
        <f>SUM(AX24:AX27)</f>
        <v>130000</v>
      </c>
      <c r="AY23" s="1642">
        <f>AX23/AR23*100</f>
        <v>108.33333333333333</v>
      </c>
      <c r="AZ23" s="337">
        <f>SUM(AZ24:AZ27)</f>
        <v>0</v>
      </c>
      <c r="BA23" s="337">
        <f>SUM(BA24:BA27)</f>
        <v>130000</v>
      </c>
      <c r="BB23" s="337">
        <f>SUM(BB24:BB27)</f>
        <v>130000</v>
      </c>
      <c r="BC23" s="337">
        <f>SUM(BC24:BC27)</f>
        <v>0</v>
      </c>
      <c r="BD23" s="337">
        <f>SUM(BD24:BD27)</f>
        <v>140000</v>
      </c>
      <c r="BE23" s="1642">
        <f>BD23/AX23*100</f>
        <v>107.69230769230769</v>
      </c>
      <c r="BF23" s="337">
        <f>SUM(BF24:BF27)</f>
        <v>0</v>
      </c>
      <c r="BG23" s="337">
        <f>SUM(BG24:BG27)</f>
        <v>140000</v>
      </c>
      <c r="BH23" s="337">
        <f>SUM(BH24:BH27)</f>
        <v>140000</v>
      </c>
      <c r="BI23" s="337">
        <f>SUM(BI24:BI27)</f>
        <v>0</v>
      </c>
      <c r="BJ23" s="337">
        <f>SUM(BJ24:BJ27)</f>
        <v>153000</v>
      </c>
      <c r="BK23" s="1642">
        <f>BJ23/BD23*100</f>
        <v>109.28571428571428</v>
      </c>
      <c r="BL23" s="337">
        <f>SUM(BL24:BL27)</f>
        <v>0</v>
      </c>
      <c r="BM23" s="337">
        <f>SUM(BM24:BM27)</f>
        <v>153000</v>
      </c>
      <c r="BN23" s="337">
        <f>SUM(BN24:BN27)</f>
        <v>153000</v>
      </c>
      <c r="BO23" s="337">
        <f>SUM(BO24:BO27)</f>
        <v>0</v>
      </c>
    </row>
    <row r="24" spans="1:67" ht="15.75" customHeight="1">
      <c r="A24" s="1106" t="s">
        <v>137</v>
      </c>
      <c r="B24" s="506" t="s">
        <v>11</v>
      </c>
      <c r="C24" s="51">
        <v>11000</v>
      </c>
      <c r="D24" s="236">
        <v>0</v>
      </c>
      <c r="E24" s="236">
        <f>C24-D24</f>
        <v>11000</v>
      </c>
      <c r="F24" s="236">
        <f t="shared" si="7"/>
        <v>11000</v>
      </c>
      <c r="G24" s="236">
        <v>0</v>
      </c>
      <c r="H24" s="1424">
        <v>16615.627700000001</v>
      </c>
      <c r="I24" s="1107"/>
      <c r="J24" s="252">
        <f>0</f>
        <v>0</v>
      </c>
      <c r="K24" s="252">
        <f>H24-J24</f>
        <v>16615.627700000001</v>
      </c>
      <c r="L24" s="252">
        <f>K24-M24</f>
        <v>16615.627700000001</v>
      </c>
      <c r="M24" s="252">
        <v>0</v>
      </c>
      <c r="N24" s="183">
        <v>18000</v>
      </c>
      <c r="O24" s="1498"/>
      <c r="P24" s="183"/>
      <c r="Q24" s="183">
        <f>N24-P24</f>
        <v>18000</v>
      </c>
      <c r="R24" s="183">
        <f>Q24-S24</f>
        <v>18000</v>
      </c>
      <c r="S24" s="183">
        <v>0</v>
      </c>
      <c r="T24" s="183">
        <f>'Phụ lục số 1'!T24</f>
        <v>15000</v>
      </c>
      <c r="U24" s="1499">
        <f t="shared" ref="U24:U26" si="18">T24/N24*100</f>
        <v>83.333333333333343</v>
      </c>
      <c r="V24" s="183"/>
      <c r="W24" s="183">
        <f>T24-V24</f>
        <v>15000</v>
      </c>
      <c r="X24" s="183">
        <f>W24-Y24</f>
        <v>15000</v>
      </c>
      <c r="Y24" s="183">
        <v>0</v>
      </c>
      <c r="Z24" s="183">
        <f>'Phụ lục số 1'!AE24</f>
        <v>16000</v>
      </c>
      <c r="AA24" s="1498"/>
      <c r="AB24" s="183"/>
      <c r="AC24" s="183">
        <f>Z24-AB24</f>
        <v>16000</v>
      </c>
      <c r="AD24" s="183">
        <f>AC24-AE24</f>
        <v>16000</v>
      </c>
      <c r="AE24" s="183">
        <v>0</v>
      </c>
      <c r="AF24" s="183">
        <f>'Phụ lục số 1'!AK24</f>
        <v>22000</v>
      </c>
      <c r="AG24" s="1107"/>
      <c r="AH24" s="51"/>
      <c r="AI24" s="51">
        <f>AF24-AH24</f>
        <v>22000</v>
      </c>
      <c r="AJ24" s="51">
        <f>AI24-AK24</f>
        <v>22000</v>
      </c>
      <c r="AK24" s="51">
        <v>0</v>
      </c>
      <c r="AL24" s="1500">
        <f>'Phụ lục số 1'!AQ24</f>
        <v>24000</v>
      </c>
      <c r="AM24" s="1500"/>
      <c r="AN24" s="1500"/>
      <c r="AO24" s="183">
        <f>AL24-AN24</f>
        <v>24000</v>
      </c>
      <c r="AP24" s="1500">
        <f>AL24</f>
        <v>24000</v>
      </c>
      <c r="AQ24" s="1500"/>
      <c r="AR24" s="405">
        <f>'[2]5 năm A'!$R$35</f>
        <v>26000</v>
      </c>
      <c r="AS24" s="405"/>
      <c r="AT24" s="405"/>
      <c r="AU24" s="1395">
        <f>AR24-AT24</f>
        <v>26000</v>
      </c>
      <c r="AV24" s="405">
        <f>AR24</f>
        <v>26000</v>
      </c>
      <c r="AW24" s="405"/>
      <c r="AX24" s="405">
        <f>'[2]5 năm A'!$S$35</f>
        <v>28000</v>
      </c>
      <c r="AY24" s="405"/>
      <c r="AZ24" s="405"/>
      <c r="BA24" s="1395">
        <f>AX24-AZ24</f>
        <v>28000</v>
      </c>
      <c r="BB24" s="405">
        <f>AX24</f>
        <v>28000</v>
      </c>
      <c r="BC24" s="405"/>
      <c r="BD24" s="405">
        <f>'[2]5 năm A'!$T$35</f>
        <v>32000</v>
      </c>
      <c r="BE24" s="405"/>
      <c r="BF24" s="405"/>
      <c r="BG24" s="1395">
        <f>BD24-BF24</f>
        <v>32000</v>
      </c>
      <c r="BH24" s="405">
        <f>BD24</f>
        <v>32000</v>
      </c>
      <c r="BI24" s="405"/>
      <c r="BJ24" s="405">
        <f>'[2]5 năm A'!$U$35</f>
        <v>35500</v>
      </c>
      <c r="BK24" s="405"/>
      <c r="BL24" s="405"/>
      <c r="BM24" s="1395">
        <f>BJ24-BL24</f>
        <v>35500</v>
      </c>
      <c r="BN24" s="405">
        <f>BJ24</f>
        <v>35500</v>
      </c>
      <c r="BO24" s="405"/>
    </row>
    <row r="25" spans="1:67" ht="15.75" customHeight="1">
      <c r="A25" s="1106" t="s">
        <v>137</v>
      </c>
      <c r="B25" s="506" t="s">
        <v>12</v>
      </c>
      <c r="C25" s="51">
        <v>63000</v>
      </c>
      <c r="D25" s="236">
        <v>0</v>
      </c>
      <c r="E25" s="236">
        <f>C25-D25</f>
        <v>63000</v>
      </c>
      <c r="F25" s="236">
        <f t="shared" si="7"/>
        <v>63000</v>
      </c>
      <c r="G25" s="236">
        <v>0</v>
      </c>
      <c r="H25" s="1424">
        <v>58096.966274999999</v>
      </c>
      <c r="I25" s="1107"/>
      <c r="J25" s="252">
        <f>0</f>
        <v>0</v>
      </c>
      <c r="K25" s="252">
        <f>H25-J25</f>
        <v>58096.966274999999</v>
      </c>
      <c r="L25" s="252">
        <f>K25-M25</f>
        <v>58096.966274999999</v>
      </c>
      <c r="M25" s="252">
        <v>0</v>
      </c>
      <c r="N25" s="183">
        <v>52000</v>
      </c>
      <c r="O25" s="1498"/>
      <c r="P25" s="183"/>
      <c r="Q25" s="183">
        <f>N25-P25</f>
        <v>52000</v>
      </c>
      <c r="R25" s="183">
        <f>Q25-S25</f>
        <v>52000</v>
      </c>
      <c r="S25" s="183">
        <v>0</v>
      </c>
      <c r="T25" s="183">
        <f>'Phụ lục số 1'!T25</f>
        <v>54990</v>
      </c>
      <c r="U25" s="1499">
        <f t="shared" si="18"/>
        <v>105.75000000000001</v>
      </c>
      <c r="V25" s="183"/>
      <c r="W25" s="183">
        <f>T25-V25</f>
        <v>54990</v>
      </c>
      <c r="X25" s="183">
        <f>W25-Y25</f>
        <v>54990</v>
      </c>
      <c r="Y25" s="183">
        <v>0</v>
      </c>
      <c r="Z25" s="183">
        <f>'Phụ lục số 1'!AE25</f>
        <v>59000</v>
      </c>
      <c r="AA25" s="1498"/>
      <c r="AB25" s="183"/>
      <c r="AC25" s="183">
        <f>Z25-AB25</f>
        <v>59000</v>
      </c>
      <c r="AD25" s="183">
        <f>AC25-AE25</f>
        <v>59000</v>
      </c>
      <c r="AE25" s="183">
        <v>0</v>
      </c>
      <c r="AF25" s="183">
        <f>'Phụ lục số 1'!AK25</f>
        <v>78000</v>
      </c>
      <c r="AG25" s="1107"/>
      <c r="AH25" s="51"/>
      <c r="AI25" s="51">
        <f>AF25-AH25</f>
        <v>78000</v>
      </c>
      <c r="AJ25" s="51">
        <f>AI25-AK25</f>
        <v>78000</v>
      </c>
      <c r="AK25" s="51">
        <v>0</v>
      </c>
      <c r="AL25" s="1500">
        <f>'Phụ lục số 1'!AQ25</f>
        <v>86000</v>
      </c>
      <c r="AM25" s="1500"/>
      <c r="AN25" s="1500"/>
      <c r="AO25" s="183">
        <f>AL25-AN25</f>
        <v>86000</v>
      </c>
      <c r="AP25" s="1500">
        <f>AL25</f>
        <v>86000</v>
      </c>
      <c r="AQ25" s="1500"/>
      <c r="AR25" s="405">
        <f>'[2]5 năm A'!$R$37</f>
        <v>94000</v>
      </c>
      <c r="AS25" s="405"/>
      <c r="AT25" s="405"/>
      <c r="AU25" s="1395">
        <f>AR25-AT25</f>
        <v>94000</v>
      </c>
      <c r="AV25" s="405">
        <f>AR25</f>
        <v>94000</v>
      </c>
      <c r="AW25" s="405"/>
      <c r="AX25" s="405">
        <f>'[2]5 năm A'!$S$37</f>
        <v>102000</v>
      </c>
      <c r="AY25" s="405"/>
      <c r="AZ25" s="405"/>
      <c r="BA25" s="1395">
        <f>AX25-AZ25</f>
        <v>102000</v>
      </c>
      <c r="BB25" s="405">
        <f>AX25</f>
        <v>102000</v>
      </c>
      <c r="BC25" s="405"/>
      <c r="BD25" s="405">
        <f>'[2]5 năm A'!$T$37</f>
        <v>108000</v>
      </c>
      <c r="BE25" s="405"/>
      <c r="BF25" s="405"/>
      <c r="BG25" s="1395">
        <f>BD25-BF25</f>
        <v>108000</v>
      </c>
      <c r="BH25" s="405">
        <f>BD25</f>
        <v>108000</v>
      </c>
      <c r="BI25" s="405"/>
      <c r="BJ25" s="405">
        <f>'[2]5 năm A'!$U$37</f>
        <v>117500</v>
      </c>
      <c r="BK25" s="405"/>
      <c r="BL25" s="405"/>
      <c r="BM25" s="1395">
        <f>BJ25-BL25</f>
        <v>117500</v>
      </c>
      <c r="BN25" s="405">
        <f>BJ25</f>
        <v>117500</v>
      </c>
      <c r="BO25" s="405"/>
    </row>
    <row r="26" spans="1:67" ht="15.75" customHeight="1">
      <c r="A26" s="1106" t="s">
        <v>137</v>
      </c>
      <c r="B26" s="506" t="s">
        <v>14</v>
      </c>
      <c r="C26" s="51">
        <v>0</v>
      </c>
      <c r="D26" s="236"/>
      <c r="E26" s="236">
        <f>C26-D26</f>
        <v>0</v>
      </c>
      <c r="F26" s="236">
        <f>C26</f>
        <v>0</v>
      </c>
      <c r="G26" s="236">
        <v>0</v>
      </c>
      <c r="H26" s="1424">
        <v>16.629639999999998</v>
      </c>
      <c r="I26" s="1107"/>
      <c r="J26" s="252">
        <v>0</v>
      </c>
      <c r="K26" s="252">
        <f>H26-J26</f>
        <v>16.629639999999998</v>
      </c>
      <c r="L26" s="252">
        <f>K26-M26</f>
        <v>16.629639999999998</v>
      </c>
      <c r="M26" s="252">
        <v>0</v>
      </c>
      <c r="N26" s="183">
        <v>0</v>
      </c>
      <c r="O26" s="1498"/>
      <c r="P26" s="183"/>
      <c r="Q26" s="183">
        <f>N26-P26</f>
        <v>0</v>
      </c>
      <c r="R26" s="183">
        <f>Q26-S26</f>
        <v>0</v>
      </c>
      <c r="S26" s="183">
        <v>0</v>
      </c>
      <c r="T26" s="183">
        <f>'Phụ lục số 1'!T26</f>
        <v>0</v>
      </c>
      <c r="U26" s="1498" t="e">
        <f t="shared" si="18"/>
        <v>#DIV/0!</v>
      </c>
      <c r="V26" s="183"/>
      <c r="W26" s="183">
        <f>T26-V26</f>
        <v>0</v>
      </c>
      <c r="X26" s="183">
        <f>W26-Y26</f>
        <v>0</v>
      </c>
      <c r="Y26" s="183">
        <v>0</v>
      </c>
      <c r="Z26" s="183">
        <f>'Phụ lục số 1'!AE26</f>
        <v>0</v>
      </c>
      <c r="AA26" s="1498"/>
      <c r="AB26" s="183"/>
      <c r="AC26" s="183">
        <f>Z26-AB26</f>
        <v>0</v>
      </c>
      <c r="AD26" s="183">
        <f>AC26-AE26</f>
        <v>0</v>
      </c>
      <c r="AE26" s="183">
        <v>0</v>
      </c>
      <c r="AF26" s="183">
        <f>'Phụ lục số 1'!AK26</f>
        <v>0</v>
      </c>
      <c r="AG26" s="1107"/>
      <c r="AH26" s="51"/>
      <c r="AI26" s="51">
        <f>AF26-AH26</f>
        <v>0</v>
      </c>
      <c r="AJ26" s="51">
        <f>AI26-AK26</f>
        <v>0</v>
      </c>
      <c r="AK26" s="51">
        <v>0</v>
      </c>
      <c r="AL26" s="1500">
        <f>'Phụ lục số 1'!AQ26</f>
        <v>0</v>
      </c>
      <c r="AM26" s="1500"/>
      <c r="AN26" s="1500"/>
      <c r="AO26" s="183">
        <f>AL26-AN26</f>
        <v>0</v>
      </c>
      <c r="AP26" s="1500"/>
      <c r="AQ26" s="1500"/>
      <c r="AR26" s="405"/>
      <c r="AS26" s="405"/>
      <c r="AT26" s="405"/>
      <c r="AU26" s="1395">
        <f>AR26-AT26</f>
        <v>0</v>
      </c>
      <c r="AV26" s="405"/>
      <c r="AW26" s="405"/>
      <c r="AX26" s="405"/>
      <c r="AY26" s="405"/>
      <c r="AZ26" s="405"/>
      <c r="BA26" s="1395">
        <f>AX26-AZ26</f>
        <v>0</v>
      </c>
      <c r="BB26" s="405"/>
      <c r="BC26" s="405"/>
      <c r="BD26" s="405"/>
      <c r="BE26" s="405"/>
      <c r="BF26" s="405"/>
      <c r="BG26" s="1395">
        <f>BD26-BF26</f>
        <v>0</v>
      </c>
      <c r="BH26" s="405"/>
      <c r="BI26" s="405"/>
      <c r="BJ26" s="405"/>
      <c r="BK26" s="405"/>
      <c r="BL26" s="405"/>
      <c r="BM26" s="1395">
        <f>BJ26-BL26</f>
        <v>0</v>
      </c>
      <c r="BN26" s="405"/>
      <c r="BO26" s="405"/>
    </row>
    <row r="27" spans="1:67" ht="15.75" customHeight="1">
      <c r="A27" s="1106" t="s">
        <v>137</v>
      </c>
      <c r="B27" s="506" t="s">
        <v>105</v>
      </c>
      <c r="C27" s="51"/>
      <c r="D27" s="236">
        <v>0</v>
      </c>
      <c r="E27" s="236">
        <f>C27-D27</f>
        <v>0</v>
      </c>
      <c r="F27" s="236">
        <f t="shared" si="7"/>
        <v>0</v>
      </c>
      <c r="G27" s="236">
        <v>0</v>
      </c>
      <c r="H27" s="1424">
        <v>0</v>
      </c>
      <c r="I27" s="1107"/>
      <c r="J27" s="252"/>
      <c r="K27" s="252">
        <f>H27-J27</f>
        <v>0</v>
      </c>
      <c r="L27" s="252">
        <f>K27-M27</f>
        <v>0</v>
      </c>
      <c r="M27" s="252">
        <v>0</v>
      </c>
      <c r="N27" s="183"/>
      <c r="O27" s="1498"/>
      <c r="P27" s="183">
        <v>0</v>
      </c>
      <c r="Q27" s="183">
        <f>N27-P27</f>
        <v>0</v>
      </c>
      <c r="R27" s="183">
        <f>Q27-S27</f>
        <v>0</v>
      </c>
      <c r="S27" s="183">
        <v>0</v>
      </c>
      <c r="T27" s="183">
        <f>'Phụ lục số 1'!T27</f>
        <v>10</v>
      </c>
      <c r="U27" s="1498" t="e">
        <f t="shared" ref="U27" si="19">T27/H27*100</f>
        <v>#DIV/0!</v>
      </c>
      <c r="V27" s="183">
        <v>0</v>
      </c>
      <c r="W27" s="183">
        <f>T27-V27</f>
        <v>10</v>
      </c>
      <c r="X27" s="183">
        <f>W27-Y27</f>
        <v>10</v>
      </c>
      <c r="Y27" s="183">
        <v>0</v>
      </c>
      <c r="Z27" s="183">
        <f>'Phụ lục số 1'!AE27</f>
        <v>0</v>
      </c>
      <c r="AA27" s="1498"/>
      <c r="AB27" s="183">
        <v>0</v>
      </c>
      <c r="AC27" s="183">
        <f>Z27-AB27</f>
        <v>0</v>
      </c>
      <c r="AD27" s="183">
        <f>AC27-AE27</f>
        <v>0</v>
      </c>
      <c r="AE27" s="183">
        <v>0</v>
      </c>
      <c r="AF27" s="183">
        <f>'Phụ lục số 1'!AK27</f>
        <v>0</v>
      </c>
      <c r="AG27" s="1107"/>
      <c r="AH27" s="51">
        <v>0</v>
      </c>
      <c r="AI27" s="51">
        <f>AF27-AH27</f>
        <v>0</v>
      </c>
      <c r="AJ27" s="51">
        <f>AI27-AK27</f>
        <v>0</v>
      </c>
      <c r="AK27" s="51">
        <v>0</v>
      </c>
      <c r="AL27" s="1500">
        <f>'Phụ lục số 1'!AQ27</f>
        <v>0</v>
      </c>
      <c r="AM27" s="1500"/>
      <c r="AN27" s="1500"/>
      <c r="AO27" s="183">
        <f>AL27-AN27</f>
        <v>0</v>
      </c>
      <c r="AP27" s="1500"/>
      <c r="AQ27" s="1500"/>
      <c r="AR27" s="405"/>
      <c r="AS27" s="405"/>
      <c r="AT27" s="405"/>
      <c r="AU27" s="1395">
        <f>AR27-AT27</f>
        <v>0</v>
      </c>
      <c r="AV27" s="405"/>
      <c r="AW27" s="405"/>
      <c r="AX27" s="405"/>
      <c r="AY27" s="405"/>
      <c r="AZ27" s="405"/>
      <c r="BA27" s="1395">
        <f>AX27-AZ27</f>
        <v>0</v>
      </c>
      <c r="BB27" s="405"/>
      <c r="BC27" s="405"/>
      <c r="BD27" s="405"/>
      <c r="BE27" s="405"/>
      <c r="BF27" s="405"/>
      <c r="BG27" s="1395">
        <f>BD27-BF27</f>
        <v>0</v>
      </c>
      <c r="BH27" s="405"/>
      <c r="BI27" s="405"/>
      <c r="BJ27" s="405"/>
      <c r="BK27" s="405"/>
      <c r="BL27" s="405"/>
      <c r="BM27" s="1395">
        <f>BJ27-BL27</f>
        <v>0</v>
      </c>
      <c r="BN27" s="405"/>
      <c r="BO27" s="405"/>
    </row>
    <row r="28" spans="1:67" s="289" customFormat="1">
      <c r="A28" s="1035">
        <v>4</v>
      </c>
      <c r="B28" s="326" t="s">
        <v>106</v>
      </c>
      <c r="C28" s="696">
        <f t="shared" ref="C28:H28" si="20">SUM(C29:C33)</f>
        <v>945000</v>
      </c>
      <c r="D28" s="1104">
        <f t="shared" si="20"/>
        <v>0</v>
      </c>
      <c r="E28" s="1104">
        <f t="shared" si="20"/>
        <v>945000</v>
      </c>
      <c r="F28" s="1104">
        <f t="shared" si="20"/>
        <v>100220</v>
      </c>
      <c r="G28" s="1104">
        <f t="shared" si="20"/>
        <v>844780</v>
      </c>
      <c r="H28" s="336">
        <f t="shared" si="20"/>
        <v>1184282.337326</v>
      </c>
      <c r="I28" s="1105">
        <f>H28/C28*100</f>
        <v>125.32088225671959</v>
      </c>
      <c r="J28" s="328">
        <f>SUM(J29:J33)</f>
        <v>0</v>
      </c>
      <c r="K28" s="328">
        <f>SUM(K29:K33)</f>
        <v>1184282.337326</v>
      </c>
      <c r="L28" s="328">
        <f>SUM(L29:L33)</f>
        <v>84604.241838000002</v>
      </c>
      <c r="M28" s="328">
        <f>SUM(M29:M33)</f>
        <v>1099678.095488</v>
      </c>
      <c r="N28" s="1495">
        <f>SUM(N29:N33)</f>
        <v>1265000</v>
      </c>
      <c r="O28" s="1496">
        <f>N28/H28*100</f>
        <v>106.81574487180592</v>
      </c>
      <c r="P28" s="1495">
        <f>SUM(P29:P33)</f>
        <v>0</v>
      </c>
      <c r="Q28" s="1495">
        <f>SUM(Q29:Q33)</f>
        <v>1265000</v>
      </c>
      <c r="R28" s="1495">
        <f>SUM(R29:R33)</f>
        <v>88850</v>
      </c>
      <c r="S28" s="1495">
        <f>SUM(S29:S33)</f>
        <v>1176150</v>
      </c>
      <c r="T28" s="1495">
        <f t="shared" ref="T28:Y28" si="21">SUM(T29:T33)</f>
        <v>1600000.2999999998</v>
      </c>
      <c r="U28" s="1495" t="e">
        <f t="shared" si="21"/>
        <v>#DIV/0!</v>
      </c>
      <c r="V28" s="1495">
        <f t="shared" si="21"/>
        <v>0</v>
      </c>
      <c r="W28" s="1495">
        <f t="shared" si="21"/>
        <v>1600000.2999999998</v>
      </c>
      <c r="X28" s="1495">
        <f t="shared" si="21"/>
        <v>80950.399999999994</v>
      </c>
      <c r="Y28" s="1495">
        <f t="shared" si="21"/>
        <v>1519049.9</v>
      </c>
      <c r="Z28" s="1495">
        <f>SUM(Z29:Z33)</f>
        <v>1701000</v>
      </c>
      <c r="AA28" s="1496">
        <f>Z28/T28*100</f>
        <v>106.31248006641</v>
      </c>
      <c r="AB28" s="1495">
        <f>SUM(AB29:AB33)</f>
        <v>0</v>
      </c>
      <c r="AC28" s="1495">
        <f>SUM(AC29:AC33)</f>
        <v>1701000</v>
      </c>
      <c r="AD28" s="1495">
        <f>SUM(AD29:AD33)</f>
        <v>69420</v>
      </c>
      <c r="AE28" s="1495">
        <f>SUM(AE29:AE33)</f>
        <v>1631580</v>
      </c>
      <c r="AF28" s="1495">
        <f>SUM(AF29:AF33)</f>
        <v>1620000</v>
      </c>
      <c r="AG28" s="1105">
        <f>AF28/Z28*100</f>
        <v>95.238095238095227</v>
      </c>
      <c r="AH28" s="336">
        <f>SUM(AH29:AH33)</f>
        <v>0</v>
      </c>
      <c r="AI28" s="336">
        <f>SUM(AI29:AI33)</f>
        <v>1620000</v>
      </c>
      <c r="AJ28" s="336">
        <f>SUM(AJ29:AJ33)</f>
        <v>118000</v>
      </c>
      <c r="AK28" s="336">
        <f>SUM(AK29:AK33)</f>
        <v>1502000</v>
      </c>
      <c r="AL28" s="1495">
        <f>SUM(AL29:AL33)</f>
        <v>1790000</v>
      </c>
      <c r="AM28" s="1496">
        <f>AL28/AF28*100</f>
        <v>110.49382716049382</v>
      </c>
      <c r="AN28" s="1495">
        <f>SUM(AN29:AN33)</f>
        <v>0</v>
      </c>
      <c r="AO28" s="1495">
        <f>SUM(AO29:AO33)</f>
        <v>1790000</v>
      </c>
      <c r="AP28" s="1495">
        <f>SUM(AP29:AP33)</f>
        <v>131000</v>
      </c>
      <c r="AQ28" s="1495">
        <f>SUM(AQ29:AQ33)</f>
        <v>1659000</v>
      </c>
      <c r="AR28" s="337">
        <f>SUM(AR29:AR33)</f>
        <v>1980000</v>
      </c>
      <c r="AS28" s="1642">
        <f>AR28/AL28*100</f>
        <v>110.61452513966481</v>
      </c>
      <c r="AT28" s="337">
        <f>SUM(AT29:AT33)</f>
        <v>0</v>
      </c>
      <c r="AU28" s="337">
        <f>SUM(AU29:AU33)</f>
        <v>1980000</v>
      </c>
      <c r="AV28" s="337">
        <f>SUM(AV29:AV33)</f>
        <v>143000</v>
      </c>
      <c r="AW28" s="337">
        <f>SUM(AW29:AW33)</f>
        <v>1837000</v>
      </c>
      <c r="AX28" s="337">
        <f>SUM(AX29:AX33)</f>
        <v>2190000</v>
      </c>
      <c r="AY28" s="1642">
        <f>AX28/AR28*100</f>
        <v>110.60606060606059</v>
      </c>
      <c r="AZ28" s="337">
        <f>SUM(AZ29:AZ33)</f>
        <v>0</v>
      </c>
      <c r="BA28" s="337">
        <f>SUM(BA29:BA33)</f>
        <v>2190000</v>
      </c>
      <c r="BB28" s="337">
        <f>SUM(BB29:BB33)</f>
        <v>156000</v>
      </c>
      <c r="BC28" s="337">
        <f>SUM(BC29:BC33)</f>
        <v>2034000</v>
      </c>
      <c r="BD28" s="337">
        <f>SUM(BD29:BD33)</f>
        <v>2430000</v>
      </c>
      <c r="BE28" s="1642">
        <f>BD28/AX28*100</f>
        <v>110.95890410958904</v>
      </c>
      <c r="BF28" s="337">
        <f>SUM(BF29:BF33)</f>
        <v>0</v>
      </c>
      <c r="BG28" s="337">
        <f>SUM(BG29:BG33)</f>
        <v>2430000</v>
      </c>
      <c r="BH28" s="337">
        <f>SUM(BH29:BH33)</f>
        <v>173000</v>
      </c>
      <c r="BI28" s="337">
        <f>SUM(BI29:BI33)</f>
        <v>2257000</v>
      </c>
      <c r="BJ28" s="337">
        <f>SUM(BJ29:BJ33)</f>
        <v>2730000</v>
      </c>
      <c r="BK28" s="1642">
        <f>BJ28/BD28*100</f>
        <v>112.34567901234568</v>
      </c>
      <c r="BL28" s="337">
        <f>SUM(BL29:BL33)</f>
        <v>0</v>
      </c>
      <c r="BM28" s="337">
        <f>SUM(BM29:BM33)</f>
        <v>2730000</v>
      </c>
      <c r="BN28" s="337">
        <f>SUM(BN29:BN33)</f>
        <v>198000</v>
      </c>
      <c r="BO28" s="337">
        <f>SUM(BO29:BO33)</f>
        <v>2532000</v>
      </c>
    </row>
    <row r="29" spans="1:67" ht="15.75" customHeight="1">
      <c r="A29" s="1106" t="s">
        <v>137</v>
      </c>
      <c r="B29" s="506" t="s">
        <v>11</v>
      </c>
      <c r="C29" s="51">
        <v>507290</v>
      </c>
      <c r="D29" s="236">
        <v>0</v>
      </c>
      <c r="E29" s="236">
        <f t="shared" ref="E29:E34" si="22">C29-D29</f>
        <v>507290</v>
      </c>
      <c r="F29" s="236">
        <f>E29-G29</f>
        <v>0</v>
      </c>
      <c r="G29" s="236">
        <f>C29</f>
        <v>507290</v>
      </c>
      <c r="H29" s="1424">
        <v>628438.07316999999</v>
      </c>
      <c r="I29" s="1107"/>
      <c r="J29" s="252">
        <f>0</f>
        <v>0</v>
      </c>
      <c r="K29" s="252">
        <f t="shared" ref="K29:K48" si="23">H29-J29</f>
        <v>628438.07316999999</v>
      </c>
      <c r="L29" s="810">
        <f>K29-M29</f>
        <v>0</v>
      </c>
      <c r="M29" s="252">
        <f>H29</f>
        <v>628438.07316999999</v>
      </c>
      <c r="N29" s="183">
        <f>'[3]Phụ lục số 5'!C8</f>
        <v>651170</v>
      </c>
      <c r="O29" s="1498"/>
      <c r="P29" s="183"/>
      <c r="Q29" s="183">
        <f t="shared" ref="Q29:Q47" si="24">N29-P29</f>
        <v>651170</v>
      </c>
      <c r="R29" s="1502">
        <f>Q29-S29</f>
        <v>0</v>
      </c>
      <c r="S29" s="183">
        <f>N29</f>
        <v>651170</v>
      </c>
      <c r="T29" s="183">
        <f>'Phụ lục số 1'!T29</f>
        <v>728899.9</v>
      </c>
      <c r="U29" s="1499">
        <f t="shared" ref="U29:U30" si="25">T29/N29*100</f>
        <v>111.93695962651842</v>
      </c>
      <c r="V29" s="183"/>
      <c r="W29" s="183">
        <f t="shared" ref="W29:W38" si="26">T29-V29</f>
        <v>728899.9</v>
      </c>
      <c r="X29" s="1502">
        <f t="shared" ref="X29:X36" si="27">W29-Y29</f>
        <v>0</v>
      </c>
      <c r="Y29" s="183">
        <f>T29</f>
        <v>728899.9</v>
      </c>
      <c r="Z29" s="1495">
        <f>'Phụ lục số 1'!AE29</f>
        <v>724290</v>
      </c>
      <c r="AA29" s="1498"/>
      <c r="AB29" s="183"/>
      <c r="AC29" s="183">
        <f t="shared" ref="AC29:AC38" si="28">Z29-AB29</f>
        <v>724290</v>
      </c>
      <c r="AD29" s="1502">
        <f t="shared" ref="AD29:AD36" si="29">AC29-AE29</f>
        <v>0</v>
      </c>
      <c r="AE29" s="183">
        <f>Z29</f>
        <v>724290</v>
      </c>
      <c r="AF29" s="183">
        <f>'Phụ lục số 1'!AK29</f>
        <v>910000</v>
      </c>
      <c r="AG29" s="1107"/>
      <c r="AH29" s="51"/>
      <c r="AI29" s="51">
        <f t="shared" ref="AI29:AI38" si="30">AF29-AH29</f>
        <v>910000</v>
      </c>
      <c r="AJ29" s="236">
        <f t="shared" ref="AJ29:AJ36" si="31">AI29-AK29</f>
        <v>0</v>
      </c>
      <c r="AK29" s="51">
        <f>AF29</f>
        <v>910000</v>
      </c>
      <c r="AL29" s="1500">
        <f>'Phụ lục số 1'!AQ29</f>
        <v>1004000</v>
      </c>
      <c r="AM29" s="1500"/>
      <c r="AN29" s="1500"/>
      <c r="AO29" s="183">
        <f>AL29-AN29</f>
        <v>1004000</v>
      </c>
      <c r="AP29" s="1500"/>
      <c r="AQ29" s="1500">
        <f>AL29</f>
        <v>1004000</v>
      </c>
      <c r="AR29" s="405">
        <f>'[2]5 năm A'!$R$42</f>
        <v>1113000</v>
      </c>
      <c r="AS29" s="405"/>
      <c r="AT29" s="405"/>
      <c r="AU29" s="1395">
        <f>AR29-AT29</f>
        <v>1113000</v>
      </c>
      <c r="AV29" s="405"/>
      <c r="AW29" s="405">
        <f>AR29</f>
        <v>1113000</v>
      </c>
      <c r="AX29" s="405">
        <f>'[2]5 năm A'!$S$42</f>
        <v>1238000</v>
      </c>
      <c r="AY29" s="405"/>
      <c r="AZ29" s="405"/>
      <c r="BA29" s="1395">
        <f>AX29-AZ29</f>
        <v>1238000</v>
      </c>
      <c r="BB29" s="405"/>
      <c r="BC29" s="405">
        <f>AX29</f>
        <v>1238000</v>
      </c>
      <c r="BD29" s="405">
        <f>'[2]5 năm A'!$T$42</f>
        <v>1373000</v>
      </c>
      <c r="BE29" s="405"/>
      <c r="BF29" s="405"/>
      <c r="BG29" s="1395">
        <f>BD29-BF29</f>
        <v>1373000</v>
      </c>
      <c r="BH29" s="405"/>
      <c r="BI29" s="405">
        <f>BD29</f>
        <v>1373000</v>
      </c>
      <c r="BJ29" s="405">
        <f>'[2]5 năm A'!$U$42</f>
        <v>1547000</v>
      </c>
      <c r="BK29" s="405"/>
      <c r="BL29" s="405"/>
      <c r="BM29" s="1395">
        <f>BJ29-BL29</f>
        <v>1547000</v>
      </c>
      <c r="BN29" s="405"/>
      <c r="BO29" s="405">
        <f>BJ29</f>
        <v>1547000</v>
      </c>
    </row>
    <row r="30" spans="1:67" ht="15.75" customHeight="1">
      <c r="A30" s="1106" t="s">
        <v>137</v>
      </c>
      <c r="B30" s="506" t="s">
        <v>12</v>
      </c>
      <c r="C30" s="51">
        <v>337490</v>
      </c>
      <c r="D30" s="236">
        <v>0</v>
      </c>
      <c r="E30" s="236">
        <f t="shared" si="22"/>
        <v>337490</v>
      </c>
      <c r="F30" s="236">
        <f>E30-G30</f>
        <v>0</v>
      </c>
      <c r="G30" s="236">
        <f>C30</f>
        <v>337490</v>
      </c>
      <c r="H30" s="1424">
        <v>471240.02231799997</v>
      </c>
      <c r="I30" s="1107"/>
      <c r="J30" s="252">
        <f>0</f>
        <v>0</v>
      </c>
      <c r="K30" s="252">
        <f t="shared" si="23"/>
        <v>471240.02231799997</v>
      </c>
      <c r="L30" s="810">
        <f>K30-M30</f>
        <v>0</v>
      </c>
      <c r="M30" s="252">
        <f>H30</f>
        <v>471240.02231799997</v>
      </c>
      <c r="N30" s="183">
        <f>'[3]Phụ lục số 5'!C9</f>
        <v>524980</v>
      </c>
      <c r="O30" s="1498"/>
      <c r="P30" s="183"/>
      <c r="Q30" s="183">
        <f t="shared" si="24"/>
        <v>524980</v>
      </c>
      <c r="R30" s="1502">
        <f>Q30-S30</f>
        <v>0</v>
      </c>
      <c r="S30" s="183">
        <f>N30</f>
        <v>524980</v>
      </c>
      <c r="T30" s="183">
        <f>'Phụ lục số 1'!T30</f>
        <v>790000</v>
      </c>
      <c r="U30" s="1498">
        <f t="shared" si="25"/>
        <v>150.48192312088079</v>
      </c>
      <c r="V30" s="183"/>
      <c r="W30" s="183">
        <f t="shared" si="26"/>
        <v>790000</v>
      </c>
      <c r="X30" s="1502">
        <f t="shared" si="27"/>
        <v>0</v>
      </c>
      <c r="Y30" s="183">
        <f>T30</f>
        <v>790000</v>
      </c>
      <c r="Z30" s="1495">
        <f>'Phụ lục số 1'!AE30</f>
        <v>905790</v>
      </c>
      <c r="AA30" s="1498"/>
      <c r="AB30" s="183"/>
      <c r="AC30" s="183">
        <f t="shared" si="28"/>
        <v>905790</v>
      </c>
      <c r="AD30" s="1502">
        <f t="shared" si="29"/>
        <v>0</v>
      </c>
      <c r="AE30" s="183">
        <f>Z30</f>
        <v>905790</v>
      </c>
      <c r="AF30" s="183">
        <f>'Phụ lục số 1'!AK30</f>
        <v>592000</v>
      </c>
      <c r="AG30" s="1107"/>
      <c r="AH30" s="51"/>
      <c r="AI30" s="51">
        <f t="shared" si="30"/>
        <v>592000</v>
      </c>
      <c r="AJ30" s="236">
        <f t="shared" si="31"/>
        <v>0</v>
      </c>
      <c r="AK30" s="51">
        <f>AF30</f>
        <v>592000</v>
      </c>
      <c r="AL30" s="1500">
        <f>'Phụ lục số 1'!AQ30</f>
        <v>655000</v>
      </c>
      <c r="AM30" s="1500"/>
      <c r="AN30" s="1500"/>
      <c r="AO30" s="183">
        <f>AL30-AN30</f>
        <v>655000</v>
      </c>
      <c r="AP30" s="1500"/>
      <c r="AQ30" s="1500">
        <f>AL30</f>
        <v>655000</v>
      </c>
      <c r="AR30" s="405">
        <f>'[2]5 năm A'!$R$44</f>
        <v>724000</v>
      </c>
      <c r="AS30" s="405"/>
      <c r="AT30" s="405"/>
      <c r="AU30" s="1395">
        <f>AR30-AT30</f>
        <v>724000</v>
      </c>
      <c r="AV30" s="405"/>
      <c r="AW30" s="405">
        <f>AR30</f>
        <v>724000</v>
      </c>
      <c r="AX30" s="405">
        <f>'[2]5 năm A'!$S$44</f>
        <v>796000</v>
      </c>
      <c r="AY30" s="405"/>
      <c r="AZ30" s="405"/>
      <c r="BA30" s="1395">
        <f>AX30-AZ30</f>
        <v>796000</v>
      </c>
      <c r="BB30" s="405"/>
      <c r="BC30" s="405">
        <f>AX30</f>
        <v>796000</v>
      </c>
      <c r="BD30" s="405">
        <f>'[2]5 năm A'!$T$44</f>
        <v>884000</v>
      </c>
      <c r="BE30" s="405"/>
      <c r="BF30" s="405"/>
      <c r="BG30" s="1395">
        <f>BD30-BF30</f>
        <v>884000</v>
      </c>
      <c r="BH30" s="405"/>
      <c r="BI30" s="405">
        <f>BD30</f>
        <v>884000</v>
      </c>
      <c r="BJ30" s="405">
        <f>'[2]5 năm A'!$U$44</f>
        <v>985000</v>
      </c>
      <c r="BK30" s="405"/>
      <c r="BL30" s="405"/>
      <c r="BM30" s="1395">
        <f>BJ30-BL30</f>
        <v>985000</v>
      </c>
      <c r="BN30" s="405"/>
      <c r="BO30" s="405">
        <f>BJ30</f>
        <v>985000</v>
      </c>
    </row>
    <row r="31" spans="1:67" ht="15.75" customHeight="1">
      <c r="A31" s="1106" t="s">
        <v>137</v>
      </c>
      <c r="B31" s="506" t="s">
        <v>13</v>
      </c>
      <c r="C31" s="51">
        <v>87315</v>
      </c>
      <c r="D31" s="236">
        <v>0</v>
      </c>
      <c r="E31" s="236">
        <f t="shared" si="22"/>
        <v>87315</v>
      </c>
      <c r="F31" s="236">
        <f>E31-G31</f>
        <v>87315</v>
      </c>
      <c r="G31" s="236">
        <v>0</v>
      </c>
      <c r="H31" s="1424">
        <v>80519.551053000003</v>
      </c>
      <c r="I31" s="1107"/>
      <c r="J31" s="252"/>
      <c r="K31" s="252">
        <f t="shared" si="23"/>
        <v>80519.551053000003</v>
      </c>
      <c r="L31" s="810">
        <f>K31-M31</f>
        <v>80519.551053000003</v>
      </c>
      <c r="M31" s="252">
        <v>0</v>
      </c>
      <c r="N31" s="183">
        <f>'[3]Phụ lục số 5'!C10</f>
        <v>85120</v>
      </c>
      <c r="O31" s="1498"/>
      <c r="P31" s="183"/>
      <c r="Q31" s="183">
        <f t="shared" si="24"/>
        <v>85120</v>
      </c>
      <c r="R31" s="1502">
        <f>Q31-S31</f>
        <v>85120</v>
      </c>
      <c r="S31" s="183"/>
      <c r="T31" s="183">
        <f>'Phụ lục số 1'!T31</f>
        <v>76000.2</v>
      </c>
      <c r="U31" s="1498">
        <f t="shared" ref="U31" si="32">T31/H31*100</f>
        <v>94.387262479860013</v>
      </c>
      <c r="V31" s="183"/>
      <c r="W31" s="183">
        <f t="shared" si="26"/>
        <v>76000.2</v>
      </c>
      <c r="X31" s="1502">
        <f t="shared" si="27"/>
        <v>76000.2</v>
      </c>
      <c r="Y31" s="183"/>
      <c r="Z31" s="1495">
        <f>'Phụ lục số 1'!AE31</f>
        <v>63450</v>
      </c>
      <c r="AA31" s="1498"/>
      <c r="AB31" s="183"/>
      <c r="AC31" s="183">
        <f t="shared" si="28"/>
        <v>63450</v>
      </c>
      <c r="AD31" s="1502">
        <f t="shared" si="29"/>
        <v>63450</v>
      </c>
      <c r="AE31" s="183"/>
      <c r="AF31" s="183">
        <f>'Phụ lục số 1'!AK31</f>
        <v>109400</v>
      </c>
      <c r="AG31" s="1107"/>
      <c r="AH31" s="51"/>
      <c r="AI31" s="51">
        <f>AF31-AH31</f>
        <v>109400</v>
      </c>
      <c r="AJ31" s="236">
        <f>AI31-AK31</f>
        <v>109400</v>
      </c>
      <c r="AK31" s="51"/>
      <c r="AL31" s="1500">
        <f>'Phụ lục số 1'!AQ31</f>
        <v>122000</v>
      </c>
      <c r="AM31" s="1500"/>
      <c r="AN31" s="1500"/>
      <c r="AO31" s="183">
        <f>AL31-AN31</f>
        <v>122000</v>
      </c>
      <c r="AP31" s="1502">
        <f t="shared" ref="AP31:AP34" si="33">AO31-AQ31</f>
        <v>122000</v>
      </c>
      <c r="AQ31" s="1500"/>
      <c r="AR31" s="405">
        <f>'[2]5 năm A'!$R$43</f>
        <v>134000</v>
      </c>
      <c r="AS31" s="405"/>
      <c r="AT31" s="405"/>
      <c r="AU31" s="1395">
        <f>AR31-AT31</f>
        <v>134000</v>
      </c>
      <c r="AV31" s="1643">
        <f t="shared" ref="AV31:AV32" si="34">AU31-AW31</f>
        <v>134000</v>
      </c>
      <c r="AW31" s="405"/>
      <c r="AX31" s="405">
        <f>'[2]5 năm A'!$S$43</f>
        <v>147000</v>
      </c>
      <c r="AY31" s="405"/>
      <c r="AZ31" s="405"/>
      <c r="BA31" s="1395">
        <f>AX31-AZ31</f>
        <v>147000</v>
      </c>
      <c r="BB31" s="1643">
        <f t="shared" ref="BB31:BB32" si="35">BA31-BC31</f>
        <v>147000</v>
      </c>
      <c r="BC31" s="405"/>
      <c r="BD31" s="405">
        <f>'[2]5 năm A'!$T$43</f>
        <v>163000</v>
      </c>
      <c r="BE31" s="405"/>
      <c r="BF31" s="405"/>
      <c r="BG31" s="1395">
        <f>BD31-BF31</f>
        <v>163000</v>
      </c>
      <c r="BH31" s="1643">
        <f t="shared" ref="BH31:BH32" si="36">BG31-BI31</f>
        <v>163000</v>
      </c>
      <c r="BI31" s="405"/>
      <c r="BJ31" s="405">
        <f>'[2]5 năm A'!$U$43</f>
        <v>187000</v>
      </c>
      <c r="BK31" s="405"/>
      <c r="BL31" s="405"/>
      <c r="BM31" s="1395">
        <f>BJ31-BL31</f>
        <v>187000</v>
      </c>
      <c r="BN31" s="1643">
        <f t="shared" ref="BN31:BN32" si="37">BM31-BO31</f>
        <v>187000</v>
      </c>
      <c r="BO31" s="405"/>
    </row>
    <row r="32" spans="1:67" ht="15.75" customHeight="1">
      <c r="A32" s="1106" t="s">
        <v>137</v>
      </c>
      <c r="B32" s="506" t="s">
        <v>14</v>
      </c>
      <c r="C32" s="51">
        <v>12905</v>
      </c>
      <c r="D32" s="236">
        <v>0</v>
      </c>
      <c r="E32" s="236">
        <f t="shared" si="22"/>
        <v>12905</v>
      </c>
      <c r="F32" s="236">
        <f>E32-G32</f>
        <v>12905</v>
      </c>
      <c r="G32" s="236">
        <v>0</v>
      </c>
      <c r="H32" s="1424">
        <v>4084.6907849999998</v>
      </c>
      <c r="I32" s="1107"/>
      <c r="J32" s="252"/>
      <c r="K32" s="252">
        <f t="shared" si="23"/>
        <v>4084.6907849999998</v>
      </c>
      <c r="L32" s="810">
        <f>K32-M32</f>
        <v>4084.6907849999998</v>
      </c>
      <c r="M32" s="252">
        <v>0</v>
      </c>
      <c r="N32" s="183">
        <f>'[3]Phụ lục số 5'!C11</f>
        <v>3730</v>
      </c>
      <c r="O32" s="1498"/>
      <c r="P32" s="183"/>
      <c r="Q32" s="183">
        <f t="shared" si="24"/>
        <v>3730</v>
      </c>
      <c r="R32" s="1502">
        <f>Q32-S32</f>
        <v>3730</v>
      </c>
      <c r="S32" s="183"/>
      <c r="T32" s="183">
        <f>'Phụ lục số 1'!T32</f>
        <v>4950.2</v>
      </c>
      <c r="U32" s="1499">
        <f t="shared" ref="U32:U34" si="38">T32/N32*100</f>
        <v>132.71313672922253</v>
      </c>
      <c r="V32" s="183"/>
      <c r="W32" s="183">
        <f t="shared" si="26"/>
        <v>4950.2</v>
      </c>
      <c r="X32" s="1502">
        <f t="shared" si="27"/>
        <v>4950.2</v>
      </c>
      <c r="Y32" s="183"/>
      <c r="Z32" s="1495">
        <f>'Phụ lục số 1'!AE32</f>
        <v>5970</v>
      </c>
      <c r="AA32" s="1498"/>
      <c r="AB32" s="183"/>
      <c r="AC32" s="183">
        <f t="shared" si="28"/>
        <v>5970</v>
      </c>
      <c r="AD32" s="1502">
        <f t="shared" si="29"/>
        <v>5970</v>
      </c>
      <c r="AE32" s="183"/>
      <c r="AF32" s="183">
        <f>'Phụ lục số 1'!AK32</f>
        <v>8600</v>
      </c>
      <c r="AG32" s="1107"/>
      <c r="AH32" s="51"/>
      <c r="AI32" s="51">
        <f t="shared" si="30"/>
        <v>8600</v>
      </c>
      <c r="AJ32" s="236">
        <f t="shared" si="31"/>
        <v>8600</v>
      </c>
      <c r="AK32" s="51"/>
      <c r="AL32" s="1500">
        <f>'Phụ lục số 1'!AQ32</f>
        <v>9000</v>
      </c>
      <c r="AM32" s="1500"/>
      <c r="AN32" s="1500"/>
      <c r="AO32" s="183">
        <f>AL32-AN32</f>
        <v>9000</v>
      </c>
      <c r="AP32" s="1502">
        <f t="shared" si="33"/>
        <v>9000</v>
      </c>
      <c r="AQ32" s="1500"/>
      <c r="AR32" s="405">
        <f>'[2]5 năm A'!$R$45</f>
        <v>9000</v>
      </c>
      <c r="AS32" s="405"/>
      <c r="AT32" s="405"/>
      <c r="AU32" s="1395">
        <f>AR32-AT32</f>
        <v>9000</v>
      </c>
      <c r="AV32" s="1643">
        <f t="shared" si="34"/>
        <v>9000</v>
      </c>
      <c r="AW32" s="405"/>
      <c r="AX32" s="405">
        <f>'[2]5 năm A'!$S$45</f>
        <v>9000</v>
      </c>
      <c r="AY32" s="405"/>
      <c r="AZ32" s="405"/>
      <c r="BA32" s="1395">
        <f>AX32-AZ32</f>
        <v>9000</v>
      </c>
      <c r="BB32" s="1643">
        <f t="shared" si="35"/>
        <v>9000</v>
      </c>
      <c r="BC32" s="405"/>
      <c r="BD32" s="405">
        <f>'[2]5 năm A'!$T$45</f>
        <v>10000</v>
      </c>
      <c r="BE32" s="405"/>
      <c r="BF32" s="405"/>
      <c r="BG32" s="1395">
        <f>BD32-BF32</f>
        <v>10000</v>
      </c>
      <c r="BH32" s="1643">
        <f t="shared" si="36"/>
        <v>10000</v>
      </c>
      <c r="BI32" s="405"/>
      <c r="BJ32" s="405">
        <f>'[2]5 năm A'!$U$45</f>
        <v>11000</v>
      </c>
      <c r="BK32" s="405"/>
      <c r="BL32" s="405"/>
      <c r="BM32" s="1395">
        <f>BJ32-BL32</f>
        <v>11000</v>
      </c>
      <c r="BN32" s="1643">
        <f t="shared" si="37"/>
        <v>11000</v>
      </c>
      <c r="BO32" s="405"/>
    </row>
    <row r="33" spans="1:67" ht="15.75" customHeight="1">
      <c r="A33" s="1106" t="s">
        <v>137</v>
      </c>
      <c r="B33" s="506" t="s">
        <v>15</v>
      </c>
      <c r="C33" s="51">
        <v>0</v>
      </c>
      <c r="D33" s="236">
        <v>0</v>
      </c>
      <c r="E33" s="236">
        <f t="shared" si="22"/>
        <v>0</v>
      </c>
      <c r="F33" s="236">
        <f>E33-G33</f>
        <v>0</v>
      </c>
      <c r="G33" s="236">
        <f>C33</f>
        <v>0</v>
      </c>
      <c r="H33" s="1424">
        <v>0</v>
      </c>
      <c r="I33" s="1107"/>
      <c r="J33" s="252"/>
      <c r="K33" s="252">
        <f t="shared" si="23"/>
        <v>0</v>
      </c>
      <c r="L33" s="810">
        <f>K33-M33</f>
        <v>0</v>
      </c>
      <c r="M33" s="252">
        <f>H33</f>
        <v>0</v>
      </c>
      <c r="N33" s="183">
        <f>'[3]Phụ lục số 5'!C12</f>
        <v>0</v>
      </c>
      <c r="O33" s="1498"/>
      <c r="P33" s="183"/>
      <c r="Q33" s="183">
        <f t="shared" si="24"/>
        <v>0</v>
      </c>
      <c r="R33" s="1502">
        <f>Q33-S33</f>
        <v>0</v>
      </c>
      <c r="S33" s="183">
        <f>N33</f>
        <v>0</v>
      </c>
      <c r="T33" s="183">
        <f>'Phụ lục số 1'!T33</f>
        <v>150</v>
      </c>
      <c r="U33" s="1499" t="e">
        <f t="shared" si="38"/>
        <v>#DIV/0!</v>
      </c>
      <c r="V33" s="183"/>
      <c r="W33" s="183">
        <f t="shared" si="26"/>
        <v>150</v>
      </c>
      <c r="X33" s="1502">
        <f t="shared" si="27"/>
        <v>0</v>
      </c>
      <c r="Y33" s="183">
        <f>T33</f>
        <v>150</v>
      </c>
      <c r="Z33" s="1495">
        <f>'Phụ lục số 1'!AE33</f>
        <v>1500</v>
      </c>
      <c r="AA33" s="1498"/>
      <c r="AB33" s="183"/>
      <c r="AC33" s="183">
        <f t="shared" si="28"/>
        <v>1500</v>
      </c>
      <c r="AD33" s="1502">
        <f t="shared" si="29"/>
        <v>0</v>
      </c>
      <c r="AE33" s="183">
        <f>Z33</f>
        <v>1500</v>
      </c>
      <c r="AF33" s="183">
        <f>'Phụ lục số 1'!AK33</f>
        <v>0</v>
      </c>
      <c r="AG33" s="1107"/>
      <c r="AH33" s="51"/>
      <c r="AI33" s="51">
        <f t="shared" si="30"/>
        <v>0</v>
      </c>
      <c r="AJ33" s="236">
        <f t="shared" si="31"/>
        <v>0</v>
      </c>
      <c r="AK33" s="51">
        <f>AF33</f>
        <v>0</v>
      </c>
      <c r="AL33" s="1500">
        <f>'Phụ lục số 1'!AQ33</f>
        <v>0</v>
      </c>
      <c r="AM33" s="1500"/>
      <c r="AN33" s="1500"/>
      <c r="AO33" s="1500"/>
      <c r="AP33" s="1500"/>
      <c r="AQ33" s="1500"/>
      <c r="AR33" s="405"/>
      <c r="AS33" s="405"/>
      <c r="AT33" s="405"/>
      <c r="AU33" s="405"/>
      <c r="AV33" s="405"/>
      <c r="AW33" s="405"/>
      <c r="AX33" s="405"/>
      <c r="AY33" s="405"/>
      <c r="AZ33" s="405"/>
      <c r="BA33" s="405"/>
      <c r="BB33" s="405"/>
      <c r="BC33" s="405"/>
      <c r="BD33" s="405"/>
      <c r="BE33" s="405"/>
      <c r="BF33" s="405"/>
      <c r="BG33" s="405"/>
      <c r="BH33" s="405"/>
      <c r="BI33" s="405"/>
      <c r="BJ33" s="405"/>
      <c r="BK33" s="405"/>
      <c r="BL33" s="405"/>
      <c r="BM33" s="405"/>
      <c r="BN33" s="405"/>
      <c r="BO33" s="405"/>
    </row>
    <row r="34" spans="1:67" s="289" customFormat="1">
      <c r="A34" s="1035">
        <v>5</v>
      </c>
      <c r="B34" s="326" t="s">
        <v>16</v>
      </c>
      <c r="C34" s="326">
        <v>220000</v>
      </c>
      <c r="D34" s="1104">
        <v>0</v>
      </c>
      <c r="E34" s="1104">
        <f t="shared" si="22"/>
        <v>220000</v>
      </c>
      <c r="F34" s="1104">
        <v>0</v>
      </c>
      <c r="G34" s="1104">
        <f>E34-F34</f>
        <v>220000</v>
      </c>
      <c r="H34" s="1497">
        <v>368324.93194500002</v>
      </c>
      <c r="I34" s="1105">
        <f>H34/C34*100</f>
        <v>167.42042361136365</v>
      </c>
      <c r="J34" s="328">
        <f>0</f>
        <v>0</v>
      </c>
      <c r="K34" s="328">
        <f t="shared" si="23"/>
        <v>368324.93194500002</v>
      </c>
      <c r="L34" s="328">
        <f t="shared" ref="L34:L41" si="39">K34-M34</f>
        <v>0</v>
      </c>
      <c r="M34" s="328">
        <f>H34</f>
        <v>368324.93194500002</v>
      </c>
      <c r="N34" s="1495">
        <f>'[3]Phụ lục số 5'!C14</f>
        <v>295000</v>
      </c>
      <c r="O34" s="1496">
        <f>N34/H34*100</f>
        <v>80.092324579333876</v>
      </c>
      <c r="P34" s="1495">
        <f>0</f>
        <v>0</v>
      </c>
      <c r="Q34" s="1495">
        <f t="shared" si="24"/>
        <v>295000</v>
      </c>
      <c r="R34" s="1495">
        <f t="shared" ref="R34:R41" si="40">Q34-S34</f>
        <v>0</v>
      </c>
      <c r="S34" s="1495">
        <f>N34</f>
        <v>295000</v>
      </c>
      <c r="T34" s="1495">
        <f>'Phụ lục số 1'!T34</f>
        <v>340000</v>
      </c>
      <c r="U34" s="1496">
        <f t="shared" si="38"/>
        <v>115.2542372881356</v>
      </c>
      <c r="V34" s="1495">
        <f>0</f>
        <v>0</v>
      </c>
      <c r="W34" s="1495">
        <f t="shared" si="26"/>
        <v>340000</v>
      </c>
      <c r="X34" s="1495">
        <f t="shared" si="27"/>
        <v>0</v>
      </c>
      <c r="Y34" s="1495">
        <f>T34</f>
        <v>340000</v>
      </c>
      <c r="Z34" s="1495">
        <f>'Phụ lục số 1'!AE34</f>
        <v>350000</v>
      </c>
      <c r="AA34" s="1496">
        <f>Z34/T34*100</f>
        <v>102.94117647058823</v>
      </c>
      <c r="AB34" s="1495">
        <f>0</f>
        <v>0</v>
      </c>
      <c r="AC34" s="1495">
        <f t="shared" si="28"/>
        <v>350000</v>
      </c>
      <c r="AD34" s="1495">
        <f t="shared" si="29"/>
        <v>0</v>
      </c>
      <c r="AE34" s="1495">
        <f>Z34</f>
        <v>350000</v>
      </c>
      <c r="AF34" s="1495">
        <f>'Phụ lục số 1'!AK34</f>
        <v>436000</v>
      </c>
      <c r="AG34" s="1105">
        <f>AF34/Z34*100</f>
        <v>124.57142857142858</v>
      </c>
      <c r="AH34" s="336">
        <f>0</f>
        <v>0</v>
      </c>
      <c r="AI34" s="336">
        <f t="shared" si="30"/>
        <v>436000</v>
      </c>
      <c r="AJ34" s="336">
        <f t="shared" si="31"/>
        <v>0</v>
      </c>
      <c r="AK34" s="336">
        <f>AF34</f>
        <v>436000</v>
      </c>
      <c r="AL34" s="1503">
        <f>'Phụ lục số 1'!AQ34</f>
        <v>480000</v>
      </c>
      <c r="AM34" s="1504">
        <f>AL34/AF34*100</f>
        <v>110.09174311926606</v>
      </c>
      <c r="AN34" s="1503"/>
      <c r="AO34" s="1495">
        <f>AL34-AN34</f>
        <v>480000</v>
      </c>
      <c r="AP34" s="1505">
        <f t="shared" si="33"/>
        <v>116000</v>
      </c>
      <c r="AQ34" s="1503">
        <v>364000</v>
      </c>
      <c r="AR34" s="1644">
        <f>'[2]5 năm A'!$R$62</f>
        <v>528000</v>
      </c>
      <c r="AS34" s="1645">
        <f>AR34/AL34*100</f>
        <v>110.00000000000001</v>
      </c>
      <c r="AT34" s="1644"/>
      <c r="AU34" s="337">
        <f>AR34-AT34</f>
        <v>528000</v>
      </c>
      <c r="AV34" s="1646">
        <f t="shared" ref="AV34" si="41">AU34-AW34</f>
        <v>128000</v>
      </c>
      <c r="AW34" s="1644">
        <v>400000</v>
      </c>
      <c r="AX34" s="1644">
        <f>'[2]5 năm A'!$S$62</f>
        <v>585000</v>
      </c>
      <c r="AY34" s="1645">
        <f>AX34/AR34*100</f>
        <v>110.79545454545455</v>
      </c>
      <c r="AZ34" s="1644"/>
      <c r="BA34" s="337">
        <f>AX34-AZ34</f>
        <v>585000</v>
      </c>
      <c r="BB34" s="1646">
        <f t="shared" ref="BB34" si="42">BA34-BC34</f>
        <v>0</v>
      </c>
      <c r="BC34" s="1644">
        <f>AX34</f>
        <v>585000</v>
      </c>
      <c r="BD34" s="1644">
        <f>'[2]5 năm A'!$T$62</f>
        <v>650000</v>
      </c>
      <c r="BE34" s="1645">
        <f>BD34/AX34*100</f>
        <v>111.11111111111111</v>
      </c>
      <c r="BF34" s="1644"/>
      <c r="BG34" s="337">
        <f>BD34-BF34</f>
        <v>650000</v>
      </c>
      <c r="BH34" s="1646">
        <f t="shared" ref="BH34" si="43">BG34-BI34</f>
        <v>0</v>
      </c>
      <c r="BI34" s="1644">
        <f>BD34</f>
        <v>650000</v>
      </c>
      <c r="BJ34" s="1644">
        <f>'[2]5 năm A'!$U$62</f>
        <v>730000</v>
      </c>
      <c r="BK34" s="1645">
        <f>BJ34/BD34*100</f>
        <v>112.30769230769231</v>
      </c>
      <c r="BL34" s="1644"/>
      <c r="BM34" s="337">
        <f>BJ34-BL34</f>
        <v>730000</v>
      </c>
      <c r="BN34" s="1646">
        <f t="shared" ref="BN34" si="44">BM34-BO34</f>
        <v>0</v>
      </c>
      <c r="BO34" s="1644">
        <f>BJ34</f>
        <v>730000</v>
      </c>
    </row>
    <row r="35" spans="1:67" s="289" customFormat="1">
      <c r="A35" s="1035">
        <v>6</v>
      </c>
      <c r="B35" s="326" t="s">
        <v>96</v>
      </c>
      <c r="C35" s="696">
        <v>0</v>
      </c>
      <c r="D35" s="1104">
        <v>0</v>
      </c>
      <c r="E35" s="1104">
        <f>C35-D35</f>
        <v>0</v>
      </c>
      <c r="F35" s="1104">
        <v>0</v>
      </c>
      <c r="G35" s="1104">
        <f>E35-F35</f>
        <v>0</v>
      </c>
      <c r="H35" s="1497">
        <v>280.44446699999997</v>
      </c>
      <c r="I35" s="1105"/>
      <c r="J35" s="328">
        <f>0</f>
        <v>0</v>
      </c>
      <c r="K35" s="328">
        <f t="shared" si="23"/>
        <v>280.44446699999997</v>
      </c>
      <c r="L35" s="328">
        <f t="shared" si="39"/>
        <v>0</v>
      </c>
      <c r="M35" s="328">
        <f>H35</f>
        <v>280.44446699999997</v>
      </c>
      <c r="N35" s="1495">
        <f>'[3]Phụ lục số 5'!C15</f>
        <v>0</v>
      </c>
      <c r="O35" s="1496"/>
      <c r="P35" s="1495">
        <f>0</f>
        <v>0</v>
      </c>
      <c r="Q35" s="1495">
        <f t="shared" si="24"/>
        <v>0</v>
      </c>
      <c r="R35" s="1495">
        <f t="shared" si="40"/>
        <v>0</v>
      </c>
      <c r="S35" s="1495"/>
      <c r="T35" s="1495">
        <f>'Phụ lục số 1'!T35</f>
        <v>339.5</v>
      </c>
      <c r="U35" s="1496">
        <f t="shared" ref="U35" si="45">T35/H35*100</f>
        <v>121.05783495454023</v>
      </c>
      <c r="V35" s="1495">
        <f>0</f>
        <v>0</v>
      </c>
      <c r="W35" s="1495">
        <f t="shared" si="26"/>
        <v>339.5</v>
      </c>
      <c r="X35" s="1495">
        <f t="shared" si="27"/>
        <v>0</v>
      </c>
      <c r="Y35" s="1495">
        <f>T35</f>
        <v>339.5</v>
      </c>
      <c r="Z35" s="1495">
        <f>'Phụ lục số 1'!AE35</f>
        <v>0</v>
      </c>
      <c r="AA35" s="1496"/>
      <c r="AB35" s="1495">
        <f>0</f>
        <v>0</v>
      </c>
      <c r="AC35" s="1495">
        <f t="shared" si="28"/>
        <v>0</v>
      </c>
      <c r="AD35" s="1495">
        <f t="shared" si="29"/>
        <v>0</v>
      </c>
      <c r="AE35" s="1495">
        <v>0</v>
      </c>
      <c r="AF35" s="1495">
        <f>'Phụ lục số 1'!AK35</f>
        <v>0</v>
      </c>
      <c r="AG35" s="1105"/>
      <c r="AH35" s="336">
        <f>0</f>
        <v>0</v>
      </c>
      <c r="AI35" s="336">
        <f t="shared" si="30"/>
        <v>0</v>
      </c>
      <c r="AJ35" s="336">
        <f t="shared" si="31"/>
        <v>0</v>
      </c>
      <c r="AK35" s="336">
        <v>0</v>
      </c>
      <c r="AL35" s="1503">
        <f>'Phụ lục số 1'!AQ35</f>
        <v>0</v>
      </c>
      <c r="AM35" s="1503"/>
      <c r="AN35" s="1503"/>
      <c r="AO35" s="1503"/>
      <c r="AP35" s="1503"/>
      <c r="AQ35" s="1503"/>
      <c r="AR35" s="1644"/>
      <c r="AS35" s="1644"/>
      <c r="AT35" s="1644"/>
      <c r="AU35" s="1644"/>
      <c r="AV35" s="1644"/>
      <c r="AW35" s="1644"/>
      <c r="AX35" s="1644"/>
      <c r="AY35" s="1644"/>
      <c r="AZ35" s="1644"/>
      <c r="BA35" s="1644"/>
      <c r="BB35" s="1644"/>
      <c r="BC35" s="1644"/>
      <c r="BD35" s="1644"/>
      <c r="BE35" s="1644"/>
      <c r="BF35" s="1644"/>
      <c r="BG35" s="1644"/>
      <c r="BH35" s="1644"/>
      <c r="BI35" s="1644"/>
      <c r="BJ35" s="1644"/>
      <c r="BK35" s="1644"/>
      <c r="BL35" s="1644"/>
      <c r="BM35" s="1644"/>
      <c r="BN35" s="1644"/>
      <c r="BO35" s="1644"/>
    </row>
    <row r="36" spans="1:67" s="289" customFormat="1">
      <c r="A36" s="1035">
        <v>7</v>
      </c>
      <c r="B36" s="326" t="s">
        <v>119</v>
      </c>
      <c r="C36" s="696">
        <v>8000</v>
      </c>
      <c r="D36" s="1104">
        <v>0</v>
      </c>
      <c r="E36" s="1104">
        <f>C36-D36</f>
        <v>8000</v>
      </c>
      <c r="F36" s="1104">
        <v>0</v>
      </c>
      <c r="G36" s="1104">
        <f>E36-F36</f>
        <v>8000</v>
      </c>
      <c r="H36" s="1497">
        <v>17903.111367000001</v>
      </c>
      <c r="I36" s="1105">
        <f t="shared" ref="I36:I49" si="46">H36/C36*100</f>
        <v>223.78889208750002</v>
      </c>
      <c r="J36" s="328">
        <f>0</f>
        <v>0</v>
      </c>
      <c r="K36" s="328">
        <f t="shared" si="23"/>
        <v>17903.111367000001</v>
      </c>
      <c r="L36" s="328">
        <f t="shared" si="39"/>
        <v>0</v>
      </c>
      <c r="M36" s="328">
        <f>H36</f>
        <v>17903.111367000001</v>
      </c>
      <c r="N36" s="1495">
        <f>'[3]Phụ lục số 5'!C16</f>
        <v>10000</v>
      </c>
      <c r="O36" s="1496">
        <f>N36/H36*100</f>
        <v>55.856212895109117</v>
      </c>
      <c r="P36" s="1495">
        <f>0</f>
        <v>0</v>
      </c>
      <c r="Q36" s="1495">
        <f t="shared" si="24"/>
        <v>10000</v>
      </c>
      <c r="R36" s="1495">
        <f t="shared" si="40"/>
        <v>0</v>
      </c>
      <c r="S36" s="1495">
        <f>N36</f>
        <v>10000</v>
      </c>
      <c r="T36" s="1495">
        <f>'Phụ lục số 1'!T36</f>
        <v>14660.1</v>
      </c>
      <c r="U36" s="1506">
        <f t="shared" ref="U36" si="47">T36/N36*100</f>
        <v>146.601</v>
      </c>
      <c r="V36" s="1495">
        <f>0</f>
        <v>0</v>
      </c>
      <c r="W36" s="1495">
        <f t="shared" si="26"/>
        <v>14660.1</v>
      </c>
      <c r="X36" s="1495">
        <f t="shared" si="27"/>
        <v>0</v>
      </c>
      <c r="Y36" s="1495">
        <f>T36</f>
        <v>14660.1</v>
      </c>
      <c r="Z36" s="1495">
        <f>'Phụ lục số 1'!AE36</f>
        <v>15000</v>
      </c>
      <c r="AA36" s="1496">
        <f>Z36/T36*100</f>
        <v>102.31853807272802</v>
      </c>
      <c r="AB36" s="1495">
        <f>0</f>
        <v>0</v>
      </c>
      <c r="AC36" s="1495">
        <f t="shared" si="28"/>
        <v>15000</v>
      </c>
      <c r="AD36" s="1495">
        <f t="shared" si="29"/>
        <v>0</v>
      </c>
      <c r="AE36" s="1495">
        <f>Z36</f>
        <v>15000</v>
      </c>
      <c r="AF36" s="1495">
        <f>'Phụ lục số 1'!AK36</f>
        <v>12000</v>
      </c>
      <c r="AG36" s="1105">
        <f t="shared" ref="AG36:AG41" si="48">AF36/Z36*100</f>
        <v>80</v>
      </c>
      <c r="AH36" s="336">
        <f>0</f>
        <v>0</v>
      </c>
      <c r="AI36" s="336">
        <f t="shared" si="30"/>
        <v>12000</v>
      </c>
      <c r="AJ36" s="336">
        <f t="shared" si="31"/>
        <v>0</v>
      </c>
      <c r="AK36" s="336">
        <f>AF36</f>
        <v>12000</v>
      </c>
      <c r="AL36" s="1503">
        <f>'Phụ lục số 1'!AQ36</f>
        <v>13000</v>
      </c>
      <c r="AM36" s="1504">
        <f>AL36/AF36*100</f>
        <v>108.33333333333333</v>
      </c>
      <c r="AN36" s="1503"/>
      <c r="AO36" s="1495">
        <f>AL36-AN36</f>
        <v>13000</v>
      </c>
      <c r="AP36" s="1505">
        <f t="shared" ref="AP36" si="49">AO36-AQ36</f>
        <v>3000</v>
      </c>
      <c r="AQ36" s="1503">
        <v>10000</v>
      </c>
      <c r="AR36" s="1644">
        <f>'[2]5 năm A'!$R$65</f>
        <v>14000</v>
      </c>
      <c r="AS36" s="1645">
        <f>AR36/AL36*100</f>
        <v>107.69230769230769</v>
      </c>
      <c r="AT36" s="1644"/>
      <c r="AU36" s="337">
        <f>AR36-AT36</f>
        <v>14000</v>
      </c>
      <c r="AV36" s="1646">
        <f t="shared" ref="AV36" si="50">AU36-AW36</f>
        <v>4000</v>
      </c>
      <c r="AW36" s="1644">
        <v>10000</v>
      </c>
      <c r="AX36" s="1644">
        <f>'[2]5 năm A'!$S$65</f>
        <v>15000</v>
      </c>
      <c r="AY36" s="1645">
        <f>AX36/AR36*100</f>
        <v>107.14285714285714</v>
      </c>
      <c r="AZ36" s="1644"/>
      <c r="BA36" s="337">
        <f>AX36-AZ36</f>
        <v>15000</v>
      </c>
      <c r="BB36" s="1646">
        <f t="shared" ref="BB36" si="51">BA36-BC36</f>
        <v>5000</v>
      </c>
      <c r="BC36" s="1644">
        <v>10000</v>
      </c>
      <c r="BD36" s="1644">
        <f>'[2]5 năm A'!$T$65</f>
        <v>16000</v>
      </c>
      <c r="BE36" s="1645">
        <f>BD36/AX36*100</f>
        <v>106.66666666666667</v>
      </c>
      <c r="BF36" s="1644"/>
      <c r="BG36" s="337">
        <f>BD36-BF36</f>
        <v>16000</v>
      </c>
      <c r="BH36" s="1646">
        <f t="shared" ref="BH36" si="52">BG36-BI36</f>
        <v>6000</v>
      </c>
      <c r="BI36" s="1644">
        <v>10000</v>
      </c>
      <c r="BJ36" s="1644">
        <f>'[2]5 năm A'!$U$65</f>
        <v>17000</v>
      </c>
      <c r="BK36" s="1645">
        <f>BJ36/BD36*100</f>
        <v>106.25</v>
      </c>
      <c r="BL36" s="1644"/>
      <c r="BM36" s="337">
        <f>BJ36-BL36</f>
        <v>17000</v>
      </c>
      <c r="BN36" s="1646">
        <f t="shared" ref="BN36" si="53">BM36-BO36</f>
        <v>7000</v>
      </c>
      <c r="BO36" s="1644">
        <v>10000</v>
      </c>
    </row>
    <row r="37" spans="1:67" s="289" customFormat="1">
      <c r="A37" s="1035">
        <v>8</v>
      </c>
      <c r="B37" s="326" t="s">
        <v>97</v>
      </c>
      <c r="C37" s="696">
        <v>500000</v>
      </c>
      <c r="D37" s="1104">
        <v>0</v>
      </c>
      <c r="E37" s="1104">
        <f>C37-D37</f>
        <v>500000</v>
      </c>
      <c r="F37" s="1104">
        <f>E37-G37</f>
        <v>267500</v>
      </c>
      <c r="G37" s="1104">
        <v>232500</v>
      </c>
      <c r="H37" s="1497">
        <v>711978.18546399998</v>
      </c>
      <c r="I37" s="1105">
        <f>H37/C37*100</f>
        <v>142.39563709279997</v>
      </c>
      <c r="J37" s="328">
        <f>0</f>
        <v>0</v>
      </c>
      <c r="K37" s="328">
        <f t="shared" si="23"/>
        <v>711978.18546399998</v>
      </c>
      <c r="L37" s="328">
        <f t="shared" si="39"/>
        <v>439456.29070299998</v>
      </c>
      <c r="M37" s="328">
        <f>[4]thu!$K$37</f>
        <v>272521.894761</v>
      </c>
      <c r="N37" s="1495">
        <v>600000</v>
      </c>
      <c r="O37" s="1496">
        <f>N37/H37*100</f>
        <v>84.272244887527947</v>
      </c>
      <c r="P37" s="1495">
        <f>0</f>
        <v>0</v>
      </c>
      <c r="Q37" s="1495">
        <f t="shared" si="24"/>
        <v>600000</v>
      </c>
      <c r="R37" s="1495">
        <f>Q37-S37</f>
        <v>290500</v>
      </c>
      <c r="S37" s="1495">
        <f>'[3]Phụ lục số 5'!E13</f>
        <v>309500</v>
      </c>
      <c r="T37" s="1495">
        <f>'Phụ lục số 1'!T37</f>
        <v>710000</v>
      </c>
      <c r="U37" s="1506">
        <f>T37/N37*100</f>
        <v>118.33333333333333</v>
      </c>
      <c r="V37" s="1495">
        <f>0</f>
        <v>0</v>
      </c>
      <c r="W37" s="1495">
        <f t="shared" si="26"/>
        <v>710000</v>
      </c>
      <c r="X37" s="1495">
        <f>W37-Y37</f>
        <v>344000.33333333337</v>
      </c>
      <c r="Y37" s="1495">
        <f>'Phụ lục số 1'!Y37</f>
        <v>365999.66666666663</v>
      </c>
      <c r="Z37" s="1495">
        <f>'Phụ lục số 1'!AE37</f>
        <v>730000</v>
      </c>
      <c r="AA37" s="1496">
        <f t="shared" ref="AA37:AA47" si="54">Z37/T37*100</f>
        <v>102.8169014084507</v>
      </c>
      <c r="AB37" s="1495">
        <f>0</f>
        <v>0</v>
      </c>
      <c r="AC37" s="1495">
        <f t="shared" si="28"/>
        <v>730000</v>
      </c>
      <c r="AD37" s="1495">
        <f>AC37-AE37</f>
        <v>354000</v>
      </c>
      <c r="AE37" s="1495">
        <f>ROUND(Y37*AA37/100,-3)</f>
        <v>376000</v>
      </c>
      <c r="AF37" s="1495">
        <f>'Phụ lục số 1'!AK37</f>
        <v>870000</v>
      </c>
      <c r="AG37" s="1105">
        <f>AF37/Z37*100</f>
        <v>119.17808219178083</v>
      </c>
      <c r="AH37" s="336">
        <f>0</f>
        <v>0</v>
      </c>
      <c r="AI37" s="336">
        <f t="shared" si="30"/>
        <v>870000</v>
      </c>
      <c r="AJ37" s="336">
        <f>AI37-AK37</f>
        <v>485999.57534246572</v>
      </c>
      <c r="AK37" s="336">
        <f>'Phụ lục số 1'!AP37</f>
        <v>384000.42465753428</v>
      </c>
      <c r="AL37" s="1503">
        <f>'Phụ lục số 1'!AQ37</f>
        <v>940000</v>
      </c>
      <c r="AM37" s="1504">
        <f>AL37/AF37*100</f>
        <v>108.04597701149426</v>
      </c>
      <c r="AN37" s="1503"/>
      <c r="AO37" s="1495">
        <f t="shared" ref="AO37:AO38" si="55">AL37-AN37</f>
        <v>940000</v>
      </c>
      <c r="AP37" s="1495">
        <f>AO37-AQ37</f>
        <v>525000</v>
      </c>
      <c r="AQ37" s="1495">
        <f>ROUND(AK37*AM37/100,-3)</f>
        <v>415000</v>
      </c>
      <c r="AR37" s="1644">
        <f>'[2]5 năm A'!$R$60</f>
        <v>1040000</v>
      </c>
      <c r="AS37" s="1645">
        <f>AR37/AL37*100</f>
        <v>110.63829787234043</v>
      </c>
      <c r="AT37" s="1644"/>
      <c r="AU37" s="337">
        <f t="shared" ref="AU37:AU38" si="56">AR37-AT37</f>
        <v>1040000</v>
      </c>
      <c r="AV37" s="337">
        <f>AU37-AW37</f>
        <v>581000</v>
      </c>
      <c r="AW37" s="337">
        <f>ROUND(AQ37*AS37/100,-3)</f>
        <v>459000</v>
      </c>
      <c r="AX37" s="1644">
        <f>'[2]5 năm A'!$S$60</f>
        <v>1150000</v>
      </c>
      <c r="AY37" s="1645">
        <f>AX37/AR37*100</f>
        <v>110.57692307692308</v>
      </c>
      <c r="AZ37" s="1644"/>
      <c r="BA37" s="337">
        <f t="shared" ref="BA37:BA38" si="57">AX37-AZ37</f>
        <v>1150000</v>
      </c>
      <c r="BB37" s="337">
        <f>BA37-BC37</f>
        <v>642000</v>
      </c>
      <c r="BC37" s="337">
        <f>ROUND(AW37*AY37/100,-3)</f>
        <v>508000</v>
      </c>
      <c r="BD37" s="1644">
        <f>'[2]5 năm A'!$T$60</f>
        <v>1270000</v>
      </c>
      <c r="BE37" s="1645">
        <f>BD37/AX37*100</f>
        <v>110.43478260869566</v>
      </c>
      <c r="BF37" s="1644"/>
      <c r="BG37" s="337">
        <f t="shared" ref="BG37:BG38" si="58">BD37-BF37</f>
        <v>1270000</v>
      </c>
      <c r="BH37" s="337">
        <f>BG37-BI37</f>
        <v>709000</v>
      </c>
      <c r="BI37" s="337">
        <f>ROUND(BC37*BE37/100,-3)</f>
        <v>561000</v>
      </c>
      <c r="BJ37" s="1647">
        <f>'[2]5 năm A'!$U$60</f>
        <v>1420000</v>
      </c>
      <c r="BK37" s="1645">
        <f>BJ37/BD37*100</f>
        <v>111.81102362204724</v>
      </c>
      <c r="BL37" s="1644"/>
      <c r="BM37" s="337">
        <f t="shared" ref="BM37:BM38" si="59">BJ37-BL37</f>
        <v>1420000</v>
      </c>
      <c r="BN37" s="337">
        <f>BM37-BO37</f>
        <v>793000</v>
      </c>
      <c r="BO37" s="337">
        <f>ROUND(BI37*BK37/100,-3)</f>
        <v>627000</v>
      </c>
    </row>
    <row r="38" spans="1:67" s="289" customFormat="1">
      <c r="A38" s="1035">
        <v>9</v>
      </c>
      <c r="B38" s="326" t="s">
        <v>1288</v>
      </c>
      <c r="C38" s="1108">
        <v>1527000</v>
      </c>
      <c r="D38" s="1109">
        <f>INT(ROUND(C38*52%,-3))</f>
        <v>794000</v>
      </c>
      <c r="E38" s="1104">
        <f>C38-D38</f>
        <v>733000</v>
      </c>
      <c r="F38" s="1104">
        <f>E38-G38</f>
        <v>733000</v>
      </c>
      <c r="G38" s="1104">
        <v>0</v>
      </c>
      <c r="H38" s="1497">
        <v>926612.70443099993</v>
      </c>
      <c r="I38" s="1105">
        <f t="shared" si="46"/>
        <v>60.681905987622784</v>
      </c>
      <c r="J38" s="328">
        <f>INT(ROUND(H38*52%,-3))</f>
        <v>482000</v>
      </c>
      <c r="K38" s="328">
        <f t="shared" si="23"/>
        <v>444612.70443099993</v>
      </c>
      <c r="L38" s="328">
        <f t="shared" si="39"/>
        <v>444612.70443099993</v>
      </c>
      <c r="M38" s="328">
        <v>0</v>
      </c>
      <c r="N38" s="1495">
        <v>1500000</v>
      </c>
      <c r="O38" s="1496">
        <f>N38/H38*100</f>
        <v>161.87993029095117</v>
      </c>
      <c r="P38" s="1495">
        <f>INT(ROUND(N38*40%,-3))</f>
        <v>600000</v>
      </c>
      <c r="Q38" s="1495">
        <f t="shared" si="24"/>
        <v>900000</v>
      </c>
      <c r="R38" s="1495">
        <f t="shared" si="40"/>
        <v>900000</v>
      </c>
      <c r="S38" s="1495">
        <v>0</v>
      </c>
      <c r="T38" s="1495">
        <f>'Phụ lục số 1'!T38</f>
        <v>980000</v>
      </c>
      <c r="U38" s="1496">
        <f>T38/N38*100</f>
        <v>65.333333333333329</v>
      </c>
      <c r="V38" s="1495">
        <f>ROUND(T38*40%,-3)</f>
        <v>392000</v>
      </c>
      <c r="W38" s="1495">
        <f t="shared" si="26"/>
        <v>588000</v>
      </c>
      <c r="X38" s="1495">
        <f>W38-Y38</f>
        <v>588000</v>
      </c>
      <c r="Y38" s="1495">
        <v>0</v>
      </c>
      <c r="Z38" s="1495">
        <f>'Phụ lục số 1'!AE38</f>
        <v>1065000</v>
      </c>
      <c r="AA38" s="1496">
        <f t="shared" si="54"/>
        <v>108.67346938775511</v>
      </c>
      <c r="AB38" s="1495">
        <f>ROUND(Z38*40%,-3)</f>
        <v>426000</v>
      </c>
      <c r="AC38" s="1495">
        <f t="shared" si="28"/>
        <v>639000</v>
      </c>
      <c r="AD38" s="1495">
        <f>AC38-AE38</f>
        <v>639000</v>
      </c>
      <c r="AE38" s="1495">
        <v>0</v>
      </c>
      <c r="AF38" s="1495">
        <f>'Phụ lục số 1'!AK38</f>
        <v>1750000</v>
      </c>
      <c r="AG38" s="1105">
        <f t="shared" si="48"/>
        <v>164.31924882629107</v>
      </c>
      <c r="AH38" s="336">
        <f>'Phụ lục số 1'!AM38</f>
        <v>700000</v>
      </c>
      <c r="AI38" s="336">
        <f t="shared" si="30"/>
        <v>1050000</v>
      </c>
      <c r="AJ38" s="336">
        <f>AI38-AK38</f>
        <v>1050000</v>
      </c>
      <c r="AK38" s="336">
        <v>0</v>
      </c>
      <c r="AL38" s="1503">
        <f>'Phụ lục số 1'!AQ38</f>
        <v>1900000</v>
      </c>
      <c r="AM38" s="1504">
        <f>AL38/AF38*100</f>
        <v>108.57142857142857</v>
      </c>
      <c r="AN38" s="1495">
        <f>'Phụ lục số 1'!AS38</f>
        <v>760000</v>
      </c>
      <c r="AO38" s="1495">
        <f t="shared" si="55"/>
        <v>1140000</v>
      </c>
      <c r="AP38" s="1495">
        <f>AO38-AQ38</f>
        <v>1140000</v>
      </c>
      <c r="AQ38" s="1495">
        <v>0</v>
      </c>
      <c r="AR38" s="1644">
        <f>'[2]5 năm A'!$R$61</f>
        <v>2100000</v>
      </c>
      <c r="AS38" s="1645">
        <f>AR38/AL38*100</f>
        <v>110.5263157894737</v>
      </c>
      <c r="AT38" s="337">
        <f>ROUND(AR38*40%,-3)</f>
        <v>840000</v>
      </c>
      <c r="AU38" s="337">
        <f t="shared" si="56"/>
        <v>1260000</v>
      </c>
      <c r="AV38" s="337">
        <f>AU38-AW38</f>
        <v>1260000</v>
      </c>
      <c r="AW38" s="337">
        <v>0</v>
      </c>
      <c r="AX38" s="1647">
        <f>'[2]5 năm A'!$S$61</f>
        <v>2300000</v>
      </c>
      <c r="AY38" s="1645">
        <f>AX38/AR38*100</f>
        <v>109.52380952380953</v>
      </c>
      <c r="AZ38" s="337">
        <f>ROUND(AX38*40%,-3)</f>
        <v>920000</v>
      </c>
      <c r="BA38" s="337">
        <f t="shared" si="57"/>
        <v>1380000</v>
      </c>
      <c r="BB38" s="337">
        <f>BA38-BC38</f>
        <v>1380000</v>
      </c>
      <c r="BC38" s="337">
        <v>0</v>
      </c>
      <c r="BD38" s="1647">
        <f>'[2]5 năm A'!$T$61</f>
        <v>2500000</v>
      </c>
      <c r="BE38" s="1645">
        <f>BD38/AX38*100</f>
        <v>108.69565217391303</v>
      </c>
      <c r="BF38" s="337">
        <f>ROUND(BD38*40%,-3)</f>
        <v>1000000</v>
      </c>
      <c r="BG38" s="337">
        <f t="shared" si="58"/>
        <v>1500000</v>
      </c>
      <c r="BH38" s="337">
        <f>BG38-BI38</f>
        <v>1500000</v>
      </c>
      <c r="BI38" s="337">
        <v>0</v>
      </c>
      <c r="BJ38" s="1647">
        <f>'[2]5 năm A'!$U$61</f>
        <v>2670000</v>
      </c>
      <c r="BK38" s="1645">
        <f>BJ38/BD38*100</f>
        <v>106.80000000000001</v>
      </c>
      <c r="BL38" s="337">
        <f>ROUND(BJ38*40%,-3)</f>
        <v>1068000</v>
      </c>
      <c r="BM38" s="337">
        <f t="shared" si="59"/>
        <v>1602000</v>
      </c>
      <c r="BN38" s="337">
        <f>BM38-BO38</f>
        <v>1602000</v>
      </c>
      <c r="BO38" s="337">
        <v>0</v>
      </c>
    </row>
    <row r="39" spans="1:67" s="289" customFormat="1">
      <c r="A39" s="1035">
        <v>10</v>
      </c>
      <c r="B39" s="326" t="s">
        <v>17</v>
      </c>
      <c r="C39" s="336">
        <v>160000</v>
      </c>
      <c r="D39" s="336">
        <v>50000</v>
      </c>
      <c r="E39" s="1104">
        <f>C39-D39</f>
        <v>110000</v>
      </c>
      <c r="F39" s="1104">
        <f>E39-G39</f>
        <v>44500</v>
      </c>
      <c r="G39" s="1104">
        <v>65500</v>
      </c>
      <c r="H39" s="1497">
        <v>174909.15649200001</v>
      </c>
      <c r="I39" s="1105">
        <f t="shared" si="46"/>
        <v>109.31822280750001</v>
      </c>
      <c r="J39" s="328">
        <f>[4]thu!$H$39</f>
        <v>54582.791488000003</v>
      </c>
      <c r="K39" s="328">
        <f t="shared" si="23"/>
        <v>120326.36500400001</v>
      </c>
      <c r="L39" s="328">
        <f t="shared" si="39"/>
        <v>60371.203068000003</v>
      </c>
      <c r="M39" s="328">
        <f>[4]thu!$K$39</f>
        <v>59955.161936000004</v>
      </c>
      <c r="N39" s="1495">
        <v>160000</v>
      </c>
      <c r="O39" s="1496">
        <f>N39/H39*100</f>
        <v>91.476057176753969</v>
      </c>
      <c r="P39" s="1495">
        <f>82000</f>
        <v>82000</v>
      </c>
      <c r="Q39" s="1495">
        <f>R39+S39</f>
        <v>78000</v>
      </c>
      <c r="R39" s="1495">
        <f>N39-P39-S39</f>
        <v>18800</v>
      </c>
      <c r="S39" s="1495">
        <f>'[3]Phụ lục số 5'!E17</f>
        <v>59200</v>
      </c>
      <c r="T39" s="1495">
        <f>'Phụ lục số 1'!T39</f>
        <v>160000</v>
      </c>
      <c r="U39" s="1496">
        <f>T39/N39*100</f>
        <v>100</v>
      </c>
      <c r="V39" s="1495">
        <f>'Phụ lục số 1'!V39</f>
        <v>82000</v>
      </c>
      <c r="W39" s="1495">
        <f>X39+Y39</f>
        <v>78000</v>
      </c>
      <c r="X39" s="1495">
        <f>T39-V39-Y39</f>
        <v>19000</v>
      </c>
      <c r="Y39" s="1495">
        <f>'Phụ lục số 1'!Y39</f>
        <v>59000</v>
      </c>
      <c r="Z39" s="1495">
        <f>'Phụ lục số 1'!AE39</f>
        <v>170000</v>
      </c>
      <c r="AA39" s="1496">
        <f t="shared" si="54"/>
        <v>106.25</v>
      </c>
      <c r="AB39" s="1495">
        <f>'Phụ lục số 1'!AG39</f>
        <v>87000</v>
      </c>
      <c r="AC39" s="1495">
        <f>AD39+AE39</f>
        <v>83000</v>
      </c>
      <c r="AD39" s="1495">
        <f>Z39-AB39-AE39</f>
        <v>20600</v>
      </c>
      <c r="AE39" s="1495">
        <f>'Phụ lục số 1'!AJ39</f>
        <v>62400</v>
      </c>
      <c r="AF39" s="1495">
        <f>'Phụ lục số 1'!AK39</f>
        <v>212000</v>
      </c>
      <c r="AG39" s="1105">
        <f t="shared" si="48"/>
        <v>124.70588235294117</v>
      </c>
      <c r="AH39" s="336">
        <f>'Phụ lục số 1'!AM39</f>
        <v>108400.11764705881</v>
      </c>
      <c r="AI39" s="336">
        <f>AJ39+AK39</f>
        <v>103599.88235294119</v>
      </c>
      <c r="AJ39" s="336">
        <f>AF39-AH39-AK39</f>
        <v>25799.911764705888</v>
      </c>
      <c r="AK39" s="336">
        <f>'Phụ lục số 1'!AP39</f>
        <v>77799.970588235301</v>
      </c>
      <c r="AL39" s="1503">
        <f>'Phụ lục số 1'!AQ39</f>
        <v>226000</v>
      </c>
      <c r="AM39" s="1507">
        <f>AL39/AF39*100</f>
        <v>106.60377358490567</v>
      </c>
      <c r="AN39" s="1495">
        <f>'Phụ lục số 1'!AS39</f>
        <v>115499.61598224194</v>
      </c>
      <c r="AO39" s="1495">
        <f>AP39+AQ39</f>
        <v>110500.38401775806</v>
      </c>
      <c r="AP39" s="1495">
        <f>AL39-AN39-AQ39</f>
        <v>27600.6795227525</v>
      </c>
      <c r="AQ39" s="1495">
        <f>'Phụ lục số 1'!AV39</f>
        <v>82899.704495005557</v>
      </c>
      <c r="AR39" s="1644">
        <f>'[2]5 năm A'!$R$63</f>
        <v>245000</v>
      </c>
      <c r="AS39" s="1648">
        <f>AR39/AL39*100</f>
        <v>108.40707964601771</v>
      </c>
      <c r="AT39" s="337">
        <f>ROUND(AN39*AS39/100,-3)</f>
        <v>125000</v>
      </c>
      <c r="AU39" s="337">
        <f>AV39+AW39</f>
        <v>120000</v>
      </c>
      <c r="AV39" s="337">
        <f>AR39-AT39-AW39</f>
        <v>30000</v>
      </c>
      <c r="AW39" s="337">
        <f>ROUND(AQ39*AS39/100,-3)</f>
        <v>90000</v>
      </c>
      <c r="AX39" s="1644">
        <f>'[2]5 năm A'!$S$63</f>
        <v>270000</v>
      </c>
      <c r="AY39" s="1648">
        <f>AX39/AR39*100</f>
        <v>110.20408163265304</v>
      </c>
      <c r="AZ39" s="337">
        <f>ROUND(AT39*AY39/100,-3)</f>
        <v>138000</v>
      </c>
      <c r="BA39" s="337">
        <f>BB39+BC39</f>
        <v>132000</v>
      </c>
      <c r="BB39" s="337">
        <f>AX39-AZ39-BC39</f>
        <v>33000</v>
      </c>
      <c r="BC39" s="337">
        <f>ROUND(AW39*AY39/100,-3)</f>
        <v>99000</v>
      </c>
      <c r="BD39" s="1644">
        <f>'[2]5 năm A'!$T$63</f>
        <v>300000</v>
      </c>
      <c r="BE39" s="1648">
        <f>BD39/AX39*100</f>
        <v>111.11111111111111</v>
      </c>
      <c r="BF39" s="337">
        <f>ROUND(AZ39*BE39/100,-3)</f>
        <v>153000</v>
      </c>
      <c r="BG39" s="337">
        <f>BH39+BI39</f>
        <v>147000</v>
      </c>
      <c r="BH39" s="337">
        <f>BD39-BF39-BI39</f>
        <v>37000</v>
      </c>
      <c r="BI39" s="337">
        <f>ROUND(BC39*BE39/100,-3)</f>
        <v>110000</v>
      </c>
      <c r="BJ39" s="1644">
        <f>'[2]5 năm A'!$U$63</f>
        <v>340000</v>
      </c>
      <c r="BK39" s="1648">
        <f>BJ39/BD39*100</f>
        <v>113.33333333333333</v>
      </c>
      <c r="BL39" s="337">
        <f>ROUND(BF39*BK39/100,-3)</f>
        <v>173000</v>
      </c>
      <c r="BM39" s="337">
        <f>BN39+BO39</f>
        <v>167000</v>
      </c>
      <c r="BN39" s="337">
        <f>BJ39-BL39-BO39</f>
        <v>42000</v>
      </c>
      <c r="BO39" s="337">
        <f>ROUND(BI39*BK39/100,-3)</f>
        <v>125000</v>
      </c>
    </row>
    <row r="40" spans="1:67" s="289" customFormat="1">
      <c r="A40" s="1035">
        <v>11</v>
      </c>
      <c r="B40" s="326" t="s">
        <v>18</v>
      </c>
      <c r="C40" s="336">
        <v>800000</v>
      </c>
      <c r="D40" s="336">
        <v>0</v>
      </c>
      <c r="E40" s="1104">
        <f>F40+G40</f>
        <v>800000</v>
      </c>
      <c r="F40" s="1104">
        <f>C40-G40</f>
        <v>100000</v>
      </c>
      <c r="G40" s="1104">
        <v>700000</v>
      </c>
      <c r="H40" s="1497">
        <v>1029162.981864</v>
      </c>
      <c r="I40" s="1105">
        <f t="shared" si="46"/>
        <v>128.64537273300002</v>
      </c>
      <c r="J40" s="328">
        <f>0</f>
        <v>0</v>
      </c>
      <c r="K40" s="328">
        <f>H40-J40</f>
        <v>1029162.981864</v>
      </c>
      <c r="L40" s="328">
        <f>K40-M40</f>
        <v>129162.98186399997</v>
      </c>
      <c r="M40" s="328">
        <v>900000</v>
      </c>
      <c r="N40" s="1495">
        <f>850000+50000</f>
        <v>900000</v>
      </c>
      <c r="O40" s="1496">
        <f t="shared" ref="O40:O51" si="60">N40/H40*100</f>
        <v>87.449705815296369</v>
      </c>
      <c r="P40" s="1495"/>
      <c r="Q40" s="1495">
        <f>N40-P40</f>
        <v>900000</v>
      </c>
      <c r="R40" s="1495">
        <f>Q40-S40</f>
        <v>100000</v>
      </c>
      <c r="S40" s="1495">
        <f>'[3]Phụ lục số 5'!E24</f>
        <v>800000</v>
      </c>
      <c r="T40" s="1495">
        <f>'Phụ lục số 1'!T40</f>
        <v>1080000</v>
      </c>
      <c r="U40" s="1506">
        <f t="shared" ref="U40:U42" si="61">T40/N40*100</f>
        <v>120</v>
      </c>
      <c r="V40" s="1495">
        <f>0</f>
        <v>0</v>
      </c>
      <c r="W40" s="1495">
        <f t="shared" ref="W40:W45" si="62">T40-V40</f>
        <v>1080000</v>
      </c>
      <c r="X40" s="1495">
        <f>W40-Y40</f>
        <v>100000</v>
      </c>
      <c r="Y40" s="1495">
        <f>'Phụ lục số 1'!Y40</f>
        <v>980000</v>
      </c>
      <c r="Z40" s="1495">
        <f>'Phụ lục số 1'!AE40</f>
        <v>1770000</v>
      </c>
      <c r="AA40" s="1496">
        <f t="shared" si="54"/>
        <v>163.88888888888889</v>
      </c>
      <c r="AB40" s="1495">
        <f>0</f>
        <v>0</v>
      </c>
      <c r="AC40" s="1495">
        <f t="shared" ref="AC40:AC47" si="63">Z40-AB40</f>
        <v>1770000</v>
      </c>
      <c r="AD40" s="1495">
        <f>AC40-AE40</f>
        <v>627000</v>
      </c>
      <c r="AE40" s="1495">
        <f>'Phụ lục số 1'!AJ40</f>
        <v>1143000</v>
      </c>
      <c r="AF40" s="1495">
        <f>'Phụ lục số 1'!AK40</f>
        <v>1200000</v>
      </c>
      <c r="AG40" s="1105">
        <f t="shared" si="48"/>
        <v>67.796610169491515</v>
      </c>
      <c r="AH40" s="336">
        <f>0</f>
        <v>0</v>
      </c>
      <c r="AI40" s="336">
        <f t="shared" ref="AI40:AI47" si="64">AF40-AH40</f>
        <v>1200000</v>
      </c>
      <c r="AJ40" s="336">
        <f t="shared" ref="AJ40:AJ44" si="65">AI40-AK40</f>
        <v>425099.74576271186</v>
      </c>
      <c r="AK40" s="1497">
        <f>'Phụ lục số 1'!AP40</f>
        <v>774900.25423728814</v>
      </c>
      <c r="AL40" s="1503">
        <f>'Phụ lục số 1'!AQ40</f>
        <v>1260000</v>
      </c>
      <c r="AM40" s="1496">
        <f t="shared" ref="AM40:AM41" si="66">AL40/AF40*100</f>
        <v>105</v>
      </c>
      <c r="AN40" s="1495">
        <f>0</f>
        <v>0</v>
      </c>
      <c r="AO40" s="1495">
        <f t="shared" ref="AO40:AO41" si="67">AL40-AN40</f>
        <v>1260000</v>
      </c>
      <c r="AP40" s="1495">
        <f t="shared" ref="AP40:AP41" si="68">AO40-AQ40</f>
        <v>446399.73305084754</v>
      </c>
      <c r="AQ40" s="1495">
        <f>'Phụ lục số 1'!AV40</f>
        <v>813600.26694915246</v>
      </c>
      <c r="AR40" s="337">
        <f>'[2]5 năm A'!$R$67</f>
        <v>1300000</v>
      </c>
      <c r="AS40" s="1642">
        <f t="shared" ref="AS40:AS41" si="69">AR40/AL40*100</f>
        <v>103.17460317460319</v>
      </c>
      <c r="AT40" s="337">
        <f>0</f>
        <v>0</v>
      </c>
      <c r="AU40" s="337">
        <f t="shared" ref="AU40:AU41" si="70">AR40-AT40</f>
        <v>1300000</v>
      </c>
      <c r="AV40" s="337">
        <f t="shared" ref="AV40:AV41" si="71">AU40-AW40</f>
        <v>461000</v>
      </c>
      <c r="AW40" s="337">
        <f>ROUND(AQ40*AS40/100,-3)</f>
        <v>839000</v>
      </c>
      <c r="AX40" s="337">
        <f>'[2]5 năm A'!$S$67</f>
        <v>1350000</v>
      </c>
      <c r="AY40" s="1642">
        <f t="shared" ref="AY40:AY41" si="72">AX40/AR40*100</f>
        <v>103.84615384615385</v>
      </c>
      <c r="AZ40" s="337">
        <f>0</f>
        <v>0</v>
      </c>
      <c r="BA40" s="337">
        <f t="shared" ref="BA40:BA41" si="73">AX40-AZ40</f>
        <v>1350000</v>
      </c>
      <c r="BB40" s="337">
        <f t="shared" ref="BB40:BB41" si="74">BA40-BC40</f>
        <v>479000</v>
      </c>
      <c r="BC40" s="337">
        <f>ROUND(AW40*AY40/100,-3)</f>
        <v>871000</v>
      </c>
      <c r="BD40" s="337">
        <f>'[2]5 năm A'!$T$67</f>
        <v>1400000</v>
      </c>
      <c r="BE40" s="1642">
        <f t="shared" ref="BE40:BE41" si="75">BD40/AX40*100</f>
        <v>103.7037037037037</v>
      </c>
      <c r="BF40" s="337">
        <f>0</f>
        <v>0</v>
      </c>
      <c r="BG40" s="337">
        <f t="shared" ref="BG40:BG41" si="76">BD40-BF40</f>
        <v>1400000</v>
      </c>
      <c r="BH40" s="337">
        <f t="shared" ref="BH40:BH41" si="77">BG40-BI40</f>
        <v>497000</v>
      </c>
      <c r="BI40" s="337">
        <f>ROUND(BC40*BE40/100,-3)</f>
        <v>903000</v>
      </c>
      <c r="BJ40" s="337">
        <f>'[2]5 năm A'!$U$67</f>
        <v>1450000</v>
      </c>
      <c r="BK40" s="1642">
        <f t="shared" ref="BK40:BK41" si="78">BJ40/BD40*100</f>
        <v>103.57142857142858</v>
      </c>
      <c r="BL40" s="337">
        <f>0</f>
        <v>0</v>
      </c>
      <c r="BM40" s="337">
        <f t="shared" ref="BM40:BM41" si="79">BJ40-BL40</f>
        <v>1450000</v>
      </c>
      <c r="BN40" s="337">
        <f t="shared" ref="BN40:BN41" si="80">BM40-BO40</f>
        <v>515000</v>
      </c>
      <c r="BO40" s="337">
        <f>ROUND(BI40*BK40/100,-3)</f>
        <v>935000</v>
      </c>
    </row>
    <row r="41" spans="1:67" s="289" customFormat="1">
      <c r="A41" s="1035">
        <v>12</v>
      </c>
      <c r="B41" s="326" t="s">
        <v>98</v>
      </c>
      <c r="C41" s="696">
        <v>120000</v>
      </c>
      <c r="D41" s="1104">
        <v>0</v>
      </c>
      <c r="E41" s="1104">
        <f>C41-D41</f>
        <v>120000</v>
      </c>
      <c r="F41" s="1104">
        <f>C41-G41</f>
        <v>1000</v>
      </c>
      <c r="G41" s="696">
        <v>119000</v>
      </c>
      <c r="H41" s="1497">
        <v>237121.31138199999</v>
      </c>
      <c r="I41" s="1105">
        <f t="shared" si="46"/>
        <v>197.60109281833331</v>
      </c>
      <c r="J41" s="328">
        <v>0</v>
      </c>
      <c r="K41" s="328">
        <f t="shared" si="23"/>
        <v>237121.31138199999</v>
      </c>
      <c r="L41" s="328">
        <f t="shared" si="39"/>
        <v>0</v>
      </c>
      <c r="M41" s="328">
        <f>H41</f>
        <v>237121.31138199999</v>
      </c>
      <c r="N41" s="1495">
        <v>115000</v>
      </c>
      <c r="O41" s="1496">
        <f t="shared" si="60"/>
        <v>48.498382254109664</v>
      </c>
      <c r="P41" s="1495">
        <v>0</v>
      </c>
      <c r="Q41" s="1495">
        <f t="shared" si="24"/>
        <v>115000</v>
      </c>
      <c r="R41" s="1495">
        <f t="shared" si="40"/>
        <v>0</v>
      </c>
      <c r="S41" s="1495">
        <f>'[3]Phụ lục số 5'!E21</f>
        <v>115000</v>
      </c>
      <c r="T41" s="1495">
        <f>'Phụ lục số 1'!T41</f>
        <v>125999.8</v>
      </c>
      <c r="U41" s="1506">
        <f t="shared" si="61"/>
        <v>109.56504347826088</v>
      </c>
      <c r="V41" s="1495">
        <v>0</v>
      </c>
      <c r="W41" s="1495">
        <f t="shared" si="62"/>
        <v>125999.8</v>
      </c>
      <c r="X41" s="1495">
        <f t="shared" ref="X41:X45" si="81">W41-Y41</f>
        <v>0</v>
      </c>
      <c r="Y41" s="1495">
        <f>'Phụ lục số 1'!Y41</f>
        <v>125999.8</v>
      </c>
      <c r="Z41" s="1495">
        <f>'Phụ lục số 1'!AE41</f>
        <v>315000</v>
      </c>
      <c r="AA41" s="1496">
        <f t="shared" si="54"/>
        <v>250.0003968260267</v>
      </c>
      <c r="AB41" s="1495">
        <v>0</v>
      </c>
      <c r="AC41" s="1495">
        <f t="shared" si="63"/>
        <v>315000</v>
      </c>
      <c r="AD41" s="1495">
        <f t="shared" ref="AD41:AD45" si="82">AC41-AE41</f>
        <v>0</v>
      </c>
      <c r="AE41" s="1495">
        <f>Z41</f>
        <v>315000</v>
      </c>
      <c r="AF41" s="1495">
        <f>'Phụ lục số 1'!AK41</f>
        <v>184000</v>
      </c>
      <c r="AG41" s="1105">
        <f t="shared" si="48"/>
        <v>58.412698412698418</v>
      </c>
      <c r="AH41" s="336">
        <v>0</v>
      </c>
      <c r="AI41" s="336">
        <f t="shared" si="64"/>
        <v>184000</v>
      </c>
      <c r="AJ41" s="336">
        <f t="shared" si="65"/>
        <v>0</v>
      </c>
      <c r="AK41" s="336">
        <f>AF41</f>
        <v>184000</v>
      </c>
      <c r="AL41" s="1503">
        <f>'Phụ lục số 1'!AQ41</f>
        <v>250000</v>
      </c>
      <c r="AM41" s="1496">
        <f t="shared" si="66"/>
        <v>135.86956521739131</v>
      </c>
      <c r="AN41" s="1495">
        <v>0</v>
      </c>
      <c r="AO41" s="1495">
        <f t="shared" si="67"/>
        <v>250000</v>
      </c>
      <c r="AP41" s="1495">
        <f t="shared" si="68"/>
        <v>0</v>
      </c>
      <c r="AQ41" s="1495">
        <f>AL41</f>
        <v>250000</v>
      </c>
      <c r="AR41" s="337">
        <f>'[2]5 năm A'!$R$66</f>
        <v>300000</v>
      </c>
      <c r="AS41" s="1642">
        <f t="shared" si="69"/>
        <v>120</v>
      </c>
      <c r="AT41" s="337">
        <v>0</v>
      </c>
      <c r="AU41" s="337">
        <f t="shared" si="70"/>
        <v>300000</v>
      </c>
      <c r="AV41" s="337">
        <f t="shared" si="71"/>
        <v>0</v>
      </c>
      <c r="AW41" s="337">
        <f>AR41</f>
        <v>300000</v>
      </c>
      <c r="AX41" s="337">
        <f>'[2]5 năm A'!$S$66</f>
        <v>365000</v>
      </c>
      <c r="AY41" s="1642">
        <f t="shared" si="72"/>
        <v>121.66666666666666</v>
      </c>
      <c r="AZ41" s="337">
        <v>0</v>
      </c>
      <c r="BA41" s="337">
        <f t="shared" si="73"/>
        <v>365000</v>
      </c>
      <c r="BB41" s="337">
        <f t="shared" si="74"/>
        <v>0</v>
      </c>
      <c r="BC41" s="337">
        <f>AX41</f>
        <v>365000</v>
      </c>
      <c r="BD41" s="337">
        <f>'[2]5 năm A'!$T$66</f>
        <v>480000</v>
      </c>
      <c r="BE41" s="1642">
        <f t="shared" si="75"/>
        <v>131.50684931506848</v>
      </c>
      <c r="BF41" s="337">
        <v>0</v>
      </c>
      <c r="BG41" s="337">
        <f t="shared" si="76"/>
        <v>480000</v>
      </c>
      <c r="BH41" s="337">
        <f t="shared" si="77"/>
        <v>0</v>
      </c>
      <c r="BI41" s="337">
        <f>BD41</f>
        <v>480000</v>
      </c>
      <c r="BJ41" s="337">
        <f>'[2]5 năm A'!$U$66</f>
        <v>600000</v>
      </c>
      <c r="BK41" s="1642">
        <f t="shared" si="78"/>
        <v>125</v>
      </c>
      <c r="BL41" s="337">
        <v>0</v>
      </c>
      <c r="BM41" s="337">
        <f t="shared" si="79"/>
        <v>600000</v>
      </c>
      <c r="BN41" s="337">
        <f t="shared" si="80"/>
        <v>0</v>
      </c>
      <c r="BO41" s="337">
        <f>BJ41</f>
        <v>600000</v>
      </c>
    </row>
    <row r="42" spans="1:67" s="289" customFormat="1">
      <c r="A42" s="1035">
        <v>13</v>
      </c>
      <c r="B42" s="326" t="s">
        <v>136</v>
      </c>
      <c r="C42" s="696">
        <v>0</v>
      </c>
      <c r="D42" s="1104">
        <v>0</v>
      </c>
      <c r="E42" s="1104">
        <v>0</v>
      </c>
      <c r="F42" s="1104">
        <v>0</v>
      </c>
      <c r="G42" s="1104">
        <v>0</v>
      </c>
      <c r="H42" s="1497">
        <v>79.078599999999994</v>
      </c>
      <c r="I42" s="1105"/>
      <c r="J42" s="328"/>
      <c r="K42" s="328">
        <f>H42-J42</f>
        <v>79.078599999999994</v>
      </c>
      <c r="L42" s="328">
        <f>K42-M42</f>
        <v>79.078599999999994</v>
      </c>
      <c r="M42" s="328"/>
      <c r="N42" s="1495">
        <v>0</v>
      </c>
      <c r="O42" s="1496">
        <v>0</v>
      </c>
      <c r="P42" s="1495">
        <f>0</f>
        <v>0</v>
      </c>
      <c r="Q42" s="1495">
        <f>N42-P42</f>
        <v>0</v>
      </c>
      <c r="R42" s="1495">
        <f>Q42-S42</f>
        <v>0</v>
      </c>
      <c r="S42" s="1495">
        <v>0</v>
      </c>
      <c r="T42" s="1495">
        <f>'Phụ lục số 1'!T42</f>
        <v>0</v>
      </c>
      <c r="U42" s="1496" t="e">
        <f t="shared" si="61"/>
        <v>#DIV/0!</v>
      </c>
      <c r="V42" s="1495">
        <f>0</f>
        <v>0</v>
      </c>
      <c r="W42" s="1495">
        <f t="shared" si="62"/>
        <v>0</v>
      </c>
      <c r="X42" s="1495">
        <f t="shared" si="81"/>
        <v>0</v>
      </c>
      <c r="Y42" s="1495">
        <v>0</v>
      </c>
      <c r="Z42" s="1495">
        <f>'Phụ lục số 1'!AE42</f>
        <v>0</v>
      </c>
      <c r="AA42" s="1496" t="e">
        <f t="shared" si="54"/>
        <v>#DIV/0!</v>
      </c>
      <c r="AB42" s="1495">
        <f>0</f>
        <v>0</v>
      </c>
      <c r="AC42" s="1495">
        <f t="shared" si="63"/>
        <v>0</v>
      </c>
      <c r="AD42" s="1495">
        <f t="shared" si="82"/>
        <v>0</v>
      </c>
      <c r="AE42" s="1495">
        <v>0</v>
      </c>
      <c r="AF42" s="1495">
        <f>'Phụ lục số 1'!AK42</f>
        <v>0</v>
      </c>
      <c r="AG42" s="1105"/>
      <c r="AH42" s="336">
        <f>0</f>
        <v>0</v>
      </c>
      <c r="AI42" s="336">
        <f t="shared" si="64"/>
        <v>0</v>
      </c>
      <c r="AJ42" s="336">
        <f t="shared" si="65"/>
        <v>0</v>
      </c>
      <c r="AK42" s="336">
        <v>0</v>
      </c>
      <c r="AL42" s="1503">
        <f>'Phụ lục số 1'!AQ42</f>
        <v>0</v>
      </c>
      <c r="AM42" s="1503"/>
      <c r="AN42" s="1503"/>
      <c r="AO42" s="1503"/>
      <c r="AP42" s="1503"/>
      <c r="AQ42" s="1503"/>
      <c r="AR42" s="1644"/>
      <c r="AS42" s="1644"/>
      <c r="AT42" s="1644"/>
      <c r="AU42" s="1644"/>
      <c r="AV42" s="1644"/>
      <c r="AW42" s="1644"/>
      <c r="AX42" s="1644"/>
      <c r="AY42" s="1644"/>
      <c r="AZ42" s="1644"/>
      <c r="BA42" s="1644"/>
      <c r="BB42" s="1644"/>
      <c r="BC42" s="1644"/>
      <c r="BD42" s="1644"/>
      <c r="BE42" s="1644"/>
      <c r="BF42" s="1644"/>
      <c r="BG42" s="1644"/>
      <c r="BH42" s="1644"/>
      <c r="BI42" s="1644"/>
      <c r="BJ42" s="1644"/>
      <c r="BK42" s="1644"/>
      <c r="BL42" s="1644"/>
      <c r="BM42" s="1644"/>
      <c r="BN42" s="1644"/>
      <c r="BO42" s="1644"/>
    </row>
    <row r="43" spans="1:67" s="289" customFormat="1">
      <c r="A43" s="1035">
        <v>14</v>
      </c>
      <c r="B43" s="326" t="s">
        <v>127</v>
      </c>
      <c r="C43" s="336">
        <v>250000</v>
      </c>
      <c r="D43" s="336">
        <v>55000</v>
      </c>
      <c r="E43" s="1104">
        <f>C43-D43</f>
        <v>195000</v>
      </c>
      <c r="F43" s="1104">
        <f>E43-G43</f>
        <v>68000</v>
      </c>
      <c r="G43" s="1104">
        <v>127000</v>
      </c>
      <c r="H43" s="336">
        <f>[5]thu!$G$46</f>
        <v>285472.88611600001</v>
      </c>
      <c r="I43" s="1105">
        <f t="shared" si="46"/>
        <v>114.18915444640001</v>
      </c>
      <c r="J43" s="328">
        <f>[4]thu!$H$46</f>
        <v>84881.407926999993</v>
      </c>
      <c r="K43" s="328">
        <f t="shared" si="23"/>
        <v>200591.47818900002</v>
      </c>
      <c r="L43" s="328">
        <f>K43-M43</f>
        <v>146851.45037200002</v>
      </c>
      <c r="M43" s="328">
        <f>[4]thu!$J$46</f>
        <v>53740.027817000002</v>
      </c>
      <c r="N43" s="1495">
        <v>250000</v>
      </c>
      <c r="O43" s="1496">
        <f t="shared" si="60"/>
        <v>87.573991141986824</v>
      </c>
      <c r="P43" s="1495">
        <f>54000</f>
        <v>54000</v>
      </c>
      <c r="Q43" s="1495">
        <f>N43-P43</f>
        <v>196000</v>
      </c>
      <c r="R43" s="1495">
        <f>Q43-S43</f>
        <v>66500</v>
      </c>
      <c r="S43" s="1495">
        <f>'[3]Phụ lục số 5'!E27</f>
        <v>129500</v>
      </c>
      <c r="T43" s="1495">
        <f>'Phụ lục số 1'!T43</f>
        <v>350000</v>
      </c>
      <c r="U43" s="1496">
        <f t="shared" ref="U43" si="83">T43/H43*100</f>
        <v>122.60358759878156</v>
      </c>
      <c r="V43" s="1495">
        <f>'Phụ lục số 1'!V43</f>
        <v>75600</v>
      </c>
      <c r="W43" s="1495">
        <f t="shared" si="62"/>
        <v>274400</v>
      </c>
      <c r="X43" s="1495">
        <f t="shared" si="81"/>
        <v>93400</v>
      </c>
      <c r="Y43" s="1495">
        <f>'Phụ lục số 1'!Y43</f>
        <v>181000</v>
      </c>
      <c r="Z43" s="1495">
        <f>'Phụ lục số 1'!AE43</f>
        <v>326000</v>
      </c>
      <c r="AA43" s="1496">
        <f t="shared" si="54"/>
        <v>93.142857142857139</v>
      </c>
      <c r="AB43" s="1495">
        <f>'Phụ lục số 1'!AG43</f>
        <v>68070</v>
      </c>
      <c r="AC43" s="1495">
        <f t="shared" si="63"/>
        <v>257930</v>
      </c>
      <c r="AD43" s="1495">
        <f t="shared" si="82"/>
        <v>112430</v>
      </c>
      <c r="AE43" s="1495">
        <f>'Phụ lục số 1'!AJ43</f>
        <v>145500</v>
      </c>
      <c r="AF43" s="1495">
        <f>'Phụ lục số 1'!AK43</f>
        <v>370000</v>
      </c>
      <c r="AG43" s="1105">
        <f t="shared" ref="AG43:AG51" si="84">AF43/Z43*100</f>
        <v>113.49693251533743</v>
      </c>
      <c r="AH43" s="336">
        <f>ROUND(AB43*AG43/100,-3)</f>
        <v>77000</v>
      </c>
      <c r="AI43" s="336">
        <f t="shared" si="64"/>
        <v>293000</v>
      </c>
      <c r="AJ43" s="336">
        <f t="shared" si="65"/>
        <v>127899.96319018403</v>
      </c>
      <c r="AK43" s="336">
        <f>'Phụ lục số 1'!AP43</f>
        <v>165100.03680981597</v>
      </c>
      <c r="AL43" s="1503">
        <f>'Phụ lục số 1'!AQ43</f>
        <v>400000</v>
      </c>
      <c r="AM43" s="1508">
        <f>AL43/AF43*100</f>
        <v>108.10810810810811</v>
      </c>
      <c r="AN43" s="1495">
        <f>'Phụ lục số 1'!AS43</f>
        <v>83499.850771016427</v>
      </c>
      <c r="AO43" s="1495">
        <f t="shared" ref="AO43:AO45" si="85">AL43-AN43</f>
        <v>316500.14922898356</v>
      </c>
      <c r="AP43" s="1495">
        <f t="shared" ref="AP43:AP45" si="86">AO43-AQ43</f>
        <v>138500.14922898356</v>
      </c>
      <c r="AQ43" s="1495">
        <f>ROUND(AK43*AM43/100,-3)</f>
        <v>178000</v>
      </c>
      <c r="AR43" s="1644">
        <f>'[2]5 năm A'!$R$72</f>
        <v>440000</v>
      </c>
      <c r="AS43" s="1649">
        <f>AR43/AL43*100</f>
        <v>110.00000000000001</v>
      </c>
      <c r="AT43" s="337">
        <f>ROUND(AN43*AS43/100,-3)</f>
        <v>92000</v>
      </c>
      <c r="AU43" s="337">
        <f t="shared" ref="AU43:AU45" si="87">AR43-AT43</f>
        <v>348000</v>
      </c>
      <c r="AV43" s="337">
        <f t="shared" ref="AV43:AV45" si="88">AU43-AW43</f>
        <v>152000</v>
      </c>
      <c r="AW43" s="337">
        <f>ROUND(AQ43*AS43/100,-3)</f>
        <v>196000</v>
      </c>
      <c r="AX43" s="1644">
        <f>'[2]5 năm A'!$S$72</f>
        <v>490000</v>
      </c>
      <c r="AY43" s="1649">
        <f>AX43/AR43*100</f>
        <v>111.36363636363636</v>
      </c>
      <c r="AZ43" s="337">
        <f>ROUND(AT43*AY43/100,-3)</f>
        <v>102000</v>
      </c>
      <c r="BA43" s="337">
        <f t="shared" ref="BA43:BA45" si="89">AX43-AZ43</f>
        <v>388000</v>
      </c>
      <c r="BB43" s="337">
        <f t="shared" ref="BB43:BB45" si="90">BA43-BC43</f>
        <v>170000</v>
      </c>
      <c r="BC43" s="337">
        <f>ROUND(AW43*AY43/100,-3)</f>
        <v>218000</v>
      </c>
      <c r="BD43" s="1644">
        <f>'[2]5 năm A'!$T$72</f>
        <v>541000</v>
      </c>
      <c r="BE43" s="1649">
        <f>BD43/AX43*100</f>
        <v>110.40816326530611</v>
      </c>
      <c r="BF43" s="337">
        <f>ROUND(AZ43*BE43/100,-3)</f>
        <v>113000</v>
      </c>
      <c r="BG43" s="337">
        <f t="shared" ref="BG43:BG45" si="91">BD43-BF43</f>
        <v>428000</v>
      </c>
      <c r="BH43" s="337">
        <f t="shared" ref="BH43:BH45" si="92">BG43-BI43</f>
        <v>187000</v>
      </c>
      <c r="BI43" s="337">
        <f>ROUND(BC43*BE43/100,-3)</f>
        <v>241000</v>
      </c>
      <c r="BJ43" s="1644">
        <f>'[2]5 năm A'!$U$72</f>
        <v>600000</v>
      </c>
      <c r="BK43" s="1649">
        <f>BJ43/BD43*100</f>
        <v>110.90573012939002</v>
      </c>
      <c r="BL43" s="337">
        <f>ROUND(BF43*BK43/100,-3)</f>
        <v>125000</v>
      </c>
      <c r="BM43" s="337">
        <f t="shared" ref="BM43:BM45" si="93">BJ43-BL43</f>
        <v>475000</v>
      </c>
      <c r="BN43" s="337">
        <f t="shared" ref="BN43:BN45" si="94">BM43-BO43</f>
        <v>208000</v>
      </c>
      <c r="BO43" s="337">
        <f>ROUND(BI43*BK43/100,-3)</f>
        <v>267000</v>
      </c>
    </row>
    <row r="44" spans="1:67" s="289" customFormat="1">
      <c r="A44" s="1035">
        <v>15</v>
      </c>
      <c r="B44" s="326" t="s">
        <v>1289</v>
      </c>
      <c r="C44" s="1108">
        <v>18000</v>
      </c>
      <c r="D44" s="336">
        <v>0</v>
      </c>
      <c r="E44" s="1104">
        <f>C44-D44</f>
        <v>18000</v>
      </c>
      <c r="F44" s="1104">
        <f>E44-G44</f>
        <v>18000</v>
      </c>
      <c r="G44" s="1104">
        <v>0</v>
      </c>
      <c r="H44" s="336">
        <f>[5]thu!$G$75</f>
        <v>35466.300600000002</v>
      </c>
      <c r="I44" s="1105"/>
      <c r="J44" s="328">
        <v>0</v>
      </c>
      <c r="K44" s="328">
        <f>H44-J44</f>
        <v>35466.300600000002</v>
      </c>
      <c r="L44" s="328">
        <f>K44-M44</f>
        <v>35466.300600000002</v>
      </c>
      <c r="M44" s="328">
        <v>0</v>
      </c>
      <c r="N44" s="1495">
        <v>22000</v>
      </c>
      <c r="O44" s="1496">
        <f>N44/H44*100</f>
        <v>62.030715433568503</v>
      </c>
      <c r="P44" s="1495">
        <v>0</v>
      </c>
      <c r="Q44" s="1495">
        <f>N44-P44</f>
        <v>22000</v>
      </c>
      <c r="R44" s="1495">
        <f>Q44-S44</f>
        <v>22000</v>
      </c>
      <c r="S44" s="1495">
        <v>0</v>
      </c>
      <c r="T44" s="1495">
        <f>'Phụ lục số 1'!T44</f>
        <v>37000</v>
      </c>
      <c r="U44" s="1506">
        <f t="shared" ref="U44:U50" si="95">T44/N44*100</f>
        <v>168.18181818181819</v>
      </c>
      <c r="V44" s="1495">
        <v>0</v>
      </c>
      <c r="W44" s="1495">
        <f t="shared" si="62"/>
        <v>37000</v>
      </c>
      <c r="X44" s="1495">
        <f t="shared" si="81"/>
        <v>37000</v>
      </c>
      <c r="Y44" s="1495">
        <v>0</v>
      </c>
      <c r="Z44" s="1495">
        <f>'Phụ lục số 1'!AE44</f>
        <v>30000</v>
      </c>
      <c r="AA44" s="1496">
        <f t="shared" si="54"/>
        <v>81.081081081081081</v>
      </c>
      <c r="AB44" s="1495">
        <v>0</v>
      </c>
      <c r="AC44" s="1495">
        <f t="shared" si="63"/>
        <v>30000</v>
      </c>
      <c r="AD44" s="1495">
        <f t="shared" si="82"/>
        <v>30000</v>
      </c>
      <c r="AE44" s="1495">
        <v>0</v>
      </c>
      <c r="AF44" s="1495">
        <f>'Phụ lục số 1'!AK44</f>
        <v>27000</v>
      </c>
      <c r="AG44" s="1105">
        <f t="shared" si="84"/>
        <v>90</v>
      </c>
      <c r="AH44" s="336">
        <v>0</v>
      </c>
      <c r="AI44" s="336">
        <f t="shared" si="64"/>
        <v>27000</v>
      </c>
      <c r="AJ44" s="336">
        <f t="shared" si="65"/>
        <v>27000</v>
      </c>
      <c r="AK44" s="336">
        <v>0</v>
      </c>
      <c r="AL44" s="1503">
        <f>'Phụ lục số 1'!AQ44</f>
        <v>28000</v>
      </c>
      <c r="AM44" s="1508">
        <f t="shared" ref="AM44:AM47" si="96">AL44/AF44*100</f>
        <v>103.7037037037037</v>
      </c>
      <c r="AN44" s="1495">
        <v>0</v>
      </c>
      <c r="AO44" s="1495">
        <f t="shared" si="85"/>
        <v>28000</v>
      </c>
      <c r="AP44" s="1495">
        <f t="shared" si="86"/>
        <v>28000</v>
      </c>
      <c r="AQ44" s="1495">
        <v>0</v>
      </c>
      <c r="AR44" s="1644">
        <f>'[2]5 năm A'!$R$70</f>
        <v>30000</v>
      </c>
      <c r="AS44" s="1649">
        <f t="shared" ref="AS44:AS47" si="97">AR44/AL44*100</f>
        <v>107.14285714285714</v>
      </c>
      <c r="AT44" s="337">
        <v>0</v>
      </c>
      <c r="AU44" s="337">
        <f t="shared" si="87"/>
        <v>30000</v>
      </c>
      <c r="AV44" s="337">
        <f t="shared" si="88"/>
        <v>30000</v>
      </c>
      <c r="AW44" s="337">
        <v>0</v>
      </c>
      <c r="AX44" s="1644">
        <f>'[2]5 năm A'!$S$70</f>
        <v>32000</v>
      </c>
      <c r="AY44" s="1649">
        <f t="shared" ref="AY44:AY47" si="98">AX44/AR44*100</f>
        <v>106.66666666666667</v>
      </c>
      <c r="AZ44" s="337">
        <v>0</v>
      </c>
      <c r="BA44" s="337">
        <f t="shared" si="89"/>
        <v>32000</v>
      </c>
      <c r="BB44" s="337">
        <f t="shared" si="90"/>
        <v>32000</v>
      </c>
      <c r="BC44" s="337">
        <v>0</v>
      </c>
      <c r="BD44" s="1644">
        <f>'[2]5 năm A'!$T$70</f>
        <v>35000</v>
      </c>
      <c r="BE44" s="1649">
        <f t="shared" ref="BE44:BE47" si="99">BD44/AX44*100</f>
        <v>109.375</v>
      </c>
      <c r="BF44" s="337">
        <v>0</v>
      </c>
      <c r="BG44" s="337">
        <f t="shared" si="91"/>
        <v>35000</v>
      </c>
      <c r="BH44" s="337">
        <f t="shared" si="92"/>
        <v>35000</v>
      </c>
      <c r="BI44" s="337">
        <v>0</v>
      </c>
      <c r="BJ44" s="1644">
        <f>'[2]5 năm A'!$U$70</f>
        <v>37000</v>
      </c>
      <c r="BK44" s="1649">
        <f t="shared" ref="BK44:BK47" si="100">BJ44/BD44*100</f>
        <v>105.71428571428572</v>
      </c>
      <c r="BL44" s="337">
        <v>0</v>
      </c>
      <c r="BM44" s="337">
        <f t="shared" si="93"/>
        <v>37000</v>
      </c>
      <c r="BN44" s="337">
        <f t="shared" si="94"/>
        <v>37000</v>
      </c>
      <c r="BO44" s="337">
        <v>0</v>
      </c>
    </row>
    <row r="45" spans="1:67" s="289" customFormat="1">
      <c r="A45" s="1035">
        <v>16</v>
      </c>
      <c r="B45" s="326" t="s">
        <v>1290</v>
      </c>
      <c r="C45" s="336">
        <f>60000+C46</f>
        <v>98777</v>
      </c>
      <c r="D45" s="336"/>
      <c r="E45" s="1104">
        <f>C45-D45</f>
        <v>98777</v>
      </c>
      <c r="F45" s="1104">
        <f>E45-G45</f>
        <v>98777</v>
      </c>
      <c r="G45" s="1104">
        <v>0</v>
      </c>
      <c r="H45" s="336">
        <f>[5]thu!$G$76</f>
        <v>76161.542220000003</v>
      </c>
      <c r="I45" s="1105"/>
      <c r="J45" s="328"/>
      <c r="K45" s="328">
        <f>H45-J45</f>
        <v>76161.542220000003</v>
      </c>
      <c r="L45" s="328">
        <f>K45-M45</f>
        <v>76161.542220000003</v>
      </c>
      <c r="M45" s="328">
        <v>0</v>
      </c>
      <c r="N45" s="1495">
        <f>50000+N46</f>
        <v>50000</v>
      </c>
      <c r="O45" s="1496">
        <f>N45/H45*100</f>
        <v>65.649931110336695</v>
      </c>
      <c r="P45" s="1495"/>
      <c r="Q45" s="1495">
        <f>N45-P45</f>
        <v>50000</v>
      </c>
      <c r="R45" s="1495">
        <f>Q45-S45</f>
        <v>50000</v>
      </c>
      <c r="S45" s="1495">
        <v>0</v>
      </c>
      <c r="T45" s="1495">
        <f>'Phụ lục số 1'!T45</f>
        <v>100000</v>
      </c>
      <c r="U45" s="1506">
        <f t="shared" si="95"/>
        <v>200</v>
      </c>
      <c r="V45" s="1495">
        <v>0</v>
      </c>
      <c r="W45" s="1495">
        <f t="shared" si="62"/>
        <v>100000</v>
      </c>
      <c r="X45" s="1495">
        <f t="shared" si="81"/>
        <v>100000</v>
      </c>
      <c r="Y45" s="1495">
        <v>0</v>
      </c>
      <c r="Z45" s="1495">
        <f>'Phụ lục số 1'!AE45</f>
        <v>37000</v>
      </c>
      <c r="AA45" s="1496">
        <f t="shared" si="54"/>
        <v>37</v>
      </c>
      <c r="AB45" s="1495">
        <v>0</v>
      </c>
      <c r="AC45" s="1495">
        <f t="shared" si="63"/>
        <v>37000</v>
      </c>
      <c r="AD45" s="1495">
        <f t="shared" si="82"/>
        <v>37000</v>
      </c>
      <c r="AE45" s="1495">
        <v>0</v>
      </c>
      <c r="AF45" s="1495">
        <f>'Phụ lục số 1'!AK45</f>
        <v>114000</v>
      </c>
      <c r="AG45" s="1105">
        <f t="shared" si="84"/>
        <v>308.10810810810813</v>
      </c>
      <c r="AH45" s="336">
        <v>0</v>
      </c>
      <c r="AI45" s="336">
        <f t="shared" si="64"/>
        <v>114000</v>
      </c>
      <c r="AJ45" s="336">
        <f>AI45-AK45</f>
        <v>114000</v>
      </c>
      <c r="AK45" s="336">
        <v>0</v>
      </c>
      <c r="AL45" s="1503">
        <f>'Phụ lục số 1'!AQ45</f>
        <v>120000</v>
      </c>
      <c r="AM45" s="1508">
        <f t="shared" si="96"/>
        <v>105.26315789473684</v>
      </c>
      <c r="AN45" s="1495">
        <v>0</v>
      </c>
      <c r="AO45" s="1495">
        <f t="shared" si="85"/>
        <v>120000</v>
      </c>
      <c r="AP45" s="1495">
        <f t="shared" si="86"/>
        <v>120000</v>
      </c>
      <c r="AQ45" s="1495">
        <v>0</v>
      </c>
      <c r="AR45" s="1644">
        <f>'[2]5 năm A'!$R$74</f>
        <v>130000</v>
      </c>
      <c r="AS45" s="1649">
        <f t="shared" si="97"/>
        <v>108.33333333333333</v>
      </c>
      <c r="AT45" s="337">
        <v>0</v>
      </c>
      <c r="AU45" s="337">
        <f t="shared" si="87"/>
        <v>130000</v>
      </c>
      <c r="AV45" s="337">
        <f t="shared" si="88"/>
        <v>130000</v>
      </c>
      <c r="AW45" s="337">
        <v>0</v>
      </c>
      <c r="AX45" s="1644">
        <f>'[2]5 năm A'!$S$74</f>
        <v>140000</v>
      </c>
      <c r="AY45" s="1649">
        <f t="shared" si="98"/>
        <v>107.69230769230769</v>
      </c>
      <c r="AZ45" s="337">
        <v>0</v>
      </c>
      <c r="BA45" s="337">
        <f t="shared" si="89"/>
        <v>140000</v>
      </c>
      <c r="BB45" s="337">
        <f t="shared" si="90"/>
        <v>140000</v>
      </c>
      <c r="BC45" s="337">
        <v>0</v>
      </c>
      <c r="BD45" s="1644">
        <f>'[2]5 năm A'!$T$74</f>
        <v>150000</v>
      </c>
      <c r="BE45" s="1649">
        <f t="shared" si="99"/>
        <v>107.14285714285714</v>
      </c>
      <c r="BF45" s="337">
        <v>0</v>
      </c>
      <c r="BG45" s="337">
        <f t="shared" si="91"/>
        <v>150000</v>
      </c>
      <c r="BH45" s="337">
        <f t="shared" si="92"/>
        <v>150000</v>
      </c>
      <c r="BI45" s="337">
        <v>0</v>
      </c>
      <c r="BJ45" s="1644">
        <f>'[2]5 năm A'!$U$74</f>
        <v>160000</v>
      </c>
      <c r="BK45" s="1649">
        <f t="shared" si="100"/>
        <v>106.66666666666667</v>
      </c>
      <c r="BL45" s="337">
        <v>0</v>
      </c>
      <c r="BM45" s="337">
        <f t="shared" si="93"/>
        <v>160000</v>
      </c>
      <c r="BN45" s="337">
        <f t="shared" si="94"/>
        <v>160000</v>
      </c>
      <c r="BO45" s="337">
        <v>0</v>
      </c>
    </row>
    <row r="46" spans="1:67" s="234" customFormat="1">
      <c r="A46" s="1636" t="s">
        <v>137</v>
      </c>
      <c r="B46" s="494" t="s">
        <v>138</v>
      </c>
      <c r="C46" s="1074">
        <v>38777</v>
      </c>
      <c r="D46" s="1074"/>
      <c r="E46" s="237">
        <f>C46-D46</f>
        <v>38777</v>
      </c>
      <c r="F46" s="237">
        <f>E46-G46</f>
        <v>38777</v>
      </c>
      <c r="G46" s="237">
        <v>0</v>
      </c>
      <c r="H46" s="1074">
        <v>38777</v>
      </c>
      <c r="I46" s="1637"/>
      <c r="J46" s="1056"/>
      <c r="K46" s="1056">
        <f>H46-J46</f>
        <v>38777</v>
      </c>
      <c r="L46" s="1056">
        <f>K46-M46</f>
        <v>38777</v>
      </c>
      <c r="M46" s="1056">
        <v>0</v>
      </c>
      <c r="N46" s="1638">
        <v>0</v>
      </c>
      <c r="O46" s="1639"/>
      <c r="P46" s="1638"/>
      <c r="Q46" s="1638">
        <f>N46-P46</f>
        <v>0</v>
      </c>
      <c r="R46" s="1638">
        <f>Q46-S46</f>
        <v>0</v>
      </c>
      <c r="S46" s="1638">
        <v>0</v>
      </c>
      <c r="T46" s="183">
        <f>'Phụ lục số 1'!T46</f>
        <v>0</v>
      </c>
      <c r="U46" s="1499" t="e">
        <f t="shared" si="95"/>
        <v>#DIV/0!</v>
      </c>
      <c r="V46" s="1638"/>
      <c r="W46" s="1638">
        <f>T46-V46</f>
        <v>0</v>
      </c>
      <c r="X46" s="1638">
        <f>W46-Y46</f>
        <v>0</v>
      </c>
      <c r="Y46" s="1638">
        <v>0</v>
      </c>
      <c r="Z46" s="183">
        <f>'Phụ lục số 1'!AE46</f>
        <v>0</v>
      </c>
      <c r="AA46" s="1498" t="e">
        <f t="shared" si="54"/>
        <v>#DIV/0!</v>
      </c>
      <c r="AB46" s="1638"/>
      <c r="AC46" s="1638">
        <f>Z46-AB46</f>
        <v>0</v>
      </c>
      <c r="AD46" s="1638">
        <f>AC46-AE46</f>
        <v>0</v>
      </c>
      <c r="AE46" s="1638">
        <v>0</v>
      </c>
      <c r="AF46" s="1495">
        <f>'Phụ lục số 1'!AK46</f>
        <v>0</v>
      </c>
      <c r="AG46" s="1637"/>
      <c r="AH46" s="1074"/>
      <c r="AI46" s="1074">
        <f>AF46-AH46</f>
        <v>0</v>
      </c>
      <c r="AJ46" s="1074">
        <f>AI46-AK46</f>
        <v>0</v>
      </c>
      <c r="AK46" s="1074">
        <v>0</v>
      </c>
      <c r="AL46" s="1503">
        <f>'Phụ lục số 1'!AQ46</f>
        <v>0</v>
      </c>
      <c r="AM46" s="1640" t="e">
        <f t="shared" si="96"/>
        <v>#DIV/0!</v>
      </c>
      <c r="AN46" s="1638"/>
      <c r="AO46" s="1638">
        <f>AL46-AN46</f>
        <v>0</v>
      </c>
      <c r="AP46" s="1638">
        <f>AO46-AQ46</f>
        <v>0</v>
      </c>
      <c r="AQ46" s="1638">
        <v>0</v>
      </c>
      <c r="AR46" s="405"/>
      <c r="AS46" s="1650" t="e">
        <f t="shared" si="97"/>
        <v>#DIV/0!</v>
      </c>
      <c r="AT46" s="451"/>
      <c r="AU46" s="451">
        <f>AR46-AT46</f>
        <v>0</v>
      </c>
      <c r="AV46" s="451">
        <f>AU46-AW46</f>
        <v>0</v>
      </c>
      <c r="AW46" s="451">
        <v>0</v>
      </c>
      <c r="AX46" s="405"/>
      <c r="AY46" s="1650" t="e">
        <f t="shared" si="98"/>
        <v>#DIV/0!</v>
      </c>
      <c r="AZ46" s="451"/>
      <c r="BA46" s="451">
        <f>AX46-AZ46</f>
        <v>0</v>
      </c>
      <c r="BB46" s="451">
        <f>BA46-BC46</f>
        <v>0</v>
      </c>
      <c r="BC46" s="451">
        <v>0</v>
      </c>
      <c r="BD46" s="405"/>
      <c r="BE46" s="1650" t="e">
        <f t="shared" si="99"/>
        <v>#DIV/0!</v>
      </c>
      <c r="BF46" s="451"/>
      <c r="BG46" s="451">
        <f>BD46-BF46</f>
        <v>0</v>
      </c>
      <c r="BH46" s="451">
        <f>BG46-BI46</f>
        <v>0</v>
      </c>
      <c r="BI46" s="451">
        <v>0</v>
      </c>
      <c r="BJ46" s="405"/>
      <c r="BK46" s="1650" t="e">
        <f t="shared" si="100"/>
        <v>#DIV/0!</v>
      </c>
      <c r="BL46" s="451"/>
      <c r="BM46" s="451">
        <f>BJ46-BL46</f>
        <v>0</v>
      </c>
      <c r="BN46" s="451">
        <f>BM46-BO46</f>
        <v>0</v>
      </c>
      <c r="BO46" s="451">
        <v>0</v>
      </c>
    </row>
    <row r="47" spans="1:67" s="289" customFormat="1">
      <c r="A47" s="1035">
        <v>17</v>
      </c>
      <c r="B47" s="326" t="s">
        <v>19</v>
      </c>
      <c r="C47" s="696">
        <v>3000</v>
      </c>
      <c r="D47" s="1104">
        <v>0</v>
      </c>
      <c r="E47" s="1104">
        <f>F47+G47</f>
        <v>3000</v>
      </c>
      <c r="F47" s="1104">
        <v>0</v>
      </c>
      <c r="G47" s="1104">
        <f>C47</f>
        <v>3000</v>
      </c>
      <c r="H47" s="336">
        <f>[5]thu!$G$78</f>
        <v>2041.6675579999999</v>
      </c>
      <c r="I47" s="1105">
        <f t="shared" si="46"/>
        <v>68.055585266666668</v>
      </c>
      <c r="J47" s="328">
        <f>0</f>
        <v>0</v>
      </c>
      <c r="K47" s="328">
        <f t="shared" si="23"/>
        <v>2041.6675579999999</v>
      </c>
      <c r="L47" s="328">
        <v>0</v>
      </c>
      <c r="M47" s="328">
        <f>H47</f>
        <v>2041.6675579999999</v>
      </c>
      <c r="N47" s="1495">
        <f>'[3]Phụ lục số 5'!C31</f>
        <v>3000</v>
      </c>
      <c r="O47" s="1496">
        <f t="shared" si="60"/>
        <v>146.93871136096095</v>
      </c>
      <c r="P47" s="1495">
        <f>0</f>
        <v>0</v>
      </c>
      <c r="Q47" s="1495">
        <f t="shared" si="24"/>
        <v>3000</v>
      </c>
      <c r="R47" s="1495">
        <v>0</v>
      </c>
      <c r="S47" s="1495">
        <f>N47</f>
        <v>3000</v>
      </c>
      <c r="T47" s="1495">
        <f>'Phụ lục số 1'!T47</f>
        <v>2000.1</v>
      </c>
      <c r="U47" s="1506">
        <f t="shared" si="95"/>
        <v>66.67</v>
      </c>
      <c r="V47" s="1495">
        <f>0</f>
        <v>0</v>
      </c>
      <c r="W47" s="1495">
        <f t="shared" ref="W47" si="101">T47-V47</f>
        <v>2000.1</v>
      </c>
      <c r="X47" s="1495">
        <v>0</v>
      </c>
      <c r="Y47" s="1495">
        <f>T47</f>
        <v>2000.1</v>
      </c>
      <c r="Z47" s="1495">
        <f>'Phụ lục số 1'!AE47</f>
        <v>2000</v>
      </c>
      <c r="AA47" s="1496">
        <f t="shared" si="54"/>
        <v>99.995000249987513</v>
      </c>
      <c r="AB47" s="1495">
        <f>0</f>
        <v>0</v>
      </c>
      <c r="AC47" s="1495">
        <f t="shared" si="63"/>
        <v>2000</v>
      </c>
      <c r="AD47" s="1495">
        <v>0</v>
      </c>
      <c r="AE47" s="1495">
        <f>Z47</f>
        <v>2000</v>
      </c>
      <c r="AF47" s="1495">
        <f>'Phụ lục số 1'!AK47</f>
        <v>3000</v>
      </c>
      <c r="AG47" s="1105">
        <f t="shared" si="84"/>
        <v>150</v>
      </c>
      <c r="AH47" s="336">
        <f>0</f>
        <v>0</v>
      </c>
      <c r="AI47" s="336">
        <f t="shared" si="64"/>
        <v>3000</v>
      </c>
      <c r="AJ47" s="336">
        <v>0</v>
      </c>
      <c r="AK47" s="336">
        <f>AF47</f>
        <v>3000</v>
      </c>
      <c r="AL47" s="1503">
        <f>'Phụ lục số 1'!AQ47</f>
        <v>3000</v>
      </c>
      <c r="AM47" s="1508">
        <f t="shared" si="96"/>
        <v>100</v>
      </c>
      <c r="AN47" s="1495">
        <f>0</f>
        <v>0</v>
      </c>
      <c r="AO47" s="1495">
        <f t="shared" ref="AO47" si="102">AL47-AN47</f>
        <v>3000</v>
      </c>
      <c r="AP47" s="1495">
        <v>0</v>
      </c>
      <c r="AQ47" s="1495">
        <f>AL47</f>
        <v>3000</v>
      </c>
      <c r="AR47" s="1644">
        <f>'[2]5 năm A'!$R$73</f>
        <v>3000</v>
      </c>
      <c r="AS47" s="1649">
        <f t="shared" si="97"/>
        <v>100</v>
      </c>
      <c r="AT47" s="337">
        <f>0</f>
        <v>0</v>
      </c>
      <c r="AU47" s="337">
        <f t="shared" ref="AU47" si="103">AR47-AT47</f>
        <v>3000</v>
      </c>
      <c r="AV47" s="337">
        <v>0</v>
      </c>
      <c r="AW47" s="337">
        <f>AR47</f>
        <v>3000</v>
      </c>
      <c r="AX47" s="1644">
        <f>'[2]5 năm A'!$S$73</f>
        <v>3000</v>
      </c>
      <c r="AY47" s="1649">
        <f t="shared" si="98"/>
        <v>100</v>
      </c>
      <c r="AZ47" s="337">
        <f>0</f>
        <v>0</v>
      </c>
      <c r="BA47" s="337">
        <f t="shared" ref="BA47" si="104">AX47-AZ47</f>
        <v>3000</v>
      </c>
      <c r="BB47" s="337">
        <v>0</v>
      </c>
      <c r="BC47" s="337">
        <f>AX47</f>
        <v>3000</v>
      </c>
      <c r="BD47" s="1644">
        <f>'[2]5 năm A'!$T$73</f>
        <v>3000</v>
      </c>
      <c r="BE47" s="1649">
        <f t="shared" si="99"/>
        <v>100</v>
      </c>
      <c r="BF47" s="337">
        <f>0</f>
        <v>0</v>
      </c>
      <c r="BG47" s="337">
        <f t="shared" ref="BG47" si="105">BD47-BF47</f>
        <v>3000</v>
      </c>
      <c r="BH47" s="337">
        <v>0</v>
      </c>
      <c r="BI47" s="337">
        <f>BD47</f>
        <v>3000</v>
      </c>
      <c r="BJ47" s="1644">
        <f>'[2]5 năm A'!$U$73</f>
        <v>3000</v>
      </c>
      <c r="BK47" s="1649">
        <f t="shared" si="100"/>
        <v>100</v>
      </c>
      <c r="BL47" s="337">
        <f>0</f>
        <v>0</v>
      </c>
      <c r="BM47" s="337">
        <f t="shared" ref="BM47" si="106">BJ47-BL47</f>
        <v>3000</v>
      </c>
      <c r="BN47" s="337">
        <v>0</v>
      </c>
      <c r="BO47" s="337">
        <f>BJ47</f>
        <v>3000</v>
      </c>
    </row>
    <row r="48" spans="1:67" s="289" customFormat="1">
      <c r="A48" s="1035">
        <v>18</v>
      </c>
      <c r="B48" s="326" t="s">
        <v>101</v>
      </c>
      <c r="C48" s="696">
        <v>1500000</v>
      </c>
      <c r="D48" s="1104"/>
      <c r="E48" s="1104">
        <f>F48+G48</f>
        <v>1500000</v>
      </c>
      <c r="F48" s="1104">
        <f>C48</f>
        <v>1500000</v>
      </c>
      <c r="G48" s="1104">
        <v>0</v>
      </c>
      <c r="H48" s="336">
        <f>[5]thu!$G$79</f>
        <v>1743740.6317860002</v>
      </c>
      <c r="I48" s="1105">
        <f t="shared" si="46"/>
        <v>116.24937545240002</v>
      </c>
      <c r="J48" s="328">
        <v>0</v>
      </c>
      <c r="K48" s="328">
        <f t="shared" si="23"/>
        <v>1743740.6317860002</v>
      </c>
      <c r="L48" s="328">
        <f>H48</f>
        <v>1743740.6317860002</v>
      </c>
      <c r="M48" s="328">
        <v>0</v>
      </c>
      <c r="N48" s="1495">
        <v>1600000</v>
      </c>
      <c r="O48" s="1496">
        <f t="shared" si="60"/>
        <v>91.756765360294665</v>
      </c>
      <c r="P48" s="1495">
        <v>0</v>
      </c>
      <c r="Q48" s="1495">
        <f>SUM(R48:S48)</f>
        <v>1600000</v>
      </c>
      <c r="R48" s="1495">
        <f>N48</f>
        <v>1600000</v>
      </c>
      <c r="S48" s="1495">
        <v>0</v>
      </c>
      <c r="T48" s="1495">
        <f>'Phụ lục số 1'!T48</f>
        <v>1950000</v>
      </c>
      <c r="U48" s="1506">
        <f t="shared" si="95"/>
        <v>121.875</v>
      </c>
      <c r="V48" s="1495">
        <v>0</v>
      </c>
      <c r="W48" s="1495">
        <f>SUM(X48:Y48)</f>
        <v>1950000</v>
      </c>
      <c r="X48" s="1495">
        <f>T48</f>
        <v>1950000</v>
      </c>
      <c r="Y48" s="1495">
        <v>0</v>
      </c>
      <c r="Z48" s="1495">
        <f>'Phụ lục số 1'!AE48</f>
        <v>1950000</v>
      </c>
      <c r="AA48" s="1496">
        <f>Z48/T48*100</f>
        <v>100</v>
      </c>
      <c r="AB48" s="1495">
        <v>0</v>
      </c>
      <c r="AC48" s="1495">
        <f>SUM(AD48:AE48)</f>
        <v>1950000</v>
      </c>
      <c r="AD48" s="1495">
        <f>Z48</f>
        <v>1950000</v>
      </c>
      <c r="AE48" s="1495">
        <v>0</v>
      </c>
      <c r="AF48" s="1495">
        <f>'Phụ lục số 1'!AK48</f>
        <v>2322000</v>
      </c>
      <c r="AG48" s="1105">
        <f t="shared" si="84"/>
        <v>119.07692307692308</v>
      </c>
      <c r="AH48" s="336">
        <v>0</v>
      </c>
      <c r="AI48" s="336">
        <f>SUM(AJ48:AK48)</f>
        <v>2322000</v>
      </c>
      <c r="AJ48" s="336">
        <f>AF48</f>
        <v>2322000</v>
      </c>
      <c r="AK48" s="336">
        <v>0</v>
      </c>
      <c r="AL48" s="1503">
        <f>'Phụ lục số 1'!AQ48</f>
        <v>2500000</v>
      </c>
      <c r="AM48" s="1508">
        <f>AL48/AF48*100</f>
        <v>107.66580534022394</v>
      </c>
      <c r="AN48" s="1495">
        <v>0</v>
      </c>
      <c r="AO48" s="1495">
        <f>SUM(AP48:AQ48)</f>
        <v>2500000</v>
      </c>
      <c r="AP48" s="1495">
        <f>AL48</f>
        <v>2500000</v>
      </c>
      <c r="AQ48" s="1495">
        <v>0</v>
      </c>
      <c r="AR48" s="1644">
        <f>'[2]5 năm A'!$R$69</f>
        <v>2600000</v>
      </c>
      <c r="AS48" s="1649">
        <f>AR48/AL48*100</f>
        <v>104</v>
      </c>
      <c r="AT48" s="337">
        <v>0</v>
      </c>
      <c r="AU48" s="337">
        <f>SUM(AV48:AW48)</f>
        <v>2600000</v>
      </c>
      <c r="AV48" s="337">
        <f>AR48</f>
        <v>2600000</v>
      </c>
      <c r="AW48" s="337">
        <v>0</v>
      </c>
      <c r="AX48" s="1647">
        <f>'[2]5 năm A'!$S$69</f>
        <v>2660000</v>
      </c>
      <c r="AY48" s="1649">
        <f>AX48/AR48*100</f>
        <v>102.30769230769229</v>
      </c>
      <c r="AZ48" s="337">
        <v>0</v>
      </c>
      <c r="BA48" s="337">
        <f>SUM(BB48:BC48)</f>
        <v>2660000</v>
      </c>
      <c r="BB48" s="337">
        <f>AX48</f>
        <v>2660000</v>
      </c>
      <c r="BC48" s="337">
        <v>0</v>
      </c>
      <c r="BD48" s="1647">
        <f>'[2]5 năm A'!$T$69</f>
        <v>2710000</v>
      </c>
      <c r="BE48" s="1649">
        <f>BD48/AX48*100</f>
        <v>101.8796992481203</v>
      </c>
      <c r="BF48" s="337">
        <v>0</v>
      </c>
      <c r="BG48" s="337">
        <f>SUM(BH48:BI48)</f>
        <v>2710000</v>
      </c>
      <c r="BH48" s="337">
        <f>BD48</f>
        <v>2710000</v>
      </c>
      <c r="BI48" s="337">
        <v>0</v>
      </c>
      <c r="BJ48" s="1647">
        <f>'[2]5 năm A'!$U$69</f>
        <v>2810000</v>
      </c>
      <c r="BK48" s="1649">
        <f>BJ48/BD48*100</f>
        <v>103.69003690036899</v>
      </c>
      <c r="BL48" s="337">
        <v>0</v>
      </c>
      <c r="BM48" s="337">
        <f>SUM(BN48:BO48)</f>
        <v>2810000</v>
      </c>
      <c r="BN48" s="337">
        <f>BJ48</f>
        <v>2810000</v>
      </c>
      <c r="BO48" s="337">
        <v>0</v>
      </c>
    </row>
    <row r="49" spans="1:67" s="1511" customFormat="1" ht="18.75" customHeight="1">
      <c r="A49" s="1509" t="s">
        <v>20</v>
      </c>
      <c r="B49" s="593" t="s">
        <v>107</v>
      </c>
      <c r="C49" s="593">
        <f t="shared" ref="C49:G49" si="107">SUM(C50:C51)</f>
        <v>110000</v>
      </c>
      <c r="D49" s="1510">
        <f t="shared" si="107"/>
        <v>110000</v>
      </c>
      <c r="E49" s="1510">
        <f t="shared" si="107"/>
        <v>0</v>
      </c>
      <c r="F49" s="1510">
        <f t="shared" si="107"/>
        <v>0</v>
      </c>
      <c r="G49" s="1510">
        <f t="shared" si="107"/>
        <v>0</v>
      </c>
      <c r="H49" s="1492">
        <f>[5]thu!$G$87</f>
        <v>389783.37025500002</v>
      </c>
      <c r="I49" s="1493">
        <f t="shared" si="46"/>
        <v>354.34851841363638</v>
      </c>
      <c r="J49" s="345">
        <f>H49</f>
        <v>389783.37025500002</v>
      </c>
      <c r="K49" s="345">
        <f>H49-J49</f>
        <v>0</v>
      </c>
      <c r="L49" s="345">
        <f>K49-M49</f>
        <v>0</v>
      </c>
      <c r="M49" s="345">
        <v>0</v>
      </c>
      <c r="N49" s="1492">
        <f>SUM(N50:N51)</f>
        <v>150000</v>
      </c>
      <c r="O49" s="1493">
        <f>N49/H49*100</f>
        <v>38.482914215110966</v>
      </c>
      <c r="P49" s="1492">
        <f>N49</f>
        <v>150000</v>
      </c>
      <c r="Q49" s="1492">
        <f>N49-P49</f>
        <v>0</v>
      </c>
      <c r="R49" s="1492">
        <f>Q49-S49</f>
        <v>0</v>
      </c>
      <c r="S49" s="1492">
        <v>0</v>
      </c>
      <c r="T49" s="1492">
        <f>SUM(T50:T51)</f>
        <v>150745.51999999999</v>
      </c>
      <c r="U49" s="1494">
        <f t="shared" si="95"/>
        <v>100.49701333333331</v>
      </c>
      <c r="V49" s="1492">
        <f>T49</f>
        <v>150745.51999999999</v>
      </c>
      <c r="W49" s="1492">
        <f>T49-V49</f>
        <v>0</v>
      </c>
      <c r="X49" s="1492">
        <f>W49-Y49</f>
        <v>0</v>
      </c>
      <c r="Y49" s="1492">
        <v>0</v>
      </c>
      <c r="Z49" s="1492">
        <f>SUM(Z50:Z51)</f>
        <v>200000</v>
      </c>
      <c r="AA49" s="1493">
        <f t="shared" ref="AA49:AA51" si="108">Z49/N49*100</f>
        <v>133.33333333333331</v>
      </c>
      <c r="AB49" s="1492">
        <f>Z49</f>
        <v>200000</v>
      </c>
      <c r="AC49" s="1492">
        <f>Z49-AB49</f>
        <v>0</v>
      </c>
      <c r="AD49" s="1492">
        <f>AC49-AE49</f>
        <v>0</v>
      </c>
      <c r="AE49" s="1492">
        <v>0</v>
      </c>
      <c r="AF49" s="1492">
        <f>SUM(AF50:AF51)</f>
        <v>162500</v>
      </c>
      <c r="AG49" s="1493">
        <f t="shared" si="84"/>
        <v>81.25</v>
      </c>
      <c r="AH49" s="1492">
        <f>AF49</f>
        <v>162500</v>
      </c>
      <c r="AI49" s="1492">
        <f>AF49-AH49</f>
        <v>0</v>
      </c>
      <c r="AJ49" s="1492">
        <f>AI49-AK49</f>
        <v>0</v>
      </c>
      <c r="AK49" s="1492">
        <v>0</v>
      </c>
      <c r="AL49" s="1492">
        <f>SUM(AL50:AL51)</f>
        <v>169000</v>
      </c>
      <c r="AM49" s="1508">
        <f>AL49/AF49*100</f>
        <v>104</v>
      </c>
      <c r="AN49" s="1492">
        <f>SUM(AN50:AN51)</f>
        <v>169000</v>
      </c>
      <c r="AO49" s="1492">
        <f>SUM(AO50:AO51)</f>
        <v>0</v>
      </c>
      <c r="AP49" s="1492">
        <f>SUM(AP50:AP51)</f>
        <v>0</v>
      </c>
      <c r="AQ49" s="1492">
        <f>SUM(AQ50:AQ51)</f>
        <v>0</v>
      </c>
      <c r="AR49" s="423">
        <f>SUM(AR50:AR51)</f>
        <v>175999.6</v>
      </c>
      <c r="AS49" s="1649">
        <f>AR49/AL49*100</f>
        <v>104.141775147929</v>
      </c>
      <c r="AT49" s="423">
        <f>SUM(AT50:AT51)</f>
        <v>175999.6</v>
      </c>
      <c r="AU49" s="423">
        <f>SUM(AU50:AU51)</f>
        <v>0</v>
      </c>
      <c r="AV49" s="423">
        <f>SUM(AV50:AV51)</f>
        <v>0</v>
      </c>
      <c r="AW49" s="423">
        <f>SUM(AW50:AW51)</f>
        <v>0</v>
      </c>
      <c r="AX49" s="423">
        <f>SUM(AX50:AX51)</f>
        <v>183500.18296000001</v>
      </c>
      <c r="AY49" s="1649">
        <f>AX49/AR49*100</f>
        <v>104.26170454932853</v>
      </c>
      <c r="AZ49" s="423">
        <f>SUM(AZ50:AZ51)</f>
        <v>183500.18296000001</v>
      </c>
      <c r="BA49" s="423">
        <f>SUM(BA50:BA51)</f>
        <v>0</v>
      </c>
      <c r="BB49" s="423">
        <f>SUM(BB50:BB51)</f>
        <v>0</v>
      </c>
      <c r="BC49" s="423">
        <f>SUM(BC50:BC51)</f>
        <v>0</v>
      </c>
      <c r="BD49" s="423">
        <f>SUM(BD50:BD51)</f>
        <v>191499.79093705601</v>
      </c>
      <c r="BE49" s="1649">
        <f>BD49/AX49*100</f>
        <v>104.35945504141529</v>
      </c>
      <c r="BF49" s="423">
        <f>SUM(BF50:BF51)</f>
        <v>191499.79093705601</v>
      </c>
      <c r="BG49" s="423">
        <f>SUM(BG50:BG51)</f>
        <v>0</v>
      </c>
      <c r="BH49" s="423">
        <f>SUM(BH50:BH51)</f>
        <v>0</v>
      </c>
      <c r="BI49" s="423">
        <f>SUM(BI50:BI51)</f>
        <v>0</v>
      </c>
      <c r="BJ49" s="423">
        <f>SUM(BJ50:BJ51)</f>
        <v>199999.78173828649</v>
      </c>
      <c r="BK49" s="1649">
        <f>BJ49/BD49*100</f>
        <v>104.43864233983646</v>
      </c>
      <c r="BL49" s="423">
        <f>SUM(BL50:BL51)</f>
        <v>199999.78173828649</v>
      </c>
      <c r="BM49" s="423">
        <f>SUM(BM50:BM51)</f>
        <v>0</v>
      </c>
      <c r="BN49" s="423">
        <f>SUM(BN50:BN51)</f>
        <v>0</v>
      </c>
      <c r="BO49" s="423">
        <f>SUM(BO50:BO51)</f>
        <v>0</v>
      </c>
    </row>
    <row r="50" spans="1:67" s="553" customFormat="1">
      <c r="A50" s="1512">
        <v>1</v>
      </c>
      <c r="B50" s="495" t="s">
        <v>1291</v>
      </c>
      <c r="C50" s="183">
        <v>40000</v>
      </c>
      <c r="D50" s="1502">
        <f>C50</f>
        <v>40000</v>
      </c>
      <c r="E50" s="1502">
        <v>0</v>
      </c>
      <c r="F50" s="1502">
        <v>0</v>
      </c>
      <c r="G50" s="1502">
        <v>0</v>
      </c>
      <c r="H50" s="183">
        <f>1000+36500</f>
        <v>37500</v>
      </c>
      <c r="I50" s="1498"/>
      <c r="J50" s="1513">
        <f>H50</f>
        <v>37500</v>
      </c>
      <c r="K50" s="1513">
        <v>0</v>
      </c>
      <c r="L50" s="1513">
        <v>0</v>
      </c>
      <c r="M50" s="1513">
        <v>0</v>
      </c>
      <c r="N50" s="183">
        <f>1000+38500</f>
        <v>39500</v>
      </c>
      <c r="O50" s="1498"/>
      <c r="P50" s="183">
        <f>N50</f>
        <v>39500</v>
      </c>
      <c r="Q50" s="183">
        <v>0</v>
      </c>
      <c r="R50" s="183">
        <v>0</v>
      </c>
      <c r="S50" s="183">
        <v>0</v>
      </c>
      <c r="T50" s="183">
        <f>'Phụ lục số 1'!T49</f>
        <v>150745.51999999999</v>
      </c>
      <c r="U50" s="1493">
        <f t="shared" si="95"/>
        <v>381.63422784810126</v>
      </c>
      <c r="V50" s="183">
        <f>T50</f>
        <v>150745.51999999999</v>
      </c>
      <c r="W50" s="183">
        <v>0</v>
      </c>
      <c r="X50" s="183">
        <v>0</v>
      </c>
      <c r="Y50" s="183">
        <v>0</v>
      </c>
      <c r="Z50" s="183">
        <f>'Phụ lục số 1'!AE49</f>
        <v>200000</v>
      </c>
      <c r="AA50" s="1498"/>
      <c r="AB50" s="183">
        <f>Z50</f>
        <v>200000</v>
      </c>
      <c r="AC50" s="183">
        <v>0</v>
      </c>
      <c r="AD50" s="183">
        <v>0</v>
      </c>
      <c r="AE50" s="183">
        <v>0</v>
      </c>
      <c r="AF50" s="183">
        <f>'Phụ lục số 1'!AK49</f>
        <v>162500</v>
      </c>
      <c r="AG50" s="1498"/>
      <c r="AH50" s="183">
        <f>AF50</f>
        <v>162500</v>
      </c>
      <c r="AI50" s="183">
        <v>0</v>
      </c>
      <c r="AJ50" s="183">
        <v>0</v>
      </c>
      <c r="AK50" s="183">
        <v>0</v>
      </c>
      <c r="AL50" s="183">
        <f>'Phụ lục số 1'!AQ49</f>
        <v>169000</v>
      </c>
      <c r="AM50" s="183">
        <v>0</v>
      </c>
      <c r="AN50" s="183">
        <f>AL50</f>
        <v>169000</v>
      </c>
      <c r="AO50" s="183">
        <v>0</v>
      </c>
      <c r="AP50" s="1500"/>
      <c r="AQ50" s="1500"/>
      <c r="AR50" s="1395">
        <f>AL50*1.0414+3</f>
        <v>175999.6</v>
      </c>
      <c r="AS50" s="1395">
        <v>0</v>
      </c>
      <c r="AT50" s="1395">
        <f>AR50</f>
        <v>175999.6</v>
      </c>
      <c r="AU50" s="1395">
        <v>0</v>
      </c>
      <c r="AV50" s="405"/>
      <c r="AW50" s="405"/>
      <c r="AX50" s="1395">
        <f>AR50*1.0426+3</f>
        <v>183500.18296000001</v>
      </c>
      <c r="AY50" s="1395">
        <v>0</v>
      </c>
      <c r="AZ50" s="1395">
        <f>AX50</f>
        <v>183500.18296000001</v>
      </c>
      <c r="BA50" s="1395">
        <v>0</v>
      </c>
      <c r="BB50" s="405"/>
      <c r="BC50" s="405"/>
      <c r="BD50" s="1395">
        <f>AX50*1.0436-1</f>
        <v>191499.79093705601</v>
      </c>
      <c r="BE50" s="1395">
        <v>0</v>
      </c>
      <c r="BF50" s="1395">
        <f>BD50</f>
        <v>191499.79093705601</v>
      </c>
      <c r="BG50" s="1395">
        <v>0</v>
      </c>
      <c r="BH50" s="405"/>
      <c r="BI50" s="405"/>
      <c r="BJ50" s="1395">
        <f>BD50*1.044+74</f>
        <v>199999.78173828649</v>
      </c>
      <c r="BK50" s="1395">
        <v>0</v>
      </c>
      <c r="BL50" s="1395">
        <f>BJ50</f>
        <v>199999.78173828649</v>
      </c>
      <c r="BM50" s="1395">
        <v>0</v>
      </c>
      <c r="BN50" s="405"/>
      <c r="BO50" s="405"/>
    </row>
    <row r="51" spans="1:67" s="553" customFormat="1">
      <c r="A51" s="1512">
        <v>2</v>
      </c>
      <c r="B51" s="495" t="s">
        <v>1292</v>
      </c>
      <c r="C51" s="183">
        <v>70000</v>
      </c>
      <c r="D51" s="1502">
        <f>C51</f>
        <v>70000</v>
      </c>
      <c r="E51" s="1502">
        <v>0</v>
      </c>
      <c r="F51" s="1502">
        <v>0</v>
      </c>
      <c r="G51" s="1502">
        <f>SUM(G52,G53)</f>
        <v>0</v>
      </c>
      <c r="H51" s="183">
        <f>102000+500</f>
        <v>102500</v>
      </c>
      <c r="I51" s="1498"/>
      <c r="J51" s="1513">
        <f>H51</f>
        <v>102500</v>
      </c>
      <c r="K51" s="1513">
        <v>0</v>
      </c>
      <c r="L51" s="1513">
        <v>0</v>
      </c>
      <c r="M51" s="1513">
        <v>0</v>
      </c>
      <c r="N51" s="183">
        <f>110000+500</f>
        <v>110500</v>
      </c>
      <c r="O51" s="1498">
        <f t="shared" si="60"/>
        <v>107.80487804878049</v>
      </c>
      <c r="P51" s="183">
        <f>N51</f>
        <v>110500</v>
      </c>
      <c r="Q51" s="183">
        <v>0</v>
      </c>
      <c r="R51" s="183">
        <v>0</v>
      </c>
      <c r="S51" s="183">
        <v>0</v>
      </c>
      <c r="T51" s="183"/>
      <c r="U51" s="1496">
        <f t="shared" ref="U51" si="109">T51/H51*100</f>
        <v>0</v>
      </c>
      <c r="V51" s="183">
        <f>T51</f>
        <v>0</v>
      </c>
      <c r="W51" s="183">
        <v>0</v>
      </c>
      <c r="X51" s="183">
        <v>0</v>
      </c>
      <c r="Y51" s="183">
        <v>0</v>
      </c>
      <c r="Z51" s="183"/>
      <c r="AA51" s="1498">
        <f t="shared" si="108"/>
        <v>0</v>
      </c>
      <c r="AB51" s="183">
        <f>Z51</f>
        <v>0</v>
      </c>
      <c r="AC51" s="183">
        <v>0</v>
      </c>
      <c r="AD51" s="183">
        <v>0</v>
      </c>
      <c r="AE51" s="183">
        <v>0</v>
      </c>
      <c r="AF51" s="183"/>
      <c r="AG51" s="1498" t="e">
        <f t="shared" si="84"/>
        <v>#DIV/0!</v>
      </c>
      <c r="AH51" s="183">
        <f>AF51</f>
        <v>0</v>
      </c>
      <c r="AI51" s="183">
        <v>0</v>
      </c>
      <c r="AJ51" s="183">
        <v>0</v>
      </c>
      <c r="AK51" s="183">
        <v>0</v>
      </c>
      <c r="AL51" s="183">
        <f>AF51*1.04</f>
        <v>0</v>
      </c>
      <c r="AM51" s="183">
        <v>0</v>
      </c>
      <c r="AN51" s="183">
        <f>AL51</f>
        <v>0</v>
      </c>
      <c r="AO51" s="183">
        <v>0</v>
      </c>
      <c r="AP51" s="1500"/>
      <c r="AQ51" s="1500"/>
      <c r="AR51" s="1395">
        <f>AL51*1.0414</f>
        <v>0</v>
      </c>
      <c r="AS51" s="1395">
        <v>0</v>
      </c>
      <c r="AT51" s="1395">
        <f>AR51</f>
        <v>0</v>
      </c>
      <c r="AU51" s="1395">
        <v>0</v>
      </c>
      <c r="AV51" s="405"/>
      <c r="AW51" s="405"/>
      <c r="AX51" s="1395">
        <f>AR51*1.0426</f>
        <v>0</v>
      </c>
      <c r="AY51" s="1395">
        <v>0</v>
      </c>
      <c r="AZ51" s="1395">
        <f>AX51</f>
        <v>0</v>
      </c>
      <c r="BA51" s="1395">
        <v>0</v>
      </c>
      <c r="BB51" s="405"/>
      <c r="BC51" s="405"/>
      <c r="BD51" s="1395">
        <f>AX51*1.0436</f>
        <v>0</v>
      </c>
      <c r="BE51" s="1395">
        <v>0</v>
      </c>
      <c r="BF51" s="1395">
        <f>BD51</f>
        <v>0</v>
      </c>
      <c r="BG51" s="1395">
        <v>0</v>
      </c>
      <c r="BH51" s="405"/>
      <c r="BI51" s="405"/>
      <c r="BJ51" s="1395">
        <f>BD51*1.044</f>
        <v>0</v>
      </c>
      <c r="BK51" s="1395">
        <v>0</v>
      </c>
      <c r="BL51" s="1395">
        <f>BJ51</f>
        <v>0</v>
      </c>
      <c r="BM51" s="1395">
        <v>0</v>
      </c>
      <c r="BN51" s="405"/>
      <c r="BO51" s="405"/>
    </row>
    <row r="52" spans="1:67" s="228" customFormat="1">
      <c r="A52" s="1034" t="s">
        <v>22</v>
      </c>
      <c r="B52" s="591" t="s">
        <v>23</v>
      </c>
      <c r="C52" s="1042">
        <f t="shared" ref="C52:H52" si="110">SUM(C53:C54)</f>
        <v>8016985</v>
      </c>
      <c r="D52" s="233">
        <f t="shared" si="110"/>
        <v>0</v>
      </c>
      <c r="E52" s="233">
        <f t="shared" si="110"/>
        <v>8016985</v>
      </c>
      <c r="F52" s="233">
        <f>SUM(F53:F54)</f>
        <v>8016985</v>
      </c>
      <c r="G52" s="233">
        <f t="shared" si="110"/>
        <v>0</v>
      </c>
      <c r="H52" s="1042">
        <f t="shared" si="110"/>
        <v>8067081.5071109999</v>
      </c>
      <c r="I52" s="1103">
        <f>H52/C52*100</f>
        <v>100.62487964129907</v>
      </c>
      <c r="J52" s="319">
        <f>SUM(J53:J54)</f>
        <v>0</v>
      </c>
      <c r="K52" s="319">
        <f>SUM(K53:K54)</f>
        <v>8067081.5071109999</v>
      </c>
      <c r="L52" s="319">
        <f>SUM(L53:L54)</f>
        <v>8067081.5071109999</v>
      </c>
      <c r="M52" s="319">
        <f>SUM(M53:M54)</f>
        <v>0</v>
      </c>
      <c r="N52" s="1492">
        <f>SUM(N53:N54)</f>
        <v>9084495</v>
      </c>
      <c r="O52" s="1493"/>
      <c r="P52" s="1492">
        <f>SUM(P53:P54)</f>
        <v>0</v>
      </c>
      <c r="Q52" s="1492">
        <f>SUM(Q53:Q54)</f>
        <v>9084495</v>
      </c>
      <c r="R52" s="1492">
        <f>SUM(R53:R54)</f>
        <v>9084495</v>
      </c>
      <c r="S52" s="1492">
        <f>SUM(S53:S54)</f>
        <v>0</v>
      </c>
      <c r="T52" s="1492">
        <f>SUM(T53:T54)</f>
        <v>9084495</v>
      </c>
      <c r="U52" s="1494">
        <f t="shared" ref="U52:U54" si="111">T52/N52*100</f>
        <v>100</v>
      </c>
      <c r="V52" s="1492">
        <f>SUM(V53:V54)</f>
        <v>0</v>
      </c>
      <c r="W52" s="1492">
        <f>SUM(W53:W54)</f>
        <v>9084495</v>
      </c>
      <c r="X52" s="1492">
        <f>SUM(X53:X54)</f>
        <v>9084495</v>
      </c>
      <c r="Y52" s="1492">
        <f>SUM(Y53:Y54)</f>
        <v>0</v>
      </c>
      <c r="Z52" s="1042">
        <f>SUM(Z53:Z54)</f>
        <v>8476464</v>
      </c>
      <c r="AA52" s="1103"/>
      <c r="AB52" s="1042">
        <f>SUM(AB53:AB54)</f>
        <v>0</v>
      </c>
      <c r="AC52" s="1042">
        <f>SUM(AC53:AC54)</f>
        <v>8476464</v>
      </c>
      <c r="AD52" s="1042">
        <f>SUM(AD53:AD54)</f>
        <v>8476464</v>
      </c>
      <c r="AE52" s="1042">
        <f>SUM(AE53:AE54)</f>
        <v>0</v>
      </c>
      <c r="AF52" s="1042">
        <f>SUM(AF53:AF54)</f>
        <v>8996673.3000000007</v>
      </c>
      <c r="AG52" s="1103"/>
      <c r="AH52" s="1042">
        <f>SUM(AH53:AH54)</f>
        <v>0</v>
      </c>
      <c r="AI52" s="1042">
        <f>SUM(AI53:AI54)</f>
        <v>8996673.3000000007</v>
      </c>
      <c r="AJ52" s="1042">
        <f>SUM(AJ53:AJ54)</f>
        <v>8996673.3000000007</v>
      </c>
      <c r="AK52" s="1042">
        <f>SUM(AK53:AK54)</f>
        <v>0</v>
      </c>
      <c r="AL52" s="1492">
        <f>SUM(AL53:AL54)</f>
        <v>8996673.3000000007</v>
      </c>
      <c r="AM52" s="1493"/>
      <c r="AN52" s="1492">
        <f>SUM(AN53:AN54)</f>
        <v>0</v>
      </c>
      <c r="AO52" s="1492">
        <f>SUM(AO53:AO54)</f>
        <v>8996673.3000000007</v>
      </c>
      <c r="AP52" s="1492">
        <f>SUM(AP53:AP54)</f>
        <v>8996673.3000000007</v>
      </c>
      <c r="AQ52" s="1492">
        <f>SUM(AQ53:AQ54)</f>
        <v>0</v>
      </c>
      <c r="AR52" s="423">
        <f>SUM(AR53:AR54)</f>
        <v>8866973.3000000007</v>
      </c>
      <c r="AS52" s="1641"/>
      <c r="AT52" s="423">
        <f>SUM(AT53:AT54)</f>
        <v>0</v>
      </c>
      <c r="AU52" s="423">
        <f>SUM(AU53:AU54)</f>
        <v>8866973.3000000007</v>
      </c>
      <c r="AV52" s="423">
        <f>SUM(AV53:AV54)</f>
        <v>8866973.3000000007</v>
      </c>
      <c r="AW52" s="423">
        <f>SUM(AW53:AW54)</f>
        <v>0</v>
      </c>
      <c r="AX52" s="423">
        <f>SUM(AX53:AX54)</f>
        <v>8866973.3000000007</v>
      </c>
      <c r="AY52" s="1641"/>
      <c r="AZ52" s="423">
        <f>SUM(AZ53:AZ54)</f>
        <v>0</v>
      </c>
      <c r="BA52" s="423">
        <f>SUM(BA53:BA54)</f>
        <v>8866973.3000000007</v>
      </c>
      <c r="BB52" s="423">
        <f>SUM(BB53:BB54)</f>
        <v>8866973.3000000007</v>
      </c>
      <c r="BC52" s="423">
        <f>SUM(BC53:BC54)</f>
        <v>0</v>
      </c>
      <c r="BD52" s="423">
        <f>SUM(BD53:BD54)</f>
        <v>8866973.3000000007</v>
      </c>
      <c r="BE52" s="1641"/>
      <c r="BF52" s="423">
        <f>SUM(BF53:BF54)</f>
        <v>0</v>
      </c>
      <c r="BG52" s="423">
        <f>SUM(BG53:BG54)</f>
        <v>8866973.3000000007</v>
      </c>
      <c r="BH52" s="423">
        <f>SUM(BH53:BH54)</f>
        <v>8866973.3000000007</v>
      </c>
      <c r="BI52" s="423">
        <f>SUM(BI53:BI54)</f>
        <v>0</v>
      </c>
      <c r="BJ52" s="423">
        <f>SUM(BJ53:BJ54)</f>
        <v>8866973.3000000007</v>
      </c>
      <c r="BK52" s="1641"/>
      <c r="BL52" s="423">
        <f>SUM(BL53:BL54)</f>
        <v>0</v>
      </c>
      <c r="BM52" s="423">
        <f>SUM(BM53:BM54)</f>
        <v>8866973.3000000007</v>
      </c>
      <c r="BN52" s="423">
        <f>SUM(BN53:BN54)</f>
        <v>8866973.3000000007</v>
      </c>
      <c r="BO52" s="423">
        <f>SUM(BO53:BO54)</f>
        <v>0</v>
      </c>
    </row>
    <row r="53" spans="1:67" s="228" customFormat="1">
      <c r="A53" s="1034" t="s">
        <v>9</v>
      </c>
      <c r="B53" s="591" t="s">
        <v>24</v>
      </c>
      <c r="C53" s="1042">
        <v>6803512</v>
      </c>
      <c r="D53" s="233"/>
      <c r="E53" s="233">
        <f>F53+G53</f>
        <v>6803512</v>
      </c>
      <c r="F53" s="233">
        <f>C53</f>
        <v>6803512</v>
      </c>
      <c r="G53" s="233">
        <v>0</v>
      </c>
      <c r="H53" s="1042">
        <f>[5]thu!$J$118</f>
        <v>6803512</v>
      </c>
      <c r="I53" s="1103"/>
      <c r="J53" s="319">
        <v>0</v>
      </c>
      <c r="K53" s="319">
        <f>H53</f>
        <v>6803512</v>
      </c>
      <c r="L53" s="319">
        <f>K53</f>
        <v>6803512</v>
      </c>
      <c r="M53" s="319">
        <v>0</v>
      </c>
      <c r="N53" s="1492">
        <f>Q53</f>
        <v>6487488</v>
      </c>
      <c r="O53" s="1493"/>
      <c r="P53" s="1492">
        <v>0</v>
      </c>
      <c r="Q53" s="1492">
        <f>R53+S53</f>
        <v>6487488</v>
      </c>
      <c r="R53" s="1492">
        <f>INT(13141488-6654000)</f>
        <v>6487488</v>
      </c>
      <c r="S53" s="1492">
        <v>0</v>
      </c>
      <c r="T53" s="1492">
        <f>W53</f>
        <v>6487488</v>
      </c>
      <c r="U53" s="1494">
        <f t="shared" si="111"/>
        <v>100</v>
      </c>
      <c r="V53" s="1492">
        <v>0</v>
      </c>
      <c r="W53" s="1495">
        <f>X53+Y53</f>
        <v>6487488</v>
      </c>
      <c r="X53" s="1492">
        <f>R53</f>
        <v>6487488</v>
      </c>
      <c r="Y53" s="1492">
        <v>0</v>
      </c>
      <c r="Z53" s="1042">
        <f>$N$53</f>
        <v>6487488</v>
      </c>
      <c r="AA53" s="1103"/>
      <c r="AB53" s="1042">
        <v>0</v>
      </c>
      <c r="AC53" s="1042">
        <f>Z53</f>
        <v>6487488</v>
      </c>
      <c r="AD53" s="1042">
        <f>AC53</f>
        <v>6487488</v>
      </c>
      <c r="AE53" s="1042">
        <v>0</v>
      </c>
      <c r="AF53" s="1042">
        <f>'Phụ lục số 1'!AK53</f>
        <v>6617188</v>
      </c>
      <c r="AG53" s="1103"/>
      <c r="AH53" s="1042">
        <v>0</v>
      </c>
      <c r="AI53" s="1042">
        <f>AF53</f>
        <v>6617188</v>
      </c>
      <c r="AJ53" s="1042">
        <f>AI53</f>
        <v>6617188</v>
      </c>
      <c r="AK53" s="1042">
        <v>0</v>
      </c>
      <c r="AL53" s="1492">
        <f>'Phụ lục số 1'!AQ53</f>
        <v>6617188</v>
      </c>
      <c r="AM53" s="1493"/>
      <c r="AN53" s="1492">
        <v>0</v>
      </c>
      <c r="AO53" s="1492">
        <f>AL53</f>
        <v>6617188</v>
      </c>
      <c r="AP53" s="1492">
        <f>AO53</f>
        <v>6617188</v>
      </c>
      <c r="AQ53" s="1492">
        <v>0</v>
      </c>
      <c r="AR53" s="423">
        <f>$N$53</f>
        <v>6487488</v>
      </c>
      <c r="AS53" s="1641"/>
      <c r="AT53" s="423">
        <v>0</v>
      </c>
      <c r="AU53" s="423">
        <f>AR53</f>
        <v>6487488</v>
      </c>
      <c r="AV53" s="423">
        <f>AU53</f>
        <v>6487488</v>
      </c>
      <c r="AW53" s="423">
        <v>0</v>
      </c>
      <c r="AX53" s="423">
        <f>$N$53</f>
        <v>6487488</v>
      </c>
      <c r="AY53" s="1641"/>
      <c r="AZ53" s="423">
        <v>0</v>
      </c>
      <c r="BA53" s="423">
        <f>AX53</f>
        <v>6487488</v>
      </c>
      <c r="BB53" s="423">
        <f>BA53</f>
        <v>6487488</v>
      </c>
      <c r="BC53" s="423">
        <v>0</v>
      </c>
      <c r="BD53" s="423">
        <f>$N$53</f>
        <v>6487488</v>
      </c>
      <c r="BE53" s="1641"/>
      <c r="BF53" s="423">
        <v>0</v>
      </c>
      <c r="BG53" s="423">
        <f>BD53</f>
        <v>6487488</v>
      </c>
      <c r="BH53" s="423">
        <f>BG53</f>
        <v>6487488</v>
      </c>
      <c r="BI53" s="423">
        <v>0</v>
      </c>
      <c r="BJ53" s="423">
        <f>$N$53</f>
        <v>6487488</v>
      </c>
      <c r="BK53" s="1641"/>
      <c r="BL53" s="423">
        <v>0</v>
      </c>
      <c r="BM53" s="423">
        <f>BJ53</f>
        <v>6487488</v>
      </c>
      <c r="BN53" s="423">
        <f>BM53</f>
        <v>6487488</v>
      </c>
      <c r="BO53" s="423">
        <v>0</v>
      </c>
    </row>
    <row r="54" spans="1:67" s="228" customFormat="1">
      <c r="A54" s="1034" t="s">
        <v>20</v>
      </c>
      <c r="B54" s="591" t="s">
        <v>25</v>
      </c>
      <c r="C54" s="1042">
        <f t="shared" ref="C54:H54" si="112">SUM(C55:C56)</f>
        <v>1213473</v>
      </c>
      <c r="D54" s="1042">
        <f t="shared" si="112"/>
        <v>0</v>
      </c>
      <c r="E54" s="1042">
        <f t="shared" si="112"/>
        <v>1213473</v>
      </c>
      <c r="F54" s="1042">
        <f t="shared" si="112"/>
        <v>1213473</v>
      </c>
      <c r="G54" s="1042">
        <f t="shared" si="112"/>
        <v>0</v>
      </c>
      <c r="H54" s="1042">
        <f t="shared" si="112"/>
        <v>1263569.5071109999</v>
      </c>
      <c r="I54" s="1103"/>
      <c r="J54" s="319">
        <f>SUM(J55:J56)</f>
        <v>0</v>
      </c>
      <c r="K54" s="319">
        <f>H54</f>
        <v>1263569.5071109999</v>
      </c>
      <c r="L54" s="319">
        <f>K54</f>
        <v>1263569.5071109999</v>
      </c>
      <c r="M54" s="319">
        <f>SUM(M55:M56)</f>
        <v>0</v>
      </c>
      <c r="N54" s="1492">
        <f>SUM(N55:N56)</f>
        <v>2597007</v>
      </c>
      <c r="O54" s="1493"/>
      <c r="P54" s="1492">
        <f>SUM(P55:P56)</f>
        <v>0</v>
      </c>
      <c r="Q54" s="1492">
        <f>SUM(Q55:Q56)</f>
        <v>2597007</v>
      </c>
      <c r="R54" s="1492">
        <f>SUM(R55:R56)</f>
        <v>2597007</v>
      </c>
      <c r="S54" s="1492">
        <f>SUM(S55:S56)</f>
        <v>0</v>
      </c>
      <c r="T54" s="1492">
        <f>SUM(T55:T56)</f>
        <v>2597007</v>
      </c>
      <c r="U54" s="1493">
        <f t="shared" si="111"/>
        <v>100</v>
      </c>
      <c r="V54" s="1492">
        <f>SUM(V55:V56)</f>
        <v>0</v>
      </c>
      <c r="W54" s="1492">
        <f>SUM(W55:W56)</f>
        <v>2597007</v>
      </c>
      <c r="X54" s="1492">
        <f>SUM(X55:X56)</f>
        <v>2597007</v>
      </c>
      <c r="Y54" s="1492">
        <f>SUM(Y55:Y56)</f>
        <v>0</v>
      </c>
      <c r="Z54" s="1042">
        <f>SUM(Z55:Z56)</f>
        <v>1988976</v>
      </c>
      <c r="AA54" s="1103"/>
      <c r="AB54" s="1042">
        <f>SUM(AB55:AB56)</f>
        <v>0</v>
      </c>
      <c r="AC54" s="1042">
        <f>SUM(AC55:AC56)</f>
        <v>1988976</v>
      </c>
      <c r="AD54" s="1042">
        <f>SUM(AD55:AD56)</f>
        <v>1988976</v>
      </c>
      <c r="AE54" s="1042">
        <f>SUM(AE55:AE56)</f>
        <v>0</v>
      </c>
      <c r="AF54" s="1042">
        <f>SUM(AF55:AF56)</f>
        <v>2379485.2999999998</v>
      </c>
      <c r="AG54" s="1103"/>
      <c r="AH54" s="1042">
        <f>SUM(AH55:AH56)</f>
        <v>0</v>
      </c>
      <c r="AI54" s="1042">
        <f>SUM(AI55:AI56)</f>
        <v>2379485.2999999998</v>
      </c>
      <c r="AJ54" s="1042">
        <f>SUM(AJ55:AJ56)</f>
        <v>2379485.2999999998</v>
      </c>
      <c r="AK54" s="1042">
        <f>SUM(AK55:AK56)</f>
        <v>0</v>
      </c>
      <c r="AL54" s="1492">
        <f>SUM(AL55:AL56)</f>
        <v>2379485.2999999998</v>
      </c>
      <c r="AM54" s="1493"/>
      <c r="AN54" s="1492">
        <f>SUM(AN55:AN56)</f>
        <v>0</v>
      </c>
      <c r="AO54" s="1492">
        <f>SUM(AO55:AO56)</f>
        <v>2379485.2999999998</v>
      </c>
      <c r="AP54" s="1492">
        <f>SUM(AP55:AP56)</f>
        <v>2379485.2999999998</v>
      </c>
      <c r="AQ54" s="1492">
        <f>SUM(AQ55:AQ56)</f>
        <v>0</v>
      </c>
      <c r="AR54" s="423">
        <f>SUM(AR55:AR56)</f>
        <v>2379485.2999999998</v>
      </c>
      <c r="AS54" s="1641"/>
      <c r="AT54" s="423">
        <f>SUM(AT55:AT56)</f>
        <v>0</v>
      </c>
      <c r="AU54" s="423">
        <f>SUM(AU55:AU56)</f>
        <v>2379485.2999999998</v>
      </c>
      <c r="AV54" s="423">
        <f>SUM(AV55:AV56)</f>
        <v>2379485.2999999998</v>
      </c>
      <c r="AW54" s="423">
        <f>SUM(AW55:AW56)</f>
        <v>0</v>
      </c>
      <c r="AX54" s="423">
        <f>SUM(AX55:AX56)</f>
        <v>2379485.2999999998</v>
      </c>
      <c r="AY54" s="1641"/>
      <c r="AZ54" s="423">
        <f>SUM(AZ55:AZ56)</f>
        <v>0</v>
      </c>
      <c r="BA54" s="423">
        <f>SUM(BA55:BA56)</f>
        <v>2379485.2999999998</v>
      </c>
      <c r="BB54" s="423">
        <f>SUM(BB55:BB56)</f>
        <v>2379485.2999999998</v>
      </c>
      <c r="BC54" s="423">
        <f>SUM(BC55:BC56)</f>
        <v>0</v>
      </c>
      <c r="BD54" s="423">
        <f>SUM(BD55:BD56)</f>
        <v>2379485.2999999998</v>
      </c>
      <c r="BE54" s="1641"/>
      <c r="BF54" s="423">
        <f>SUM(BF55:BF56)</f>
        <v>0</v>
      </c>
      <c r="BG54" s="423">
        <f>SUM(BG55:BG56)</f>
        <v>2379485.2999999998</v>
      </c>
      <c r="BH54" s="423">
        <f>SUM(BH55:BH56)</f>
        <v>2379485.2999999998</v>
      </c>
      <c r="BI54" s="423">
        <f>SUM(BI55:BI56)</f>
        <v>0</v>
      </c>
      <c r="BJ54" s="423">
        <f>SUM(BJ55:BJ56)</f>
        <v>2379485.2999999998</v>
      </c>
      <c r="BK54" s="1641"/>
      <c r="BL54" s="423">
        <f>SUM(BL55:BL56)</f>
        <v>0</v>
      </c>
      <c r="BM54" s="423">
        <f>SUM(BM55:BM56)</f>
        <v>2379485.2999999998</v>
      </c>
      <c r="BN54" s="423">
        <f>SUM(BN55:BN56)</f>
        <v>2379485.2999999998</v>
      </c>
      <c r="BO54" s="423">
        <f>SUM(BO55:BO56)</f>
        <v>0</v>
      </c>
    </row>
    <row r="55" spans="1:67" s="287" customFormat="1">
      <c r="A55" s="1110">
        <v>1</v>
      </c>
      <c r="B55" s="604" t="s">
        <v>1293</v>
      </c>
      <c r="C55" s="1111">
        <v>1127000</v>
      </c>
      <c r="D55" s="51">
        <v>0</v>
      </c>
      <c r="E55" s="51">
        <f>F55+G55</f>
        <v>1127000</v>
      </c>
      <c r="F55" s="51">
        <f>C55</f>
        <v>1127000</v>
      </c>
      <c r="G55" s="51">
        <v>0</v>
      </c>
      <c r="H55" s="1395">
        <f>[5]thu!$J$119</f>
        <v>1263569.5071109999</v>
      </c>
      <c r="I55" s="1107"/>
      <c r="J55" s="252">
        <v>0</v>
      </c>
      <c r="K55" s="252">
        <f>H55-J55</f>
        <v>1263569.5071109999</v>
      </c>
      <c r="L55" s="252">
        <f>K55-M55</f>
        <v>1263569.5071109999</v>
      </c>
      <c r="M55" s="252">
        <v>0</v>
      </c>
      <c r="N55" s="183">
        <f>'[3]Phụ lục số 8'!D7</f>
        <v>2417971</v>
      </c>
      <c r="O55" s="1498"/>
      <c r="P55" s="183">
        <v>0</v>
      </c>
      <c r="Q55" s="183">
        <f>R55+S55</f>
        <v>2417971</v>
      </c>
      <c r="R55" s="183">
        <f>N55</f>
        <v>2417971</v>
      </c>
      <c r="S55" s="183">
        <v>0</v>
      </c>
      <c r="T55" s="183">
        <f>'Phụ lục số 1'!T56</f>
        <v>2417971</v>
      </c>
      <c r="U55" s="1496">
        <f t="shared" ref="U55" si="113">T55/H55*100</f>
        <v>191.36034752282055</v>
      </c>
      <c r="V55" s="183">
        <v>0</v>
      </c>
      <c r="W55" s="183">
        <f>X55+Y55</f>
        <v>2417971</v>
      </c>
      <c r="X55" s="1495">
        <f>'Phụ lục số 1'!X56</f>
        <v>2417971</v>
      </c>
      <c r="Y55" s="1495">
        <f>'Phụ lục số 1'!Y56</f>
        <v>0</v>
      </c>
      <c r="Z55" s="51">
        <f>AC55</f>
        <v>1814491</v>
      </c>
      <c r="AA55" s="1107"/>
      <c r="AB55" s="51">
        <v>0</v>
      </c>
      <c r="AC55" s="51">
        <f>SUM(AD55:AE55)</f>
        <v>1814491</v>
      </c>
      <c r="AD55" s="51">
        <f>'Phụ lục số 1'!AI56</f>
        <v>1814491</v>
      </c>
      <c r="AE55" s="51">
        <f>'Phụ lục số 1'!AJ56</f>
        <v>0</v>
      </c>
      <c r="AF55" s="51">
        <f>'Phụ lục số 1'!AK56</f>
        <v>2205000</v>
      </c>
      <c r="AG55" s="1107"/>
      <c r="AH55" s="51">
        <v>0</v>
      </c>
      <c r="AI55" s="51">
        <f>SUM(AJ55:AK55)</f>
        <v>2205000</v>
      </c>
      <c r="AJ55" s="51">
        <f>'Phụ lục số 1'!AO56</f>
        <v>2205000</v>
      </c>
      <c r="AK55" s="51">
        <f>'Phụ lục số 1'!AP56</f>
        <v>0</v>
      </c>
      <c r="AL55" s="1500">
        <f>'Phụ lục số 1'!AQ56</f>
        <v>2205000</v>
      </c>
      <c r="AM55" s="1514"/>
      <c r="AN55" s="1514"/>
      <c r="AO55" s="183">
        <f>SUM(AP55:AQ55)</f>
        <v>2205000</v>
      </c>
      <c r="AP55" s="1515">
        <f>'Phụ lục số 1'!AU56</f>
        <v>2205000</v>
      </c>
      <c r="AQ55" s="1515">
        <f>'Phụ lục số 1'!AV56</f>
        <v>0</v>
      </c>
      <c r="AR55" s="405">
        <f>AL55</f>
        <v>2205000</v>
      </c>
      <c r="AS55" s="460"/>
      <c r="AT55" s="460"/>
      <c r="AU55" s="1395">
        <f>AR55-AT55</f>
        <v>2205000</v>
      </c>
      <c r="AV55" s="1651">
        <f>AR55</f>
        <v>2205000</v>
      </c>
      <c r="AW55" s="460"/>
      <c r="AX55" s="405">
        <f>AR55</f>
        <v>2205000</v>
      </c>
      <c r="AY55" s="460"/>
      <c r="AZ55" s="460"/>
      <c r="BA55" s="1395">
        <f>AX55-AZ55</f>
        <v>2205000</v>
      </c>
      <c r="BB55" s="1651">
        <f>AX55</f>
        <v>2205000</v>
      </c>
      <c r="BC55" s="460"/>
      <c r="BD55" s="405">
        <f>AX55</f>
        <v>2205000</v>
      </c>
      <c r="BE55" s="460"/>
      <c r="BF55" s="460"/>
      <c r="BG55" s="1395">
        <f>BD55-BF55</f>
        <v>2205000</v>
      </c>
      <c r="BH55" s="1651">
        <f>BD55</f>
        <v>2205000</v>
      </c>
      <c r="BI55" s="460"/>
      <c r="BJ55" s="405">
        <f>BD55</f>
        <v>2205000</v>
      </c>
      <c r="BK55" s="460"/>
      <c r="BL55" s="460"/>
      <c r="BM55" s="1395">
        <f>BJ55-BL55</f>
        <v>2205000</v>
      </c>
      <c r="BN55" s="1651">
        <f>BJ55</f>
        <v>2205000</v>
      </c>
      <c r="BO55" s="460"/>
    </row>
    <row r="56" spans="1:67" s="287" customFormat="1">
      <c r="A56" s="1110">
        <v>2</v>
      </c>
      <c r="B56" s="506" t="s">
        <v>1294</v>
      </c>
      <c r="C56" s="1111">
        <v>86473</v>
      </c>
      <c r="D56" s="51"/>
      <c r="E56" s="51">
        <f>F56+G56</f>
        <v>86473</v>
      </c>
      <c r="F56" s="51">
        <f>C56</f>
        <v>86473</v>
      </c>
      <c r="G56" s="51">
        <v>0</v>
      </c>
      <c r="H56" s="51">
        <v>0</v>
      </c>
      <c r="I56" s="1107"/>
      <c r="J56" s="252">
        <v>0</v>
      </c>
      <c r="K56" s="252">
        <f>H56-J56</f>
        <v>0</v>
      </c>
      <c r="L56" s="252">
        <f>K56-M56</f>
        <v>0</v>
      </c>
      <c r="M56" s="252">
        <v>0</v>
      </c>
      <c r="N56" s="183">
        <f>'[3]Phụ lục số 8'!E7</f>
        <v>179036</v>
      </c>
      <c r="O56" s="1498"/>
      <c r="P56" s="183"/>
      <c r="Q56" s="183">
        <f>R56+S56</f>
        <v>179036</v>
      </c>
      <c r="R56" s="183">
        <f>N56</f>
        <v>179036</v>
      </c>
      <c r="S56" s="183">
        <v>0</v>
      </c>
      <c r="T56" s="183">
        <f>'Phụ lục số 1'!T57</f>
        <v>179036</v>
      </c>
      <c r="U56" s="1494">
        <f t="shared" ref="U56:U59" si="114">T56/N56*100</f>
        <v>100</v>
      </c>
      <c r="V56" s="183">
        <v>0</v>
      </c>
      <c r="W56" s="183">
        <f>X56+Y56</f>
        <v>179036</v>
      </c>
      <c r="X56" s="1495">
        <f>'Phụ lục số 1'!X57</f>
        <v>179036</v>
      </c>
      <c r="Y56" s="1495">
        <f>'Phụ lục số 1'!Y57</f>
        <v>0</v>
      </c>
      <c r="Z56" s="51">
        <f t="shared" ref="Z56:Z59" si="115">AC56</f>
        <v>174485</v>
      </c>
      <c r="AA56" s="1107"/>
      <c r="AB56" s="51">
        <v>0</v>
      </c>
      <c r="AC56" s="51">
        <f t="shared" ref="AC56:AC59" si="116">SUM(AD56:AE56)</f>
        <v>174485</v>
      </c>
      <c r="AD56" s="51">
        <f>'Phụ lục số 1'!AI57</f>
        <v>174485</v>
      </c>
      <c r="AE56" s="51">
        <f>'Phụ lục số 1'!AJ57</f>
        <v>0</v>
      </c>
      <c r="AF56" s="51">
        <f>'Phụ lục số 1'!AK57</f>
        <v>174485.3</v>
      </c>
      <c r="AG56" s="1107"/>
      <c r="AH56" s="51">
        <v>0</v>
      </c>
      <c r="AI56" s="51">
        <f t="shared" ref="AI56:AI59" si="117">SUM(AJ56:AK56)</f>
        <v>174485.3</v>
      </c>
      <c r="AJ56" s="51">
        <f>'Phụ lục số 1'!AO57</f>
        <v>174485.3</v>
      </c>
      <c r="AK56" s="51">
        <f>'Phụ lục số 1'!AP57</f>
        <v>0</v>
      </c>
      <c r="AL56" s="1500">
        <f>'Phụ lục số 1'!AQ57</f>
        <v>174485.3</v>
      </c>
      <c r="AM56" s="1514"/>
      <c r="AN56" s="1514"/>
      <c r="AO56" s="183">
        <f>SUM(AP56:AQ56)</f>
        <v>174485.3</v>
      </c>
      <c r="AP56" s="1515">
        <f>'Phụ lục số 1'!AU57</f>
        <v>174485.3</v>
      </c>
      <c r="AQ56" s="1515">
        <f>'Phụ lục số 1'!AV57</f>
        <v>0</v>
      </c>
      <c r="AR56" s="457">
        <f>AL56</f>
        <v>174485.3</v>
      </c>
      <c r="AS56" s="460"/>
      <c r="AT56" s="460"/>
      <c r="AU56" s="1395">
        <f>AR56-AT56</f>
        <v>174485.3</v>
      </c>
      <c r="AV56" s="1651">
        <f>AR56</f>
        <v>174485.3</v>
      </c>
      <c r="AW56" s="460"/>
      <c r="AX56" s="457">
        <f>AR56</f>
        <v>174485.3</v>
      </c>
      <c r="AY56" s="460"/>
      <c r="AZ56" s="460"/>
      <c r="BA56" s="1395">
        <f>AX56-AZ56</f>
        <v>174485.3</v>
      </c>
      <c r="BB56" s="1651">
        <f>AX56</f>
        <v>174485.3</v>
      </c>
      <c r="BC56" s="460"/>
      <c r="BD56" s="457">
        <f>AX56</f>
        <v>174485.3</v>
      </c>
      <c r="BE56" s="460"/>
      <c r="BF56" s="460"/>
      <c r="BG56" s="1395">
        <f>BD56-BF56</f>
        <v>174485.3</v>
      </c>
      <c r="BH56" s="1651">
        <f>BD56</f>
        <v>174485.3</v>
      </c>
      <c r="BI56" s="460"/>
      <c r="BJ56" s="457">
        <f>BD56</f>
        <v>174485.3</v>
      </c>
      <c r="BK56" s="460"/>
      <c r="BL56" s="460"/>
      <c r="BM56" s="1395">
        <f>BJ56-BL56</f>
        <v>174485.3</v>
      </c>
      <c r="BN56" s="1651">
        <f>BJ56</f>
        <v>174485.3</v>
      </c>
      <c r="BO56" s="460"/>
    </row>
    <row r="57" spans="1:67" s="287" customFormat="1">
      <c r="A57" s="1110">
        <v>3</v>
      </c>
      <c r="B57" s="506"/>
      <c r="C57" s="1111"/>
      <c r="D57" s="51"/>
      <c r="E57" s="51"/>
      <c r="F57" s="51"/>
      <c r="G57" s="51"/>
      <c r="H57" s="51"/>
      <c r="I57" s="1107"/>
      <c r="J57" s="252"/>
      <c r="K57" s="252"/>
      <c r="L57" s="252"/>
      <c r="M57" s="252"/>
      <c r="N57" s="183"/>
      <c r="O57" s="1498"/>
      <c r="P57" s="183"/>
      <c r="Q57" s="183"/>
      <c r="R57" s="183"/>
      <c r="S57" s="183"/>
      <c r="T57" s="183">
        <f>'Phụ lục số 1'!T58</f>
        <v>0</v>
      </c>
      <c r="U57" s="1494"/>
      <c r="V57" s="183"/>
      <c r="W57" s="183"/>
      <c r="X57" s="1495">
        <f>'Phụ lục số 1'!X58</f>
        <v>0</v>
      </c>
      <c r="Y57" s="1495">
        <f>'Phụ lục số 1'!Y58</f>
        <v>0</v>
      </c>
      <c r="Z57" s="51">
        <f t="shared" si="115"/>
        <v>650315</v>
      </c>
      <c r="AA57" s="1107"/>
      <c r="AB57" s="51"/>
      <c r="AC57" s="51">
        <f t="shared" si="116"/>
        <v>650315</v>
      </c>
      <c r="AD57" s="51">
        <f>'Phụ lục số 1'!AI58</f>
        <v>650315</v>
      </c>
      <c r="AE57" s="51">
        <f>'Phụ lục số 1'!AJ58</f>
        <v>0</v>
      </c>
      <c r="AF57" s="51">
        <f>'Phụ lục số 1'!AK58</f>
        <v>650315</v>
      </c>
      <c r="AG57" s="1107"/>
      <c r="AH57" s="51"/>
      <c r="AI57" s="51">
        <f t="shared" si="117"/>
        <v>650315</v>
      </c>
      <c r="AJ57" s="51">
        <f>'Phụ lục số 1'!AO58</f>
        <v>650315</v>
      </c>
      <c r="AK57" s="51">
        <f>'Phụ lục số 1'!AP58</f>
        <v>0</v>
      </c>
      <c r="AL57" s="1500">
        <f>'Phụ lục số 1'!AQ58</f>
        <v>650315</v>
      </c>
      <c r="AM57" s="1514"/>
      <c r="AN57" s="1514"/>
      <c r="AO57" s="183">
        <f t="shared" ref="AO57:AO59" si="118">SUM(AP57:AQ57)</f>
        <v>650315</v>
      </c>
      <c r="AP57" s="1515">
        <f>'Phụ lục số 1'!AU58</f>
        <v>650315</v>
      </c>
      <c r="AQ57" s="1515">
        <f>'Phụ lục số 1'!AV58</f>
        <v>0</v>
      </c>
      <c r="AR57" s="457"/>
      <c r="AS57" s="460"/>
      <c r="AT57" s="460"/>
      <c r="AU57" s="1395"/>
      <c r="AV57" s="1651"/>
      <c r="AW57" s="460"/>
      <c r="AX57" s="457"/>
      <c r="AY57" s="460"/>
      <c r="AZ57" s="460"/>
      <c r="BA57" s="1395"/>
      <c r="BB57" s="1651"/>
      <c r="BC57" s="460"/>
      <c r="BD57" s="457"/>
      <c r="BE57" s="460"/>
      <c r="BF57" s="460"/>
      <c r="BG57" s="1395"/>
      <c r="BH57" s="1651"/>
      <c r="BI57" s="460"/>
      <c r="BJ57" s="457"/>
      <c r="BK57" s="460"/>
      <c r="BL57" s="460"/>
      <c r="BM57" s="1395"/>
      <c r="BN57" s="1651"/>
      <c r="BO57" s="460"/>
    </row>
    <row r="58" spans="1:67" s="228" customFormat="1" ht="15.75" customHeight="1">
      <c r="A58" s="1034" t="s">
        <v>26</v>
      </c>
      <c r="B58" s="591" t="s">
        <v>1295</v>
      </c>
      <c r="C58" s="1042">
        <f>F58+G58</f>
        <v>179391</v>
      </c>
      <c r="D58" s="1112">
        <v>0</v>
      </c>
      <c r="E58" s="225">
        <f>F58+G58</f>
        <v>179391</v>
      </c>
      <c r="F58" s="1042">
        <v>179391</v>
      </c>
      <c r="G58" s="1042"/>
      <c r="H58" s="1042">
        <f>L58+M58</f>
        <v>179391</v>
      </c>
      <c r="I58" s="1103"/>
      <c r="J58" s="319"/>
      <c r="K58" s="319">
        <f>H58-J58</f>
        <v>179391</v>
      </c>
      <c r="L58" s="319">
        <f>F58</f>
        <v>179391</v>
      </c>
      <c r="M58" s="319">
        <f>G58</f>
        <v>0</v>
      </c>
      <c r="N58" s="1492">
        <f>SUM(Q58)</f>
        <v>0</v>
      </c>
      <c r="O58" s="1517"/>
      <c r="P58" s="1492">
        <v>0</v>
      </c>
      <c r="Q58" s="1492">
        <f>R58+S58</f>
        <v>0</v>
      </c>
      <c r="R58" s="1492">
        <f>IF('[3]Phụ lục số 2'!I30&gt;0,'[3]Phụ lục số 2'!I30,0)</f>
        <v>0</v>
      </c>
      <c r="S58" s="1492"/>
      <c r="T58" s="1495">
        <f>'Phụ lục số 1'!T59</f>
        <v>431000</v>
      </c>
      <c r="U58" s="1494" t="e">
        <f>T58/N58*100</f>
        <v>#DIV/0!</v>
      </c>
      <c r="V58" s="1492"/>
      <c r="W58" s="1492">
        <f>X58+Y58</f>
        <v>431000</v>
      </c>
      <c r="X58" s="1495">
        <f>'Phụ lục số 1'!X59</f>
        <v>89700</v>
      </c>
      <c r="Y58" s="1495">
        <f>'Phụ lục số 1'!Y59</f>
        <v>341300</v>
      </c>
      <c r="Z58" s="336">
        <f t="shared" si="115"/>
        <v>886000</v>
      </c>
      <c r="AA58" s="1113"/>
      <c r="AB58" s="1042"/>
      <c r="AC58" s="336">
        <f t="shared" si="116"/>
        <v>886000</v>
      </c>
      <c r="AD58" s="336">
        <f>'Phụ lục số 1'!AI59</f>
        <v>0</v>
      </c>
      <c r="AE58" s="336">
        <f>'Phụ lục số 1'!AJ59</f>
        <v>886000</v>
      </c>
      <c r="AF58" s="336">
        <f>'Phụ lục số 1'!AK59</f>
        <v>717399.2</v>
      </c>
      <c r="AG58" s="1113"/>
      <c r="AH58" s="1042">
        <v>0</v>
      </c>
      <c r="AI58" s="336">
        <f t="shared" si="117"/>
        <v>717399.2</v>
      </c>
      <c r="AJ58" s="336">
        <f>'Phụ lục số 1'!AO59</f>
        <v>79139.200000000012</v>
      </c>
      <c r="AK58" s="336">
        <f>'Phụ lục số 1'!AP59</f>
        <v>638260</v>
      </c>
      <c r="AL58" s="1503">
        <f>'Phụ lục số 1'!AQ59</f>
        <v>881301.31019487511</v>
      </c>
      <c r="AM58" s="1518"/>
      <c r="AN58" s="1518"/>
      <c r="AO58" s="1495">
        <f t="shared" si="118"/>
        <v>881301.31019487511</v>
      </c>
      <c r="AP58" s="1514">
        <f>'Phụ lục số 1'!AU59</f>
        <v>565518.00845279661</v>
      </c>
      <c r="AQ58" s="1514">
        <f>'Phụ lục số 1'!AV59</f>
        <v>315783.30174207845</v>
      </c>
      <c r="AR58" s="1644"/>
      <c r="AS58" s="1652"/>
      <c r="AT58" s="1652"/>
      <c r="AU58" s="423">
        <f>SUM(AV58:AW58)</f>
        <v>0</v>
      </c>
      <c r="AV58" s="1652"/>
      <c r="AW58" s="1652"/>
      <c r="AX58" s="1644"/>
      <c r="AY58" s="1652"/>
      <c r="AZ58" s="1652"/>
      <c r="BA58" s="423">
        <f>SUM(BB58:BC58)</f>
        <v>0</v>
      </c>
      <c r="BB58" s="1652"/>
      <c r="BC58" s="1652"/>
      <c r="BD58" s="1644"/>
      <c r="BE58" s="1652"/>
      <c r="BF58" s="1652"/>
      <c r="BG58" s="423">
        <f>SUM(BH58:BI58)</f>
        <v>0</v>
      </c>
      <c r="BH58" s="1652"/>
      <c r="BI58" s="1652"/>
      <c r="BJ58" s="1644"/>
      <c r="BK58" s="1652"/>
      <c r="BL58" s="1652"/>
      <c r="BM58" s="423">
        <f>SUM(BN58:BO58)</f>
        <v>0</v>
      </c>
      <c r="BN58" s="1652"/>
      <c r="BO58" s="1652"/>
    </row>
    <row r="59" spans="1:67" s="228" customFormat="1" ht="15.75" customHeight="1">
      <c r="A59" s="1034" t="s">
        <v>130</v>
      </c>
      <c r="B59" s="591" t="s">
        <v>132</v>
      </c>
      <c r="C59" s="1112">
        <f>D59+E59</f>
        <v>48300</v>
      </c>
      <c r="D59" s="1112"/>
      <c r="E59" s="225">
        <f>F59+G59</f>
        <v>48300</v>
      </c>
      <c r="F59" s="1042">
        <v>48300</v>
      </c>
      <c r="G59" s="591"/>
      <c r="H59" s="1042">
        <f>C59</f>
        <v>48300</v>
      </c>
      <c r="I59" s="1103"/>
      <c r="J59" s="319"/>
      <c r="K59" s="319">
        <f>H59-J59</f>
        <v>48300</v>
      </c>
      <c r="L59" s="319">
        <f>K59-M59</f>
        <v>48300</v>
      </c>
      <c r="M59" s="319"/>
      <c r="N59" s="1492">
        <f>Q59</f>
        <v>31500</v>
      </c>
      <c r="O59" s="1517"/>
      <c r="P59" s="1492"/>
      <c r="Q59" s="1492">
        <f>SUM(R59:S59)</f>
        <v>31500</v>
      </c>
      <c r="R59" s="1492">
        <v>31500</v>
      </c>
      <c r="S59" s="1492">
        <v>0</v>
      </c>
      <c r="T59" s="1495">
        <f>'Phụ lục số 1'!T60</f>
        <v>31500</v>
      </c>
      <c r="U59" s="1493">
        <f t="shared" si="114"/>
        <v>100</v>
      </c>
      <c r="V59" s="1492"/>
      <c r="W59" s="1492">
        <f>SUM(X59:Y59)</f>
        <v>31500</v>
      </c>
      <c r="X59" s="1495">
        <f>'Phụ lục số 1'!X60</f>
        <v>31500</v>
      </c>
      <c r="Y59" s="1495">
        <f>'Phụ lục số 1'!Y60</f>
        <v>0</v>
      </c>
      <c r="Z59" s="336">
        <f t="shared" si="115"/>
        <v>0</v>
      </c>
      <c r="AA59" s="1113"/>
      <c r="AB59" s="1042"/>
      <c r="AC59" s="336">
        <f t="shared" si="116"/>
        <v>0</v>
      </c>
      <c r="AD59" s="336">
        <f>'Phụ lục số 1'!AI60</f>
        <v>0</v>
      </c>
      <c r="AE59" s="336">
        <f>'Phụ lục số 1'!AJ60</f>
        <v>0</v>
      </c>
      <c r="AF59" s="336">
        <f>'Phụ lục số 1'!AK60</f>
        <v>0</v>
      </c>
      <c r="AG59" s="1113"/>
      <c r="AH59" s="1042"/>
      <c r="AI59" s="336">
        <f t="shared" si="117"/>
        <v>0</v>
      </c>
      <c r="AJ59" s="336">
        <f>'Phụ lục số 1'!AO60</f>
        <v>0</v>
      </c>
      <c r="AK59" s="336">
        <f>'Phụ lục số 1'!AP60</f>
        <v>0</v>
      </c>
      <c r="AL59" s="1503">
        <f>'Phụ lục số 1'!AQ60</f>
        <v>0</v>
      </c>
      <c r="AM59" s="1518"/>
      <c r="AN59" s="1518"/>
      <c r="AO59" s="1495">
        <f t="shared" si="118"/>
        <v>0</v>
      </c>
      <c r="AP59" s="1514">
        <f>'Phụ lục số 1'!AU60</f>
        <v>0</v>
      </c>
      <c r="AQ59" s="1514">
        <f>'Phụ lục số 1'!AV60</f>
        <v>0</v>
      </c>
      <c r="AR59" s="1644">
        <f>AL59</f>
        <v>0</v>
      </c>
      <c r="AS59" s="1652"/>
      <c r="AT59" s="1652"/>
      <c r="AU59" s="423">
        <f>SUM(AV59:AW59)</f>
        <v>0</v>
      </c>
      <c r="AV59" s="1652"/>
      <c r="AW59" s="1652"/>
      <c r="AX59" s="1644">
        <f>AR59</f>
        <v>0</v>
      </c>
      <c r="AY59" s="1652"/>
      <c r="AZ59" s="1652"/>
      <c r="BA59" s="423">
        <f>SUM(BB59:BC59)</f>
        <v>0</v>
      </c>
      <c r="BB59" s="1652"/>
      <c r="BC59" s="1652"/>
      <c r="BD59" s="1644">
        <f>AX59</f>
        <v>0</v>
      </c>
      <c r="BE59" s="1652"/>
      <c r="BF59" s="1652"/>
      <c r="BG59" s="423">
        <f>SUM(BH59:BI59)</f>
        <v>0</v>
      </c>
      <c r="BH59" s="1652"/>
      <c r="BI59" s="1652"/>
      <c r="BJ59" s="1644">
        <f>BD59</f>
        <v>0</v>
      </c>
      <c r="BK59" s="1652"/>
      <c r="BL59" s="1652"/>
      <c r="BM59" s="423">
        <f>SUM(BN59:BO59)</f>
        <v>0</v>
      </c>
      <c r="BN59" s="1652"/>
      <c r="BO59" s="1652"/>
    </row>
    <row r="60" spans="1:67" s="228" customFormat="1">
      <c r="A60" s="1036"/>
      <c r="B60" s="1114" t="s">
        <v>131</v>
      </c>
      <c r="C60" s="343">
        <f>SUM(C8,C52,C58,C59)</f>
        <v>15063453</v>
      </c>
      <c r="D60" s="343">
        <f t="shared" ref="D60:G60" si="119">SUM(D8,D52,D58,D59)</f>
        <v>1009000</v>
      </c>
      <c r="E60" s="343">
        <f t="shared" si="119"/>
        <v>14054453</v>
      </c>
      <c r="F60" s="343">
        <f t="shared" si="119"/>
        <v>11734673</v>
      </c>
      <c r="G60" s="343">
        <f t="shared" si="119"/>
        <v>2319780</v>
      </c>
      <c r="H60" s="343">
        <f>SUM(H8,H52,H58,H59)</f>
        <v>16171866.707694</v>
      </c>
      <c r="I60" s="1115"/>
      <c r="J60" s="344">
        <f>SUM(J8,J52,J58,J59)</f>
        <v>1011247.5696699999</v>
      </c>
      <c r="K60" s="344">
        <f>SUM(K8,K52,K58,K59)</f>
        <v>15160619.138023999</v>
      </c>
      <c r="L60" s="344">
        <f>SUM(L8,L52,L58,L59)</f>
        <v>12149052.491303001</v>
      </c>
      <c r="M60" s="344">
        <f>SUM(M8,M52,M58,M59)</f>
        <v>3011566.6467210003</v>
      </c>
      <c r="N60" s="1519">
        <f>SUM(N8,N52,N58,N59)</f>
        <v>16705995</v>
      </c>
      <c r="O60" s="1520"/>
      <c r="P60" s="1519">
        <f>SUM(P8,P52,P58,P59)</f>
        <v>886000</v>
      </c>
      <c r="Q60" s="1519">
        <f>SUM(Q8,Q52,Q58,Q59)</f>
        <v>15819995</v>
      </c>
      <c r="R60" s="1519">
        <f>SUM(R8,R52,R58,R59)</f>
        <v>12922645</v>
      </c>
      <c r="S60" s="1519">
        <f>SUM(S8,S52,S58,S59)</f>
        <v>2897350</v>
      </c>
      <c r="T60" s="1519">
        <f>SUM(T8,T52,T58,T59)</f>
        <v>17697740.32</v>
      </c>
      <c r="U60" s="1521">
        <f t="shared" ref="U60" si="120">T60/H60*100</f>
        <v>109.43535857601425</v>
      </c>
      <c r="V60" s="1519">
        <f>SUM(V8,V52,V58,V59)</f>
        <v>700345.52</v>
      </c>
      <c r="W60" s="1519">
        <f>SUM(W8,W52,W58,W59)</f>
        <v>16997394.799999997</v>
      </c>
      <c r="X60" s="1519">
        <f>SUM(X8,X52,X58,X59)</f>
        <v>13068045.733333334</v>
      </c>
      <c r="Y60" s="1519">
        <f>SUM(Y8,Y52,Y58,Y59)</f>
        <v>3929349.0666666669</v>
      </c>
      <c r="Z60" s="343">
        <f>SUM(Z8,Z52,Z58,Z59)</f>
        <v>18628464</v>
      </c>
      <c r="AA60" s="1115"/>
      <c r="AB60" s="343">
        <f>SUM(AB8,AB52,AB58,AB59)</f>
        <v>781070</v>
      </c>
      <c r="AC60" s="343">
        <f>SUM(AC8,AC52,AC58,AC59)</f>
        <v>17847394</v>
      </c>
      <c r="AD60" s="343">
        <f>SUM(AD8,AD52,AD58,AD59)</f>
        <v>12920914</v>
      </c>
      <c r="AE60" s="343">
        <f>SUM(AE8,AE52,AE58,AE59)</f>
        <v>4926480</v>
      </c>
      <c r="AF60" s="343">
        <f>SUM(AF8,AF52,AF58,AF59)</f>
        <v>19876572.199999999</v>
      </c>
      <c r="AG60" s="1115"/>
      <c r="AH60" s="343">
        <f>SUM(AH8,AH52,AH58,AH59)</f>
        <v>1047900.1176470588</v>
      </c>
      <c r="AI60" s="343">
        <f>SUM(AI8,AI52,AI58,AI59)</f>
        <v>18828672.08235294</v>
      </c>
      <c r="AJ60" s="343">
        <f>SUM(AJ8,AJ52,AJ58,AJ59)</f>
        <v>14651611.396060068</v>
      </c>
      <c r="AK60" s="343">
        <f>SUM(AK8,AK52,AK58,AK59)</f>
        <v>4177060.6862928737</v>
      </c>
      <c r="AL60" s="1519">
        <f>SUM(AL8,AL52,AL58,AL59)</f>
        <v>20916974.610194877</v>
      </c>
      <c r="AM60" s="1520"/>
      <c r="AN60" s="1519">
        <f>SUM(AN8,AN52,AN58,AN59)</f>
        <v>1127999.4667532584</v>
      </c>
      <c r="AO60" s="1519">
        <f>SUM(AO8,AO52,AO58,AO59)</f>
        <v>19788975.143441617</v>
      </c>
      <c r="AP60" s="1519">
        <f>SUM(AP8,AP52,AP58,AP59)</f>
        <v>15697691.870255381</v>
      </c>
      <c r="AQ60" s="1519">
        <f>SUM(AQ8,AQ52,AQ58,AQ59)</f>
        <v>4091283.2731862366</v>
      </c>
      <c r="AR60" s="1653">
        <f>SUM(AR8,AR52,AR58,AR59)</f>
        <v>20802972.899999999</v>
      </c>
      <c r="AS60" s="1654"/>
      <c r="AT60" s="1653">
        <f>SUM(AT8,AT52,AT58,AT59)</f>
        <v>1232999.6000000001</v>
      </c>
      <c r="AU60" s="1653">
        <f>SUM(AU8,AU52,AU58,AU59)</f>
        <v>19569973.300000001</v>
      </c>
      <c r="AV60" s="1653">
        <f>SUM(AV8,AV52,AV58,AV59)</f>
        <v>15435973.300000001</v>
      </c>
      <c r="AW60" s="1653">
        <f>SUM(AW8,AW52,AW58,AW59)</f>
        <v>4134000</v>
      </c>
      <c r="AX60" s="1653">
        <f>SUM(AX8,AX52,AX58,AX59)</f>
        <v>21760473.482960001</v>
      </c>
      <c r="AY60" s="1654"/>
      <c r="AZ60" s="1653">
        <f>SUM(AZ8,AZ52,AZ58,AZ59)</f>
        <v>1343500.1829599999</v>
      </c>
      <c r="BA60" s="1653">
        <f>SUM(BA8,BA52,BA58,BA59)</f>
        <v>20416973.300000001</v>
      </c>
      <c r="BB60" s="1653">
        <f>SUM(BB8,BB52,BB58,BB59)</f>
        <v>15723973.300000001</v>
      </c>
      <c r="BC60" s="1653">
        <f>SUM(BC8,BC52,BC58,BC59)</f>
        <v>4693000</v>
      </c>
      <c r="BD60" s="1653">
        <f>SUM(BD8,BD52,BD58,BD59)</f>
        <v>22828473.090937056</v>
      </c>
      <c r="BE60" s="1654"/>
      <c r="BF60" s="1653">
        <f>SUM(BF8,BF52,BF58,BF59)</f>
        <v>1457499.7909370561</v>
      </c>
      <c r="BG60" s="1653">
        <f>SUM(BG8,BG52,BG58,BG59)</f>
        <v>21370973.300000001</v>
      </c>
      <c r="BH60" s="1653">
        <f>SUM(BH8,BH52,BH58,BH59)</f>
        <v>16155973.300000001</v>
      </c>
      <c r="BI60" s="1653">
        <f>SUM(BI8,BI52,BI58,BI59)</f>
        <v>5215000</v>
      </c>
      <c r="BJ60" s="1653">
        <f>SUM(BJ8,BJ52,BJ58,BJ59)</f>
        <v>24066973.081738286</v>
      </c>
      <c r="BK60" s="1654"/>
      <c r="BL60" s="1653">
        <f>SUM(BL8,BL52,BL58,BL59)</f>
        <v>1565999.7817382864</v>
      </c>
      <c r="BM60" s="1653">
        <f>SUM(BM8,BM52,BM58,BM59)</f>
        <v>22500973.300000001</v>
      </c>
      <c r="BN60" s="1653">
        <f>SUM(BN8,BN52,BN58,BN59)</f>
        <v>16671973.300000001</v>
      </c>
      <c r="BO60" s="1653">
        <f>SUM(BO8,BO52,BO58,BO59)</f>
        <v>5829000</v>
      </c>
    </row>
    <row r="61" spans="1:67" s="228" customFormat="1">
      <c r="A61" s="1522"/>
      <c r="B61" s="1523"/>
      <c r="C61" s="1524"/>
      <c r="D61" s="1524"/>
      <c r="E61" s="1524"/>
      <c r="F61" s="1524"/>
      <c r="G61" s="1524"/>
      <c r="H61" s="1524"/>
      <c r="I61" s="1525"/>
      <c r="J61" s="313"/>
      <c r="K61" s="313"/>
      <c r="L61" s="313"/>
      <c r="M61" s="313"/>
      <c r="N61" s="1526"/>
      <c r="O61" s="1527"/>
      <c r="P61" s="1526"/>
      <c r="Q61" s="1526"/>
      <c r="R61" s="1526"/>
      <c r="S61" s="1526"/>
      <c r="T61" s="1526"/>
      <c r="U61" s="1528"/>
      <c r="V61" s="1526"/>
      <c r="W61" s="1526"/>
      <c r="X61" s="1526"/>
      <c r="Y61" s="1526"/>
      <c r="Z61" s="1524"/>
      <c r="AA61" s="1525"/>
      <c r="AB61" s="1524"/>
      <c r="AC61" s="1524"/>
      <c r="AD61" s="1524"/>
      <c r="AE61" s="1524"/>
      <c r="AF61" s="1524"/>
      <c r="AG61" s="1525"/>
      <c r="AH61" s="1524"/>
      <c r="AI61" s="1524"/>
      <c r="AJ61" s="1524"/>
      <c r="AK61" s="1524"/>
      <c r="AL61" s="1526"/>
      <c r="AM61" s="1527"/>
      <c r="AN61" s="1526"/>
      <c r="AO61" s="1526"/>
      <c r="AP61" s="1526"/>
      <c r="AQ61" s="1526"/>
      <c r="AR61" s="1526"/>
      <c r="AS61" s="1527"/>
      <c r="AT61" s="1526"/>
      <c r="AU61" s="1526"/>
      <c r="AV61" s="1526"/>
      <c r="AW61" s="1526"/>
      <c r="AX61" s="1526"/>
      <c r="AY61" s="1527"/>
      <c r="AZ61" s="1526"/>
      <c r="BA61" s="1526"/>
      <c r="BB61" s="1526"/>
      <c r="BC61" s="1526"/>
      <c r="BD61" s="1526"/>
      <c r="BE61" s="1527"/>
      <c r="BF61" s="1526"/>
      <c r="BG61" s="1526"/>
      <c r="BH61" s="1526"/>
      <c r="BI61" s="1526"/>
      <c r="BJ61" s="1526"/>
      <c r="BK61" s="1527"/>
      <c r="BL61" s="1526"/>
      <c r="BM61" s="1526"/>
      <c r="BN61" s="1526"/>
      <c r="BO61" s="1526"/>
    </row>
    <row r="62" spans="1:67" s="228" customFormat="1">
      <c r="A62" s="1522"/>
      <c r="B62" s="1523"/>
      <c r="C62" s="1524"/>
      <c r="D62" s="1524"/>
      <c r="E62" s="1524"/>
      <c r="F62" s="1524"/>
      <c r="G62" s="1524"/>
      <c r="H62" s="1524"/>
      <c r="I62" s="1525"/>
      <c r="J62" s="313"/>
      <c r="K62" s="313"/>
      <c r="L62" s="313"/>
      <c r="M62" s="313"/>
      <c r="N62" s="1526"/>
      <c r="O62" s="1527"/>
      <c r="P62" s="1526"/>
      <c r="Q62" s="1526"/>
      <c r="R62" s="1526"/>
      <c r="S62" s="1526"/>
      <c r="T62" s="1526"/>
      <c r="U62" s="1528"/>
      <c r="V62" s="1526"/>
      <c r="W62" s="1526"/>
      <c r="X62" s="1526"/>
      <c r="Y62" s="1526"/>
      <c r="Z62" s="1524"/>
      <c r="AA62" s="1525"/>
      <c r="AB62" s="1524"/>
      <c r="AC62" s="1524"/>
      <c r="AD62" s="1524"/>
      <c r="AE62" s="1524"/>
      <c r="AF62" s="1524"/>
      <c r="AG62" s="1525"/>
      <c r="AH62" s="1524"/>
      <c r="AI62" s="1524"/>
      <c r="AJ62" s="1524"/>
      <c r="AK62" s="1524"/>
      <c r="AL62" s="1526"/>
      <c r="AM62" s="1527"/>
      <c r="AN62" s="1526"/>
      <c r="AO62" s="1526"/>
      <c r="AP62" s="1526"/>
      <c r="AQ62" s="1526"/>
      <c r="AR62" s="1526"/>
      <c r="AS62" s="1527"/>
      <c r="AT62" s="1526"/>
      <c r="AU62" s="1526"/>
      <c r="AV62" s="1526"/>
      <c r="AW62" s="1526"/>
      <c r="AX62" s="1526"/>
      <c r="AY62" s="1527"/>
      <c r="AZ62" s="1526"/>
      <c r="BA62" s="1526"/>
      <c r="BB62" s="1526"/>
      <c r="BC62" s="1526"/>
      <c r="BD62" s="1526"/>
      <c r="BE62" s="1527"/>
      <c r="BF62" s="1526"/>
      <c r="BG62" s="1526"/>
      <c r="BH62" s="1526"/>
      <c r="BI62" s="1526"/>
      <c r="BJ62" s="1526"/>
      <c r="BK62" s="1527"/>
      <c r="BL62" s="1526"/>
      <c r="BM62" s="1526"/>
      <c r="BN62" s="1526"/>
      <c r="BO62" s="1526"/>
    </row>
    <row r="63" spans="1:67" s="228" customFormat="1">
      <c r="A63" s="1522"/>
      <c r="B63" s="1523"/>
      <c r="C63" s="1524"/>
      <c r="D63" s="1524"/>
      <c r="E63" s="1524"/>
      <c r="F63" s="1524"/>
      <c r="G63" s="1524"/>
      <c r="H63" s="1524"/>
      <c r="I63" s="1525"/>
      <c r="J63" s="313"/>
      <c r="K63" s="313"/>
      <c r="L63" s="313"/>
      <c r="M63" s="313"/>
      <c r="N63" s="1526"/>
      <c r="O63" s="1527"/>
      <c r="P63" s="1526"/>
      <c r="Q63" s="1526"/>
      <c r="R63" s="1526"/>
      <c r="S63" s="1526"/>
      <c r="T63" s="1526"/>
      <c r="U63" s="1528"/>
      <c r="V63" s="1526"/>
      <c r="W63" s="1526"/>
      <c r="X63" s="1526"/>
      <c r="Y63" s="1526"/>
      <c r="Z63" s="1524"/>
      <c r="AA63" s="1525"/>
      <c r="AB63" s="1524"/>
      <c r="AC63" s="1524"/>
      <c r="AD63" s="1524"/>
      <c r="AE63" s="1524"/>
      <c r="AF63" s="1524"/>
      <c r="AG63" s="1525"/>
      <c r="AH63" s="1524"/>
      <c r="AI63" s="1524"/>
      <c r="AJ63" s="1524"/>
      <c r="AK63" s="1524"/>
      <c r="AL63" s="1526"/>
      <c r="AM63" s="1527"/>
      <c r="AN63" s="1526"/>
      <c r="AO63" s="1526"/>
      <c r="AP63" s="1526"/>
      <c r="AQ63" s="1526"/>
      <c r="AR63" s="1526"/>
      <c r="AS63" s="1527"/>
      <c r="AT63" s="1526"/>
      <c r="AU63" s="1526"/>
      <c r="AV63" s="1526"/>
      <c r="AW63" s="1526"/>
      <c r="AX63" s="1526"/>
      <c r="AY63" s="1527"/>
      <c r="AZ63" s="1526"/>
      <c r="BA63" s="1526"/>
      <c r="BB63" s="1526"/>
      <c r="BC63" s="1526"/>
      <c r="BD63" s="1526"/>
      <c r="BE63" s="1527"/>
      <c r="BF63" s="1526"/>
      <c r="BG63" s="1526"/>
      <c r="BH63" s="1526"/>
      <c r="BI63" s="1526"/>
      <c r="BJ63" s="1526"/>
      <c r="BK63" s="1527"/>
      <c r="BL63" s="1526"/>
      <c r="BM63" s="1526"/>
      <c r="BN63" s="1526"/>
      <c r="BO63" s="1526"/>
    </row>
    <row r="64" spans="1:67" s="228" customFormat="1">
      <c r="A64" s="1522"/>
      <c r="B64" s="1523"/>
      <c r="C64" s="1524"/>
      <c r="D64" s="1524"/>
      <c r="E64" s="1524"/>
      <c r="F64" s="1524"/>
      <c r="G64" s="1524"/>
      <c r="H64" s="1524"/>
      <c r="I64" s="1525"/>
      <c r="J64" s="313"/>
      <c r="K64" s="313"/>
      <c r="L64" s="313"/>
      <c r="M64" s="313"/>
      <c r="N64" s="1526"/>
      <c r="O64" s="1527"/>
      <c r="P64" s="1526"/>
      <c r="Q64" s="1526"/>
      <c r="R64" s="1526"/>
      <c r="S64" s="1526"/>
      <c r="T64" s="1526"/>
      <c r="U64" s="1528"/>
      <c r="V64" s="1526"/>
      <c r="W64" s="1526"/>
      <c r="X64" s="1526"/>
      <c r="Y64" s="1526"/>
      <c r="Z64" s="1524"/>
      <c r="AA64" s="1525"/>
      <c r="AB64" s="1524"/>
      <c r="AC64" s="1524"/>
      <c r="AD64" s="1524"/>
      <c r="AE64" s="1524"/>
      <c r="AF64" s="1524"/>
      <c r="AG64" s="1525"/>
      <c r="AH64" s="1524"/>
      <c r="AI64" s="1524"/>
      <c r="AJ64" s="1524"/>
      <c r="AK64" s="1524"/>
      <c r="AL64" s="1526"/>
      <c r="AM64" s="1527"/>
      <c r="AN64" s="1526"/>
      <c r="AO64" s="1526"/>
      <c r="AP64" s="1526"/>
      <c r="AQ64" s="1526"/>
      <c r="AR64" s="1526"/>
      <c r="AS64" s="1527"/>
      <c r="AT64" s="1526"/>
      <c r="AU64" s="1526"/>
      <c r="AV64" s="1526"/>
      <c r="AW64" s="1526"/>
      <c r="AX64" s="1526"/>
      <c r="AY64" s="1527"/>
      <c r="AZ64" s="1526"/>
      <c r="BA64" s="1526"/>
      <c r="BB64" s="1526"/>
      <c r="BC64" s="1526"/>
      <c r="BD64" s="1526"/>
      <c r="BE64" s="1527"/>
      <c r="BF64" s="1526"/>
      <c r="BG64" s="1526"/>
      <c r="BH64" s="1526"/>
      <c r="BI64" s="1526"/>
      <c r="BJ64" s="1526"/>
      <c r="BK64" s="1527"/>
      <c r="BL64" s="1526"/>
      <c r="BM64" s="1526"/>
      <c r="BN64" s="1526"/>
      <c r="BO64" s="1526"/>
    </row>
    <row r="65" spans="8:43">
      <c r="I65" s="1529">
        <f>C38/C8</f>
        <v>0.22394045149152114</v>
      </c>
      <c r="R65" s="554">
        <f>R8+R53</f>
        <v>10294138</v>
      </c>
      <c r="S65" s="554">
        <f>S8+S53</f>
        <v>2897350</v>
      </c>
      <c r="X65" s="554">
        <f>X8+X53</f>
        <v>10349838.733333334</v>
      </c>
      <c r="Y65" s="554">
        <f>Y8+Y53</f>
        <v>3588049.0666666669</v>
      </c>
      <c r="AC65" s="220">
        <f>'[3]Phụ lục số 2-1'!U7</f>
        <v>17566218</v>
      </c>
      <c r="AD65" s="220">
        <f>'[3]Phụ lục số 3-1'!P5</f>
        <v>14078218</v>
      </c>
    </row>
    <row r="66" spans="8:43">
      <c r="K66" s="220">
        <f>K60*2%</f>
        <v>303212.38276047999</v>
      </c>
      <c r="N66" s="554">
        <v>6818777</v>
      </c>
      <c r="P66" s="554">
        <f>N66-Q66</f>
        <v>1009000</v>
      </c>
      <c r="Q66" s="554">
        <v>5809777</v>
      </c>
      <c r="R66" s="1530"/>
      <c r="T66" s="557">
        <f>T10/N10</f>
        <v>0.98582991902833983</v>
      </c>
      <c r="X66" s="557">
        <f>X10/R10</f>
        <v>0.86029987579015654</v>
      </c>
      <c r="Y66" s="557">
        <f>Y10/S10</f>
        <v>1.2434973021511273</v>
      </c>
      <c r="AC66" s="220">
        <f>AC60-AC65</f>
        <v>281176</v>
      </c>
    </row>
    <row r="67" spans="8:43">
      <c r="H67" s="552">
        <v>4090000</v>
      </c>
      <c r="K67" s="716">
        <f>+K8/E8</f>
        <v>1.1817745553595258</v>
      </c>
      <c r="N67" s="546">
        <f>N8-N66</f>
        <v>771223</v>
      </c>
      <c r="P67" s="553">
        <f>P8-P66</f>
        <v>-123000</v>
      </c>
      <c r="Q67" s="1483">
        <f>Q8-Q66</f>
        <v>894223</v>
      </c>
      <c r="R67" s="1531">
        <f>+R53/L53</f>
        <v>0.95354987247762624</v>
      </c>
      <c r="AO67" s="554">
        <f>'[3]Phụ lục số 3-thu bs -1'!X6</f>
        <v>16094690</v>
      </c>
      <c r="AP67" s="554">
        <f>'[3]Phụ lục số 3-thu bs -1'!Y5</f>
        <v>15599524</v>
      </c>
      <c r="AQ67" s="553">
        <f>'[3]Phụ lục số 3-thu bs -1'!Z5</f>
        <v>8918721</v>
      </c>
    </row>
    <row r="68" spans="8:43">
      <c r="H68" s="552">
        <f>+H67-H10</f>
        <v>-548245.67445799988</v>
      </c>
      <c r="K68" s="220">
        <f>+K8-E8</f>
        <v>1056069.6309129996</v>
      </c>
      <c r="N68" s="554">
        <v>6708777</v>
      </c>
      <c r="Q68" s="554"/>
      <c r="X68" s="553">
        <f>X10-R10</f>
        <v>-294299.2666666666</v>
      </c>
      <c r="Z68" s="220">
        <v>900000</v>
      </c>
      <c r="AD68" s="220">
        <v>100000</v>
      </c>
      <c r="AE68" s="220">
        <v>900000</v>
      </c>
      <c r="AO68" s="554">
        <f>AO60-AO67</f>
        <v>3694285.1434416175</v>
      </c>
      <c r="AP68" s="554">
        <f>AP60-AP67</f>
        <v>98167.870255380869</v>
      </c>
      <c r="AQ68" s="554">
        <f>AQ60-AQ67</f>
        <v>-4827437.7268137634</v>
      </c>
    </row>
    <row r="69" spans="8:43">
      <c r="K69" s="220">
        <f>+K10-E10</f>
        <v>605781.47504299972</v>
      </c>
      <c r="L69" s="220">
        <f>+L10-F10</f>
        <v>113994.82832199987</v>
      </c>
      <c r="M69" s="220">
        <f>+M10-G10</f>
        <v>491786.64672100032</v>
      </c>
      <c r="N69" s="553">
        <f>+N9-N68</f>
        <v>731223</v>
      </c>
      <c r="Q69" s="557">
        <f>Q8/N8</f>
        <v>0.8832674571805007</v>
      </c>
      <c r="X69" s="553">
        <f>X8-R8</f>
        <v>55700.733333333395</v>
      </c>
      <c r="AC69" s="230">
        <f>AC8/Z8</f>
        <v>0.91570580617310593</v>
      </c>
      <c r="AI69" s="230">
        <f>AI8/AF8</f>
        <v>0.89688559423553449</v>
      </c>
    </row>
    <row r="70" spans="8:43">
      <c r="H70" s="220">
        <v>1283</v>
      </c>
      <c r="K70" s="716"/>
      <c r="N70" s="553">
        <v>945000</v>
      </c>
      <c r="Q70" s="554">
        <f>+Q8+Q53</f>
        <v>13191488</v>
      </c>
      <c r="R70" s="554">
        <f>Q8-Q70</f>
        <v>-6487488</v>
      </c>
      <c r="X70" s="553">
        <f>X48-Q48</f>
        <v>350000</v>
      </c>
    </row>
    <row r="71" spans="8:43">
      <c r="H71" s="220">
        <v>1500</v>
      </c>
      <c r="K71" s="716">
        <f>K8/H8</f>
        <v>0.87162174985857654</v>
      </c>
      <c r="L71" s="716">
        <f>L8/$K$8</f>
        <v>0.56136995062464268</v>
      </c>
      <c r="M71" s="716">
        <f>M8/$K$8</f>
        <v>0.43863004937535738</v>
      </c>
      <c r="N71" s="553">
        <f>N28-N70</f>
        <v>320000</v>
      </c>
      <c r="Q71" s="554">
        <f>+Q70*2%</f>
        <v>263829.76000000001</v>
      </c>
      <c r="R71" s="1530">
        <f>R8/$Q$8</f>
        <v>0.56781772076372317</v>
      </c>
      <c r="S71" s="1530">
        <f>S8/$Q$8</f>
        <v>0.43218227923627683</v>
      </c>
      <c r="T71" s="1530"/>
      <c r="U71" s="1530"/>
      <c r="V71" s="1530"/>
      <c r="W71" s="1530"/>
      <c r="X71" s="1532">
        <f>X40-R40</f>
        <v>0</v>
      </c>
      <c r="Y71" s="1530"/>
      <c r="AD71" s="716">
        <f>+AD8/$AC$8</f>
        <v>0.52380514630055874</v>
      </c>
      <c r="AE71" s="716">
        <f>+AE8/$AC$8</f>
        <v>0.47619485369944126</v>
      </c>
      <c r="AJ71" s="716">
        <f>+AJ8/$AI$8</f>
        <v>0.61174370258190447</v>
      </c>
      <c r="AK71" s="716">
        <f>+AK8/$AI$8</f>
        <v>0.3882562974180957</v>
      </c>
    </row>
    <row r="72" spans="8:43">
      <c r="H72" s="220">
        <f>+H71-H70</f>
        <v>217</v>
      </c>
      <c r="N72" s="553">
        <v>220000</v>
      </c>
      <c r="Q72" s="554">
        <v>935</v>
      </c>
      <c r="X72" s="553">
        <f>X69-X70-X71</f>
        <v>-294299.2666666666</v>
      </c>
    </row>
    <row r="73" spans="8:43">
      <c r="H73" s="552">
        <f>H38-C38</f>
        <v>-600387.29556900007</v>
      </c>
      <c r="L73" s="220">
        <f>L38-F38</f>
        <v>-288387.29556900007</v>
      </c>
      <c r="N73" s="553">
        <f>+N34-N72</f>
        <v>75000</v>
      </c>
      <c r="Q73" s="553">
        <v>30</v>
      </c>
      <c r="W73" s="553">
        <f>X73-X72</f>
        <v>344299.2666666666</v>
      </c>
      <c r="X73" s="553">
        <f>X45-R45</f>
        <v>50000</v>
      </c>
    </row>
    <row r="74" spans="8:43">
      <c r="H74" s="552"/>
      <c r="N74" s="553">
        <v>8000</v>
      </c>
      <c r="Q74" s="1533">
        <f>+Q72/Q73</f>
        <v>31.166666666666668</v>
      </c>
      <c r="X74" s="553">
        <f>X9+X53</f>
        <v>10349838.733333334</v>
      </c>
    </row>
    <row r="75" spans="8:43">
      <c r="H75" s="552">
        <f>6515000</f>
        <v>6515000</v>
      </c>
      <c r="N75" s="553">
        <f>N36-N74</f>
        <v>2000</v>
      </c>
    </row>
    <row r="76" spans="8:43">
      <c r="H76" s="220">
        <f>+H9-H75</f>
        <v>972310.83032799978</v>
      </c>
      <c r="N76" s="553">
        <v>800000</v>
      </c>
      <c r="Q76" s="554"/>
    </row>
    <row r="77" spans="8:43">
      <c r="N77" s="553">
        <f>N40-N76</f>
        <v>100000</v>
      </c>
      <c r="P77" s="1534">
        <f>N8/C8</f>
        <v>1.1131028335433173</v>
      </c>
      <c r="Q77" s="554"/>
    </row>
    <row r="78" spans="8:43">
      <c r="N78" s="553">
        <v>120000</v>
      </c>
      <c r="Q78" s="554">
        <f>Q8*20%</f>
        <v>1340800</v>
      </c>
    </row>
    <row r="79" spans="8:43">
      <c r="N79" s="553">
        <f>N41-N78</f>
        <v>-5000</v>
      </c>
      <c r="Q79" s="553">
        <v>37000</v>
      </c>
    </row>
    <row r="80" spans="8:43">
      <c r="H80" s="220">
        <f>7400+140</f>
        <v>7540</v>
      </c>
      <c r="N80" s="553">
        <f>3000</f>
        <v>3000</v>
      </c>
      <c r="Q80" s="553">
        <v>17500</v>
      </c>
    </row>
    <row r="81" spans="2:25">
      <c r="N81" s="554">
        <v>7519985</v>
      </c>
      <c r="Q81" s="553">
        <f>+Q79+Q80</f>
        <v>54500</v>
      </c>
    </row>
    <row r="82" spans="2:25">
      <c r="N82" s="554">
        <f>+N52-N81</f>
        <v>1564510</v>
      </c>
    </row>
    <row r="83" spans="2:25">
      <c r="N83" s="554"/>
    </row>
    <row r="84" spans="2:25">
      <c r="N84" s="554">
        <f>N71+N73+N75+N77+N79+N81</f>
        <v>8011985</v>
      </c>
      <c r="Q84" s="553">
        <v>84800</v>
      </c>
    </row>
    <row r="85" spans="2:25">
      <c r="B85" s="1116"/>
      <c r="N85" s="554"/>
      <c r="Q85" s="553">
        <v>213</v>
      </c>
    </row>
    <row r="86" spans="2:25">
      <c r="N86" s="554">
        <f>N38</f>
        <v>1500000</v>
      </c>
      <c r="Q86" s="554">
        <f>Q38</f>
        <v>900000</v>
      </c>
    </row>
    <row r="87" spans="2:25">
      <c r="N87" s="554">
        <f>N86/12</f>
        <v>125000</v>
      </c>
      <c r="Q87" s="554">
        <f>Q86/12</f>
        <v>75000</v>
      </c>
    </row>
    <row r="88" spans="2:25">
      <c r="N88" s="554">
        <f>N87/2</f>
        <v>62500</v>
      </c>
      <c r="Q88" s="554">
        <f>Q87/2</f>
        <v>37500</v>
      </c>
    </row>
    <row r="89" spans="2:25">
      <c r="N89" s="554">
        <f>N87*3+N88*9</f>
        <v>937500</v>
      </c>
      <c r="Q89" s="554">
        <f>Q87*3+Q88*9</f>
        <v>562500</v>
      </c>
    </row>
    <row r="90" spans="2:25">
      <c r="N90" s="553">
        <f>+N86-N89</f>
        <v>562500</v>
      </c>
      <c r="Q90" s="553">
        <f>+Q86-Q89</f>
        <v>337500</v>
      </c>
      <c r="S90" s="554"/>
      <c r="T90" s="554"/>
      <c r="U90" s="554"/>
      <c r="V90" s="554"/>
      <c r="W90" s="554"/>
      <c r="X90" s="554"/>
      <c r="Y90" s="554"/>
    </row>
    <row r="91" spans="2:25">
      <c r="N91" s="1535">
        <f>N90/N9</f>
        <v>7.5604838709677422E-2</v>
      </c>
    </row>
    <row r="92" spans="2:25">
      <c r="Q92" s="553">
        <v>13425</v>
      </c>
    </row>
    <row r="93" spans="2:25">
      <c r="N93" s="553">
        <v>7390000</v>
      </c>
      <c r="Q93" s="553">
        <v>6349</v>
      </c>
    </row>
    <row r="94" spans="2:25">
      <c r="N94" s="553">
        <f>+N9-N93</f>
        <v>50000</v>
      </c>
      <c r="Q94" s="553">
        <f>+Q92-Q93</f>
        <v>7076</v>
      </c>
    </row>
    <row r="95" spans="2:25">
      <c r="Q95" s="554">
        <v>6654000</v>
      </c>
    </row>
    <row r="96" spans="2:25">
      <c r="Q96" s="554">
        <f>+Q8-Q95</f>
        <v>50000</v>
      </c>
    </row>
    <row r="97" spans="14:35">
      <c r="N97" s="1530">
        <f>N38/N10</f>
        <v>0.30364372469635625</v>
      </c>
      <c r="Q97" s="554"/>
    </row>
    <row r="98" spans="14:35">
      <c r="N98" s="1530">
        <v>0.35714285714285715</v>
      </c>
      <c r="Q98" s="554"/>
    </row>
    <row r="99" spans="14:35">
      <c r="Q99" s="554"/>
    </row>
    <row r="100" spans="14:35">
      <c r="N100" s="554"/>
      <c r="Q100" s="554"/>
    </row>
    <row r="101" spans="14:35">
      <c r="N101" s="554"/>
      <c r="Q101" s="554"/>
    </row>
    <row r="102" spans="14:35">
      <c r="Q102" s="554"/>
    </row>
    <row r="103" spans="14:35">
      <c r="N103" s="554">
        <v>1500000</v>
      </c>
      <c r="Q103" s="554">
        <f>+Q8-Q45</f>
        <v>6654000</v>
      </c>
      <c r="AC103" s="552">
        <f>+AC8-AC45</f>
        <v>8447930</v>
      </c>
      <c r="AD103" s="552"/>
      <c r="AI103" s="552">
        <f>+AI8-AI45</f>
        <v>9000599.58235294</v>
      </c>
    </row>
    <row r="104" spans="14:35">
      <c r="N104" s="554">
        <f>N103*48%</f>
        <v>720000</v>
      </c>
      <c r="Q104" s="554">
        <f>+Q103*20%</f>
        <v>1330800</v>
      </c>
      <c r="AC104" s="552">
        <f>+AC103*20%</f>
        <v>1689586</v>
      </c>
      <c r="AD104" s="552"/>
      <c r="AI104" s="552">
        <f>+AI103*20%</f>
        <v>1800119.9164705882</v>
      </c>
    </row>
    <row r="105" spans="14:35">
      <c r="N105" s="554">
        <f>N103*60%</f>
        <v>900000</v>
      </c>
      <c r="Q105" s="554"/>
    </row>
    <row r="106" spans="14:35">
      <c r="N106" s="554">
        <f>+N105-N104</f>
        <v>180000</v>
      </c>
      <c r="Q106" s="554"/>
    </row>
    <row r="107" spans="14:35">
      <c r="N107" s="554"/>
    </row>
    <row r="108" spans="14:35">
      <c r="N108" s="554">
        <v>4026000</v>
      </c>
    </row>
    <row r="109" spans="14:35">
      <c r="N109" s="554">
        <v>22000</v>
      </c>
    </row>
    <row r="111" spans="14:35">
      <c r="N111" s="1536"/>
    </row>
    <row r="112" spans="14:35">
      <c r="AC112" s="220">
        <f>AD112+AE112</f>
        <v>1780930</v>
      </c>
      <c r="AD112" s="220">
        <f>AD9-R9</f>
        <v>637800</v>
      </c>
      <c r="AE112" s="220">
        <f>AE9-S9</f>
        <v>1143130</v>
      </c>
    </row>
    <row r="114" spans="26:31">
      <c r="Z114" s="230">
        <f>(AD114+AE114)/2</f>
        <v>1.2810460921275681</v>
      </c>
      <c r="AD114" s="1080">
        <f>AD9/R9</f>
        <v>1.1675488946974373</v>
      </c>
      <c r="AE114" s="1080">
        <f>AE9/S9</f>
        <v>1.3945432895576992</v>
      </c>
    </row>
  </sheetData>
  <mergeCells count="58">
    <mergeCell ref="BL5:BL6"/>
    <mergeCell ref="BM5:BO5"/>
    <mergeCell ref="BD5:BD6"/>
    <mergeCell ref="BE5:BE6"/>
    <mergeCell ref="BF5:BF6"/>
    <mergeCell ref="BG5:BI5"/>
    <mergeCell ref="BJ5:BJ6"/>
    <mergeCell ref="BK5:BK6"/>
    <mergeCell ref="BA5:BC5"/>
    <mergeCell ref="AL5:AL6"/>
    <mergeCell ref="AM5:AM6"/>
    <mergeCell ref="AN5:AN6"/>
    <mergeCell ref="AO5:AQ5"/>
    <mergeCell ref="AR5:AR6"/>
    <mergeCell ref="AS5:AS6"/>
    <mergeCell ref="AT5:AT6"/>
    <mergeCell ref="AU5:AW5"/>
    <mergeCell ref="AX5:AX6"/>
    <mergeCell ref="AY5:AY6"/>
    <mergeCell ref="AZ5:AZ6"/>
    <mergeCell ref="AI5:AK5"/>
    <mergeCell ref="T5:T6"/>
    <mergeCell ref="U5:U6"/>
    <mergeCell ref="V5:V6"/>
    <mergeCell ref="W5:Y5"/>
    <mergeCell ref="Z5:Z6"/>
    <mergeCell ref="AA5:AA6"/>
    <mergeCell ref="AB5:AB6"/>
    <mergeCell ref="AC5:AE5"/>
    <mergeCell ref="AF5:AF6"/>
    <mergeCell ref="AG5:AG6"/>
    <mergeCell ref="AH5:AH6"/>
    <mergeCell ref="BD4:BI4"/>
    <mergeCell ref="BJ4:BO4"/>
    <mergeCell ref="D5:D6"/>
    <mergeCell ref="H5:H6"/>
    <mergeCell ref="I5:I6"/>
    <mergeCell ref="J5:J6"/>
    <mergeCell ref="K5:M5"/>
    <mergeCell ref="N5:N6"/>
    <mergeCell ref="O5:O6"/>
    <mergeCell ref="P5:P6"/>
    <mergeCell ref="T4:Y4"/>
    <mergeCell ref="Z4:AE4"/>
    <mergeCell ref="AF4:AK4"/>
    <mergeCell ref="AL4:AQ4"/>
    <mergeCell ref="AR4:AW4"/>
    <mergeCell ref="AX4:BC4"/>
    <mergeCell ref="A1:S1"/>
    <mergeCell ref="E2:G2"/>
    <mergeCell ref="K2:M2"/>
    <mergeCell ref="E3:G3"/>
    <mergeCell ref="A4:A6"/>
    <mergeCell ref="B4:B6"/>
    <mergeCell ref="C4:C6"/>
    <mergeCell ref="H4:M4"/>
    <mergeCell ref="N4:S4"/>
    <mergeCell ref="Q5:S5"/>
  </mergeCells>
  <hyperlinks>
    <hyperlink ref="A4:A6" location="'List danh mục'!A1" display="SỐ TT"/>
  </hyperlinks>
  <pageMargins left="0.7" right="0.7" top="0.75" bottom="0.75" header="0.3" footer="0.3"/>
  <pageSetup orientation="portrait" verticalDpi="0" r:id="rId1"/>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X55"/>
  <sheetViews>
    <sheetView workbookViewId="0">
      <selection activeCell="B13" sqref="B13"/>
    </sheetView>
  </sheetViews>
  <sheetFormatPr defaultColWidth="9" defaultRowHeight="18"/>
  <cols>
    <col min="1" max="1" width="7.09765625" style="20" customWidth="1"/>
    <col min="2" max="2" width="37.69921875" style="37" customWidth="1"/>
    <col min="3" max="5" width="10.69921875" style="37" customWidth="1"/>
    <col min="6" max="8" width="12.3984375" style="37" customWidth="1"/>
    <col min="9" max="11" width="9" style="37" customWidth="1"/>
    <col min="12" max="12" width="10.59765625" style="37" bestFit="1" customWidth="1"/>
    <col min="13" max="16384" width="9" style="37"/>
  </cols>
  <sheetData>
    <row r="1" spans="1:102">
      <c r="A1" s="4299" t="s">
        <v>1762</v>
      </c>
      <c r="B1" s="4299"/>
      <c r="C1" s="4299"/>
      <c r="D1" s="4299"/>
      <c r="E1" s="4299"/>
      <c r="F1" s="4299"/>
      <c r="G1" s="4299"/>
      <c r="H1" s="4299"/>
      <c r="AG1" s="37" t="s">
        <v>635</v>
      </c>
      <c r="AL1" s="38"/>
      <c r="AT1" s="38"/>
      <c r="BB1" s="38"/>
      <c r="BJ1" s="38"/>
      <c r="BR1" s="38"/>
      <c r="BZ1" s="38"/>
      <c r="CH1" s="38"/>
      <c r="CP1" s="38"/>
      <c r="CX1" s="38"/>
    </row>
    <row r="2" spans="1:102">
      <c r="A2" s="38"/>
      <c r="B2" s="38"/>
      <c r="C2" s="38"/>
      <c r="D2" s="38"/>
      <c r="E2" s="38"/>
      <c r="F2" s="38"/>
      <c r="G2" s="38"/>
      <c r="H2" s="38"/>
      <c r="AL2" s="38"/>
      <c r="AT2" s="38"/>
      <c r="BB2" s="38"/>
      <c r="BJ2" s="38"/>
      <c r="BR2" s="38"/>
      <c r="BZ2" s="38"/>
      <c r="CH2" s="38"/>
      <c r="CP2" s="38"/>
      <c r="CX2" s="38"/>
    </row>
    <row r="3" spans="1:102">
      <c r="A3" s="38"/>
      <c r="B3" s="38"/>
      <c r="C3" s="38"/>
      <c r="D3" s="38"/>
      <c r="E3" s="38"/>
      <c r="F3" s="38"/>
      <c r="G3" s="38"/>
      <c r="H3" s="39" t="s">
        <v>64</v>
      </c>
    </row>
    <row r="4" spans="1:102">
      <c r="A4" s="4277" t="s">
        <v>244</v>
      </c>
      <c r="B4" s="4318" t="s">
        <v>791</v>
      </c>
      <c r="C4" s="4424" t="s">
        <v>184</v>
      </c>
      <c r="D4" s="4425"/>
      <c r="E4" s="4426"/>
      <c r="F4" s="4362" t="s">
        <v>1738</v>
      </c>
      <c r="G4" s="4362"/>
      <c r="H4" s="4362"/>
    </row>
    <row r="5" spans="1:102" ht="34.799999999999997">
      <c r="A5" s="4277"/>
      <c r="B5" s="4318"/>
      <c r="C5" s="7"/>
      <c r="D5" s="7"/>
      <c r="E5" s="7"/>
      <c r="F5" s="1799" t="s">
        <v>887</v>
      </c>
      <c r="G5" s="1799" t="s">
        <v>888</v>
      </c>
      <c r="H5" s="1799" t="s">
        <v>889</v>
      </c>
    </row>
    <row r="6" spans="1:102">
      <c r="A6" s="2143" t="s">
        <v>9</v>
      </c>
      <c r="B6" s="7" t="s">
        <v>1265</v>
      </c>
      <c r="C6" s="7"/>
      <c r="D6" s="7"/>
      <c r="E6" s="7"/>
      <c r="F6" s="1799"/>
      <c r="G6" s="1799"/>
      <c r="H6" s="1799"/>
    </row>
    <row r="7" spans="1:102">
      <c r="A7" s="2143"/>
      <c r="B7" s="7"/>
      <c r="C7" s="7"/>
      <c r="D7" s="7"/>
      <c r="E7" s="7"/>
      <c r="F7" s="1799"/>
      <c r="G7" s="1799"/>
      <c r="H7" s="1799"/>
    </row>
    <row r="8" spans="1:102">
      <c r="A8" s="2143"/>
      <c r="B8" s="7"/>
      <c r="C8" s="7"/>
      <c r="D8" s="7"/>
      <c r="E8" s="7"/>
      <c r="F8" s="1799"/>
      <c r="G8" s="1799"/>
      <c r="H8" s="1799"/>
    </row>
    <row r="9" spans="1:102" s="1432" customFormat="1">
      <c r="A9" s="1810" t="s">
        <v>9</v>
      </c>
      <c r="B9" s="1811" t="s">
        <v>895</v>
      </c>
      <c r="C9" s="1811"/>
      <c r="D9" s="1811"/>
      <c r="E9" s="1811"/>
      <c r="F9" s="3715">
        <f>SUM(F10:F13)</f>
        <v>16997394.800000001</v>
      </c>
      <c r="G9" s="3715">
        <f>SUM(G10:G13)</f>
        <v>13068045.733333334</v>
      </c>
      <c r="H9" s="3715">
        <f>SUM(H10:H13)</f>
        <v>3929349.0666666664</v>
      </c>
    </row>
    <row r="10" spans="1:102" s="1432" customFormat="1">
      <c r="A10" s="1813">
        <v>1</v>
      </c>
      <c r="B10" s="1814" t="s">
        <v>890</v>
      </c>
      <c r="C10" s="1814"/>
      <c r="D10" s="1814"/>
      <c r="E10" s="1814"/>
      <c r="F10" s="3716">
        <f>G10+H10</f>
        <v>7450399.7999999998</v>
      </c>
      <c r="G10" s="3716">
        <f>'Phụ lục số 1'!X8</f>
        <v>3862350.7333333334</v>
      </c>
      <c r="H10" s="3716">
        <f>'Phụ lục số 1'!Y8</f>
        <v>3588049.0666666664</v>
      </c>
    </row>
    <row r="11" spans="1:102" s="1432" customFormat="1">
      <c r="A11" s="1813">
        <v>2</v>
      </c>
      <c r="B11" s="1814" t="s">
        <v>57</v>
      </c>
      <c r="C11" s="1814"/>
      <c r="D11" s="1814"/>
      <c r="E11" s="1814"/>
      <c r="F11" s="3716">
        <f>G11+H11</f>
        <v>9084495</v>
      </c>
      <c r="G11" s="3716">
        <f>'Phụ lục số 1'!X52</f>
        <v>9084495</v>
      </c>
      <c r="H11" s="3716">
        <f>'Phụ lục số 1'!Y52</f>
        <v>0</v>
      </c>
    </row>
    <row r="12" spans="1:102" s="1432" customFormat="1">
      <c r="A12" s="1813">
        <v>3</v>
      </c>
      <c r="B12" s="1814" t="s">
        <v>891</v>
      </c>
      <c r="C12" s="1814"/>
      <c r="D12" s="1814"/>
      <c r="E12" s="1814"/>
      <c r="F12" s="3716">
        <f>G12+H12</f>
        <v>431000</v>
      </c>
      <c r="G12" s="3716">
        <f>'Phụ lục số 1'!X59</f>
        <v>89700</v>
      </c>
      <c r="H12" s="3716">
        <f>'Phụ lục số 1'!Y59</f>
        <v>341300</v>
      </c>
    </row>
    <row r="13" spans="1:102" s="1239" customFormat="1">
      <c r="A13" s="1813">
        <v>4</v>
      </c>
      <c r="B13" s="1814" t="s">
        <v>892</v>
      </c>
      <c r="C13" s="1814"/>
      <c r="D13" s="1814"/>
      <c r="E13" s="1814"/>
      <c r="F13" s="3716">
        <f>G13+H13</f>
        <v>31500</v>
      </c>
      <c r="G13" s="3716">
        <f>'Phụ lục số 1'!X60</f>
        <v>31500</v>
      </c>
      <c r="H13" s="3716">
        <f>'Phụ lục số 1'!Y60</f>
        <v>0</v>
      </c>
    </row>
    <row r="14" spans="1:102" s="1432" customFormat="1">
      <c r="A14" s="1810" t="s">
        <v>9</v>
      </c>
      <c r="B14" s="1811" t="s">
        <v>896</v>
      </c>
      <c r="C14" s="1811"/>
      <c r="D14" s="1811"/>
      <c r="E14" s="1811"/>
      <c r="F14" s="3715">
        <f t="shared" ref="F14:G14" si="0">SUM(F15,F20,F21,F24,F25,F26,F29,F30,F27,F28)</f>
        <v>17291694.066666666</v>
      </c>
      <c r="G14" s="3715">
        <f t="shared" si="0"/>
        <v>8613624</v>
      </c>
      <c r="H14" s="3715">
        <f>SUM(H15,H20,H21,H24,H25,H26,H29,H30,H27,H28)</f>
        <v>8678070.0666666664</v>
      </c>
    </row>
    <row r="15" spans="1:102" s="1432" customFormat="1">
      <c r="A15" s="1813">
        <v>1</v>
      </c>
      <c r="B15" s="1814" t="s">
        <v>93</v>
      </c>
      <c r="C15" s="1814"/>
      <c r="D15" s="1814"/>
      <c r="E15" s="1814"/>
      <c r="F15" s="3716">
        <f>SUM(F16:F19)</f>
        <v>4091000</v>
      </c>
      <c r="G15" s="3716">
        <f>SUM(G16:G19)</f>
        <v>2590000</v>
      </c>
      <c r="H15" s="3716">
        <f>SUM(H16:H19)</f>
        <v>1501000</v>
      </c>
    </row>
    <row r="16" spans="1:102" s="1432" customFormat="1">
      <c r="A16" s="1447" t="s">
        <v>34</v>
      </c>
      <c r="B16" s="75" t="s">
        <v>1305</v>
      </c>
      <c r="C16" s="75"/>
      <c r="D16" s="75"/>
      <c r="E16" s="75"/>
      <c r="F16" s="3717">
        <f>G16+H16</f>
        <v>1061000</v>
      </c>
      <c r="G16" s="3717">
        <f>'Phụ lục số 2'!S10</f>
        <v>540000</v>
      </c>
      <c r="H16" s="3717">
        <f>'Phụ lục số 2'!T10</f>
        <v>521000</v>
      </c>
    </row>
    <row r="17" spans="1:12" s="1432" customFormat="1">
      <c r="A17" s="1447" t="s">
        <v>35</v>
      </c>
      <c r="B17" s="75" t="s">
        <v>391</v>
      </c>
      <c r="C17" s="75"/>
      <c r="D17" s="75"/>
      <c r="E17" s="75"/>
      <c r="F17" s="3717">
        <f t="shared" ref="F17:F30" si="1">G17+H17</f>
        <v>1080000</v>
      </c>
      <c r="G17" s="3717">
        <f>'Phụ lục số 2'!S11</f>
        <v>100000</v>
      </c>
      <c r="H17" s="3717">
        <f>'Phụ lục số 2'!T11</f>
        <v>980000</v>
      </c>
    </row>
    <row r="18" spans="1:12" s="1817" customFormat="1">
      <c r="A18" s="1447" t="s">
        <v>36</v>
      </c>
      <c r="B18" s="75" t="s">
        <v>1378</v>
      </c>
      <c r="C18" s="75"/>
      <c r="D18" s="75"/>
      <c r="E18" s="75"/>
      <c r="F18" s="3717">
        <f t="shared" si="1"/>
        <v>1950000</v>
      </c>
      <c r="G18" s="3717">
        <f>'Phụ lục số 2'!S12</f>
        <v>1950000</v>
      </c>
      <c r="H18" s="3717">
        <f>'Phụ lục số 2'!T12</f>
        <v>0</v>
      </c>
    </row>
    <row r="19" spans="1:12" s="1817" customFormat="1">
      <c r="A19" s="1447" t="s">
        <v>37</v>
      </c>
      <c r="B19" s="75" t="s">
        <v>118</v>
      </c>
      <c r="C19" s="75"/>
      <c r="D19" s="75"/>
      <c r="E19" s="75"/>
      <c r="F19" s="3717">
        <f t="shared" si="1"/>
        <v>0</v>
      </c>
      <c r="G19" s="3717">
        <f>'Phụ lục số 2'!S13</f>
        <v>0</v>
      </c>
      <c r="H19" s="3717">
        <f>'Phụ lục số 2'!T13</f>
        <v>0</v>
      </c>
    </row>
    <row r="20" spans="1:12" s="1817" customFormat="1">
      <c r="A20" s="1813">
        <v>2</v>
      </c>
      <c r="B20" s="1814" t="s">
        <v>58</v>
      </c>
      <c r="C20" s="1814"/>
      <c r="D20" s="1814"/>
      <c r="E20" s="1814"/>
      <c r="F20" s="3716">
        <f t="shared" si="1"/>
        <v>9353865</v>
      </c>
      <c r="G20" s="3716">
        <f>'Phụ lục số 2'!S15</f>
        <v>3168035</v>
      </c>
      <c r="H20" s="3716">
        <f>'Phụ lục số 2'!T15</f>
        <v>6185830</v>
      </c>
    </row>
    <row r="21" spans="1:12" s="1818" customFormat="1">
      <c r="A21" s="1813">
        <v>3</v>
      </c>
      <c r="B21" s="1814" t="s">
        <v>1784</v>
      </c>
      <c r="C21" s="1814"/>
      <c r="D21" s="1814"/>
      <c r="E21" s="1814"/>
      <c r="F21" s="3716">
        <f>SUM(F22:F23)</f>
        <v>2597007</v>
      </c>
      <c r="G21" s="3716">
        <f>SUM(G22:G23)</f>
        <v>2597007</v>
      </c>
      <c r="H21" s="3716">
        <f>SUM(H22:H23)</f>
        <v>0</v>
      </c>
    </row>
    <row r="22" spans="1:12" s="1432" customFormat="1">
      <c r="A22" s="1819" t="s">
        <v>34</v>
      </c>
      <c r="B22" s="1820" t="s">
        <v>1783</v>
      </c>
      <c r="C22" s="1820"/>
      <c r="D22" s="1820"/>
      <c r="E22" s="1820"/>
      <c r="F22" s="3718">
        <f t="shared" si="1"/>
        <v>2417971</v>
      </c>
      <c r="G22" s="3718">
        <f>'Phụ lục số 2'!S36</f>
        <v>2417971</v>
      </c>
      <c r="H22" s="3718">
        <f>'Phụ lục số 2'!T36</f>
        <v>0</v>
      </c>
    </row>
    <row r="23" spans="1:12" s="1432" customFormat="1">
      <c r="A23" s="1819" t="s">
        <v>35</v>
      </c>
      <c r="B23" s="1820" t="s">
        <v>1782</v>
      </c>
      <c r="C23" s="1820"/>
      <c r="D23" s="1820"/>
      <c r="E23" s="1820"/>
      <c r="F23" s="3718">
        <f t="shared" si="1"/>
        <v>179036</v>
      </c>
      <c r="G23" s="3718">
        <f>'Phụ lục số 2'!S37</f>
        <v>179036</v>
      </c>
      <c r="H23" s="3718">
        <f>'Phụ lục số 2'!T37</f>
        <v>0</v>
      </c>
    </row>
    <row r="24" spans="1:12" s="1239" customFormat="1">
      <c r="A24" s="1813">
        <v>4</v>
      </c>
      <c r="B24" s="1814" t="s">
        <v>60</v>
      </c>
      <c r="C24" s="1814"/>
      <c r="D24" s="1814"/>
      <c r="E24" s="1814"/>
      <c r="F24" s="3716">
        <f t="shared" si="1"/>
        <v>2000</v>
      </c>
      <c r="G24" s="3716">
        <f>'Phụ lục số 2'!S29</f>
        <v>2000</v>
      </c>
      <c r="H24" s="3716">
        <f>'Phụ lục số 2'!T29</f>
        <v>0</v>
      </c>
    </row>
    <row r="25" spans="1:12" s="1239" customFormat="1">
      <c r="A25" s="1813">
        <v>5</v>
      </c>
      <c r="B25" s="1814" t="s">
        <v>61</v>
      </c>
      <c r="C25" s="1814"/>
      <c r="D25" s="1814"/>
      <c r="E25" s="1814"/>
      <c r="F25" s="3716">
        <f>G25+H25</f>
        <v>274623</v>
      </c>
      <c r="G25" s="3716">
        <f>'Phụ lục số 2'!S30</f>
        <v>135382</v>
      </c>
      <c r="H25" s="3716">
        <f>'Phụ lục số 2'!T30</f>
        <v>139241</v>
      </c>
    </row>
    <row r="26" spans="1:12" s="1239" customFormat="1">
      <c r="A26" s="1813">
        <v>6</v>
      </c>
      <c r="B26" s="1814" t="s">
        <v>146</v>
      </c>
      <c r="C26" s="1814"/>
      <c r="D26" s="1814"/>
      <c r="E26" s="1814"/>
      <c r="F26" s="3716">
        <f t="shared" si="1"/>
        <v>431000</v>
      </c>
      <c r="G26" s="3716">
        <f>'Phụ lục số 2'!S31</f>
        <v>89700</v>
      </c>
      <c r="H26" s="3716">
        <f>'Phụ lục số 2'!T31</f>
        <v>341300</v>
      </c>
    </row>
    <row r="27" spans="1:12">
      <c r="A27" s="1801">
        <v>7</v>
      </c>
      <c r="B27" s="76" t="s">
        <v>228</v>
      </c>
      <c r="C27" s="76"/>
      <c r="D27" s="76"/>
      <c r="E27" s="76"/>
      <c r="F27" s="3719">
        <f t="shared" si="1"/>
        <v>357489.34666666656</v>
      </c>
      <c r="G27" s="3719">
        <f>'Phụ lục số 2'!S32</f>
        <v>0</v>
      </c>
      <c r="H27" s="3719">
        <f>'Phụ lục số 2'!T32</f>
        <v>357489.34666666656</v>
      </c>
    </row>
    <row r="28" spans="1:12">
      <c r="A28" s="1801">
        <v>8</v>
      </c>
      <c r="B28" s="76" t="s">
        <v>231</v>
      </c>
      <c r="C28" s="76"/>
      <c r="D28" s="76"/>
      <c r="E28" s="76"/>
      <c r="F28" s="3719">
        <f t="shared" si="1"/>
        <v>153209.71999999997</v>
      </c>
      <c r="G28" s="3719">
        <f>'Phụ lục số 2'!S33</f>
        <v>0</v>
      </c>
      <c r="H28" s="3719">
        <f>'Phụ lục số 2'!T33</f>
        <v>153209.71999999997</v>
      </c>
    </row>
    <row r="29" spans="1:12">
      <c r="A29" s="1801">
        <v>9</v>
      </c>
      <c r="B29" s="44" t="s">
        <v>893</v>
      </c>
      <c r="C29" s="44"/>
      <c r="D29" s="44"/>
      <c r="E29" s="44"/>
      <c r="F29" s="3719">
        <f t="shared" si="1"/>
        <v>0</v>
      </c>
      <c r="G29" s="3719">
        <f>'Phụ lục số 2'!S34</f>
        <v>0</v>
      </c>
      <c r="H29" s="3719">
        <f>'Phụ lục số 2'!T34</f>
        <v>0</v>
      </c>
    </row>
    <row r="30" spans="1:12">
      <c r="A30" s="1801">
        <v>10</v>
      </c>
      <c r="B30" s="44" t="s">
        <v>894</v>
      </c>
      <c r="C30" s="44"/>
      <c r="D30" s="44"/>
      <c r="E30" s="44"/>
      <c r="F30" s="3719">
        <f t="shared" si="1"/>
        <v>31500</v>
      </c>
      <c r="G30" s="3719">
        <f>'Phụ lục số 2'!S39</f>
        <v>31500</v>
      </c>
      <c r="H30" s="3719">
        <f>'Phụ lục số 2'!T39</f>
        <v>0</v>
      </c>
    </row>
    <row r="31" spans="1:12">
      <c r="A31" s="40"/>
      <c r="B31" s="40" t="s">
        <v>2006</v>
      </c>
      <c r="C31" s="40"/>
      <c r="D31" s="40"/>
      <c r="E31" s="40"/>
      <c r="F31" s="3720">
        <f>G31+H31</f>
        <v>-294299.26666666567</v>
      </c>
      <c r="G31" s="3720">
        <f>G9-G14</f>
        <v>4454421.7333333343</v>
      </c>
      <c r="H31" s="3720">
        <f>H9-H14</f>
        <v>-4748721</v>
      </c>
      <c r="L31" s="1805"/>
    </row>
    <row r="32" spans="1:12">
      <c r="A32" s="40" t="s">
        <v>20</v>
      </c>
      <c r="B32" s="41" t="s">
        <v>2007</v>
      </c>
      <c r="C32" s="41"/>
      <c r="D32" s="41"/>
      <c r="E32" s="41"/>
      <c r="F32" s="3720">
        <f>SUM(F33:F36)</f>
        <v>18627409</v>
      </c>
      <c r="G32" s="3720">
        <f>SUM(G33:G36)</f>
        <v>13802329</v>
      </c>
      <c r="H32" s="3720">
        <f>SUM(H33:H36)</f>
        <v>4825080</v>
      </c>
    </row>
    <row r="33" spans="1:8">
      <c r="A33" s="1801">
        <v>1</v>
      </c>
      <c r="B33" s="44" t="s">
        <v>56</v>
      </c>
      <c r="C33" s="44"/>
      <c r="D33" s="44"/>
      <c r="E33" s="44"/>
      <c r="F33" s="3719">
        <f>G33+H33</f>
        <v>8484930</v>
      </c>
      <c r="G33" s="3719">
        <f>'Phụ lục số 1'!AI8</f>
        <v>4545850</v>
      </c>
      <c r="H33" s="3719">
        <f>'Phụ lục số 1'!AJ8</f>
        <v>3939080</v>
      </c>
    </row>
    <row r="34" spans="1:8">
      <c r="A34" s="1801">
        <v>2</v>
      </c>
      <c r="B34" s="44" t="s">
        <v>57</v>
      </c>
      <c r="C34" s="44"/>
      <c r="D34" s="44"/>
      <c r="E34" s="44"/>
      <c r="F34" s="3719">
        <f>G34+H34</f>
        <v>9256479</v>
      </c>
      <c r="G34" s="3719">
        <f>'Phụ lục số 1'!AI52</f>
        <v>9256479</v>
      </c>
      <c r="H34" s="3719">
        <f>'Phụ lục số 1'!AJ52</f>
        <v>0</v>
      </c>
    </row>
    <row r="35" spans="1:8">
      <c r="A35" s="1801">
        <v>3</v>
      </c>
      <c r="B35" s="44" t="s">
        <v>891</v>
      </c>
      <c r="C35" s="44"/>
      <c r="D35" s="44"/>
      <c r="E35" s="44"/>
      <c r="F35" s="3719">
        <f>G35+H35</f>
        <v>886000</v>
      </c>
      <c r="G35" s="3721">
        <f>'Phụ lục số 1'!AI59</f>
        <v>0</v>
      </c>
      <c r="H35" s="3721">
        <f>'Phụ lục số 1'!AJ59</f>
        <v>886000</v>
      </c>
    </row>
    <row r="36" spans="1:8">
      <c r="A36" s="1801">
        <v>4</v>
      </c>
      <c r="B36" s="44" t="s">
        <v>892</v>
      </c>
      <c r="C36" s="44"/>
      <c r="D36" s="44"/>
      <c r="E36" s="44"/>
      <c r="F36" s="3719">
        <f>G36+H36</f>
        <v>0</v>
      </c>
      <c r="G36" s="3721">
        <f>'Phụ lục số 1'!AI60</f>
        <v>0</v>
      </c>
      <c r="H36" s="3721">
        <f>'Phụ lục số 1'!AJ60</f>
        <v>0</v>
      </c>
    </row>
    <row r="37" spans="1:8">
      <c r="A37" s="40" t="s">
        <v>20</v>
      </c>
      <c r="B37" s="41" t="s">
        <v>1786</v>
      </c>
      <c r="C37" s="41"/>
      <c r="D37" s="41"/>
      <c r="E37" s="41"/>
      <c r="F37" s="3720">
        <f>SUM(F38,F44,F45,F48,F49,F50,F53,F54,F51,F52)</f>
        <v>18627408.915999997</v>
      </c>
      <c r="G37" s="3720">
        <f>SUM(G38,G44,G45,G48,G49,G50,G53,G54,G51,G52)</f>
        <v>8719005.568</v>
      </c>
      <c r="H37" s="3720">
        <f t="shared" ref="H37" si="2">SUM(H38,H44,H45,H48,H49,H50,H53,H54,H51,H52)</f>
        <v>9908403.3479999993</v>
      </c>
    </row>
    <row r="38" spans="1:8">
      <c r="A38" s="1801">
        <v>1</v>
      </c>
      <c r="B38" s="44" t="s">
        <v>93</v>
      </c>
      <c r="C38" s="44"/>
      <c r="D38" s="44"/>
      <c r="E38" s="44"/>
      <c r="F38" s="3719">
        <f>SUM(F39:F43)</f>
        <v>4923186.4089698764</v>
      </c>
      <c r="G38" s="3719">
        <f>SUM(G39:G43)</f>
        <v>3199186</v>
      </c>
      <c r="H38" s="3719">
        <f>SUM(H39:H43)</f>
        <v>1724000.4089698761</v>
      </c>
    </row>
    <row r="39" spans="1:8">
      <c r="A39" s="1802" t="s">
        <v>34</v>
      </c>
      <c r="B39" s="16" t="s">
        <v>1305</v>
      </c>
      <c r="C39" s="16"/>
      <c r="D39" s="16"/>
      <c r="E39" s="16"/>
      <c r="F39" s="3722">
        <f t="shared" ref="F39:F44" si="3">G39+H39</f>
        <v>1143186.4089698761</v>
      </c>
      <c r="G39" s="3722">
        <f>'Phụ lục số 2'!AA10</f>
        <v>562186</v>
      </c>
      <c r="H39" s="3722">
        <f>'Phụ lục số 2'!AB10</f>
        <v>581000.40896987612</v>
      </c>
    </row>
    <row r="40" spans="1:8">
      <c r="A40" s="1802" t="s">
        <v>35</v>
      </c>
      <c r="B40" s="16" t="s">
        <v>391</v>
      </c>
      <c r="C40" s="16"/>
      <c r="D40" s="16"/>
      <c r="E40" s="16"/>
      <c r="F40" s="3722">
        <f t="shared" si="3"/>
        <v>1770000</v>
      </c>
      <c r="G40" s="3722">
        <f>'Phụ lục số 2'!AA11</f>
        <v>627000</v>
      </c>
      <c r="H40" s="3722">
        <f>'Phụ lục số 2'!AB11</f>
        <v>1143000</v>
      </c>
    </row>
    <row r="41" spans="1:8">
      <c r="A41" s="1802" t="s">
        <v>36</v>
      </c>
      <c r="B41" s="16" t="s">
        <v>1378</v>
      </c>
      <c r="C41" s="16"/>
      <c r="D41" s="16"/>
      <c r="E41" s="16"/>
      <c r="F41" s="3722">
        <f t="shared" si="3"/>
        <v>1950000</v>
      </c>
      <c r="G41" s="3722">
        <f>'Phụ lục số 2'!AA12</f>
        <v>1950000</v>
      </c>
      <c r="H41" s="3722">
        <f>'Phụ lục số 2'!AB12</f>
        <v>0</v>
      </c>
    </row>
    <row r="42" spans="1:8">
      <c r="A42" s="1802" t="s">
        <v>37</v>
      </c>
      <c r="B42" s="16" t="str">
        <f>'Phụ lục số 2'!B13</f>
        <v>Chi đầu tư từ nguồn thu thoái vốn doanh nghiệp nhà nước địa phương quản lý;…</v>
      </c>
      <c r="C42" s="16"/>
      <c r="D42" s="16"/>
      <c r="E42" s="16"/>
      <c r="F42" s="3722">
        <f t="shared" si="3"/>
        <v>0</v>
      </c>
      <c r="G42" s="3722">
        <f>'Phụ lục số 2'!AA13</f>
        <v>0</v>
      </c>
      <c r="H42" s="3722">
        <f>'Phụ lục số 2'!AB13</f>
        <v>0</v>
      </c>
    </row>
    <row r="43" spans="1:8">
      <c r="A43" s="1802"/>
      <c r="B43" s="16" t="str">
        <f>'Phụ lục số 2'!B14</f>
        <v>Chi đầu tư phát triển khác (Ủy thác qua NH Chính sách xã hội chi nhánh tỉnh Đồng Tháp)</v>
      </c>
      <c r="C43" s="16"/>
      <c r="D43" s="16"/>
      <c r="E43" s="16"/>
      <c r="F43" s="3722">
        <f t="shared" si="3"/>
        <v>60000</v>
      </c>
      <c r="G43" s="3722">
        <f>'Phụ lục số 2'!AA14</f>
        <v>60000</v>
      </c>
      <c r="H43" s="3722"/>
    </row>
    <row r="44" spans="1:8">
      <c r="A44" s="1801">
        <v>2</v>
      </c>
      <c r="B44" s="44" t="s">
        <v>58</v>
      </c>
      <c r="C44" s="44"/>
      <c r="D44" s="44"/>
      <c r="E44" s="44"/>
      <c r="F44" s="3719">
        <f t="shared" si="3"/>
        <v>10664978.394711081</v>
      </c>
      <c r="G44" s="3719">
        <f>'Phụ lục số 2'!AA15</f>
        <v>3294440</v>
      </c>
      <c r="H44" s="3719">
        <f>'Phụ lục số 2'!AB15</f>
        <v>7370538.3947110809</v>
      </c>
    </row>
    <row r="45" spans="1:8">
      <c r="A45" s="1801">
        <v>3</v>
      </c>
      <c r="B45" s="44" t="s">
        <v>1784</v>
      </c>
      <c r="C45" s="44"/>
      <c r="D45" s="44"/>
      <c r="E45" s="44"/>
      <c r="F45" s="3719">
        <f>SUM(F46:F47)</f>
        <v>1988976</v>
      </c>
      <c r="G45" s="3719">
        <f>SUM(G46:G47)</f>
        <v>1988976</v>
      </c>
      <c r="H45" s="3719">
        <f>SUM(H46:H47)</f>
        <v>0</v>
      </c>
    </row>
    <row r="46" spans="1:8">
      <c r="A46" s="1803" t="s">
        <v>34</v>
      </c>
      <c r="B46" s="46" t="s">
        <v>1783</v>
      </c>
      <c r="C46" s="46"/>
      <c r="D46" s="46"/>
      <c r="E46" s="46"/>
      <c r="F46" s="3723">
        <f t="shared" ref="F46:F54" si="4">G46+H46</f>
        <v>1814491</v>
      </c>
      <c r="G46" s="3723">
        <f>'Phụ lục số 2'!AA36</f>
        <v>1814491</v>
      </c>
      <c r="H46" s="3723">
        <f>'Phụ lục số 2'!AB36</f>
        <v>0</v>
      </c>
    </row>
    <row r="47" spans="1:8">
      <c r="A47" s="1803" t="s">
        <v>35</v>
      </c>
      <c r="B47" s="46" t="s">
        <v>1782</v>
      </c>
      <c r="C47" s="46"/>
      <c r="D47" s="46"/>
      <c r="E47" s="46"/>
      <c r="F47" s="3723">
        <f t="shared" si="4"/>
        <v>174485</v>
      </c>
      <c r="G47" s="3723">
        <f>'Phụ lục số 2'!AA37</f>
        <v>174485</v>
      </c>
      <c r="H47" s="3723">
        <f>'Phụ lục số 2'!AB37</f>
        <v>0</v>
      </c>
    </row>
    <row r="48" spans="1:8">
      <c r="A48" s="1801">
        <v>4</v>
      </c>
      <c r="B48" s="44" t="s">
        <v>60</v>
      </c>
      <c r="C48" s="44"/>
      <c r="D48" s="44"/>
      <c r="E48" s="44"/>
      <c r="F48" s="3719">
        <f t="shared" si="4"/>
        <v>2000</v>
      </c>
      <c r="G48" s="3719">
        <f>'Phụ lục số 2'!AA29</f>
        <v>2000</v>
      </c>
      <c r="H48" s="3719">
        <f>'Phụ lục số 2'!AB29</f>
        <v>0</v>
      </c>
    </row>
    <row r="49" spans="1:8">
      <c r="A49" s="1801">
        <v>5</v>
      </c>
      <c r="B49" s="44" t="s">
        <v>61</v>
      </c>
      <c r="C49" s="44"/>
      <c r="D49" s="44"/>
      <c r="E49" s="44"/>
      <c r="F49" s="3719">
        <f t="shared" si="4"/>
        <v>327868.91231904214</v>
      </c>
      <c r="G49" s="3719">
        <f>'Phụ lục số 2'!AA30</f>
        <v>152264.36799999999</v>
      </c>
      <c r="H49" s="3719">
        <f>'Phụ lục số 2'!AB30</f>
        <v>175604.54431904212</v>
      </c>
    </row>
    <row r="50" spans="1:8">
      <c r="A50" s="1801">
        <v>6</v>
      </c>
      <c r="B50" s="44" t="s">
        <v>146</v>
      </c>
      <c r="C50" s="44"/>
      <c r="D50" s="44"/>
      <c r="E50" s="44"/>
      <c r="F50" s="3719">
        <f t="shared" si="4"/>
        <v>0</v>
      </c>
      <c r="G50" s="3719">
        <f>'Phụ lục số 2'!AA31</f>
        <v>0</v>
      </c>
      <c r="H50" s="3719">
        <f>'Phụ lục số 2'!AB31</f>
        <v>0</v>
      </c>
    </row>
    <row r="51" spans="1:8" s="43" customFormat="1">
      <c r="A51" s="1801">
        <v>7</v>
      </c>
      <c r="B51" s="1809" t="s">
        <v>228</v>
      </c>
      <c r="C51" s="1809"/>
      <c r="D51" s="1809"/>
      <c r="E51" s="1809"/>
      <c r="F51" s="3719">
        <f t="shared" si="4"/>
        <v>717399.2</v>
      </c>
      <c r="G51" s="3719">
        <f>'Phụ lục số 2'!AA32</f>
        <v>79139.200000000012</v>
      </c>
      <c r="H51" s="3719">
        <f>'Phụ lục số 2'!AB32</f>
        <v>638260</v>
      </c>
    </row>
    <row r="52" spans="1:8" s="43" customFormat="1">
      <c r="A52" s="1801">
        <v>8</v>
      </c>
      <c r="B52" s="1809" t="s">
        <v>231</v>
      </c>
      <c r="C52" s="1809"/>
      <c r="D52" s="1809"/>
      <c r="E52" s="1809"/>
      <c r="F52" s="3719">
        <f t="shared" si="4"/>
        <v>0</v>
      </c>
      <c r="G52" s="3719">
        <f>'Phụ lục số 2'!AA33</f>
        <v>0</v>
      </c>
      <c r="H52" s="3719">
        <f>'Phụ lục số 2'!AB33</f>
        <v>0</v>
      </c>
    </row>
    <row r="53" spans="1:8">
      <c r="A53" s="1801">
        <v>9</v>
      </c>
      <c r="B53" s="44" t="s">
        <v>893</v>
      </c>
      <c r="C53" s="44"/>
      <c r="D53" s="44"/>
      <c r="E53" s="44"/>
      <c r="F53" s="3719">
        <f t="shared" si="4"/>
        <v>3000</v>
      </c>
      <c r="G53" s="3719">
        <f>'Phụ lục số 2'!AA34</f>
        <v>3000</v>
      </c>
      <c r="H53" s="3719">
        <f>'Phụ lục số 2'!AB34</f>
        <v>0</v>
      </c>
    </row>
    <row r="54" spans="1:8">
      <c r="A54" s="1801">
        <v>10</v>
      </c>
      <c r="B54" s="44" t="s">
        <v>894</v>
      </c>
      <c r="C54" s="44"/>
      <c r="D54" s="44"/>
      <c r="E54" s="44"/>
      <c r="F54" s="3719">
        <f t="shared" si="4"/>
        <v>0</v>
      </c>
      <c r="G54" s="3719">
        <f>'Phụ lục số 2'!AA39</f>
        <v>0</v>
      </c>
      <c r="H54" s="3719">
        <f>'Phụ lục số 2'!AB39</f>
        <v>0</v>
      </c>
    </row>
    <row r="55" spans="1:8" s="48" customFormat="1" ht="17.399999999999999">
      <c r="A55" s="40"/>
      <c r="B55" s="40" t="s">
        <v>1785</v>
      </c>
      <c r="C55" s="40"/>
      <c r="D55" s="40"/>
      <c r="E55" s="40"/>
      <c r="F55" s="3720">
        <f>G55+H55</f>
        <v>8.4000000730156898E-2</v>
      </c>
      <c r="G55" s="3720">
        <f>G32-G37</f>
        <v>5083323.432</v>
      </c>
      <c r="H55" s="3720">
        <f>H32-H37</f>
        <v>-5083323.3479999993</v>
      </c>
    </row>
  </sheetData>
  <mergeCells count="5">
    <mergeCell ref="A1:H1"/>
    <mergeCell ref="F4:H4"/>
    <mergeCell ref="B4:B5"/>
    <mergeCell ref="A4:A5"/>
    <mergeCell ref="C4:E4"/>
  </mergeCells>
  <hyperlinks>
    <hyperlink ref="A4" location="'List danh mục'!A1" display="STT"/>
  </hyperlinks>
  <printOptions horizontalCentered="1"/>
  <pageMargins left="0" right="0" top="0.39370078740157483" bottom="0" header="0" footer="0"/>
  <pageSetup paperSize="9" scale="85" orientation="portrait" verticalDpi="0" r:id="rId1"/>
  <headerFooter>
    <oddHeader>&amp;R&amp;A</oddHeader>
    <oddFooter>&amp;C&amp;P/&amp;N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U51"/>
  <sheetViews>
    <sheetView workbookViewId="0">
      <selection activeCell="D7" sqref="D7"/>
    </sheetView>
  </sheetViews>
  <sheetFormatPr defaultColWidth="9" defaultRowHeight="18"/>
  <cols>
    <col min="1" max="1" width="7.09765625" style="20" customWidth="1"/>
    <col min="2" max="2" width="48.69921875" style="37" customWidth="1"/>
    <col min="3" max="3" width="16.09765625" style="37" customWidth="1"/>
    <col min="4" max="4" width="15.69921875" style="37" customWidth="1"/>
    <col min="5" max="5" width="13.5" style="37" customWidth="1"/>
    <col min="6" max="8" width="9" style="37" customWidth="1"/>
    <col min="9" max="9" width="10.59765625" style="37" bestFit="1" customWidth="1"/>
    <col min="10" max="16384" width="9" style="37"/>
  </cols>
  <sheetData>
    <row r="1" spans="1:99">
      <c r="A1" s="4299" t="s">
        <v>1762</v>
      </c>
      <c r="B1" s="4299"/>
      <c r="C1" s="4299"/>
      <c r="D1" s="4299"/>
      <c r="E1" s="4299"/>
      <c r="AD1" s="37" t="s">
        <v>635</v>
      </c>
      <c r="AI1" s="38"/>
      <c r="AQ1" s="38"/>
      <c r="AY1" s="38"/>
      <c r="BG1" s="38"/>
      <c r="BO1" s="38"/>
      <c r="BW1" s="38"/>
      <c r="CE1" s="38"/>
      <c r="CM1" s="38"/>
      <c r="CU1" s="38"/>
    </row>
    <row r="2" spans="1:99">
      <c r="A2" s="38"/>
      <c r="B2" s="38"/>
      <c r="C2" s="38"/>
      <c r="D2" s="38"/>
      <c r="E2" s="38"/>
      <c r="AI2" s="38"/>
      <c r="AQ2" s="38"/>
      <c r="AY2" s="38"/>
      <c r="BG2" s="38"/>
      <c r="BO2" s="38"/>
      <c r="BW2" s="38"/>
      <c r="CE2" s="38"/>
      <c r="CM2" s="38"/>
      <c r="CU2" s="38"/>
    </row>
    <row r="3" spans="1:99">
      <c r="A3" s="38"/>
      <c r="B3" s="38"/>
      <c r="C3" s="38"/>
      <c r="D3" s="38"/>
      <c r="E3" s="39" t="s">
        <v>64</v>
      </c>
    </row>
    <row r="4" spans="1:99" ht="34.799999999999997">
      <c r="A4" s="2143" t="s">
        <v>244</v>
      </c>
      <c r="B4" s="7" t="s">
        <v>791</v>
      </c>
      <c r="C4" s="1799" t="s">
        <v>887</v>
      </c>
      <c r="D4" s="1799" t="s">
        <v>888</v>
      </c>
      <c r="E4" s="1799" t="s">
        <v>889</v>
      </c>
    </row>
    <row r="5" spans="1:99" s="1432" customFormat="1">
      <c r="A5" s="1810" t="s">
        <v>9</v>
      </c>
      <c r="B5" s="1811" t="s">
        <v>895</v>
      </c>
      <c r="C5" s="1812">
        <f>SUM(C6:C9)</f>
        <v>16997394.800000001</v>
      </c>
      <c r="D5" s="1812">
        <f>SUM(D6:D9)</f>
        <v>13068045.733333334</v>
      </c>
      <c r="E5" s="1812">
        <f>SUM(E6:E9)</f>
        <v>3929349.0666666664</v>
      </c>
    </row>
    <row r="6" spans="1:99" s="1432" customFormat="1">
      <c r="A6" s="1813">
        <v>1</v>
      </c>
      <c r="B6" s="1814" t="s">
        <v>890</v>
      </c>
      <c r="C6" s="1815">
        <f>D6+E6</f>
        <v>7450399.7999999998</v>
      </c>
      <c r="D6" s="1815">
        <f>'Phụ lục số 1'!X8</f>
        <v>3862350.7333333334</v>
      </c>
      <c r="E6" s="1815">
        <f>'Phụ lục số 1'!Y8</f>
        <v>3588049.0666666664</v>
      </c>
    </row>
    <row r="7" spans="1:99" s="1432" customFormat="1">
      <c r="A7" s="1813">
        <v>2</v>
      </c>
      <c r="B7" s="1814" t="s">
        <v>57</v>
      </c>
      <c r="C7" s="1815">
        <f>D7+E7</f>
        <v>9084495</v>
      </c>
      <c r="D7" s="1815">
        <f>'Phụ lục số 1'!X52</f>
        <v>9084495</v>
      </c>
      <c r="E7" s="1815">
        <f>'Phụ lục số 1'!Y52</f>
        <v>0</v>
      </c>
      <c r="F7" s="1432">
        <f>223000+316490</f>
        <v>539490</v>
      </c>
      <c r="G7" s="1432">
        <f>+F7/1153620%</f>
        <v>46.764965933322927</v>
      </c>
    </row>
    <row r="8" spans="1:99" s="1432" customFormat="1">
      <c r="A8" s="1813">
        <v>3</v>
      </c>
      <c r="B8" s="1814" t="s">
        <v>891</v>
      </c>
      <c r="C8" s="1815">
        <f>D8+E8</f>
        <v>431000</v>
      </c>
      <c r="D8" s="1815">
        <f>'Phụ lục số 1'!X59</f>
        <v>89700</v>
      </c>
      <c r="E8" s="1815">
        <f>'Phụ lục số 1'!Y59</f>
        <v>341300</v>
      </c>
    </row>
    <row r="9" spans="1:99" s="1239" customFormat="1">
      <c r="A9" s="1813">
        <v>4</v>
      </c>
      <c r="B9" s="1814" t="s">
        <v>892</v>
      </c>
      <c r="C9" s="1815">
        <f>D9+E9</f>
        <v>31500</v>
      </c>
      <c r="D9" s="1815">
        <f>'Phụ lục số 1'!X60</f>
        <v>31500</v>
      </c>
      <c r="E9" s="1815">
        <f>'Phụ lục số 1'!Y60</f>
        <v>0</v>
      </c>
    </row>
    <row r="10" spans="1:99" s="1432" customFormat="1">
      <c r="A10" s="1810" t="s">
        <v>9</v>
      </c>
      <c r="B10" s="1811" t="s">
        <v>896</v>
      </c>
      <c r="C10" s="1812">
        <f t="shared" ref="C10:D10" si="0">SUM(C11,C16,C17,C20,C21,C22,C25,C26,C23,C24)</f>
        <v>17291694.066666666</v>
      </c>
      <c r="D10" s="1812">
        <f t="shared" si="0"/>
        <v>8613624</v>
      </c>
      <c r="E10" s="1812">
        <f>SUM(E11,E16,E17,E20,E21,E22,E25,E26,E23,E24)</f>
        <v>8678070.0666666664</v>
      </c>
    </row>
    <row r="11" spans="1:99" s="1432" customFormat="1">
      <c r="A11" s="1813">
        <v>1</v>
      </c>
      <c r="B11" s="1814" t="s">
        <v>93</v>
      </c>
      <c r="C11" s="1815">
        <f>SUM(C12:C15)</f>
        <v>4091000</v>
      </c>
      <c r="D11" s="1815">
        <f>SUM(D12:D15)</f>
        <v>2590000</v>
      </c>
      <c r="E11" s="1815">
        <f>SUM(E12:E15)</f>
        <v>1501000</v>
      </c>
    </row>
    <row r="12" spans="1:99" s="1432" customFormat="1">
      <c r="A12" s="1447" t="s">
        <v>34</v>
      </c>
      <c r="B12" s="75" t="s">
        <v>1305</v>
      </c>
      <c r="C12" s="1816">
        <f>D12+E12</f>
        <v>1061000</v>
      </c>
      <c r="D12" s="1816">
        <f>'Phụ lục số 2'!S10</f>
        <v>540000</v>
      </c>
      <c r="E12" s="1816">
        <f>'Phụ lục số 2'!T10</f>
        <v>521000</v>
      </c>
    </row>
    <row r="13" spans="1:99" s="1432" customFormat="1">
      <c r="A13" s="1447" t="s">
        <v>35</v>
      </c>
      <c r="B13" s="75" t="s">
        <v>391</v>
      </c>
      <c r="C13" s="1816">
        <f t="shared" ref="C13:C26" si="1">D13+E13</f>
        <v>1080000</v>
      </c>
      <c r="D13" s="1816">
        <f>'Phụ lục số 2'!S11</f>
        <v>100000</v>
      </c>
      <c r="E13" s="1816">
        <f>'Phụ lục số 2'!T11</f>
        <v>980000</v>
      </c>
    </row>
    <row r="14" spans="1:99" s="1817" customFormat="1">
      <c r="A14" s="1447" t="s">
        <v>36</v>
      </c>
      <c r="B14" s="75" t="s">
        <v>1378</v>
      </c>
      <c r="C14" s="1816">
        <f t="shared" si="1"/>
        <v>1950000</v>
      </c>
      <c r="D14" s="1816">
        <f>'Phụ lục số 2'!S12</f>
        <v>1950000</v>
      </c>
      <c r="E14" s="1816">
        <f>'Phụ lục số 2'!T12</f>
        <v>0</v>
      </c>
    </row>
    <row r="15" spans="1:99" s="1817" customFormat="1">
      <c r="A15" s="1447" t="s">
        <v>37</v>
      </c>
      <c r="B15" s="75" t="s">
        <v>118</v>
      </c>
      <c r="C15" s="1816">
        <f t="shared" si="1"/>
        <v>0</v>
      </c>
      <c r="D15" s="1816">
        <f>'Phụ lục số 2'!S13</f>
        <v>0</v>
      </c>
      <c r="E15" s="1816">
        <f>'Phụ lục số 2'!T13</f>
        <v>0</v>
      </c>
    </row>
    <row r="16" spans="1:99" s="1817" customFormat="1">
      <c r="A16" s="1813">
        <v>2</v>
      </c>
      <c r="B16" s="1814" t="s">
        <v>58</v>
      </c>
      <c r="C16" s="1815">
        <f t="shared" si="1"/>
        <v>9353865</v>
      </c>
      <c r="D16" s="1815">
        <f>'Phụ lục số 2'!S15</f>
        <v>3168035</v>
      </c>
      <c r="E16" s="1815">
        <f>'Phụ lục số 2'!T15</f>
        <v>6185830</v>
      </c>
    </row>
    <row r="17" spans="1:9" s="1818" customFormat="1">
      <c r="A17" s="1813">
        <v>3</v>
      </c>
      <c r="B17" s="1814" t="s">
        <v>1784</v>
      </c>
      <c r="C17" s="1815">
        <f>SUM(C18:C19)</f>
        <v>2597007</v>
      </c>
      <c r="D17" s="1815">
        <f>SUM(D18:D19)</f>
        <v>2597007</v>
      </c>
      <c r="E17" s="1815">
        <f>SUM(E18:E19)</f>
        <v>0</v>
      </c>
    </row>
    <row r="18" spans="1:9" s="1432" customFormat="1">
      <c r="A18" s="1819" t="s">
        <v>34</v>
      </c>
      <c r="B18" s="1820" t="s">
        <v>1783</v>
      </c>
      <c r="C18" s="1821">
        <f t="shared" si="1"/>
        <v>2417971</v>
      </c>
      <c r="D18" s="1821">
        <f>'Phụ lục số 2'!S36</f>
        <v>2417971</v>
      </c>
      <c r="E18" s="1821">
        <f>'Phụ lục số 2'!T36</f>
        <v>0</v>
      </c>
    </row>
    <row r="19" spans="1:9" s="1432" customFormat="1">
      <c r="A19" s="1819" t="s">
        <v>35</v>
      </c>
      <c r="B19" s="1820" t="s">
        <v>1782</v>
      </c>
      <c r="C19" s="1821">
        <f t="shared" si="1"/>
        <v>179036</v>
      </c>
      <c r="D19" s="1821">
        <f>'Phụ lục số 2'!S37</f>
        <v>179036</v>
      </c>
      <c r="E19" s="1821">
        <f>'Phụ lục số 2'!T37</f>
        <v>0</v>
      </c>
    </row>
    <row r="20" spans="1:9" s="1239" customFormat="1">
      <c r="A20" s="1813">
        <v>4</v>
      </c>
      <c r="B20" s="1814" t="s">
        <v>60</v>
      </c>
      <c r="C20" s="1815">
        <f t="shared" si="1"/>
        <v>2000</v>
      </c>
      <c r="D20" s="1815">
        <f>'Phụ lục số 2'!S29</f>
        <v>2000</v>
      </c>
      <c r="E20" s="1815">
        <f>'Phụ lục số 2'!T29</f>
        <v>0</v>
      </c>
    </row>
    <row r="21" spans="1:9" s="1239" customFormat="1">
      <c r="A21" s="1813">
        <v>5</v>
      </c>
      <c r="B21" s="1814" t="s">
        <v>61</v>
      </c>
      <c r="C21" s="1815">
        <f>D21+E21</f>
        <v>274623</v>
      </c>
      <c r="D21" s="1815">
        <f>'Phụ lục số 2'!S30</f>
        <v>135382</v>
      </c>
      <c r="E21" s="1815">
        <f>'Phụ lục số 2'!T30</f>
        <v>139241</v>
      </c>
    </row>
    <row r="22" spans="1:9" s="1239" customFormat="1">
      <c r="A22" s="1813">
        <v>6</v>
      </c>
      <c r="B22" s="1814" t="s">
        <v>146</v>
      </c>
      <c r="C22" s="1815">
        <f t="shared" si="1"/>
        <v>431000</v>
      </c>
      <c r="D22" s="1815">
        <f>'Phụ lục số 2'!S31</f>
        <v>89700</v>
      </c>
      <c r="E22" s="1815">
        <f>'Phụ lục số 2'!T31</f>
        <v>341300</v>
      </c>
    </row>
    <row r="23" spans="1:9">
      <c r="A23" s="1801">
        <v>7</v>
      </c>
      <c r="B23" s="76" t="s">
        <v>228</v>
      </c>
      <c r="C23" s="1804">
        <f t="shared" si="1"/>
        <v>357489.34666666656</v>
      </c>
      <c r="D23" s="1804">
        <f>'Phụ lục số 2'!S32</f>
        <v>0</v>
      </c>
      <c r="E23" s="1804">
        <f>'Phụ lục số 2'!T32</f>
        <v>357489.34666666656</v>
      </c>
    </row>
    <row r="24" spans="1:9">
      <c r="A24" s="1801">
        <v>8</v>
      </c>
      <c r="B24" s="76" t="s">
        <v>231</v>
      </c>
      <c r="C24" s="1804">
        <f t="shared" si="1"/>
        <v>153209.71999999997</v>
      </c>
      <c r="D24" s="1804">
        <f>'Phụ lục số 2'!S33</f>
        <v>0</v>
      </c>
      <c r="E24" s="1804">
        <f>'Phụ lục số 2'!T33</f>
        <v>153209.71999999997</v>
      </c>
    </row>
    <row r="25" spans="1:9">
      <c r="A25" s="1801">
        <v>9</v>
      </c>
      <c r="B25" s="44" t="s">
        <v>893</v>
      </c>
      <c r="C25" s="1804">
        <f t="shared" si="1"/>
        <v>0</v>
      </c>
      <c r="D25" s="1804">
        <f>'Phụ lục số 2'!S34</f>
        <v>0</v>
      </c>
      <c r="E25" s="1804">
        <f>'Phụ lục số 2'!T34</f>
        <v>0</v>
      </c>
    </row>
    <row r="26" spans="1:9">
      <c r="A26" s="1801">
        <v>10</v>
      </c>
      <c r="B26" s="44" t="s">
        <v>894</v>
      </c>
      <c r="C26" s="1804">
        <f t="shared" si="1"/>
        <v>31500</v>
      </c>
      <c r="D26" s="1804">
        <f>'Phụ lục số 2'!S39</f>
        <v>31500</v>
      </c>
      <c r="E26" s="1804">
        <f>'Phụ lục số 2'!T39</f>
        <v>0</v>
      </c>
    </row>
    <row r="27" spans="1:9">
      <c r="A27" s="40"/>
      <c r="B27" s="40" t="s">
        <v>2006</v>
      </c>
      <c r="C27" s="1800">
        <f>D27+E27</f>
        <v>-294299.26666666567</v>
      </c>
      <c r="D27" s="1800">
        <f>D5-D10</f>
        <v>4454421.7333333343</v>
      </c>
      <c r="E27" s="1800">
        <f>E5-E10</f>
        <v>-4748721</v>
      </c>
      <c r="I27" s="1805"/>
    </row>
    <row r="28" spans="1:9">
      <c r="A28" s="40" t="s">
        <v>20</v>
      </c>
      <c r="B28" s="41" t="s">
        <v>2007</v>
      </c>
      <c r="C28" s="1800">
        <f>SUM(C29:C32)</f>
        <v>18627409</v>
      </c>
      <c r="D28" s="1800">
        <f>SUM(D29:D32)</f>
        <v>13802329</v>
      </c>
      <c r="E28" s="1800">
        <f>SUM(E29:E32)</f>
        <v>4825080</v>
      </c>
    </row>
    <row r="29" spans="1:9">
      <c r="A29" s="1801">
        <v>1</v>
      </c>
      <c r="B29" s="44" t="s">
        <v>56</v>
      </c>
      <c r="C29" s="1804">
        <f>D29+E29</f>
        <v>8484930</v>
      </c>
      <c r="D29" s="1804">
        <f>'Phụ lục số 1'!AI8</f>
        <v>4545850</v>
      </c>
      <c r="E29" s="1804">
        <f>'Phụ lục số 1'!AJ8</f>
        <v>3939080</v>
      </c>
    </row>
    <row r="30" spans="1:9">
      <c r="A30" s="1801">
        <v>2</v>
      </c>
      <c r="B30" s="44" t="s">
        <v>57</v>
      </c>
      <c r="C30" s="1804">
        <f>D30+E30</f>
        <v>9256479</v>
      </c>
      <c r="D30" s="1804">
        <f>'Phụ lục số 1'!AI52</f>
        <v>9256479</v>
      </c>
      <c r="E30" s="1804">
        <f>'Phụ lục số 1'!AJ52</f>
        <v>0</v>
      </c>
    </row>
    <row r="31" spans="1:9">
      <c r="A31" s="1801">
        <v>3</v>
      </c>
      <c r="B31" s="44" t="s">
        <v>891</v>
      </c>
      <c r="C31" s="1804">
        <f>D31+E31</f>
        <v>886000</v>
      </c>
      <c r="D31" s="1806">
        <f>'Phụ lục số 1'!AI59</f>
        <v>0</v>
      </c>
      <c r="E31" s="1806">
        <f>'Phụ lục số 1'!AJ59</f>
        <v>886000</v>
      </c>
    </row>
    <row r="32" spans="1:9">
      <c r="A32" s="1801">
        <v>4</v>
      </c>
      <c r="B32" s="44" t="s">
        <v>892</v>
      </c>
      <c r="C32" s="1804">
        <f>D32+E32</f>
        <v>0</v>
      </c>
      <c r="D32" s="1806">
        <f>'Phụ lục số 1'!AI60</f>
        <v>0</v>
      </c>
      <c r="E32" s="1806">
        <f>'Phụ lục số 1'!AJ60</f>
        <v>0</v>
      </c>
    </row>
    <row r="33" spans="1:5">
      <c r="A33" s="40" t="s">
        <v>20</v>
      </c>
      <c r="B33" s="41" t="s">
        <v>1786</v>
      </c>
      <c r="C33" s="1800">
        <f>SUM(C34,C40,C41,C44,C45,C46,C49,C50,C47,C48)</f>
        <v>18627408.915999997</v>
      </c>
      <c r="D33" s="1800">
        <f>SUM(D34,D40,D41,D44,D45,D46,D49,D50,D47,D48)</f>
        <v>8719005.568</v>
      </c>
      <c r="E33" s="1800">
        <f t="shared" ref="E33" si="2">SUM(E34,E40,E41,E44,E45,E46,E49,E50,E47,E48)</f>
        <v>9908403.3479999993</v>
      </c>
    </row>
    <row r="34" spans="1:5">
      <c r="A34" s="1801">
        <v>1</v>
      </c>
      <c r="B34" s="44" t="s">
        <v>93</v>
      </c>
      <c r="C34" s="1804">
        <f>SUM(C35:C39)</f>
        <v>4923186.4089698764</v>
      </c>
      <c r="D34" s="1804">
        <f>SUM(D35:D39)</f>
        <v>3199186</v>
      </c>
      <c r="E34" s="1804">
        <f>SUM(E35:E39)</f>
        <v>1724000.4089698761</v>
      </c>
    </row>
    <row r="35" spans="1:5">
      <c r="A35" s="1802" t="s">
        <v>34</v>
      </c>
      <c r="B35" s="16" t="s">
        <v>1305</v>
      </c>
      <c r="C35" s="1389">
        <f t="shared" ref="C35:C40" si="3">D35+E35</f>
        <v>1143186.4089698761</v>
      </c>
      <c r="D35" s="1389">
        <f>'Phụ lục số 2'!AA10</f>
        <v>562186</v>
      </c>
      <c r="E35" s="1389">
        <f>'Phụ lục số 2'!AB10</f>
        <v>581000.40896987612</v>
      </c>
    </row>
    <row r="36" spans="1:5">
      <c r="A36" s="1802" t="s">
        <v>35</v>
      </c>
      <c r="B36" s="16" t="s">
        <v>391</v>
      </c>
      <c r="C36" s="1389">
        <f t="shared" si="3"/>
        <v>1770000</v>
      </c>
      <c r="D36" s="1389">
        <f>'Phụ lục số 2'!AA11</f>
        <v>627000</v>
      </c>
      <c r="E36" s="1389">
        <f>'Phụ lục số 2'!AB11</f>
        <v>1143000</v>
      </c>
    </row>
    <row r="37" spans="1:5">
      <c r="A37" s="1802" t="s">
        <v>36</v>
      </c>
      <c r="B37" s="16" t="s">
        <v>1378</v>
      </c>
      <c r="C37" s="1389">
        <f t="shared" si="3"/>
        <v>1950000</v>
      </c>
      <c r="D37" s="1389">
        <f>'Phụ lục số 2'!AA12</f>
        <v>1950000</v>
      </c>
      <c r="E37" s="1389">
        <f>'Phụ lục số 2'!AB12</f>
        <v>0</v>
      </c>
    </row>
    <row r="38" spans="1:5">
      <c r="A38" s="1802" t="s">
        <v>37</v>
      </c>
      <c r="B38" s="16" t="str">
        <f>'Phụ lục số 2'!B13</f>
        <v>Chi đầu tư từ nguồn thu thoái vốn doanh nghiệp nhà nước địa phương quản lý;…</v>
      </c>
      <c r="C38" s="1389">
        <f t="shared" si="3"/>
        <v>0</v>
      </c>
      <c r="D38" s="1389">
        <f>'Phụ lục số 2'!AA13</f>
        <v>0</v>
      </c>
      <c r="E38" s="1389">
        <f>'Phụ lục số 2'!AB13</f>
        <v>0</v>
      </c>
    </row>
    <row r="39" spans="1:5">
      <c r="A39" s="1802"/>
      <c r="B39" s="16" t="str">
        <f>'Phụ lục số 2'!B14</f>
        <v>Chi đầu tư phát triển khác (Ủy thác qua NH Chính sách xã hội chi nhánh tỉnh Đồng Tháp)</v>
      </c>
      <c r="C39" s="1389">
        <f t="shared" si="3"/>
        <v>60000</v>
      </c>
      <c r="D39" s="1389">
        <f>'Phụ lục số 2'!AA14</f>
        <v>60000</v>
      </c>
      <c r="E39" s="1389"/>
    </row>
    <row r="40" spans="1:5">
      <c r="A40" s="1801">
        <v>2</v>
      </c>
      <c r="B40" s="44" t="s">
        <v>58</v>
      </c>
      <c r="C40" s="1804">
        <f t="shared" si="3"/>
        <v>10664978.394711081</v>
      </c>
      <c r="D40" s="1804">
        <f>'Phụ lục số 2'!AA15</f>
        <v>3294440</v>
      </c>
      <c r="E40" s="1804">
        <f>'Phụ lục số 2'!AB15</f>
        <v>7370538.3947110809</v>
      </c>
    </row>
    <row r="41" spans="1:5">
      <c r="A41" s="1801">
        <v>3</v>
      </c>
      <c r="B41" s="44" t="s">
        <v>1784</v>
      </c>
      <c r="C41" s="1804">
        <f>SUM(C42:C43)</f>
        <v>1988976</v>
      </c>
      <c r="D41" s="1804">
        <f>SUM(D42:D43)</f>
        <v>1988976</v>
      </c>
      <c r="E41" s="1804">
        <f>SUM(E42:E43)</f>
        <v>0</v>
      </c>
    </row>
    <row r="42" spans="1:5">
      <c r="A42" s="1803" t="s">
        <v>34</v>
      </c>
      <c r="B42" s="46" t="s">
        <v>1783</v>
      </c>
      <c r="C42" s="1807">
        <f t="shared" ref="C42:C50" si="4">D42+E42</f>
        <v>1814491</v>
      </c>
      <c r="D42" s="1807">
        <f>'Phụ lục số 2'!AA36</f>
        <v>1814491</v>
      </c>
      <c r="E42" s="1807">
        <f>'Phụ lục số 2'!AB36</f>
        <v>0</v>
      </c>
    </row>
    <row r="43" spans="1:5">
      <c r="A43" s="1803" t="s">
        <v>35</v>
      </c>
      <c r="B43" s="46" t="s">
        <v>1782</v>
      </c>
      <c r="C43" s="1807">
        <f t="shared" si="4"/>
        <v>174485</v>
      </c>
      <c r="D43" s="1807">
        <f>'Phụ lục số 2'!AA37</f>
        <v>174485</v>
      </c>
      <c r="E43" s="1807">
        <f>'Phụ lục số 2'!AB37</f>
        <v>0</v>
      </c>
    </row>
    <row r="44" spans="1:5">
      <c r="A44" s="1801">
        <v>4</v>
      </c>
      <c r="B44" s="44" t="s">
        <v>60</v>
      </c>
      <c r="C44" s="1804">
        <f t="shared" si="4"/>
        <v>2000</v>
      </c>
      <c r="D44" s="1804">
        <f>'Phụ lục số 2'!AA29</f>
        <v>2000</v>
      </c>
      <c r="E44" s="1804">
        <f>'Phụ lục số 2'!AB29</f>
        <v>0</v>
      </c>
    </row>
    <row r="45" spans="1:5">
      <c r="A45" s="1801">
        <v>5</v>
      </c>
      <c r="B45" s="44" t="s">
        <v>61</v>
      </c>
      <c r="C45" s="1804">
        <f t="shared" si="4"/>
        <v>327868.91231904214</v>
      </c>
      <c r="D45" s="1804">
        <f>'Phụ lục số 2'!AA30</f>
        <v>152264.36799999999</v>
      </c>
      <c r="E45" s="1804">
        <f>'Phụ lục số 2'!AB30</f>
        <v>175604.54431904212</v>
      </c>
    </row>
    <row r="46" spans="1:5">
      <c r="A46" s="1801">
        <v>6</v>
      </c>
      <c r="B46" s="44" t="s">
        <v>146</v>
      </c>
      <c r="C46" s="1804">
        <f t="shared" si="4"/>
        <v>0</v>
      </c>
      <c r="D46" s="1804">
        <f>'Phụ lục số 2'!AA31</f>
        <v>0</v>
      </c>
      <c r="E46" s="1804">
        <f>'Phụ lục số 2'!AB31</f>
        <v>0</v>
      </c>
    </row>
    <row r="47" spans="1:5" s="43" customFormat="1">
      <c r="A47" s="1801">
        <v>7</v>
      </c>
      <c r="B47" s="1809" t="s">
        <v>228</v>
      </c>
      <c r="C47" s="1804">
        <f t="shared" si="4"/>
        <v>717399.2</v>
      </c>
      <c r="D47" s="1804">
        <f>'Phụ lục số 2'!AA32</f>
        <v>79139.200000000012</v>
      </c>
      <c r="E47" s="1804">
        <f>'Phụ lục số 2'!AB32</f>
        <v>638260</v>
      </c>
    </row>
    <row r="48" spans="1:5" s="43" customFormat="1">
      <c r="A48" s="1801">
        <v>8</v>
      </c>
      <c r="B48" s="1809" t="s">
        <v>231</v>
      </c>
      <c r="C48" s="1804">
        <f t="shared" si="4"/>
        <v>0</v>
      </c>
      <c r="D48" s="1804">
        <f>'Phụ lục số 2'!AA33</f>
        <v>0</v>
      </c>
      <c r="E48" s="1804">
        <f>'Phụ lục số 2'!AB33</f>
        <v>0</v>
      </c>
    </row>
    <row r="49" spans="1:5">
      <c r="A49" s="1801">
        <v>9</v>
      </c>
      <c r="B49" s="44" t="s">
        <v>893</v>
      </c>
      <c r="C49" s="1804">
        <f t="shared" si="4"/>
        <v>3000</v>
      </c>
      <c r="D49" s="1804">
        <f>'Phụ lục số 2'!AA34</f>
        <v>3000</v>
      </c>
      <c r="E49" s="1804">
        <f>'Phụ lục số 2'!AB34</f>
        <v>0</v>
      </c>
    </row>
    <row r="50" spans="1:5">
      <c r="A50" s="1801">
        <v>10</v>
      </c>
      <c r="B50" s="44" t="s">
        <v>894</v>
      </c>
      <c r="C50" s="1804">
        <f t="shared" si="4"/>
        <v>0</v>
      </c>
      <c r="D50" s="1804">
        <f>'Phụ lục số 2'!AA39</f>
        <v>0</v>
      </c>
      <c r="E50" s="1804">
        <f>'Phụ lục số 2'!AB39</f>
        <v>0</v>
      </c>
    </row>
    <row r="51" spans="1:5" s="48" customFormat="1" ht="17.399999999999999">
      <c r="A51" s="40"/>
      <c r="B51" s="40" t="s">
        <v>1785</v>
      </c>
      <c r="C51" s="1800">
        <f>D51+E51</f>
        <v>8.4000000730156898E-2</v>
      </c>
      <c r="D51" s="1800">
        <f>D28-D33</f>
        <v>5083323.432</v>
      </c>
      <c r="E51" s="1800">
        <f>E28-E33</f>
        <v>-5083323.3479999993</v>
      </c>
    </row>
  </sheetData>
  <mergeCells count="1">
    <mergeCell ref="A1:E1"/>
  </mergeCells>
  <hyperlinks>
    <hyperlink ref="A4" location="'List danh mục'!A1" display="STT"/>
  </hyperlinks>
  <printOptions horizontalCentered="1"/>
  <pageMargins left="0" right="0" top="0.39370078740157483" bottom="0" header="0" footer="0"/>
  <pageSetup paperSize="9" scale="85" orientation="portrait" verticalDpi="0" r:id="rId1"/>
  <headerFooter>
    <oddHeader>&amp;R&amp;A</oddHeader>
    <oddFooter>&amp;C&amp;P/&amp;N</oddFooter>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AK105"/>
  <sheetViews>
    <sheetView zoomScale="60" zoomScaleNormal="60" workbookViewId="0">
      <pane xSplit="2" ySplit="10" topLeftCell="J58" activePane="bottomRight" state="frozen"/>
      <selection activeCell="X106" sqref="X106"/>
      <selection pane="topRight" activeCell="X106" sqref="X106"/>
      <selection pane="bottomLeft" activeCell="X106" sqref="X106"/>
      <selection pane="bottomRight" activeCell="AJ35" sqref="AJ35"/>
    </sheetView>
  </sheetViews>
  <sheetFormatPr defaultColWidth="9" defaultRowHeight="18"/>
  <cols>
    <col min="1" max="1" width="7.59765625" style="1" bestFit="1" customWidth="1"/>
    <col min="2" max="2" width="41.3984375" style="1" customWidth="1"/>
    <col min="3" max="3" width="8.19921875" style="1" customWidth="1"/>
    <col min="4" max="4" width="8.09765625" style="1" hidden="1" customWidth="1"/>
    <col min="5" max="5" width="10.8984375" style="1" hidden="1" customWidth="1"/>
    <col min="6" max="6" width="10.5" style="1" hidden="1" customWidth="1"/>
    <col min="7" max="7" width="8.09765625" style="1" hidden="1" customWidth="1"/>
    <col min="8" max="8" width="8.69921875" style="1" customWidth="1"/>
    <col min="9" max="9" width="8.69921875" style="2907" customWidth="1"/>
    <col min="10" max="14" width="8.69921875" style="1" customWidth="1"/>
    <col min="15" max="15" width="8.69921875" style="2907" customWidth="1"/>
    <col min="16" max="20" width="8.69921875" style="1" customWidth="1"/>
    <col min="21" max="21" width="8.69921875" style="2907" customWidth="1"/>
    <col min="22" max="26" width="8.69921875" style="1" customWidth="1"/>
    <col min="27" max="27" width="8.69921875" style="2907" customWidth="1"/>
    <col min="28" max="31" width="8.69921875" style="1" customWidth="1"/>
    <col min="32" max="32" width="9.59765625" style="1" bestFit="1" customWidth="1"/>
    <col min="33" max="33" width="12.5" style="1" bestFit="1" customWidth="1"/>
    <col min="34" max="36" width="9.09765625" style="1" bestFit="1" customWidth="1"/>
    <col min="37" max="37" width="10.19921875" style="1" bestFit="1" customWidth="1"/>
    <col min="38" max="16384" width="9" style="1"/>
  </cols>
  <sheetData>
    <row r="1" spans="1:37" s="3" customFormat="1" ht="33.9" customHeight="1">
      <c r="A1" s="4395" t="s">
        <v>1706</v>
      </c>
      <c r="B1" s="4395"/>
      <c r="C1" s="4395"/>
      <c r="D1" s="4395"/>
      <c r="E1" s="4395"/>
      <c r="F1" s="4395"/>
      <c r="G1" s="4395"/>
      <c r="H1" s="4395"/>
      <c r="I1" s="4395"/>
      <c r="J1" s="4395"/>
      <c r="K1" s="4395"/>
      <c r="L1" s="4395"/>
      <c r="M1" s="4395"/>
      <c r="N1" s="4395"/>
      <c r="O1" s="4395"/>
      <c r="P1" s="4395"/>
      <c r="Q1" s="4395"/>
      <c r="R1" s="4395"/>
      <c r="S1" s="4395"/>
      <c r="T1" s="4395"/>
      <c r="U1" s="4395"/>
      <c r="V1" s="4395"/>
      <c r="W1" s="4395"/>
      <c r="X1" s="4395"/>
      <c r="Y1" s="4395"/>
      <c r="Z1" s="4395"/>
      <c r="AA1" s="4395"/>
      <c r="AB1" s="4395"/>
      <c r="AC1" s="4395"/>
      <c r="AD1" s="4395"/>
      <c r="AE1" s="4395"/>
    </row>
    <row r="2" spans="1:37" s="3" customFormat="1">
      <c r="A2" s="4441" t="str">
        <f>'Phụ lục số 1'!A2:AJ2</f>
        <v>(Kèm theo Báo cáo số         /BC-UBND ngày      tháng 10 năm 2023 của Ủy ban nhân dân tỉnh Đồng Tháp)</v>
      </c>
      <c r="B2" s="4441"/>
      <c r="C2" s="4441"/>
      <c r="D2" s="4441"/>
      <c r="E2" s="4441"/>
      <c r="F2" s="4441"/>
      <c r="G2" s="4441"/>
      <c r="H2" s="4441"/>
      <c r="I2" s="4441"/>
      <c r="J2" s="4441"/>
      <c r="K2" s="4441"/>
      <c r="L2" s="4441"/>
      <c r="M2" s="4441"/>
      <c r="N2" s="4441"/>
      <c r="O2" s="4441"/>
      <c r="P2" s="4441"/>
      <c r="Q2" s="4441"/>
      <c r="R2" s="4441"/>
      <c r="S2" s="4441"/>
      <c r="T2" s="4441"/>
      <c r="U2" s="4441"/>
      <c r="V2" s="4441"/>
      <c r="W2" s="4441"/>
      <c r="X2" s="4441"/>
      <c r="Y2" s="4441"/>
      <c r="Z2" s="4441"/>
      <c r="AA2" s="4441"/>
      <c r="AB2" s="4441"/>
      <c r="AC2" s="4441"/>
      <c r="AD2" s="4441"/>
      <c r="AE2" s="4441"/>
    </row>
    <row r="3" spans="1:37">
      <c r="B3" s="1403"/>
      <c r="C3" s="21"/>
      <c r="D3" s="21"/>
      <c r="E3" s="4432"/>
      <c r="F3" s="4432"/>
      <c r="G3" s="4432"/>
      <c r="H3" s="1404"/>
      <c r="I3" s="1405"/>
      <c r="J3" s="1406"/>
      <c r="L3" s="1407"/>
      <c r="AE3" s="2800" t="s">
        <v>1705</v>
      </c>
    </row>
    <row r="4" spans="1:37" s="24" customFormat="1" ht="23.1" customHeight="1">
      <c r="A4" s="4433" t="s">
        <v>0</v>
      </c>
      <c r="B4" s="4427" t="s">
        <v>1707</v>
      </c>
      <c r="C4" s="4437" t="s">
        <v>145</v>
      </c>
      <c r="D4" s="3139"/>
      <c r="E4" s="3139"/>
      <c r="F4" s="3139"/>
      <c r="G4" s="2625"/>
      <c r="H4" s="4429" t="s">
        <v>1703</v>
      </c>
      <c r="I4" s="4430"/>
      <c r="J4" s="4430"/>
      <c r="K4" s="4430"/>
      <c r="L4" s="4430"/>
      <c r="M4" s="4431"/>
      <c r="N4" s="4429" t="s">
        <v>176</v>
      </c>
      <c r="O4" s="4430"/>
      <c r="P4" s="4430"/>
      <c r="Q4" s="4430"/>
      <c r="R4" s="4430"/>
      <c r="S4" s="4431"/>
      <c r="T4" s="4429" t="s">
        <v>648</v>
      </c>
      <c r="U4" s="4430"/>
      <c r="V4" s="4430"/>
      <c r="W4" s="4430"/>
      <c r="X4" s="4430"/>
      <c r="Y4" s="4431"/>
      <c r="Z4" s="4429" t="s">
        <v>1704</v>
      </c>
      <c r="AA4" s="4430"/>
      <c r="AB4" s="4430"/>
      <c r="AC4" s="4430"/>
      <c r="AD4" s="4430"/>
      <c r="AE4" s="4431"/>
    </row>
    <row r="5" spans="1:37" s="24" customFormat="1" ht="22.35" customHeight="1">
      <c r="A5" s="4434"/>
      <c r="B5" s="4436"/>
      <c r="C5" s="4438"/>
      <c r="D5" s="4427" t="s">
        <v>2</v>
      </c>
      <c r="E5" s="3138" t="s">
        <v>3</v>
      </c>
      <c r="F5" s="3139"/>
      <c r="G5" s="2625"/>
      <c r="H5" s="4427" t="s">
        <v>66</v>
      </c>
      <c r="I5" s="4427" t="s">
        <v>1280</v>
      </c>
      <c r="J5" s="4427" t="s">
        <v>2</v>
      </c>
      <c r="K5" s="4429" t="s">
        <v>3</v>
      </c>
      <c r="L5" s="4430"/>
      <c r="M5" s="4431"/>
      <c r="N5" s="4427" t="s">
        <v>66</v>
      </c>
      <c r="O5" s="4427" t="s">
        <v>169</v>
      </c>
      <c r="P5" s="4427" t="s">
        <v>2</v>
      </c>
      <c r="Q5" s="4429" t="s">
        <v>3</v>
      </c>
      <c r="R5" s="4430"/>
      <c r="S5" s="4431"/>
      <c r="T5" s="4427" t="s">
        <v>66</v>
      </c>
      <c r="U5" s="4427" t="s">
        <v>179</v>
      </c>
      <c r="V5" s="4427" t="s">
        <v>2</v>
      </c>
      <c r="W5" s="4429" t="s">
        <v>3</v>
      </c>
      <c r="X5" s="4430"/>
      <c r="Y5" s="4431"/>
      <c r="Z5" s="4427" t="s">
        <v>66</v>
      </c>
      <c r="AA5" s="4427" t="s">
        <v>180</v>
      </c>
      <c r="AB5" s="4427" t="s">
        <v>2</v>
      </c>
      <c r="AC5" s="4429" t="s">
        <v>3</v>
      </c>
      <c r="AD5" s="4430"/>
      <c r="AE5" s="4431"/>
    </row>
    <row r="6" spans="1:37" s="24" customFormat="1" ht="61.2" customHeight="1">
      <c r="A6" s="4435"/>
      <c r="B6" s="4428"/>
      <c r="C6" s="4439"/>
      <c r="D6" s="4440"/>
      <c r="E6" s="6" t="s">
        <v>4</v>
      </c>
      <c r="F6" s="6" t="s">
        <v>5</v>
      </c>
      <c r="G6" s="6" t="s">
        <v>69</v>
      </c>
      <c r="H6" s="4428"/>
      <c r="I6" s="4428"/>
      <c r="J6" s="4428"/>
      <c r="K6" s="6" t="s">
        <v>4</v>
      </c>
      <c r="L6" s="6" t="s">
        <v>5</v>
      </c>
      <c r="M6" s="6" t="s">
        <v>69</v>
      </c>
      <c r="N6" s="4428"/>
      <c r="O6" s="4428"/>
      <c r="P6" s="4428"/>
      <c r="Q6" s="6" t="s">
        <v>4</v>
      </c>
      <c r="R6" s="6" t="s">
        <v>5</v>
      </c>
      <c r="S6" s="6" t="s">
        <v>69</v>
      </c>
      <c r="T6" s="4428"/>
      <c r="U6" s="4428"/>
      <c r="V6" s="4428"/>
      <c r="W6" s="6" t="s">
        <v>4</v>
      </c>
      <c r="X6" s="6" t="s">
        <v>5</v>
      </c>
      <c r="Y6" s="6" t="s">
        <v>69</v>
      </c>
      <c r="Z6" s="4428"/>
      <c r="AA6" s="4428"/>
      <c r="AB6" s="4428"/>
      <c r="AC6" s="6" t="s">
        <v>4</v>
      </c>
      <c r="AD6" s="6" t="s">
        <v>5</v>
      </c>
      <c r="AE6" s="6" t="s">
        <v>69</v>
      </c>
    </row>
    <row r="7" spans="1:37" s="27" customFormat="1">
      <c r="A7" s="26">
        <v>1</v>
      </c>
      <c r="B7" s="26">
        <v>2</v>
      </c>
      <c r="C7" s="26">
        <v>3</v>
      </c>
      <c r="D7" s="26"/>
      <c r="E7" s="26"/>
      <c r="F7" s="26"/>
      <c r="G7" s="26"/>
      <c r="H7" s="26" t="s">
        <v>81</v>
      </c>
      <c r="I7" s="26" t="s">
        <v>77</v>
      </c>
      <c r="J7" s="26">
        <v>6</v>
      </c>
      <c r="K7" s="26" t="s">
        <v>78</v>
      </c>
      <c r="L7" s="26">
        <v>8</v>
      </c>
      <c r="M7" s="26">
        <v>9</v>
      </c>
      <c r="N7" s="26" t="s">
        <v>79</v>
      </c>
      <c r="O7" s="26" t="s">
        <v>1282</v>
      </c>
      <c r="P7" s="26">
        <v>12</v>
      </c>
      <c r="Q7" s="26" t="s">
        <v>80</v>
      </c>
      <c r="R7" s="26">
        <v>14</v>
      </c>
      <c r="S7" s="26">
        <v>15</v>
      </c>
      <c r="T7" s="26">
        <v>16</v>
      </c>
      <c r="U7" s="26" t="s">
        <v>1283</v>
      </c>
      <c r="V7" s="26">
        <v>18</v>
      </c>
      <c r="W7" s="26" t="s">
        <v>1284</v>
      </c>
      <c r="X7" s="26">
        <v>20</v>
      </c>
      <c r="Y7" s="26">
        <v>21</v>
      </c>
      <c r="Z7" s="26">
        <v>22</v>
      </c>
      <c r="AA7" s="26" t="s">
        <v>1285</v>
      </c>
      <c r="AB7" s="26">
        <v>24</v>
      </c>
      <c r="AC7" s="26" t="s">
        <v>1286</v>
      </c>
      <c r="AD7" s="26">
        <v>26</v>
      </c>
      <c r="AE7" s="26">
        <v>27</v>
      </c>
    </row>
    <row r="8" spans="1:37" s="2210" customFormat="1" ht="22.2" customHeight="1">
      <c r="A8" s="1408" t="s">
        <v>7</v>
      </c>
      <c r="B8" s="28" t="s">
        <v>8</v>
      </c>
      <c r="C8" s="2269">
        <f t="shared" ref="C8:H8" si="0">SUM(C9,C49)</f>
        <v>7590000</v>
      </c>
      <c r="D8" s="3198">
        <f t="shared" si="0"/>
        <v>886000</v>
      </c>
      <c r="E8" s="3198">
        <f t="shared" si="0"/>
        <v>6704000</v>
      </c>
      <c r="F8" s="3198">
        <f t="shared" si="0"/>
        <v>3806650</v>
      </c>
      <c r="G8" s="3198">
        <f t="shared" si="0"/>
        <v>2897350</v>
      </c>
      <c r="H8" s="3198">
        <f t="shared" si="0"/>
        <v>8150745.3199999994</v>
      </c>
      <c r="I8" s="3199">
        <f>H8/C8*100</f>
        <v>107.38794888010538</v>
      </c>
      <c r="J8" s="3198">
        <f>SUM(J9,J49)</f>
        <v>700345.52</v>
      </c>
      <c r="K8" s="3198">
        <f>SUM(K9,K49)</f>
        <v>7450399.7999999998</v>
      </c>
      <c r="L8" s="3198">
        <f>SUM(L9,L49)</f>
        <v>3862350.7333333334</v>
      </c>
      <c r="M8" s="3198">
        <f>SUM(M9,M49)</f>
        <v>3588049.0666666664</v>
      </c>
      <c r="N8" s="2269">
        <f>SUM(N9,N49)</f>
        <v>9266000</v>
      </c>
      <c r="O8" s="2269">
        <f>N8/H8*100</f>
        <v>113.6828552017621</v>
      </c>
      <c r="P8" s="3198">
        <f>SUM(P9,P49)</f>
        <v>781070</v>
      </c>
      <c r="Q8" s="3198">
        <f>SUM(Q9,Q49)</f>
        <v>8484930</v>
      </c>
      <c r="R8" s="3198">
        <f>SUM(R9,R49)</f>
        <v>4544350</v>
      </c>
      <c r="S8" s="3198">
        <f>SUM(S9,S49)</f>
        <v>3940580</v>
      </c>
      <c r="T8" s="3198">
        <f>SUM(T9,T49)</f>
        <v>10162499.699999999</v>
      </c>
      <c r="U8" s="3199">
        <f>T8/N8*100</f>
        <v>109.67515324843514</v>
      </c>
      <c r="V8" s="3198">
        <f>SUM(V9,V49)</f>
        <v>1048100.4796102489</v>
      </c>
      <c r="W8" s="3198">
        <f>SUM(W9,W49)</f>
        <v>9114399.2203897499</v>
      </c>
      <c r="X8" s="3198">
        <f>SUM(X9,X49)</f>
        <v>5618298.9626683053</v>
      </c>
      <c r="Y8" s="3198">
        <f>SUM(Y9,Y49)</f>
        <v>3496100.2577214451</v>
      </c>
      <c r="Z8" s="3198">
        <f>SUM(Z9,Z49)</f>
        <v>11039000</v>
      </c>
      <c r="AA8" s="3199">
        <f>Z8/T8*100</f>
        <v>108.62484945510012</v>
      </c>
      <c r="AB8" s="3198">
        <f>SUM(AB9,AB49)</f>
        <v>1127999.4667532584</v>
      </c>
      <c r="AC8" s="3198">
        <f>SUM(AC9,AC49)</f>
        <v>9911000.1332467422</v>
      </c>
      <c r="AD8" s="3198">
        <f>SUM(AD9,AD49)</f>
        <v>6172099.6404007524</v>
      </c>
      <c r="AE8" s="3198">
        <f>SUM(AE9,AE49)</f>
        <v>3738900.4928459888</v>
      </c>
    </row>
    <row r="9" spans="1:37" s="2210" customFormat="1" ht="22.2" customHeight="1">
      <c r="A9" s="1410" t="s">
        <v>9</v>
      </c>
      <c r="B9" s="29" t="s">
        <v>10</v>
      </c>
      <c r="C9" s="2280">
        <f t="shared" ref="C9:H9" si="1">SUM(C11,C17,C23,C28,C34:C45,C47:C48)</f>
        <v>7440000</v>
      </c>
      <c r="D9" s="2280">
        <f t="shared" si="1"/>
        <v>736000</v>
      </c>
      <c r="E9" s="2280">
        <f t="shared" si="1"/>
        <v>6704000</v>
      </c>
      <c r="F9" s="2280">
        <f t="shared" si="1"/>
        <v>3806650</v>
      </c>
      <c r="G9" s="2280">
        <f t="shared" si="1"/>
        <v>2897350</v>
      </c>
      <c r="H9" s="2280">
        <f t="shared" si="1"/>
        <v>7999999.7999999998</v>
      </c>
      <c r="I9" s="3200">
        <f>H9/C9*100</f>
        <v>107.52687903225807</v>
      </c>
      <c r="J9" s="2280">
        <f>SUM(J11,J17,J23,J28,J34:J45,J47:J48)</f>
        <v>549600</v>
      </c>
      <c r="K9" s="2280">
        <f>SUM(K11,K17,K23,K28,K34:K45,K47:K48)</f>
        <v>7450399.7999999998</v>
      </c>
      <c r="L9" s="2280">
        <f>SUM(L11,L17,L23,L28,L34:L45,L47:L48)</f>
        <v>3862350.7333333334</v>
      </c>
      <c r="M9" s="2280">
        <f>SUM(M11,M17,M23,M28,M34:M45,M47:M48)</f>
        <v>3588049.0666666664</v>
      </c>
      <c r="N9" s="2280">
        <f>SUM(N11,N17,N23,N28,N34:N45,N47:N48)</f>
        <v>9066000</v>
      </c>
      <c r="O9" s="2271">
        <f>N9/H9*100</f>
        <v>113.32500283312508</v>
      </c>
      <c r="P9" s="2280">
        <f>SUM(P11,P17,P23,P28,P34:P45,P47:P48)</f>
        <v>581070</v>
      </c>
      <c r="Q9" s="2280">
        <f>SUM(Q11,Q17,Q23,Q28,Q34:Q45,Q47:Q48)</f>
        <v>8484930</v>
      </c>
      <c r="R9" s="2280">
        <f>SUM(R11,R17,R23,R28,R34:R45,R47:R48)</f>
        <v>4544350</v>
      </c>
      <c r="S9" s="2280">
        <f>SUM(S11,S17,S23,S28,S34:S45,S47:S48)</f>
        <v>3940580</v>
      </c>
      <c r="T9" s="2280">
        <f>SUM(T11,T17,T23,T28,T34:T45,T47:T48)</f>
        <v>9999999.6999999993</v>
      </c>
      <c r="U9" s="3200">
        <f>T9/N9*100</f>
        <v>110.30222479594087</v>
      </c>
      <c r="V9" s="2280">
        <f>SUM(V11,V17,V23,V28,V34:V45,V47:V48)</f>
        <v>885600.47961024893</v>
      </c>
      <c r="W9" s="2280">
        <f>SUM(W11,W17,W23,W28,W34:W45,W47:W48)</f>
        <v>9114399.2203897499</v>
      </c>
      <c r="X9" s="2280">
        <f>SUM(X11,X17,X23,X28,X34:X45,X47:X48)</f>
        <v>5618298.9626683053</v>
      </c>
      <c r="Y9" s="2280">
        <f>SUM(Y11,Y17,Y23,Y28,Y34:Y45,Y47:Y48)</f>
        <v>3496100.2577214451</v>
      </c>
      <c r="Z9" s="2280">
        <f>SUM(Z11,Z17,Z23,Z28,Z34:Z45,Z47:Z48)</f>
        <v>10870000</v>
      </c>
      <c r="AA9" s="3200">
        <f>Z9/T9*100</f>
        <v>108.70000326100011</v>
      </c>
      <c r="AB9" s="2280">
        <f>SUM(AB11,AB17,AB23,AB28,AB34:AB45,AB47:AB48)</f>
        <v>958999.46675325837</v>
      </c>
      <c r="AC9" s="2280">
        <f>SUM(AC11,AC17,AC23,AC28,AC34:AC45,AC47:AC48)</f>
        <v>9911000.1332467422</v>
      </c>
      <c r="AD9" s="2280">
        <f>SUM(AD11,AD17,AD23,AD28,AD34:AD45,AD47:AD48)</f>
        <v>6172099.6404007524</v>
      </c>
      <c r="AE9" s="2280">
        <f>SUM(AE11,AE17,AE23,AE28,AE34:AE45,AE47:AE48)</f>
        <v>3738900.4928459888</v>
      </c>
      <c r="AG9" s="2210">
        <f>Z9+T9+N9</f>
        <v>29935999.699999999</v>
      </c>
      <c r="AH9" s="3194">
        <f>Z9/T9</f>
        <v>1.0870000326100011</v>
      </c>
      <c r="AI9" s="3194">
        <f>T9/N9</f>
        <v>1.1030222479594087</v>
      </c>
      <c r="AJ9" s="3194">
        <f>N9/C9</f>
        <v>1.2185483870967742</v>
      </c>
      <c r="AK9" s="3195">
        <f>SUM(AH9:AJ9)^1/3</f>
        <v>1.1361902225553946</v>
      </c>
    </row>
    <row r="10" spans="1:37" s="3196" customFormat="1" ht="36">
      <c r="A10" s="1411"/>
      <c r="B10" s="1419" t="s">
        <v>147</v>
      </c>
      <c r="C10" s="3201">
        <f t="shared" ref="C10:H10" si="2">C9-C40-C48-C45</f>
        <v>4890000</v>
      </c>
      <c r="D10" s="3201">
        <f t="shared" si="2"/>
        <v>736000</v>
      </c>
      <c r="E10" s="3201">
        <f t="shared" si="2"/>
        <v>4154000</v>
      </c>
      <c r="F10" s="3201">
        <f t="shared" si="2"/>
        <v>2056650</v>
      </c>
      <c r="G10" s="3201">
        <f t="shared" si="2"/>
        <v>2097350</v>
      </c>
      <c r="H10" s="3201">
        <f t="shared" si="2"/>
        <v>4869999.8</v>
      </c>
      <c r="I10" s="3202">
        <f>H10/C10*100</f>
        <v>99.590997955010224</v>
      </c>
      <c r="J10" s="3201">
        <f>J9-J40-J48-J45</f>
        <v>549600</v>
      </c>
      <c r="K10" s="3201">
        <f>K9-K40-K48-K45</f>
        <v>4320399.8</v>
      </c>
      <c r="L10" s="3201">
        <f>L9-L40-L48-L45</f>
        <v>1712350.7333333334</v>
      </c>
      <c r="M10" s="3201">
        <f>M9-M40-M48-M45</f>
        <v>2608049.0666666664</v>
      </c>
      <c r="N10" s="3201">
        <f>N9-N40-N48-N45</f>
        <v>5309000</v>
      </c>
      <c r="O10" s="3202">
        <f>N10/H10*100</f>
        <v>109.01437819360898</v>
      </c>
      <c r="P10" s="3201">
        <f>P9-P40-P48-P45</f>
        <v>581070</v>
      </c>
      <c r="Q10" s="3201">
        <f>Q9-Q40-Q48-Q45</f>
        <v>4727930</v>
      </c>
      <c r="R10" s="3201">
        <f>R9-R40-R48-R45</f>
        <v>1930350</v>
      </c>
      <c r="S10" s="3201">
        <f>S9-S40-S48-S45</f>
        <v>2797580</v>
      </c>
      <c r="T10" s="3201">
        <f>T9-T40-T48-T45</f>
        <v>6363999.6999999993</v>
      </c>
      <c r="U10" s="3202">
        <f>T10/N10*100</f>
        <v>119.87190996421171</v>
      </c>
      <c r="V10" s="3201">
        <f>V9-V40-V48-V45</f>
        <v>885600.47961024893</v>
      </c>
      <c r="W10" s="3201">
        <f>W9-W40-W48-W45</f>
        <v>5478399.2203897499</v>
      </c>
      <c r="X10" s="3201">
        <f>X9-X40-X48-X45</f>
        <v>2757199.2169055939</v>
      </c>
      <c r="Y10" s="3201">
        <f>Y9-Y40-Y48-Y45</f>
        <v>2721200.0034841569</v>
      </c>
      <c r="Z10" s="3201">
        <f>Z9-Z40-Z48-Z45</f>
        <v>6990000</v>
      </c>
      <c r="AA10" s="3202">
        <f>Z10/T10*100</f>
        <v>109.83658594452794</v>
      </c>
      <c r="AB10" s="3201">
        <f>AB9-AB40-AB48-AB45</f>
        <v>958999.46675325837</v>
      </c>
      <c r="AC10" s="3201">
        <f>AC9-AC40-AC48-AC45</f>
        <v>6031000.1332467422</v>
      </c>
      <c r="AD10" s="3201">
        <f>AD9-AD40-AD48-AD45</f>
        <v>3105699.907349905</v>
      </c>
      <c r="AE10" s="3201">
        <f>AE9-AE40-AE48-AE45</f>
        <v>2925300.2258968363</v>
      </c>
      <c r="AG10" s="3196">
        <f>Z10+T10+N10</f>
        <v>18662999.699999999</v>
      </c>
      <c r="AH10" s="3194">
        <f>Z10/T10</f>
        <v>1.0983658594452794</v>
      </c>
      <c r="AI10" s="3194">
        <f>T10/N10</f>
        <v>1.1987190996421171</v>
      </c>
      <c r="AJ10" s="3194">
        <f>N10/C10</f>
        <v>1.0856850715746422</v>
      </c>
      <c r="AK10" s="3195">
        <f>SUM(AH10:AJ10)^1/3</f>
        <v>1.1275900102206797</v>
      </c>
    </row>
    <row r="11" spans="1:37" ht="22.2" customHeight="1">
      <c r="A11" s="1412">
        <v>1</v>
      </c>
      <c r="B11" s="17" t="s">
        <v>103</v>
      </c>
      <c r="C11" s="3203">
        <f t="shared" ref="C11:H11" si="3">SUM(C12:C16)</f>
        <v>250000</v>
      </c>
      <c r="D11" s="2279">
        <f t="shared" si="3"/>
        <v>0</v>
      </c>
      <c r="E11" s="2279">
        <f t="shared" si="3"/>
        <v>250000</v>
      </c>
      <c r="F11" s="2279">
        <f t="shared" si="3"/>
        <v>250000</v>
      </c>
      <c r="G11" s="2279">
        <f t="shared" si="3"/>
        <v>0</v>
      </c>
      <c r="H11" s="3203">
        <f t="shared" si="3"/>
        <v>210000</v>
      </c>
      <c r="I11" s="3204">
        <f>H11/C11*100</f>
        <v>84</v>
      </c>
      <c r="J11" s="3203">
        <f>SUM(J12:J16)</f>
        <v>0</v>
      </c>
      <c r="K11" s="3203">
        <f>SUM(K12:K16)</f>
        <v>210000</v>
      </c>
      <c r="L11" s="3203">
        <f>SUM(L12:L16)</f>
        <v>210000</v>
      </c>
      <c r="M11" s="3203">
        <f>SUM(M12:M16)</f>
        <v>0</v>
      </c>
      <c r="N11" s="3203">
        <f>SUM(N12:N16)</f>
        <v>230000</v>
      </c>
      <c r="O11" s="3204">
        <f>N11/H11*100</f>
        <v>109.52380952380953</v>
      </c>
      <c r="P11" s="3203">
        <f>SUM(P12:P16)</f>
        <v>0</v>
      </c>
      <c r="Q11" s="3203">
        <f>SUM(Q12:Q16)</f>
        <v>230000</v>
      </c>
      <c r="R11" s="3203">
        <f>SUM(R12:R16)</f>
        <v>230000</v>
      </c>
      <c r="S11" s="3203">
        <f>SUM(S12:S16)</f>
        <v>0</v>
      </c>
      <c r="T11" s="3203">
        <f>SUM(T12:T16)</f>
        <v>309999.7</v>
      </c>
      <c r="U11" s="3204">
        <f>T11/N11*100</f>
        <v>134.78247826086957</v>
      </c>
      <c r="V11" s="3203">
        <f>SUM(V12:V16)</f>
        <v>0</v>
      </c>
      <c r="W11" s="3203">
        <f>SUM(W12:W16)</f>
        <v>309999.7</v>
      </c>
      <c r="X11" s="3203">
        <f>SUM(X12:X16)</f>
        <v>309999.7</v>
      </c>
      <c r="Y11" s="3203">
        <f>SUM(Y12:Y16)</f>
        <v>0</v>
      </c>
      <c r="Z11" s="3203">
        <f>SUM(Z12:Z16)</f>
        <v>340000</v>
      </c>
      <c r="AA11" s="3204">
        <f>Z11/T11*100</f>
        <v>109.67752549437949</v>
      </c>
      <c r="AB11" s="3203">
        <f>SUM(AB12:AB16)</f>
        <v>0</v>
      </c>
      <c r="AC11" s="3203">
        <f>SUM(AC12:AC16)</f>
        <v>340000</v>
      </c>
      <c r="AD11" s="3203">
        <f>SUM(AD12:AD16)</f>
        <v>340000</v>
      </c>
      <c r="AE11" s="3203">
        <f>SUM(AE12:AE16)</f>
        <v>0</v>
      </c>
      <c r="AF11" s="1">
        <f>+H11-C11</f>
        <v>-40000</v>
      </c>
    </row>
    <row r="12" spans="1:37" ht="22.2" hidden="1" customHeight="1">
      <c r="A12" s="1413" t="s">
        <v>137</v>
      </c>
      <c r="B12" s="11" t="s">
        <v>11</v>
      </c>
      <c r="C12" s="3205">
        <f>'Phụ lục số 1'!C12</f>
        <v>196000</v>
      </c>
      <c r="D12" s="2272">
        <v>0</v>
      </c>
      <c r="E12" s="2272">
        <f>C12-D12</f>
        <v>196000</v>
      </c>
      <c r="F12" s="2272">
        <f>E12-G12</f>
        <v>196000</v>
      </c>
      <c r="G12" s="2272">
        <v>0</v>
      </c>
      <c r="H12" s="3205">
        <f>'Phụ lục số 1'!T12</f>
        <v>154000</v>
      </c>
      <c r="I12" s="3206"/>
      <c r="J12" s="2282"/>
      <c r="K12" s="2282">
        <f>H12-J12</f>
        <v>154000</v>
      </c>
      <c r="L12" s="2282">
        <f t="shared" ref="L12:L22" si="4">K12</f>
        <v>154000</v>
      </c>
      <c r="M12" s="2282">
        <v>0</v>
      </c>
      <c r="N12" s="3205">
        <f>'Phụ lục số 1'!AE12</f>
        <v>170000</v>
      </c>
      <c r="O12" s="3206"/>
      <c r="P12" s="2282"/>
      <c r="Q12" s="2282">
        <f>N12-P12</f>
        <v>170000</v>
      </c>
      <c r="R12" s="2282">
        <f>Q12</f>
        <v>170000</v>
      </c>
      <c r="S12" s="2282">
        <v>0</v>
      </c>
      <c r="T12" s="2282">
        <f>'Phụ lục số 1'!AK12</f>
        <v>244000</v>
      </c>
      <c r="U12" s="3206"/>
      <c r="V12" s="2282"/>
      <c r="W12" s="2282">
        <f>T12-V12</f>
        <v>244000</v>
      </c>
      <c r="X12" s="2282">
        <f>W12</f>
        <v>244000</v>
      </c>
      <c r="Y12" s="2282">
        <v>0</v>
      </c>
      <c r="Z12" s="2282">
        <f>'Phụ lục số 1'!AQ12</f>
        <v>268000</v>
      </c>
      <c r="AA12" s="3206"/>
      <c r="AB12" s="2282"/>
      <c r="AC12" s="2282">
        <f>Z12-AB12</f>
        <v>268000</v>
      </c>
      <c r="AD12" s="2282">
        <f>AC12</f>
        <v>268000</v>
      </c>
      <c r="AE12" s="2282">
        <v>0</v>
      </c>
      <c r="AF12" s="1">
        <f t="shared" ref="AF12:AF60" si="5">+H12-C12</f>
        <v>-42000</v>
      </c>
    </row>
    <row r="13" spans="1:37" ht="22.2" hidden="1" customHeight="1">
      <c r="A13" s="1413" t="s">
        <v>137</v>
      </c>
      <c r="B13" s="11" t="s">
        <v>12</v>
      </c>
      <c r="C13" s="2282">
        <f>'Phụ lục số 1'!C13</f>
        <v>12000</v>
      </c>
      <c r="D13" s="2272">
        <v>0</v>
      </c>
      <c r="E13" s="2272">
        <f>C13-D13</f>
        <v>12000</v>
      </c>
      <c r="F13" s="2272">
        <f t="shared" ref="F13:F27" si="6">E13-G13</f>
        <v>12000</v>
      </c>
      <c r="G13" s="2272">
        <v>0</v>
      </c>
      <c r="H13" s="2282">
        <f>'Phụ lục số 1'!T13</f>
        <v>37000</v>
      </c>
      <c r="I13" s="3206"/>
      <c r="J13" s="2282"/>
      <c r="K13" s="2282">
        <f t="shared" ref="K13:K22" si="7">H13-J13</f>
        <v>37000</v>
      </c>
      <c r="L13" s="2282">
        <f t="shared" si="4"/>
        <v>37000</v>
      </c>
      <c r="M13" s="2282">
        <v>0</v>
      </c>
      <c r="N13" s="2282">
        <f>'Phụ lục số 1'!AE13</f>
        <v>20000</v>
      </c>
      <c r="O13" s="3206"/>
      <c r="P13" s="2282"/>
      <c r="Q13" s="2282">
        <f>N13-P13</f>
        <v>20000</v>
      </c>
      <c r="R13" s="2282">
        <f>Q13</f>
        <v>20000</v>
      </c>
      <c r="S13" s="2282">
        <v>0</v>
      </c>
      <c r="T13" s="2282">
        <f>'Phụ lục số 1'!AK13</f>
        <v>14000</v>
      </c>
      <c r="U13" s="3206"/>
      <c r="V13" s="2282"/>
      <c r="W13" s="2282">
        <f>T13-V13</f>
        <v>14000</v>
      </c>
      <c r="X13" s="2282">
        <f>W13</f>
        <v>14000</v>
      </c>
      <c r="Y13" s="2282">
        <v>0</v>
      </c>
      <c r="Z13" s="2282">
        <f>'Phụ lục số 1'!AQ13</f>
        <v>15000</v>
      </c>
      <c r="AA13" s="3206"/>
      <c r="AB13" s="2282"/>
      <c r="AC13" s="2282">
        <f>Z13-AB13</f>
        <v>15000</v>
      </c>
      <c r="AD13" s="2282">
        <f>AC13</f>
        <v>15000</v>
      </c>
      <c r="AE13" s="2282">
        <v>0</v>
      </c>
      <c r="AF13" s="1">
        <f t="shared" si="5"/>
        <v>25000</v>
      </c>
    </row>
    <row r="14" spans="1:37" ht="22.2" hidden="1" customHeight="1">
      <c r="A14" s="1413" t="s">
        <v>137</v>
      </c>
      <c r="B14" s="11" t="s">
        <v>13</v>
      </c>
      <c r="C14" s="2282">
        <f>'Phụ lục số 1'!C14</f>
        <v>42000</v>
      </c>
      <c r="D14" s="2272">
        <v>0</v>
      </c>
      <c r="E14" s="2272">
        <f>C14-D14</f>
        <v>42000</v>
      </c>
      <c r="F14" s="2272">
        <f t="shared" si="6"/>
        <v>42000</v>
      </c>
      <c r="G14" s="2272">
        <v>0</v>
      </c>
      <c r="H14" s="2282">
        <f>'Phụ lục số 1'!T14</f>
        <v>18990</v>
      </c>
      <c r="I14" s="3206"/>
      <c r="J14" s="2282"/>
      <c r="K14" s="2282">
        <f t="shared" si="7"/>
        <v>18990</v>
      </c>
      <c r="L14" s="2282">
        <f t="shared" si="4"/>
        <v>18990</v>
      </c>
      <c r="M14" s="2282">
        <v>0</v>
      </c>
      <c r="N14" s="2282">
        <f>'Phụ lục số 1'!AE14</f>
        <v>40000</v>
      </c>
      <c r="O14" s="3206"/>
      <c r="P14" s="2282"/>
      <c r="Q14" s="2282">
        <f>N14-P14</f>
        <v>40000</v>
      </c>
      <c r="R14" s="2282">
        <f>Q14</f>
        <v>40000</v>
      </c>
      <c r="S14" s="2282">
        <v>0</v>
      </c>
      <c r="T14" s="2282">
        <f>'Phụ lục số 1'!AK14</f>
        <v>51999.7</v>
      </c>
      <c r="U14" s="3206"/>
      <c r="V14" s="2282"/>
      <c r="W14" s="2282">
        <f>T14-V14</f>
        <v>51999.7</v>
      </c>
      <c r="X14" s="2282">
        <f>W14</f>
        <v>51999.7</v>
      </c>
      <c r="Y14" s="2282">
        <v>0</v>
      </c>
      <c r="Z14" s="2282">
        <f>'Phụ lục số 1'!AQ14</f>
        <v>57000</v>
      </c>
      <c r="AA14" s="3206"/>
      <c r="AB14" s="2282"/>
      <c r="AC14" s="2282">
        <f>Z14-AB14</f>
        <v>57000</v>
      </c>
      <c r="AD14" s="2282">
        <f>AC14</f>
        <v>57000</v>
      </c>
      <c r="AE14" s="2282">
        <v>0</v>
      </c>
      <c r="AF14" s="1">
        <f t="shared" si="5"/>
        <v>-23010</v>
      </c>
    </row>
    <row r="15" spans="1:37" ht="22.2" hidden="1" customHeight="1">
      <c r="A15" s="1413" t="s">
        <v>137</v>
      </c>
      <c r="B15" s="11" t="s">
        <v>14</v>
      </c>
      <c r="C15" s="2282">
        <f>'Phụ lục số 1'!C15</f>
        <v>0</v>
      </c>
      <c r="D15" s="2272">
        <v>0</v>
      </c>
      <c r="E15" s="2272">
        <f>C15-D15</f>
        <v>0</v>
      </c>
      <c r="F15" s="2272">
        <f t="shared" si="6"/>
        <v>0</v>
      </c>
      <c r="G15" s="2272">
        <v>0</v>
      </c>
      <c r="H15" s="2282">
        <f>'Phụ lục số 1'!T15</f>
        <v>10</v>
      </c>
      <c r="I15" s="3206"/>
      <c r="J15" s="2282"/>
      <c r="K15" s="2282">
        <f t="shared" si="7"/>
        <v>10</v>
      </c>
      <c r="L15" s="2282">
        <f t="shared" si="4"/>
        <v>10</v>
      </c>
      <c r="M15" s="2282">
        <v>0</v>
      </c>
      <c r="N15" s="2282">
        <f>'Phụ lục số 1'!AE15</f>
        <v>0</v>
      </c>
      <c r="O15" s="3206"/>
      <c r="P15" s="2282"/>
      <c r="Q15" s="2282">
        <f>N15-P15</f>
        <v>0</v>
      </c>
      <c r="R15" s="2282">
        <f>Q15</f>
        <v>0</v>
      </c>
      <c r="S15" s="2282">
        <v>0</v>
      </c>
      <c r="T15" s="2282">
        <f>'Phụ lục số 1'!AK15</f>
        <v>0</v>
      </c>
      <c r="U15" s="3206"/>
      <c r="V15" s="2282"/>
      <c r="W15" s="2282">
        <f>T15-V15</f>
        <v>0</v>
      </c>
      <c r="X15" s="2282">
        <f>W15</f>
        <v>0</v>
      </c>
      <c r="Y15" s="2282">
        <v>0</v>
      </c>
      <c r="Z15" s="2282">
        <f>'Phụ lục số 1'!AQ15</f>
        <v>0</v>
      </c>
      <c r="AA15" s="3206"/>
      <c r="AB15" s="2282"/>
      <c r="AC15" s="2282">
        <f>Z15-AB15</f>
        <v>0</v>
      </c>
      <c r="AD15" s="2282">
        <f>AC15</f>
        <v>0</v>
      </c>
      <c r="AE15" s="2282">
        <v>0</v>
      </c>
      <c r="AF15" s="1">
        <f t="shared" si="5"/>
        <v>10</v>
      </c>
    </row>
    <row r="16" spans="1:37" ht="22.2" hidden="1" customHeight="1">
      <c r="A16" s="1413" t="s">
        <v>137</v>
      </c>
      <c r="B16" s="11" t="s">
        <v>67</v>
      </c>
      <c r="C16" s="2282">
        <f>'Phụ lục số 1'!C16</f>
        <v>0</v>
      </c>
      <c r="D16" s="2272">
        <f>C16</f>
        <v>0</v>
      </c>
      <c r="E16" s="2272">
        <f>C16-D16</f>
        <v>0</v>
      </c>
      <c r="F16" s="2272">
        <f t="shared" si="6"/>
        <v>0</v>
      </c>
      <c r="G16" s="2272">
        <v>0</v>
      </c>
      <c r="H16" s="2282">
        <f>'Phụ lục số 1'!T16</f>
        <v>0</v>
      </c>
      <c r="I16" s="3206"/>
      <c r="J16" s="2282">
        <f>H16</f>
        <v>0</v>
      </c>
      <c r="K16" s="2282">
        <f t="shared" si="7"/>
        <v>0</v>
      </c>
      <c r="L16" s="2282">
        <f t="shared" si="4"/>
        <v>0</v>
      </c>
      <c r="M16" s="2282">
        <v>0</v>
      </c>
      <c r="N16" s="2282">
        <f>'Phụ lục số 1'!AE16</f>
        <v>0</v>
      </c>
      <c r="O16" s="3206"/>
      <c r="P16" s="2282">
        <f>N16</f>
        <v>0</v>
      </c>
      <c r="Q16" s="2282">
        <f>N16-P16</f>
        <v>0</v>
      </c>
      <c r="R16" s="2282"/>
      <c r="S16" s="2282"/>
      <c r="T16" s="2282">
        <f>'Phụ lục số 1'!AK16</f>
        <v>0</v>
      </c>
      <c r="U16" s="3206"/>
      <c r="V16" s="2282"/>
      <c r="W16" s="2282"/>
      <c r="X16" s="2282"/>
      <c r="Y16" s="2282"/>
      <c r="Z16" s="2282">
        <f>'Phụ lục số 1'!AQ16</f>
        <v>0</v>
      </c>
      <c r="AA16" s="3206"/>
      <c r="AB16" s="2282"/>
      <c r="AC16" s="2282">
        <f>Z16-AB16</f>
        <v>0</v>
      </c>
      <c r="AD16" s="2282">
        <f>AC16</f>
        <v>0</v>
      </c>
      <c r="AE16" s="2282">
        <v>0</v>
      </c>
      <c r="AF16" s="1">
        <f t="shared" si="5"/>
        <v>0</v>
      </c>
    </row>
    <row r="17" spans="1:32" ht="22.2" customHeight="1">
      <c r="A17" s="1412">
        <v>2</v>
      </c>
      <c r="B17" s="17" t="s">
        <v>104</v>
      </c>
      <c r="C17" s="2279">
        <f t="shared" ref="C17:H17" si="8">SUM(C18:C22)</f>
        <v>350000</v>
      </c>
      <c r="D17" s="2279">
        <f t="shared" si="8"/>
        <v>0</v>
      </c>
      <c r="E17" s="2279">
        <f t="shared" si="8"/>
        <v>350000</v>
      </c>
      <c r="F17" s="2279">
        <f t="shared" si="8"/>
        <v>350000</v>
      </c>
      <c r="G17" s="2279">
        <f t="shared" si="8"/>
        <v>0</v>
      </c>
      <c r="H17" s="3203">
        <f t="shared" si="8"/>
        <v>270000</v>
      </c>
      <c r="I17" s="3204">
        <f>H17/C17*100</f>
        <v>77.142857142857153</v>
      </c>
      <c r="J17" s="3203">
        <f>SUM(J18:J22)</f>
        <v>0</v>
      </c>
      <c r="K17" s="3203">
        <f>SUM(K18:K22)</f>
        <v>270000</v>
      </c>
      <c r="L17" s="3203">
        <f>SUM(L18:L22)</f>
        <v>270000</v>
      </c>
      <c r="M17" s="3203">
        <f>SUM(M18:M22)</f>
        <v>0</v>
      </c>
      <c r="N17" s="3203">
        <f>SUM(N18:N22)</f>
        <v>300000</v>
      </c>
      <c r="O17" s="3204">
        <f>N17/H17*100</f>
        <v>111.11111111111111</v>
      </c>
      <c r="P17" s="3203">
        <f>SUM(P18:P22)</f>
        <v>0</v>
      </c>
      <c r="Q17" s="3203">
        <f>SUM(Q18:Q22)</f>
        <v>300000</v>
      </c>
      <c r="R17" s="3203">
        <f>SUM(R18:R22)</f>
        <v>300000</v>
      </c>
      <c r="S17" s="3203">
        <f>SUM(S18:S22)</f>
        <v>0</v>
      </c>
      <c r="T17" s="3203">
        <f>SUM(T18:T22)</f>
        <v>470000</v>
      </c>
      <c r="U17" s="3204">
        <f>T17/N17*100</f>
        <v>156.66666666666666</v>
      </c>
      <c r="V17" s="3203">
        <f>SUM(V18:V22)</f>
        <v>0</v>
      </c>
      <c r="W17" s="3203">
        <f>SUM(W18:W22)</f>
        <v>470000</v>
      </c>
      <c r="X17" s="3203">
        <f>SUM(X18:X22)</f>
        <v>470000</v>
      </c>
      <c r="Y17" s="3203">
        <f>SUM(Y18:Y22)</f>
        <v>0</v>
      </c>
      <c r="Z17" s="3203">
        <f>SUM(Z18:Z22)</f>
        <v>510000</v>
      </c>
      <c r="AA17" s="3204">
        <f>Z17/T17*100</f>
        <v>108.51063829787233</v>
      </c>
      <c r="AB17" s="3203">
        <f>SUM(AB18:AB22)</f>
        <v>0</v>
      </c>
      <c r="AC17" s="3203">
        <f>SUM(AC18:AC22)</f>
        <v>510000</v>
      </c>
      <c r="AD17" s="3203">
        <f>SUM(AD18:AD22)</f>
        <v>510000</v>
      </c>
      <c r="AE17" s="3203">
        <f>SUM(AE18:AE22)</f>
        <v>0</v>
      </c>
      <c r="AF17" s="1">
        <f t="shared" si="5"/>
        <v>-80000</v>
      </c>
    </row>
    <row r="18" spans="1:32" ht="22.2" hidden="1" customHeight="1">
      <c r="A18" s="1413" t="s">
        <v>137</v>
      </c>
      <c r="B18" s="11" t="s">
        <v>11</v>
      </c>
      <c r="C18" s="3205">
        <f>'Phụ lục số 1'!C18</f>
        <v>183000</v>
      </c>
      <c r="D18" s="2272">
        <v>0</v>
      </c>
      <c r="E18" s="2272">
        <f>C18-D18</f>
        <v>183000</v>
      </c>
      <c r="F18" s="2272">
        <f t="shared" si="6"/>
        <v>183000</v>
      </c>
      <c r="G18" s="2272">
        <v>0</v>
      </c>
      <c r="H18" s="3205">
        <f>'Phụ lục số 1'!T18</f>
        <v>100000</v>
      </c>
      <c r="I18" s="3206"/>
      <c r="J18" s="2282"/>
      <c r="K18" s="2282">
        <f t="shared" si="7"/>
        <v>100000</v>
      </c>
      <c r="L18" s="2282">
        <f t="shared" si="4"/>
        <v>100000</v>
      </c>
      <c r="M18" s="2282">
        <v>0</v>
      </c>
      <c r="N18" s="2282">
        <f>'Phụ lục số 1'!AE18</f>
        <v>110000</v>
      </c>
      <c r="O18" s="3206"/>
      <c r="P18" s="2282"/>
      <c r="Q18" s="2282">
        <f>N18-P18</f>
        <v>110000</v>
      </c>
      <c r="R18" s="2282">
        <f>Q18</f>
        <v>110000</v>
      </c>
      <c r="S18" s="2282">
        <v>0</v>
      </c>
      <c r="T18" s="2282">
        <f>'Phụ lục số 1'!AK18</f>
        <v>241000</v>
      </c>
      <c r="U18" s="3206"/>
      <c r="V18" s="2282"/>
      <c r="W18" s="2282">
        <f>T18-V18</f>
        <v>241000</v>
      </c>
      <c r="X18" s="2282">
        <f>W18</f>
        <v>241000</v>
      </c>
      <c r="Y18" s="2282">
        <v>0</v>
      </c>
      <c r="Z18" s="2282">
        <f>'Phụ lục số 1'!AQ18</f>
        <v>263000</v>
      </c>
      <c r="AA18" s="3206"/>
      <c r="AB18" s="2282"/>
      <c r="AC18" s="2282">
        <f>Z18-AB18</f>
        <v>263000</v>
      </c>
      <c r="AD18" s="2282">
        <f>AC18</f>
        <v>263000</v>
      </c>
      <c r="AE18" s="2282">
        <v>0</v>
      </c>
      <c r="AF18" s="1">
        <f t="shared" si="5"/>
        <v>-83000</v>
      </c>
    </row>
    <row r="19" spans="1:32" ht="22.2" hidden="1" customHeight="1">
      <c r="A19" s="1413" t="s">
        <v>137</v>
      </c>
      <c r="B19" s="11" t="s">
        <v>12</v>
      </c>
      <c r="C19" s="2282">
        <f>'Phụ lục số 1'!C19</f>
        <v>65000</v>
      </c>
      <c r="D19" s="2272">
        <v>0</v>
      </c>
      <c r="E19" s="2272">
        <f>C19-D19</f>
        <v>65000</v>
      </c>
      <c r="F19" s="2272">
        <f t="shared" si="6"/>
        <v>65000</v>
      </c>
      <c r="G19" s="2272">
        <v>0</v>
      </c>
      <c r="H19" s="2282">
        <f>'Phụ lục số 1'!T19</f>
        <v>100000</v>
      </c>
      <c r="I19" s="3206"/>
      <c r="J19" s="2282"/>
      <c r="K19" s="2282">
        <f t="shared" si="7"/>
        <v>100000</v>
      </c>
      <c r="L19" s="2282">
        <f t="shared" si="4"/>
        <v>100000</v>
      </c>
      <c r="M19" s="2282">
        <v>0</v>
      </c>
      <c r="N19" s="2282">
        <f>'Phụ lục số 1'!AE19</f>
        <v>105970</v>
      </c>
      <c r="O19" s="3206"/>
      <c r="P19" s="2282"/>
      <c r="Q19" s="2282">
        <f>N19-P19</f>
        <v>105970</v>
      </c>
      <c r="R19" s="2282">
        <f>Q19</f>
        <v>105970</v>
      </c>
      <c r="S19" s="2282">
        <v>0</v>
      </c>
      <c r="T19" s="2282">
        <f>'Phụ lục số 1'!AK19</f>
        <v>103000</v>
      </c>
      <c r="U19" s="3206"/>
      <c r="V19" s="2282"/>
      <c r="W19" s="2282">
        <f>T19-V19</f>
        <v>103000</v>
      </c>
      <c r="X19" s="2282">
        <f>W19</f>
        <v>103000</v>
      </c>
      <c r="Y19" s="2282">
        <v>0</v>
      </c>
      <c r="Z19" s="2282">
        <f>'Phụ lục số 1'!AQ19</f>
        <v>112000</v>
      </c>
      <c r="AA19" s="3206"/>
      <c r="AB19" s="2282"/>
      <c r="AC19" s="2282">
        <f>Z19-AB19</f>
        <v>112000</v>
      </c>
      <c r="AD19" s="2282">
        <f>AC19</f>
        <v>112000</v>
      </c>
      <c r="AE19" s="2282">
        <v>0</v>
      </c>
      <c r="AF19" s="1">
        <f t="shared" si="5"/>
        <v>35000</v>
      </c>
    </row>
    <row r="20" spans="1:32" ht="22.2" hidden="1" customHeight="1">
      <c r="A20" s="1413" t="s">
        <v>137</v>
      </c>
      <c r="B20" s="11" t="s">
        <v>13</v>
      </c>
      <c r="C20" s="2282">
        <f>'Phụ lục số 1'!C20</f>
        <v>0</v>
      </c>
      <c r="D20" s="2272">
        <v>0</v>
      </c>
      <c r="E20" s="2272">
        <f>C20-D20</f>
        <v>0</v>
      </c>
      <c r="F20" s="2272">
        <f t="shared" si="6"/>
        <v>0</v>
      </c>
      <c r="G20" s="2272">
        <v>0</v>
      </c>
      <c r="H20" s="2282">
        <f>'Phụ lục số 1'!T20</f>
        <v>0</v>
      </c>
      <c r="I20" s="3206"/>
      <c r="J20" s="2282"/>
      <c r="K20" s="2282">
        <f t="shared" si="7"/>
        <v>0</v>
      </c>
      <c r="L20" s="2282">
        <f t="shared" si="4"/>
        <v>0</v>
      </c>
      <c r="M20" s="2282">
        <v>0</v>
      </c>
      <c r="N20" s="2282">
        <f>'Phụ lục số 1'!AE20</f>
        <v>0</v>
      </c>
      <c r="O20" s="3206"/>
      <c r="P20" s="2282"/>
      <c r="Q20" s="2282">
        <f>N20-P20</f>
        <v>0</v>
      </c>
      <c r="R20" s="2282">
        <f>Q20</f>
        <v>0</v>
      </c>
      <c r="S20" s="2282">
        <v>0</v>
      </c>
      <c r="T20" s="2282">
        <f>'Phụ lục số 1'!AK20</f>
        <v>0</v>
      </c>
      <c r="U20" s="3206"/>
      <c r="V20" s="2282"/>
      <c r="W20" s="2282">
        <f>T20-V20</f>
        <v>0</v>
      </c>
      <c r="X20" s="2282">
        <f>W20</f>
        <v>0</v>
      </c>
      <c r="Y20" s="2282">
        <v>0</v>
      </c>
      <c r="Z20" s="2282">
        <f>'Phụ lục số 1'!AQ20</f>
        <v>0</v>
      </c>
      <c r="AA20" s="3206"/>
      <c r="AB20" s="2282"/>
      <c r="AC20" s="2282">
        <f>Z20-AB20</f>
        <v>0</v>
      </c>
      <c r="AD20" s="2282">
        <f>AC20</f>
        <v>0</v>
      </c>
      <c r="AE20" s="2282">
        <v>0</v>
      </c>
      <c r="AF20" s="1">
        <f t="shared" si="5"/>
        <v>0</v>
      </c>
    </row>
    <row r="21" spans="1:32" ht="22.2" hidden="1" customHeight="1">
      <c r="A21" s="1413" t="s">
        <v>137</v>
      </c>
      <c r="B21" s="11" t="s">
        <v>14</v>
      </c>
      <c r="C21" s="2282">
        <f>'Phụ lục số 1'!C21</f>
        <v>102000</v>
      </c>
      <c r="D21" s="2272">
        <v>0</v>
      </c>
      <c r="E21" s="2272">
        <f>C21-D21</f>
        <v>102000</v>
      </c>
      <c r="F21" s="2272">
        <f t="shared" si="6"/>
        <v>102000</v>
      </c>
      <c r="G21" s="2272">
        <v>0</v>
      </c>
      <c r="H21" s="2282">
        <f>'Phụ lục số 1'!T21</f>
        <v>70000</v>
      </c>
      <c r="I21" s="3206"/>
      <c r="J21" s="2282"/>
      <c r="K21" s="2282">
        <f t="shared" si="7"/>
        <v>70000</v>
      </c>
      <c r="L21" s="2282">
        <f t="shared" si="4"/>
        <v>70000</v>
      </c>
      <c r="M21" s="2282">
        <v>0</v>
      </c>
      <c r="N21" s="2282">
        <f>'Phụ lục số 1'!AE21</f>
        <v>84030</v>
      </c>
      <c r="O21" s="3206"/>
      <c r="P21" s="2282"/>
      <c r="Q21" s="2282">
        <f>N21-P21</f>
        <v>84030</v>
      </c>
      <c r="R21" s="2282">
        <f>Q21</f>
        <v>84030</v>
      </c>
      <c r="S21" s="2282">
        <v>0</v>
      </c>
      <c r="T21" s="2282">
        <f>'Phụ lục số 1'!AK21</f>
        <v>126000</v>
      </c>
      <c r="U21" s="3206"/>
      <c r="V21" s="2282"/>
      <c r="W21" s="2282">
        <f>T21-V21</f>
        <v>126000</v>
      </c>
      <c r="X21" s="2282">
        <f>W21</f>
        <v>126000</v>
      </c>
      <c r="Y21" s="2282">
        <v>0</v>
      </c>
      <c r="Z21" s="2282">
        <f>'Phụ lục số 1'!AQ21</f>
        <v>135000</v>
      </c>
      <c r="AA21" s="3206"/>
      <c r="AB21" s="2282"/>
      <c r="AC21" s="2282">
        <f>Z21-AB21</f>
        <v>135000</v>
      </c>
      <c r="AD21" s="2282">
        <f>AC21</f>
        <v>135000</v>
      </c>
      <c r="AE21" s="2282">
        <v>0</v>
      </c>
      <c r="AF21" s="1">
        <f t="shared" si="5"/>
        <v>-32000</v>
      </c>
    </row>
    <row r="22" spans="1:32" ht="22.2" hidden="1" customHeight="1">
      <c r="A22" s="1413" t="s">
        <v>137</v>
      </c>
      <c r="B22" s="11" t="s">
        <v>67</v>
      </c>
      <c r="C22" s="2282">
        <f>'Phụ lục số 1'!C22</f>
        <v>0</v>
      </c>
      <c r="D22" s="2272">
        <v>0</v>
      </c>
      <c r="E22" s="2272">
        <f>C22-D22</f>
        <v>0</v>
      </c>
      <c r="F22" s="2272">
        <f t="shared" si="6"/>
        <v>0</v>
      </c>
      <c r="G22" s="2272">
        <v>0</v>
      </c>
      <c r="H22" s="2282">
        <f>'Phụ lục số 1'!T22</f>
        <v>0</v>
      </c>
      <c r="I22" s="3206"/>
      <c r="J22" s="2282"/>
      <c r="K22" s="2282">
        <f t="shared" si="7"/>
        <v>0</v>
      </c>
      <c r="L22" s="2282">
        <f t="shared" si="4"/>
        <v>0</v>
      </c>
      <c r="M22" s="2282">
        <v>0</v>
      </c>
      <c r="N22" s="2282">
        <f>'Phụ lục số 1'!AE22</f>
        <v>0</v>
      </c>
      <c r="O22" s="3206"/>
      <c r="P22" s="2282"/>
      <c r="Q22" s="2282">
        <f>N22-P22</f>
        <v>0</v>
      </c>
      <c r="R22" s="2282">
        <f>Q22</f>
        <v>0</v>
      </c>
      <c r="S22" s="2282">
        <v>0</v>
      </c>
      <c r="T22" s="2282">
        <f>'Phụ lục số 1'!AK22</f>
        <v>0</v>
      </c>
      <c r="U22" s="3206"/>
      <c r="V22" s="2282"/>
      <c r="W22" s="2282">
        <f>T22-V22</f>
        <v>0</v>
      </c>
      <c r="X22" s="2282">
        <f>W22</f>
        <v>0</v>
      </c>
      <c r="Y22" s="2282">
        <v>0</v>
      </c>
      <c r="Z22" s="2282">
        <f>'Phụ lục số 1'!AQ22</f>
        <v>0</v>
      </c>
      <c r="AA22" s="3206"/>
      <c r="AB22" s="2282"/>
      <c r="AC22" s="2282">
        <f>Z22-AB22</f>
        <v>0</v>
      </c>
      <c r="AD22" s="2282">
        <f>AC22</f>
        <v>0</v>
      </c>
      <c r="AE22" s="2282">
        <v>0</v>
      </c>
      <c r="AF22" s="1">
        <f t="shared" si="5"/>
        <v>0</v>
      </c>
    </row>
    <row r="23" spans="1:32" ht="22.2" customHeight="1">
      <c r="A23" s="1412">
        <v>3</v>
      </c>
      <c r="B23" s="17" t="s">
        <v>68</v>
      </c>
      <c r="C23" s="2279">
        <f t="shared" ref="C23:H23" si="9">SUM(C24:C27)</f>
        <v>70000</v>
      </c>
      <c r="D23" s="2279">
        <f t="shared" si="9"/>
        <v>0</v>
      </c>
      <c r="E23" s="2279">
        <f t="shared" si="9"/>
        <v>70000</v>
      </c>
      <c r="F23" s="2279">
        <f t="shared" si="9"/>
        <v>70000</v>
      </c>
      <c r="G23" s="2279">
        <f t="shared" si="9"/>
        <v>0</v>
      </c>
      <c r="H23" s="3203">
        <f t="shared" si="9"/>
        <v>70000</v>
      </c>
      <c r="I23" s="3204">
        <f>H23/C23*100</f>
        <v>100</v>
      </c>
      <c r="J23" s="3203">
        <f>SUM(J24:J27)</f>
        <v>0</v>
      </c>
      <c r="K23" s="3203">
        <f>SUM(K24:K27)</f>
        <v>70000</v>
      </c>
      <c r="L23" s="3203">
        <f>SUM(L24:L27)</f>
        <v>70000</v>
      </c>
      <c r="M23" s="3203">
        <f>SUM(M24:M27)</f>
        <v>0</v>
      </c>
      <c r="N23" s="3203">
        <f>SUM(N24:N27)</f>
        <v>75000</v>
      </c>
      <c r="O23" s="3204">
        <f>N23/H23*100</f>
        <v>107.14285714285714</v>
      </c>
      <c r="P23" s="3203">
        <f>SUM(P24:P27)</f>
        <v>0</v>
      </c>
      <c r="Q23" s="3203">
        <f>SUM(Q24:Q27)</f>
        <v>75000</v>
      </c>
      <c r="R23" s="3203">
        <f>SUM(R24:R27)</f>
        <v>75000</v>
      </c>
      <c r="S23" s="3203">
        <f>SUM(S24:S27)</f>
        <v>0</v>
      </c>
      <c r="T23" s="3203">
        <f>SUM(T24:T27)</f>
        <v>100000</v>
      </c>
      <c r="U23" s="3204">
        <f>T23/N23*100</f>
        <v>133.33333333333331</v>
      </c>
      <c r="V23" s="3203">
        <f>SUM(V24:V27)</f>
        <v>0</v>
      </c>
      <c r="W23" s="3203">
        <f>SUM(W24:W27)</f>
        <v>100000</v>
      </c>
      <c r="X23" s="3203">
        <f>SUM(X24:X27)</f>
        <v>100000</v>
      </c>
      <c r="Y23" s="3203">
        <f>SUM(Y24:Y27)</f>
        <v>0</v>
      </c>
      <c r="Z23" s="3203">
        <f>SUM(Z24:Z27)</f>
        <v>110000</v>
      </c>
      <c r="AA23" s="3204">
        <f>Z23/T23*100</f>
        <v>110.00000000000001</v>
      </c>
      <c r="AB23" s="3203">
        <f>SUM(AB24:AB27)</f>
        <v>0</v>
      </c>
      <c r="AC23" s="3203">
        <f>SUM(AC24:AC27)</f>
        <v>110000</v>
      </c>
      <c r="AD23" s="3203">
        <f>SUM(AD24:AD27)</f>
        <v>110000</v>
      </c>
      <c r="AE23" s="3203">
        <f>SUM(AE24:AE27)</f>
        <v>0</v>
      </c>
      <c r="AF23" s="1">
        <f t="shared" si="5"/>
        <v>0</v>
      </c>
    </row>
    <row r="24" spans="1:32" ht="22.2" hidden="1" customHeight="1">
      <c r="A24" s="1413" t="s">
        <v>137</v>
      </c>
      <c r="B24" s="11" t="s">
        <v>11</v>
      </c>
      <c r="C24" s="3205">
        <f>'Phụ lục số 1'!C24</f>
        <v>18000</v>
      </c>
      <c r="D24" s="2272">
        <v>0</v>
      </c>
      <c r="E24" s="2272">
        <f>C24-D24</f>
        <v>18000</v>
      </c>
      <c r="F24" s="2272">
        <f t="shared" si="6"/>
        <v>18000</v>
      </c>
      <c r="G24" s="2272">
        <v>0</v>
      </c>
      <c r="H24" s="3205">
        <f>'Phụ lục số 1'!T24</f>
        <v>15000</v>
      </c>
      <c r="I24" s="3206"/>
      <c r="J24" s="2282">
        <f>0</f>
        <v>0</v>
      </c>
      <c r="K24" s="2282">
        <f>H24-J24</f>
        <v>15000</v>
      </c>
      <c r="L24" s="2282">
        <f>K24-M24</f>
        <v>15000</v>
      </c>
      <c r="M24" s="2282">
        <v>0</v>
      </c>
      <c r="N24" s="2282">
        <f>'Phụ lục số 1'!AE24</f>
        <v>16000</v>
      </c>
      <c r="O24" s="3206"/>
      <c r="P24" s="2282"/>
      <c r="Q24" s="2282">
        <f>N24-P24</f>
        <v>16000</v>
      </c>
      <c r="R24" s="2282">
        <f>Q24-S24</f>
        <v>16000</v>
      </c>
      <c r="S24" s="2282">
        <v>0</v>
      </c>
      <c r="T24" s="2282">
        <f>'Phụ lục số 1'!AK24</f>
        <v>22000</v>
      </c>
      <c r="U24" s="3206"/>
      <c r="V24" s="2282"/>
      <c r="W24" s="2282">
        <f>T24-V24</f>
        <v>22000</v>
      </c>
      <c r="X24" s="2282">
        <f>W24-Y24</f>
        <v>22000</v>
      </c>
      <c r="Y24" s="2282">
        <v>0</v>
      </c>
      <c r="Z24" s="2282">
        <f>'Phụ lục số 1'!AQ24</f>
        <v>24000</v>
      </c>
      <c r="AA24" s="3206"/>
      <c r="AB24" s="2282"/>
      <c r="AC24" s="2282">
        <f>Z24-AB24</f>
        <v>24000</v>
      </c>
      <c r="AD24" s="2282">
        <f>AC24-AE24</f>
        <v>24000</v>
      </c>
      <c r="AE24" s="2282">
        <v>0</v>
      </c>
      <c r="AF24" s="1">
        <f t="shared" si="5"/>
        <v>-3000</v>
      </c>
    </row>
    <row r="25" spans="1:32" ht="22.2" hidden="1" customHeight="1">
      <c r="A25" s="1413" t="s">
        <v>137</v>
      </c>
      <c r="B25" s="11" t="s">
        <v>12</v>
      </c>
      <c r="C25" s="2282">
        <f>'Phụ lục số 1'!C25</f>
        <v>52000</v>
      </c>
      <c r="D25" s="2272">
        <v>0</v>
      </c>
      <c r="E25" s="2272">
        <f>C25-D25</f>
        <v>52000</v>
      </c>
      <c r="F25" s="2272">
        <f t="shared" si="6"/>
        <v>52000</v>
      </c>
      <c r="G25" s="2272">
        <v>0</v>
      </c>
      <c r="H25" s="2282">
        <f>'Phụ lục số 1'!T25</f>
        <v>54990</v>
      </c>
      <c r="I25" s="3206"/>
      <c r="J25" s="2282">
        <f>0</f>
        <v>0</v>
      </c>
      <c r="K25" s="2282">
        <f>H25-J25</f>
        <v>54990</v>
      </c>
      <c r="L25" s="2282">
        <f>K25-M25</f>
        <v>54990</v>
      </c>
      <c r="M25" s="2282">
        <v>0</v>
      </c>
      <c r="N25" s="2282">
        <f>'Phụ lục số 1'!AE25</f>
        <v>59000</v>
      </c>
      <c r="O25" s="3206"/>
      <c r="P25" s="2282"/>
      <c r="Q25" s="2282">
        <f>N25-P25</f>
        <v>59000</v>
      </c>
      <c r="R25" s="2282">
        <f>Q25-S25</f>
        <v>59000</v>
      </c>
      <c r="S25" s="2282">
        <v>0</v>
      </c>
      <c r="T25" s="2282">
        <f>'Phụ lục số 1'!AK25</f>
        <v>78000</v>
      </c>
      <c r="U25" s="3206"/>
      <c r="V25" s="2282"/>
      <c r="W25" s="2282">
        <f>T25-V25</f>
        <v>78000</v>
      </c>
      <c r="X25" s="2282">
        <f>W25-Y25</f>
        <v>78000</v>
      </c>
      <c r="Y25" s="2282">
        <v>0</v>
      </c>
      <c r="Z25" s="2282">
        <f>'Phụ lục số 1'!AQ25</f>
        <v>86000</v>
      </c>
      <c r="AA25" s="3206"/>
      <c r="AB25" s="2282"/>
      <c r="AC25" s="2282">
        <f>Z25-AB25</f>
        <v>86000</v>
      </c>
      <c r="AD25" s="2282">
        <f>AC25-AE25</f>
        <v>86000</v>
      </c>
      <c r="AE25" s="2282">
        <v>0</v>
      </c>
      <c r="AF25" s="1">
        <f t="shared" si="5"/>
        <v>2990</v>
      </c>
    </row>
    <row r="26" spans="1:32" ht="22.2" hidden="1" customHeight="1">
      <c r="A26" s="1413" t="s">
        <v>137</v>
      </c>
      <c r="B26" s="11" t="s">
        <v>14</v>
      </c>
      <c r="C26" s="2282">
        <f>'Phụ lục số 1'!C26</f>
        <v>0</v>
      </c>
      <c r="D26" s="2272"/>
      <c r="E26" s="2272">
        <f>C26-D26</f>
        <v>0</v>
      </c>
      <c r="F26" s="2272">
        <f>C26</f>
        <v>0</v>
      </c>
      <c r="G26" s="2272">
        <v>0</v>
      </c>
      <c r="H26" s="2282">
        <f>'Phụ lục số 1'!T26</f>
        <v>0</v>
      </c>
      <c r="I26" s="3206"/>
      <c r="J26" s="2282">
        <v>0</v>
      </c>
      <c r="K26" s="2282">
        <f>H26-J26</f>
        <v>0</v>
      </c>
      <c r="L26" s="2282">
        <f>K26-M26</f>
        <v>0</v>
      </c>
      <c r="M26" s="2282">
        <v>0</v>
      </c>
      <c r="N26" s="2282">
        <f>'Phụ lục số 1'!AE26</f>
        <v>0</v>
      </c>
      <c r="O26" s="3206"/>
      <c r="P26" s="2282"/>
      <c r="Q26" s="2282">
        <f>N26-P26</f>
        <v>0</v>
      </c>
      <c r="R26" s="2282">
        <f>Q26-S26</f>
        <v>0</v>
      </c>
      <c r="S26" s="2282">
        <v>0</v>
      </c>
      <c r="T26" s="2282">
        <f>'Phụ lục số 1'!AK26</f>
        <v>0</v>
      </c>
      <c r="U26" s="3206"/>
      <c r="V26" s="2282"/>
      <c r="W26" s="2282">
        <f>T26-V26</f>
        <v>0</v>
      </c>
      <c r="X26" s="2282">
        <f>W26-Y26</f>
        <v>0</v>
      </c>
      <c r="Y26" s="2282">
        <v>0</v>
      </c>
      <c r="Z26" s="2282">
        <f>'Phụ lục số 1'!AQ26</f>
        <v>0</v>
      </c>
      <c r="AA26" s="3206"/>
      <c r="AB26" s="2282"/>
      <c r="AC26" s="2282">
        <f>Z26-AB26</f>
        <v>0</v>
      </c>
      <c r="AD26" s="2282"/>
      <c r="AE26" s="2282"/>
      <c r="AF26" s="1">
        <f t="shared" si="5"/>
        <v>0</v>
      </c>
    </row>
    <row r="27" spans="1:32" ht="22.2" hidden="1" customHeight="1">
      <c r="A27" s="1413" t="s">
        <v>137</v>
      </c>
      <c r="B27" s="11" t="s">
        <v>105</v>
      </c>
      <c r="C27" s="2282">
        <f>'Phụ lục số 1'!C27</f>
        <v>0</v>
      </c>
      <c r="D27" s="2272">
        <v>0</v>
      </c>
      <c r="E27" s="2272">
        <f>C27-D27</f>
        <v>0</v>
      </c>
      <c r="F27" s="2272">
        <f t="shared" si="6"/>
        <v>0</v>
      </c>
      <c r="G27" s="2272">
        <v>0</v>
      </c>
      <c r="H27" s="2282">
        <f>'Phụ lục số 1'!T27</f>
        <v>10</v>
      </c>
      <c r="I27" s="3206"/>
      <c r="J27" s="2282"/>
      <c r="K27" s="2282">
        <f>H27-J27</f>
        <v>10</v>
      </c>
      <c r="L27" s="2282">
        <f>K27-M27</f>
        <v>10</v>
      </c>
      <c r="M27" s="2282">
        <v>0</v>
      </c>
      <c r="N27" s="2282">
        <f>'Phụ lục số 1'!AE27</f>
        <v>0</v>
      </c>
      <c r="O27" s="3206"/>
      <c r="P27" s="2282">
        <v>0</v>
      </c>
      <c r="Q27" s="2282">
        <f>N27-P27</f>
        <v>0</v>
      </c>
      <c r="R27" s="2282">
        <f>Q27-S27</f>
        <v>0</v>
      </c>
      <c r="S27" s="2282">
        <v>0</v>
      </c>
      <c r="T27" s="2282">
        <f>'Phụ lục số 1'!AK27</f>
        <v>0</v>
      </c>
      <c r="U27" s="3206"/>
      <c r="V27" s="2282">
        <v>0</v>
      </c>
      <c r="W27" s="2282">
        <f>T27-V27</f>
        <v>0</v>
      </c>
      <c r="X27" s="2282">
        <f>W27-Y27</f>
        <v>0</v>
      </c>
      <c r="Y27" s="2282">
        <v>0</v>
      </c>
      <c r="Z27" s="2282">
        <f>'Phụ lục số 1'!AQ27</f>
        <v>0</v>
      </c>
      <c r="AA27" s="3206"/>
      <c r="AB27" s="2282"/>
      <c r="AC27" s="2282">
        <f>Z27-AB27</f>
        <v>0</v>
      </c>
      <c r="AD27" s="2282"/>
      <c r="AE27" s="2282"/>
      <c r="AF27" s="1">
        <f t="shared" si="5"/>
        <v>10</v>
      </c>
    </row>
    <row r="28" spans="1:32" s="3" customFormat="1" ht="22.2" customHeight="1">
      <c r="A28" s="1412">
        <v>4</v>
      </c>
      <c r="B28" s="17" t="s">
        <v>106</v>
      </c>
      <c r="C28" s="2279">
        <f t="shared" ref="C28:H28" si="10">SUM(C29:C33)</f>
        <v>1265000</v>
      </c>
      <c r="D28" s="2279">
        <f t="shared" si="10"/>
        <v>0</v>
      </c>
      <c r="E28" s="2279">
        <f t="shared" si="10"/>
        <v>1265000</v>
      </c>
      <c r="F28" s="2279">
        <f t="shared" si="10"/>
        <v>88850</v>
      </c>
      <c r="G28" s="2279">
        <f t="shared" si="10"/>
        <v>1176150</v>
      </c>
      <c r="H28" s="3203">
        <f t="shared" si="10"/>
        <v>1600000.2999999998</v>
      </c>
      <c r="I28" s="3204">
        <f>H28/C28*100</f>
        <v>126.48223715415018</v>
      </c>
      <c r="J28" s="3203">
        <f>SUM(J29:J33)</f>
        <v>0</v>
      </c>
      <c r="K28" s="3203">
        <f>SUM(K29:K33)</f>
        <v>1600000.2999999998</v>
      </c>
      <c r="L28" s="3203">
        <f>SUM(L29:L33)</f>
        <v>80950.399999999994</v>
      </c>
      <c r="M28" s="3203">
        <f>SUM(M29:M33)</f>
        <v>1519049.9</v>
      </c>
      <c r="N28" s="3203">
        <f>SUM(N29:N33)</f>
        <v>1701000</v>
      </c>
      <c r="O28" s="3204">
        <f>N28/H28*100</f>
        <v>106.31248006641</v>
      </c>
      <c r="P28" s="3203">
        <f>SUM(P29:P33)</f>
        <v>0</v>
      </c>
      <c r="Q28" s="3203">
        <f>SUM(Q29:Q33)</f>
        <v>1701000</v>
      </c>
      <c r="R28" s="3203">
        <f>SUM(R29:R33)</f>
        <v>69420</v>
      </c>
      <c r="S28" s="3203">
        <f>SUM(S29:S33)</f>
        <v>1631580</v>
      </c>
      <c r="T28" s="3203">
        <f>SUM(T29:T33)</f>
        <v>1620000</v>
      </c>
      <c r="U28" s="3204">
        <f>T28/N28*100</f>
        <v>95.238095238095227</v>
      </c>
      <c r="V28" s="3203">
        <f>SUM(V29:V33)</f>
        <v>0</v>
      </c>
      <c r="W28" s="3203">
        <f>SUM(W29:W33)</f>
        <v>1620000</v>
      </c>
      <c r="X28" s="3203">
        <f>SUM(X29:X33)</f>
        <v>118000</v>
      </c>
      <c r="Y28" s="3203">
        <f>SUM(Y29:Y33)</f>
        <v>1502000</v>
      </c>
      <c r="Z28" s="3203">
        <f>SUM(Z29:Z33)</f>
        <v>1790000</v>
      </c>
      <c r="AA28" s="3204">
        <f>Z28/T28*100</f>
        <v>110.49382716049382</v>
      </c>
      <c r="AB28" s="3203">
        <f>SUM(AB29:AB33)</f>
        <v>0</v>
      </c>
      <c r="AC28" s="3203">
        <f>SUM(AC29:AC33)</f>
        <v>1790000</v>
      </c>
      <c r="AD28" s="3203">
        <f>SUM(AD29:AD33)</f>
        <v>131000</v>
      </c>
      <c r="AE28" s="3203">
        <f>SUM(AE29:AE33)</f>
        <v>1659000</v>
      </c>
      <c r="AF28" s="1">
        <f t="shared" si="5"/>
        <v>335000.29999999981</v>
      </c>
    </row>
    <row r="29" spans="1:32" ht="22.2" hidden="1" customHeight="1">
      <c r="A29" s="1413" t="s">
        <v>137</v>
      </c>
      <c r="B29" s="11" t="s">
        <v>11</v>
      </c>
      <c r="C29" s="3205">
        <f>'Phụ lục số 1'!C29</f>
        <v>651170</v>
      </c>
      <c r="D29" s="2272">
        <v>0</v>
      </c>
      <c r="E29" s="2272">
        <f t="shared" ref="E29:E34" si="11">C29-D29</f>
        <v>651170</v>
      </c>
      <c r="F29" s="2272">
        <f>E29-G29</f>
        <v>0</v>
      </c>
      <c r="G29" s="2272">
        <f>C29</f>
        <v>651170</v>
      </c>
      <c r="H29" s="3205">
        <f>'Phụ lục số 1'!T29</f>
        <v>728899.9</v>
      </c>
      <c r="I29" s="3206"/>
      <c r="J29" s="2282">
        <f>0</f>
        <v>0</v>
      </c>
      <c r="K29" s="2282">
        <f t="shared" ref="K29:K48" si="12">H29-J29</f>
        <v>728899.9</v>
      </c>
      <c r="L29" s="2272">
        <f>K29-M29</f>
        <v>0</v>
      </c>
      <c r="M29" s="2282">
        <f>H29</f>
        <v>728899.9</v>
      </c>
      <c r="N29" s="2282">
        <f>'Phụ lục số 1'!AE29</f>
        <v>724290</v>
      </c>
      <c r="O29" s="3206"/>
      <c r="P29" s="2282"/>
      <c r="Q29" s="2282">
        <f t="shared" ref="Q29:Q47" si="13">N29-P29</f>
        <v>724290</v>
      </c>
      <c r="R29" s="2272">
        <f>Q29-S29</f>
        <v>0</v>
      </c>
      <c r="S29" s="2282">
        <f>N29</f>
        <v>724290</v>
      </c>
      <c r="T29" s="2282">
        <f>'Phụ lục số 1'!AK29</f>
        <v>910000</v>
      </c>
      <c r="U29" s="3206"/>
      <c r="V29" s="2282"/>
      <c r="W29" s="2282">
        <f t="shared" ref="W29:W38" si="14">T29-V29</f>
        <v>910000</v>
      </c>
      <c r="X29" s="2272">
        <f t="shared" ref="X29:X36" si="15">W29-Y29</f>
        <v>0</v>
      </c>
      <c r="Y29" s="2282">
        <f>T29</f>
        <v>910000</v>
      </c>
      <c r="Z29" s="2282">
        <f>'Phụ lục số 1'!AQ29</f>
        <v>1004000</v>
      </c>
      <c r="AA29" s="3206"/>
      <c r="AB29" s="2282"/>
      <c r="AC29" s="2282">
        <f>Z29-AB29</f>
        <v>1004000</v>
      </c>
      <c r="AD29" s="2272">
        <f t="shared" ref="AD29:AD36" si="16">AC29-AE29</f>
        <v>0</v>
      </c>
      <c r="AE29" s="2282">
        <f>Z29</f>
        <v>1004000</v>
      </c>
      <c r="AF29" s="1">
        <f t="shared" si="5"/>
        <v>77729.900000000023</v>
      </c>
    </row>
    <row r="30" spans="1:32" ht="22.2" hidden="1" customHeight="1">
      <c r="A30" s="1413" t="s">
        <v>137</v>
      </c>
      <c r="B30" s="11" t="s">
        <v>12</v>
      </c>
      <c r="C30" s="2282">
        <f>'Phụ lục số 1'!C30</f>
        <v>524980</v>
      </c>
      <c r="D30" s="2272">
        <v>0</v>
      </c>
      <c r="E30" s="2272">
        <f t="shared" si="11"/>
        <v>524980</v>
      </c>
      <c r="F30" s="2272">
        <f>E30-G30</f>
        <v>0</v>
      </c>
      <c r="G30" s="2272">
        <f>C30</f>
        <v>524980</v>
      </c>
      <c r="H30" s="2282">
        <f>'Phụ lục số 1'!T30</f>
        <v>790000</v>
      </c>
      <c r="I30" s="3206"/>
      <c r="J30" s="2282">
        <f>0</f>
        <v>0</v>
      </c>
      <c r="K30" s="2282">
        <f t="shared" si="12"/>
        <v>790000</v>
      </c>
      <c r="L30" s="2272">
        <f>K30-M30</f>
        <v>0</v>
      </c>
      <c r="M30" s="2282">
        <f>H30</f>
        <v>790000</v>
      </c>
      <c r="N30" s="2282">
        <f>'Phụ lục số 1'!AE30</f>
        <v>905790</v>
      </c>
      <c r="O30" s="3206"/>
      <c r="P30" s="2282"/>
      <c r="Q30" s="2282">
        <f t="shared" si="13"/>
        <v>905790</v>
      </c>
      <c r="R30" s="2272">
        <f>Q30-S30</f>
        <v>0</v>
      </c>
      <c r="S30" s="2282">
        <f>N30</f>
        <v>905790</v>
      </c>
      <c r="T30" s="2282">
        <f>'Phụ lục số 1'!AK30</f>
        <v>592000</v>
      </c>
      <c r="U30" s="3206"/>
      <c r="V30" s="2282"/>
      <c r="W30" s="2282">
        <f t="shared" si="14"/>
        <v>592000</v>
      </c>
      <c r="X30" s="2272">
        <f t="shared" si="15"/>
        <v>0</v>
      </c>
      <c r="Y30" s="2282">
        <f>T30</f>
        <v>592000</v>
      </c>
      <c r="Z30" s="2282">
        <f>'Phụ lục số 1'!AQ30</f>
        <v>655000</v>
      </c>
      <c r="AA30" s="3206"/>
      <c r="AB30" s="2282"/>
      <c r="AC30" s="2282">
        <f>Z30-AB30</f>
        <v>655000</v>
      </c>
      <c r="AD30" s="2272">
        <f t="shared" si="16"/>
        <v>0</v>
      </c>
      <c r="AE30" s="2282">
        <f>Z30</f>
        <v>655000</v>
      </c>
      <c r="AF30" s="1">
        <f t="shared" si="5"/>
        <v>265020</v>
      </c>
    </row>
    <row r="31" spans="1:32" ht="22.2" hidden="1" customHeight="1">
      <c r="A31" s="1413" t="s">
        <v>137</v>
      </c>
      <c r="B31" s="11" t="s">
        <v>13</v>
      </c>
      <c r="C31" s="2282">
        <f>'Phụ lục số 1'!C31</f>
        <v>85120</v>
      </c>
      <c r="D31" s="2272">
        <v>0</v>
      </c>
      <c r="E31" s="2272">
        <f t="shared" si="11"/>
        <v>85120</v>
      </c>
      <c r="F31" s="2272">
        <f>E31-G31</f>
        <v>85120</v>
      </c>
      <c r="G31" s="2272">
        <v>0</v>
      </c>
      <c r="H31" s="2282">
        <f>'Phụ lục số 1'!T31</f>
        <v>76000.2</v>
      </c>
      <c r="I31" s="3206"/>
      <c r="J31" s="2282"/>
      <c r="K31" s="2282">
        <f t="shared" si="12"/>
        <v>76000.2</v>
      </c>
      <c r="L31" s="2272">
        <f>K31-M31</f>
        <v>76000.2</v>
      </c>
      <c r="M31" s="2282">
        <v>0</v>
      </c>
      <c r="N31" s="2282">
        <f>'Phụ lục số 1'!AE31</f>
        <v>63450</v>
      </c>
      <c r="O31" s="3206"/>
      <c r="P31" s="2282"/>
      <c r="Q31" s="2282">
        <f t="shared" si="13"/>
        <v>63450</v>
      </c>
      <c r="R31" s="2272">
        <f>Q31-S31</f>
        <v>63450</v>
      </c>
      <c r="S31" s="2282"/>
      <c r="T31" s="2282">
        <f>'Phụ lục số 1'!AK31</f>
        <v>109400</v>
      </c>
      <c r="U31" s="3206"/>
      <c r="V31" s="2282"/>
      <c r="W31" s="2282">
        <f t="shared" si="14"/>
        <v>109400</v>
      </c>
      <c r="X31" s="2272">
        <f t="shared" si="15"/>
        <v>109400</v>
      </c>
      <c r="Y31" s="2282"/>
      <c r="Z31" s="2282">
        <f>'Phụ lục số 1'!AQ31</f>
        <v>122000</v>
      </c>
      <c r="AA31" s="3206"/>
      <c r="AB31" s="2282"/>
      <c r="AC31" s="2282">
        <f>Z31-AB31</f>
        <v>122000</v>
      </c>
      <c r="AD31" s="2272">
        <f t="shared" si="16"/>
        <v>122000</v>
      </c>
      <c r="AE31" s="2282"/>
      <c r="AF31" s="1">
        <f t="shared" si="5"/>
        <v>-9119.8000000000029</v>
      </c>
    </row>
    <row r="32" spans="1:32" ht="22.2" hidden="1" customHeight="1">
      <c r="A32" s="1413" t="s">
        <v>137</v>
      </c>
      <c r="B32" s="11" t="s">
        <v>14</v>
      </c>
      <c r="C32" s="2282">
        <f>'Phụ lục số 1'!C32</f>
        <v>3730</v>
      </c>
      <c r="D32" s="2272">
        <v>0</v>
      </c>
      <c r="E32" s="2272">
        <f t="shared" si="11"/>
        <v>3730</v>
      </c>
      <c r="F32" s="2272">
        <f>E32-G32</f>
        <v>3730</v>
      </c>
      <c r="G32" s="2272">
        <v>0</v>
      </c>
      <c r="H32" s="2282">
        <f>'Phụ lục số 1'!T32</f>
        <v>4950.2</v>
      </c>
      <c r="I32" s="3206"/>
      <c r="J32" s="2282"/>
      <c r="K32" s="2282">
        <f t="shared" si="12"/>
        <v>4950.2</v>
      </c>
      <c r="L32" s="2272">
        <f>K32-M32</f>
        <v>4950.2</v>
      </c>
      <c r="M32" s="2282">
        <v>0</v>
      </c>
      <c r="N32" s="2282">
        <f>'Phụ lục số 1'!AE32</f>
        <v>5970</v>
      </c>
      <c r="O32" s="3206"/>
      <c r="P32" s="2282"/>
      <c r="Q32" s="2282">
        <f t="shared" si="13"/>
        <v>5970</v>
      </c>
      <c r="R32" s="2272">
        <f>Q32-S32</f>
        <v>5970</v>
      </c>
      <c r="S32" s="2282"/>
      <c r="T32" s="2282">
        <f>'Phụ lục số 1'!AK32</f>
        <v>8600</v>
      </c>
      <c r="U32" s="3206"/>
      <c r="V32" s="2282"/>
      <c r="W32" s="2282">
        <f t="shared" si="14"/>
        <v>8600</v>
      </c>
      <c r="X32" s="2272">
        <f>W32-Y32</f>
        <v>8600</v>
      </c>
      <c r="Y32" s="2282"/>
      <c r="Z32" s="2282">
        <f>'Phụ lục số 1'!AQ32</f>
        <v>9000</v>
      </c>
      <c r="AA32" s="3206"/>
      <c r="AB32" s="2282"/>
      <c r="AC32" s="2282">
        <f t="shared" ref="AC32:AC38" si="17">Z32-AB32</f>
        <v>9000</v>
      </c>
      <c r="AD32" s="2272">
        <f t="shared" si="16"/>
        <v>9000</v>
      </c>
      <c r="AE32" s="2282"/>
      <c r="AF32" s="1">
        <f t="shared" si="5"/>
        <v>1220.1999999999998</v>
      </c>
    </row>
    <row r="33" spans="1:33" ht="22.2" hidden="1" customHeight="1">
      <c r="A33" s="1413" t="s">
        <v>137</v>
      </c>
      <c r="B33" s="11" t="s">
        <v>15</v>
      </c>
      <c r="C33" s="2282">
        <f>'Phụ lục số 1'!C33</f>
        <v>0</v>
      </c>
      <c r="D33" s="2272">
        <v>0</v>
      </c>
      <c r="E33" s="2272">
        <f t="shared" si="11"/>
        <v>0</v>
      </c>
      <c r="F33" s="2272">
        <f>E33-G33</f>
        <v>0</v>
      </c>
      <c r="G33" s="2272">
        <f>C33</f>
        <v>0</v>
      </c>
      <c r="H33" s="2282">
        <f>'Phụ lục số 1'!T33</f>
        <v>150</v>
      </c>
      <c r="I33" s="3206"/>
      <c r="J33" s="2282"/>
      <c r="K33" s="2282">
        <f t="shared" si="12"/>
        <v>150</v>
      </c>
      <c r="L33" s="2272">
        <f>K33-M33</f>
        <v>0</v>
      </c>
      <c r="M33" s="2282">
        <f>H33</f>
        <v>150</v>
      </c>
      <c r="N33" s="2282">
        <f>'Phụ lục số 1'!AE33</f>
        <v>1500</v>
      </c>
      <c r="O33" s="3206"/>
      <c r="P33" s="2282"/>
      <c r="Q33" s="2282">
        <f t="shared" si="13"/>
        <v>1500</v>
      </c>
      <c r="R33" s="2272">
        <f>Q33-S33</f>
        <v>0</v>
      </c>
      <c r="S33" s="2282">
        <f>N33</f>
        <v>1500</v>
      </c>
      <c r="T33" s="2282">
        <f>'Phụ lục số 1'!AK33</f>
        <v>0</v>
      </c>
      <c r="U33" s="3206"/>
      <c r="V33" s="2282"/>
      <c r="W33" s="2282">
        <f t="shared" si="14"/>
        <v>0</v>
      </c>
      <c r="X33" s="2272">
        <f t="shared" si="15"/>
        <v>0</v>
      </c>
      <c r="Y33" s="2282">
        <f>T33</f>
        <v>0</v>
      </c>
      <c r="Z33" s="2282">
        <f>'Phụ lục số 1'!AQ33</f>
        <v>0</v>
      </c>
      <c r="AA33" s="3206"/>
      <c r="AB33" s="2282"/>
      <c r="AC33" s="2282">
        <f t="shared" si="17"/>
        <v>0</v>
      </c>
      <c r="AD33" s="2272">
        <f t="shared" si="16"/>
        <v>0</v>
      </c>
      <c r="AE33" s="2282"/>
      <c r="AF33" s="1">
        <f t="shared" si="5"/>
        <v>150</v>
      </c>
    </row>
    <row r="34" spans="1:33" ht="22.2" customHeight="1">
      <c r="A34" s="1412">
        <v>5</v>
      </c>
      <c r="B34" s="17" t="s">
        <v>16</v>
      </c>
      <c r="C34" s="3203">
        <f>'Phụ lục số 1'!C34</f>
        <v>295000</v>
      </c>
      <c r="D34" s="2279">
        <v>0</v>
      </c>
      <c r="E34" s="2279">
        <f t="shared" si="11"/>
        <v>295000</v>
      </c>
      <c r="F34" s="2279">
        <v>0</v>
      </c>
      <c r="G34" s="2279">
        <f>E34-F34</f>
        <v>295000</v>
      </c>
      <c r="H34" s="3203">
        <f>'Phụ lục số 1'!T34</f>
        <v>340000</v>
      </c>
      <c r="I34" s="3204">
        <f>H34/C34*100</f>
        <v>115.2542372881356</v>
      </c>
      <c r="J34" s="3203">
        <f>0</f>
        <v>0</v>
      </c>
      <c r="K34" s="3203">
        <f t="shared" si="12"/>
        <v>340000</v>
      </c>
      <c r="L34" s="3203">
        <f t="shared" ref="L34:L41" si="18">K34-M34</f>
        <v>0</v>
      </c>
      <c r="M34" s="3203">
        <f>H34</f>
        <v>340000</v>
      </c>
      <c r="N34" s="3203">
        <f>'Phụ lục số 1'!AE34</f>
        <v>350000</v>
      </c>
      <c r="O34" s="3204">
        <f>N34/H34*100</f>
        <v>102.94117647058823</v>
      </c>
      <c r="P34" s="3203">
        <f>0</f>
        <v>0</v>
      </c>
      <c r="Q34" s="3203">
        <f t="shared" si="13"/>
        <v>350000</v>
      </c>
      <c r="R34" s="3203">
        <f t="shared" ref="R34:R41" si="19">Q34-S34</f>
        <v>0</v>
      </c>
      <c r="S34" s="3203">
        <f>N34</f>
        <v>350000</v>
      </c>
      <c r="T34" s="3203">
        <f>'Phụ lục số 1'!AK34</f>
        <v>436000</v>
      </c>
      <c r="U34" s="3204">
        <f>T34/N34*100</f>
        <v>124.57142857142858</v>
      </c>
      <c r="V34" s="3203">
        <f>0</f>
        <v>0</v>
      </c>
      <c r="W34" s="3203">
        <f t="shared" si="14"/>
        <v>436000</v>
      </c>
      <c r="X34" s="3203">
        <f t="shared" si="15"/>
        <v>0</v>
      </c>
      <c r="Y34" s="3203">
        <f>T34</f>
        <v>436000</v>
      </c>
      <c r="Z34" s="3203">
        <f>'Phụ lục số 1'!AQ34</f>
        <v>480000</v>
      </c>
      <c r="AA34" s="3204">
        <f>Z34/T34*100</f>
        <v>110.09174311926606</v>
      </c>
      <c r="AB34" s="3203">
        <f>0</f>
        <v>0</v>
      </c>
      <c r="AC34" s="3203">
        <f t="shared" si="17"/>
        <v>480000</v>
      </c>
      <c r="AD34" s="3203">
        <f t="shared" si="16"/>
        <v>0</v>
      </c>
      <c r="AE34" s="3203">
        <f>Z34</f>
        <v>480000</v>
      </c>
      <c r="AF34" s="1">
        <f t="shared" si="5"/>
        <v>45000</v>
      </c>
    </row>
    <row r="35" spans="1:33" ht="22.2" customHeight="1">
      <c r="A35" s="1412">
        <v>6</v>
      </c>
      <c r="B35" s="17" t="s">
        <v>96</v>
      </c>
      <c r="C35" s="2279">
        <f>'Phụ lục số 1'!C35</f>
        <v>0</v>
      </c>
      <c r="D35" s="2279">
        <v>0</v>
      </c>
      <c r="E35" s="2279">
        <f>C35-D35</f>
        <v>0</v>
      </c>
      <c r="F35" s="2279">
        <v>0</v>
      </c>
      <c r="G35" s="2279">
        <f>E35-F35</f>
        <v>0</v>
      </c>
      <c r="H35" s="3203">
        <f>'Phụ lục số 1'!T35</f>
        <v>339.5</v>
      </c>
      <c r="I35" s="3204"/>
      <c r="J35" s="3203">
        <f>0</f>
        <v>0</v>
      </c>
      <c r="K35" s="3203">
        <f t="shared" si="12"/>
        <v>339.5</v>
      </c>
      <c r="L35" s="3203">
        <f t="shared" si="18"/>
        <v>0</v>
      </c>
      <c r="M35" s="3203">
        <f>H35</f>
        <v>339.5</v>
      </c>
      <c r="N35" s="3203">
        <f>'Phụ lục số 1'!AE35</f>
        <v>0</v>
      </c>
      <c r="O35" s="3204"/>
      <c r="P35" s="3203">
        <f>0</f>
        <v>0</v>
      </c>
      <c r="Q35" s="3203">
        <f t="shared" si="13"/>
        <v>0</v>
      </c>
      <c r="R35" s="3203">
        <f t="shared" si="19"/>
        <v>0</v>
      </c>
      <c r="S35" s="3203"/>
      <c r="T35" s="3203">
        <f>'Phụ lục số 1'!AK35</f>
        <v>0</v>
      </c>
      <c r="U35" s="3204"/>
      <c r="V35" s="3203">
        <f>0</f>
        <v>0</v>
      </c>
      <c r="W35" s="3203">
        <f t="shared" si="14"/>
        <v>0</v>
      </c>
      <c r="X35" s="3203">
        <f t="shared" si="15"/>
        <v>0</v>
      </c>
      <c r="Y35" s="3203">
        <v>0</v>
      </c>
      <c r="Z35" s="3203">
        <f>'Phụ lục số 1'!AQ35</f>
        <v>0</v>
      </c>
      <c r="AA35" s="3204"/>
      <c r="AB35" s="3203">
        <f>0</f>
        <v>0</v>
      </c>
      <c r="AC35" s="3203">
        <f t="shared" si="17"/>
        <v>0</v>
      </c>
      <c r="AD35" s="3203">
        <f t="shared" si="16"/>
        <v>0</v>
      </c>
      <c r="AE35" s="3203">
        <v>0</v>
      </c>
      <c r="AF35" s="1">
        <f t="shared" si="5"/>
        <v>339.5</v>
      </c>
    </row>
    <row r="36" spans="1:33" ht="22.2" customHeight="1">
      <c r="A36" s="1412">
        <v>7</v>
      </c>
      <c r="B36" s="17" t="s">
        <v>119</v>
      </c>
      <c r="C36" s="2279">
        <f>'Phụ lục số 1'!C36</f>
        <v>10000</v>
      </c>
      <c r="D36" s="2279">
        <v>0</v>
      </c>
      <c r="E36" s="2279">
        <f>C36-D36</f>
        <v>10000</v>
      </c>
      <c r="F36" s="2279">
        <v>0</v>
      </c>
      <c r="G36" s="2279">
        <f>E36-F36</f>
        <v>10000</v>
      </c>
      <c r="H36" s="3203">
        <f>'Phụ lục số 1'!T36</f>
        <v>14660.1</v>
      </c>
      <c r="I36" s="3204">
        <f t="shared" ref="I36:I49" si="20">H36/C36*100</f>
        <v>146.601</v>
      </c>
      <c r="J36" s="3203">
        <f>0</f>
        <v>0</v>
      </c>
      <c r="K36" s="3203">
        <f t="shared" si="12"/>
        <v>14660.1</v>
      </c>
      <c r="L36" s="3203">
        <f t="shared" si="18"/>
        <v>0</v>
      </c>
      <c r="M36" s="3203">
        <f>H36</f>
        <v>14660.1</v>
      </c>
      <c r="N36" s="3203">
        <f>'Phụ lục số 1'!AE36</f>
        <v>15000</v>
      </c>
      <c r="O36" s="3204">
        <f>N36/H36*100</f>
        <v>102.31853807272802</v>
      </c>
      <c r="P36" s="3203">
        <f>0</f>
        <v>0</v>
      </c>
      <c r="Q36" s="3203">
        <f t="shared" si="13"/>
        <v>15000</v>
      </c>
      <c r="R36" s="3203">
        <f t="shared" si="19"/>
        <v>0</v>
      </c>
      <c r="S36" s="3203">
        <f>N36</f>
        <v>15000</v>
      </c>
      <c r="T36" s="3203">
        <f>'Phụ lục số 1'!AK36</f>
        <v>12000</v>
      </c>
      <c r="U36" s="3204">
        <f t="shared" ref="U36:U41" si="21">T36/N36*100</f>
        <v>80</v>
      </c>
      <c r="V36" s="3203">
        <f>0</f>
        <v>0</v>
      </c>
      <c r="W36" s="3203">
        <f t="shared" si="14"/>
        <v>12000</v>
      </c>
      <c r="X36" s="3203">
        <f t="shared" si="15"/>
        <v>0</v>
      </c>
      <c r="Y36" s="3203">
        <f>T36</f>
        <v>12000</v>
      </c>
      <c r="Z36" s="3203">
        <f>'Phụ lục số 1'!AQ36</f>
        <v>13000</v>
      </c>
      <c r="AA36" s="3204">
        <f t="shared" ref="AA36:AA41" si="22">Z36/T36*100</f>
        <v>108.33333333333333</v>
      </c>
      <c r="AB36" s="3203">
        <f>0</f>
        <v>0</v>
      </c>
      <c r="AC36" s="3203">
        <f t="shared" si="17"/>
        <v>13000</v>
      </c>
      <c r="AD36" s="3203">
        <f t="shared" si="16"/>
        <v>0</v>
      </c>
      <c r="AE36" s="3203">
        <f>Z36</f>
        <v>13000</v>
      </c>
      <c r="AF36" s="1">
        <f t="shared" si="5"/>
        <v>4660.1000000000004</v>
      </c>
    </row>
    <row r="37" spans="1:33" ht="22.2" customHeight="1">
      <c r="A37" s="1412">
        <v>8</v>
      </c>
      <c r="B37" s="17" t="s">
        <v>97</v>
      </c>
      <c r="C37" s="2279">
        <f>'Phụ lục số 1'!C37</f>
        <v>600000</v>
      </c>
      <c r="D37" s="2279">
        <v>0</v>
      </c>
      <c r="E37" s="2279">
        <f>C37-D37</f>
        <v>600000</v>
      </c>
      <c r="F37" s="2279">
        <f>E37-G37</f>
        <v>290500</v>
      </c>
      <c r="G37" s="2279">
        <f>'Phụ lục số 1'!G37</f>
        <v>309500</v>
      </c>
      <c r="H37" s="3203">
        <f>'Phụ lục số 1'!T37</f>
        <v>710000</v>
      </c>
      <c r="I37" s="3204">
        <f>H37/C37*100</f>
        <v>118.33333333333333</v>
      </c>
      <c r="J37" s="3203">
        <f>0</f>
        <v>0</v>
      </c>
      <c r="K37" s="3203">
        <f t="shared" si="12"/>
        <v>710000</v>
      </c>
      <c r="L37" s="3203">
        <f t="shared" si="18"/>
        <v>344000.33333333337</v>
      </c>
      <c r="M37" s="3203">
        <f>'Phụ lục số 1'!Y37</f>
        <v>365999.66666666663</v>
      </c>
      <c r="N37" s="3203">
        <f>'Phụ lục số 1'!AE37</f>
        <v>730000</v>
      </c>
      <c r="O37" s="3204">
        <f>N37/H37*100</f>
        <v>102.8169014084507</v>
      </c>
      <c r="P37" s="3203">
        <f>0</f>
        <v>0</v>
      </c>
      <c r="Q37" s="3203">
        <f t="shared" si="13"/>
        <v>730000</v>
      </c>
      <c r="R37" s="3203">
        <f>Q37-S37</f>
        <v>408000</v>
      </c>
      <c r="S37" s="3203">
        <f>'Phụ lục số 1'!AJ37</f>
        <v>322000</v>
      </c>
      <c r="T37" s="3203">
        <f>'Phụ lục số 1'!AK37</f>
        <v>870000</v>
      </c>
      <c r="U37" s="3204">
        <f t="shared" si="21"/>
        <v>119.17808219178083</v>
      </c>
      <c r="V37" s="3203">
        <f>0</f>
        <v>0</v>
      </c>
      <c r="W37" s="3203">
        <f t="shared" si="14"/>
        <v>870000</v>
      </c>
      <c r="X37" s="3203">
        <f>W37-Y37</f>
        <v>485999.57534246572</v>
      </c>
      <c r="Y37" s="3203">
        <f>'Phụ lục số 1'!AP37</f>
        <v>384000.42465753428</v>
      </c>
      <c r="Z37" s="3203">
        <f>'Phụ lục số 1'!AQ37</f>
        <v>940000</v>
      </c>
      <c r="AA37" s="3204">
        <f t="shared" si="22"/>
        <v>108.04597701149426</v>
      </c>
      <c r="AB37" s="3203">
        <f>0</f>
        <v>0</v>
      </c>
      <c r="AC37" s="3203">
        <f t="shared" si="17"/>
        <v>940000</v>
      </c>
      <c r="AD37" s="3203">
        <f>'Phụ lục số 1'!AU37</f>
        <v>525099.98945048021</v>
      </c>
      <c r="AE37" s="3203">
        <f>'Phụ lục số 1'!AV37</f>
        <v>414900.01054951979</v>
      </c>
      <c r="AF37" s="1">
        <f t="shared" si="5"/>
        <v>110000</v>
      </c>
    </row>
    <row r="38" spans="1:33" ht="22.2" customHeight="1">
      <c r="A38" s="1412">
        <v>9</v>
      </c>
      <c r="B38" s="17" t="s">
        <v>1288</v>
      </c>
      <c r="C38" s="3203">
        <f>'Phụ lục số 1'!C38</f>
        <v>1500000</v>
      </c>
      <c r="D38" s="3203">
        <f>'Phụ lục số 1'!D38</f>
        <v>600000</v>
      </c>
      <c r="E38" s="2279">
        <f>C38-D38</f>
        <v>900000</v>
      </c>
      <c r="F38" s="2279">
        <f>E38-G38</f>
        <v>900000</v>
      </c>
      <c r="G38" s="2279">
        <v>0</v>
      </c>
      <c r="H38" s="3203">
        <f>'Phụ lục số 1'!T38</f>
        <v>980000</v>
      </c>
      <c r="I38" s="3204">
        <f t="shared" si="20"/>
        <v>65.333333333333329</v>
      </c>
      <c r="J38" s="3203">
        <f>INT(ROUND(H38*40%,-3))</f>
        <v>392000</v>
      </c>
      <c r="K38" s="3203">
        <f t="shared" si="12"/>
        <v>588000</v>
      </c>
      <c r="L38" s="3203">
        <f t="shared" si="18"/>
        <v>588000</v>
      </c>
      <c r="M38" s="3203">
        <v>0</v>
      </c>
      <c r="N38" s="3203">
        <f>'Phụ lục số 1'!AE38</f>
        <v>1065000</v>
      </c>
      <c r="O38" s="3204">
        <f>N38/H38*100</f>
        <v>108.67346938775511</v>
      </c>
      <c r="P38" s="3203">
        <f>INT(ROUND(N38*40%,-3))</f>
        <v>426000</v>
      </c>
      <c r="Q38" s="3203">
        <f t="shared" si="13"/>
        <v>639000</v>
      </c>
      <c r="R38" s="3203">
        <f t="shared" si="19"/>
        <v>639000</v>
      </c>
      <c r="S38" s="3203">
        <v>0</v>
      </c>
      <c r="T38" s="3203">
        <f>'Phụ lục số 1'!AK38</f>
        <v>1750000</v>
      </c>
      <c r="U38" s="3204">
        <f t="shared" si="21"/>
        <v>164.31924882629107</v>
      </c>
      <c r="V38" s="3203">
        <f>ROUND(T38*40%,-3)</f>
        <v>700000</v>
      </c>
      <c r="W38" s="3203">
        <f t="shared" si="14"/>
        <v>1050000</v>
      </c>
      <c r="X38" s="3203">
        <f>W38-Y38</f>
        <v>1050000</v>
      </c>
      <c r="Y38" s="3203">
        <v>0</v>
      </c>
      <c r="Z38" s="3203">
        <f>'Phụ lục số 1'!AQ38</f>
        <v>1900000</v>
      </c>
      <c r="AA38" s="3204">
        <f t="shared" si="22"/>
        <v>108.57142857142857</v>
      </c>
      <c r="AB38" s="3203">
        <f>'Phụ lục số 1'!AS38</f>
        <v>760000</v>
      </c>
      <c r="AC38" s="3203">
        <f t="shared" si="17"/>
        <v>1140000</v>
      </c>
      <c r="AD38" s="3203">
        <f>'Phụ lục số 1'!AU38</f>
        <v>1140000</v>
      </c>
      <c r="AE38" s="3203">
        <v>0</v>
      </c>
      <c r="AF38" s="1">
        <f t="shared" si="5"/>
        <v>-520000</v>
      </c>
      <c r="AG38" s="1">
        <f>+L38-F38</f>
        <v>-312000</v>
      </c>
    </row>
    <row r="39" spans="1:33" ht="22.2" customHeight="1">
      <c r="A39" s="1412">
        <v>10</v>
      </c>
      <c r="B39" s="17" t="s">
        <v>17</v>
      </c>
      <c r="C39" s="3203">
        <f>'Phụ lục số 1'!C39</f>
        <v>160000</v>
      </c>
      <c r="D39" s="3203">
        <f>'Phụ lục số 1'!D39</f>
        <v>82000</v>
      </c>
      <c r="E39" s="2279">
        <f>C39-D39</f>
        <v>78000</v>
      </c>
      <c r="F39" s="2279">
        <f>E39-G39</f>
        <v>18800</v>
      </c>
      <c r="G39" s="2279">
        <f>'Phụ lục số 1'!G39</f>
        <v>59200</v>
      </c>
      <c r="H39" s="3203">
        <f>'Phụ lục số 1'!T39</f>
        <v>160000</v>
      </c>
      <c r="I39" s="3204">
        <f t="shared" si="20"/>
        <v>100</v>
      </c>
      <c r="J39" s="3203">
        <f>'Phụ lục số 1'!V39</f>
        <v>82000</v>
      </c>
      <c r="K39" s="3203">
        <f t="shared" si="12"/>
        <v>78000</v>
      </c>
      <c r="L39" s="3203">
        <f t="shared" si="18"/>
        <v>19000</v>
      </c>
      <c r="M39" s="3203">
        <f>'Phụ lục số 1'!Y39</f>
        <v>59000</v>
      </c>
      <c r="N39" s="3203">
        <f>'Phụ lục số 1'!AE39</f>
        <v>170000</v>
      </c>
      <c r="O39" s="3204">
        <f>N39/H39*100</f>
        <v>106.25</v>
      </c>
      <c r="P39" s="3203">
        <f>'Phụ lục số 1'!AG39</f>
        <v>87000</v>
      </c>
      <c r="Q39" s="3203">
        <f>R39+S39</f>
        <v>83000</v>
      </c>
      <c r="R39" s="3203">
        <f>N39-P39-S39</f>
        <v>20600</v>
      </c>
      <c r="S39" s="3203">
        <f>'Phụ lục số 1'!AJ39</f>
        <v>62400</v>
      </c>
      <c r="T39" s="3203">
        <f>'Phụ lục số 1'!AK39</f>
        <v>212000</v>
      </c>
      <c r="U39" s="3204">
        <f t="shared" si="21"/>
        <v>124.70588235294117</v>
      </c>
      <c r="V39" s="3203">
        <f>'Phụ lục số 1'!AM39</f>
        <v>108400.11764705881</v>
      </c>
      <c r="W39" s="3203">
        <f>X39+Y39</f>
        <v>103599.88235294119</v>
      </c>
      <c r="X39" s="3203">
        <f>T39-V39-Y39</f>
        <v>25799.911764705888</v>
      </c>
      <c r="Y39" s="3203">
        <f>'Phụ lục số 1'!AP39</f>
        <v>77799.970588235301</v>
      </c>
      <c r="Z39" s="3203">
        <f>'Phụ lục số 1'!AQ39</f>
        <v>226000</v>
      </c>
      <c r="AA39" s="3204">
        <f t="shared" si="22"/>
        <v>106.60377358490567</v>
      </c>
      <c r="AB39" s="3203">
        <f>'Phụ lục số 1'!AS39</f>
        <v>115499.61598224194</v>
      </c>
      <c r="AC39" s="3203">
        <f>AD39+AE39</f>
        <v>110499.98401775805</v>
      </c>
      <c r="AD39" s="3549">
        <f>'Phụ lục số 1'!AU39-0.2</f>
        <v>27600.279522752498</v>
      </c>
      <c r="AE39" s="3549">
        <f>'Phụ lục số 1'!AV39</f>
        <v>82899.704495005557</v>
      </c>
      <c r="AF39" s="1">
        <f t="shared" si="5"/>
        <v>0</v>
      </c>
    </row>
    <row r="40" spans="1:33" ht="22.2" customHeight="1">
      <c r="A40" s="1412">
        <v>11</v>
      </c>
      <c r="B40" s="17" t="s">
        <v>18</v>
      </c>
      <c r="C40" s="3203">
        <f>'Phụ lục số 1'!C40</f>
        <v>900000</v>
      </c>
      <c r="D40" s="3203">
        <v>0</v>
      </c>
      <c r="E40" s="2279">
        <f>F40+G40</f>
        <v>900000</v>
      </c>
      <c r="F40" s="2279">
        <f>C40-G40</f>
        <v>100000</v>
      </c>
      <c r="G40" s="2279">
        <f>'Phụ lục số 1'!G40</f>
        <v>800000</v>
      </c>
      <c r="H40" s="3203">
        <f>'Phụ lục số 1'!T40</f>
        <v>1080000</v>
      </c>
      <c r="I40" s="3204">
        <f t="shared" si="20"/>
        <v>120</v>
      </c>
      <c r="J40" s="3203">
        <f>0</f>
        <v>0</v>
      </c>
      <c r="K40" s="3203">
        <f>H40-J40</f>
        <v>1080000</v>
      </c>
      <c r="L40" s="3203">
        <f>K40-M40</f>
        <v>100000</v>
      </c>
      <c r="M40" s="3203">
        <f>'Phụ lục số 1'!Y40</f>
        <v>980000</v>
      </c>
      <c r="N40" s="3203">
        <f>'Phụ lục số 1'!AE40</f>
        <v>1770000</v>
      </c>
      <c r="O40" s="3204">
        <f t="shared" ref="O40:O51" si="23">N40/H40*100</f>
        <v>163.88888888888889</v>
      </c>
      <c r="P40" s="3203"/>
      <c r="Q40" s="3203">
        <f>N40-P40</f>
        <v>1770000</v>
      </c>
      <c r="R40" s="3203">
        <f>Q40-S40</f>
        <v>627000</v>
      </c>
      <c r="S40" s="3203">
        <f>'Phụ lục số 1'!AJ40</f>
        <v>1143000</v>
      </c>
      <c r="T40" s="3203">
        <f>'Phụ lục số 1'!AK40</f>
        <v>1200000</v>
      </c>
      <c r="U40" s="3204">
        <f t="shared" si="21"/>
        <v>67.796610169491515</v>
      </c>
      <c r="V40" s="3203">
        <f>0</f>
        <v>0</v>
      </c>
      <c r="W40" s="3203">
        <f t="shared" ref="W40:W47" si="24">T40-V40</f>
        <v>1200000</v>
      </c>
      <c r="X40" s="3203">
        <f t="shared" ref="X40:X45" si="25">W40-Y40</f>
        <v>425099.74576271186</v>
      </c>
      <c r="Y40" s="3203">
        <f>'Phụ lục số 1'!AP40</f>
        <v>774900.25423728814</v>
      </c>
      <c r="Z40" s="3203">
        <f>'Phụ lục số 1'!AQ40</f>
        <v>1260000</v>
      </c>
      <c r="AA40" s="3204">
        <f t="shared" si="22"/>
        <v>105</v>
      </c>
      <c r="AB40" s="3203">
        <f>0</f>
        <v>0</v>
      </c>
      <c r="AC40" s="3203">
        <f t="shared" ref="AC40:AC47" si="26">Z40-AB40</f>
        <v>1260000</v>
      </c>
      <c r="AD40" s="3203">
        <f>'Phụ lục số 1'!AU40</f>
        <v>446399.73305084754</v>
      </c>
      <c r="AE40" s="3203">
        <f>'Phụ lục số 1'!AV40</f>
        <v>813600.26694915246</v>
      </c>
      <c r="AF40" s="1">
        <f t="shared" si="5"/>
        <v>180000</v>
      </c>
    </row>
    <row r="41" spans="1:33" ht="22.2" customHeight="1">
      <c r="A41" s="1412">
        <v>12</v>
      </c>
      <c r="B41" s="17" t="s">
        <v>98</v>
      </c>
      <c r="C41" s="2279">
        <f>'Phụ lục số 1'!C41</f>
        <v>115000</v>
      </c>
      <c r="D41" s="2279">
        <v>0</v>
      </c>
      <c r="E41" s="2279">
        <f>C41-D41</f>
        <v>115000</v>
      </c>
      <c r="F41" s="2279">
        <f>C41-G41</f>
        <v>0</v>
      </c>
      <c r="G41" s="2279">
        <f>'Phụ lục số 1'!G41</f>
        <v>115000</v>
      </c>
      <c r="H41" s="3203">
        <f>'Phụ lục số 1'!T41</f>
        <v>125999.8</v>
      </c>
      <c r="I41" s="3204">
        <f t="shared" si="20"/>
        <v>109.56504347826088</v>
      </c>
      <c r="J41" s="3203">
        <v>0</v>
      </c>
      <c r="K41" s="3203">
        <f t="shared" si="12"/>
        <v>125999.8</v>
      </c>
      <c r="L41" s="3203">
        <f t="shared" si="18"/>
        <v>0</v>
      </c>
      <c r="M41" s="3203">
        <f>'Phụ lục số 1'!Y41</f>
        <v>125999.8</v>
      </c>
      <c r="N41" s="3203">
        <f>'Phụ lục số 1'!AE41</f>
        <v>315000</v>
      </c>
      <c r="O41" s="3204">
        <f t="shared" si="23"/>
        <v>250.0003968260267</v>
      </c>
      <c r="P41" s="3203">
        <v>0</v>
      </c>
      <c r="Q41" s="3203">
        <f t="shared" si="13"/>
        <v>315000</v>
      </c>
      <c r="R41" s="3203">
        <f t="shared" si="19"/>
        <v>45900</v>
      </c>
      <c r="S41" s="3203">
        <f>'Phụ lục số 1'!AJ41</f>
        <v>269100</v>
      </c>
      <c r="T41" s="3203">
        <f>'Phụ lục số 1'!AK41</f>
        <v>184000</v>
      </c>
      <c r="U41" s="3204">
        <f t="shared" si="21"/>
        <v>58.412698412698418</v>
      </c>
      <c r="V41" s="3203">
        <v>0</v>
      </c>
      <c r="W41" s="3203">
        <f t="shared" si="24"/>
        <v>184000</v>
      </c>
      <c r="X41" s="3203">
        <f t="shared" si="25"/>
        <v>42700.428571428551</v>
      </c>
      <c r="Y41" s="3203">
        <f>'Phụ lục số 1'!AP41</f>
        <v>141299.57142857145</v>
      </c>
      <c r="Z41" s="3203">
        <f>'Phụ lục số 1'!AQ41</f>
        <v>250000</v>
      </c>
      <c r="AA41" s="3204">
        <f t="shared" si="22"/>
        <v>135.86956521739131</v>
      </c>
      <c r="AB41" s="3203">
        <v>0</v>
      </c>
      <c r="AC41" s="3203">
        <f t="shared" si="26"/>
        <v>250000</v>
      </c>
      <c r="AD41" s="3203">
        <f>'Phụ lục số 1'!AU41</f>
        <v>155999.51542857144</v>
      </c>
      <c r="AE41" s="3203">
        <f>'Phụ lục số 1'!AV41</f>
        <v>94000.484571428577</v>
      </c>
      <c r="AF41" s="1">
        <f t="shared" si="5"/>
        <v>10999.800000000003</v>
      </c>
    </row>
    <row r="42" spans="1:33" ht="22.2" customHeight="1">
      <c r="A42" s="1412">
        <v>13</v>
      </c>
      <c r="B42" s="17" t="s">
        <v>136</v>
      </c>
      <c r="C42" s="2279">
        <f>'Phụ lục số 1'!C42</f>
        <v>0</v>
      </c>
      <c r="D42" s="2279">
        <v>0</v>
      </c>
      <c r="E42" s="2279">
        <v>0</v>
      </c>
      <c r="F42" s="2279">
        <v>0</v>
      </c>
      <c r="G42" s="2279">
        <v>0</v>
      </c>
      <c r="H42" s="3203">
        <f>'Phụ lục số 1'!T42</f>
        <v>0</v>
      </c>
      <c r="I42" s="3204"/>
      <c r="J42" s="3203"/>
      <c r="K42" s="3203">
        <f>H42-J42</f>
        <v>0</v>
      </c>
      <c r="L42" s="3203">
        <f>K42-M42</f>
        <v>0</v>
      </c>
      <c r="M42" s="3203"/>
      <c r="N42" s="3203">
        <f>'Phụ lục số 1'!AE42</f>
        <v>0</v>
      </c>
      <c r="O42" s="3204">
        <v>0</v>
      </c>
      <c r="P42" s="3203">
        <f>0</f>
        <v>0</v>
      </c>
      <c r="Q42" s="3203">
        <f>N42-P42</f>
        <v>0</v>
      </c>
      <c r="R42" s="3203">
        <f>Q42-S42</f>
        <v>0</v>
      </c>
      <c r="S42" s="3203">
        <v>0</v>
      </c>
      <c r="T42" s="3203">
        <f>'Phụ lục số 1'!AK42</f>
        <v>0</v>
      </c>
      <c r="U42" s="3204"/>
      <c r="V42" s="3203">
        <f>0</f>
        <v>0</v>
      </c>
      <c r="W42" s="3203">
        <f t="shared" si="24"/>
        <v>0</v>
      </c>
      <c r="X42" s="3203">
        <f t="shared" si="25"/>
        <v>0</v>
      </c>
      <c r="Y42" s="3203">
        <v>0</v>
      </c>
      <c r="Z42" s="3203">
        <f>'Phụ lục số 1'!AQ42</f>
        <v>0</v>
      </c>
      <c r="AA42" s="3204"/>
      <c r="AB42" s="3203"/>
      <c r="AC42" s="3203">
        <f>Z42-AB42</f>
        <v>0</v>
      </c>
      <c r="AD42" s="3203"/>
      <c r="AE42" s="3203"/>
      <c r="AF42" s="1">
        <f t="shared" si="5"/>
        <v>0</v>
      </c>
    </row>
    <row r="43" spans="1:33" ht="22.2" customHeight="1">
      <c r="A43" s="1412">
        <v>14</v>
      </c>
      <c r="B43" s="17" t="s">
        <v>127</v>
      </c>
      <c r="C43" s="3203">
        <f>'Phụ lục số 1'!C43</f>
        <v>250000</v>
      </c>
      <c r="D43" s="3203">
        <f>'Phụ lục số 1'!D43</f>
        <v>54000</v>
      </c>
      <c r="E43" s="2279">
        <f>C43-D43</f>
        <v>196000</v>
      </c>
      <c r="F43" s="2279">
        <f>E43-G43</f>
        <v>66500</v>
      </c>
      <c r="G43" s="2279">
        <f>'Phụ lục số 1'!G43</f>
        <v>129500</v>
      </c>
      <c r="H43" s="3203">
        <f>'Phụ lục số 1'!T43</f>
        <v>350000</v>
      </c>
      <c r="I43" s="3204">
        <f t="shared" si="20"/>
        <v>140</v>
      </c>
      <c r="J43" s="3203">
        <f>'Phụ lục số 1'!V43</f>
        <v>75600</v>
      </c>
      <c r="K43" s="3203">
        <f t="shared" si="12"/>
        <v>274400</v>
      </c>
      <c r="L43" s="3203">
        <f>K43-M43</f>
        <v>93400</v>
      </c>
      <c r="M43" s="3203">
        <f>'Phụ lục số 1'!Y43</f>
        <v>181000</v>
      </c>
      <c r="N43" s="3203">
        <f>'Phụ lục số 1'!AE43</f>
        <v>326000</v>
      </c>
      <c r="O43" s="3204">
        <f t="shared" si="23"/>
        <v>93.142857142857139</v>
      </c>
      <c r="P43" s="3203">
        <f>'Phụ lục số 1'!AG43</f>
        <v>68070</v>
      </c>
      <c r="Q43" s="3203">
        <f>N43-P43</f>
        <v>257930</v>
      </c>
      <c r="R43" s="3203">
        <f>Q43-S43</f>
        <v>112430</v>
      </c>
      <c r="S43" s="3203">
        <f>'Phụ lục số 1'!AJ43</f>
        <v>145500</v>
      </c>
      <c r="T43" s="3203">
        <f>'Phụ lục số 1'!AK43</f>
        <v>370000</v>
      </c>
      <c r="U43" s="3204">
        <f t="shared" ref="U43:U51" si="27">T43/N43*100</f>
        <v>113.49693251533743</v>
      </c>
      <c r="V43" s="3203">
        <f>'Phụ lục số 1'!AM43</f>
        <v>77200.361963190197</v>
      </c>
      <c r="W43" s="3203">
        <f t="shared" si="24"/>
        <v>292799.6380368098</v>
      </c>
      <c r="X43" s="3203">
        <f t="shared" si="25"/>
        <v>127699.60122699384</v>
      </c>
      <c r="Y43" s="3203">
        <f>'Phụ lục số 1'!AP43</f>
        <v>165100.03680981597</v>
      </c>
      <c r="Z43" s="3203">
        <f>'Phụ lục số 1'!AQ43</f>
        <v>400000</v>
      </c>
      <c r="AA43" s="3204">
        <f t="shared" ref="AA43:AA51" si="28">Z43/T43*100</f>
        <v>108.10810810810811</v>
      </c>
      <c r="AB43" s="3203">
        <f>'Phụ lục số 1'!AS43</f>
        <v>83499.850771016427</v>
      </c>
      <c r="AC43" s="3203">
        <f>Z43-AB43</f>
        <v>316500.14922898356</v>
      </c>
      <c r="AD43" s="3203">
        <f>'Phụ lục số 1'!AU43</f>
        <v>138000.12294810143</v>
      </c>
      <c r="AE43" s="3203">
        <f>'Phụ lục số 1'!AV43</f>
        <v>178500.02628088213</v>
      </c>
      <c r="AF43" s="1">
        <f t="shared" si="5"/>
        <v>100000</v>
      </c>
    </row>
    <row r="44" spans="1:33" s="166" customFormat="1" ht="34.799999999999997">
      <c r="A44" s="174">
        <v>15</v>
      </c>
      <c r="B44" s="209" t="s">
        <v>1289</v>
      </c>
      <c r="C44" s="3203">
        <f>'Phụ lục số 1'!C44</f>
        <v>22000</v>
      </c>
      <c r="D44" s="3203">
        <v>0</v>
      </c>
      <c r="E44" s="3203">
        <f>C44-D44</f>
        <v>22000</v>
      </c>
      <c r="F44" s="3203">
        <f>E44-G44</f>
        <v>22000</v>
      </c>
      <c r="G44" s="3203">
        <v>0</v>
      </c>
      <c r="H44" s="3203">
        <f>'Phụ lục số 1'!T44</f>
        <v>37000</v>
      </c>
      <c r="I44" s="3204"/>
      <c r="J44" s="3203">
        <v>0</v>
      </c>
      <c r="K44" s="3203">
        <f>H44-J44</f>
        <v>37000</v>
      </c>
      <c r="L44" s="3203">
        <f>K44-M44</f>
        <v>37000</v>
      </c>
      <c r="M44" s="3203">
        <v>0</v>
      </c>
      <c r="N44" s="3203">
        <f>'Phụ lục số 1'!AE44</f>
        <v>30000</v>
      </c>
      <c r="O44" s="3204">
        <f>N44/H44*100</f>
        <v>81.081081081081081</v>
      </c>
      <c r="P44" s="3203">
        <v>0</v>
      </c>
      <c r="Q44" s="3203">
        <f>N44-P44</f>
        <v>30000</v>
      </c>
      <c r="R44" s="3203">
        <f>Q44-S44</f>
        <v>30000</v>
      </c>
      <c r="S44" s="3203">
        <v>0</v>
      </c>
      <c r="T44" s="3203">
        <f>'Phụ lục số 1'!AK44</f>
        <v>27000</v>
      </c>
      <c r="U44" s="3204">
        <f t="shared" si="27"/>
        <v>90</v>
      </c>
      <c r="V44" s="3203">
        <v>0</v>
      </c>
      <c r="W44" s="3203">
        <f t="shared" si="24"/>
        <v>27000</v>
      </c>
      <c r="X44" s="3203">
        <f t="shared" si="25"/>
        <v>27000</v>
      </c>
      <c r="Y44" s="3203">
        <v>0</v>
      </c>
      <c r="Z44" s="3203">
        <f>'Phụ lục số 1'!AQ44</f>
        <v>28000</v>
      </c>
      <c r="AA44" s="3204">
        <f t="shared" si="28"/>
        <v>103.7037037037037</v>
      </c>
      <c r="AB44" s="3203">
        <v>0</v>
      </c>
      <c r="AC44" s="3203">
        <f t="shared" si="26"/>
        <v>28000</v>
      </c>
      <c r="AD44" s="3203">
        <f t="shared" ref="AD44:AD45" si="29">AC44-AE44</f>
        <v>28000</v>
      </c>
      <c r="AE44" s="3203">
        <v>0</v>
      </c>
      <c r="AF44" s="166">
        <f t="shared" si="5"/>
        <v>15000</v>
      </c>
    </row>
    <row r="45" spans="1:33" s="166" customFormat="1" ht="34.799999999999997">
      <c r="A45" s="174">
        <v>16</v>
      </c>
      <c r="B45" s="209" t="s">
        <v>1290</v>
      </c>
      <c r="C45" s="3203">
        <f>'Phụ lục số 1'!C45+C46</f>
        <v>50000</v>
      </c>
      <c r="D45" s="3203"/>
      <c r="E45" s="3203">
        <f>C45-D45</f>
        <v>50000</v>
      </c>
      <c r="F45" s="3203">
        <f>E45-G45</f>
        <v>50000</v>
      </c>
      <c r="G45" s="3203">
        <v>0</v>
      </c>
      <c r="H45" s="3203">
        <f>'Phụ lục số 1'!T45</f>
        <v>100000</v>
      </c>
      <c r="I45" s="3204"/>
      <c r="J45" s="3203"/>
      <c r="K45" s="3203">
        <f>H45-J45</f>
        <v>100000</v>
      </c>
      <c r="L45" s="3203">
        <f>K45-M45</f>
        <v>100000</v>
      </c>
      <c r="M45" s="3203">
        <v>0</v>
      </c>
      <c r="N45" s="3203">
        <f>'Phụ lục số 1'!AE45</f>
        <v>37000</v>
      </c>
      <c r="O45" s="3204">
        <f>N45/H45*100</f>
        <v>37</v>
      </c>
      <c r="P45" s="3203"/>
      <c r="Q45" s="3203">
        <f>N45-P45</f>
        <v>37000</v>
      </c>
      <c r="R45" s="3203">
        <f>Q45-S45</f>
        <v>37000</v>
      </c>
      <c r="S45" s="3203">
        <v>0</v>
      </c>
      <c r="T45" s="3203">
        <f>'Phụ lục số 1'!AK45</f>
        <v>114000</v>
      </c>
      <c r="U45" s="3204">
        <f t="shared" si="27"/>
        <v>308.10810810810813</v>
      </c>
      <c r="V45" s="3203">
        <v>0</v>
      </c>
      <c r="W45" s="3203">
        <f t="shared" si="24"/>
        <v>114000</v>
      </c>
      <c r="X45" s="3203">
        <f t="shared" si="25"/>
        <v>114000</v>
      </c>
      <c r="Y45" s="3203">
        <v>0</v>
      </c>
      <c r="Z45" s="3203">
        <f>'Phụ lục số 1'!AQ45</f>
        <v>120000</v>
      </c>
      <c r="AA45" s="3204">
        <f t="shared" si="28"/>
        <v>105.26315789473684</v>
      </c>
      <c r="AB45" s="3203">
        <v>0</v>
      </c>
      <c r="AC45" s="3203">
        <f t="shared" si="26"/>
        <v>120000</v>
      </c>
      <c r="AD45" s="3203">
        <f t="shared" si="29"/>
        <v>120000</v>
      </c>
      <c r="AE45" s="3203">
        <v>0</v>
      </c>
      <c r="AF45" s="166">
        <f t="shared" si="5"/>
        <v>50000</v>
      </c>
    </row>
    <row r="46" spans="1:33" s="161" customFormat="1" ht="22.2" customHeight="1">
      <c r="A46" s="1414" t="s">
        <v>137</v>
      </c>
      <c r="B46" s="1400" t="s">
        <v>138</v>
      </c>
      <c r="C46" s="3207">
        <f>'Phụ lục số 1'!C46</f>
        <v>0</v>
      </c>
      <c r="D46" s="3207"/>
      <c r="E46" s="3208">
        <f>C46-D46</f>
        <v>0</v>
      </c>
      <c r="F46" s="3208">
        <f>E46-G46</f>
        <v>0</v>
      </c>
      <c r="G46" s="3208">
        <v>0</v>
      </c>
      <c r="H46" s="3207">
        <f>'Phụ lục số 1'!T46</f>
        <v>0</v>
      </c>
      <c r="I46" s="3209"/>
      <c r="J46" s="3207"/>
      <c r="K46" s="3207">
        <f>H46-J46</f>
        <v>0</v>
      </c>
      <c r="L46" s="3207">
        <f>K46-M46</f>
        <v>0</v>
      </c>
      <c r="M46" s="3207">
        <v>0</v>
      </c>
      <c r="N46" s="3207">
        <f>'Phụ lục số 1'!AE46</f>
        <v>0</v>
      </c>
      <c r="O46" s="3209"/>
      <c r="P46" s="3207"/>
      <c r="Q46" s="3207">
        <f>N46-P46</f>
        <v>0</v>
      </c>
      <c r="R46" s="3207">
        <f>Q46-S46</f>
        <v>0</v>
      </c>
      <c r="S46" s="3207">
        <v>0</v>
      </c>
      <c r="T46" s="3207">
        <f>'Phụ lục số 1'!AK46</f>
        <v>0</v>
      </c>
      <c r="U46" s="3209"/>
      <c r="V46" s="3207"/>
      <c r="W46" s="3207">
        <f>T46-V46</f>
        <v>0</v>
      </c>
      <c r="X46" s="3207">
        <f>W46-Y46</f>
        <v>0</v>
      </c>
      <c r="Y46" s="3207">
        <v>0</v>
      </c>
      <c r="Z46" s="2282"/>
      <c r="AA46" s="3209"/>
      <c r="AB46" s="3207"/>
      <c r="AC46" s="3207"/>
      <c r="AD46" s="3207"/>
      <c r="AE46" s="3207"/>
      <c r="AF46" s="1">
        <f t="shared" si="5"/>
        <v>0</v>
      </c>
    </row>
    <row r="47" spans="1:33" ht="22.2" customHeight="1">
      <c r="A47" s="1412">
        <v>17</v>
      </c>
      <c r="B47" s="17" t="s">
        <v>19</v>
      </c>
      <c r="C47" s="2279">
        <f>'Phụ lục số 1'!C47</f>
        <v>3000</v>
      </c>
      <c r="D47" s="2279">
        <v>0</v>
      </c>
      <c r="E47" s="2279">
        <f>F47+G47</f>
        <v>3000</v>
      </c>
      <c r="F47" s="2279">
        <v>0</v>
      </c>
      <c r="G47" s="2279">
        <f>C47</f>
        <v>3000</v>
      </c>
      <c r="H47" s="3203">
        <f>'Phụ lục số 1'!T47</f>
        <v>2000.1</v>
      </c>
      <c r="I47" s="3204">
        <f t="shared" si="20"/>
        <v>66.67</v>
      </c>
      <c r="J47" s="3203">
        <f>0</f>
        <v>0</v>
      </c>
      <c r="K47" s="3203">
        <f t="shared" si="12"/>
        <v>2000.1</v>
      </c>
      <c r="L47" s="3203">
        <v>0</v>
      </c>
      <c r="M47" s="3203">
        <f>H47</f>
        <v>2000.1</v>
      </c>
      <c r="N47" s="3203">
        <f>'Phụ lục số 1'!AE47</f>
        <v>2000</v>
      </c>
      <c r="O47" s="3204">
        <f t="shared" si="23"/>
        <v>99.995000249987513</v>
      </c>
      <c r="P47" s="3203">
        <f>0</f>
        <v>0</v>
      </c>
      <c r="Q47" s="3203">
        <f t="shared" si="13"/>
        <v>2000</v>
      </c>
      <c r="R47" s="3203">
        <v>0</v>
      </c>
      <c r="S47" s="3203">
        <f>N47</f>
        <v>2000</v>
      </c>
      <c r="T47" s="3203">
        <f>'Phụ lục số 1'!AK47</f>
        <v>3000</v>
      </c>
      <c r="U47" s="3204">
        <f t="shared" si="27"/>
        <v>150</v>
      </c>
      <c r="V47" s="3203">
        <f>0</f>
        <v>0</v>
      </c>
      <c r="W47" s="3203">
        <f t="shared" si="24"/>
        <v>3000</v>
      </c>
      <c r="X47" s="3203">
        <v>0</v>
      </c>
      <c r="Y47" s="3203">
        <f>T47</f>
        <v>3000</v>
      </c>
      <c r="Z47" s="3203">
        <f>'Phụ lục số 1'!AQ47</f>
        <v>3000</v>
      </c>
      <c r="AA47" s="3204">
        <f t="shared" si="28"/>
        <v>100</v>
      </c>
      <c r="AB47" s="3203">
        <f>0</f>
        <v>0</v>
      </c>
      <c r="AC47" s="3203">
        <f t="shared" si="26"/>
        <v>3000</v>
      </c>
      <c r="AD47" s="3203">
        <v>0</v>
      </c>
      <c r="AE47" s="3203">
        <f>Z47</f>
        <v>3000</v>
      </c>
      <c r="AF47" s="1">
        <f t="shared" si="5"/>
        <v>-999.90000000000009</v>
      </c>
    </row>
    <row r="48" spans="1:33" s="3" customFormat="1" ht="22.2" customHeight="1">
      <c r="A48" s="1412">
        <v>18</v>
      </c>
      <c r="B48" s="17" t="s">
        <v>101</v>
      </c>
      <c r="C48" s="2279">
        <f>'Phụ lục số 1'!C48</f>
        <v>1600000</v>
      </c>
      <c r="D48" s="2279"/>
      <c r="E48" s="2279">
        <f>F48+G48</f>
        <v>1600000</v>
      </c>
      <c r="F48" s="2279">
        <f>C48</f>
        <v>1600000</v>
      </c>
      <c r="G48" s="2279">
        <v>0</v>
      </c>
      <c r="H48" s="3203">
        <f>'Phụ lục số 1'!T48</f>
        <v>1950000</v>
      </c>
      <c r="I48" s="3204">
        <f t="shared" si="20"/>
        <v>121.875</v>
      </c>
      <c r="J48" s="3203">
        <v>0</v>
      </c>
      <c r="K48" s="3203">
        <f t="shared" si="12"/>
        <v>1950000</v>
      </c>
      <c r="L48" s="3203">
        <f>H48</f>
        <v>1950000</v>
      </c>
      <c r="M48" s="3203">
        <v>0</v>
      </c>
      <c r="N48" s="3203">
        <f>'Phụ lục số 1'!AE48</f>
        <v>1950000</v>
      </c>
      <c r="O48" s="3204">
        <f t="shared" si="23"/>
        <v>100</v>
      </c>
      <c r="P48" s="3203">
        <v>0</v>
      </c>
      <c r="Q48" s="3203">
        <f>SUM(R48:S48)</f>
        <v>1950000</v>
      </c>
      <c r="R48" s="3203">
        <f>N48</f>
        <v>1950000</v>
      </c>
      <c r="S48" s="3203">
        <v>0</v>
      </c>
      <c r="T48" s="3203">
        <f>'Phụ lục số 1'!AK48</f>
        <v>2322000</v>
      </c>
      <c r="U48" s="3204">
        <f t="shared" si="27"/>
        <v>119.07692307692308</v>
      </c>
      <c r="V48" s="3203">
        <v>0</v>
      </c>
      <c r="W48" s="3203">
        <f>SUM(X48:Y48)</f>
        <v>2322000</v>
      </c>
      <c r="X48" s="3203">
        <f>T48</f>
        <v>2322000</v>
      </c>
      <c r="Y48" s="3203">
        <v>0</v>
      </c>
      <c r="Z48" s="3203">
        <f>'Phụ lục số 1'!AQ48</f>
        <v>2500000</v>
      </c>
      <c r="AA48" s="3204">
        <f t="shared" si="28"/>
        <v>107.66580534022394</v>
      </c>
      <c r="AB48" s="3203">
        <v>0</v>
      </c>
      <c r="AC48" s="3203">
        <f>SUM(AD48:AE48)</f>
        <v>2500000</v>
      </c>
      <c r="AD48" s="3203">
        <f>Z48</f>
        <v>2500000</v>
      </c>
      <c r="AE48" s="3203">
        <v>0</v>
      </c>
      <c r="AF48" s="1">
        <f t="shared" si="5"/>
        <v>350000</v>
      </c>
    </row>
    <row r="49" spans="1:32" s="2270" customFormat="1" ht="22.2" customHeight="1">
      <c r="A49" s="1410" t="s">
        <v>20</v>
      </c>
      <c r="B49" s="29" t="s">
        <v>107</v>
      </c>
      <c r="C49" s="2271">
        <f t="shared" ref="C49:G49" si="30">SUM(C50:C51)</f>
        <v>150000</v>
      </c>
      <c r="D49" s="2271">
        <f t="shared" si="30"/>
        <v>150000</v>
      </c>
      <c r="E49" s="2271">
        <f t="shared" si="30"/>
        <v>0</v>
      </c>
      <c r="F49" s="2271">
        <f t="shared" si="30"/>
        <v>0</v>
      </c>
      <c r="G49" s="2271">
        <f t="shared" si="30"/>
        <v>0</v>
      </c>
      <c r="H49" s="2280">
        <f>SUM(H50:H51)</f>
        <v>150745.51999999999</v>
      </c>
      <c r="I49" s="3200">
        <f t="shared" si="20"/>
        <v>100.49701333333331</v>
      </c>
      <c r="J49" s="2280">
        <f>H49</f>
        <v>150745.51999999999</v>
      </c>
      <c r="K49" s="2280">
        <f>H49-J49</f>
        <v>0</v>
      </c>
      <c r="L49" s="2280">
        <f>K49-M49</f>
        <v>0</v>
      </c>
      <c r="M49" s="2280">
        <v>0</v>
      </c>
      <c r="N49" s="2280">
        <f>'Phụ lục số 1'!AE49</f>
        <v>200000</v>
      </c>
      <c r="O49" s="3200">
        <f>N49/H49*100</f>
        <v>132.67392623011284</v>
      </c>
      <c r="P49" s="2280">
        <f>N49</f>
        <v>200000</v>
      </c>
      <c r="Q49" s="2280">
        <f>N49-P49</f>
        <v>0</v>
      </c>
      <c r="R49" s="2280">
        <f>Q49-S49</f>
        <v>0</v>
      </c>
      <c r="S49" s="2280">
        <v>0</v>
      </c>
      <c r="T49" s="2280">
        <f>'Phụ lục số 1'!AK49</f>
        <v>162500</v>
      </c>
      <c r="U49" s="3200">
        <f t="shared" si="27"/>
        <v>81.25</v>
      </c>
      <c r="V49" s="2280">
        <f>T49</f>
        <v>162500</v>
      </c>
      <c r="W49" s="2280">
        <f>T49-V49</f>
        <v>0</v>
      </c>
      <c r="X49" s="2280">
        <f>W49-Y49</f>
        <v>0</v>
      </c>
      <c r="Y49" s="2280">
        <v>0</v>
      </c>
      <c r="Z49" s="2280">
        <f>'Phụ lục số 1'!AQ49</f>
        <v>169000</v>
      </c>
      <c r="AA49" s="3200">
        <f t="shared" si="28"/>
        <v>104</v>
      </c>
      <c r="AB49" s="2280">
        <f>Z49</f>
        <v>169000</v>
      </c>
      <c r="AC49" s="2280">
        <f>Z49-AB49</f>
        <v>0</v>
      </c>
      <c r="AD49" s="2280">
        <f>AC49-AE49</f>
        <v>0</v>
      </c>
      <c r="AE49" s="2280">
        <v>0</v>
      </c>
      <c r="AF49" s="1">
        <f t="shared" si="5"/>
        <v>745.51999999998952</v>
      </c>
    </row>
    <row r="50" spans="1:32" ht="22.2" hidden="1" customHeight="1">
      <c r="A50" s="1413">
        <v>1</v>
      </c>
      <c r="B50" s="11" t="s">
        <v>1291</v>
      </c>
      <c r="C50" s="2282">
        <f>'Phụ lục số 1'!C50</f>
        <v>39500</v>
      </c>
      <c r="D50" s="2272">
        <f>C50</f>
        <v>39500</v>
      </c>
      <c r="E50" s="2272">
        <v>0</v>
      </c>
      <c r="F50" s="2272">
        <v>0</v>
      </c>
      <c r="G50" s="2272">
        <v>0</v>
      </c>
      <c r="H50" s="2282">
        <f>'Phụ lục số 1'!T49</f>
        <v>150745.51999999999</v>
      </c>
      <c r="I50" s="3206"/>
      <c r="J50" s="2282">
        <f>H50</f>
        <v>150745.51999999999</v>
      </c>
      <c r="K50" s="2282">
        <v>0</v>
      </c>
      <c r="L50" s="2282">
        <v>0</v>
      </c>
      <c r="M50" s="2282">
        <v>0</v>
      </c>
      <c r="N50" s="3205">
        <f>1000+38500</f>
        <v>39500</v>
      </c>
      <c r="O50" s="3206"/>
      <c r="P50" s="2282">
        <f>N50</f>
        <v>39500</v>
      </c>
      <c r="Q50" s="2282">
        <v>0</v>
      </c>
      <c r="R50" s="2282">
        <v>0</v>
      </c>
      <c r="S50" s="2282">
        <v>0</v>
      </c>
      <c r="T50" s="2282">
        <v>45000</v>
      </c>
      <c r="U50" s="3206"/>
      <c r="V50" s="2282">
        <f>T50</f>
        <v>45000</v>
      </c>
      <c r="W50" s="2282">
        <v>0</v>
      </c>
      <c r="X50" s="2282">
        <v>0</v>
      </c>
      <c r="Y50" s="2282">
        <v>0</v>
      </c>
      <c r="Z50" s="2282">
        <v>45000</v>
      </c>
      <c r="AA50" s="3206"/>
      <c r="AB50" s="2282">
        <f>Z50</f>
        <v>45000</v>
      </c>
      <c r="AC50" s="2282">
        <v>0</v>
      </c>
      <c r="AD50" s="2282">
        <v>0</v>
      </c>
      <c r="AE50" s="2282">
        <v>0</v>
      </c>
      <c r="AF50" s="1">
        <f t="shared" si="5"/>
        <v>111245.51999999999</v>
      </c>
    </row>
    <row r="51" spans="1:32" ht="22.2" hidden="1" customHeight="1">
      <c r="A51" s="1413">
        <v>2</v>
      </c>
      <c r="B51" s="11" t="s">
        <v>1292</v>
      </c>
      <c r="C51" s="2282">
        <f>'Phụ lục số 1'!C51</f>
        <v>110500</v>
      </c>
      <c r="D51" s="2272">
        <f>C51</f>
        <v>110500</v>
      </c>
      <c r="E51" s="2272">
        <v>0</v>
      </c>
      <c r="F51" s="2272">
        <v>0</v>
      </c>
      <c r="G51" s="2272">
        <f>SUM(G52,G53)</f>
        <v>0</v>
      </c>
      <c r="H51" s="2282">
        <f>0</f>
        <v>0</v>
      </c>
      <c r="I51" s="3206"/>
      <c r="J51" s="2282">
        <f>H51</f>
        <v>0</v>
      </c>
      <c r="K51" s="2282">
        <v>0</v>
      </c>
      <c r="L51" s="2282">
        <v>0</v>
      </c>
      <c r="M51" s="2282">
        <v>0</v>
      </c>
      <c r="N51" s="3205">
        <f>110000+500</f>
        <v>110500</v>
      </c>
      <c r="O51" s="3206" t="e">
        <f t="shared" si="23"/>
        <v>#DIV/0!</v>
      </c>
      <c r="P51" s="2282">
        <f>N51</f>
        <v>110500</v>
      </c>
      <c r="Q51" s="2282">
        <v>0</v>
      </c>
      <c r="R51" s="2282">
        <v>0</v>
      </c>
      <c r="S51" s="2282">
        <v>0</v>
      </c>
      <c r="T51" s="2282">
        <v>75000</v>
      </c>
      <c r="U51" s="3206">
        <f t="shared" si="27"/>
        <v>67.873303167420815</v>
      </c>
      <c r="V51" s="2282">
        <f>T51</f>
        <v>75000</v>
      </c>
      <c r="W51" s="2282">
        <v>0</v>
      </c>
      <c r="X51" s="2282">
        <v>0</v>
      </c>
      <c r="Y51" s="2282">
        <v>0</v>
      </c>
      <c r="Z51" s="2282">
        <v>80000</v>
      </c>
      <c r="AA51" s="3206">
        <f t="shared" si="28"/>
        <v>106.66666666666667</v>
      </c>
      <c r="AB51" s="2282">
        <f>Z51</f>
        <v>80000</v>
      </c>
      <c r="AC51" s="2282">
        <v>0</v>
      </c>
      <c r="AD51" s="2282">
        <v>0</v>
      </c>
      <c r="AE51" s="2282">
        <v>0</v>
      </c>
      <c r="AF51" s="1">
        <f t="shared" si="5"/>
        <v>-110500</v>
      </c>
    </row>
    <row r="52" spans="1:32" s="2210" customFormat="1" ht="22.2" customHeight="1">
      <c r="A52" s="1410" t="s">
        <v>22</v>
      </c>
      <c r="B52" s="29" t="s">
        <v>23</v>
      </c>
      <c r="C52" s="2280">
        <f t="shared" ref="C52:H52" si="31">SUM(C53:C54)</f>
        <v>9084495</v>
      </c>
      <c r="D52" s="2271">
        <f t="shared" si="31"/>
        <v>0</v>
      </c>
      <c r="E52" s="2271">
        <f t="shared" si="31"/>
        <v>9084495</v>
      </c>
      <c r="F52" s="2271">
        <f>SUM(F53:F54)</f>
        <v>9084495</v>
      </c>
      <c r="G52" s="2271">
        <f t="shared" si="31"/>
        <v>0</v>
      </c>
      <c r="H52" s="2280">
        <f t="shared" si="31"/>
        <v>9084495</v>
      </c>
      <c r="I52" s="3200">
        <f>H52/C52*100</f>
        <v>100</v>
      </c>
      <c r="J52" s="2280">
        <f>SUM(J53:J54)</f>
        <v>0</v>
      </c>
      <c r="K52" s="2280">
        <f>SUM(K53:K54)</f>
        <v>9084495</v>
      </c>
      <c r="L52" s="2280">
        <f>SUM(L53:L54)</f>
        <v>9084495</v>
      </c>
      <c r="M52" s="2280">
        <f>SUM(M53:M54)</f>
        <v>0</v>
      </c>
      <c r="N52" s="2280">
        <f>SUM(N53:N54)</f>
        <v>9256479</v>
      </c>
      <c r="O52" s="3200"/>
      <c r="P52" s="2280">
        <f>SUM(P53:P54)</f>
        <v>0</v>
      </c>
      <c r="Q52" s="2280">
        <f>SUM(Q53:Q54)</f>
        <v>9256479</v>
      </c>
      <c r="R52" s="2280">
        <f>SUM(R53:R54)</f>
        <v>9256479</v>
      </c>
      <c r="S52" s="2280">
        <f>SUM(S53:S54)</f>
        <v>0</v>
      </c>
      <c r="T52" s="2280">
        <f>SUM(T53:T54)</f>
        <v>8996673.3000000007</v>
      </c>
      <c r="U52" s="3200"/>
      <c r="V52" s="2280">
        <f>SUM(V53:V54)</f>
        <v>0</v>
      </c>
      <c r="W52" s="2280">
        <f>SUM(W53:W54)</f>
        <v>8996673.3000000007</v>
      </c>
      <c r="X52" s="2280">
        <f>SUM(X53:X54)</f>
        <v>8996673.3000000007</v>
      </c>
      <c r="Y52" s="2280">
        <f>SUM(Y53:Y54)</f>
        <v>0</v>
      </c>
      <c r="Z52" s="2280">
        <f>SUM(Z53:Z54)</f>
        <v>9646988.3000000007</v>
      </c>
      <c r="AA52" s="3200"/>
      <c r="AB52" s="2280">
        <f>SUM(AB53:AB54)</f>
        <v>0</v>
      </c>
      <c r="AC52" s="2280">
        <f>SUM(AC53:AC54)</f>
        <v>9646988.3000000007</v>
      </c>
      <c r="AD52" s="2280">
        <f>SUM(AD53:AD54)</f>
        <v>9646988.3000000007</v>
      </c>
      <c r="AE52" s="2280">
        <f>SUM(AE53:AE54)</f>
        <v>0</v>
      </c>
      <c r="AF52" s="1">
        <f t="shared" si="5"/>
        <v>0</v>
      </c>
    </row>
    <row r="53" spans="1:32" s="2210" customFormat="1" ht="22.2" customHeight="1">
      <c r="A53" s="1410" t="s">
        <v>9</v>
      </c>
      <c r="B53" s="29" t="s">
        <v>24</v>
      </c>
      <c r="C53" s="2280">
        <f>'Phụ lục số 1'!C53</f>
        <v>6487488</v>
      </c>
      <c r="D53" s="2271"/>
      <c r="E53" s="2271">
        <f>F53+G53</f>
        <v>6487488</v>
      </c>
      <c r="F53" s="2271">
        <f>C53</f>
        <v>6487488</v>
      </c>
      <c r="G53" s="2271">
        <v>0</v>
      </c>
      <c r="H53" s="2280">
        <f>'Phụ lục số 1'!T53</f>
        <v>6487488</v>
      </c>
      <c r="I53" s="3200"/>
      <c r="J53" s="2280">
        <v>0</v>
      </c>
      <c r="K53" s="2280">
        <f>H53</f>
        <v>6487488</v>
      </c>
      <c r="L53" s="2280">
        <f>K53</f>
        <v>6487488</v>
      </c>
      <c r="M53" s="2280">
        <v>0</v>
      </c>
      <c r="N53" s="2280">
        <f>'Phụ lục số 1'!AE53</f>
        <v>6617188</v>
      </c>
      <c r="O53" s="3200"/>
      <c r="P53" s="2280">
        <v>0</v>
      </c>
      <c r="Q53" s="2280">
        <f>R53+S53</f>
        <v>6617188</v>
      </c>
      <c r="R53" s="2280">
        <f>N53</f>
        <v>6617188</v>
      </c>
      <c r="S53" s="2280">
        <v>0</v>
      </c>
      <c r="T53" s="2280">
        <f>'Phụ lục số 1'!AK53</f>
        <v>6617188</v>
      </c>
      <c r="U53" s="3200"/>
      <c r="V53" s="2280">
        <v>0</v>
      </c>
      <c r="W53" s="2280">
        <f>T53</f>
        <v>6617188</v>
      </c>
      <c r="X53" s="2280">
        <f>W53</f>
        <v>6617188</v>
      </c>
      <c r="Y53" s="2280">
        <v>0</v>
      </c>
      <c r="Z53" s="2280">
        <f>'Phụ lục số 1'!AQ53</f>
        <v>6617188</v>
      </c>
      <c r="AA53" s="3200"/>
      <c r="AB53" s="2280">
        <v>0</v>
      </c>
      <c r="AC53" s="2280">
        <f>Z53</f>
        <v>6617188</v>
      </c>
      <c r="AD53" s="2280">
        <f>AC53</f>
        <v>6617188</v>
      </c>
      <c r="AE53" s="2280">
        <v>0</v>
      </c>
      <c r="AF53" s="1">
        <f t="shared" si="5"/>
        <v>0</v>
      </c>
    </row>
    <row r="54" spans="1:32" s="2210" customFormat="1" ht="22.2" customHeight="1">
      <c r="A54" s="1410" t="s">
        <v>20</v>
      </c>
      <c r="B54" s="29" t="s">
        <v>25</v>
      </c>
      <c r="C54" s="2280">
        <f t="shared" ref="C54:H54" si="32">SUM(C55:C56)</f>
        <v>2597007</v>
      </c>
      <c r="D54" s="2280">
        <f t="shared" si="32"/>
        <v>0</v>
      </c>
      <c r="E54" s="2280">
        <f t="shared" si="32"/>
        <v>2597007</v>
      </c>
      <c r="F54" s="2280">
        <f t="shared" si="32"/>
        <v>2597007</v>
      </c>
      <c r="G54" s="2280">
        <f t="shared" si="32"/>
        <v>0</v>
      </c>
      <c r="H54" s="2280">
        <f t="shared" si="32"/>
        <v>2597007</v>
      </c>
      <c r="I54" s="3200"/>
      <c r="J54" s="2280">
        <f>SUM(J55:J56)</f>
        <v>0</v>
      </c>
      <c r="K54" s="2280">
        <f>H54</f>
        <v>2597007</v>
      </c>
      <c r="L54" s="2280">
        <f>K54</f>
        <v>2597007</v>
      </c>
      <c r="M54" s="2280">
        <f>SUM(M55:M56)</f>
        <v>0</v>
      </c>
      <c r="N54" s="2280">
        <f>SUM(N55:N57)</f>
        <v>2639291</v>
      </c>
      <c r="O54" s="3200"/>
      <c r="P54" s="2280">
        <f>SUM(P55:P56)</f>
        <v>0</v>
      </c>
      <c r="Q54" s="2280">
        <f>SUM(Q55:Q57)</f>
        <v>2639291</v>
      </c>
      <c r="R54" s="2280">
        <f t="shared" ref="R54:S54" si="33">SUM(R55:R57)</f>
        <v>2639291</v>
      </c>
      <c r="S54" s="2280">
        <f t="shared" si="33"/>
        <v>0</v>
      </c>
      <c r="T54" s="2280">
        <f>SUM(T55:T56)</f>
        <v>2379485.2999999998</v>
      </c>
      <c r="U54" s="3200"/>
      <c r="V54" s="2280">
        <f>SUM(V55:V56)</f>
        <v>0</v>
      </c>
      <c r="W54" s="2280">
        <f>SUM(W55:W56)</f>
        <v>2379485.2999999998</v>
      </c>
      <c r="X54" s="2280">
        <f>SUM(X55:X56)</f>
        <v>2379485.2999999998</v>
      </c>
      <c r="Y54" s="2280">
        <f>SUM(Y55:Y56)</f>
        <v>0</v>
      </c>
      <c r="Z54" s="2280">
        <f>SUM(Z55:Z57)</f>
        <v>3029800.3</v>
      </c>
      <c r="AA54" s="3200"/>
      <c r="AB54" s="2280">
        <f>SUM(AB55:AB56)</f>
        <v>0</v>
      </c>
      <c r="AC54" s="2280">
        <f>SUM(AC55:AC57)</f>
        <v>3029800.3</v>
      </c>
      <c r="AD54" s="2280">
        <f>SUM(AD55:AD57)</f>
        <v>3029800.3</v>
      </c>
      <c r="AE54" s="2280">
        <f>SUM(AE55:AE57)</f>
        <v>0</v>
      </c>
      <c r="AF54" s="1">
        <f t="shared" si="5"/>
        <v>0</v>
      </c>
    </row>
    <row r="55" spans="1:32" s="2221" customFormat="1" ht="36">
      <c r="A55" s="168">
        <v>1</v>
      </c>
      <c r="B55" s="12" t="str">
        <f>'Phụ lục số 1'!B56</f>
        <v>Bổ sung thực hiện mục tiêu, nhiệm vụ quan trọng (vốn đầu tư phát triển)</v>
      </c>
      <c r="C55" s="2282">
        <f>'Phụ lục số 1'!C56</f>
        <v>2417971</v>
      </c>
      <c r="D55" s="2282">
        <v>0</v>
      </c>
      <c r="E55" s="2282">
        <f>F55+G55</f>
        <v>2417971</v>
      </c>
      <c r="F55" s="2282">
        <f>C55</f>
        <v>2417971</v>
      </c>
      <c r="G55" s="2282">
        <v>0</v>
      </c>
      <c r="H55" s="2282">
        <f>'Phụ lục số 1'!T56</f>
        <v>2417971</v>
      </c>
      <c r="I55" s="3206"/>
      <c r="J55" s="2282">
        <v>0</v>
      </c>
      <c r="K55" s="2282">
        <f>H55-J55</f>
        <v>2417971</v>
      </c>
      <c r="L55" s="2282">
        <f>K55-M55</f>
        <v>2417971</v>
      </c>
      <c r="M55" s="2282">
        <v>0</v>
      </c>
      <c r="N55" s="2282">
        <f>'Phụ lục số 1'!AE56</f>
        <v>1814491</v>
      </c>
      <c r="O55" s="3206"/>
      <c r="P55" s="2282">
        <v>0</v>
      </c>
      <c r="Q55" s="2282">
        <f>R55+S55</f>
        <v>1814491</v>
      </c>
      <c r="R55" s="2282">
        <f>N55</f>
        <v>1814491</v>
      </c>
      <c r="S55" s="2282">
        <v>0</v>
      </c>
      <c r="T55" s="2282">
        <f>'Phụ lục số 1'!AK56</f>
        <v>2205000</v>
      </c>
      <c r="U55" s="3206"/>
      <c r="V55" s="2282">
        <v>0</v>
      </c>
      <c r="W55" s="2282">
        <f>T55-V55</f>
        <v>2205000</v>
      </c>
      <c r="X55" s="2282">
        <f>W55-Y55</f>
        <v>2205000</v>
      </c>
      <c r="Y55" s="2282">
        <v>0</v>
      </c>
      <c r="Z55" s="2282">
        <f>'Phụ lục số 1'!AQ56</f>
        <v>2205000</v>
      </c>
      <c r="AA55" s="3206"/>
      <c r="AB55" s="2282">
        <v>0</v>
      </c>
      <c r="AC55" s="2282">
        <f>Z55-AB55</f>
        <v>2205000</v>
      </c>
      <c r="AD55" s="2282">
        <f>AC55-AE55</f>
        <v>2205000</v>
      </c>
      <c r="AE55" s="2282">
        <v>0</v>
      </c>
      <c r="AF55" s="1">
        <f t="shared" si="5"/>
        <v>0</v>
      </c>
    </row>
    <row r="56" spans="1:32" s="2221" customFormat="1" ht="36">
      <c r="A56" s="168">
        <v>2</v>
      </c>
      <c r="B56" s="12" t="str">
        <f>'Phụ lục số 1'!B57</f>
        <v>Bổ sung thực hiện mục tiêu, nhiệm vụ quan trọng (kinh phí sự nghiệp)</v>
      </c>
      <c r="C56" s="2282">
        <f>'Phụ lục số 1'!C57</f>
        <v>179036</v>
      </c>
      <c r="D56" s="2282"/>
      <c r="E56" s="2282">
        <f>F56+G56</f>
        <v>179036</v>
      </c>
      <c r="F56" s="2282">
        <f>'Phụ lục số 1'!F57</f>
        <v>179036</v>
      </c>
      <c r="G56" s="2282">
        <v>0</v>
      </c>
      <c r="H56" s="2282">
        <f>'Phụ lục số 1'!T57</f>
        <v>179036</v>
      </c>
      <c r="I56" s="3206"/>
      <c r="J56" s="2282">
        <v>0</v>
      </c>
      <c r="K56" s="2282">
        <f>H56-J56</f>
        <v>179036</v>
      </c>
      <c r="L56" s="2282">
        <f>K56-M56</f>
        <v>179036</v>
      </c>
      <c r="M56" s="2282">
        <v>0</v>
      </c>
      <c r="N56" s="2282">
        <f>'Phụ lục số 1'!AE57</f>
        <v>174485</v>
      </c>
      <c r="O56" s="3206"/>
      <c r="P56" s="2282"/>
      <c r="Q56" s="2282">
        <f>R56+S56</f>
        <v>174485</v>
      </c>
      <c r="R56" s="2282">
        <f>N56</f>
        <v>174485</v>
      </c>
      <c r="S56" s="2282">
        <v>0</v>
      </c>
      <c r="T56" s="2282">
        <f>'Phụ lục số 1'!AK57</f>
        <v>174485.3</v>
      </c>
      <c r="U56" s="3206"/>
      <c r="V56" s="2282">
        <v>0</v>
      </c>
      <c r="W56" s="2282">
        <f>T56-V56</f>
        <v>174485.3</v>
      </c>
      <c r="X56" s="2282">
        <f>W56-Y56</f>
        <v>174485.3</v>
      </c>
      <c r="Y56" s="2282">
        <v>0</v>
      </c>
      <c r="Z56" s="2282">
        <f>'Phụ lục số 1'!AQ57</f>
        <v>174485.3</v>
      </c>
      <c r="AA56" s="3206"/>
      <c r="AB56" s="2282">
        <v>0</v>
      </c>
      <c r="AC56" s="2282">
        <f>Z56-AB56</f>
        <v>174485.3</v>
      </c>
      <c r="AD56" s="2282">
        <f>AC56-AE56</f>
        <v>174485.3</v>
      </c>
      <c r="AE56" s="2282">
        <v>0</v>
      </c>
      <c r="AF56" s="1">
        <f t="shared" si="5"/>
        <v>0</v>
      </c>
    </row>
    <row r="57" spans="1:32" s="2221" customFormat="1" ht="36">
      <c r="A57" s="168">
        <v>3</v>
      </c>
      <c r="B57" s="12" t="str">
        <f>'Phụ lục số 1'!B58</f>
        <v>Bổ sung nguồn thực hiện CCTL (nếu có); đảm bảo nhiệm vụ chi</v>
      </c>
      <c r="C57" s="2282">
        <f>'Phụ lục số 1'!C58</f>
        <v>0</v>
      </c>
      <c r="D57" s="2282"/>
      <c r="E57" s="2282">
        <f>F57+G57</f>
        <v>0</v>
      </c>
      <c r="F57" s="2282">
        <f>'Phụ lục số 1'!F58</f>
        <v>0</v>
      </c>
      <c r="G57" s="2535"/>
      <c r="H57" s="2282">
        <f>'Phụ lục số 1'!T58</f>
        <v>0</v>
      </c>
      <c r="I57" s="3206"/>
      <c r="J57" s="2282"/>
      <c r="K57" s="2282"/>
      <c r="L57" s="2282"/>
      <c r="M57" s="2282"/>
      <c r="N57" s="2282">
        <f>'Phụ lục số 1'!AE58</f>
        <v>650315</v>
      </c>
      <c r="O57" s="3206"/>
      <c r="P57" s="2282"/>
      <c r="Q57" s="2282">
        <f>R57+S57</f>
        <v>650315</v>
      </c>
      <c r="R57" s="2282">
        <f>'Phụ lục số 1'!AI58</f>
        <v>650315</v>
      </c>
      <c r="S57" s="2282">
        <f>'Phụ lục số 1'!AJ58</f>
        <v>0</v>
      </c>
      <c r="T57" s="2282">
        <f>'Phụ lục số 1'!AK58</f>
        <v>650315</v>
      </c>
      <c r="U57" s="3206"/>
      <c r="V57" s="2282"/>
      <c r="W57" s="2282"/>
      <c r="X57" s="2282"/>
      <c r="Y57" s="2282"/>
      <c r="Z57" s="2282">
        <f>'Phụ lục số 1'!AQ58</f>
        <v>650315</v>
      </c>
      <c r="AA57" s="3206"/>
      <c r="AB57" s="2282"/>
      <c r="AC57" s="2282">
        <f>Z57-AB57</f>
        <v>650315</v>
      </c>
      <c r="AD57" s="2282">
        <f>Z57</f>
        <v>650315</v>
      </c>
      <c r="AE57" s="2282"/>
      <c r="AF57" s="1"/>
    </row>
    <row r="58" spans="1:32" s="112" customFormat="1" ht="34.799999999999997">
      <c r="A58" s="167" t="s">
        <v>26</v>
      </c>
      <c r="B58" s="1417" t="str">
        <f>'Phụ lục số 1'!B59</f>
        <v>Thu chuyển nguồn làm lương năm trước chuyển sang</v>
      </c>
      <c r="C58" s="2280">
        <f>'Phụ lục số 1'!C59</f>
        <v>0</v>
      </c>
      <c r="D58" s="2280">
        <v>0</v>
      </c>
      <c r="E58" s="2280">
        <f>F58+G58</f>
        <v>0</v>
      </c>
      <c r="F58" s="2280">
        <f>'Phụ lục số 1'!F59</f>
        <v>0</v>
      </c>
      <c r="G58" s="2284">
        <f>'Phụ lục số 1'!G59</f>
        <v>0</v>
      </c>
      <c r="H58" s="2280">
        <f>L58+M58</f>
        <v>431000</v>
      </c>
      <c r="I58" s="3200"/>
      <c r="J58" s="2280"/>
      <c r="K58" s="2280">
        <f>H58-J58</f>
        <v>431000</v>
      </c>
      <c r="L58" s="2280">
        <f>'Phụ lục số 1'!X59</f>
        <v>89700</v>
      </c>
      <c r="M58" s="2280">
        <f>'Phụ lục số 1'!Y59</f>
        <v>341300</v>
      </c>
      <c r="N58" s="2280">
        <f>SUM(Q58)</f>
        <v>886000</v>
      </c>
      <c r="O58" s="3210"/>
      <c r="P58" s="2280">
        <v>0</v>
      </c>
      <c r="Q58" s="2280">
        <f>R58+S58</f>
        <v>886000</v>
      </c>
      <c r="R58" s="2280">
        <f>'Phụ lục số 1'!AI59</f>
        <v>0</v>
      </c>
      <c r="S58" s="2280">
        <f>'Phụ lục số 1'!AJ59</f>
        <v>886000</v>
      </c>
      <c r="T58" s="2280">
        <f>X58+Y58</f>
        <v>717399.2</v>
      </c>
      <c r="U58" s="3210"/>
      <c r="V58" s="2280"/>
      <c r="W58" s="2280">
        <f>SUM(X58:Y58)</f>
        <v>717399.2</v>
      </c>
      <c r="X58" s="2280">
        <f>'Phụ lục số 1'!AO59</f>
        <v>79139.200000000012</v>
      </c>
      <c r="Y58" s="2280">
        <f>'Phụ lục số 1'!AP59</f>
        <v>638260</v>
      </c>
      <c r="Z58" s="2280">
        <f>AD58+AE58</f>
        <v>881301.31019487511</v>
      </c>
      <c r="AA58" s="3210"/>
      <c r="AB58" s="2280">
        <v>0</v>
      </c>
      <c r="AC58" s="2280">
        <f>SUM(AD58:AE58)</f>
        <v>881301.31019487511</v>
      </c>
      <c r="AD58" s="2280">
        <f>'Phụ lục số 1'!AU59</f>
        <v>565518.00845279661</v>
      </c>
      <c r="AE58" s="2280">
        <f>'Phụ lục số 1'!AV59</f>
        <v>315783.30174207845</v>
      </c>
      <c r="AF58" s="3197">
        <f t="shared" si="5"/>
        <v>431000</v>
      </c>
    </row>
    <row r="59" spans="1:32" s="112" customFormat="1" ht="34.799999999999997">
      <c r="A59" s="167" t="s">
        <v>130</v>
      </c>
      <c r="B59" s="1417" t="str">
        <f>'Phụ lục số 1'!B60</f>
        <v>Thu vay từ nguồn Chính phủ vay về cho vay lại</v>
      </c>
      <c r="C59" s="2280">
        <f>'Phụ lục số 1'!C60</f>
        <v>31500</v>
      </c>
      <c r="D59" s="2280"/>
      <c r="E59" s="2280">
        <f>F59+G59</f>
        <v>31500</v>
      </c>
      <c r="F59" s="2284">
        <f>'Phụ lục số 1'!F60</f>
        <v>31500</v>
      </c>
      <c r="G59" s="2280"/>
      <c r="H59" s="2280">
        <f>'Phụ lục số 1'!T60</f>
        <v>31500</v>
      </c>
      <c r="I59" s="3200"/>
      <c r="J59" s="2280"/>
      <c r="K59" s="2280">
        <f>H59-J59</f>
        <v>31500</v>
      </c>
      <c r="L59" s="2280">
        <f>K59-M59</f>
        <v>31500</v>
      </c>
      <c r="M59" s="2280"/>
      <c r="N59" s="2280">
        <f>'Phụ lục số 1'!AH60</f>
        <v>0</v>
      </c>
      <c r="O59" s="3210"/>
      <c r="P59" s="2280"/>
      <c r="Q59" s="2280">
        <f>SUM(R59:S59)</f>
        <v>0</v>
      </c>
      <c r="R59" s="2280">
        <f>'Phụ lục số 1'!AI60</f>
        <v>0</v>
      </c>
      <c r="S59" s="2280">
        <v>0</v>
      </c>
      <c r="T59" s="2280">
        <f>W59</f>
        <v>0</v>
      </c>
      <c r="U59" s="3210"/>
      <c r="V59" s="2280"/>
      <c r="W59" s="2280">
        <f>SUM(X59:Y59)</f>
        <v>0</v>
      </c>
      <c r="X59" s="2280">
        <f>'Phụ lục số 1'!AO60</f>
        <v>0</v>
      </c>
      <c r="Y59" s="2280">
        <v>0</v>
      </c>
      <c r="Z59" s="2280">
        <f>AC59</f>
        <v>0</v>
      </c>
      <c r="AA59" s="3210"/>
      <c r="AB59" s="2280"/>
      <c r="AC59" s="2280">
        <f>SUM(AD59:AE59)</f>
        <v>0</v>
      </c>
      <c r="AD59" s="2280">
        <f>'Phụ lục số 1'!AU60</f>
        <v>0</v>
      </c>
      <c r="AE59" s="2280">
        <v>0</v>
      </c>
      <c r="AF59" s="166">
        <f t="shared" si="5"/>
        <v>0</v>
      </c>
    </row>
    <row r="60" spans="1:32" s="2210" customFormat="1" ht="21.6" customHeight="1">
      <c r="A60" s="1418"/>
      <c r="B60" s="169" t="s">
        <v>131</v>
      </c>
      <c r="C60" s="3211">
        <f t="shared" ref="C60:H60" si="34">SUM(C8,C52,C58,C59)</f>
        <v>16705995</v>
      </c>
      <c r="D60" s="3211">
        <f t="shared" si="34"/>
        <v>886000</v>
      </c>
      <c r="E60" s="3211">
        <f t="shared" si="34"/>
        <v>15819995</v>
      </c>
      <c r="F60" s="3211">
        <f t="shared" si="34"/>
        <v>12922645</v>
      </c>
      <c r="G60" s="3211">
        <f t="shared" si="34"/>
        <v>2897350</v>
      </c>
      <c r="H60" s="3211">
        <f t="shared" si="34"/>
        <v>17697740.32</v>
      </c>
      <c r="I60" s="3212"/>
      <c r="J60" s="3211">
        <f>SUM(J8,J52,J58,J59)</f>
        <v>700345.52</v>
      </c>
      <c r="K60" s="3211">
        <f>SUM(K8,K52,K58,K59)</f>
        <v>16997394.800000001</v>
      </c>
      <c r="L60" s="3211">
        <f>SUM(L8,L52,L58,L59)</f>
        <v>13068045.733333334</v>
      </c>
      <c r="M60" s="3211">
        <f>SUM(M8,M52,M58,M59)</f>
        <v>3929349.0666666664</v>
      </c>
      <c r="N60" s="3211">
        <f>SUM(N8,N52,N58,N59)</f>
        <v>19408479</v>
      </c>
      <c r="O60" s="3212"/>
      <c r="P60" s="3211">
        <f>SUM(P8,P52,P58,P59)</f>
        <v>781070</v>
      </c>
      <c r="Q60" s="3211">
        <f>SUM(Q8,Q52,Q58,Q59)</f>
        <v>18627409</v>
      </c>
      <c r="R60" s="3211">
        <f>SUM(R8,R52,R58,R59)</f>
        <v>13800829</v>
      </c>
      <c r="S60" s="3211">
        <f>SUM(S8,S52,S58,S59)</f>
        <v>4826580</v>
      </c>
      <c r="T60" s="3211">
        <f>SUM(T8,T52,T58,T59)</f>
        <v>19876572.199999999</v>
      </c>
      <c r="U60" s="3212"/>
      <c r="V60" s="3211">
        <f>SUM(V8,V52,V58,V59)</f>
        <v>1048100.4796102489</v>
      </c>
      <c r="W60" s="3211">
        <f>SUM(W8,W52,W58,W59)</f>
        <v>18828471.72038975</v>
      </c>
      <c r="X60" s="3211">
        <f>SUM(X8,X52,X58,X59)</f>
        <v>14694111.462668305</v>
      </c>
      <c r="Y60" s="3211">
        <f>SUM(Y8,Y52,Y58,Y59)</f>
        <v>4134360.2577214451</v>
      </c>
      <c r="Z60" s="3211">
        <f>SUM(Z8,Z52,Z58,Z59)</f>
        <v>21567289.610194877</v>
      </c>
      <c r="AA60" s="3212"/>
      <c r="AB60" s="3211">
        <f>SUM(AB8,AB52,AB58,AB59)</f>
        <v>1127999.4667532584</v>
      </c>
      <c r="AC60" s="3211">
        <f>SUM(AC8,AC52,AC58,AC59)</f>
        <v>20439289.743441619</v>
      </c>
      <c r="AD60" s="3211">
        <f>SUM(AD8,AD52,AD58,AD59)</f>
        <v>16384605.94885355</v>
      </c>
      <c r="AE60" s="3211">
        <f>SUM(AE8,AE52,AE58,AE59)</f>
        <v>4054683.7945880671</v>
      </c>
      <c r="AF60" s="1">
        <f t="shared" si="5"/>
        <v>991745.3200000003</v>
      </c>
    </row>
    <row r="62" spans="1:32" hidden="1">
      <c r="K62" s="1">
        <f>K60*2%</f>
        <v>339947.89600000001</v>
      </c>
      <c r="N62" s="34">
        <v>6818777</v>
      </c>
      <c r="P62" s="34">
        <f>N62-Q62</f>
        <v>1009000</v>
      </c>
      <c r="Q62" s="34">
        <v>5809777</v>
      </c>
      <c r="R62" s="1342"/>
    </row>
    <row r="63" spans="1:32" hidden="1">
      <c r="H63" s="34">
        <v>4090000</v>
      </c>
      <c r="K63" s="1342">
        <f>+K8/E8</f>
        <v>1.1113364856801908</v>
      </c>
      <c r="N63" s="3">
        <f>N8-N62</f>
        <v>2447223</v>
      </c>
      <c r="P63" s="1">
        <f>P8-P62</f>
        <v>-227930</v>
      </c>
      <c r="Q63" s="1402">
        <f>Q8-Q62</f>
        <v>2675153</v>
      </c>
      <c r="R63" s="1348">
        <f>+R53/L53</f>
        <v>1.0199923298509377</v>
      </c>
    </row>
    <row r="64" spans="1:32" hidden="1">
      <c r="H64" s="34">
        <f>+H63-H10</f>
        <v>-779999.79999999981</v>
      </c>
      <c r="K64" s="1">
        <f>+K8-E8</f>
        <v>746399.79999999981</v>
      </c>
      <c r="N64" s="34">
        <v>6708777</v>
      </c>
      <c r="Q64" s="34"/>
      <c r="W64" s="34">
        <f>W8+W53+W58</f>
        <v>16448986.420389749</v>
      </c>
    </row>
    <row r="65" spans="8:31" hidden="1">
      <c r="K65" s="1">
        <f>+K10-E10</f>
        <v>166399.79999999981</v>
      </c>
      <c r="L65" s="1">
        <f>+L10-F10</f>
        <v>-344299.2666666666</v>
      </c>
      <c r="M65" s="1">
        <f>+M10-G10</f>
        <v>510699.06666666642</v>
      </c>
      <c r="N65" s="1">
        <f>+N9-N64</f>
        <v>2357223</v>
      </c>
      <c r="Q65" s="34"/>
    </row>
    <row r="66" spans="8:31" hidden="1">
      <c r="H66" s="1">
        <v>1283</v>
      </c>
      <c r="K66" s="1342"/>
      <c r="N66" s="1">
        <v>945000</v>
      </c>
      <c r="Q66" s="34">
        <f>+Q8+Q53</f>
        <v>15102118</v>
      </c>
      <c r="R66" s="34">
        <f>Q8-Q66</f>
        <v>-6617188</v>
      </c>
    </row>
    <row r="67" spans="8:31" hidden="1">
      <c r="H67" s="1">
        <v>1500</v>
      </c>
      <c r="K67" s="1342"/>
      <c r="L67" s="1342">
        <f>L8/$K$8</f>
        <v>0.51840851994725623</v>
      </c>
      <c r="M67" s="1342">
        <f>M8/$K$8</f>
        <v>0.48159148005274383</v>
      </c>
      <c r="N67" s="1">
        <f>N28-N66</f>
        <v>756000</v>
      </c>
      <c r="Q67" s="34">
        <f>+Q66*2%</f>
        <v>302042.36</v>
      </c>
      <c r="R67" s="1342">
        <f>R8/$Q$8</f>
        <v>0.53557896175926023</v>
      </c>
      <c r="S67" s="1342">
        <f>S8/$Q$8</f>
        <v>0.46442103824073977</v>
      </c>
      <c r="X67" s="1342">
        <f>+X8/$W$8</f>
        <v>0.61642010919377477</v>
      </c>
      <c r="Y67" s="1342">
        <f>+Y8/$W$8</f>
        <v>0.38357989080622529</v>
      </c>
      <c r="AD67" s="1342">
        <f>+AD8/$AC$8</f>
        <v>0.62275245256997447</v>
      </c>
      <c r="AE67" s="1342">
        <f>+AE8/$AC$8</f>
        <v>0.37724754743002542</v>
      </c>
    </row>
    <row r="68" spans="8:31" hidden="1">
      <c r="H68" s="1">
        <f>+H67-H66</f>
        <v>217</v>
      </c>
      <c r="N68" s="1">
        <v>220000</v>
      </c>
      <c r="Q68" s="34">
        <v>935</v>
      </c>
    </row>
    <row r="69" spans="8:31" hidden="1">
      <c r="H69" s="34">
        <f>H38-C38</f>
        <v>-520000</v>
      </c>
      <c r="L69" s="1">
        <f>L38-F38</f>
        <v>-312000</v>
      </c>
      <c r="N69" s="1">
        <f>+N34-N68</f>
        <v>130000</v>
      </c>
      <c r="Q69" s="1">
        <v>30</v>
      </c>
    </row>
    <row r="70" spans="8:31" hidden="1">
      <c r="H70" s="34"/>
      <c r="N70" s="1">
        <v>8000</v>
      </c>
      <c r="Q70" s="1407">
        <f>+Q68/Q69</f>
        <v>31.166666666666668</v>
      </c>
    </row>
    <row r="71" spans="8:31" hidden="1">
      <c r="H71" s="34">
        <f>6515000</f>
        <v>6515000</v>
      </c>
      <c r="N71" s="1">
        <f>N36-N70</f>
        <v>7000</v>
      </c>
    </row>
    <row r="72" spans="8:31" hidden="1">
      <c r="H72" s="1">
        <f>+H9-H71</f>
        <v>1484999.7999999998</v>
      </c>
      <c r="N72" s="1">
        <v>800000</v>
      </c>
      <c r="Q72" s="34"/>
    </row>
    <row r="73" spans="8:31" hidden="1">
      <c r="N73" s="1">
        <f>N40-N72</f>
        <v>970000</v>
      </c>
      <c r="Q73" s="34"/>
    </row>
    <row r="74" spans="8:31" hidden="1">
      <c r="N74" s="1">
        <v>120000</v>
      </c>
      <c r="Q74" s="34">
        <f>Q8*20%</f>
        <v>1696986</v>
      </c>
    </row>
    <row r="75" spans="8:31" hidden="1">
      <c r="N75" s="1">
        <f>N41-N74</f>
        <v>195000</v>
      </c>
      <c r="Q75" s="1">
        <v>37000</v>
      </c>
    </row>
    <row r="76" spans="8:31" hidden="1">
      <c r="N76" s="1">
        <f>3000</f>
        <v>3000</v>
      </c>
      <c r="Q76" s="1">
        <v>17500</v>
      </c>
    </row>
    <row r="77" spans="8:31" hidden="1">
      <c r="N77" s="34">
        <v>7519985</v>
      </c>
      <c r="Q77" s="1">
        <f>+Q75+Q76</f>
        <v>54500</v>
      </c>
    </row>
    <row r="78" spans="8:31" hidden="1">
      <c r="N78" s="34">
        <f>+N52-N77</f>
        <v>1736494</v>
      </c>
    </row>
    <row r="79" spans="8:31" hidden="1">
      <c r="N79" s="34"/>
    </row>
    <row r="80" spans="8:31" hidden="1">
      <c r="N80" s="34">
        <f>N67+N69+N71+N73+N75+N77</f>
        <v>9577985</v>
      </c>
      <c r="Q80" s="1">
        <v>84800</v>
      </c>
    </row>
    <row r="81" spans="14:19" hidden="1">
      <c r="N81" s="34"/>
      <c r="Q81" s="1">
        <v>213</v>
      </c>
    </row>
    <row r="82" spans="14:19" hidden="1">
      <c r="N82" s="34">
        <f>N38</f>
        <v>1065000</v>
      </c>
      <c r="Q82" s="34">
        <f>Q38</f>
        <v>639000</v>
      </c>
    </row>
    <row r="83" spans="14:19" hidden="1">
      <c r="N83" s="34">
        <f>N82/12</f>
        <v>88750</v>
      </c>
      <c r="Q83" s="34">
        <f>Q82/12</f>
        <v>53250</v>
      </c>
    </row>
    <row r="84" spans="14:19" hidden="1">
      <c r="N84" s="34">
        <f>N83/2</f>
        <v>44375</v>
      </c>
      <c r="Q84" s="34">
        <f>Q83/2</f>
        <v>26625</v>
      </c>
    </row>
    <row r="85" spans="14:19" hidden="1">
      <c r="N85" s="34">
        <f>N83*3+N84*9</f>
        <v>665625</v>
      </c>
      <c r="Q85" s="34">
        <f>Q83*3+Q84*9</f>
        <v>399375</v>
      </c>
    </row>
    <row r="86" spans="14:19" hidden="1">
      <c r="N86" s="1">
        <f>+N82-N85</f>
        <v>399375</v>
      </c>
      <c r="Q86" s="1">
        <f>+Q82-Q85</f>
        <v>239625</v>
      </c>
      <c r="S86" s="34"/>
    </row>
    <row r="87" spans="14:19" hidden="1">
      <c r="N87" s="1345">
        <f>N86/N9</f>
        <v>4.4051952349437457E-2</v>
      </c>
    </row>
    <row r="88" spans="14:19" hidden="1">
      <c r="Q88" s="1">
        <v>13425</v>
      </c>
    </row>
    <row r="89" spans="14:19" hidden="1">
      <c r="N89" s="1">
        <v>7390000</v>
      </c>
      <c r="Q89" s="1">
        <v>6349</v>
      </c>
    </row>
    <row r="90" spans="14:19" hidden="1">
      <c r="N90" s="1">
        <f>+N9-N89</f>
        <v>1676000</v>
      </c>
      <c r="Q90" s="1">
        <f>+Q88-Q89</f>
        <v>7076</v>
      </c>
    </row>
    <row r="91" spans="14:19" hidden="1">
      <c r="Q91" s="34">
        <v>6654000</v>
      </c>
    </row>
    <row r="92" spans="14:19" hidden="1">
      <c r="Q92" s="34">
        <f>+Q8-Q91</f>
        <v>1830930</v>
      </c>
    </row>
    <row r="93" spans="14:19" hidden="1">
      <c r="N93" s="1342">
        <f>N38/N10</f>
        <v>0.20060275004708986</v>
      </c>
      <c r="Q93" s="34"/>
    </row>
    <row r="94" spans="14:19" hidden="1">
      <c r="N94" s="1342">
        <v>0.35714285714285715</v>
      </c>
      <c r="Q94" s="34"/>
    </row>
    <row r="95" spans="14:19" hidden="1">
      <c r="Q95" s="34"/>
    </row>
    <row r="96" spans="14:19" hidden="1">
      <c r="N96" s="34"/>
      <c r="Q96" s="34"/>
    </row>
    <row r="97" spans="14:17" hidden="1">
      <c r="N97" s="34"/>
      <c r="Q97" s="34"/>
    </row>
    <row r="98" spans="14:17" hidden="1">
      <c r="Q98" s="34"/>
    </row>
    <row r="99" spans="14:17" hidden="1">
      <c r="N99" s="34">
        <v>1500000</v>
      </c>
      <c r="Q99" s="34"/>
    </row>
    <row r="100" spans="14:17" hidden="1">
      <c r="N100" s="34">
        <f>N99*48%</f>
        <v>720000</v>
      </c>
      <c r="Q100" s="34"/>
    </row>
    <row r="101" spans="14:17" hidden="1">
      <c r="N101" s="34">
        <f>N99*60%</f>
        <v>900000</v>
      </c>
      <c r="Q101" s="34"/>
    </row>
    <row r="102" spans="14:17" hidden="1">
      <c r="N102" s="34">
        <f>+N101-N100</f>
        <v>180000</v>
      </c>
      <c r="Q102" s="34"/>
    </row>
    <row r="103" spans="14:17">
      <c r="N103" s="34"/>
    </row>
    <row r="104" spans="14:17">
      <c r="N104" s="34"/>
    </row>
    <row r="105" spans="14:17">
      <c r="N105" s="34"/>
    </row>
  </sheetData>
  <mergeCells count="27">
    <mergeCell ref="A1:AE1"/>
    <mergeCell ref="E3:G3"/>
    <mergeCell ref="A4:A6"/>
    <mergeCell ref="B4:B6"/>
    <mergeCell ref="C4:C6"/>
    <mergeCell ref="H4:M4"/>
    <mergeCell ref="N4:S4"/>
    <mergeCell ref="T4:Y4"/>
    <mergeCell ref="Z4:AE4"/>
    <mergeCell ref="D5:D6"/>
    <mergeCell ref="H5:H6"/>
    <mergeCell ref="I5:I6"/>
    <mergeCell ref="J5:J6"/>
    <mergeCell ref="K5:M5"/>
    <mergeCell ref="A2:AE2"/>
    <mergeCell ref="AC5:AE5"/>
    <mergeCell ref="AB5:AB6"/>
    <mergeCell ref="AA5:AA6"/>
    <mergeCell ref="N5:N6"/>
    <mergeCell ref="O5:O6"/>
    <mergeCell ref="P5:P6"/>
    <mergeCell ref="Q5:S5"/>
    <mergeCell ref="T5:T6"/>
    <mergeCell ref="U5:U6"/>
    <mergeCell ref="V5:V6"/>
    <mergeCell ref="W5:Y5"/>
    <mergeCell ref="Z5:Z6"/>
  </mergeCells>
  <hyperlinks>
    <hyperlink ref="A4:A6" location="'List danh mục'!A1" display="SỐ TT"/>
  </hyperlinks>
  <printOptions horizontalCentered="1"/>
  <pageMargins left="0" right="0" top="0.39370078740157483" bottom="0" header="0.19685039370078741" footer="0.19685039370078741"/>
  <pageSetup paperSize="9" scale="50" orientation="landscape" r:id="rId1"/>
  <headerFooter>
    <oddHeader>&amp;R&amp;A</oddHeader>
    <oddFooter>&amp;C&amp;P/&amp;N</oddFooter>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Y121"/>
  <sheetViews>
    <sheetView topLeftCell="A7" workbookViewId="0">
      <selection activeCell="F13" sqref="F13"/>
    </sheetView>
  </sheetViews>
  <sheetFormatPr defaultColWidth="9" defaultRowHeight="18"/>
  <cols>
    <col min="1" max="1" width="5.69921875" style="19" customWidth="1"/>
    <col min="2" max="2" width="30.69921875" style="1" customWidth="1"/>
    <col min="3" max="6" width="8.69921875" style="1" customWidth="1"/>
    <col min="7" max="7" width="8.69921875" style="3087" customWidth="1"/>
    <col min="8" max="25" width="8.69921875" style="1" customWidth="1"/>
    <col min="26" max="16384" width="9" style="1"/>
  </cols>
  <sheetData>
    <row r="1" spans="1:25" ht="34.200000000000003" customHeight="1">
      <c r="A1" s="4395" t="s">
        <v>1708</v>
      </c>
      <c r="B1" s="4395"/>
      <c r="C1" s="4395"/>
      <c r="D1" s="4395"/>
      <c r="E1" s="4395"/>
      <c r="F1" s="4395"/>
      <c r="G1" s="4395"/>
      <c r="H1" s="4395"/>
      <c r="I1" s="4395"/>
      <c r="J1" s="4395"/>
      <c r="K1" s="4395"/>
      <c r="L1" s="4395"/>
      <c r="M1" s="4395"/>
      <c r="N1" s="4395"/>
      <c r="O1" s="4395"/>
      <c r="P1" s="4395"/>
      <c r="Q1" s="4395"/>
      <c r="R1" s="4395"/>
      <c r="S1" s="4395"/>
      <c r="T1" s="4395"/>
      <c r="U1" s="4395"/>
      <c r="V1" s="4395"/>
      <c r="W1" s="4395"/>
      <c r="X1" s="4395"/>
      <c r="Y1" s="4395"/>
    </row>
    <row r="2" spans="1:25">
      <c r="A2" s="2401"/>
      <c r="B2" s="2401"/>
      <c r="C2" s="2401"/>
      <c r="D2" s="2401"/>
      <c r="E2" s="2401"/>
      <c r="F2" s="2401"/>
      <c r="G2" s="4442"/>
      <c r="H2" s="4442"/>
      <c r="I2" s="4442"/>
      <c r="J2" s="2401"/>
    </row>
    <row r="3" spans="1:25" ht="18.600000000000001" thickBot="1">
      <c r="A3" s="2"/>
      <c r="B3" s="3"/>
      <c r="D3" s="4442"/>
      <c r="E3" s="4442"/>
      <c r="F3" s="34"/>
      <c r="H3" s="34"/>
      <c r="I3" s="3"/>
      <c r="J3" s="3088"/>
      <c r="Y3" s="82" t="s">
        <v>224</v>
      </c>
    </row>
    <row r="4" spans="1:25" s="5" customFormat="1" ht="20.25" customHeight="1">
      <c r="A4" s="4443" t="s">
        <v>0</v>
      </c>
      <c r="B4" s="4445" t="s">
        <v>27</v>
      </c>
      <c r="C4" s="4446" t="s">
        <v>145</v>
      </c>
      <c r="D4" s="4447"/>
      <c r="E4" s="4448"/>
      <c r="F4" s="4449" t="s">
        <v>1709</v>
      </c>
      <c r="G4" s="4450"/>
      <c r="H4" s="4450"/>
      <c r="I4" s="4450"/>
      <c r="J4" s="4451"/>
      <c r="K4" s="4446" t="s">
        <v>1712</v>
      </c>
      <c r="L4" s="4447"/>
      <c r="M4" s="4447"/>
      <c r="N4" s="4447"/>
      <c r="O4" s="4448"/>
      <c r="P4" s="4446" t="s">
        <v>1710</v>
      </c>
      <c r="Q4" s="4447"/>
      <c r="R4" s="4447"/>
      <c r="S4" s="4447"/>
      <c r="T4" s="4448"/>
      <c r="U4" s="4446" t="s">
        <v>1711</v>
      </c>
      <c r="V4" s="4447"/>
      <c r="W4" s="4447"/>
      <c r="X4" s="4447"/>
      <c r="Y4" s="4452"/>
    </row>
    <row r="5" spans="1:25" s="5" customFormat="1" ht="87" customHeight="1">
      <c r="A5" s="4444"/>
      <c r="B5" s="4361"/>
      <c r="C5" s="6" t="s">
        <v>28</v>
      </c>
      <c r="D5" s="7" t="s">
        <v>30</v>
      </c>
      <c r="E5" s="7" t="s">
        <v>71</v>
      </c>
      <c r="F5" s="6" t="s">
        <v>28</v>
      </c>
      <c r="G5" s="3089" t="s">
        <v>29</v>
      </c>
      <c r="H5" s="6" t="s">
        <v>171</v>
      </c>
      <c r="I5" s="7" t="s">
        <v>30</v>
      </c>
      <c r="J5" s="7" t="s">
        <v>71</v>
      </c>
      <c r="K5" s="6" t="s">
        <v>28</v>
      </c>
      <c r="L5" s="6" t="s">
        <v>29</v>
      </c>
      <c r="M5" s="6" t="s">
        <v>171</v>
      </c>
      <c r="N5" s="7" t="s">
        <v>30</v>
      </c>
      <c r="O5" s="7" t="s">
        <v>71</v>
      </c>
      <c r="P5" s="6" t="s">
        <v>28</v>
      </c>
      <c r="Q5" s="6" t="s">
        <v>29</v>
      </c>
      <c r="R5" s="6" t="s">
        <v>223</v>
      </c>
      <c r="S5" s="7" t="s">
        <v>30</v>
      </c>
      <c r="T5" s="7" t="s">
        <v>71</v>
      </c>
      <c r="U5" s="6" t="s">
        <v>28</v>
      </c>
      <c r="V5" s="6" t="s">
        <v>29</v>
      </c>
      <c r="W5" s="6" t="s">
        <v>222</v>
      </c>
      <c r="X5" s="7" t="s">
        <v>30</v>
      </c>
      <c r="Y5" s="2911" t="s">
        <v>71</v>
      </c>
    </row>
    <row r="6" spans="1:25" s="3" customFormat="1" ht="19.649999999999999" customHeight="1">
      <c r="A6" s="3090">
        <v>1</v>
      </c>
      <c r="B6" s="8">
        <v>2</v>
      </c>
      <c r="C6" s="8" t="s">
        <v>6</v>
      </c>
      <c r="D6" s="9">
        <v>4</v>
      </c>
      <c r="E6" s="8">
        <v>5</v>
      </c>
      <c r="F6" s="9" t="s">
        <v>74</v>
      </c>
      <c r="G6" s="3091">
        <v>7</v>
      </c>
      <c r="H6" s="9" t="s">
        <v>75</v>
      </c>
      <c r="I6" s="8">
        <v>9</v>
      </c>
      <c r="J6" s="9">
        <v>10</v>
      </c>
      <c r="K6" s="9" t="s">
        <v>83</v>
      </c>
      <c r="L6" s="8">
        <v>12</v>
      </c>
      <c r="M6" s="8" t="s">
        <v>84</v>
      </c>
      <c r="N6" s="8">
        <v>14</v>
      </c>
      <c r="O6" s="9">
        <v>15</v>
      </c>
      <c r="P6" s="8" t="s">
        <v>1300</v>
      </c>
      <c r="Q6" s="9">
        <v>17</v>
      </c>
      <c r="R6" s="8" t="s">
        <v>1301</v>
      </c>
      <c r="S6" s="9">
        <v>19</v>
      </c>
      <c r="T6" s="8">
        <v>20</v>
      </c>
      <c r="U6" s="9" t="s">
        <v>1302</v>
      </c>
      <c r="V6" s="8">
        <v>22</v>
      </c>
      <c r="W6" s="9" t="s">
        <v>1303</v>
      </c>
      <c r="X6" s="8">
        <v>24</v>
      </c>
      <c r="Y6" s="3092">
        <v>25</v>
      </c>
    </row>
    <row r="7" spans="1:25" s="2210" customFormat="1" ht="20.100000000000001" customHeight="1">
      <c r="A7" s="3093"/>
      <c r="B7" s="3094" t="s">
        <v>1304</v>
      </c>
      <c r="C7" s="28">
        <f>SUM(C8,C35,C39)</f>
        <v>15819995</v>
      </c>
      <c r="D7" s="28">
        <f>SUM(D8,D35,D39)</f>
        <v>8173924</v>
      </c>
      <c r="E7" s="28">
        <f>SUM(E8,E35,E39)</f>
        <v>7646071</v>
      </c>
      <c r="F7" s="28">
        <f>SUM(F8,F35,F39)</f>
        <v>17291694.066666666</v>
      </c>
      <c r="G7" s="28">
        <f>F7/$F$7*100</f>
        <v>100</v>
      </c>
      <c r="H7" s="28">
        <f t="shared" ref="H7:H35" si="0">F7/C7*100</f>
        <v>109.30277832999738</v>
      </c>
      <c r="I7" s="28">
        <f>SUM(I8,I35,I39)</f>
        <v>8613624</v>
      </c>
      <c r="J7" s="28">
        <f>SUM(J8,J35,J39)</f>
        <v>8678070.0666666664</v>
      </c>
      <c r="K7" s="28">
        <f>SUM(K8,K35,K39)</f>
        <v>18627408.915999997</v>
      </c>
      <c r="L7" s="3095">
        <f>K7/$K$7*100</f>
        <v>100</v>
      </c>
      <c r="M7" s="28">
        <f>K7/C7%</f>
        <v>117.74598485018483</v>
      </c>
      <c r="N7" s="28">
        <f>SUM(N8,N35,N39)</f>
        <v>8719005.568</v>
      </c>
      <c r="O7" s="28">
        <f>SUM(O8,O35,O39)</f>
        <v>9908403.3479999993</v>
      </c>
      <c r="P7" s="28">
        <f>SUM(P8,P35,P39)</f>
        <v>19478786.610194877</v>
      </c>
      <c r="Q7" s="28">
        <f>P7/$P$7*100</f>
        <v>100</v>
      </c>
      <c r="R7" s="28">
        <f>P7/K7%</f>
        <v>104.57056425847607</v>
      </c>
      <c r="S7" s="28">
        <f>SUM(S8,S35,S39)</f>
        <v>10261103.054215508</v>
      </c>
      <c r="T7" s="28">
        <f>SUM(T8,T35,T39)</f>
        <v>9217683.5559793673</v>
      </c>
      <c r="U7" s="28">
        <f>SUM(U8,U35,U39)</f>
        <v>20439289.916623373</v>
      </c>
      <c r="V7" s="28">
        <f>U7/$U$7*100</f>
        <v>100</v>
      </c>
      <c r="W7" s="28">
        <f>U7/P7%</f>
        <v>104.93102227387091</v>
      </c>
      <c r="X7" s="28">
        <f>SUM(X8,X35,X39)</f>
        <v>11301282.9867258</v>
      </c>
      <c r="Y7" s="3096">
        <f>SUM(Y8,Y35,Y39)</f>
        <v>9138006.929897571</v>
      </c>
    </row>
    <row r="8" spans="1:25" s="2210" customFormat="1" ht="20.100000000000001" customHeight="1">
      <c r="A8" s="3097" t="s">
        <v>7</v>
      </c>
      <c r="B8" s="29" t="s">
        <v>88</v>
      </c>
      <c r="C8" s="29">
        <f>SUM(C9,C15,C29:C34)</f>
        <v>13191488</v>
      </c>
      <c r="D8" s="29">
        <f>SUM(D9,D15,D29:D34)</f>
        <v>5545417</v>
      </c>
      <c r="E8" s="29">
        <f>SUM(E9,E15,E29:E34)</f>
        <v>7646071</v>
      </c>
      <c r="F8" s="29">
        <f>SUM(F9,F15,F29:F34)</f>
        <v>14663187.066666666</v>
      </c>
      <c r="G8" s="3098">
        <f t="shared" ref="G8:G35" si="1">F8/$F$7*100</f>
        <v>84.79901974979424</v>
      </c>
      <c r="H8" s="3098">
        <f t="shared" si="0"/>
        <v>111.15642956023359</v>
      </c>
      <c r="I8" s="18">
        <f>SUM(I9,I15,I29:I34)</f>
        <v>5985117</v>
      </c>
      <c r="J8" s="18">
        <f>SUM(J9,J15,J29:J34)</f>
        <v>8678070.0666666664</v>
      </c>
      <c r="K8" s="29">
        <f>SUM(K9,K15,K29:K34)</f>
        <v>16638432.915999997</v>
      </c>
      <c r="L8" s="3099">
        <f>K8/$K$7*100</f>
        <v>89.322315256140811</v>
      </c>
      <c r="M8" s="3098">
        <f>K8/C8%</f>
        <v>126.1300689960071</v>
      </c>
      <c r="N8" s="29">
        <f>SUM(N9,N15,N29:N34)</f>
        <v>6730029.568</v>
      </c>
      <c r="O8" s="29">
        <f>SUM(O9,O15,O29:O34)</f>
        <v>9908403.3479999993</v>
      </c>
      <c r="P8" s="18">
        <f>SUM(P9,P15,P29:P34)</f>
        <v>17099301.310194876</v>
      </c>
      <c r="Q8" s="3098">
        <f t="shared" ref="Q8:Q30" si="2">P8/$P$7*100</f>
        <v>87.784222150908434</v>
      </c>
      <c r="R8" s="3098">
        <f t="shared" ref="R8:R30" si="3">P8/K8%</f>
        <v>102.76990264961609</v>
      </c>
      <c r="S8" s="18">
        <f>SUM(S9,S15,S29:S34)</f>
        <v>7881617.7542155078</v>
      </c>
      <c r="T8" s="18">
        <f>SUM(T9,T15,T29:T34)</f>
        <v>9217683.5559793673</v>
      </c>
      <c r="U8" s="18">
        <f>SUM(U9,U15,U29:U34)</f>
        <v>18059804.616623372</v>
      </c>
      <c r="V8" s="3098">
        <f t="shared" ref="V8:V35" si="4">U8/$U$7*100</f>
        <v>88.358278053168789</v>
      </c>
      <c r="W8" s="3098">
        <f t="shared" ref="W8:W29" si="5">U8/P8%</f>
        <v>105.61720791396212</v>
      </c>
      <c r="X8" s="18">
        <f>SUM(X9,X15,X29:X34)</f>
        <v>8921797.6867258009</v>
      </c>
      <c r="Y8" s="3100">
        <f>SUM(Y9,Y15,Y29:Y34)</f>
        <v>9138006.929897571</v>
      </c>
    </row>
    <row r="9" spans="1:25" s="3" customFormat="1" ht="20.100000000000001" customHeight="1">
      <c r="A9" s="3101" t="s">
        <v>9</v>
      </c>
      <c r="B9" s="3102" t="s">
        <v>31</v>
      </c>
      <c r="C9" s="14">
        <f>SUM(C10:C13)</f>
        <v>3561000</v>
      </c>
      <c r="D9" s="14">
        <f>SUM(D10:D13)</f>
        <v>2240000</v>
      </c>
      <c r="E9" s="14">
        <f>SUM(E10:E13)</f>
        <v>1321000</v>
      </c>
      <c r="F9" s="14">
        <f>SUM(F10:F13)</f>
        <v>4091000</v>
      </c>
      <c r="G9" s="3103">
        <f t="shared" si="1"/>
        <v>23.658757691568535</v>
      </c>
      <c r="H9" s="3103">
        <f t="shared" si="0"/>
        <v>114.88345970233081</v>
      </c>
      <c r="I9" s="14">
        <f>SUM(I10:I13)</f>
        <v>2590000</v>
      </c>
      <c r="J9" s="14">
        <f>SUM(J10:J13)</f>
        <v>1501000</v>
      </c>
      <c r="K9" s="14">
        <f>SUM(K10:K14)</f>
        <v>4923186.4089698764</v>
      </c>
      <c r="L9" s="3104">
        <f t="shared" ref="L9:L30" si="6">K9/$K$7*100</f>
        <v>26.429797247544766</v>
      </c>
      <c r="M9" s="3103">
        <f>K9/C9%</f>
        <v>138.25291797163371</v>
      </c>
      <c r="N9" s="14">
        <f>SUM(N10:N14)</f>
        <v>3199186</v>
      </c>
      <c r="O9" s="14">
        <f>SUM(O10:O14)</f>
        <v>1724000.4089698761</v>
      </c>
      <c r="P9" s="14">
        <f>SUM(P10:P14)</f>
        <v>4795000</v>
      </c>
      <c r="Q9" s="3103">
        <f t="shared" si="2"/>
        <v>24.616523071772733</v>
      </c>
      <c r="R9" s="3103">
        <f t="shared" si="3"/>
        <v>97.396271472956514</v>
      </c>
      <c r="S9" s="14">
        <f>SUM(S10:S14)</f>
        <v>3439099.7457627119</v>
      </c>
      <c r="T9" s="14">
        <f>SUM(T10:T13)</f>
        <v>1355900.2542372881</v>
      </c>
      <c r="U9" s="14">
        <f>SUM(U10:U14)</f>
        <v>5085000</v>
      </c>
      <c r="V9" s="3103">
        <f t="shared" si="4"/>
        <v>24.878555080645658</v>
      </c>
      <c r="W9" s="3103">
        <f t="shared" si="5"/>
        <v>106.04796663190824</v>
      </c>
      <c r="X9" s="14">
        <f>SUM(X10:X14)</f>
        <v>3690399.7330508474</v>
      </c>
      <c r="Y9" s="14">
        <f>SUM(Y10:Y14)</f>
        <v>1394600.2669491526</v>
      </c>
    </row>
    <row r="10" spans="1:25" ht="20.100000000000001" customHeight="1">
      <c r="A10" s="3106">
        <v>1</v>
      </c>
      <c r="B10" s="3107" t="s">
        <v>1305</v>
      </c>
      <c r="C10" s="11">
        <f>D10+E10</f>
        <v>1061000</v>
      </c>
      <c r="D10" s="11">
        <f>'Phụ lục số 2'!D10</f>
        <v>540000</v>
      </c>
      <c r="E10" s="11">
        <f>'Phụ lục số 2'!E10</f>
        <v>521000</v>
      </c>
      <c r="F10" s="13">
        <f>SUM(I10,J10)</f>
        <v>1061000</v>
      </c>
      <c r="G10" s="3108">
        <f>F10/$F$7*100</f>
        <v>6.1358938916534385</v>
      </c>
      <c r="H10" s="3108">
        <f t="shared" si="0"/>
        <v>100</v>
      </c>
      <c r="I10" s="13">
        <f>'Phụ lục số 2'!S10</f>
        <v>540000</v>
      </c>
      <c r="J10" s="13">
        <f>'Phụ lục số 2'!T10</f>
        <v>521000</v>
      </c>
      <c r="K10" s="13">
        <f>N10+O10</f>
        <v>1143186.4089698761</v>
      </c>
      <c r="L10" s="3109">
        <f t="shared" si="6"/>
        <v>6.1371198438014485</v>
      </c>
      <c r="M10" s="3108">
        <f t="shared" ref="M10:M30" si="7">K10/C10%</f>
        <v>107.74612714136438</v>
      </c>
      <c r="N10" s="13">
        <f>'Phụ lục số 2'!AA10</f>
        <v>562186</v>
      </c>
      <c r="O10" s="13">
        <f>'Phụ lục số 2'!AB10</f>
        <v>581000.40896987612</v>
      </c>
      <c r="P10" s="13">
        <f>S10+T10</f>
        <v>1213000</v>
      </c>
      <c r="Q10" s="3108">
        <f t="shared" si="2"/>
        <v>6.227287275507889</v>
      </c>
      <c r="R10" s="3108">
        <f t="shared" si="3"/>
        <v>106.10692976074066</v>
      </c>
      <c r="S10" s="13">
        <f>'Phụ lục số 2'!AF10</f>
        <v>632000</v>
      </c>
      <c r="T10" s="13">
        <f>'Phụ lục số 2'!AG10</f>
        <v>581000</v>
      </c>
      <c r="U10" s="13">
        <f>X10+Y10</f>
        <v>1265000</v>
      </c>
      <c r="V10" s="3108">
        <f t="shared" si="4"/>
        <v>6.1890604084595395</v>
      </c>
      <c r="W10" s="3108">
        <f t="shared" si="5"/>
        <v>104.28689200329761</v>
      </c>
      <c r="X10" s="13">
        <f>'Phụ lục số 2'!AK10</f>
        <v>684000</v>
      </c>
      <c r="Y10" s="3110">
        <f>'Phụ lục số 2'!AL10</f>
        <v>581000</v>
      </c>
    </row>
    <row r="11" spans="1:25" ht="20.100000000000001" customHeight="1">
      <c r="A11" s="3106">
        <v>2</v>
      </c>
      <c r="B11" s="3107" t="s">
        <v>391</v>
      </c>
      <c r="C11" s="11">
        <f>D11+E11</f>
        <v>900000</v>
      </c>
      <c r="D11" s="11">
        <f>'Phụ lục số 2'!D11</f>
        <v>100000</v>
      </c>
      <c r="E11" s="11">
        <f>'Phụ lục số 2'!E11</f>
        <v>800000</v>
      </c>
      <c r="F11" s="13">
        <f>SUM(I11,J11)</f>
        <v>1080000</v>
      </c>
      <c r="G11" s="3108">
        <f t="shared" si="1"/>
        <v>6.245773235613302</v>
      </c>
      <c r="H11" s="3108">
        <f t="shared" si="0"/>
        <v>120</v>
      </c>
      <c r="I11" s="13">
        <f>'Phụ lục số 2'!S11</f>
        <v>100000</v>
      </c>
      <c r="J11" s="13">
        <f>'Phụ lục số 2'!T11</f>
        <v>980000</v>
      </c>
      <c r="K11" s="13">
        <f>SUM(N11,O11)</f>
        <v>1770000</v>
      </c>
      <c r="L11" s="3109">
        <f t="shared" si="6"/>
        <v>9.5021267208004438</v>
      </c>
      <c r="M11" s="3108">
        <f t="shared" si="7"/>
        <v>196.66666666666666</v>
      </c>
      <c r="N11" s="13">
        <f>'Phụ lục số 2'!AA11</f>
        <v>627000</v>
      </c>
      <c r="O11" s="13">
        <f>'Phụ lục số 2'!AB11</f>
        <v>1143000</v>
      </c>
      <c r="P11" s="13">
        <f>SUM(S11,T11)</f>
        <v>1200000</v>
      </c>
      <c r="Q11" s="3108">
        <f t="shared" si="2"/>
        <v>6.1605480054488595</v>
      </c>
      <c r="R11" s="3108">
        <f t="shared" si="3"/>
        <v>67.79661016949153</v>
      </c>
      <c r="S11" s="13">
        <f>'Phụ lục số 2'!AF11</f>
        <v>425099.74576271186</v>
      </c>
      <c r="T11" s="13">
        <f>'Phụ lục số 2'!AG11</f>
        <v>774900.25423728814</v>
      </c>
      <c r="U11" s="13">
        <f>SUM(X11,Y11)</f>
        <v>1260000</v>
      </c>
      <c r="V11" s="3108">
        <f t="shared" si="4"/>
        <v>6.1645977190980394</v>
      </c>
      <c r="W11" s="3108">
        <f t="shared" si="5"/>
        <v>105</v>
      </c>
      <c r="X11" s="13">
        <f>'Phụ lục số 2'!AK11</f>
        <v>446399.73305084754</v>
      </c>
      <c r="Y11" s="3110">
        <f>'Phụ lục số 2'!AL11</f>
        <v>813600.26694915246</v>
      </c>
    </row>
    <row r="12" spans="1:25" ht="20.100000000000001" customHeight="1">
      <c r="A12" s="3106">
        <v>3</v>
      </c>
      <c r="B12" s="11" t="s">
        <v>121</v>
      </c>
      <c r="C12" s="11">
        <f>D12+E12</f>
        <v>1600000</v>
      </c>
      <c r="D12" s="11">
        <f>'Phụ lục số 2'!D12</f>
        <v>1600000</v>
      </c>
      <c r="E12" s="11">
        <f>'Phụ lục số 2'!E12</f>
        <v>0</v>
      </c>
      <c r="F12" s="13">
        <f>SUM(I12,J12)</f>
        <v>1950000</v>
      </c>
      <c r="G12" s="3108">
        <f t="shared" si="1"/>
        <v>11.277090564301794</v>
      </c>
      <c r="H12" s="3108">
        <f t="shared" si="0"/>
        <v>121.875</v>
      </c>
      <c r="I12" s="13">
        <f>'Phụ lục số 2'!S12</f>
        <v>1950000</v>
      </c>
      <c r="J12" s="13">
        <f>'Phụ lục số 2'!T12</f>
        <v>0</v>
      </c>
      <c r="K12" s="13">
        <f>SUM(N12,O12)</f>
        <v>1950000</v>
      </c>
      <c r="L12" s="3109">
        <f t="shared" si="6"/>
        <v>10.468444692407267</v>
      </c>
      <c r="M12" s="3108">
        <f t="shared" si="7"/>
        <v>121.875</v>
      </c>
      <c r="N12" s="13">
        <f>'Phụ lục số 2'!AA12</f>
        <v>1950000</v>
      </c>
      <c r="O12" s="13">
        <f>'Phụ lục số 2'!AB12</f>
        <v>0</v>
      </c>
      <c r="P12" s="13">
        <f>SUM(S12,T12)</f>
        <v>2322000</v>
      </c>
      <c r="Q12" s="3108">
        <f t="shared" si="2"/>
        <v>11.920660390543542</v>
      </c>
      <c r="R12" s="3108">
        <f t="shared" si="3"/>
        <v>119.07692307692308</v>
      </c>
      <c r="S12" s="13">
        <f>'Phụ lục số 2'!AF12</f>
        <v>2322000</v>
      </c>
      <c r="T12" s="13">
        <f>'Phụ lục số 2'!AG12</f>
        <v>0</v>
      </c>
      <c r="U12" s="13">
        <f>SUM(X12,Y12)</f>
        <v>2500000</v>
      </c>
      <c r="V12" s="3108">
        <f t="shared" si="4"/>
        <v>12.231344680750079</v>
      </c>
      <c r="W12" s="3108">
        <f t="shared" si="5"/>
        <v>107.66580534022394</v>
      </c>
      <c r="X12" s="13">
        <f>'Phụ lục số 2'!AK12</f>
        <v>2500000</v>
      </c>
      <c r="Y12" s="3110">
        <f>'Phụ lục số 2'!AL12</f>
        <v>0</v>
      </c>
    </row>
    <row r="13" spans="1:25" ht="54">
      <c r="A13" s="3106">
        <v>4</v>
      </c>
      <c r="B13" s="12" t="str">
        <f>'Phụ lục số 2'!B13</f>
        <v>Chi đầu tư từ nguồn thu thoái vốn doanh nghiệp nhà nước địa phương quản lý;…</v>
      </c>
      <c r="C13" s="11">
        <f>D13+E13</f>
        <v>0</v>
      </c>
      <c r="D13" s="11">
        <f>'Phụ lục số 2'!D13</f>
        <v>0</v>
      </c>
      <c r="E13" s="11">
        <f>'Phụ lục số 2'!E13</f>
        <v>0</v>
      </c>
      <c r="F13" s="13">
        <f>SUM(I13,J13)</f>
        <v>0</v>
      </c>
      <c r="G13" s="3108"/>
      <c r="H13" s="3108"/>
      <c r="I13" s="13">
        <f>'Phụ lục số 2'!S13</f>
        <v>0</v>
      </c>
      <c r="J13" s="13">
        <f>'Phụ lục số 2'!T13</f>
        <v>0</v>
      </c>
      <c r="K13" s="13">
        <f>SUM(N13,O13)</f>
        <v>0</v>
      </c>
      <c r="L13" s="3109"/>
      <c r="M13" s="3108"/>
      <c r="N13" s="13">
        <f>'Phụ lục số 2'!AA13</f>
        <v>0</v>
      </c>
      <c r="O13" s="13">
        <f>'Phụ lục số 2'!AB13</f>
        <v>0</v>
      </c>
      <c r="P13" s="13">
        <f>SUM(S13,T13)</f>
        <v>0</v>
      </c>
      <c r="Q13" s="3108"/>
      <c r="R13" s="3108"/>
      <c r="S13" s="13">
        <f>'Phụ lục số 2'!AF13</f>
        <v>0</v>
      </c>
      <c r="T13" s="13">
        <f>'Phụ lục số 2'!AG13</f>
        <v>0</v>
      </c>
      <c r="U13" s="13">
        <f t="shared" ref="U13:U14" si="8">SUM(X13,Y13)</f>
        <v>0</v>
      </c>
      <c r="V13" s="3108"/>
      <c r="W13" s="3108"/>
      <c r="X13" s="13">
        <f>'Phụ lục số 2'!AK13</f>
        <v>0</v>
      </c>
      <c r="Y13" s="3110">
        <f>'Phụ lục số 2'!AL13</f>
        <v>0</v>
      </c>
    </row>
    <row r="14" spans="1:25" ht="54">
      <c r="A14" s="3106">
        <v>5</v>
      </c>
      <c r="B14" s="12" t="str">
        <f>'Phụ lục số 2'!B14</f>
        <v>Chi đầu tư phát triển khác (Ủy thác qua NH Chính sách xã hội chi nhánh tỉnh Đồng Tháp)</v>
      </c>
      <c r="C14" s="11"/>
      <c r="D14" s="11"/>
      <c r="E14" s="11"/>
      <c r="F14" s="13"/>
      <c r="G14" s="3108"/>
      <c r="H14" s="3108"/>
      <c r="I14" s="13"/>
      <c r="J14" s="13"/>
      <c r="K14" s="13">
        <f>SUM(N14,O14)</f>
        <v>60000</v>
      </c>
      <c r="L14" s="3109"/>
      <c r="M14" s="3108"/>
      <c r="N14" s="13">
        <f>'Phụ lục số 2'!AA14</f>
        <v>60000</v>
      </c>
      <c r="O14" s="13">
        <f>'Phụ lục số 2'!AB14</f>
        <v>0</v>
      </c>
      <c r="P14" s="13">
        <f>SUM(S14,T14)</f>
        <v>60000</v>
      </c>
      <c r="Q14" s="3108"/>
      <c r="R14" s="3108"/>
      <c r="S14" s="13">
        <f>'Phụ lục số 2'!AF14</f>
        <v>60000</v>
      </c>
      <c r="T14" s="13">
        <f>'Phụ lục số 2'!AG14</f>
        <v>0</v>
      </c>
      <c r="U14" s="13">
        <f t="shared" si="8"/>
        <v>60000</v>
      </c>
      <c r="V14" s="3108"/>
      <c r="W14" s="3108"/>
      <c r="X14" s="13">
        <f>'Phụ lục số 2'!AK14</f>
        <v>60000</v>
      </c>
      <c r="Y14" s="3110"/>
    </row>
    <row r="15" spans="1:25" s="3" customFormat="1" ht="17.399999999999999">
      <c r="A15" s="3101" t="s">
        <v>20</v>
      </c>
      <c r="B15" s="3102" t="s">
        <v>33</v>
      </c>
      <c r="C15" s="17">
        <f>SUM(C16:C18,C26,C27,C28)</f>
        <v>9353865</v>
      </c>
      <c r="D15" s="17">
        <f>SUM(D16:D18,D26,D27,D28)</f>
        <v>3168035</v>
      </c>
      <c r="E15" s="17">
        <f>SUM(E16:E18,E26,E27,E28)</f>
        <v>6185830</v>
      </c>
      <c r="F15" s="14">
        <f>SUM(F16,F17,F18,F26,F27,F28)</f>
        <v>9353865</v>
      </c>
      <c r="G15" s="3103">
        <f t="shared" si="1"/>
        <v>54.094555246796318</v>
      </c>
      <c r="H15" s="3103">
        <f t="shared" si="0"/>
        <v>100</v>
      </c>
      <c r="I15" s="14">
        <f>SUM(I16,I17,I18,I26,I27,I28)</f>
        <v>3168035</v>
      </c>
      <c r="J15" s="14">
        <f>SUM(J16,J17,J18,J26,J27,J28)</f>
        <v>6185830</v>
      </c>
      <c r="K15" s="14">
        <f>SUM(K16,K17,K18,K26,K27,K28)</f>
        <v>10664978.394711081</v>
      </c>
      <c r="L15" s="3104">
        <f t="shared" si="6"/>
        <v>57.254223831154569</v>
      </c>
      <c r="M15" s="3103">
        <f>K15/C15%</f>
        <v>114.01680903787987</v>
      </c>
      <c r="N15" s="14">
        <f>SUM(N16,N17,N18,N26,N27,N28)</f>
        <v>3294440</v>
      </c>
      <c r="O15" s="14">
        <f>SUM(O16,O17,O18,O26,O27,O28)</f>
        <v>7370538.3947110809</v>
      </c>
      <c r="P15" s="14">
        <f>SUM(P16,P17,P18,P26,P27,P28)</f>
        <v>11071000</v>
      </c>
      <c r="Q15" s="3103">
        <f t="shared" si="2"/>
        <v>56.836189140270264</v>
      </c>
      <c r="R15" s="3103">
        <f t="shared" si="3"/>
        <v>103.80705511311932</v>
      </c>
      <c r="S15" s="14">
        <f>SUM(S16,S17,S18,S26,S27,S28)</f>
        <v>3701000</v>
      </c>
      <c r="T15" s="14">
        <f>SUM(T16,T17,T18,T26,T27,T28)</f>
        <v>7370000</v>
      </c>
      <c r="U15" s="14">
        <f>SUM(U16,U17,U18,U26,U27,U28)</f>
        <v>11373000</v>
      </c>
      <c r="V15" s="3103">
        <f t="shared" si="4"/>
        <v>55.642833221668255</v>
      </c>
      <c r="W15" s="3103">
        <f t="shared" si="5"/>
        <v>102.72784752958179</v>
      </c>
      <c r="X15" s="14">
        <f>SUM(X16,X17,X18,X26,X27,X28)</f>
        <v>4003000</v>
      </c>
      <c r="Y15" s="3105">
        <f>SUM(Y16,Y17,Y18,Y26,Y27,Y28)</f>
        <v>7370000</v>
      </c>
    </row>
    <row r="16" spans="1:25" s="3" customFormat="1" ht="20.100000000000001" customHeight="1">
      <c r="A16" s="3101">
        <v>1</v>
      </c>
      <c r="B16" s="3102" t="s">
        <v>63</v>
      </c>
      <c r="C16" s="17">
        <f t="shared" ref="C16:C37" si="9">D16+E16</f>
        <v>1793642</v>
      </c>
      <c r="D16" s="17">
        <f>'Phụ lục số 2'!D16</f>
        <v>540000</v>
      </c>
      <c r="E16" s="17">
        <f>'Phụ lục số 2'!E16</f>
        <v>1253642</v>
      </c>
      <c r="F16" s="14">
        <f>I16+J16</f>
        <v>1793642</v>
      </c>
      <c r="G16" s="3103">
        <f>F16/$F$7*100</f>
        <v>10.372852960992512</v>
      </c>
      <c r="H16" s="3103">
        <f t="shared" si="0"/>
        <v>100</v>
      </c>
      <c r="I16" s="14">
        <f>'Phụ lục số 2'!S16</f>
        <v>540000</v>
      </c>
      <c r="J16" s="14">
        <f>'Phụ lục số 2'!T16</f>
        <v>1253642</v>
      </c>
      <c r="K16" s="14">
        <f>N16+O16</f>
        <v>2068978.6115313373</v>
      </c>
      <c r="L16" s="3104">
        <f t="shared" si="6"/>
        <v>11.107173417738148</v>
      </c>
      <c r="M16" s="3103">
        <f t="shared" si="7"/>
        <v>115.35070050385403</v>
      </c>
      <c r="N16" s="14">
        <f>'Phụ lục số 2'!AA16</f>
        <v>545710</v>
      </c>
      <c r="O16" s="14">
        <f>'Phụ lục số 2'!AB16</f>
        <v>1523268.6115313373</v>
      </c>
      <c r="P16" s="14">
        <f>S16+T16</f>
        <v>2136000</v>
      </c>
      <c r="Q16" s="3103">
        <f t="shared" si="2"/>
        <v>10.96577544969897</v>
      </c>
      <c r="R16" s="3103">
        <f t="shared" si="3"/>
        <v>103.23934660779589</v>
      </c>
      <c r="S16" s="14">
        <f>'Phụ lục số 2'!AF16</f>
        <v>613000</v>
      </c>
      <c r="T16" s="14">
        <f>'Phụ lục số 2'!AG16</f>
        <v>1523000</v>
      </c>
      <c r="U16" s="14">
        <f>SUM(X16,Y16)</f>
        <v>2186000</v>
      </c>
      <c r="V16" s="3103">
        <f t="shared" si="4"/>
        <v>10.695087788847868</v>
      </c>
      <c r="W16" s="3103">
        <f t="shared" si="5"/>
        <v>102.34082397003745</v>
      </c>
      <c r="X16" s="14">
        <f>'Phụ lục số 2'!AK16</f>
        <v>663000</v>
      </c>
      <c r="Y16" s="3105">
        <f>'Phụ lục số 2'!AL16</f>
        <v>1523000</v>
      </c>
    </row>
    <row r="17" spans="1:25" s="3" customFormat="1" ht="20.100000000000001" customHeight="1">
      <c r="A17" s="3101">
        <v>2</v>
      </c>
      <c r="B17" s="3102" t="s">
        <v>89</v>
      </c>
      <c r="C17" s="17">
        <f t="shared" si="9"/>
        <v>136670</v>
      </c>
      <c r="D17" s="14">
        <f>'Phụ lục số 2'!D17</f>
        <v>62000</v>
      </c>
      <c r="E17" s="17">
        <f>'Phụ lục số 2'!E17</f>
        <v>74670</v>
      </c>
      <c r="F17" s="14">
        <f>I17+J17</f>
        <v>136670</v>
      </c>
      <c r="G17" s="3103">
        <f t="shared" si="1"/>
        <v>0.79037947047339818</v>
      </c>
      <c r="H17" s="3103">
        <f t="shared" si="0"/>
        <v>100</v>
      </c>
      <c r="I17" s="14">
        <f>'Phụ lục số 2'!S17</f>
        <v>62000</v>
      </c>
      <c r="J17" s="14">
        <f>'Phụ lục số 2'!T17</f>
        <v>74670</v>
      </c>
      <c r="K17" s="14">
        <f>N17+O17</f>
        <v>151965</v>
      </c>
      <c r="L17" s="3104">
        <f>K17/$K$7*100</f>
        <v>0.81581394752906178</v>
      </c>
      <c r="M17" s="3103">
        <f>K17/C17%</f>
        <v>111.1911904587693</v>
      </c>
      <c r="N17" s="14">
        <f>'Phụ lục số 2'!AA17</f>
        <v>67965</v>
      </c>
      <c r="O17" s="14">
        <f>'Phụ lục số 2'!AB17</f>
        <v>84000</v>
      </c>
      <c r="P17" s="14">
        <f>S17+T17</f>
        <v>160000</v>
      </c>
      <c r="Q17" s="3103">
        <f t="shared" si="2"/>
        <v>0.82140640072651472</v>
      </c>
      <c r="R17" s="3103">
        <f t="shared" si="3"/>
        <v>105.28740170433981</v>
      </c>
      <c r="S17" s="14">
        <f>'Phụ lục số 2'!AF17</f>
        <v>76000</v>
      </c>
      <c r="T17" s="14">
        <f>'Phụ lục số 2'!AG17</f>
        <v>84000</v>
      </c>
      <c r="U17" s="14">
        <f>SUM(X17,Y17)</f>
        <v>166000</v>
      </c>
      <c r="V17" s="3103">
        <f t="shared" si="4"/>
        <v>0.81216128680180522</v>
      </c>
      <c r="W17" s="3103">
        <f t="shared" si="5"/>
        <v>103.75</v>
      </c>
      <c r="X17" s="14">
        <f>'Phụ lục số 2'!AK17</f>
        <v>82000</v>
      </c>
      <c r="Y17" s="3105">
        <f>'Phụ lục số 2'!AL17</f>
        <v>84000</v>
      </c>
    </row>
    <row r="18" spans="1:25" s="3" customFormat="1" ht="20.100000000000001" customHeight="1">
      <c r="A18" s="3101">
        <v>3</v>
      </c>
      <c r="B18" s="3102" t="s">
        <v>38</v>
      </c>
      <c r="C18" s="17">
        <f>SUM(C19:C25)</f>
        <v>5659998</v>
      </c>
      <c r="D18" s="17">
        <f>SUM(D19:D25)</f>
        <v>1951035</v>
      </c>
      <c r="E18" s="17">
        <f>SUM(E19:E25)</f>
        <v>3708963</v>
      </c>
      <c r="F18" s="14">
        <f>SUM(F19:F25)</f>
        <v>5659998</v>
      </c>
      <c r="G18" s="3103">
        <f t="shared" si="1"/>
        <v>32.732466687060018</v>
      </c>
      <c r="H18" s="3103">
        <f t="shared" si="0"/>
        <v>100</v>
      </c>
      <c r="I18" s="14">
        <f>SUM(I19:I25)</f>
        <v>1951035</v>
      </c>
      <c r="J18" s="14">
        <f>SUM(J19:J25)</f>
        <v>3708963</v>
      </c>
      <c r="K18" s="14">
        <f>SUM(K19:K25)</f>
        <v>6454249.7831797441</v>
      </c>
      <c r="L18" s="3104">
        <f t="shared" si="6"/>
        <v>34.649208659589107</v>
      </c>
      <c r="M18" s="3103">
        <f t="shared" si="7"/>
        <v>114.03272197586897</v>
      </c>
      <c r="N18" s="14">
        <f>SUM(N19:N25)</f>
        <v>1996980</v>
      </c>
      <c r="O18" s="14">
        <f>SUM(O19:O25)</f>
        <v>4457269.7831797441</v>
      </c>
      <c r="P18" s="14">
        <f>SUM(P19:P25)</f>
        <v>6701000</v>
      </c>
      <c r="Q18" s="3103">
        <f t="shared" si="2"/>
        <v>34.401526820427343</v>
      </c>
      <c r="R18" s="3103">
        <f t="shared" si="3"/>
        <v>103.82306581104601</v>
      </c>
      <c r="S18" s="14">
        <f>SUM(S19:S25)</f>
        <v>2244000</v>
      </c>
      <c r="T18" s="14">
        <f>SUM(T19:T25)</f>
        <v>4457000</v>
      </c>
      <c r="U18" s="14">
        <f>SUM(U19:U25)</f>
        <v>6884000</v>
      </c>
      <c r="V18" s="3103">
        <f t="shared" si="4"/>
        <v>33.680230712913414</v>
      </c>
      <c r="W18" s="3103">
        <f t="shared" si="5"/>
        <v>102.7309356812416</v>
      </c>
      <c r="X18" s="14">
        <f>SUM(X19:X25)</f>
        <v>2427000</v>
      </c>
      <c r="Y18" s="3105">
        <f>SUM(Y19:Y25)</f>
        <v>4457000</v>
      </c>
    </row>
    <row r="19" spans="1:25" ht="20.100000000000001" customHeight="1">
      <c r="A19" s="3106" t="s">
        <v>34</v>
      </c>
      <c r="B19" s="3107" t="s">
        <v>99</v>
      </c>
      <c r="C19" s="11">
        <f t="shared" si="9"/>
        <v>31000</v>
      </c>
      <c r="D19" s="11">
        <f>'Phụ lục số 2'!D19</f>
        <v>31000</v>
      </c>
      <c r="E19" s="11">
        <f>'Phụ lục số 2'!E19</f>
        <v>0</v>
      </c>
      <c r="F19" s="13">
        <f>SUM(I19,J19)</f>
        <v>31000</v>
      </c>
      <c r="G19" s="3108">
        <f t="shared" si="1"/>
        <v>0.17927682435556699</v>
      </c>
      <c r="H19" s="3108">
        <f t="shared" si="0"/>
        <v>100</v>
      </c>
      <c r="I19" s="13">
        <f>'Phụ lục số 2'!S19</f>
        <v>31000</v>
      </c>
      <c r="J19" s="13">
        <f>'Phụ lục số 2'!T19</f>
        <v>0</v>
      </c>
      <c r="K19" s="13">
        <f t="shared" ref="K19:K34" si="10">N19+O19</f>
        <v>31218</v>
      </c>
      <c r="L19" s="3109">
        <f t="shared" si="6"/>
        <v>0.16759174687567699</v>
      </c>
      <c r="M19" s="3108">
        <f>K19/C19%</f>
        <v>100.70322580645161</v>
      </c>
      <c r="N19" s="13">
        <f>'Phụ lục số 2'!AA19</f>
        <v>31218</v>
      </c>
      <c r="O19" s="13">
        <f>'Phụ lục số 2'!AB19</f>
        <v>0</v>
      </c>
      <c r="P19" s="13">
        <f>S19+T19</f>
        <v>35000</v>
      </c>
      <c r="Q19" s="3108">
        <f t="shared" si="2"/>
        <v>0.17968265015892507</v>
      </c>
      <c r="R19" s="3108">
        <f t="shared" si="3"/>
        <v>112.11480556089435</v>
      </c>
      <c r="S19" s="13">
        <f>'Phụ lục số 2'!AF19</f>
        <v>35000</v>
      </c>
      <c r="T19" s="13">
        <f>'Phụ lục số 2'!AG19</f>
        <v>0</v>
      </c>
      <c r="U19" s="13">
        <f>X19+Y19</f>
        <v>38000</v>
      </c>
      <c r="V19" s="3108">
        <f t="shared" si="4"/>
        <v>0.18591643914740119</v>
      </c>
      <c r="W19" s="3108">
        <f t="shared" si="5"/>
        <v>108.57142857142857</v>
      </c>
      <c r="X19" s="13">
        <f>'Phụ lục số 2'!AK19</f>
        <v>38000</v>
      </c>
      <c r="Y19" s="3110">
        <f>'Phụ lục số 2'!AL19</f>
        <v>0</v>
      </c>
    </row>
    <row r="20" spans="1:25" ht="20.100000000000001" customHeight="1">
      <c r="A20" s="3106" t="s">
        <v>35</v>
      </c>
      <c r="B20" s="3107" t="s">
        <v>86</v>
      </c>
      <c r="C20" s="11">
        <f t="shared" si="9"/>
        <v>4179745</v>
      </c>
      <c r="D20" s="11">
        <f>'Phụ lục số 2'!D20</f>
        <v>1017035</v>
      </c>
      <c r="E20" s="11">
        <f>'Phụ lục số 2'!E20</f>
        <v>3162710</v>
      </c>
      <c r="F20" s="13">
        <f>SUM(I20,J20)</f>
        <v>4179745</v>
      </c>
      <c r="G20" s="3108">
        <f t="shared" si="1"/>
        <v>24.171980974711595</v>
      </c>
      <c r="H20" s="3108">
        <f t="shared" si="0"/>
        <v>100</v>
      </c>
      <c r="I20" s="13">
        <f>'Phụ lục số 2'!S20</f>
        <v>1017035</v>
      </c>
      <c r="J20" s="13">
        <f>'Phụ lục số 2'!T20</f>
        <v>3162710</v>
      </c>
      <c r="K20" s="3111">
        <f t="shared" si="10"/>
        <v>4797945.7831797441</v>
      </c>
      <c r="L20" s="3109">
        <f>K20/$K$7*100</f>
        <v>25.757451317120939</v>
      </c>
      <c r="M20" s="3108">
        <f t="shared" si="7"/>
        <v>114.79039470541252</v>
      </c>
      <c r="N20" s="13">
        <f>'Phụ lục số 2'!AA20</f>
        <v>956676</v>
      </c>
      <c r="O20" s="13">
        <f>'Phụ lục số 2'!AB20</f>
        <v>3841269.7831797441</v>
      </c>
      <c r="P20" s="13">
        <f>S20+T20</f>
        <v>4916000</v>
      </c>
      <c r="Q20" s="3108">
        <f t="shared" si="2"/>
        <v>25.237711662322159</v>
      </c>
      <c r="R20" s="3108">
        <f t="shared" si="3"/>
        <v>102.46051585730962</v>
      </c>
      <c r="S20" s="13">
        <f>'Phụ lục số 2'!AF20</f>
        <v>1075000</v>
      </c>
      <c r="T20" s="13">
        <f>'Phụ lục số 2'!AG20</f>
        <v>3841000</v>
      </c>
      <c r="U20" s="13">
        <f>X20+Y20</f>
        <v>5004000</v>
      </c>
      <c r="V20" s="3108">
        <f t="shared" si="4"/>
        <v>24.482259512989359</v>
      </c>
      <c r="W20" s="3108">
        <f t="shared" si="5"/>
        <v>101.7900732302685</v>
      </c>
      <c r="X20" s="13">
        <f>'Phụ lục số 2'!AK20</f>
        <v>1163000</v>
      </c>
      <c r="Y20" s="3110">
        <f>'Phụ lục số 2'!AL20</f>
        <v>3841000</v>
      </c>
    </row>
    <row r="21" spans="1:25" ht="20.100000000000001" customHeight="1">
      <c r="A21" s="3106" t="s">
        <v>36</v>
      </c>
      <c r="B21" s="11" t="s">
        <v>39</v>
      </c>
      <c r="C21" s="11">
        <f t="shared" si="9"/>
        <v>750000</v>
      </c>
      <c r="D21" s="11">
        <f>'Phụ lục số 2'!D21</f>
        <v>750000</v>
      </c>
      <c r="E21" s="11">
        <f>'Phụ lục số 2'!E21</f>
        <v>0</v>
      </c>
      <c r="F21" s="13">
        <f>SUM(I21,J21)</f>
        <v>750000</v>
      </c>
      <c r="G21" s="3108">
        <f t="shared" si="1"/>
        <v>4.3373425247314596</v>
      </c>
      <c r="H21" s="3108">
        <f t="shared" si="0"/>
        <v>100</v>
      </c>
      <c r="I21" s="13">
        <f>'Phụ lục số 2'!S21</f>
        <v>750000</v>
      </c>
      <c r="J21" s="13">
        <f>'Phụ lục số 2'!T21</f>
        <v>0</v>
      </c>
      <c r="K21" s="13">
        <f t="shared" si="10"/>
        <v>828538</v>
      </c>
      <c r="L21" s="3109">
        <f t="shared" si="6"/>
        <v>4.4479508864398634</v>
      </c>
      <c r="M21" s="3108">
        <f t="shared" si="7"/>
        <v>110.47173333333333</v>
      </c>
      <c r="N21" s="13">
        <f>'Phụ lục số 2'!AA21</f>
        <v>828538</v>
      </c>
      <c r="O21" s="13">
        <f>'Phụ lục số 2'!AB21</f>
        <v>0</v>
      </c>
      <c r="P21" s="13">
        <f>S21+T21</f>
        <v>931000</v>
      </c>
      <c r="Q21" s="3108">
        <f t="shared" si="2"/>
        <v>4.7795584942274063</v>
      </c>
      <c r="R21" s="3108">
        <f>P21/K21%</f>
        <v>112.36660237671659</v>
      </c>
      <c r="S21" s="13">
        <f>'Phụ lục số 2'!AF21</f>
        <v>931000</v>
      </c>
      <c r="T21" s="13">
        <f>'Phụ lục số 2'!AG21</f>
        <v>0</v>
      </c>
      <c r="U21" s="13">
        <f>X21+Y21</f>
        <v>1007000</v>
      </c>
      <c r="V21" s="3108">
        <f t="shared" si="4"/>
        <v>4.9267856374061312</v>
      </c>
      <c r="W21" s="3108">
        <f t="shared" si="5"/>
        <v>108.16326530612245</v>
      </c>
      <c r="X21" s="13">
        <f>'Phụ lục số 2'!AK21</f>
        <v>1007000</v>
      </c>
      <c r="Y21" s="3110">
        <f>'Phụ lục số 2'!AL21</f>
        <v>0</v>
      </c>
    </row>
    <row r="22" spans="1:25" s="3" customFormat="1" ht="20.100000000000001" customHeight="1">
      <c r="A22" s="3106" t="s">
        <v>37</v>
      </c>
      <c r="B22" s="11" t="s">
        <v>41</v>
      </c>
      <c r="C22" s="11">
        <f t="shared" si="9"/>
        <v>78978</v>
      </c>
      <c r="D22" s="11">
        <f>'Phụ lục số 2'!D22</f>
        <v>40000</v>
      </c>
      <c r="E22" s="11">
        <f>'Phụ lục số 2'!E22</f>
        <v>38978</v>
      </c>
      <c r="F22" s="13">
        <f>SUM(I22,J22)</f>
        <v>78978</v>
      </c>
      <c r="G22" s="3108">
        <f t="shared" si="1"/>
        <v>0.45673951722432166</v>
      </c>
      <c r="H22" s="3108">
        <f t="shared" si="0"/>
        <v>100</v>
      </c>
      <c r="I22" s="13">
        <f>'Phụ lục số 2'!S22</f>
        <v>40000</v>
      </c>
      <c r="J22" s="13">
        <f>'Phụ lục số 2'!T22</f>
        <v>38978</v>
      </c>
      <c r="K22" s="13">
        <f t="shared" si="10"/>
        <v>91888</v>
      </c>
      <c r="L22" s="3109">
        <f t="shared" si="6"/>
        <v>0.49329458763893286</v>
      </c>
      <c r="M22" s="3108">
        <f t="shared" si="7"/>
        <v>116.34632429284105</v>
      </c>
      <c r="N22" s="13">
        <f>'Phụ lục số 2'!AA22</f>
        <v>47888</v>
      </c>
      <c r="O22" s="13">
        <f>'Phụ lục số 2'!AB22</f>
        <v>44000</v>
      </c>
      <c r="P22" s="13">
        <f t="shared" ref="P22:P34" si="11">S22+T22</f>
        <v>98000</v>
      </c>
      <c r="Q22" s="3108">
        <f t="shared" si="2"/>
        <v>0.50311142044499024</v>
      </c>
      <c r="R22" s="3108">
        <f t="shared" si="3"/>
        <v>106.65157583144698</v>
      </c>
      <c r="S22" s="13">
        <f>'Phụ lục số 2'!AF22</f>
        <v>54000</v>
      </c>
      <c r="T22" s="13">
        <f>'Phụ lục số 2'!AG22</f>
        <v>44000</v>
      </c>
      <c r="U22" s="13">
        <f t="shared" ref="U22:U34" si="12">X22+Y22</f>
        <v>102000</v>
      </c>
      <c r="V22" s="3108">
        <f t="shared" si="4"/>
        <v>0.49903886297460326</v>
      </c>
      <c r="W22" s="3108">
        <f t="shared" si="5"/>
        <v>104.08163265306122</v>
      </c>
      <c r="X22" s="13">
        <f>'Phụ lục số 2'!AK22</f>
        <v>58000</v>
      </c>
      <c r="Y22" s="3110">
        <f>'Phụ lục số 2'!AL22</f>
        <v>44000</v>
      </c>
    </row>
    <row r="23" spans="1:25" s="3" customFormat="1" ht="20.100000000000001" customHeight="1">
      <c r="A23" s="3106" t="s">
        <v>40</v>
      </c>
      <c r="B23" s="11" t="s">
        <v>43</v>
      </c>
      <c r="C23" s="11">
        <f t="shared" si="9"/>
        <v>42757</v>
      </c>
      <c r="D23" s="11">
        <f>'Phụ lục số 2'!D23</f>
        <v>14000</v>
      </c>
      <c r="E23" s="11">
        <f>'Phụ lục số 2'!E23</f>
        <v>28757</v>
      </c>
      <c r="F23" s="13">
        <f t="shared" ref="F23:F29" si="13">SUM(I23,J23)</f>
        <v>42757</v>
      </c>
      <c r="G23" s="3108">
        <f t="shared" si="1"/>
        <v>0.24726900577325736</v>
      </c>
      <c r="H23" s="3108">
        <f t="shared" si="0"/>
        <v>100</v>
      </c>
      <c r="I23" s="13">
        <f>'Phụ lục số 2'!S23</f>
        <v>14000</v>
      </c>
      <c r="J23" s="13">
        <f>'Phụ lục số 2'!T23</f>
        <v>28757</v>
      </c>
      <c r="K23" s="13">
        <f t="shared" si="10"/>
        <v>50073</v>
      </c>
      <c r="L23" s="3109">
        <f t="shared" si="6"/>
        <v>0.26881355440149185</v>
      </c>
      <c r="M23" s="3108">
        <f t="shared" si="7"/>
        <v>117.11064854877564</v>
      </c>
      <c r="N23" s="13">
        <f>'Phụ lục số 2'!AA23</f>
        <v>18073</v>
      </c>
      <c r="O23" s="13">
        <f>'Phụ lục số 2'!AB23</f>
        <v>32000</v>
      </c>
      <c r="P23" s="13">
        <f t="shared" si="11"/>
        <v>52000</v>
      </c>
      <c r="Q23" s="3108">
        <f t="shared" si="2"/>
        <v>0.26695708023611725</v>
      </c>
      <c r="R23" s="3108">
        <f t="shared" si="3"/>
        <v>103.84838136320971</v>
      </c>
      <c r="S23" s="13">
        <f>'Phụ lục số 2'!AF23</f>
        <v>20000</v>
      </c>
      <c r="T23" s="13">
        <f>'Phụ lục số 2'!AG23</f>
        <v>32000</v>
      </c>
      <c r="U23" s="13">
        <f t="shared" si="12"/>
        <v>54000</v>
      </c>
      <c r="V23" s="3108">
        <f t="shared" si="4"/>
        <v>0.26419704510420172</v>
      </c>
      <c r="W23" s="3108">
        <f t="shared" si="5"/>
        <v>103.84615384615384</v>
      </c>
      <c r="X23" s="13">
        <f>'Phụ lục số 2'!AK23</f>
        <v>22000</v>
      </c>
      <c r="Y23" s="3110">
        <f>'Phụ lục số 2'!AL23</f>
        <v>32000</v>
      </c>
    </row>
    <row r="24" spans="1:25">
      <c r="A24" s="3106" t="s">
        <v>42</v>
      </c>
      <c r="B24" s="11" t="s">
        <v>1287</v>
      </c>
      <c r="C24" s="11">
        <f t="shared" si="9"/>
        <v>38378</v>
      </c>
      <c r="D24" s="11">
        <f>'Phụ lục số 2'!D24</f>
        <v>24000</v>
      </c>
      <c r="E24" s="11">
        <f>'Phụ lục số 2'!E24</f>
        <v>14378</v>
      </c>
      <c r="F24" s="13">
        <f t="shared" si="13"/>
        <v>38378</v>
      </c>
      <c r="G24" s="3108">
        <f t="shared" si="1"/>
        <v>0.22194470855219198</v>
      </c>
      <c r="H24" s="3108">
        <f t="shared" si="0"/>
        <v>100</v>
      </c>
      <c r="I24" s="13">
        <f>'Phụ lục số 2'!S24</f>
        <v>24000</v>
      </c>
      <c r="J24" s="13">
        <f>'Phụ lục số 2'!T24</f>
        <v>14378</v>
      </c>
      <c r="K24" s="13">
        <f t="shared" si="10"/>
        <v>53202</v>
      </c>
      <c r="L24" s="3109">
        <f t="shared" si="6"/>
        <v>0.28561138180792384</v>
      </c>
      <c r="M24" s="3108">
        <f t="shared" si="7"/>
        <v>138.6262963155975</v>
      </c>
      <c r="N24" s="13">
        <f>'Phụ lục số 2'!AA24</f>
        <v>37202</v>
      </c>
      <c r="O24" s="13">
        <f>'Phụ lục số 2'!AB24</f>
        <v>16000</v>
      </c>
      <c r="P24" s="13">
        <f t="shared" si="11"/>
        <v>58000</v>
      </c>
      <c r="Q24" s="3108">
        <f t="shared" si="2"/>
        <v>0.29775982026336151</v>
      </c>
      <c r="R24" s="3108">
        <f t="shared" si="3"/>
        <v>109.01845795270854</v>
      </c>
      <c r="S24" s="13">
        <f>'Phụ lục số 2'!AF24</f>
        <v>42000</v>
      </c>
      <c r="T24" s="13">
        <f>'Phụ lục số 2'!AG24</f>
        <v>16000</v>
      </c>
      <c r="U24" s="13">
        <f t="shared" si="12"/>
        <v>61000</v>
      </c>
      <c r="V24" s="3108">
        <f t="shared" si="4"/>
        <v>0.29844481021030189</v>
      </c>
      <c r="W24" s="3108">
        <f t="shared" si="5"/>
        <v>105.17241379310344</v>
      </c>
      <c r="X24" s="13">
        <f>'Phụ lục số 2'!AK24</f>
        <v>45000</v>
      </c>
      <c r="Y24" s="3110">
        <f>'Phụ lục số 2'!AL24</f>
        <v>16000</v>
      </c>
    </row>
    <row r="25" spans="1:25">
      <c r="A25" s="3106" t="s">
        <v>44</v>
      </c>
      <c r="B25" s="11" t="s">
        <v>46</v>
      </c>
      <c r="C25" s="11">
        <f t="shared" si="9"/>
        <v>539140</v>
      </c>
      <c r="D25" s="11">
        <f>'Phụ lục số 2'!D25</f>
        <v>75000</v>
      </c>
      <c r="E25" s="11">
        <f>'Phụ lục số 2'!E25</f>
        <v>464140</v>
      </c>
      <c r="F25" s="13">
        <f t="shared" si="13"/>
        <v>539140</v>
      </c>
      <c r="G25" s="3108">
        <f t="shared" si="1"/>
        <v>3.1179131317116258</v>
      </c>
      <c r="H25" s="3108">
        <f t="shared" si="0"/>
        <v>100</v>
      </c>
      <c r="I25" s="13">
        <f>'Phụ lục số 2'!S25</f>
        <v>75000</v>
      </c>
      <c r="J25" s="13">
        <f>'Phụ lục số 2'!T25</f>
        <v>464140</v>
      </c>
      <c r="K25" s="13">
        <f t="shared" si="10"/>
        <v>601385</v>
      </c>
      <c r="L25" s="3109">
        <f t="shared" si="6"/>
        <v>3.2284951853042796</v>
      </c>
      <c r="M25" s="3108">
        <f t="shared" si="7"/>
        <v>111.54523871350671</v>
      </c>
      <c r="N25" s="13">
        <f>'Phụ lục số 2'!AA25</f>
        <v>77385</v>
      </c>
      <c r="O25" s="13">
        <f>'Phụ lục số 2'!AB25</f>
        <v>524000</v>
      </c>
      <c r="P25" s="13">
        <f t="shared" si="11"/>
        <v>611000</v>
      </c>
      <c r="Q25" s="3108">
        <f t="shared" si="2"/>
        <v>3.1367456927743778</v>
      </c>
      <c r="R25" s="3108">
        <f t="shared" si="3"/>
        <v>101.59880941493385</v>
      </c>
      <c r="S25" s="13">
        <f>'Phụ lục số 2'!AF25</f>
        <v>87000</v>
      </c>
      <c r="T25" s="13">
        <f>'Phụ lục số 2'!AG25</f>
        <v>524000</v>
      </c>
      <c r="U25" s="13">
        <f t="shared" si="12"/>
        <v>618000</v>
      </c>
      <c r="V25" s="3108">
        <f t="shared" si="4"/>
        <v>3.0235884050814192</v>
      </c>
      <c r="W25" s="3108">
        <f t="shared" si="5"/>
        <v>101.1456628477905</v>
      </c>
      <c r="X25" s="13">
        <f>'Phụ lục số 2'!AK25</f>
        <v>94000</v>
      </c>
      <c r="Y25" s="3110">
        <f>'Phụ lục số 2'!AL25</f>
        <v>524000</v>
      </c>
    </row>
    <row r="26" spans="1:25" s="3" customFormat="1">
      <c r="A26" s="3101">
        <v>4</v>
      </c>
      <c r="B26" s="17" t="s">
        <v>47</v>
      </c>
      <c r="C26" s="17">
        <f t="shared" si="9"/>
        <v>1388540</v>
      </c>
      <c r="D26" s="17">
        <f>'Phụ lục số 2'!D26</f>
        <v>455000</v>
      </c>
      <c r="E26" s="11">
        <f>'Phụ lục số 2'!E26</f>
        <v>933540</v>
      </c>
      <c r="F26" s="14">
        <f t="shared" si="13"/>
        <v>1388540</v>
      </c>
      <c r="G26" s="3103">
        <f t="shared" si="1"/>
        <v>8.0300981190541609</v>
      </c>
      <c r="H26" s="3103">
        <f t="shared" si="0"/>
        <v>100</v>
      </c>
      <c r="I26" s="14">
        <f>'Phụ lục số 2'!S26</f>
        <v>455000</v>
      </c>
      <c r="J26" s="14">
        <f>'Phụ lục số 2'!T26</f>
        <v>933540</v>
      </c>
      <c r="K26" s="14">
        <f t="shared" si="10"/>
        <v>1570458</v>
      </c>
      <c r="L26" s="3104">
        <f t="shared" si="6"/>
        <v>8.4308988280761703</v>
      </c>
      <c r="M26" s="3103">
        <f t="shared" si="7"/>
        <v>113.10138706843159</v>
      </c>
      <c r="N26" s="14">
        <f>'Phụ lục số 2'!AA26</f>
        <v>515458</v>
      </c>
      <c r="O26" s="14">
        <f>'Phụ lục số 2'!AB26</f>
        <v>1055000</v>
      </c>
      <c r="P26" s="14">
        <f t="shared" si="11"/>
        <v>1634000</v>
      </c>
      <c r="Q26" s="3103">
        <f t="shared" si="2"/>
        <v>8.3886128674195302</v>
      </c>
      <c r="R26" s="3103">
        <f t="shared" si="3"/>
        <v>104.04608082482945</v>
      </c>
      <c r="S26" s="14">
        <f>'Phụ lục số 2'!AF26</f>
        <v>579000</v>
      </c>
      <c r="T26" s="14">
        <f>'Phụ lục số 2'!AG26</f>
        <v>1055000</v>
      </c>
      <c r="U26" s="14">
        <f t="shared" si="12"/>
        <v>1681000</v>
      </c>
      <c r="V26" s="3103">
        <f t="shared" si="4"/>
        <v>8.2243561633363527</v>
      </c>
      <c r="W26" s="3103">
        <f t="shared" si="5"/>
        <v>102.87637698898409</v>
      </c>
      <c r="X26" s="14">
        <f>'Phụ lục số 2'!AK26</f>
        <v>626000</v>
      </c>
      <c r="Y26" s="3105">
        <f>'Phụ lục số 2'!AL26</f>
        <v>1055000</v>
      </c>
    </row>
    <row r="27" spans="1:25" s="3" customFormat="1">
      <c r="A27" s="3101">
        <v>5</v>
      </c>
      <c r="B27" s="17" t="s">
        <v>48</v>
      </c>
      <c r="C27" s="17">
        <f t="shared" si="9"/>
        <v>326504</v>
      </c>
      <c r="D27" s="17">
        <f>'Phụ lục số 2'!D27</f>
        <v>140000</v>
      </c>
      <c r="E27" s="11">
        <f>'Phụ lục số 2'!E27</f>
        <v>186504</v>
      </c>
      <c r="F27" s="14">
        <f>I27+J27</f>
        <v>326504</v>
      </c>
      <c r="G27" s="3103">
        <f t="shared" si="1"/>
        <v>1.8882129115932276</v>
      </c>
      <c r="H27" s="3103">
        <f t="shared" si="0"/>
        <v>100</v>
      </c>
      <c r="I27" s="14">
        <f>'Phụ lục số 2'!S27</f>
        <v>140000</v>
      </c>
      <c r="J27" s="14">
        <f>'Phụ lục số 2'!T27</f>
        <v>186504</v>
      </c>
      <c r="K27" s="14">
        <f t="shared" si="10"/>
        <v>367327</v>
      </c>
      <c r="L27" s="3104">
        <f t="shared" si="6"/>
        <v>1.9719704530912228</v>
      </c>
      <c r="M27" s="3103">
        <f t="shared" si="7"/>
        <v>112.50306274961409</v>
      </c>
      <c r="N27" s="14">
        <f>'Phụ lục số 2'!AA27</f>
        <v>148327</v>
      </c>
      <c r="O27" s="14">
        <f>'Phụ lục số 2'!AB27</f>
        <v>219000</v>
      </c>
      <c r="P27" s="14">
        <f t="shared" si="11"/>
        <v>386000</v>
      </c>
      <c r="Q27" s="3103">
        <f t="shared" si="2"/>
        <v>1.9816429417527166</v>
      </c>
      <c r="R27" s="3103">
        <f t="shared" si="3"/>
        <v>105.08348147563343</v>
      </c>
      <c r="S27" s="14">
        <f>'Phụ lục số 2'!AF27</f>
        <v>167000</v>
      </c>
      <c r="T27" s="14">
        <f>'Phụ lục số 2'!AG27</f>
        <v>219000</v>
      </c>
      <c r="U27" s="14">
        <f t="shared" si="12"/>
        <v>400000</v>
      </c>
      <c r="V27" s="3103">
        <f t="shared" si="4"/>
        <v>1.9570151489200125</v>
      </c>
      <c r="W27" s="3103">
        <f t="shared" si="5"/>
        <v>103.62694300518135</v>
      </c>
      <c r="X27" s="14">
        <f>'Phụ lục số 2'!AK27</f>
        <v>181000</v>
      </c>
      <c r="Y27" s="3105">
        <f>'Phụ lục số 2'!AL27</f>
        <v>219000</v>
      </c>
    </row>
    <row r="28" spans="1:25" s="3" customFormat="1">
      <c r="A28" s="3101">
        <v>6</v>
      </c>
      <c r="B28" s="17" t="s">
        <v>90</v>
      </c>
      <c r="C28" s="17">
        <f t="shared" si="9"/>
        <v>48511</v>
      </c>
      <c r="D28" s="17">
        <f>'Phụ lục số 2'!D28</f>
        <v>20000</v>
      </c>
      <c r="E28" s="11">
        <f>'Phụ lục số 2'!E28</f>
        <v>28511</v>
      </c>
      <c r="F28" s="14">
        <f t="shared" si="13"/>
        <v>48511</v>
      </c>
      <c r="G28" s="3103">
        <f t="shared" si="1"/>
        <v>0.28054509762299712</v>
      </c>
      <c r="H28" s="3103">
        <f t="shared" si="0"/>
        <v>100</v>
      </c>
      <c r="I28" s="14">
        <f>'Phụ lục số 2'!S28</f>
        <v>20000</v>
      </c>
      <c r="J28" s="14">
        <f>'Phụ lục số 2'!T28</f>
        <v>28511</v>
      </c>
      <c r="K28" s="14">
        <f t="shared" si="10"/>
        <v>52000</v>
      </c>
      <c r="L28" s="3104">
        <f t="shared" si="6"/>
        <v>0.27915852513086048</v>
      </c>
      <c r="M28" s="3103">
        <f t="shared" si="7"/>
        <v>107.19218321617777</v>
      </c>
      <c r="N28" s="14">
        <f>'Phụ lục số 2'!AA28</f>
        <v>20000</v>
      </c>
      <c r="O28" s="14">
        <f>'Phụ lục số 2'!AB28</f>
        <v>32000</v>
      </c>
      <c r="P28" s="14">
        <f t="shared" si="11"/>
        <v>54000</v>
      </c>
      <c r="Q28" s="3103">
        <f t="shared" si="2"/>
        <v>0.27722466024519865</v>
      </c>
      <c r="R28" s="3103">
        <f t="shared" si="3"/>
        <v>103.84615384615384</v>
      </c>
      <c r="S28" s="14">
        <f>'Phụ lục số 2'!AF28</f>
        <v>22000</v>
      </c>
      <c r="T28" s="14">
        <f>'Phụ lục số 2'!AG28</f>
        <v>32000</v>
      </c>
      <c r="U28" s="14">
        <f t="shared" si="12"/>
        <v>56000</v>
      </c>
      <c r="V28" s="3103">
        <f t="shared" si="4"/>
        <v>0.27398212084880175</v>
      </c>
      <c r="W28" s="3103">
        <f t="shared" si="5"/>
        <v>103.70370370370371</v>
      </c>
      <c r="X28" s="14">
        <f>'Phụ lục số 2'!AK28</f>
        <v>24000</v>
      </c>
      <c r="Y28" s="3105">
        <f>'Phụ lục số 2'!AL28</f>
        <v>32000</v>
      </c>
    </row>
    <row r="29" spans="1:25" s="3" customFormat="1">
      <c r="A29" s="3112" t="s">
        <v>49</v>
      </c>
      <c r="B29" s="17" t="s">
        <v>65</v>
      </c>
      <c r="C29" s="17">
        <f t="shared" si="9"/>
        <v>2000</v>
      </c>
      <c r="D29" s="17">
        <f>'Phụ lục số 2'!D29</f>
        <v>2000</v>
      </c>
      <c r="E29" s="11">
        <f>'Phụ lục số 2'!E29</f>
        <v>0</v>
      </c>
      <c r="F29" s="14">
        <f t="shared" si="13"/>
        <v>2000</v>
      </c>
      <c r="G29" s="3103">
        <f t="shared" si="1"/>
        <v>1.1566246732617226E-2</v>
      </c>
      <c r="H29" s="3103">
        <f t="shared" si="0"/>
        <v>100</v>
      </c>
      <c r="I29" s="14">
        <f>'Phụ lục số 2'!S29</f>
        <v>2000</v>
      </c>
      <c r="J29" s="14">
        <f>'Phụ lục số 2'!T29</f>
        <v>0</v>
      </c>
      <c r="K29" s="14">
        <f>+N29</f>
        <v>2000</v>
      </c>
      <c r="L29" s="3113">
        <f t="shared" si="6"/>
        <v>1.0736866351186942E-2</v>
      </c>
      <c r="M29" s="3103">
        <f t="shared" si="7"/>
        <v>100</v>
      </c>
      <c r="N29" s="14">
        <f>'Phụ lục số 2'!AA29</f>
        <v>2000</v>
      </c>
      <c r="O29" s="14">
        <f>'Phụ lục số 2'!AB29</f>
        <v>0</v>
      </c>
      <c r="P29" s="14">
        <f t="shared" si="11"/>
        <v>2000</v>
      </c>
      <c r="Q29" s="3103">
        <f t="shared" si="2"/>
        <v>1.0267580009081432E-2</v>
      </c>
      <c r="R29" s="3103">
        <f t="shared" si="3"/>
        <v>100</v>
      </c>
      <c r="S29" s="14">
        <f>'Phụ lục số 2'!AF29</f>
        <v>2000</v>
      </c>
      <c r="T29" s="14">
        <f>'Phụ lục số 2'!AG29</f>
        <v>0</v>
      </c>
      <c r="U29" s="14">
        <f t="shared" si="12"/>
        <v>2000</v>
      </c>
      <c r="V29" s="3103">
        <f t="shared" si="4"/>
        <v>9.7850757446000629E-3</v>
      </c>
      <c r="W29" s="3103">
        <f t="shared" si="5"/>
        <v>100</v>
      </c>
      <c r="X29" s="14">
        <f>'Phụ lục số 2'!AK29</f>
        <v>2000</v>
      </c>
      <c r="Y29" s="3105">
        <f>'Phụ lục số 2'!AL29</f>
        <v>0</v>
      </c>
    </row>
    <row r="30" spans="1:25" s="3" customFormat="1" ht="17.399999999999999">
      <c r="A30" s="3112" t="s">
        <v>50</v>
      </c>
      <c r="B30" s="17" t="s">
        <v>87</v>
      </c>
      <c r="C30" s="17">
        <f t="shared" si="9"/>
        <v>274623</v>
      </c>
      <c r="D30" s="17">
        <f>'Phụ lục số 2'!D30</f>
        <v>135382</v>
      </c>
      <c r="E30" s="17">
        <f>'Phụ lục số 2'!E30</f>
        <v>139241</v>
      </c>
      <c r="F30" s="14">
        <f>I30+J30</f>
        <v>274623</v>
      </c>
      <c r="G30" s="3103">
        <f t="shared" si="1"/>
        <v>1.5881786882257702</v>
      </c>
      <c r="H30" s="3103">
        <f t="shared" si="0"/>
        <v>100</v>
      </c>
      <c r="I30" s="14">
        <f>'Phụ lục số 2'!S30</f>
        <v>135382</v>
      </c>
      <c r="J30" s="14">
        <f>'Phụ lục số 2'!T30</f>
        <v>139241</v>
      </c>
      <c r="K30" s="14">
        <f t="shared" si="10"/>
        <v>327868.91231904214</v>
      </c>
      <c r="L30" s="3104">
        <f t="shared" si="6"/>
        <v>1.7601423461392924</v>
      </c>
      <c r="M30" s="3103">
        <f t="shared" si="7"/>
        <v>119.38873012058063</v>
      </c>
      <c r="N30" s="14">
        <f>'Phụ lục số 2'!AA30</f>
        <v>152264.36799999999</v>
      </c>
      <c r="O30" s="14">
        <f>'Phụ lục số 2'!AB30</f>
        <v>175604.54431904212</v>
      </c>
      <c r="P30" s="14">
        <f t="shared" si="11"/>
        <v>347000</v>
      </c>
      <c r="Q30" s="3103">
        <f t="shared" si="2"/>
        <v>1.7814251315756287</v>
      </c>
      <c r="R30" s="3103">
        <f t="shared" si="3"/>
        <v>105.83498067738176</v>
      </c>
      <c r="S30" s="14">
        <f>'Phụ lục số 2'!AF30</f>
        <v>171000</v>
      </c>
      <c r="T30" s="14">
        <f>'Phụ lục số 2'!AG30</f>
        <v>176000</v>
      </c>
      <c r="U30" s="14">
        <f t="shared" si="12"/>
        <v>361000</v>
      </c>
      <c r="V30" s="3103">
        <f t="shared" si="4"/>
        <v>1.7662061719003113</v>
      </c>
      <c r="W30" s="3103"/>
      <c r="X30" s="14">
        <f>'Phụ lục số 2'!AK30</f>
        <v>185000</v>
      </c>
      <c r="Y30" s="3105">
        <f>'Phụ lục số 2'!AL30</f>
        <v>176000</v>
      </c>
    </row>
    <row r="31" spans="1:25" s="3" customFormat="1">
      <c r="A31" s="3112" t="s">
        <v>72</v>
      </c>
      <c r="B31" s="56" t="s">
        <v>146</v>
      </c>
      <c r="C31" s="17">
        <f t="shared" si="9"/>
        <v>0</v>
      </c>
      <c r="D31" s="17">
        <f>'Phụ lục số 2'!D31</f>
        <v>0</v>
      </c>
      <c r="E31" s="17">
        <f>'Phụ lục số 2'!E31</f>
        <v>0</v>
      </c>
      <c r="F31" s="14">
        <f>I31+J31</f>
        <v>431000</v>
      </c>
      <c r="G31" s="3103"/>
      <c r="H31" s="3103"/>
      <c r="I31" s="14">
        <f>'Phụ lục số 2'!S31</f>
        <v>89700</v>
      </c>
      <c r="J31" s="14">
        <f>'Phụ lục số 2'!T31</f>
        <v>341300</v>
      </c>
      <c r="K31" s="14">
        <f t="shared" si="10"/>
        <v>0</v>
      </c>
      <c r="L31" s="3104"/>
      <c r="M31" s="3103"/>
      <c r="N31" s="13">
        <f>'Phụ lục số 2'!AA31</f>
        <v>0</v>
      </c>
      <c r="O31" s="13">
        <f>'Phụ lục số 2'!AB31</f>
        <v>0</v>
      </c>
      <c r="P31" s="14">
        <f t="shared" si="11"/>
        <v>0</v>
      </c>
      <c r="Q31" s="3103"/>
      <c r="R31" s="3103"/>
      <c r="S31" s="14">
        <f>'Phụ lục số 2'!AF31</f>
        <v>0</v>
      </c>
      <c r="T31" s="14">
        <f>'Phụ lục số 2'!AG31</f>
        <v>0</v>
      </c>
      <c r="U31" s="14">
        <f t="shared" si="12"/>
        <v>0</v>
      </c>
      <c r="V31" s="3103">
        <f t="shared" si="4"/>
        <v>0</v>
      </c>
      <c r="W31" s="3103"/>
      <c r="X31" s="14">
        <f>'Phụ lục số 2'!AK31</f>
        <v>0</v>
      </c>
      <c r="Y31" s="3105">
        <f>'Phụ lục số 2'!AL31</f>
        <v>0</v>
      </c>
    </row>
    <row r="32" spans="1:25" s="3" customFormat="1" ht="17.399999999999999">
      <c r="A32" s="3112" t="s">
        <v>100</v>
      </c>
      <c r="B32" s="76" t="s">
        <v>228</v>
      </c>
      <c r="C32" s="17">
        <f t="shared" si="9"/>
        <v>0</v>
      </c>
      <c r="D32" s="17">
        <f>'Phụ lục số 2'!D32</f>
        <v>0</v>
      </c>
      <c r="E32" s="17">
        <f>'Phụ lục số 2'!E32</f>
        <v>0</v>
      </c>
      <c r="F32" s="14">
        <f t="shared" ref="F32:F34" si="14">I32+J32</f>
        <v>357489.34666666656</v>
      </c>
      <c r="G32" s="3103"/>
      <c r="H32" s="3103"/>
      <c r="I32" s="14">
        <f>'Phụ lục số 2'!S32</f>
        <v>0</v>
      </c>
      <c r="J32" s="14">
        <f>'Phụ lục số 2'!T32</f>
        <v>357489.34666666656</v>
      </c>
      <c r="K32" s="14">
        <f t="shared" si="10"/>
        <v>717399.2</v>
      </c>
      <c r="L32" s="3104"/>
      <c r="M32" s="3103"/>
      <c r="N32" s="14">
        <f>'Phụ lục số 2'!AA32</f>
        <v>79139.200000000012</v>
      </c>
      <c r="O32" s="14">
        <f>'Phụ lục số 2'!AB32</f>
        <v>638260</v>
      </c>
      <c r="P32" s="14">
        <f t="shared" si="11"/>
        <v>881301.31019487511</v>
      </c>
      <c r="Q32" s="3103"/>
      <c r="R32" s="3103"/>
      <c r="S32" s="14">
        <f>'Phụ lục số 2'!AF32</f>
        <v>565518.00845279661</v>
      </c>
      <c r="T32" s="14">
        <f>'Phụ lục số 2'!AG32</f>
        <v>315783.30174207845</v>
      </c>
      <c r="U32" s="14">
        <f t="shared" si="12"/>
        <v>1235804.6166233711</v>
      </c>
      <c r="V32" s="3103"/>
      <c r="W32" s="3103"/>
      <c r="X32" s="14">
        <f>'Phụ lục số 2'!AK32</f>
        <v>1038397.953674953</v>
      </c>
      <c r="Y32" s="3105">
        <f>'Phụ lục số 2'!AL32</f>
        <v>197406.66294841812</v>
      </c>
    </row>
    <row r="33" spans="1:25" s="3" customFormat="1">
      <c r="A33" s="3112" t="s">
        <v>151</v>
      </c>
      <c r="B33" s="76" t="s">
        <v>231</v>
      </c>
      <c r="C33" s="17">
        <f t="shared" si="9"/>
        <v>0</v>
      </c>
      <c r="D33" s="17">
        <f>'Phụ lục số 2'!D33</f>
        <v>0</v>
      </c>
      <c r="E33" s="17">
        <f>'Phụ lục số 2'!E33</f>
        <v>0</v>
      </c>
      <c r="F33" s="14">
        <f t="shared" si="14"/>
        <v>153209.71999999997</v>
      </c>
      <c r="G33" s="3103"/>
      <c r="H33" s="3103"/>
      <c r="I33" s="14">
        <f>'Phụ lục số 2'!S33</f>
        <v>0</v>
      </c>
      <c r="J33" s="14">
        <f>'Phụ lục số 2'!T33</f>
        <v>153209.71999999997</v>
      </c>
      <c r="K33" s="14">
        <f t="shared" si="10"/>
        <v>0</v>
      </c>
      <c r="L33" s="3104"/>
      <c r="M33" s="3103"/>
      <c r="N33" s="13">
        <f>'Phụ lục số 2'!AA33</f>
        <v>0</v>
      </c>
      <c r="O33" s="13">
        <f>'Phụ lục số 2'!AB33</f>
        <v>0</v>
      </c>
      <c r="P33" s="14">
        <f t="shared" si="11"/>
        <v>0</v>
      </c>
      <c r="Q33" s="3103"/>
      <c r="R33" s="3103"/>
      <c r="S33" s="14">
        <f>'Phụ lục số 2'!AF33</f>
        <v>0</v>
      </c>
      <c r="T33" s="14">
        <f>'Phụ lục số 2'!AG33</f>
        <v>0</v>
      </c>
      <c r="U33" s="14">
        <f t="shared" si="12"/>
        <v>0</v>
      </c>
      <c r="V33" s="3103"/>
      <c r="W33" s="3103"/>
      <c r="X33" s="14">
        <f>'Phụ lục số 2'!AK33</f>
        <v>0</v>
      </c>
      <c r="Y33" s="3105">
        <f>'Phụ lục số 2'!AL33</f>
        <v>0</v>
      </c>
    </row>
    <row r="34" spans="1:25" s="3" customFormat="1">
      <c r="A34" s="3112" t="s">
        <v>229</v>
      </c>
      <c r="B34" s="17" t="s">
        <v>126</v>
      </c>
      <c r="C34" s="17">
        <f t="shared" si="9"/>
        <v>0</v>
      </c>
      <c r="D34" s="17">
        <f>'Phụ lục số 2'!D34</f>
        <v>0</v>
      </c>
      <c r="E34" s="17">
        <f>'Phụ lục số 2'!E34</f>
        <v>0</v>
      </c>
      <c r="F34" s="14">
        <f t="shared" si="14"/>
        <v>0</v>
      </c>
      <c r="G34" s="3103"/>
      <c r="H34" s="3103"/>
      <c r="I34" s="14">
        <f>'Phụ lục số 2'!S34</f>
        <v>0</v>
      </c>
      <c r="J34" s="14">
        <f>'Phụ lục số 2'!T34</f>
        <v>0</v>
      </c>
      <c r="K34" s="14">
        <f t="shared" si="10"/>
        <v>3000</v>
      </c>
      <c r="L34" s="3104"/>
      <c r="M34" s="3103"/>
      <c r="N34" s="14">
        <f>'Phụ lục số 2'!AA34</f>
        <v>3000</v>
      </c>
      <c r="O34" s="13">
        <f>'Phụ lục số 2'!AB34</f>
        <v>0</v>
      </c>
      <c r="P34" s="14">
        <f t="shared" si="11"/>
        <v>3000</v>
      </c>
      <c r="Q34" s="3103"/>
      <c r="R34" s="3103"/>
      <c r="S34" s="14">
        <f>'Phụ lục số 2'!AF34</f>
        <v>3000</v>
      </c>
      <c r="T34" s="14">
        <f>'Phụ lục số 2'!AG34</f>
        <v>0</v>
      </c>
      <c r="U34" s="14">
        <f t="shared" si="12"/>
        <v>3000</v>
      </c>
      <c r="V34" s="3103"/>
      <c r="W34" s="3103"/>
      <c r="X34" s="14">
        <f>'Phụ lục số 2'!AK34</f>
        <v>3000</v>
      </c>
      <c r="Y34" s="3105">
        <f>'Phụ lục số 2'!AL34</f>
        <v>0</v>
      </c>
    </row>
    <row r="35" spans="1:25" s="2210" customFormat="1" ht="17.399999999999999">
      <c r="A35" s="3097" t="s">
        <v>22</v>
      </c>
      <c r="B35" s="29" t="s">
        <v>51</v>
      </c>
      <c r="C35" s="29">
        <f t="shared" si="9"/>
        <v>2597007</v>
      </c>
      <c r="D35" s="29">
        <f>SUM(D36:D37)</f>
        <v>2597007</v>
      </c>
      <c r="E35" s="29">
        <f>SUM(E36:E37)</f>
        <v>0</v>
      </c>
      <c r="F35" s="18">
        <f>SUM(F36:F37)</f>
        <v>2597007</v>
      </c>
      <c r="G35" s="3098">
        <f t="shared" si="1"/>
        <v>15.018811864167031</v>
      </c>
      <c r="H35" s="3098">
        <f t="shared" si="0"/>
        <v>100</v>
      </c>
      <c r="I35" s="18">
        <f>SUM(I36:I37)</f>
        <v>2597007</v>
      </c>
      <c r="J35" s="18">
        <f>SUM(J36:J37)</f>
        <v>0</v>
      </c>
      <c r="K35" s="18">
        <f>N35+O35</f>
        <v>1988976</v>
      </c>
      <c r="L35" s="3099">
        <f>K35/$K$7*100</f>
        <v>10.677684743859199</v>
      </c>
      <c r="M35" s="3098">
        <f>K35/C35%</f>
        <v>76.587240619682575</v>
      </c>
      <c r="N35" s="18">
        <f>SUM(N36:N37)</f>
        <v>1988976</v>
      </c>
      <c r="O35" s="18">
        <f>SUM(O36:O37)</f>
        <v>0</v>
      </c>
      <c r="P35" s="18">
        <f>S35+T35</f>
        <v>2379485.2999999998</v>
      </c>
      <c r="Q35" s="3098">
        <f>P35/$K$7*100</f>
        <v>12.774107825356982</v>
      </c>
      <c r="R35" s="3098"/>
      <c r="S35" s="18">
        <f>SUM(S36:S37)</f>
        <v>2379485.2999999998</v>
      </c>
      <c r="T35" s="18">
        <f>SUM(T36:T37)</f>
        <v>0</v>
      </c>
      <c r="U35" s="18">
        <f>X35+Y35</f>
        <v>2379485.2999999998</v>
      </c>
      <c r="V35" s="3098">
        <f t="shared" si="4"/>
        <v>11.641721946831201</v>
      </c>
      <c r="W35" s="3098"/>
      <c r="X35" s="18">
        <f>SUM(X36:X37)</f>
        <v>2379485.2999999998</v>
      </c>
      <c r="Y35" s="3100">
        <f>SUM(Y36:Y37)</f>
        <v>0</v>
      </c>
    </row>
    <row r="36" spans="1:25" ht="54">
      <c r="A36" s="3114" t="s">
        <v>9</v>
      </c>
      <c r="B36" s="12" t="str">
        <f>'Phụ lục số 2'!B36</f>
        <v>Chi thực hiện mục tiêu, nhiệm vụ quan trọng (vốn đầu tư phát triển)</v>
      </c>
      <c r="C36" s="11">
        <f t="shared" si="9"/>
        <v>2417971</v>
      </c>
      <c r="D36" s="11">
        <f>'Phụ lục số 2'!D36</f>
        <v>2417971</v>
      </c>
      <c r="E36" s="11">
        <f>'Phụ lục số 2'!E36</f>
        <v>0</v>
      </c>
      <c r="F36" s="13">
        <f>SUM(I36,J36)</f>
        <v>2417971</v>
      </c>
      <c r="G36" s="3108"/>
      <c r="H36" s="3108"/>
      <c r="I36" s="13">
        <f>'Phụ lục số 2'!S36</f>
        <v>2417971</v>
      </c>
      <c r="J36" s="13">
        <f>'Phụ lục số 2'!T36</f>
        <v>0</v>
      </c>
      <c r="K36" s="13">
        <f>N36+O36</f>
        <v>1814491</v>
      </c>
      <c r="L36" s="3109">
        <f>K36/$K$7*100</f>
        <v>9.7409736812157721</v>
      </c>
      <c r="M36" s="3108"/>
      <c r="N36" s="13">
        <f>'Phụ lục số 2'!AA36</f>
        <v>1814491</v>
      </c>
      <c r="O36" s="13">
        <f>'Phụ lục số 2'!AB36</f>
        <v>0</v>
      </c>
      <c r="P36" s="13">
        <f>SUM(S36:T36)</f>
        <v>2205000</v>
      </c>
      <c r="Q36" s="3108">
        <f>P36/$K$7*100</f>
        <v>11.837395152183603</v>
      </c>
      <c r="R36" s="3108"/>
      <c r="S36" s="13">
        <f>'Phụ lục số 2'!AF36</f>
        <v>2205000</v>
      </c>
      <c r="T36" s="13">
        <f>'Phụ lục số 2'!AG36</f>
        <v>0</v>
      </c>
      <c r="U36" s="13">
        <f>SUM(X36:Y36)</f>
        <v>2205000</v>
      </c>
      <c r="V36" s="3108">
        <f>U36/$K$7*100</f>
        <v>11.837395152183603</v>
      </c>
      <c r="W36" s="3108"/>
      <c r="X36" s="13">
        <f>'Phụ lục số 2'!AK36</f>
        <v>2205000</v>
      </c>
      <c r="Y36" s="3110">
        <f>'Phụ lục số 2'!AL36</f>
        <v>0</v>
      </c>
    </row>
    <row r="37" spans="1:25" ht="49.5" customHeight="1">
      <c r="A37" s="3114" t="s">
        <v>20</v>
      </c>
      <c r="B37" s="12" t="str">
        <f>'Phụ lục số 2'!B37</f>
        <v>Chi thực hiện mục tiêu, nhiệm vụ quan trọng (kinh phí sự nghiệp)</v>
      </c>
      <c r="C37" s="11">
        <f t="shared" si="9"/>
        <v>179036</v>
      </c>
      <c r="D37" s="11">
        <f>'Phụ lục số 2'!D37</f>
        <v>179036</v>
      </c>
      <c r="E37" s="11">
        <f>'Phụ lục số 2'!E37</f>
        <v>0</v>
      </c>
      <c r="F37" s="13">
        <f>SUM(I37,J37)</f>
        <v>179036</v>
      </c>
      <c r="G37" s="3108"/>
      <c r="H37" s="3108"/>
      <c r="I37" s="13">
        <f>'Phụ lục số 2'!S37</f>
        <v>179036</v>
      </c>
      <c r="J37" s="13">
        <f>'Phụ lục số 2'!T37</f>
        <v>0</v>
      </c>
      <c r="K37" s="13">
        <f>N37+O37</f>
        <v>174485</v>
      </c>
      <c r="L37" s="3109">
        <f>K37/$K$7*100</f>
        <v>0.93671106264342674</v>
      </c>
      <c r="M37" s="3108"/>
      <c r="N37" s="13">
        <f>'Phụ lục số 2'!AA37</f>
        <v>174485</v>
      </c>
      <c r="O37" s="13">
        <f>'Phụ lục số 2'!AB37</f>
        <v>0</v>
      </c>
      <c r="P37" s="13">
        <f t="shared" ref="P37:P38" si="15">SUM(S37:T37)</f>
        <v>174485.3</v>
      </c>
      <c r="Q37" s="3108">
        <f>P37/$K$7*100</f>
        <v>0.93671267317337936</v>
      </c>
      <c r="R37" s="3108"/>
      <c r="S37" s="13">
        <f>'Phụ lục số 2'!AF37</f>
        <v>174485.3</v>
      </c>
      <c r="T37" s="13">
        <f>'Phụ lục số 2'!AG37</f>
        <v>0</v>
      </c>
      <c r="U37" s="13">
        <f t="shared" ref="U37:U38" si="16">SUM(X37:Y37)</f>
        <v>174485.3</v>
      </c>
      <c r="V37" s="3108">
        <f>U37/$K$7*100</f>
        <v>0.93671267317337936</v>
      </c>
      <c r="W37" s="3108"/>
      <c r="X37" s="13">
        <f>'Phụ lục số 2'!AK37</f>
        <v>174485.3</v>
      </c>
      <c r="Y37" s="3110">
        <f>'Phụ lục số 2'!AL37</f>
        <v>0</v>
      </c>
    </row>
    <row r="38" spans="1:25" ht="54">
      <c r="A38" s="3115" t="s">
        <v>49</v>
      </c>
      <c r="B38" s="206" t="str">
        <f>'Phụ lục số 2'!B38</f>
        <v>Chi bổ sung có mục tiêu nhiệm vụ quan trọng khác (nếu có)</v>
      </c>
      <c r="C38" s="3116"/>
      <c r="D38" s="11">
        <f>'Phụ lục số 2'!D38</f>
        <v>0</v>
      </c>
      <c r="E38" s="11">
        <f>'Phụ lục số 2'!E38</f>
        <v>0</v>
      </c>
      <c r="F38" s="1416"/>
      <c r="G38" s="3117"/>
      <c r="H38" s="3117"/>
      <c r="I38" s="13">
        <f>'Phụ lục số 2'!S38</f>
        <v>0</v>
      </c>
      <c r="J38" s="13">
        <f>'Phụ lục số 2'!T38</f>
        <v>0</v>
      </c>
      <c r="K38" s="1416"/>
      <c r="L38" s="3118"/>
      <c r="M38" s="3117"/>
      <c r="N38" s="13">
        <f>'Phụ lục số 2'!AA38</f>
        <v>0</v>
      </c>
      <c r="O38" s="13">
        <f>'Phụ lục số 2'!AB38</f>
        <v>0</v>
      </c>
      <c r="P38" s="13">
        <f t="shared" si="15"/>
        <v>0</v>
      </c>
      <c r="Q38" s="3117"/>
      <c r="R38" s="3117"/>
      <c r="S38" s="13">
        <f>'Phụ lục số 2'!AF38</f>
        <v>0</v>
      </c>
      <c r="T38" s="13">
        <f>'Phụ lục số 2'!AG38</f>
        <v>0</v>
      </c>
      <c r="U38" s="13">
        <f t="shared" si="16"/>
        <v>0</v>
      </c>
      <c r="V38" s="3117"/>
      <c r="W38" s="3117"/>
      <c r="X38" s="13">
        <f>'Phụ lục số 2'!AK38</f>
        <v>0</v>
      </c>
      <c r="Y38" s="3110">
        <f>'Phụ lục số 2'!AL38</f>
        <v>0</v>
      </c>
    </row>
    <row r="39" spans="1:25" s="2210" customFormat="1" ht="35.4" thickBot="1">
      <c r="A39" s="3119" t="s">
        <v>26</v>
      </c>
      <c r="B39" s="3120" t="s">
        <v>133</v>
      </c>
      <c r="C39" s="3121">
        <f>D39+E39</f>
        <v>31500</v>
      </c>
      <c r="D39" s="3121">
        <f>'Phụ lục số 2'!D39</f>
        <v>31500</v>
      </c>
      <c r="E39" s="3121">
        <f>'Phụ lục số 2'!E39</f>
        <v>0</v>
      </c>
      <c r="F39" s="3122">
        <f>I39+J39</f>
        <v>31500</v>
      </c>
      <c r="G39" s="3123"/>
      <c r="H39" s="3124"/>
      <c r="I39" s="3122">
        <f>'Phụ lục số 2'!S39</f>
        <v>31500</v>
      </c>
      <c r="J39" s="3122">
        <f>'Phụ lục số 2'!T39</f>
        <v>0</v>
      </c>
      <c r="K39" s="3122">
        <f>N39+O39</f>
        <v>0</v>
      </c>
      <c r="L39" s="3125">
        <f>K39/$K$7*100</f>
        <v>0</v>
      </c>
      <c r="M39" s="3121"/>
      <c r="N39" s="3122">
        <f>'Phụ lục số 2'!AA39</f>
        <v>0</v>
      </c>
      <c r="O39" s="3122">
        <f>'Phụ lục số 2'!AB39</f>
        <v>0</v>
      </c>
      <c r="P39" s="3122">
        <f>R39+S39</f>
        <v>0</v>
      </c>
      <c r="Q39" s="3124">
        <f>P39/$K$7*100</f>
        <v>0</v>
      </c>
      <c r="R39" s="3121"/>
      <c r="S39" s="3122">
        <f>'Phụ lục số 2'!AF39</f>
        <v>0</v>
      </c>
      <c r="T39" s="3122">
        <f>'Phụ lục số 2'!AG39</f>
        <v>0</v>
      </c>
      <c r="U39" s="2643">
        <f>W39+X39</f>
        <v>0</v>
      </c>
      <c r="V39" s="3126">
        <f>U39/$K$7*100</f>
        <v>0</v>
      </c>
      <c r="W39" s="3127"/>
      <c r="X39" s="2643">
        <f>'Phụ lục số 2'!AK39</f>
        <v>0</v>
      </c>
      <c r="Y39" s="3128">
        <f>'Phụ lục số 2'!AL39</f>
        <v>0</v>
      </c>
    </row>
    <row r="40" spans="1:25" s="3131" customFormat="1" ht="17.399999999999999">
      <c r="A40" s="3129" t="s">
        <v>1307</v>
      </c>
      <c r="B40" s="3"/>
      <c r="C40" s="3"/>
      <c r="D40" s="3"/>
      <c r="E40" s="3"/>
      <c r="F40" s="3"/>
      <c r="G40" s="3130"/>
      <c r="H40" s="3"/>
      <c r="I40" s="1402">
        <f>'Phụ lục 4-HĐND'!D39</f>
        <v>13000</v>
      </c>
      <c r="J40" s="3" t="s">
        <v>1308</v>
      </c>
      <c r="K40" s="3"/>
      <c r="L40" s="3"/>
      <c r="M40" s="3"/>
      <c r="N40" s="3"/>
      <c r="O40" s="3"/>
      <c r="P40" s="3"/>
      <c r="Q40" s="3"/>
      <c r="R40" s="3"/>
      <c r="S40" s="3"/>
      <c r="T40" s="3"/>
      <c r="U40" s="3"/>
      <c r="V40" s="3"/>
      <c r="W40" s="3"/>
      <c r="X40" s="3"/>
      <c r="Y40" s="3"/>
    </row>
    <row r="41" spans="1:25">
      <c r="N41" s="3132">
        <f>'[1]Phụ lục số 3-thu bs'!Y31</f>
        <v>1.0047879424816806</v>
      </c>
      <c r="O41" s="3133">
        <f>'[1]Phụ lục số 3-thu bs'!Z31</f>
        <v>1.0127502007166578</v>
      </c>
      <c r="S41" s="3132">
        <f>'[1]Phụ lục số 3-thu bs'!AB31</f>
        <v>1.0267006153038798</v>
      </c>
      <c r="T41" s="3132">
        <f>'[1]Phụ lục số 3-thu bs'!AC31</f>
        <v>1.0186611374861316</v>
      </c>
      <c r="X41" s="3132">
        <f>'[1]Phụ lục số 3-thu bs'!AE31</f>
        <v>1.0278959515568287</v>
      </c>
      <c r="Y41" s="3132">
        <f>'[1]Phụ lục số 3-thu bs'!AF31</f>
        <v>1.0203782588786079</v>
      </c>
    </row>
    <row r="42" spans="1:25">
      <c r="K42" s="1">
        <v>9045866</v>
      </c>
      <c r="N42" s="1">
        <f>+K8+P8+U8</f>
        <v>51797538.842818245</v>
      </c>
    </row>
    <row r="43" spans="1:25">
      <c r="I43" s="3134">
        <f>I34/I39</f>
        <v>0</v>
      </c>
      <c r="K43" s="3">
        <f>+K42-K15</f>
        <v>-1619112.3947110809</v>
      </c>
      <c r="N43" s="1">
        <f>+K9+P9+U9</f>
        <v>14803186.408969875</v>
      </c>
    </row>
    <row r="44" spans="1:25">
      <c r="K44" s="1">
        <v>252266</v>
      </c>
      <c r="N44" s="68">
        <f>+N43/N42</f>
        <v>0.285789378022202</v>
      </c>
    </row>
    <row r="45" spans="1:25">
      <c r="K45" s="3">
        <f>K30-K44</f>
        <v>75602.912319042138</v>
      </c>
      <c r="N45" s="1">
        <f>+K15+P15+U15</f>
        <v>33108978.394711081</v>
      </c>
    </row>
    <row r="46" spans="1:25">
      <c r="N46" s="68">
        <f>+N45/N42</f>
        <v>0.63919983718109918</v>
      </c>
    </row>
    <row r="47" spans="1:25">
      <c r="N47" s="1">
        <f>D21-N21</f>
        <v>-78538</v>
      </c>
    </row>
    <row r="48" spans="1:25">
      <c r="K48" s="1">
        <f>K8*2%</f>
        <v>332768.65831999993</v>
      </c>
      <c r="N48" s="1">
        <f>'[1]Phụ lục số 4'!C9</f>
        <v>12922645</v>
      </c>
    </row>
    <row r="49" spans="3:14">
      <c r="N49" s="1">
        <f>+N48-N7</f>
        <v>4203639.432</v>
      </c>
    </row>
    <row r="50" spans="3:14">
      <c r="K50" s="1">
        <v>974980</v>
      </c>
      <c r="N50" s="1">
        <f>+K52-K10</f>
        <v>-107006.40896987612</v>
      </c>
    </row>
    <row r="51" spans="3:14">
      <c r="K51" s="1">
        <v>61200</v>
      </c>
      <c r="N51" s="1">
        <f>+K8*2%</f>
        <v>332768.65831999993</v>
      </c>
    </row>
    <row r="52" spans="3:14">
      <c r="K52" s="1">
        <f>+K50+K51</f>
        <v>1036180</v>
      </c>
      <c r="N52" s="1">
        <f>D26-N26</f>
        <v>-60458</v>
      </c>
    </row>
    <row r="53" spans="3:14">
      <c r="N53" s="1">
        <f>D27-N27</f>
        <v>-8327</v>
      </c>
    </row>
    <row r="54" spans="3:14">
      <c r="K54" s="1">
        <v>1067085</v>
      </c>
      <c r="N54" s="1">
        <f>D28-N28</f>
        <v>0</v>
      </c>
    </row>
    <row r="55" spans="3:14">
      <c r="K55" s="1">
        <v>64400</v>
      </c>
      <c r="N55" s="1">
        <f>D29-N29</f>
        <v>0</v>
      </c>
    </row>
    <row r="56" spans="3:14">
      <c r="K56" s="1">
        <f>+K54+K55</f>
        <v>1131485</v>
      </c>
    </row>
    <row r="57" spans="3:14">
      <c r="N57" s="1">
        <f>SUM(N43:N56)</f>
        <v>65116889.410020299</v>
      </c>
    </row>
    <row r="58" spans="3:14">
      <c r="K58" s="1">
        <v>974980</v>
      </c>
    </row>
    <row r="59" spans="3:14">
      <c r="K59" s="1">
        <f>+K52-K58</f>
        <v>61200</v>
      </c>
    </row>
    <row r="60" spans="3:14">
      <c r="C60" s="1">
        <v>9045866</v>
      </c>
      <c r="N60" s="34">
        <f>N10*1000000</f>
        <v>562186000000</v>
      </c>
    </row>
    <row r="61" spans="3:14">
      <c r="C61" s="1">
        <f>+C60*3%</f>
        <v>271375.98</v>
      </c>
      <c r="K61" s="3135">
        <f>K7/'[1]Định mức chi TX 2022'!E44</f>
        <v>11.63794818487106</v>
      </c>
    </row>
    <row r="62" spans="3:14">
      <c r="K62" s="3135">
        <f>K8/'[1]Định mức chi TX 2022'!E44</f>
        <v>10.395284767036845</v>
      </c>
    </row>
    <row r="63" spans="3:14">
      <c r="K63" s="3135">
        <v>8.8000000000000007</v>
      </c>
      <c r="N63" s="1">
        <v>531239</v>
      </c>
    </row>
    <row r="64" spans="3:14">
      <c r="K64" s="68">
        <f>+K63/K62</f>
        <v>0.84653765598654429</v>
      </c>
      <c r="N64" s="1">
        <f>N10</f>
        <v>562186</v>
      </c>
    </row>
    <row r="65" spans="3:14">
      <c r="N65" s="1">
        <f>+N63-N64</f>
        <v>-30947</v>
      </c>
    </row>
    <row r="66" spans="3:14">
      <c r="K66" s="1">
        <v>116757</v>
      </c>
    </row>
    <row r="67" spans="3:14">
      <c r="K67" s="1">
        <v>167395</v>
      </c>
    </row>
    <row r="68" spans="3:14">
      <c r="K68" s="1">
        <f>+K67-K66</f>
        <v>50638</v>
      </c>
    </row>
    <row r="69" spans="3:14">
      <c r="C69" s="1">
        <f>C15*3%</f>
        <v>280615.95</v>
      </c>
      <c r="N69" s="1">
        <f>N7/12</f>
        <v>726583.79733333329</v>
      </c>
    </row>
    <row r="70" spans="3:14">
      <c r="K70" s="1">
        <v>3290357</v>
      </c>
    </row>
    <row r="71" spans="3:14">
      <c r="K71" s="1">
        <v>3313757</v>
      </c>
      <c r="N71" s="1">
        <f>733000/12</f>
        <v>61083.333333333336</v>
      </c>
    </row>
    <row r="72" spans="3:14">
      <c r="K72" s="1">
        <f>+K71-K70</f>
        <v>23400</v>
      </c>
      <c r="N72" s="1">
        <f>1500000/12</f>
        <v>125000</v>
      </c>
    </row>
    <row r="73" spans="3:14">
      <c r="K73" s="1">
        <v>48300</v>
      </c>
      <c r="N73" s="1">
        <f>5809777/12</f>
        <v>484148.08333333331</v>
      </c>
    </row>
    <row r="74" spans="3:14">
      <c r="K74" s="1">
        <f>+K72+K73</f>
        <v>71700</v>
      </c>
      <c r="N74" s="1">
        <v>28571469</v>
      </c>
    </row>
    <row r="75" spans="3:14">
      <c r="K75" s="1">
        <f>+K9-K70</f>
        <v>1632829.4089698764</v>
      </c>
      <c r="N75" s="1">
        <v>9909393</v>
      </c>
    </row>
    <row r="76" spans="3:14">
      <c r="K76" s="1">
        <f>+K75-K74</f>
        <v>1561129.4089698764</v>
      </c>
      <c r="N76" s="1">
        <f>+N74-N75</f>
        <v>18662076</v>
      </c>
    </row>
    <row r="77" spans="3:14">
      <c r="N77" s="1">
        <v>27554674</v>
      </c>
    </row>
    <row r="78" spans="3:14">
      <c r="N78" s="1">
        <f>+N74-N77</f>
        <v>1016795</v>
      </c>
    </row>
    <row r="79" spans="3:14">
      <c r="N79" s="1">
        <v>1061000</v>
      </c>
    </row>
    <row r="80" spans="3:14">
      <c r="N80" s="1">
        <v>247800</v>
      </c>
    </row>
    <row r="81" spans="11:21">
      <c r="K81" s="68">
        <f>K9/K8</f>
        <v>0.2958924337300779</v>
      </c>
      <c r="N81" s="1">
        <f>+N79-N80</f>
        <v>813200</v>
      </c>
      <c r="P81" s="68">
        <f>P9/P8</f>
        <v>0.28042081445404698</v>
      </c>
      <c r="U81" s="68">
        <f>U9/U8</f>
        <v>0.28156450791939625</v>
      </c>
    </row>
    <row r="82" spans="11:21">
      <c r="K82" s="68">
        <f>K15/K8</f>
        <v>0.64098454755647871</v>
      </c>
      <c r="P82" s="68">
        <f>P15/P8</f>
        <v>0.64745335491569433</v>
      </c>
      <c r="U82" s="68">
        <f>U15/U8</f>
        <v>0.62974103216662602</v>
      </c>
    </row>
    <row r="84" spans="11:21">
      <c r="K84" s="1">
        <v>15338664</v>
      </c>
      <c r="N84" s="1">
        <f>K84+P85</f>
        <v>15586464</v>
      </c>
      <c r="P84" s="1">
        <f>K7-N84</f>
        <v>3040944.9159999974</v>
      </c>
    </row>
    <row r="85" spans="11:21">
      <c r="K85" s="1">
        <v>12893688</v>
      </c>
      <c r="N85" s="1">
        <f>K85+P85</f>
        <v>13141488</v>
      </c>
      <c r="P85" s="1">
        <v>247800</v>
      </c>
      <c r="Q85" s="1" t="s">
        <v>1309</v>
      </c>
    </row>
    <row r="86" spans="11:21">
      <c r="K86" s="1">
        <v>3226904</v>
      </c>
      <c r="P86" s="1">
        <v>2000</v>
      </c>
      <c r="Q86" s="1" t="s">
        <v>1310</v>
      </c>
    </row>
    <row r="87" spans="11:21">
      <c r="K87" s="1">
        <v>9402554</v>
      </c>
    </row>
    <row r="88" spans="11:21">
      <c r="K88" s="1">
        <v>4179745</v>
      </c>
      <c r="N88" s="1">
        <f>4090257</f>
        <v>4090257</v>
      </c>
      <c r="P88" s="1">
        <f>+K88-N88</f>
        <v>89488</v>
      </c>
    </row>
    <row r="89" spans="11:21">
      <c r="K89" s="1">
        <v>27918</v>
      </c>
      <c r="P89" s="1">
        <f>+N89+N90</f>
        <v>0</v>
      </c>
    </row>
    <row r="90" spans="11:21">
      <c r="K90" s="1">
        <f>K87-K88-K89</f>
        <v>5194891</v>
      </c>
    </row>
    <row r="91" spans="11:21">
      <c r="K91" s="1">
        <v>1400</v>
      </c>
      <c r="P91" s="1">
        <f>776904+247000</f>
        <v>1023904</v>
      </c>
    </row>
    <row r="92" spans="11:21">
      <c r="K92" s="1">
        <v>262830</v>
      </c>
      <c r="N92" s="1">
        <f>(6504000+6486688)*2%</f>
        <v>259813.76000000001</v>
      </c>
    </row>
    <row r="94" spans="11:21">
      <c r="K94" s="1">
        <v>6654000</v>
      </c>
    </row>
    <row r="95" spans="11:21">
      <c r="K95" s="1">
        <f>13140688-K94</f>
        <v>6486688</v>
      </c>
    </row>
    <row r="98" spans="1:19">
      <c r="K98" s="1">
        <v>15490695</v>
      </c>
      <c r="N98" s="1">
        <f>+K98+247800+31500</f>
        <v>15769995</v>
      </c>
    </row>
    <row r="99" spans="1:19">
      <c r="C99" s="1402">
        <f>SUM(C100,C105,C109,C110)</f>
        <v>12589889</v>
      </c>
      <c r="D99" s="34"/>
      <c r="E99" s="34"/>
      <c r="F99" s="34"/>
      <c r="G99" s="1346"/>
      <c r="H99" s="34"/>
      <c r="I99" s="34"/>
      <c r="J99" s="34"/>
      <c r="K99" s="1402">
        <f>SUM(K100,K105,K109,K110)</f>
        <v>12893688</v>
      </c>
    </row>
    <row r="100" spans="1:19">
      <c r="C100" s="1402">
        <f>SUM(C101:C104)</f>
        <v>3290357</v>
      </c>
      <c r="D100" s="34"/>
      <c r="E100" s="34">
        <v>3313757</v>
      </c>
      <c r="F100" s="34">
        <f>+E100-C100</f>
        <v>23400</v>
      </c>
      <c r="G100" s="1346"/>
      <c r="H100" s="34"/>
      <c r="I100" s="34"/>
      <c r="J100" s="34"/>
      <c r="K100" s="1402">
        <f>SUM(K101:K103)</f>
        <v>3226904</v>
      </c>
      <c r="P100" s="1">
        <f>+K100-C100</f>
        <v>-63453</v>
      </c>
    </row>
    <row r="101" spans="1:19">
      <c r="C101" s="34">
        <v>951580</v>
      </c>
      <c r="D101" s="34"/>
      <c r="E101" s="34"/>
      <c r="F101" s="34"/>
      <c r="G101" s="1346"/>
      <c r="H101" s="34"/>
      <c r="I101" s="34"/>
      <c r="J101" s="34"/>
      <c r="K101" s="34">
        <v>776904</v>
      </c>
      <c r="N101" s="1">
        <f>+K101+P85</f>
        <v>1024704</v>
      </c>
      <c r="P101" s="1">
        <f>+K101-C101</f>
        <v>-174676</v>
      </c>
      <c r="R101" s="1342">
        <f>+N101/(C101+23400)</f>
        <v>1.0510000205132413</v>
      </c>
    </row>
    <row r="102" spans="1:19">
      <c r="C102" s="34">
        <v>800000</v>
      </c>
      <c r="D102" s="34"/>
      <c r="E102" s="34"/>
      <c r="F102" s="34"/>
      <c r="G102" s="1346"/>
      <c r="H102" s="34"/>
      <c r="I102" s="34"/>
      <c r="J102" s="34"/>
      <c r="K102" s="34">
        <v>850000</v>
      </c>
      <c r="P102" s="1">
        <f>+K102-C102</f>
        <v>50000</v>
      </c>
    </row>
    <row r="103" spans="1:19">
      <c r="C103" s="34">
        <v>1500000</v>
      </c>
      <c r="D103" s="34"/>
      <c r="E103" s="34"/>
      <c r="F103" s="34"/>
      <c r="G103" s="1346"/>
      <c r="H103" s="34"/>
      <c r="I103" s="34"/>
      <c r="J103" s="34"/>
      <c r="K103" s="34">
        <v>1600000</v>
      </c>
      <c r="P103" s="1">
        <f>+K103-C103</f>
        <v>100000</v>
      </c>
    </row>
    <row r="104" spans="1:19">
      <c r="C104" s="34">
        <v>38777</v>
      </c>
      <c r="D104" s="34"/>
      <c r="E104" s="34"/>
      <c r="F104" s="34"/>
      <c r="G104" s="1346"/>
      <c r="H104" s="34"/>
      <c r="I104" s="34"/>
      <c r="J104" s="34"/>
      <c r="K104" s="34"/>
      <c r="P104" s="1">
        <f>+K104-C104</f>
        <v>-38777</v>
      </c>
    </row>
    <row r="105" spans="1:19" s="3" customFormat="1" ht="17.399999999999999">
      <c r="A105" s="1401"/>
      <c r="C105" s="1402">
        <v>9045866</v>
      </c>
      <c r="D105" s="1402"/>
      <c r="E105" s="1402"/>
      <c r="F105" s="1402"/>
      <c r="G105" s="3136"/>
      <c r="H105" s="1402"/>
      <c r="I105" s="1402"/>
      <c r="J105" s="1402"/>
      <c r="K105" s="1402">
        <v>9402554</v>
      </c>
      <c r="P105" s="3">
        <f t="shared" ref="P105:P110" si="17">K105-C105</f>
        <v>356688</v>
      </c>
      <c r="Q105" s="3137"/>
      <c r="R105" s="3137">
        <f t="shared" ref="R105:R110" si="18">+K105/C105</f>
        <v>1.0394310506036679</v>
      </c>
      <c r="S105" s="3137">
        <f t="shared" ref="S105:S110" si="19">R105-100%</f>
        <v>3.9431050603667916E-2</v>
      </c>
    </row>
    <row r="106" spans="1:19">
      <c r="C106" s="34">
        <v>4090257</v>
      </c>
      <c r="D106" s="34"/>
      <c r="E106" s="34"/>
      <c r="F106" s="34"/>
      <c r="G106" s="1346"/>
      <c r="H106" s="34"/>
      <c r="I106" s="34"/>
      <c r="J106" s="34"/>
      <c r="K106" s="34">
        <v>4179745</v>
      </c>
      <c r="P106" s="1">
        <f t="shared" si="17"/>
        <v>89488</v>
      </c>
      <c r="R106" s="1342">
        <f t="shared" si="18"/>
        <v>1.0218783318505413</v>
      </c>
      <c r="S106" s="1342">
        <f t="shared" si="19"/>
        <v>2.1878331850541333E-2</v>
      </c>
    </row>
    <row r="107" spans="1:19">
      <c r="C107" s="34">
        <v>27026</v>
      </c>
      <c r="D107" s="34"/>
      <c r="E107" s="34"/>
      <c r="F107" s="34"/>
      <c r="G107" s="1346"/>
      <c r="H107" s="34"/>
      <c r="I107" s="34"/>
      <c r="J107" s="34"/>
      <c r="K107" s="34">
        <v>27918</v>
      </c>
      <c r="P107" s="1">
        <f t="shared" si="17"/>
        <v>892</v>
      </c>
      <c r="R107" s="1342">
        <f t="shared" si="18"/>
        <v>1.0330052541996595</v>
      </c>
      <c r="S107" s="1342">
        <f t="shared" si="19"/>
        <v>3.3005254199659495E-2</v>
      </c>
    </row>
    <row r="108" spans="1:19">
      <c r="C108" s="34">
        <f>+C105-C106-C107</f>
        <v>4928583</v>
      </c>
      <c r="D108" s="34"/>
      <c r="E108" s="34"/>
      <c r="F108" s="34"/>
      <c r="G108" s="1346"/>
      <c r="H108" s="34"/>
      <c r="I108" s="34"/>
      <c r="J108" s="34"/>
      <c r="K108" s="34">
        <f>+K105-K106-K107</f>
        <v>5194891</v>
      </c>
      <c r="P108" s="1">
        <f t="shared" si="17"/>
        <v>266308</v>
      </c>
      <c r="R108" s="1342">
        <f t="shared" si="18"/>
        <v>1.0540333803853967</v>
      </c>
      <c r="S108" s="1342">
        <f t="shared" si="19"/>
        <v>5.4033380385396734E-2</v>
      </c>
    </row>
    <row r="109" spans="1:19" s="3" customFormat="1" ht="17.399999999999999">
      <c r="A109" s="1401"/>
      <c r="C109" s="1402">
        <v>1400</v>
      </c>
      <c r="D109" s="1402"/>
      <c r="E109" s="1402"/>
      <c r="F109" s="1402"/>
      <c r="G109" s="3136"/>
      <c r="H109" s="1402"/>
      <c r="I109" s="1402"/>
      <c r="J109" s="1402"/>
      <c r="K109" s="1402">
        <v>1400</v>
      </c>
      <c r="P109" s="3">
        <f t="shared" si="17"/>
        <v>0</v>
      </c>
      <c r="R109" s="3137">
        <f t="shared" si="18"/>
        <v>1</v>
      </c>
      <c r="S109" s="3137">
        <f t="shared" si="19"/>
        <v>0</v>
      </c>
    </row>
    <row r="110" spans="1:19" s="3" customFormat="1" ht="17.399999999999999">
      <c r="A110" s="1401"/>
      <c r="C110" s="1402">
        <v>252266</v>
      </c>
      <c r="D110" s="1402"/>
      <c r="E110" s="1402"/>
      <c r="F110" s="1402"/>
      <c r="G110" s="3136"/>
      <c r="H110" s="1402"/>
      <c r="I110" s="1402"/>
      <c r="J110" s="1402"/>
      <c r="K110" s="1402">
        <v>262830</v>
      </c>
      <c r="P110" s="3">
        <f t="shared" si="17"/>
        <v>10564</v>
      </c>
      <c r="R110" s="3137">
        <f t="shared" si="18"/>
        <v>1.0418764320201692</v>
      </c>
      <c r="S110" s="3137">
        <f t="shared" si="19"/>
        <v>4.1876432020169219E-2</v>
      </c>
    </row>
    <row r="121" spans="11:11">
      <c r="K121" s="36">
        <f>'[1]Phụ lục số 1'!N53/'[1]Chi NSDP 2022-2025'!K8</f>
        <v>0.49179349592707056</v>
      </c>
    </row>
  </sheetData>
  <mergeCells count="10">
    <mergeCell ref="A1:Y1"/>
    <mergeCell ref="G2:I2"/>
    <mergeCell ref="D3:E3"/>
    <mergeCell ref="A4:A5"/>
    <mergeCell ref="B4:B5"/>
    <mergeCell ref="C4:E4"/>
    <mergeCell ref="F4:J4"/>
    <mergeCell ref="K4:O4"/>
    <mergeCell ref="P4:T4"/>
    <mergeCell ref="U4:Y4"/>
  </mergeCells>
  <hyperlinks>
    <hyperlink ref="A4:A5" location="'List danh mục'!A1" display="SỐ TT"/>
  </hyperlinks>
  <printOptions horizontalCentered="1"/>
  <pageMargins left="0" right="0" top="0.39370078740157483" bottom="0.19685039370078741" header="0.19685039370078741" footer="0.19685039370078741"/>
  <pageSetup paperSize="9" scale="55" orientation="landscape" r:id="rId1"/>
  <headerFooter>
    <oddHeader>&amp;R&amp;A</oddHeader>
    <oddFooter>&amp;C&amp;P/&amp;N</oddFooter>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CS48"/>
  <sheetViews>
    <sheetView topLeftCell="A10" workbookViewId="0">
      <selection activeCell="L26" sqref="L26"/>
    </sheetView>
  </sheetViews>
  <sheetFormatPr defaultColWidth="9" defaultRowHeight="18"/>
  <cols>
    <col min="1" max="1" width="5.5" style="1239" customWidth="1"/>
    <col min="2" max="2" width="41.19921875" style="1239" customWidth="1"/>
    <col min="3" max="3" width="9.09765625" style="1426" customWidth="1"/>
    <col min="4" max="5" width="9.09765625" style="1239" customWidth="1"/>
    <col min="6" max="6" width="8.5" style="1239" customWidth="1"/>
    <col min="7" max="7" width="8.59765625" style="1239" customWidth="1"/>
    <col min="8" max="8" width="10.09765625" style="1239" customWidth="1"/>
    <col min="9" max="9" width="9" style="1239"/>
    <col min="10" max="10" width="10.5" style="1239" customWidth="1"/>
    <col min="11" max="13" width="9" style="1239" customWidth="1"/>
    <col min="14" max="14" width="9.69921875" style="1239" bestFit="1" customWidth="1"/>
    <col min="15" max="16384" width="9" style="1239"/>
  </cols>
  <sheetData>
    <row r="1" spans="1:97">
      <c r="A1" s="4302" t="s">
        <v>1698</v>
      </c>
      <c r="B1" s="4302"/>
      <c r="C1" s="4302"/>
      <c r="D1" s="4302"/>
      <c r="E1" s="4302"/>
      <c r="F1" s="4302"/>
      <c r="G1" s="4302"/>
      <c r="H1" s="4302"/>
      <c r="AB1" s="1239" t="s">
        <v>635</v>
      </c>
      <c r="AG1" s="1384"/>
      <c r="AO1" s="1384"/>
      <c r="AW1" s="1384"/>
      <c r="BE1" s="1384"/>
      <c r="BM1" s="1384"/>
      <c r="BU1" s="1384"/>
      <c r="CC1" s="1384"/>
      <c r="CK1" s="1384"/>
      <c r="CS1" s="1384"/>
    </row>
    <row r="2" spans="1:97">
      <c r="A2" s="1425"/>
      <c r="B2" s="1425"/>
      <c r="D2" s="4323"/>
      <c r="E2" s="4323"/>
    </row>
    <row r="3" spans="1:97" ht="18.600000000000001" thickBot="1">
      <c r="A3" s="1425"/>
      <c r="H3" s="2648" t="s">
        <v>224</v>
      </c>
    </row>
    <row r="4" spans="1:97" ht="87.6" thickTop="1">
      <c r="A4" s="3058" t="s">
        <v>183</v>
      </c>
      <c r="B4" s="2926" t="s">
        <v>305</v>
      </c>
      <c r="C4" s="2926" t="s">
        <v>449</v>
      </c>
      <c r="D4" s="2926" t="s">
        <v>1699</v>
      </c>
      <c r="E4" s="2926" t="s">
        <v>1700</v>
      </c>
      <c r="F4" s="2926" t="s">
        <v>451</v>
      </c>
      <c r="G4" s="2926" t="s">
        <v>457</v>
      </c>
      <c r="H4" s="2927" t="s">
        <v>1701</v>
      </c>
    </row>
    <row r="5" spans="1:97">
      <c r="A5" s="3059" t="s">
        <v>7</v>
      </c>
      <c r="B5" s="1427" t="s">
        <v>1265</v>
      </c>
      <c r="C5" s="3168">
        <f>SUM(C6:C7)</f>
        <v>7590000</v>
      </c>
      <c r="D5" s="3168">
        <f>SUM(D6:D7)</f>
        <v>8150745.3199999994</v>
      </c>
      <c r="E5" s="3169">
        <f>SUM(E6:E7)</f>
        <v>9266000</v>
      </c>
      <c r="F5" s="3169">
        <f>SUM(F6:F7)</f>
        <v>10162499.699999999</v>
      </c>
      <c r="G5" s="3169">
        <f>SUM(G6:G7)</f>
        <v>11039000</v>
      </c>
      <c r="H5" s="3170">
        <f>SUM(E5:G5)</f>
        <v>30467499.699999999</v>
      </c>
      <c r="J5" s="1239">
        <f>E5/C5</f>
        <v>1.2208168642951251</v>
      </c>
      <c r="K5" s="1239">
        <f>F5/E5</f>
        <v>1.0967515324843513</v>
      </c>
      <c r="L5" s="1239">
        <f>G5/F5</f>
        <v>1.0862484945510011</v>
      </c>
      <c r="M5" s="1927">
        <f>SUM(J5:L5)^1/3</f>
        <v>1.1346056304434926</v>
      </c>
    </row>
    <row r="6" spans="1:97" s="1429" customFormat="1">
      <c r="A6" s="3060" t="s">
        <v>9</v>
      </c>
      <c r="B6" s="1428" t="s">
        <v>10</v>
      </c>
      <c r="C6" s="3171">
        <f>Thu03nam!C9</f>
        <v>7440000</v>
      </c>
      <c r="D6" s="3171">
        <f>Thu03nam!H9</f>
        <v>7999999.7999999998</v>
      </c>
      <c r="E6" s="3172">
        <f>Thu03nam!N9</f>
        <v>9066000</v>
      </c>
      <c r="F6" s="3172">
        <f>Thu03nam!T9</f>
        <v>9999999.6999999993</v>
      </c>
      <c r="G6" s="3172">
        <f>Thu03nam!Z9</f>
        <v>10870000</v>
      </c>
      <c r="H6" s="3173">
        <f>SUM(E6:G6)</f>
        <v>29935999.699999999</v>
      </c>
      <c r="J6" s="1239">
        <f>E6/C6</f>
        <v>1.2185483870967742</v>
      </c>
      <c r="K6" s="1239">
        <f t="shared" ref="K6" si="0">F6/E6</f>
        <v>1.1030222479594087</v>
      </c>
      <c r="L6" s="1239">
        <f t="shared" ref="L6" si="1">G6/F6</f>
        <v>1.0870000326100011</v>
      </c>
      <c r="M6" s="1927">
        <f>SUM(J6:L6)^1/3</f>
        <v>1.1361902225553948</v>
      </c>
    </row>
    <row r="7" spans="1:97" s="1429" customFormat="1">
      <c r="A7" s="3060" t="s">
        <v>20</v>
      </c>
      <c r="B7" s="1428" t="s">
        <v>1266</v>
      </c>
      <c r="C7" s="3171">
        <f>Thu03nam!C49</f>
        <v>150000</v>
      </c>
      <c r="D7" s="3171">
        <f>Thu03nam!H49</f>
        <v>150745.51999999999</v>
      </c>
      <c r="E7" s="3172">
        <f>Thu03nam!N49</f>
        <v>200000</v>
      </c>
      <c r="F7" s="3172">
        <f>Thu03nam!T49</f>
        <v>162500</v>
      </c>
      <c r="G7" s="3172">
        <f>Thu03nam!Z49</f>
        <v>169000</v>
      </c>
      <c r="H7" s="3173">
        <f>SUM(E7:G7)</f>
        <v>531500</v>
      </c>
      <c r="J7" s="1239">
        <f>E7/C7</f>
        <v>1.3333333333333333</v>
      </c>
      <c r="K7" s="1239">
        <f>F7/E7</f>
        <v>0.8125</v>
      </c>
      <c r="L7" s="1239">
        <f>G7/F7</f>
        <v>1.04</v>
      </c>
      <c r="M7" s="1927">
        <f>SUM(J7:L7)^1/3</f>
        <v>1.0619444444444444</v>
      </c>
    </row>
    <row r="8" spans="1:97" s="1432" customFormat="1">
      <c r="A8" s="3061" t="s">
        <v>22</v>
      </c>
      <c r="B8" s="1430" t="s">
        <v>1267</v>
      </c>
      <c r="C8" s="3174">
        <f>SUM(C9,C15,C20)</f>
        <v>15819995</v>
      </c>
      <c r="D8" s="3174">
        <f>SUM(D9,D15,D20)</f>
        <v>16997394.800000001</v>
      </c>
      <c r="E8" s="3174">
        <f t="shared" ref="E8:H8" si="2">SUM(E9,E15,E20)</f>
        <v>18627409</v>
      </c>
      <c r="F8" s="3174">
        <f t="shared" si="2"/>
        <v>19478786.72038975</v>
      </c>
      <c r="G8" s="3174">
        <f>SUM(G9,G15,G20)</f>
        <v>20439289.743441619</v>
      </c>
      <c r="H8" s="3175">
        <f t="shared" si="2"/>
        <v>58545485.463831365</v>
      </c>
      <c r="I8" s="1431"/>
    </row>
    <row r="9" spans="1:97" s="1436" customFormat="1">
      <c r="A9" s="2930" t="s">
        <v>9</v>
      </c>
      <c r="B9" s="1434" t="s">
        <v>1268</v>
      </c>
      <c r="C9" s="3171">
        <f>SUM(C10,C14,C19,C18)</f>
        <v>13191488</v>
      </c>
      <c r="D9" s="3171">
        <f t="shared" ref="D9:H9" si="3">SUM(D10,D14,D19,D18)</f>
        <v>14368887.800000001</v>
      </c>
      <c r="E9" s="3171">
        <f t="shared" si="3"/>
        <v>16638433</v>
      </c>
      <c r="F9" s="3171">
        <f t="shared" si="3"/>
        <v>17099301.420389749</v>
      </c>
      <c r="G9" s="3171">
        <f t="shared" si="3"/>
        <v>18059804.443441618</v>
      </c>
      <c r="H9" s="3176">
        <f t="shared" si="3"/>
        <v>51797538.863831364</v>
      </c>
      <c r="J9" s="1470">
        <f>H9-CĐNSĐP03namBS!R6</f>
        <v>1950944.6210131273</v>
      </c>
    </row>
    <row r="10" spans="1:97" s="1436" customFormat="1">
      <c r="A10" s="2931">
        <v>1</v>
      </c>
      <c r="B10" s="1438" t="s">
        <v>478</v>
      </c>
      <c r="C10" s="3177">
        <f>Thu03nam!E8</f>
        <v>6704000</v>
      </c>
      <c r="D10" s="3177">
        <f>Thu03nam!K8</f>
        <v>7450399.7999999998</v>
      </c>
      <c r="E10" s="3178">
        <f>Thu03nam!Q8</f>
        <v>8484930</v>
      </c>
      <c r="F10" s="3178">
        <f>Thu03nam!W8</f>
        <v>9114399.2203897499</v>
      </c>
      <c r="G10" s="3178">
        <f>Thu03nam!AC8</f>
        <v>9911000.1332467422</v>
      </c>
      <c r="H10" s="3179">
        <f>SUM(E10:G10)</f>
        <v>27510329.353636492</v>
      </c>
    </row>
    <row r="11" spans="1:97" s="1442" customFormat="1">
      <c r="A11" s="2932" t="s">
        <v>34</v>
      </c>
      <c r="B11" s="1440" t="s">
        <v>1269</v>
      </c>
      <c r="C11" s="3180">
        <f>C10-C12</f>
        <v>3374730</v>
      </c>
      <c r="D11" s="3180">
        <f>D10-D12</f>
        <v>3685519.7</v>
      </c>
      <c r="E11" s="3181">
        <f>E10-E12</f>
        <v>4901430</v>
      </c>
      <c r="F11" s="3181">
        <f>F10-F12</f>
        <v>4828999.5203897497</v>
      </c>
      <c r="G11" s="3181">
        <f>G10-G12</f>
        <v>5225000.1332467422</v>
      </c>
      <c r="H11" s="3182">
        <f>SUM(E11:G11)</f>
        <v>14955429.653636493</v>
      </c>
    </row>
    <row r="12" spans="1:97" s="1442" customFormat="1">
      <c r="A12" s="2934" t="s">
        <v>35</v>
      </c>
      <c r="B12" s="1443" t="s">
        <v>1270</v>
      </c>
      <c r="C12" s="3180">
        <f>Thu03nam!E12+Thu03nam!E13+Thu03nam!E18+Thu03nam!E19+Thu03nam!E20+Thu03nam!E14+Thu03nam!E24+Thu03nam!E25+Thu03nam!E29+Thu03nam!E30+Thu03nam!E31+Thu03nam!E37+Thu03nam!E38</f>
        <v>3329270</v>
      </c>
      <c r="D12" s="3180">
        <f>Thu03nam!H12+Thu03nam!H13+Thu03nam!H14+Thu03nam!H18+Thu03nam!H19+Thu03nam!H20+Thu03nam!H24+Thu03nam!H25+Thu03nam!H29+Thu03nam!H30+Thu03nam!H31+Thu03nam!H37+Thu03nam!H38</f>
        <v>3764880.0999999996</v>
      </c>
      <c r="E12" s="3181">
        <f>Thu03nam!Q12+Thu03nam!Q13+Thu03nam!Q14+Thu03nam!Q18+Thu03nam!Q19+Thu03nam!Q20+Thu03nam!Q24+Thu03nam!Q25+Thu03nam!Q29+Thu03nam!Q30+Thu03nam!Q31+Thu03nam!Q37+Thu03nam!Q38</f>
        <v>3583500</v>
      </c>
      <c r="F12" s="3181">
        <f>Thu03nam!W12+Thu03nam!W13+Thu03nam!W14+Thu03nam!W18+Thu03nam!W19+Thu03nam!W20+Thu03nam!W24+Thu03nam!W25+Thu03nam!W29+Thu03nam!W30+Thu03nam!W31+Thu03nam!W37+Thu03nam!W38</f>
        <v>4285399.7</v>
      </c>
      <c r="G12" s="3181">
        <f>Thu03nam!AC12+Thu03nam!AC13+Thu03nam!AC14+Thu03nam!AC18+Thu03nam!AC19+Thu03nam!AC20+Thu03nam!AC24+Thu03nam!AC25+Thu03nam!AC29+Thu03nam!AC30+Thu03nam!AC31+Thu03nam!AC37+Thu03nam!AC38</f>
        <v>4686000</v>
      </c>
      <c r="H12" s="3182">
        <f>SUM(E12:G12)</f>
        <v>12554899.699999999</v>
      </c>
    </row>
    <row r="13" spans="1:97" s="1436" customFormat="1">
      <c r="A13" s="2931">
        <v>2</v>
      </c>
      <c r="B13" s="1438" t="s">
        <v>1271</v>
      </c>
      <c r="C13" s="3177">
        <f>SUM(C14:C15)</f>
        <v>9084495</v>
      </c>
      <c r="D13" s="3177">
        <f t="shared" ref="D13:G13" si="4">SUM(D14:D15)</f>
        <v>9084495</v>
      </c>
      <c r="E13" s="3178">
        <f t="shared" si="4"/>
        <v>8606164</v>
      </c>
      <c r="F13" s="3178">
        <f t="shared" si="4"/>
        <v>8996673.3000000007</v>
      </c>
      <c r="G13" s="3178">
        <f t="shared" si="4"/>
        <v>8996673.3000000007</v>
      </c>
      <c r="H13" s="3179">
        <f>SUM(H14:H15)</f>
        <v>26599510.600000001</v>
      </c>
    </row>
    <row r="14" spans="1:97" s="1442" customFormat="1">
      <c r="A14" s="2932" t="s">
        <v>34</v>
      </c>
      <c r="B14" s="1440" t="s">
        <v>1272</v>
      </c>
      <c r="C14" s="3180">
        <f>Thu03nam!C53</f>
        <v>6487488</v>
      </c>
      <c r="D14" s="3180">
        <f>+Thu03nam!H53</f>
        <v>6487488</v>
      </c>
      <c r="E14" s="3181">
        <f>Thu03nam!N53</f>
        <v>6617188</v>
      </c>
      <c r="F14" s="3181">
        <f>Thu03nam!T53</f>
        <v>6617188</v>
      </c>
      <c r="G14" s="3181">
        <f>Thu03nam!Z53</f>
        <v>6617188</v>
      </c>
      <c r="H14" s="3182">
        <f>SUM(E14:G14)</f>
        <v>19851564</v>
      </c>
    </row>
    <row r="15" spans="1:97" s="1442" customFormat="1">
      <c r="A15" s="2932" t="s">
        <v>35</v>
      </c>
      <c r="B15" s="1440" t="s">
        <v>239</v>
      </c>
      <c r="C15" s="3180">
        <f>SUM(C16:C18)</f>
        <v>2597007</v>
      </c>
      <c r="D15" s="3180">
        <f t="shared" ref="D15" si="5">SUM(D16:D18)</f>
        <v>2597007</v>
      </c>
      <c r="E15" s="3181">
        <f>SUM(E16:E18)-E18</f>
        <v>1988976</v>
      </c>
      <c r="F15" s="3181">
        <f t="shared" ref="F15:H15" si="6">SUM(F16:F18)-F18</f>
        <v>2379485.2999999998</v>
      </c>
      <c r="G15" s="3181">
        <f t="shared" si="6"/>
        <v>2379485.2999999998</v>
      </c>
      <c r="H15" s="3182">
        <f t="shared" si="6"/>
        <v>6747946.5999999996</v>
      </c>
    </row>
    <row r="16" spans="1:97" s="1442" customFormat="1">
      <c r="A16" s="3062" t="s">
        <v>137</v>
      </c>
      <c r="B16" s="78" t="str">
        <f>Thu03nam!B55</f>
        <v>Bổ sung thực hiện mục tiêu, nhiệm vụ quan trọng (vốn đầu tư phát triển)</v>
      </c>
      <c r="C16" s="3180">
        <f>Thu03nam!C55</f>
        <v>2417971</v>
      </c>
      <c r="D16" s="3180">
        <f>Thu03nam!H55</f>
        <v>2417971</v>
      </c>
      <c r="E16" s="3181">
        <f>Thu03nam!N55</f>
        <v>1814491</v>
      </c>
      <c r="F16" s="3181">
        <f>Thu03nam!T55</f>
        <v>2205000</v>
      </c>
      <c r="G16" s="3181">
        <f>Thu03nam!Z55</f>
        <v>2205000</v>
      </c>
      <c r="H16" s="3182">
        <f>SUM(E16:G16)</f>
        <v>6224491</v>
      </c>
    </row>
    <row r="17" spans="1:14" s="1442" customFormat="1">
      <c r="A17" s="3062" t="s">
        <v>137</v>
      </c>
      <c r="B17" s="78" t="str">
        <f>Thu03nam!B56</f>
        <v>Bổ sung thực hiện mục tiêu, nhiệm vụ quan trọng (kinh phí sự nghiệp)</v>
      </c>
      <c r="C17" s="3180">
        <f>Thu03nam!C56</f>
        <v>179036</v>
      </c>
      <c r="D17" s="3180">
        <f>Thu03nam!H56</f>
        <v>179036</v>
      </c>
      <c r="E17" s="3181">
        <f>Thu03nam!N56</f>
        <v>174485</v>
      </c>
      <c r="F17" s="3181">
        <f>Thu03nam!T56</f>
        <v>174485.3</v>
      </c>
      <c r="G17" s="3181">
        <f>Thu03nam!Z56</f>
        <v>174485.3</v>
      </c>
      <c r="H17" s="3182">
        <f>SUM(E17:G17)</f>
        <v>523455.6</v>
      </c>
    </row>
    <row r="18" spans="1:14" s="1442" customFormat="1">
      <c r="A18" s="3062" t="s">
        <v>137</v>
      </c>
      <c r="B18" s="78" t="str">
        <f>Thu03nam!B57</f>
        <v>Bổ sung nguồn thực hiện CCTL (nếu có); đảm bảo nhiệm vụ chi</v>
      </c>
      <c r="C18" s="3180">
        <f>Thu03nam!C57</f>
        <v>0</v>
      </c>
      <c r="D18" s="3180">
        <f>Thu03nam!H57</f>
        <v>0</v>
      </c>
      <c r="E18" s="3181">
        <f>Thu03nam!N57</f>
        <v>650315</v>
      </c>
      <c r="F18" s="3181">
        <f>Thu03nam!T57</f>
        <v>650315</v>
      </c>
      <c r="G18" s="3181">
        <f>Thu03nam!Z57</f>
        <v>650315</v>
      </c>
      <c r="H18" s="3182">
        <f>SUM(E18:G18)</f>
        <v>1950945</v>
      </c>
    </row>
    <row r="19" spans="1:14" s="1436" customFormat="1">
      <c r="A19" s="2931">
        <v>3</v>
      </c>
      <c r="B19" s="1444" t="s">
        <v>1702</v>
      </c>
      <c r="C19" s="3177">
        <f>Thu03nam!C58</f>
        <v>0</v>
      </c>
      <c r="D19" s="3177">
        <f>Thu03nam!H58</f>
        <v>431000</v>
      </c>
      <c r="E19" s="3178">
        <f>Thu03nam!N58</f>
        <v>886000</v>
      </c>
      <c r="F19" s="3178">
        <f>Thu03nam!T58</f>
        <v>717399.2</v>
      </c>
      <c r="G19" s="3178">
        <f>Thu03nam!Z58</f>
        <v>881301.31019487511</v>
      </c>
      <c r="H19" s="3179">
        <f>SUM(E19:G19)</f>
        <v>2484700.5101948753</v>
      </c>
    </row>
    <row r="20" spans="1:14" s="1432" customFormat="1">
      <c r="A20" s="3061" t="s">
        <v>20</v>
      </c>
      <c r="B20" s="1445" t="s">
        <v>132</v>
      </c>
      <c r="C20" s="3174">
        <f>Thu03nam!C59</f>
        <v>31500</v>
      </c>
      <c r="D20" s="3174">
        <f>Thu03nam!H59</f>
        <v>31500</v>
      </c>
      <c r="E20" s="3183">
        <f>Thu03nam!N59</f>
        <v>0</v>
      </c>
      <c r="F20" s="3183">
        <f>Thu03nam!T59</f>
        <v>0</v>
      </c>
      <c r="G20" s="3183">
        <f>Thu03nam!Z59</f>
        <v>0</v>
      </c>
      <c r="H20" s="3184">
        <f t="shared" ref="H20" si="7">SUM(E20:G20)</f>
        <v>0</v>
      </c>
    </row>
    <row r="21" spans="1:14" s="1432" customFormat="1">
      <c r="A21" s="3061" t="s">
        <v>26</v>
      </c>
      <c r="B21" s="1446" t="s">
        <v>1273</v>
      </c>
      <c r="C21" s="3174">
        <f>SUM(C22,C31:C31,C35)</f>
        <v>15819995</v>
      </c>
      <c r="D21" s="3174">
        <f t="shared" ref="D21:G21" si="8">SUM(D22,D31:D31,D35)</f>
        <v>17291694.066666666</v>
      </c>
      <c r="E21" s="3183">
        <f t="shared" si="8"/>
        <v>18627408.915999997</v>
      </c>
      <c r="F21" s="3183">
        <f t="shared" si="8"/>
        <v>19478786.610194877</v>
      </c>
      <c r="G21" s="3183">
        <f t="shared" si="8"/>
        <v>20439289.916623373</v>
      </c>
      <c r="H21" s="3185">
        <f>SUM(H22,H31:H31,H35)</f>
        <v>58545485.442818247</v>
      </c>
    </row>
    <row r="22" spans="1:14">
      <c r="A22" s="3060" t="s">
        <v>9</v>
      </c>
      <c r="B22" s="1428" t="s">
        <v>88</v>
      </c>
      <c r="C22" s="3171">
        <f>SUM(C23:C30)</f>
        <v>13191488</v>
      </c>
      <c r="D22" s="3171">
        <f>SUM(D23:D30)</f>
        <v>14663187.066666666</v>
      </c>
      <c r="E22" s="3172">
        <f>SUM(E23:E30)</f>
        <v>16638432.915999997</v>
      </c>
      <c r="F22" s="3172">
        <f t="shared" ref="F22:G22" si="9">SUM(F23:F30)</f>
        <v>17099301.310194876</v>
      </c>
      <c r="G22" s="3172">
        <f t="shared" si="9"/>
        <v>18059804.616623372</v>
      </c>
      <c r="H22" s="3173">
        <f>SUM(H23:H30)</f>
        <v>51797538.842818245</v>
      </c>
      <c r="J22" s="1239">
        <f>E22/C22</f>
        <v>1.2613006899600709</v>
      </c>
      <c r="K22" s="1239">
        <f>F22/E22</f>
        <v>1.0276990264961607</v>
      </c>
      <c r="L22" s="1239">
        <f t="shared" ref="L22" si="10">G22/F22</f>
        <v>1.0561720791396212</v>
      </c>
      <c r="M22" s="1927">
        <f>SUM(J22:L22)^1/3</f>
        <v>1.1150572651986177</v>
      </c>
      <c r="N22" s="1462"/>
    </row>
    <row r="23" spans="1:14">
      <c r="A23" s="3063">
        <v>1</v>
      </c>
      <c r="B23" s="1448" t="s">
        <v>93</v>
      </c>
      <c r="C23" s="3177">
        <f>ChiNSĐP03nam!C9</f>
        <v>3561000</v>
      </c>
      <c r="D23" s="3177">
        <f>ChiNSĐP03nam!F9</f>
        <v>4091000</v>
      </c>
      <c r="E23" s="3186">
        <f>ChiNSĐP03nam!K9</f>
        <v>4923186.4089698764</v>
      </c>
      <c r="F23" s="3186">
        <f>ChiNSĐP03nam!P9</f>
        <v>4795000</v>
      </c>
      <c r="G23" s="3186">
        <f>ChiNSĐP03nam!U9</f>
        <v>5085000</v>
      </c>
      <c r="H23" s="3187">
        <f t="shared" ref="H23:H30" si="11">SUM(E23:G23)</f>
        <v>14803186.408969875</v>
      </c>
      <c r="J23" s="2577">
        <f>H23/H22</f>
        <v>0.285789378022202</v>
      </c>
    </row>
    <row r="24" spans="1:14">
      <c r="A24" s="3063">
        <v>2</v>
      </c>
      <c r="B24" s="1448" t="s">
        <v>58</v>
      </c>
      <c r="C24" s="3177">
        <f>ChiNSĐP03nam!C15</f>
        <v>9353865</v>
      </c>
      <c r="D24" s="3177">
        <f>ChiNSĐP03nam!F15</f>
        <v>9353865</v>
      </c>
      <c r="E24" s="3186">
        <f>ChiNSĐP03nam!K15</f>
        <v>10664978.394711081</v>
      </c>
      <c r="F24" s="3186">
        <f>ChiNSĐP03nam!P15</f>
        <v>11071000</v>
      </c>
      <c r="G24" s="3186">
        <f>ChiNSĐP03nam!U15</f>
        <v>11373000</v>
      </c>
      <c r="H24" s="3187">
        <f t="shared" si="11"/>
        <v>33108978.394711081</v>
      </c>
      <c r="J24" s="2577">
        <f>H24/H22</f>
        <v>0.63919983718109918</v>
      </c>
    </row>
    <row r="25" spans="1:14">
      <c r="A25" s="3063">
        <v>3</v>
      </c>
      <c r="B25" s="1449" t="s">
        <v>143</v>
      </c>
      <c r="C25" s="3177">
        <f>'Phụ lục số 2'!C31</f>
        <v>0</v>
      </c>
      <c r="D25" s="3177">
        <f>ChiNSĐP03nam!F31</f>
        <v>431000</v>
      </c>
      <c r="E25" s="3186">
        <f>ChiNSĐP03nam!K31</f>
        <v>0</v>
      </c>
      <c r="F25" s="3186">
        <f>ChiNSĐP03nam!P31</f>
        <v>0</v>
      </c>
      <c r="G25" s="3186">
        <f>ChiNSĐP03nam!U31</f>
        <v>0</v>
      </c>
      <c r="H25" s="3187">
        <f t="shared" si="11"/>
        <v>0</v>
      </c>
    </row>
    <row r="26" spans="1:14" s="1436" customFormat="1">
      <c r="A26" s="2931">
        <v>4</v>
      </c>
      <c r="B26" s="78" t="s">
        <v>232</v>
      </c>
      <c r="C26" s="3177">
        <f>'Phụ lục số 2'!C32</f>
        <v>0</v>
      </c>
      <c r="D26" s="3177">
        <f>ChiNSĐP03nam!F32</f>
        <v>357489.34666666656</v>
      </c>
      <c r="E26" s="3178">
        <f>ChiNSĐP03nam!K32</f>
        <v>717399.2</v>
      </c>
      <c r="F26" s="3178">
        <f>ChiNSĐP03nam!P32</f>
        <v>881301.31019487511</v>
      </c>
      <c r="G26" s="3178">
        <f>ChiNSĐP03nam!U32</f>
        <v>1235804.6166233711</v>
      </c>
      <c r="H26" s="3179">
        <f>SUM(E26:G26)</f>
        <v>2834505.1268182462</v>
      </c>
      <c r="J26" s="1436">
        <v>48229</v>
      </c>
    </row>
    <row r="27" spans="1:14" s="1436" customFormat="1">
      <c r="A27" s="2931">
        <v>5</v>
      </c>
      <c r="B27" s="78" t="s">
        <v>231</v>
      </c>
      <c r="C27" s="3177">
        <f>'Phụ lục số 2'!C33</f>
        <v>0</v>
      </c>
      <c r="D27" s="3177">
        <f>ChiNSĐP03nam!F33</f>
        <v>153209.71999999997</v>
      </c>
      <c r="E27" s="3178">
        <f>ChiNSĐP03nam!K33</f>
        <v>0</v>
      </c>
      <c r="F27" s="3178">
        <f>ChiNSĐP03nam!P33</f>
        <v>0</v>
      </c>
      <c r="G27" s="3178">
        <f>ChiNSĐP03nam!U33</f>
        <v>0</v>
      </c>
      <c r="H27" s="3179">
        <f t="shared" si="11"/>
        <v>0</v>
      </c>
      <c r="J27" s="1436">
        <v>52197</v>
      </c>
    </row>
    <row r="28" spans="1:14" s="1436" customFormat="1">
      <c r="A28" s="2931">
        <v>6</v>
      </c>
      <c r="B28" s="1444" t="s">
        <v>60</v>
      </c>
      <c r="C28" s="3177">
        <f>ChiNSĐP03nam!C29</f>
        <v>2000</v>
      </c>
      <c r="D28" s="3177">
        <f>ChiNSĐP03nam!F29</f>
        <v>2000</v>
      </c>
      <c r="E28" s="3178">
        <f>ChiNSĐP03nam!K29</f>
        <v>2000</v>
      </c>
      <c r="F28" s="3178">
        <f>ChiNSĐP03nam!P29</f>
        <v>2000</v>
      </c>
      <c r="G28" s="3178">
        <f>ChiNSĐP03nam!U29</f>
        <v>2000</v>
      </c>
      <c r="H28" s="3179">
        <f t="shared" si="11"/>
        <v>6000</v>
      </c>
    </row>
    <row r="29" spans="1:14" s="1436" customFormat="1">
      <c r="A29" s="2931">
        <v>7</v>
      </c>
      <c r="B29" s="1444" t="s">
        <v>87</v>
      </c>
      <c r="C29" s="3177">
        <f>ChiNSĐP03nam!C30</f>
        <v>274623</v>
      </c>
      <c r="D29" s="3177">
        <f>ChiNSĐP03nam!F30</f>
        <v>274623</v>
      </c>
      <c r="E29" s="3178">
        <f>ChiNSĐP03nam!K30</f>
        <v>327868.91231904214</v>
      </c>
      <c r="F29" s="3178">
        <f>ChiNSĐP03nam!P30</f>
        <v>347000</v>
      </c>
      <c r="G29" s="3178">
        <f>ChiNSĐP03nam!U30</f>
        <v>361000</v>
      </c>
      <c r="H29" s="3179">
        <f t="shared" si="11"/>
        <v>1035868.9123190421</v>
      </c>
    </row>
    <row r="30" spans="1:14" s="1436" customFormat="1">
      <c r="A30" s="2931">
        <v>8</v>
      </c>
      <c r="B30" s="1444" t="s">
        <v>126</v>
      </c>
      <c r="C30" s="3177">
        <f>ChiNSĐP03nam!C34</f>
        <v>0</v>
      </c>
      <c r="D30" s="3177">
        <f>ChiNSĐP03nam!F34</f>
        <v>0</v>
      </c>
      <c r="E30" s="3178">
        <f>ChiNSĐP03nam!K34</f>
        <v>3000</v>
      </c>
      <c r="F30" s="3178">
        <f>ChiNSĐP03nam!P34</f>
        <v>3000</v>
      </c>
      <c r="G30" s="3178">
        <f>ChiNSĐP03nam!U34</f>
        <v>3000</v>
      </c>
      <c r="H30" s="3179">
        <f t="shared" si="11"/>
        <v>9000</v>
      </c>
    </row>
    <row r="31" spans="1:14" s="1436" customFormat="1">
      <c r="A31" s="2930" t="s">
        <v>20</v>
      </c>
      <c r="B31" s="1434" t="s">
        <v>1275</v>
      </c>
      <c r="C31" s="3171">
        <f>SUM(C32:C34)</f>
        <v>2597007</v>
      </c>
      <c r="D31" s="3171">
        <f>SUM(D32:D34)</f>
        <v>2597007</v>
      </c>
      <c r="E31" s="3171">
        <f t="shared" ref="E31:G31" si="12">SUM(E32:E34)</f>
        <v>1988976</v>
      </c>
      <c r="F31" s="3171">
        <f t="shared" si="12"/>
        <v>2379485.2999999998</v>
      </c>
      <c r="G31" s="3171">
        <f t="shared" si="12"/>
        <v>2379485.2999999998</v>
      </c>
      <c r="H31" s="3176">
        <f>SUM(H32:H34)</f>
        <v>6747946.5999999996</v>
      </c>
    </row>
    <row r="32" spans="1:14">
      <c r="A32" s="2931">
        <v>1</v>
      </c>
      <c r="B32" s="78" t="str">
        <f>'Phụ lục số 2'!B36</f>
        <v>Chi thực hiện mục tiêu, nhiệm vụ quan trọng (vốn đầu tư phát triển)</v>
      </c>
      <c r="C32" s="3188">
        <f>ChiNSĐP03nam!C36</f>
        <v>2417971</v>
      </c>
      <c r="D32" s="3188">
        <f>ChiNSĐP03nam!F36</f>
        <v>2417971</v>
      </c>
      <c r="E32" s="3188">
        <f>ChiNSĐP03nam!K36</f>
        <v>1814491</v>
      </c>
      <c r="F32" s="3188">
        <f>ChiNSĐP03nam!P36</f>
        <v>2205000</v>
      </c>
      <c r="G32" s="3188">
        <f>ChiNSĐP03nam!U36</f>
        <v>2205000</v>
      </c>
      <c r="H32" s="3179">
        <f>SUM(E32:G32)</f>
        <v>6224491</v>
      </c>
    </row>
    <row r="33" spans="1:11">
      <c r="A33" s="2931">
        <v>2</v>
      </c>
      <c r="B33" s="78" t="str">
        <f>'Phụ lục số 2'!B37</f>
        <v>Chi thực hiện mục tiêu, nhiệm vụ quan trọng (kinh phí sự nghiệp)</v>
      </c>
      <c r="C33" s="3188">
        <f>ChiNSĐP03nam!C37</f>
        <v>179036</v>
      </c>
      <c r="D33" s="3188">
        <f>ChiNSĐP03nam!F37</f>
        <v>179036</v>
      </c>
      <c r="E33" s="3188">
        <f>ChiNSĐP03nam!K37</f>
        <v>174485</v>
      </c>
      <c r="F33" s="3188">
        <f>ChiNSĐP03nam!P37</f>
        <v>174485.3</v>
      </c>
      <c r="G33" s="3188">
        <f>ChiNSĐP03nam!U37</f>
        <v>174485.3</v>
      </c>
      <c r="H33" s="3179">
        <f>SUM(E33:G33)</f>
        <v>523455.6</v>
      </c>
      <c r="K33" s="1239" t="s">
        <v>227</v>
      </c>
    </row>
    <row r="34" spans="1:11">
      <c r="A34" s="2931">
        <v>3</v>
      </c>
      <c r="B34" s="78" t="str">
        <f>'Phụ lục số 2'!B38</f>
        <v>Chi bổ sung có mục tiêu nhiệm vụ quan trọng khác (nếu có)</v>
      </c>
      <c r="C34" s="3188">
        <f>ChiNSĐP03nam!C38</f>
        <v>0</v>
      </c>
      <c r="D34" s="3188">
        <f>ChiNSĐP03nam!F38</f>
        <v>0</v>
      </c>
      <c r="E34" s="3188">
        <f>ChiNSĐP03nam!K38</f>
        <v>0</v>
      </c>
      <c r="F34" s="3188">
        <f>ChiNSĐP03nam!P38</f>
        <v>0</v>
      </c>
      <c r="G34" s="3188">
        <f>ChiNSĐP03nam!U38</f>
        <v>0</v>
      </c>
      <c r="H34" s="3179">
        <f t="shared" ref="H34:H46" si="13">SUM(E34:G34)</f>
        <v>0</v>
      </c>
    </row>
    <row r="35" spans="1:11" s="1451" customFormat="1" ht="18.600000000000001" thickBot="1">
      <c r="A35" s="3064" t="s">
        <v>49</v>
      </c>
      <c r="B35" s="3065" t="s">
        <v>133</v>
      </c>
      <c r="C35" s="3189">
        <f>ChiNSĐP03nam!C39</f>
        <v>31500</v>
      </c>
      <c r="D35" s="3189">
        <f>ChiNSĐP03nam!F39</f>
        <v>31500</v>
      </c>
      <c r="E35" s="3190">
        <f>ChiNSĐP03nam!K39</f>
        <v>0</v>
      </c>
      <c r="F35" s="3191">
        <f>ChiNSĐP03nam!P39</f>
        <v>0</v>
      </c>
      <c r="G35" s="3192">
        <f>ChiNSĐP03nam!U39</f>
        <v>0</v>
      </c>
      <c r="H35" s="3193">
        <f t="shared" si="13"/>
        <v>0</v>
      </c>
    </row>
    <row r="36" spans="1:11" hidden="1">
      <c r="A36" s="1824" t="s">
        <v>130</v>
      </c>
      <c r="B36" s="2649" t="s">
        <v>1276</v>
      </c>
      <c r="C36" s="1463"/>
      <c r="D36" s="1456"/>
      <c r="E36" s="1456"/>
      <c r="F36" s="1456"/>
      <c r="G36" s="1456"/>
      <c r="H36" s="1457">
        <f t="shared" si="13"/>
        <v>0</v>
      </c>
    </row>
    <row r="37" spans="1:11" ht="34.799999999999997" hidden="1">
      <c r="A37" s="1452" t="s">
        <v>217</v>
      </c>
      <c r="B37" s="1453" t="s">
        <v>885</v>
      </c>
      <c r="C37" s="1454"/>
      <c r="D37" s="1455"/>
      <c r="E37" s="1455"/>
      <c r="F37" s="1455"/>
      <c r="G37" s="1455"/>
      <c r="H37" s="78">
        <f t="shared" si="13"/>
        <v>0</v>
      </c>
    </row>
    <row r="38" spans="1:11" hidden="1">
      <c r="A38" s="1452" t="s">
        <v>9</v>
      </c>
      <c r="B38" s="1453" t="s">
        <v>526</v>
      </c>
      <c r="C38" s="1454"/>
      <c r="D38" s="1455"/>
      <c r="E38" s="1455"/>
      <c r="F38" s="1455"/>
      <c r="G38" s="1455"/>
      <c r="H38" s="78">
        <f t="shared" si="13"/>
        <v>0</v>
      </c>
    </row>
    <row r="39" spans="1:11" hidden="1">
      <c r="A39" s="1452" t="s">
        <v>20</v>
      </c>
      <c r="B39" s="1453" t="s">
        <v>527</v>
      </c>
      <c r="C39" s="1454"/>
      <c r="D39" s="1455"/>
      <c r="E39" s="1455"/>
      <c r="F39" s="1455"/>
      <c r="G39" s="1455"/>
      <c r="H39" s="78">
        <f t="shared" si="13"/>
        <v>0</v>
      </c>
    </row>
    <row r="40" spans="1:11" hidden="1">
      <c r="A40" s="1452" t="s">
        <v>49</v>
      </c>
      <c r="B40" s="1453" t="s">
        <v>1277</v>
      </c>
      <c r="C40" s="1454"/>
      <c r="D40" s="1455"/>
      <c r="E40" s="1455"/>
      <c r="F40" s="1455"/>
      <c r="G40" s="1455"/>
      <c r="H40" s="78">
        <f t="shared" si="13"/>
        <v>0</v>
      </c>
    </row>
    <row r="41" spans="1:11" hidden="1">
      <c r="A41" s="1458">
        <v>1</v>
      </c>
      <c r="B41" s="1459" t="s">
        <v>531</v>
      </c>
      <c r="C41" s="1460"/>
      <c r="D41" s="1461"/>
      <c r="E41" s="1461"/>
      <c r="F41" s="1461"/>
      <c r="G41" s="1461"/>
      <c r="H41" s="78">
        <f t="shared" si="13"/>
        <v>0</v>
      </c>
    </row>
    <row r="42" spans="1:11" ht="36" hidden="1">
      <c r="A42" s="1458">
        <v>2</v>
      </c>
      <c r="B42" s="1459" t="s">
        <v>1278</v>
      </c>
      <c r="C42" s="1460"/>
      <c r="D42" s="1461"/>
      <c r="E42" s="1461"/>
      <c r="F42" s="1461"/>
      <c r="G42" s="1461"/>
      <c r="H42" s="78">
        <f t="shared" si="13"/>
        <v>0</v>
      </c>
    </row>
    <row r="43" spans="1:11" hidden="1">
      <c r="A43" s="1452" t="s">
        <v>50</v>
      </c>
      <c r="B43" s="1453" t="s">
        <v>1279</v>
      </c>
      <c r="C43" s="1454"/>
      <c r="D43" s="1455"/>
      <c r="E43" s="1455"/>
      <c r="F43" s="1455"/>
      <c r="G43" s="1455"/>
      <c r="H43" s="78">
        <f t="shared" si="13"/>
        <v>0</v>
      </c>
    </row>
    <row r="44" spans="1:11" hidden="1">
      <c r="A44" s="1458">
        <v>1</v>
      </c>
      <c r="B44" s="1459" t="s">
        <v>534</v>
      </c>
      <c r="C44" s="1460"/>
      <c r="D44" s="1461"/>
      <c r="E44" s="1461"/>
      <c r="F44" s="1461"/>
      <c r="G44" s="1461"/>
      <c r="H44" s="78">
        <f t="shared" si="13"/>
        <v>0</v>
      </c>
    </row>
    <row r="45" spans="1:11" hidden="1">
      <c r="A45" s="1458">
        <v>2</v>
      </c>
      <c r="B45" s="1459" t="s">
        <v>535</v>
      </c>
      <c r="C45" s="1460"/>
      <c r="D45" s="1461"/>
      <c r="E45" s="1461"/>
      <c r="F45" s="1461"/>
      <c r="G45" s="1461"/>
      <c r="H45" s="78">
        <f t="shared" si="13"/>
        <v>0</v>
      </c>
    </row>
    <row r="46" spans="1:11" hidden="1">
      <c r="A46" s="1452" t="s">
        <v>72</v>
      </c>
      <c r="B46" s="1453" t="s">
        <v>536</v>
      </c>
      <c r="C46" s="1454"/>
      <c r="D46" s="1455"/>
      <c r="E46" s="1455"/>
      <c r="F46" s="1455"/>
      <c r="G46" s="1455"/>
      <c r="H46" s="78">
        <f t="shared" si="13"/>
        <v>0</v>
      </c>
    </row>
    <row r="47" spans="1:11" ht="18.600000000000001" thickTop="1"/>
    <row r="48" spans="1:11" hidden="1">
      <c r="D48" s="1462">
        <f>D21-D8</f>
        <v>294299.26666666567</v>
      </c>
      <c r="E48" s="1462">
        <f t="shared" ref="E48:G48" si="14">E21-E8</f>
        <v>-8.4000002592802048E-2</v>
      </c>
      <c r="F48" s="1462">
        <f>F21-F8</f>
        <v>-0.11019487306475639</v>
      </c>
      <c r="G48" s="1462">
        <f t="shared" si="14"/>
        <v>0.17318175360560417</v>
      </c>
      <c r="H48" s="1462">
        <f>H21-H8</f>
        <v>-2.1013118326663971E-2</v>
      </c>
    </row>
  </sheetData>
  <mergeCells count="2">
    <mergeCell ref="A1:H1"/>
    <mergeCell ref="D2:E2"/>
  </mergeCells>
  <hyperlinks>
    <hyperlink ref="A4" location="'List danh mục'!A1" display="TT"/>
  </hyperlinks>
  <printOptions horizontalCentered="1"/>
  <pageMargins left="0" right="0" top="0.39370078740157483" bottom="0" header="0.19685039370078741" footer="0.19685039370078741"/>
  <pageSetup paperSize="9" scale="90" orientation="portrait" r:id="rId1"/>
  <headerFooter>
    <oddHeader>&amp;R&amp;A</oddHeader>
    <oddFooter>&amp;C&amp;P/&amp;N</oddFooter>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AF88"/>
  <sheetViews>
    <sheetView workbookViewId="0">
      <pane xSplit="2" ySplit="8" topLeftCell="G33" activePane="bottomRight" state="frozen"/>
      <selection activeCell="AG10" sqref="AG10"/>
      <selection pane="topRight" activeCell="AG10" sqref="AG10"/>
      <selection pane="bottomLeft" activeCell="AG10" sqref="AG10"/>
      <selection pane="bottomRight" activeCell="Q15" sqref="Q15"/>
    </sheetView>
  </sheetViews>
  <sheetFormatPr defaultColWidth="9" defaultRowHeight="16.8"/>
  <cols>
    <col min="1" max="1" width="4.19921875" style="1144" customWidth="1"/>
    <col min="2" max="2" width="32.69921875" style="1145" customWidth="1"/>
    <col min="3" max="17" width="9.5" style="1145" customWidth="1"/>
    <col min="18" max="20" width="10.09765625" style="1145" customWidth="1"/>
    <col min="21" max="21" width="17.5" style="1145" customWidth="1"/>
    <col min="22" max="22" width="16.5" style="1145" customWidth="1"/>
    <col min="23" max="23" width="13.8984375" style="1145" customWidth="1"/>
    <col min="24" max="24" width="16.5" style="1145" customWidth="1"/>
    <col min="25" max="25" width="17" style="1145" customWidth="1"/>
    <col min="26" max="26" width="16.59765625" style="1145" customWidth="1"/>
    <col min="27" max="27" width="29.59765625" style="1145" customWidth="1"/>
    <col min="28" max="28" width="12.5" style="1145" customWidth="1"/>
    <col min="29" max="29" width="11" style="1145" customWidth="1"/>
    <col min="30" max="30" width="40.8984375" style="1145" bestFit="1" customWidth="1"/>
    <col min="31" max="16384" width="9" style="1145"/>
  </cols>
  <sheetData>
    <row r="1" spans="1:32" ht="34.5" customHeight="1">
      <c r="A1" s="4275" t="s">
        <v>1716</v>
      </c>
      <c r="B1" s="4275"/>
      <c r="C1" s="4275"/>
      <c r="D1" s="4275"/>
      <c r="E1" s="4275"/>
      <c r="F1" s="4275"/>
      <c r="G1" s="4275"/>
      <c r="H1" s="4275"/>
      <c r="I1" s="4275"/>
      <c r="J1" s="4275"/>
      <c r="K1" s="4275"/>
      <c r="L1" s="4275"/>
      <c r="M1" s="4275"/>
      <c r="N1" s="4275"/>
      <c r="O1" s="4275"/>
      <c r="P1" s="4275"/>
      <c r="Q1" s="4275"/>
      <c r="R1" s="2663"/>
      <c r="S1" s="2663"/>
      <c r="T1" s="2663"/>
      <c r="U1" s="245"/>
      <c r="V1" s="245"/>
      <c r="W1" s="245"/>
      <c r="X1" s="245"/>
      <c r="Y1" s="245"/>
      <c r="Z1" s="245"/>
      <c r="AC1" s="256"/>
    </row>
    <row r="2" spans="1:32" ht="17.399999999999999" thickBot="1">
      <c r="A2" s="286"/>
      <c r="B2" s="286"/>
      <c r="C2" s="286"/>
      <c r="D2" s="286"/>
      <c r="E2" s="286"/>
      <c r="F2" s="286"/>
      <c r="G2" s="245"/>
      <c r="H2" s="220"/>
      <c r="L2" s="247"/>
      <c r="M2" s="247"/>
      <c r="N2" s="1146"/>
      <c r="O2" s="247"/>
      <c r="P2" s="247"/>
      <c r="Q2" s="247"/>
      <c r="R2" s="4456" t="s">
        <v>182</v>
      </c>
      <c r="S2" s="4456"/>
      <c r="T2" s="4456"/>
      <c r="U2" s="245"/>
      <c r="V2" s="245"/>
      <c r="W2" s="245"/>
      <c r="X2" s="245"/>
      <c r="Y2" s="245"/>
      <c r="Z2" s="245"/>
    </row>
    <row r="3" spans="1:32" s="1147" customFormat="1" ht="17.25" customHeight="1">
      <c r="A3" s="4457" t="s">
        <v>183</v>
      </c>
      <c r="B3" s="4459" t="s">
        <v>52</v>
      </c>
      <c r="C3" s="4461" t="s">
        <v>184</v>
      </c>
      <c r="D3" s="4461"/>
      <c r="E3" s="4461"/>
      <c r="F3" s="4462" t="s">
        <v>208</v>
      </c>
      <c r="G3" s="4463"/>
      <c r="H3" s="4464"/>
      <c r="I3" s="4462" t="s">
        <v>209</v>
      </c>
      <c r="J3" s="4463"/>
      <c r="K3" s="4464"/>
      <c r="L3" s="4462" t="s">
        <v>185</v>
      </c>
      <c r="M3" s="4463"/>
      <c r="N3" s="4464"/>
      <c r="O3" s="4462" t="s">
        <v>210</v>
      </c>
      <c r="P3" s="4463"/>
      <c r="Q3" s="4465"/>
      <c r="R3" s="4454" t="s">
        <v>242</v>
      </c>
      <c r="S3" s="4454"/>
      <c r="T3" s="4455"/>
      <c r="U3" s="4453" t="s">
        <v>187</v>
      </c>
      <c r="V3" s="4454"/>
      <c r="W3" s="4455"/>
      <c r="X3" s="4453" t="s">
        <v>188</v>
      </c>
      <c r="Y3" s="4454"/>
      <c r="Z3" s="4455"/>
      <c r="AA3" s="4453" t="s">
        <v>189</v>
      </c>
      <c r="AB3" s="4454"/>
      <c r="AC3" s="4455"/>
      <c r="AD3" s="4453" t="s">
        <v>190</v>
      </c>
      <c r="AE3" s="4454"/>
      <c r="AF3" s="4455"/>
    </row>
    <row r="4" spans="1:32" s="1147" customFormat="1">
      <c r="A4" s="4458"/>
      <c r="B4" s="4460"/>
      <c r="C4" s="1148" t="s">
        <v>53</v>
      </c>
      <c r="D4" s="1149" t="s">
        <v>191</v>
      </c>
      <c r="E4" s="1149" t="s">
        <v>192</v>
      </c>
      <c r="F4" s="1148" t="s">
        <v>53</v>
      </c>
      <c r="G4" s="1149" t="s">
        <v>191</v>
      </c>
      <c r="H4" s="1149" t="s">
        <v>192</v>
      </c>
      <c r="I4" s="1148" t="s">
        <v>53</v>
      </c>
      <c r="J4" s="1149" t="s">
        <v>191</v>
      </c>
      <c r="K4" s="1149" t="s">
        <v>192</v>
      </c>
      <c r="L4" s="1148" t="s">
        <v>53</v>
      </c>
      <c r="M4" s="1149" t="s">
        <v>191</v>
      </c>
      <c r="N4" s="1149" t="s">
        <v>192</v>
      </c>
      <c r="O4" s="1148" t="s">
        <v>53</v>
      </c>
      <c r="P4" s="1149" t="s">
        <v>191</v>
      </c>
      <c r="Q4" s="2660" t="s">
        <v>192</v>
      </c>
      <c r="R4" s="2654" t="s">
        <v>53</v>
      </c>
      <c r="S4" s="1149" t="s">
        <v>191</v>
      </c>
      <c r="T4" s="1149" t="s">
        <v>192</v>
      </c>
      <c r="U4" s="1148" t="s">
        <v>53</v>
      </c>
      <c r="V4" s="284" t="s">
        <v>54</v>
      </c>
      <c r="W4" s="284" t="s">
        <v>55</v>
      </c>
      <c r="X4" s="1148" t="s">
        <v>53</v>
      </c>
      <c r="Y4" s="284" t="s">
        <v>54</v>
      </c>
      <c r="Z4" s="284" t="s">
        <v>55</v>
      </c>
      <c r="AA4" s="1148" t="s">
        <v>53</v>
      </c>
      <c r="AB4" s="284" t="s">
        <v>54</v>
      </c>
      <c r="AC4" s="284" t="s">
        <v>55</v>
      </c>
      <c r="AD4" s="1148" t="s">
        <v>53</v>
      </c>
      <c r="AE4" s="284" t="s">
        <v>54</v>
      </c>
      <c r="AF4" s="284" t="s">
        <v>55</v>
      </c>
    </row>
    <row r="5" spans="1:32" s="1147" customFormat="1" ht="17.399999999999999">
      <c r="A5" s="2647" t="s">
        <v>7</v>
      </c>
      <c r="B5" s="130" t="s">
        <v>193</v>
      </c>
      <c r="C5" s="1150">
        <f t="shared" ref="C5:E5" si="0">SUM(C8,C13,C19,C20)</f>
        <v>15819995</v>
      </c>
      <c r="D5" s="1150">
        <f t="shared" si="0"/>
        <v>12922645</v>
      </c>
      <c r="E5" s="1150">
        <f t="shared" si="0"/>
        <v>2897350</v>
      </c>
      <c r="F5" s="1150">
        <f t="shared" ref="F5:Q5" si="1">SUM(F8,F13,F19,F20)</f>
        <v>16997394.800000001</v>
      </c>
      <c r="G5" s="1150">
        <f t="shared" si="1"/>
        <v>13068045.733333334</v>
      </c>
      <c r="H5" s="1150">
        <f t="shared" si="1"/>
        <v>3929349.0666666664</v>
      </c>
      <c r="I5" s="1150">
        <f>SUM(I8,I13,I19,I20)</f>
        <v>18627409</v>
      </c>
      <c r="J5" s="1150">
        <f>SUM(J8,J13,J19,J20)</f>
        <v>13800829</v>
      </c>
      <c r="K5" s="1150">
        <f t="shared" si="1"/>
        <v>4826580</v>
      </c>
      <c r="L5" s="1469">
        <f t="shared" si="1"/>
        <v>19478786.72038975</v>
      </c>
      <c r="M5" s="1150">
        <f t="shared" si="1"/>
        <v>15344426.462668305</v>
      </c>
      <c r="N5" s="1150">
        <f t="shared" si="1"/>
        <v>4134360.2577214451</v>
      </c>
      <c r="O5" s="1150">
        <f>SUM(O8,O13,O19,O20)</f>
        <v>20439289.743441619</v>
      </c>
      <c r="P5" s="1150">
        <f t="shared" si="1"/>
        <v>16384605.94885355</v>
      </c>
      <c r="Q5" s="2661">
        <f t="shared" si="1"/>
        <v>4054683.7945880671</v>
      </c>
      <c r="R5" s="2655">
        <f t="shared" ref="R5:T5" si="2">SUM(R8,R13,R19,R20)</f>
        <v>58545485.463831373</v>
      </c>
      <c r="S5" s="1150">
        <f t="shared" si="2"/>
        <v>45529861.411521859</v>
      </c>
      <c r="T5" s="1150">
        <f t="shared" si="2"/>
        <v>13015624.052309511</v>
      </c>
      <c r="U5" s="1151" t="s">
        <v>194</v>
      </c>
      <c r="V5" s="1150"/>
      <c r="W5" s="1150"/>
      <c r="X5" s="1151" t="s">
        <v>194</v>
      </c>
      <c r="Y5" s="1150"/>
      <c r="Z5" s="1150"/>
      <c r="AA5" s="1151" t="s">
        <v>194</v>
      </c>
      <c r="AB5" s="1150"/>
      <c r="AC5" s="1150"/>
      <c r="AD5" s="1151" t="s">
        <v>194</v>
      </c>
      <c r="AE5" s="1150"/>
      <c r="AF5" s="1150"/>
    </row>
    <row r="6" spans="1:32" s="1147" customFormat="1" ht="17.399999999999999">
      <c r="A6" s="2635"/>
      <c r="B6" s="134" t="s">
        <v>195</v>
      </c>
      <c r="C6" s="336">
        <f t="shared" ref="C6:T6" si="3">C8+C14+C19-C45</f>
        <v>13191488</v>
      </c>
      <c r="D6" s="336">
        <f t="shared" si="3"/>
        <v>5545417</v>
      </c>
      <c r="E6" s="336">
        <f t="shared" si="3"/>
        <v>7646071</v>
      </c>
      <c r="F6" s="336">
        <f t="shared" si="3"/>
        <v>14663187.066666666</v>
      </c>
      <c r="G6" s="336">
        <f t="shared" si="3"/>
        <v>5985117</v>
      </c>
      <c r="H6" s="336">
        <f t="shared" si="3"/>
        <v>8678070.0666666664</v>
      </c>
      <c r="I6" s="336">
        <f t="shared" si="3"/>
        <v>15988118.315999996</v>
      </c>
      <c r="J6" s="336">
        <f t="shared" si="3"/>
        <v>6079714.568</v>
      </c>
      <c r="K6" s="336">
        <f t="shared" si="3"/>
        <v>9908403.3479999993</v>
      </c>
      <c r="L6" s="336">
        <f t="shared" si="3"/>
        <v>16448986.310194876</v>
      </c>
      <c r="M6" s="336">
        <f t="shared" si="3"/>
        <v>7231302.7542155068</v>
      </c>
      <c r="N6" s="336">
        <f t="shared" si="3"/>
        <v>9217683.5559793673</v>
      </c>
      <c r="O6" s="336">
        <f t="shared" si="3"/>
        <v>17409489.616623372</v>
      </c>
      <c r="P6" s="336">
        <f t="shared" si="3"/>
        <v>8271482.686725799</v>
      </c>
      <c r="Q6" s="2650">
        <f t="shared" si="3"/>
        <v>9138006.929897571</v>
      </c>
      <c r="R6" s="2656">
        <f>R8+R14+R19-R45</f>
        <v>49846594.242818236</v>
      </c>
      <c r="S6" s="336">
        <f t="shared" si="3"/>
        <v>21582500.008941308</v>
      </c>
      <c r="T6" s="336">
        <f t="shared" si="3"/>
        <v>28264093.833876938</v>
      </c>
      <c r="U6" s="1153"/>
      <c r="V6" s="336"/>
      <c r="W6" s="336"/>
      <c r="X6" s="1153"/>
      <c r="Y6" s="336"/>
      <c r="Z6" s="336"/>
      <c r="AA6" s="1153"/>
      <c r="AB6" s="336"/>
      <c r="AC6" s="336"/>
      <c r="AD6" s="1153"/>
      <c r="AE6" s="336"/>
      <c r="AF6" s="336"/>
    </row>
    <row r="7" spans="1:32" s="1147" customFormat="1" ht="17.399999999999999">
      <c r="A7" s="2635"/>
      <c r="B7" s="134" t="s">
        <v>196</v>
      </c>
      <c r="C7" s="336">
        <f>+D7+E7</f>
        <v>10691488</v>
      </c>
      <c r="D7" s="336">
        <f>D6-D9-D10</f>
        <v>3845417</v>
      </c>
      <c r="E7" s="336">
        <f>E6-E9-E10</f>
        <v>6846071</v>
      </c>
      <c r="F7" s="336">
        <f>+G7+H7</f>
        <v>11633187.066666666</v>
      </c>
      <c r="G7" s="336">
        <f>G6-G9-G10</f>
        <v>3935117</v>
      </c>
      <c r="H7" s="336">
        <f>H6-H9-H10</f>
        <v>7698070.0666666664</v>
      </c>
      <c r="I7" s="336">
        <f>+J7+K7</f>
        <v>12268117.915999999</v>
      </c>
      <c r="J7" s="336">
        <f>J6-J9-J10</f>
        <v>3502714.568</v>
      </c>
      <c r="K7" s="336">
        <f>K6-K9-K10</f>
        <v>8765403.3479999993</v>
      </c>
      <c r="L7" s="336">
        <f>+M7+N7</f>
        <v>12926986.310194874</v>
      </c>
      <c r="M7" s="336">
        <f>M6-M9-M10</f>
        <v>4484203.0084527954</v>
      </c>
      <c r="N7" s="336">
        <f>N6-N9-N10</f>
        <v>8442783.3017420787</v>
      </c>
      <c r="O7" s="336">
        <f>+P7+Q7</f>
        <v>13649489.61662337</v>
      </c>
      <c r="P7" s="336">
        <f>P6-P9-P10</f>
        <v>5325082.9536749516</v>
      </c>
      <c r="Q7" s="2650">
        <f>Q6-Q9-Q10</f>
        <v>8324406.6629484184</v>
      </c>
      <c r="R7" s="2657">
        <f>+S7+T7</f>
        <v>38844593.842818245</v>
      </c>
      <c r="S7" s="336">
        <f>S6-S9-S10</f>
        <v>13312000.530127749</v>
      </c>
      <c r="T7" s="336">
        <f>T6-T9-T10</f>
        <v>25532593.312690496</v>
      </c>
      <c r="U7" s="1153"/>
      <c r="V7" s="336"/>
      <c r="W7" s="336"/>
      <c r="X7" s="1153"/>
      <c r="Y7" s="336"/>
      <c r="Z7" s="336"/>
      <c r="AA7" s="1153"/>
      <c r="AB7" s="336"/>
      <c r="AC7" s="336"/>
      <c r="AD7" s="1153"/>
      <c r="AE7" s="336"/>
      <c r="AF7" s="336"/>
    </row>
    <row r="8" spans="1:32" s="1147" customFormat="1" ht="17.399999999999999">
      <c r="A8" s="2635">
        <v>1</v>
      </c>
      <c r="B8" s="134" t="s">
        <v>56</v>
      </c>
      <c r="C8" s="336">
        <f>SUM(D8:E8)</f>
        <v>6704000</v>
      </c>
      <c r="D8" s="336">
        <f>Thu03nam!F8</f>
        <v>3806650</v>
      </c>
      <c r="E8" s="336">
        <f>Thu03nam!G8</f>
        <v>2897350</v>
      </c>
      <c r="F8" s="336">
        <f t="shared" ref="F8:F20" si="4">SUM(G8:H8)</f>
        <v>7450399.7999999998</v>
      </c>
      <c r="G8" s="336">
        <f>Thu03nam!L8</f>
        <v>3862350.7333333334</v>
      </c>
      <c r="H8" s="336">
        <f>Thu03nam!M8</f>
        <v>3588049.0666666664</v>
      </c>
      <c r="I8" s="336">
        <f t="shared" ref="I8:I15" si="5">SUM(J8:K8)</f>
        <v>8484930</v>
      </c>
      <c r="J8" s="336">
        <f>Thu03nam!R8</f>
        <v>4544350</v>
      </c>
      <c r="K8" s="336">
        <f>Thu03nam!S8</f>
        <v>3940580</v>
      </c>
      <c r="L8" s="336">
        <f t="shared" ref="L8:L14" si="6">SUM(M8:N8)</f>
        <v>9114399.2203897499</v>
      </c>
      <c r="M8" s="336">
        <f>Thu03nam!X8</f>
        <v>5618298.9626683053</v>
      </c>
      <c r="N8" s="336">
        <f>Thu03nam!Y8</f>
        <v>3496100.2577214451</v>
      </c>
      <c r="O8" s="336">
        <f t="shared" ref="O8:O14" si="7">SUM(P8:Q8)</f>
        <v>9911000.1332467422</v>
      </c>
      <c r="P8" s="336">
        <f>Thu03nam!AD8</f>
        <v>6172099.6404007524</v>
      </c>
      <c r="Q8" s="2650">
        <f>Thu03nam!AE8</f>
        <v>3738900.4928459888</v>
      </c>
      <c r="R8" s="2657">
        <f t="shared" ref="R8:T14" si="8">I8+L8+O8</f>
        <v>27510329.353636492</v>
      </c>
      <c r="S8" s="336">
        <f t="shared" si="8"/>
        <v>16334748.603069058</v>
      </c>
      <c r="T8" s="336">
        <f t="shared" si="8"/>
        <v>11175580.750567432</v>
      </c>
      <c r="U8" s="336">
        <f>SUM(V8:W8)</f>
        <v>746399.79999999981</v>
      </c>
      <c r="V8" s="336">
        <f>G8-$D$8</f>
        <v>55700.733333333395</v>
      </c>
      <c r="W8" s="336">
        <f>H8-$E$8</f>
        <v>690699.06666666642</v>
      </c>
      <c r="X8" s="336">
        <f>SUM(Y8:Z8)</f>
        <v>1780930</v>
      </c>
      <c r="Y8" s="336">
        <f>J8-$D$8</f>
        <v>737700</v>
      </c>
      <c r="Z8" s="336">
        <f>K8-$E$8</f>
        <v>1043230</v>
      </c>
      <c r="AA8" s="336">
        <f>SUM(AB8:AC8)</f>
        <v>2410399.2203897503</v>
      </c>
      <c r="AB8" s="336">
        <f>M8-$D$8</f>
        <v>1811648.9626683053</v>
      </c>
      <c r="AC8" s="336">
        <f>N8-$E$8</f>
        <v>598750.25772144506</v>
      </c>
      <c r="AD8" s="336">
        <f>SUM(AE8:AF8)</f>
        <v>3207000.1332467413</v>
      </c>
      <c r="AE8" s="336">
        <f>P8-$D$8</f>
        <v>2365449.6404007524</v>
      </c>
      <c r="AF8" s="336">
        <f>Q8-$E$8</f>
        <v>841550.49284598883</v>
      </c>
    </row>
    <row r="9" spans="1:32" s="1147" customFormat="1" ht="18">
      <c r="A9" s="2548"/>
      <c r="B9" s="137" t="s">
        <v>197</v>
      </c>
      <c r="C9" s="51">
        <f t="shared" ref="C9:C20" si="9">SUM(D9:E9)</f>
        <v>900000</v>
      </c>
      <c r="D9" s="51">
        <f>Thu03nam!F40</f>
        <v>100000</v>
      </c>
      <c r="E9" s="51">
        <f>Thu03nam!G40</f>
        <v>800000</v>
      </c>
      <c r="F9" s="51">
        <f t="shared" si="4"/>
        <v>1080000</v>
      </c>
      <c r="G9" s="51">
        <f>Thu03nam!L40</f>
        <v>100000</v>
      </c>
      <c r="H9" s="51">
        <f>Thu03nam!M40</f>
        <v>980000</v>
      </c>
      <c r="I9" s="51">
        <f t="shared" si="5"/>
        <v>1770000</v>
      </c>
      <c r="J9" s="51">
        <f>Thu03nam!R40</f>
        <v>627000</v>
      </c>
      <c r="K9" s="51">
        <f>Thu03nam!S40</f>
        <v>1143000</v>
      </c>
      <c r="L9" s="51">
        <f t="shared" si="6"/>
        <v>1200000</v>
      </c>
      <c r="M9" s="51">
        <f>Thu03nam!X40</f>
        <v>425099.74576271186</v>
      </c>
      <c r="N9" s="51">
        <f>Thu03nam!Y40</f>
        <v>774900.25423728814</v>
      </c>
      <c r="O9" s="51">
        <f t="shared" si="7"/>
        <v>1260000</v>
      </c>
      <c r="P9" s="51">
        <f>Thu03nam!AD40</f>
        <v>446399.73305084754</v>
      </c>
      <c r="Q9" s="2651">
        <f>Thu03nam!AE40</f>
        <v>813600.26694915246</v>
      </c>
      <c r="R9" s="2658">
        <f>I9+L9+O9</f>
        <v>4230000</v>
      </c>
      <c r="S9" s="51">
        <f>J9+M9+P9</f>
        <v>1498499.4788135593</v>
      </c>
      <c r="T9" s="51">
        <f>K9+N9+Q9</f>
        <v>2731500.5211864407</v>
      </c>
      <c r="U9" s="1153" t="s">
        <v>198</v>
      </c>
      <c r="V9" s="336"/>
      <c r="W9" s="336"/>
      <c r="X9" s="1153" t="s">
        <v>198</v>
      </c>
      <c r="Y9" s="336"/>
      <c r="Z9" s="336"/>
      <c r="AA9" s="1153" t="s">
        <v>198</v>
      </c>
      <c r="AB9" s="336"/>
      <c r="AC9" s="336"/>
      <c r="AD9" s="1153" t="s">
        <v>198</v>
      </c>
      <c r="AE9" s="336"/>
      <c r="AF9" s="336"/>
    </row>
    <row r="10" spans="1:32" s="1147" customFormat="1" ht="18">
      <c r="A10" s="2548"/>
      <c r="B10" s="137" t="s">
        <v>1713</v>
      </c>
      <c r="C10" s="51">
        <f>SUM(D10:E10)</f>
        <v>1600000</v>
      </c>
      <c r="D10" s="51">
        <f>Thu03nam!F48</f>
        <v>1600000</v>
      </c>
      <c r="E10" s="51">
        <f>Thu03nam!G48</f>
        <v>0</v>
      </c>
      <c r="F10" s="51">
        <f>SUM(G10:H10)</f>
        <v>1950000</v>
      </c>
      <c r="G10" s="51">
        <f>Thu03nam!L48</f>
        <v>1950000</v>
      </c>
      <c r="H10" s="51">
        <f>Thu03nam!M48</f>
        <v>0</v>
      </c>
      <c r="I10" s="51">
        <f>SUM(J10:K10)</f>
        <v>1950000</v>
      </c>
      <c r="J10" s="51">
        <f>Thu03nam!R48</f>
        <v>1950000</v>
      </c>
      <c r="K10" s="51">
        <f>Thu03nam!S48</f>
        <v>0</v>
      </c>
      <c r="L10" s="51">
        <f>SUM(M10:N10)</f>
        <v>2322000</v>
      </c>
      <c r="M10" s="51">
        <f>Thu03nam!X48</f>
        <v>2322000</v>
      </c>
      <c r="N10" s="51">
        <f>Thu03nam!Y48</f>
        <v>0</v>
      </c>
      <c r="O10" s="51">
        <f>SUM(P10:Q10)</f>
        <v>2500000</v>
      </c>
      <c r="P10" s="51">
        <f>Thu03nam!AD48</f>
        <v>2500000</v>
      </c>
      <c r="Q10" s="2651">
        <f>Thu03nam!AE48</f>
        <v>0</v>
      </c>
      <c r="R10" s="2658">
        <f>I10+L10+O10</f>
        <v>6772000</v>
      </c>
      <c r="S10" s="51">
        <f t="shared" ref="S10:S11" si="10">J10+M10+P10</f>
        <v>6772000</v>
      </c>
      <c r="T10" s="51">
        <f t="shared" ref="T10:T11" si="11">K10+N10+Q10</f>
        <v>0</v>
      </c>
      <c r="U10" s="336">
        <f>SUM(V10:W10)</f>
        <v>530000</v>
      </c>
      <c r="V10" s="336">
        <f>(G9+G10+G11)-($D$9+$D$10+$D$11)</f>
        <v>350000</v>
      </c>
      <c r="W10" s="336">
        <f>(H9+H10+H11)-($E$9+$E$10+$E$11)</f>
        <v>180000</v>
      </c>
      <c r="X10" s="336">
        <f>SUM(Y10:Z10)</f>
        <v>1220000</v>
      </c>
      <c r="Y10" s="336">
        <f>(J9+J10+J11)-($D$9+$D$10+$D$11)</f>
        <v>877000</v>
      </c>
      <c r="Z10" s="336">
        <f>(K9+K10+K11)-($E$9+$E$10+$E$11)</f>
        <v>343000</v>
      </c>
      <c r="AA10" s="336">
        <f>SUM(AB10:AC10)</f>
        <v>1022000</v>
      </c>
      <c r="AB10" s="336">
        <f>(M9+M10+M11)-($D$9+$D$10+$D$11)</f>
        <v>1047099.7457627119</v>
      </c>
      <c r="AC10" s="336">
        <f>(N9+N10+N11)-($E$9+$E$10+$E$11)</f>
        <v>-25099.745762711857</v>
      </c>
      <c r="AD10" s="336">
        <f>SUM(AE10:AF10)</f>
        <v>1260000</v>
      </c>
      <c r="AE10" s="336">
        <f>(P9+P10+P11)-($D$9+$D$10+$D$11)</f>
        <v>1246399.7330508474</v>
      </c>
      <c r="AF10" s="336">
        <f>(Q9+Q10+Q11)-($E$9+$E$10+$E$11)</f>
        <v>13600.266949152458</v>
      </c>
    </row>
    <row r="11" spans="1:32" s="1147" customFormat="1" ht="18">
      <c r="A11" s="2548"/>
      <c r="B11" s="137" t="s">
        <v>1714</v>
      </c>
      <c r="C11" s="51">
        <f>SUM(D11:E11)</f>
        <v>0</v>
      </c>
      <c r="D11" s="51">
        <f>Thu03nam!F46</f>
        <v>0</v>
      </c>
      <c r="E11" s="51">
        <f>Thu03nam!G46</f>
        <v>0</v>
      </c>
      <c r="F11" s="51">
        <f>SUM(G11:H11)</f>
        <v>0</v>
      </c>
      <c r="G11" s="51">
        <f>Thu03nam!L46</f>
        <v>0</v>
      </c>
      <c r="H11" s="51">
        <f>Thu03nam!M46</f>
        <v>0</v>
      </c>
      <c r="I11" s="51">
        <f>SUM(J11:K11)</f>
        <v>0</v>
      </c>
      <c r="J11" s="51">
        <f>Thu03nam!R46</f>
        <v>0</v>
      </c>
      <c r="K11" s="51">
        <f>Thu03nam!S46</f>
        <v>0</v>
      </c>
      <c r="L11" s="51">
        <f>SUM(M11:N11)</f>
        <v>0</v>
      </c>
      <c r="M11" s="51">
        <f>Thu03nam!X46</f>
        <v>0</v>
      </c>
      <c r="N11" s="51">
        <f>Thu03nam!Y46</f>
        <v>0</v>
      </c>
      <c r="O11" s="51">
        <f>SUM(P11:Q11)</f>
        <v>0</v>
      </c>
      <c r="P11" s="51">
        <f>Thu03nam!AD46</f>
        <v>0</v>
      </c>
      <c r="Q11" s="2651">
        <f>Thu03nam!AE46</f>
        <v>0</v>
      </c>
      <c r="R11" s="2658">
        <f>I11+L11+O11</f>
        <v>0</v>
      </c>
      <c r="S11" s="51">
        <f t="shared" si="10"/>
        <v>0</v>
      </c>
      <c r="T11" s="51">
        <f t="shared" si="11"/>
        <v>0</v>
      </c>
      <c r="U11" s="336"/>
      <c r="V11" s="336"/>
      <c r="W11" s="336"/>
      <c r="X11" s="336"/>
      <c r="Y11" s="336"/>
      <c r="Z11" s="336"/>
      <c r="AA11" s="336"/>
      <c r="AB11" s="336"/>
      <c r="AC11" s="336"/>
      <c r="AD11" s="336"/>
      <c r="AE11" s="336"/>
      <c r="AF11" s="336"/>
    </row>
    <row r="12" spans="1:32" s="1147" customFormat="1" ht="18">
      <c r="A12" s="2548"/>
      <c r="B12" s="137" t="s">
        <v>1715</v>
      </c>
      <c r="C12" s="51">
        <f>SUM(D12:E12)</f>
        <v>4204000</v>
      </c>
      <c r="D12" s="51">
        <f>D8-D9-D10-D11</f>
        <v>2106650</v>
      </c>
      <c r="E12" s="51">
        <f>E8-E9-E10-E11</f>
        <v>2097350</v>
      </c>
      <c r="F12" s="51">
        <f>SUM(G12:H12)</f>
        <v>4420399.8</v>
      </c>
      <c r="G12" s="51">
        <f>G8-G9-G10-G11</f>
        <v>1812350.7333333334</v>
      </c>
      <c r="H12" s="51">
        <f>H8-H9-H10-H11</f>
        <v>2608049.0666666664</v>
      </c>
      <c r="I12" s="51">
        <f>SUM(J12:K12)</f>
        <v>4764930</v>
      </c>
      <c r="J12" s="51">
        <f>J8-J9-J10-J11</f>
        <v>1967350</v>
      </c>
      <c r="K12" s="51">
        <f>K8-K9-K10-K11</f>
        <v>2797580</v>
      </c>
      <c r="L12" s="51">
        <f>SUM(M12:N12)</f>
        <v>5592399.2203897508</v>
      </c>
      <c r="M12" s="51">
        <f>M8-M9-M10-M11</f>
        <v>2871199.2169055939</v>
      </c>
      <c r="N12" s="51">
        <f>N8-N9-N10-N11</f>
        <v>2721200.0034841569</v>
      </c>
      <c r="O12" s="51">
        <f>SUM(P12:Q12)</f>
        <v>6151000.1332467413</v>
      </c>
      <c r="P12" s="51">
        <f>P8-P9-P10-P11</f>
        <v>3225699.907349905</v>
      </c>
      <c r="Q12" s="2651">
        <f>Q8-Q9-Q10-Q11</f>
        <v>2925300.2258968363</v>
      </c>
      <c r="R12" s="2658">
        <f>I12+L12+O12</f>
        <v>16508329.353636492</v>
      </c>
      <c r="S12" s="51">
        <f>J12+M12+P12</f>
        <v>8064249.1242554989</v>
      </c>
      <c r="T12" s="51">
        <f>K12+N12+Q12</f>
        <v>8444080.2293809932</v>
      </c>
      <c r="U12" s="336"/>
      <c r="V12" s="336"/>
      <c r="W12" s="336"/>
      <c r="X12" s="336"/>
      <c r="Y12" s="336"/>
      <c r="Z12" s="336"/>
      <c r="AA12" s="336"/>
      <c r="AB12" s="336"/>
      <c r="AC12" s="336"/>
      <c r="AD12" s="336"/>
      <c r="AE12" s="336"/>
      <c r="AF12" s="336"/>
    </row>
    <row r="13" spans="1:32" s="1147" customFormat="1" ht="17.399999999999999">
      <c r="A13" s="2635">
        <v>2</v>
      </c>
      <c r="B13" s="134" t="s">
        <v>57</v>
      </c>
      <c r="C13" s="336">
        <f>SUM(C14:C15)</f>
        <v>9084495</v>
      </c>
      <c r="D13" s="336">
        <f t="shared" ref="D13:E13" si="12">SUM(D14:D15)</f>
        <v>9084495</v>
      </c>
      <c r="E13" s="336">
        <f t="shared" si="12"/>
        <v>0</v>
      </c>
      <c r="F13" s="336">
        <f t="shared" si="4"/>
        <v>9084495</v>
      </c>
      <c r="G13" s="336">
        <f>G14+G15</f>
        <v>9084495</v>
      </c>
      <c r="H13" s="336"/>
      <c r="I13" s="336">
        <f>SUM(J13:K13)</f>
        <v>9256479</v>
      </c>
      <c r="J13" s="336">
        <f>J14+J15</f>
        <v>9256479</v>
      </c>
      <c r="K13" s="336"/>
      <c r="L13" s="336">
        <f>SUM(M13:N13)</f>
        <v>9646988.3000000007</v>
      </c>
      <c r="M13" s="336">
        <f>M14+M15</f>
        <v>9646988.3000000007</v>
      </c>
      <c r="N13" s="336"/>
      <c r="O13" s="336">
        <f>SUM(P13:Q13)</f>
        <v>9646988.3000000007</v>
      </c>
      <c r="P13" s="336">
        <f>P14+P15</f>
        <v>9646988.3000000007</v>
      </c>
      <c r="Q13" s="2650"/>
      <c r="R13" s="2657">
        <f>I13+L13+O13</f>
        <v>28550455.600000001</v>
      </c>
      <c r="S13" s="336">
        <f t="shared" si="8"/>
        <v>28550455.600000001</v>
      </c>
      <c r="T13" s="336">
        <f t="shared" si="8"/>
        <v>0</v>
      </c>
      <c r="U13" s="1153" t="s">
        <v>201</v>
      </c>
      <c r="V13" s="336"/>
      <c r="W13" s="336"/>
      <c r="X13" s="1153" t="s">
        <v>201</v>
      </c>
      <c r="Y13" s="336"/>
      <c r="Z13" s="336"/>
      <c r="AA13" s="1153" t="s">
        <v>201</v>
      </c>
      <c r="AB13" s="336"/>
      <c r="AC13" s="336"/>
      <c r="AD13" s="1153" t="s">
        <v>201</v>
      </c>
      <c r="AE13" s="336"/>
      <c r="AF13" s="336"/>
    </row>
    <row r="14" spans="1:32" s="1147" customFormat="1" ht="18">
      <c r="A14" s="2548" t="s">
        <v>236</v>
      </c>
      <c r="B14" s="137" t="s">
        <v>238</v>
      </c>
      <c r="C14" s="51">
        <f t="shared" si="9"/>
        <v>6487488</v>
      </c>
      <c r="D14" s="51">
        <f>Thu03nam!F53</f>
        <v>6487488</v>
      </c>
      <c r="E14" s="51">
        <f>Thu03nam!G53</f>
        <v>0</v>
      </c>
      <c r="F14" s="51">
        <f t="shared" si="4"/>
        <v>6487488</v>
      </c>
      <c r="G14" s="51">
        <f>Thu03nam!L53</f>
        <v>6487488</v>
      </c>
      <c r="H14" s="51"/>
      <c r="I14" s="51">
        <f t="shared" si="5"/>
        <v>6617188</v>
      </c>
      <c r="J14" s="51">
        <f>Thu03nam!R53</f>
        <v>6617188</v>
      </c>
      <c r="K14" s="51">
        <f>Thu03nam!S53</f>
        <v>0</v>
      </c>
      <c r="L14" s="51">
        <f t="shared" si="6"/>
        <v>6617188</v>
      </c>
      <c r="M14" s="51">
        <f>Thu03nam!X53</f>
        <v>6617188</v>
      </c>
      <c r="N14" s="51">
        <f>Thu03nam!Y53</f>
        <v>0</v>
      </c>
      <c r="O14" s="51">
        <f t="shared" si="7"/>
        <v>6617188</v>
      </c>
      <c r="P14" s="51">
        <f>Thu03nam!AD53</f>
        <v>6617188</v>
      </c>
      <c r="Q14" s="2651">
        <f>Thu03nam!AE53</f>
        <v>0</v>
      </c>
      <c r="R14" s="2658">
        <f>I14+L14+O14</f>
        <v>19851564</v>
      </c>
      <c r="S14" s="51">
        <f t="shared" si="8"/>
        <v>19851564</v>
      </c>
      <c r="T14" s="51">
        <f t="shared" si="8"/>
        <v>0</v>
      </c>
      <c r="U14" s="336">
        <f>SUM(V14:W14)</f>
        <v>216399.79999999981</v>
      </c>
      <c r="V14" s="336">
        <f>V8-V10</f>
        <v>-294299.2666666666</v>
      </c>
      <c r="W14" s="336">
        <f>W8-W10</f>
        <v>510699.06666666642</v>
      </c>
      <c r="X14" s="336">
        <f>SUM(Y14:Z14)</f>
        <v>560930</v>
      </c>
      <c r="Y14" s="336">
        <f>Y8-Y10</f>
        <v>-139300</v>
      </c>
      <c r="Z14" s="336">
        <f>Z8-Z10</f>
        <v>700230</v>
      </c>
      <c r="AA14" s="336">
        <f>SUM(AB14:AC14)</f>
        <v>1388399.2203897503</v>
      </c>
      <c r="AB14" s="336">
        <f>AB8-AB10</f>
        <v>764549.21690559341</v>
      </c>
      <c r="AC14" s="336">
        <f>AC8-AC10</f>
        <v>623850.00348415691</v>
      </c>
      <c r="AD14" s="336">
        <f>SUM(AE14:AF14)</f>
        <v>1947000.1332467413</v>
      </c>
      <c r="AE14" s="336">
        <f>AE8-AE10</f>
        <v>1119049.907349905</v>
      </c>
      <c r="AF14" s="336">
        <f>AF8-AF10</f>
        <v>827950.22589683637</v>
      </c>
    </row>
    <row r="15" spans="1:32" s="1147" customFormat="1" ht="18">
      <c r="A15" s="2548" t="s">
        <v>237</v>
      </c>
      <c r="B15" s="137" t="s">
        <v>239</v>
      </c>
      <c r="C15" s="51">
        <f>SUM(C16:C18)</f>
        <v>2597007</v>
      </c>
      <c r="D15" s="51">
        <f t="shared" ref="D15:E15" si="13">SUM(D16:D18)</f>
        <v>2597007</v>
      </c>
      <c r="E15" s="51">
        <f t="shared" si="13"/>
        <v>0</v>
      </c>
      <c r="F15" s="51">
        <f>SUM(F16:F18)</f>
        <v>2597007</v>
      </c>
      <c r="G15" s="51">
        <f t="shared" ref="G15" si="14">SUM(G16:G18)</f>
        <v>2597007</v>
      </c>
      <c r="H15" s="51">
        <f t="shared" ref="H15" si="15">SUM(H16:H18)</f>
        <v>0</v>
      </c>
      <c r="I15" s="51">
        <f t="shared" si="5"/>
        <v>2639291</v>
      </c>
      <c r="J15" s="51">
        <f>SUM(J16:J18)</f>
        <v>2639291</v>
      </c>
      <c r="K15" s="51">
        <f t="shared" ref="K15" si="16">SUM(K16:K18)</f>
        <v>0</v>
      </c>
      <c r="L15" s="51">
        <f>SUM(M15:N15)</f>
        <v>3029800.3</v>
      </c>
      <c r="M15" s="51">
        <f>SUM(M16:M18)</f>
        <v>3029800.3</v>
      </c>
      <c r="N15" s="51">
        <f t="shared" ref="N15" si="17">SUM(N16:N18)</f>
        <v>0</v>
      </c>
      <c r="O15" s="51">
        <f>SUM(P15:Q15)</f>
        <v>3029800.3</v>
      </c>
      <c r="P15" s="51">
        <f>SUM(P16:P18)</f>
        <v>3029800.3</v>
      </c>
      <c r="Q15" s="2651">
        <f t="shared" ref="Q15" si="18">SUM(Q16:Q18)</f>
        <v>0</v>
      </c>
      <c r="R15" s="2658">
        <f>SUM(S15:T15)</f>
        <v>8698891.5999999996</v>
      </c>
      <c r="S15" s="51">
        <f>SUM(S16:S18)</f>
        <v>8698891.5999999996</v>
      </c>
      <c r="T15" s="51">
        <f t="shared" ref="T15" si="19">SUM(T16:T18)</f>
        <v>0</v>
      </c>
      <c r="U15" s="1153"/>
      <c r="V15" s="336"/>
      <c r="W15" s="336"/>
      <c r="X15" s="1153"/>
      <c r="Y15" s="336"/>
      <c r="Z15" s="336"/>
      <c r="AA15" s="1153"/>
      <c r="AB15" s="336"/>
      <c r="AC15" s="336"/>
      <c r="AD15" s="1153"/>
      <c r="AE15" s="336"/>
      <c r="AF15" s="336"/>
    </row>
    <row r="16" spans="1:32" s="1147" customFormat="1" ht="18">
      <c r="A16" s="65" t="s">
        <v>34</v>
      </c>
      <c r="B16" s="11" t="str">
        <f>'Phụ lục số 3'!B17</f>
        <v>Bổ sung thực hiện mục tiêu, nhiệm vụ quan trọng (vốn đầu tư phát triển)</v>
      </c>
      <c r="C16" s="51">
        <f>SUM(D16:E16)</f>
        <v>2417971</v>
      </c>
      <c r="D16" s="51">
        <f>Thu03nam!F55</f>
        <v>2417971</v>
      </c>
      <c r="E16" s="51">
        <f>Thu03nam!G55</f>
        <v>0</v>
      </c>
      <c r="F16" s="51">
        <f>SUM(G16:H16)</f>
        <v>2417971</v>
      </c>
      <c r="G16" s="51">
        <f>Thu03nam!L55</f>
        <v>2417971</v>
      </c>
      <c r="H16" s="51">
        <f>Thu03nam!M55</f>
        <v>0</v>
      </c>
      <c r="I16" s="51">
        <f>SUM(J16:K16)</f>
        <v>1814491</v>
      </c>
      <c r="J16" s="51">
        <f>Thu03nam!R55</f>
        <v>1814491</v>
      </c>
      <c r="K16" s="51">
        <f>Thu03nam!S55</f>
        <v>0</v>
      </c>
      <c r="L16" s="51">
        <f>SUM(M16:N16)</f>
        <v>2205000</v>
      </c>
      <c r="M16" s="51">
        <f>Thu03nam!X55</f>
        <v>2205000</v>
      </c>
      <c r="N16" s="51">
        <f>Thu03nam!Y55</f>
        <v>0</v>
      </c>
      <c r="O16" s="51">
        <f>SUM(P16:Q16)</f>
        <v>2205000</v>
      </c>
      <c r="P16" s="51">
        <f>Thu03nam!AD55</f>
        <v>2205000</v>
      </c>
      <c r="Q16" s="2651">
        <f>Thu03nam!AE55</f>
        <v>0</v>
      </c>
      <c r="R16" s="2658">
        <f>SUM(S16:T16)</f>
        <v>6224491</v>
      </c>
      <c r="S16" s="51">
        <f t="shared" ref="S16:T20" si="20">J16+M16+P16</f>
        <v>6224491</v>
      </c>
      <c r="T16" s="51">
        <f t="shared" si="20"/>
        <v>0</v>
      </c>
      <c r="U16" s="1153"/>
      <c r="V16" s="336"/>
      <c r="W16" s="336"/>
      <c r="X16" s="1153"/>
      <c r="Y16" s="336"/>
      <c r="Z16" s="336"/>
      <c r="AA16" s="1153"/>
      <c r="AB16" s="336"/>
      <c r="AC16" s="336"/>
      <c r="AD16" s="1153"/>
      <c r="AE16" s="336"/>
      <c r="AF16" s="336"/>
    </row>
    <row r="17" spans="1:32" s="1147" customFormat="1" ht="18">
      <c r="A17" s="65" t="s">
        <v>35</v>
      </c>
      <c r="B17" s="11" t="str">
        <f>'Phụ lục số 3'!B18</f>
        <v>Bổ sung thực hiện mục tiêu, nhiệm vụ quan trọng (kinh phí sự nghiệp)</v>
      </c>
      <c r="C17" s="51">
        <f t="shared" ref="C17:C18" si="21">SUM(D17:E17)</f>
        <v>179036</v>
      </c>
      <c r="D17" s="51">
        <f>Thu03nam!F56</f>
        <v>179036</v>
      </c>
      <c r="E17" s="51">
        <f>Thu03nam!G56</f>
        <v>0</v>
      </c>
      <c r="F17" s="51">
        <f t="shared" ref="F17:F18" si="22">SUM(G17:H17)</f>
        <v>179036</v>
      </c>
      <c r="G17" s="51">
        <f>Thu03nam!L56</f>
        <v>179036</v>
      </c>
      <c r="H17" s="51">
        <f>Thu03nam!M56</f>
        <v>0</v>
      </c>
      <c r="I17" s="51">
        <f t="shared" ref="I17:I20" si="23">SUM(J17:K17)</f>
        <v>174485</v>
      </c>
      <c r="J17" s="51">
        <f>Thu03nam!R56</f>
        <v>174485</v>
      </c>
      <c r="K17" s="51">
        <f>Thu03nam!S56</f>
        <v>0</v>
      </c>
      <c r="L17" s="51">
        <f t="shared" ref="L17:L20" si="24">SUM(M17:N17)</f>
        <v>174485.3</v>
      </c>
      <c r="M17" s="51">
        <f>Thu03nam!X56</f>
        <v>174485.3</v>
      </c>
      <c r="N17" s="51">
        <f>Thu03nam!Y56</f>
        <v>0</v>
      </c>
      <c r="O17" s="51">
        <f t="shared" ref="O17:O20" si="25">SUM(P17:Q17)</f>
        <v>174485.3</v>
      </c>
      <c r="P17" s="51">
        <f>Thu03nam!AD56</f>
        <v>174485.3</v>
      </c>
      <c r="Q17" s="2651">
        <f>Thu03nam!AE56</f>
        <v>0</v>
      </c>
      <c r="R17" s="2658">
        <f t="shared" ref="R17:R20" si="26">SUM(S17:T17)</f>
        <v>523455.6</v>
      </c>
      <c r="S17" s="51">
        <f t="shared" si="20"/>
        <v>523455.6</v>
      </c>
      <c r="T17" s="51">
        <f t="shared" si="20"/>
        <v>0</v>
      </c>
      <c r="U17" s="1153"/>
      <c r="V17" s="336"/>
      <c r="W17" s="336"/>
      <c r="X17" s="1153"/>
      <c r="Y17" s="336"/>
      <c r="Z17" s="336"/>
      <c r="AA17" s="1153"/>
      <c r="AB17" s="336"/>
      <c r="AC17" s="336"/>
      <c r="AD17" s="1153"/>
      <c r="AE17" s="336"/>
      <c r="AF17" s="336"/>
    </row>
    <row r="18" spans="1:32" s="1147" customFormat="1" ht="18">
      <c r="A18" s="65" t="s">
        <v>36</v>
      </c>
      <c r="B18" s="11" t="str">
        <f>'Phụ lục số 3'!B19</f>
        <v>Bổ sung nguồn thực hiện CCTL (nếu có); đảm bảo nhiệm vụ chi</v>
      </c>
      <c r="C18" s="51">
        <f t="shared" si="21"/>
        <v>0</v>
      </c>
      <c r="D18" s="51">
        <f>Thu03nam!F57</f>
        <v>0</v>
      </c>
      <c r="E18" s="51">
        <f>Thu03nam!G57</f>
        <v>0</v>
      </c>
      <c r="F18" s="51">
        <f t="shared" si="22"/>
        <v>0</v>
      </c>
      <c r="G18" s="51">
        <f>Thu03nam!L57</f>
        <v>0</v>
      </c>
      <c r="H18" s="51">
        <f>Thu03nam!M57</f>
        <v>0</v>
      </c>
      <c r="I18" s="51">
        <f t="shared" si="23"/>
        <v>650315</v>
      </c>
      <c r="J18" s="51">
        <f>Thu03nam!R57</f>
        <v>650315</v>
      </c>
      <c r="K18" s="51">
        <f>Thu03nam!S57</f>
        <v>0</v>
      </c>
      <c r="L18" s="51">
        <f t="shared" si="24"/>
        <v>650315</v>
      </c>
      <c r="M18" s="51">
        <f>'CĐNSĐP03nam-BS'!M18</f>
        <v>650315</v>
      </c>
      <c r="N18" s="51">
        <f>Thu03nam!Y57</f>
        <v>0</v>
      </c>
      <c r="O18" s="51">
        <f t="shared" si="25"/>
        <v>650315</v>
      </c>
      <c r="P18" s="51">
        <f>Thu03nam!AD57</f>
        <v>650315</v>
      </c>
      <c r="Q18" s="2651">
        <f>Thu03nam!AE57</f>
        <v>0</v>
      </c>
      <c r="R18" s="2658">
        <f t="shared" si="26"/>
        <v>1950945</v>
      </c>
      <c r="S18" s="51">
        <f t="shared" si="20"/>
        <v>1950945</v>
      </c>
      <c r="T18" s="51">
        <f t="shared" si="20"/>
        <v>0</v>
      </c>
      <c r="U18" s="1153"/>
      <c r="V18" s="336"/>
      <c r="W18" s="336"/>
      <c r="X18" s="1153"/>
      <c r="Y18" s="336"/>
      <c r="Z18" s="336"/>
      <c r="AA18" s="1153"/>
      <c r="AB18" s="336"/>
      <c r="AC18" s="336"/>
      <c r="AD18" s="1153"/>
      <c r="AE18" s="336"/>
      <c r="AF18" s="336"/>
    </row>
    <row r="19" spans="1:32" s="1147" customFormat="1" ht="17.399999999999999">
      <c r="A19" s="2635">
        <v>3</v>
      </c>
      <c r="B19" s="1388" t="str">
        <f>'Phụ lục số 3'!B20</f>
        <v>Thu chuyển nguồn làm lương năm trước chuyển sang</v>
      </c>
      <c r="C19" s="336">
        <f t="shared" si="9"/>
        <v>0</v>
      </c>
      <c r="D19" s="336">
        <f>Thu03nam!F58</f>
        <v>0</v>
      </c>
      <c r="E19" s="336">
        <f>Thu03nam!G58</f>
        <v>0</v>
      </c>
      <c r="F19" s="336">
        <f t="shared" si="4"/>
        <v>431000</v>
      </c>
      <c r="G19" s="336">
        <f>Thu03nam!L58</f>
        <v>89700</v>
      </c>
      <c r="H19" s="336">
        <f>Thu03nam!M58</f>
        <v>341300</v>
      </c>
      <c r="I19" s="336">
        <f t="shared" si="23"/>
        <v>886000</v>
      </c>
      <c r="J19" s="336">
        <f>Thu03nam!R58</f>
        <v>0</v>
      </c>
      <c r="K19" s="336">
        <f>Thu03nam!S58</f>
        <v>886000</v>
      </c>
      <c r="L19" s="336">
        <f t="shared" si="24"/>
        <v>717399.2</v>
      </c>
      <c r="M19" s="336">
        <f>Thu03nam!X58</f>
        <v>79139.200000000012</v>
      </c>
      <c r="N19" s="336">
        <f>Thu03nam!Y58</f>
        <v>638260</v>
      </c>
      <c r="O19" s="51">
        <f t="shared" si="25"/>
        <v>881301.31019487511</v>
      </c>
      <c r="P19" s="336">
        <f>Thu03nam!AD58</f>
        <v>565518.00845279661</v>
      </c>
      <c r="Q19" s="2650">
        <f>Thu03nam!AE58</f>
        <v>315783.30174207845</v>
      </c>
      <c r="R19" s="2657">
        <f t="shared" si="26"/>
        <v>2484700.5101948753</v>
      </c>
      <c r="S19" s="336">
        <f>J19+M19+P19</f>
        <v>644657.20845279656</v>
      </c>
      <c r="T19" s="336">
        <f>K19+N19+Q19</f>
        <v>1840043.3017420785</v>
      </c>
      <c r="U19" s="1153" t="s">
        <v>202</v>
      </c>
      <c r="V19" s="336"/>
      <c r="W19" s="336"/>
      <c r="X19" s="1153" t="s">
        <v>202</v>
      </c>
      <c r="Y19" s="336"/>
      <c r="Z19" s="336"/>
      <c r="AA19" s="1153" t="s">
        <v>202</v>
      </c>
      <c r="AB19" s="336"/>
      <c r="AC19" s="336"/>
      <c r="AD19" s="1153" t="s">
        <v>202</v>
      </c>
      <c r="AE19" s="336"/>
      <c r="AF19" s="336"/>
    </row>
    <row r="20" spans="1:32" s="1147" customFormat="1" ht="17.399999999999999">
      <c r="A20" s="2635">
        <v>4</v>
      </c>
      <c r="B20" s="134" t="s">
        <v>132</v>
      </c>
      <c r="C20" s="336">
        <f t="shared" si="9"/>
        <v>31500</v>
      </c>
      <c r="D20" s="336">
        <f>Thu03nam!F59</f>
        <v>31500</v>
      </c>
      <c r="E20" s="336">
        <f>Thu03nam!G59</f>
        <v>0</v>
      </c>
      <c r="F20" s="336">
        <f t="shared" si="4"/>
        <v>31500</v>
      </c>
      <c r="G20" s="336">
        <f>Thu03nam!L59</f>
        <v>31500</v>
      </c>
      <c r="H20" s="336">
        <f>Thu03nam!M59</f>
        <v>0</v>
      </c>
      <c r="I20" s="336">
        <f t="shared" si="23"/>
        <v>0</v>
      </c>
      <c r="J20" s="336">
        <f>Thu03nam!R59</f>
        <v>0</v>
      </c>
      <c r="K20" s="336">
        <f>Thu03nam!S59</f>
        <v>0</v>
      </c>
      <c r="L20" s="336">
        <f t="shared" si="24"/>
        <v>0</v>
      </c>
      <c r="M20" s="336">
        <f>Thu03nam!X59</f>
        <v>0</v>
      </c>
      <c r="N20" s="336">
        <f>Thu03nam!Y59</f>
        <v>0</v>
      </c>
      <c r="O20" s="51">
        <f t="shared" si="25"/>
        <v>0</v>
      </c>
      <c r="P20" s="336">
        <f>Thu03nam!AD59</f>
        <v>0</v>
      </c>
      <c r="Q20" s="2650">
        <f>Thu03nam!AE59</f>
        <v>0</v>
      </c>
      <c r="R20" s="2658">
        <f t="shared" si="26"/>
        <v>0</v>
      </c>
      <c r="S20" s="51">
        <f t="shared" si="20"/>
        <v>0</v>
      </c>
      <c r="T20" s="51">
        <f t="shared" si="20"/>
        <v>0</v>
      </c>
      <c r="U20" s="336">
        <f>V20+W20</f>
        <v>0</v>
      </c>
      <c r="V20" s="336"/>
      <c r="W20" s="336"/>
      <c r="X20" s="336"/>
      <c r="Y20" s="336"/>
      <c r="Z20" s="336"/>
      <c r="AA20" s="336"/>
      <c r="AB20" s="336"/>
      <c r="AC20" s="336"/>
      <c r="AD20" s="336"/>
      <c r="AE20" s="336"/>
      <c r="AF20" s="336"/>
    </row>
    <row r="21" spans="1:32" s="1464" customFormat="1" ht="17.399999999999999">
      <c r="A21" s="2635" t="s">
        <v>22</v>
      </c>
      <c r="B21" s="134" t="s">
        <v>203</v>
      </c>
      <c r="C21" s="336">
        <f t="shared" ref="C21:H21" si="27">SUM(C22+C39+C43)</f>
        <v>15819995</v>
      </c>
      <c r="D21" s="336">
        <f t="shared" si="27"/>
        <v>8173924</v>
      </c>
      <c r="E21" s="336">
        <f t="shared" si="27"/>
        <v>7646071</v>
      </c>
      <c r="F21" s="336">
        <f t="shared" si="27"/>
        <v>16780995</v>
      </c>
      <c r="G21" s="336">
        <f t="shared" si="27"/>
        <v>8613624</v>
      </c>
      <c r="H21" s="336">
        <f t="shared" si="27"/>
        <v>8678070.0666666664</v>
      </c>
      <c r="I21" s="1468">
        <f>SUM(I22+I39+I43)+0.4</f>
        <v>18627409.315999996</v>
      </c>
      <c r="J21" s="336">
        <f t="shared" ref="J21:T21" si="28">SUM(J22+J39+J43)</f>
        <v>8719005.568</v>
      </c>
      <c r="K21" s="336">
        <f t="shared" si="28"/>
        <v>9908403.3479999993</v>
      </c>
      <c r="L21" s="1468">
        <f t="shared" si="28"/>
        <v>19478786.610194877</v>
      </c>
      <c r="M21" s="336">
        <f>SUM(M22+M39+M43)</f>
        <v>10261103.054215508</v>
      </c>
      <c r="N21" s="336">
        <f t="shared" si="28"/>
        <v>9217683.5559793673</v>
      </c>
      <c r="O21" s="336">
        <f t="shared" si="28"/>
        <v>20439289.916623373</v>
      </c>
      <c r="P21" s="336">
        <f t="shared" si="28"/>
        <v>11301282.9867258</v>
      </c>
      <c r="Q21" s="2650">
        <f t="shared" si="28"/>
        <v>9138006.929897571</v>
      </c>
      <c r="R21" s="2657">
        <f t="shared" si="28"/>
        <v>58545485.442818247</v>
      </c>
      <c r="S21" s="336">
        <f t="shared" si="28"/>
        <v>30281391.608941309</v>
      </c>
      <c r="T21" s="336">
        <f t="shared" si="28"/>
        <v>28264093.833876934</v>
      </c>
      <c r="U21" s="336">
        <f>SUM(V21:W21)</f>
        <v>151479</v>
      </c>
      <c r="V21" s="336">
        <f>INT(V14*70%)</f>
        <v>-206010</v>
      </c>
      <c r="W21" s="336">
        <f>INT(W14*70%)</f>
        <v>357489</v>
      </c>
      <c r="X21" s="336">
        <f>SUM(Y21:Z21)</f>
        <v>280465</v>
      </c>
      <c r="Y21" s="336">
        <f>INT(Y14/2)</f>
        <v>-69650</v>
      </c>
      <c r="Z21" s="336">
        <f>INT(Z14/2)</f>
        <v>350115</v>
      </c>
      <c r="AA21" s="336">
        <f>SUM(AB21:AC21)</f>
        <v>694199</v>
      </c>
      <c r="AB21" s="336">
        <f>INT(AB14/2)</f>
        <v>382274</v>
      </c>
      <c r="AC21" s="336">
        <f>INT(AC14/2)</f>
        <v>311925</v>
      </c>
      <c r="AD21" s="336">
        <f>SUM(AE21:AF21)</f>
        <v>973499</v>
      </c>
      <c r="AE21" s="336">
        <f>INT(AE14/2)</f>
        <v>559524</v>
      </c>
      <c r="AF21" s="336">
        <f>INT(AF14/2)</f>
        <v>413975</v>
      </c>
    </row>
    <row r="22" spans="1:32" s="1464" customFormat="1" ht="17.399999999999999">
      <c r="A22" s="2635" t="s">
        <v>9</v>
      </c>
      <c r="B22" s="134" t="s">
        <v>233</v>
      </c>
      <c r="C22" s="336">
        <f t="shared" ref="C22:E22" si="29">SUM(C23,C29,C33:C38)</f>
        <v>13191488</v>
      </c>
      <c r="D22" s="336">
        <f t="shared" si="29"/>
        <v>5545417</v>
      </c>
      <c r="E22" s="336">
        <f t="shared" si="29"/>
        <v>7646071</v>
      </c>
      <c r="F22" s="336">
        <f t="shared" ref="F22:T22" si="30">SUM(F23,F29,F33:F38)</f>
        <v>14152488</v>
      </c>
      <c r="G22" s="336">
        <f t="shared" si="30"/>
        <v>5985117</v>
      </c>
      <c r="H22" s="336">
        <f t="shared" si="30"/>
        <v>8678070.0666666664</v>
      </c>
      <c r="I22" s="336">
        <f t="shared" si="30"/>
        <v>16638432.915999997</v>
      </c>
      <c r="J22" s="336">
        <f t="shared" si="30"/>
        <v>6730029.568</v>
      </c>
      <c r="K22" s="336">
        <f t="shared" si="30"/>
        <v>9908403.3479999993</v>
      </c>
      <c r="L22" s="336">
        <f t="shared" si="30"/>
        <v>17099301.310194876</v>
      </c>
      <c r="M22" s="336">
        <f t="shared" si="30"/>
        <v>7881617.7542155078</v>
      </c>
      <c r="N22" s="336">
        <f t="shared" si="30"/>
        <v>9217683.5559793673</v>
      </c>
      <c r="O22" s="336">
        <f>SUM(O23,O29,O33:O38)</f>
        <v>18059804.616623372</v>
      </c>
      <c r="P22" s="336">
        <f t="shared" si="30"/>
        <v>8921797.6867258009</v>
      </c>
      <c r="Q22" s="2650">
        <f t="shared" si="30"/>
        <v>9138006.929897571</v>
      </c>
      <c r="R22" s="2657">
        <f t="shared" si="30"/>
        <v>51797538.842818245</v>
      </c>
      <c r="S22" s="336">
        <f t="shared" si="30"/>
        <v>23533445.008941308</v>
      </c>
      <c r="T22" s="336">
        <f t="shared" si="30"/>
        <v>28264093.833876934</v>
      </c>
      <c r="U22" s="336"/>
      <c r="V22" s="336"/>
      <c r="W22" s="336"/>
      <c r="X22" s="336"/>
      <c r="Y22" s="336"/>
      <c r="Z22" s="336"/>
      <c r="AA22" s="336"/>
      <c r="AB22" s="336"/>
      <c r="AC22" s="336"/>
      <c r="AD22" s="336"/>
      <c r="AE22" s="336"/>
      <c r="AF22" s="336"/>
    </row>
    <row r="23" spans="1:32" s="1464" customFormat="1" ht="17.399999999999999">
      <c r="A23" s="2635">
        <v>1</v>
      </c>
      <c r="B23" s="134" t="s">
        <v>93</v>
      </c>
      <c r="C23" s="336">
        <f>SUM(C24:C27)</f>
        <v>3561000</v>
      </c>
      <c r="D23" s="336">
        <f t="shared" ref="D23:H23" si="31">SUM(D24:D27)</f>
        <v>2240000</v>
      </c>
      <c r="E23" s="336">
        <f t="shared" si="31"/>
        <v>1321000</v>
      </c>
      <c r="F23" s="336">
        <f t="shared" si="31"/>
        <v>4091000</v>
      </c>
      <c r="G23" s="336">
        <f t="shared" si="31"/>
        <v>2590000</v>
      </c>
      <c r="H23" s="336">
        <f t="shared" si="31"/>
        <v>1501000</v>
      </c>
      <c r="I23" s="336">
        <f t="shared" ref="I23:O23" si="32">SUM(I24:I28)</f>
        <v>4923186.4089698764</v>
      </c>
      <c r="J23" s="336">
        <f t="shared" si="32"/>
        <v>3199186</v>
      </c>
      <c r="K23" s="336">
        <f t="shared" si="32"/>
        <v>1724000.4089698761</v>
      </c>
      <c r="L23" s="336">
        <f t="shared" si="32"/>
        <v>4795000</v>
      </c>
      <c r="M23" s="336">
        <f t="shared" si="32"/>
        <v>3439099.7457627119</v>
      </c>
      <c r="N23" s="336">
        <f t="shared" si="32"/>
        <v>1355900.2542372881</v>
      </c>
      <c r="O23" s="336">
        <f t="shared" si="32"/>
        <v>5085000</v>
      </c>
      <c r="P23" s="336">
        <f>SUM(P24:P28)</f>
        <v>3690399.7330508474</v>
      </c>
      <c r="Q23" s="2650">
        <f>SUM(Q24:Q28)</f>
        <v>1394600.2669491526</v>
      </c>
      <c r="R23" s="2657">
        <f>SUM(R24:R28)</f>
        <v>14803186.408969875</v>
      </c>
      <c r="S23" s="336">
        <f>SUM(S24:S28)</f>
        <v>10328685.478813559</v>
      </c>
      <c r="T23" s="336">
        <f>SUM(T24:T28)</f>
        <v>4474500.9301563166</v>
      </c>
      <c r="U23" s="1154"/>
      <c r="V23" s="336"/>
      <c r="W23" s="336"/>
      <c r="X23" s="336"/>
      <c r="Y23" s="336"/>
      <c r="Z23" s="336"/>
      <c r="AA23" s="336"/>
      <c r="AB23" s="336"/>
      <c r="AC23" s="336"/>
      <c r="AD23" s="336"/>
      <c r="AE23" s="336"/>
      <c r="AF23" s="336"/>
    </row>
    <row r="24" spans="1:32" s="1464" customFormat="1" ht="18">
      <c r="A24" s="2548" t="s">
        <v>137</v>
      </c>
      <c r="B24" s="137" t="s">
        <v>141</v>
      </c>
      <c r="C24" s="51">
        <f>SUM(D24:E24)</f>
        <v>1061000</v>
      </c>
      <c r="D24" s="51">
        <f>ChiNSĐP03nam!D10</f>
        <v>540000</v>
      </c>
      <c r="E24" s="51">
        <f>ChiNSĐP03nam!E10</f>
        <v>521000</v>
      </c>
      <c r="F24" s="51">
        <f t="shared" ref="F24:F44" si="33">SUM(G24:H24)</f>
        <v>1061000</v>
      </c>
      <c r="G24" s="51">
        <f>ChiNSĐP03nam!I10</f>
        <v>540000</v>
      </c>
      <c r="H24" s="51">
        <f>ChiNSĐP03nam!J10</f>
        <v>521000</v>
      </c>
      <c r="I24" s="51">
        <f t="shared" ref="I24:I44" si="34">SUM(J24:K24)</f>
        <v>1143186.4089698761</v>
      </c>
      <c r="J24" s="51">
        <f>ChiNSĐP03nam!N10</f>
        <v>562186</v>
      </c>
      <c r="K24" s="51">
        <f>ChiNSĐP03nam!O10</f>
        <v>581000.40896987612</v>
      </c>
      <c r="L24" s="51">
        <f t="shared" ref="L24:L32" si="35">SUM(M24:N24)</f>
        <v>1213000</v>
      </c>
      <c r="M24" s="51">
        <f>ChiNSĐP03nam!S10</f>
        <v>632000</v>
      </c>
      <c r="N24" s="51">
        <f>ChiNSĐP03nam!T10</f>
        <v>581000</v>
      </c>
      <c r="O24" s="51">
        <f t="shared" ref="O24:O32" si="36">SUM(P24:Q24)</f>
        <v>1265000</v>
      </c>
      <c r="P24" s="51">
        <f>ChiNSĐP03nam!X10</f>
        <v>684000</v>
      </c>
      <c r="Q24" s="2651">
        <f>ChiNSĐP03nam!Y10</f>
        <v>581000</v>
      </c>
      <c r="R24" s="2658">
        <f>I24+L24+O24</f>
        <v>3621186.4089698764</v>
      </c>
      <c r="S24" s="51">
        <f>J24+M24+P24</f>
        <v>1878186</v>
      </c>
      <c r="T24" s="51">
        <f t="shared" ref="R24:T45" si="37">K24+N24+Q24</f>
        <v>1743000.4089698761</v>
      </c>
      <c r="U24" s="51"/>
      <c r="V24" s="51"/>
      <c r="W24" s="51"/>
      <c r="X24" s="336"/>
      <c r="Y24" s="336"/>
      <c r="Z24" s="336"/>
      <c r="AA24" s="336"/>
      <c r="AB24" s="336"/>
      <c r="AC24" s="336"/>
      <c r="AD24" s="336"/>
      <c r="AE24" s="336"/>
      <c r="AF24" s="336"/>
    </row>
    <row r="25" spans="1:32" s="1464" customFormat="1" ht="18">
      <c r="A25" s="2548" t="s">
        <v>137</v>
      </c>
      <c r="B25" s="137" t="s">
        <v>234</v>
      </c>
      <c r="C25" s="51">
        <f t="shared" ref="C25:C44" si="38">SUM(D25:E25)</f>
        <v>900000</v>
      </c>
      <c r="D25" s="51">
        <f>ChiNSĐP03nam!D11</f>
        <v>100000</v>
      </c>
      <c r="E25" s="51">
        <f>ChiNSĐP03nam!E11</f>
        <v>800000</v>
      </c>
      <c r="F25" s="51">
        <f t="shared" si="33"/>
        <v>1080000</v>
      </c>
      <c r="G25" s="51">
        <f>ChiNSĐP03nam!I11</f>
        <v>100000</v>
      </c>
      <c r="H25" s="51">
        <f>ChiNSĐP03nam!J11</f>
        <v>980000</v>
      </c>
      <c r="I25" s="51">
        <f t="shared" si="34"/>
        <v>1770000</v>
      </c>
      <c r="J25" s="51">
        <f>ChiNSĐP03nam!N11</f>
        <v>627000</v>
      </c>
      <c r="K25" s="51">
        <f>ChiNSĐP03nam!O11</f>
        <v>1143000</v>
      </c>
      <c r="L25" s="51">
        <f t="shared" si="35"/>
        <v>1200000</v>
      </c>
      <c r="M25" s="51">
        <f>ChiNSĐP03nam!S11</f>
        <v>425099.74576271186</v>
      </c>
      <c r="N25" s="51">
        <f>ChiNSĐP03nam!T11</f>
        <v>774900.25423728814</v>
      </c>
      <c r="O25" s="51">
        <f t="shared" si="36"/>
        <v>1260000</v>
      </c>
      <c r="P25" s="51">
        <f>ChiNSĐP03nam!X11</f>
        <v>446399.73305084754</v>
      </c>
      <c r="Q25" s="2651">
        <f>ChiNSĐP03nam!Y11</f>
        <v>813600.26694915246</v>
      </c>
      <c r="R25" s="2658">
        <f>I25+L25+O25</f>
        <v>4230000</v>
      </c>
      <c r="S25" s="51">
        <f>J25+M25+P25</f>
        <v>1498499.4788135593</v>
      </c>
      <c r="T25" s="51">
        <f t="shared" si="37"/>
        <v>2731500.5211864407</v>
      </c>
      <c r="U25" s="51"/>
      <c r="V25" s="336"/>
      <c r="W25" s="336"/>
      <c r="X25" s="336"/>
      <c r="Y25" s="336"/>
      <c r="Z25" s="336"/>
      <c r="AA25" s="336"/>
      <c r="AB25" s="336"/>
      <c r="AC25" s="336"/>
      <c r="AD25" s="336"/>
      <c r="AE25" s="336"/>
      <c r="AF25" s="336"/>
    </row>
    <row r="26" spans="1:32" s="1464" customFormat="1" ht="18">
      <c r="A26" s="2548" t="s">
        <v>137</v>
      </c>
      <c r="B26" s="11" t="s">
        <v>121</v>
      </c>
      <c r="C26" s="51">
        <f t="shared" si="38"/>
        <v>1600000</v>
      </c>
      <c r="D26" s="51">
        <f>ChiNSĐP03nam!D12</f>
        <v>1600000</v>
      </c>
      <c r="E26" s="51">
        <f>ChiNSĐP03nam!E12</f>
        <v>0</v>
      </c>
      <c r="F26" s="51">
        <f t="shared" si="33"/>
        <v>1950000</v>
      </c>
      <c r="G26" s="51">
        <f>ChiNSĐP03nam!I12</f>
        <v>1950000</v>
      </c>
      <c r="H26" s="51">
        <f>ChiNSĐP03nam!J12</f>
        <v>0</v>
      </c>
      <c r="I26" s="51">
        <f t="shared" si="34"/>
        <v>1950000</v>
      </c>
      <c r="J26" s="51">
        <f>ChiNSĐP03nam!N12</f>
        <v>1950000</v>
      </c>
      <c r="K26" s="51">
        <f>ChiNSĐP03nam!O12</f>
        <v>0</v>
      </c>
      <c r="L26" s="51">
        <f t="shared" si="35"/>
        <v>2322000</v>
      </c>
      <c r="M26" s="51">
        <f>ChiNSĐP03nam!S12</f>
        <v>2322000</v>
      </c>
      <c r="N26" s="51">
        <f>ChiNSĐP03nam!T12</f>
        <v>0</v>
      </c>
      <c r="O26" s="51">
        <f t="shared" si="36"/>
        <v>2500000</v>
      </c>
      <c r="P26" s="51">
        <f>ChiNSĐP03nam!X12</f>
        <v>2500000</v>
      </c>
      <c r="Q26" s="2651">
        <f>ChiNSĐP03nam!Y12</f>
        <v>0</v>
      </c>
      <c r="R26" s="2658">
        <f t="shared" ref="R26:R38" si="39">I26+L26+O26</f>
        <v>6772000</v>
      </c>
      <c r="S26" s="51">
        <f t="shared" si="37"/>
        <v>6772000</v>
      </c>
      <c r="T26" s="51">
        <f t="shared" si="37"/>
        <v>0</v>
      </c>
      <c r="U26" s="336"/>
      <c r="V26" s="336"/>
      <c r="W26" s="336"/>
      <c r="X26" s="336"/>
      <c r="Y26" s="336"/>
      <c r="Z26" s="336"/>
      <c r="AA26" s="336"/>
      <c r="AB26" s="336"/>
      <c r="AC26" s="336"/>
      <c r="AD26" s="336"/>
      <c r="AE26" s="336"/>
      <c r="AF26" s="336"/>
    </row>
    <row r="27" spans="1:32" s="1464" customFormat="1" ht="18">
      <c r="A27" s="2548" t="s">
        <v>137</v>
      </c>
      <c r="B27" s="11" t="str">
        <f>'Phụ lục số 2'!B13</f>
        <v>Chi đầu tư từ nguồn thu thoái vốn doanh nghiệp nhà nước địa phương quản lý;…</v>
      </c>
      <c r="C27" s="51">
        <f t="shared" si="38"/>
        <v>0</v>
      </c>
      <c r="D27" s="51">
        <f>ChiNSĐP03nam!D13</f>
        <v>0</v>
      </c>
      <c r="E27" s="51">
        <f>ChiNSĐP03nam!E13</f>
        <v>0</v>
      </c>
      <c r="F27" s="51">
        <f t="shared" si="33"/>
        <v>0</v>
      </c>
      <c r="G27" s="51">
        <f>ChiNSĐP03nam!I13</f>
        <v>0</v>
      </c>
      <c r="H27" s="51">
        <f>ChiNSĐP03nam!J13</f>
        <v>0</v>
      </c>
      <c r="I27" s="51">
        <f t="shared" si="34"/>
        <v>0</v>
      </c>
      <c r="J27" s="51">
        <f>ChiNSĐP03nam!N13</f>
        <v>0</v>
      </c>
      <c r="K27" s="51">
        <f>ChiNSĐP03nam!O13</f>
        <v>0</v>
      </c>
      <c r="L27" s="51">
        <f t="shared" si="35"/>
        <v>0</v>
      </c>
      <c r="M27" s="51">
        <f>ChiNSĐP03nam!S13</f>
        <v>0</v>
      </c>
      <c r="N27" s="51">
        <f>ChiNSĐP03nam!T13</f>
        <v>0</v>
      </c>
      <c r="O27" s="51">
        <f t="shared" si="36"/>
        <v>0</v>
      </c>
      <c r="P27" s="51">
        <f>ChiNSĐP03nam!X13</f>
        <v>0</v>
      </c>
      <c r="Q27" s="2651">
        <f>ChiNSĐP03nam!Y13</f>
        <v>0</v>
      </c>
      <c r="R27" s="2658">
        <f t="shared" si="39"/>
        <v>0</v>
      </c>
      <c r="S27" s="51">
        <f t="shared" si="37"/>
        <v>0</v>
      </c>
      <c r="T27" s="51">
        <f t="shared" si="37"/>
        <v>0</v>
      </c>
      <c r="U27" s="336"/>
      <c r="V27" s="336"/>
      <c r="W27" s="336"/>
      <c r="X27" s="336"/>
      <c r="Y27" s="336"/>
      <c r="Z27" s="336"/>
      <c r="AA27" s="336"/>
      <c r="AB27" s="336"/>
      <c r="AC27" s="336"/>
      <c r="AD27" s="336"/>
      <c r="AE27" s="336"/>
      <c r="AF27" s="336"/>
    </row>
    <row r="28" spans="1:32" s="1464" customFormat="1" ht="18">
      <c r="A28" s="2548"/>
      <c r="B28" s="11" t="str">
        <f>'Phụ lục số 2'!B14</f>
        <v>Chi đầu tư phát triển khác (Ủy thác qua NH Chính sách xã hội chi nhánh tỉnh Đồng Tháp)</v>
      </c>
      <c r="C28" s="51"/>
      <c r="D28" s="51"/>
      <c r="E28" s="51"/>
      <c r="F28" s="51"/>
      <c r="G28" s="51"/>
      <c r="H28" s="51"/>
      <c r="I28" s="51">
        <f t="shared" si="34"/>
        <v>60000</v>
      </c>
      <c r="J28" s="51">
        <f>ChiNSĐP03nam!N14</f>
        <v>60000</v>
      </c>
      <c r="K28" s="51"/>
      <c r="L28" s="51">
        <f t="shared" si="35"/>
        <v>60000</v>
      </c>
      <c r="M28" s="51">
        <f>J28</f>
        <v>60000</v>
      </c>
      <c r="N28" s="51"/>
      <c r="O28" s="51">
        <f t="shared" si="36"/>
        <v>60000</v>
      </c>
      <c r="P28" s="51">
        <f>M28</f>
        <v>60000</v>
      </c>
      <c r="Q28" s="2651"/>
      <c r="R28" s="2658">
        <f t="shared" si="39"/>
        <v>180000</v>
      </c>
      <c r="S28" s="51">
        <f t="shared" si="37"/>
        <v>180000</v>
      </c>
      <c r="T28" s="51"/>
      <c r="U28" s="336"/>
      <c r="V28" s="336"/>
      <c r="W28" s="336"/>
      <c r="X28" s="336"/>
      <c r="Y28" s="336"/>
      <c r="Z28" s="336"/>
      <c r="AA28" s="336"/>
      <c r="AB28" s="336"/>
      <c r="AC28" s="336"/>
      <c r="AD28" s="336"/>
      <c r="AE28" s="336"/>
      <c r="AF28" s="336"/>
    </row>
    <row r="29" spans="1:32" s="1464" customFormat="1" ht="17.399999999999999">
      <c r="A29" s="2638">
        <v>2</v>
      </c>
      <c r="B29" s="139" t="s">
        <v>58</v>
      </c>
      <c r="C29" s="336">
        <f t="shared" si="38"/>
        <v>9353865</v>
      </c>
      <c r="D29" s="336">
        <f>ChiNSĐP03nam!D15</f>
        <v>3168035</v>
      </c>
      <c r="E29" s="336">
        <f>ChiNSĐP03nam!E15</f>
        <v>6185830</v>
      </c>
      <c r="F29" s="336">
        <f t="shared" si="33"/>
        <v>9353865</v>
      </c>
      <c r="G29" s="336">
        <f>ChiNSĐP03nam!I15</f>
        <v>3168035</v>
      </c>
      <c r="H29" s="336">
        <f>ChiNSĐP03nam!J15</f>
        <v>6185830</v>
      </c>
      <c r="I29" s="336">
        <f t="shared" si="34"/>
        <v>10664978.394711081</v>
      </c>
      <c r="J29" s="336">
        <f>ChiNSĐP03nam!N15</f>
        <v>3294440</v>
      </c>
      <c r="K29" s="336">
        <f>ChiNSĐP03nam!O15</f>
        <v>7370538.3947110809</v>
      </c>
      <c r="L29" s="336">
        <f t="shared" si="35"/>
        <v>11071000</v>
      </c>
      <c r="M29" s="336">
        <f>ChiNSĐP03nam!S15</f>
        <v>3701000</v>
      </c>
      <c r="N29" s="336">
        <f>ChiNSĐP03nam!T15</f>
        <v>7370000</v>
      </c>
      <c r="O29" s="336">
        <f t="shared" si="36"/>
        <v>11373000</v>
      </c>
      <c r="P29" s="336">
        <f>ChiNSĐP03nam!X15</f>
        <v>4003000</v>
      </c>
      <c r="Q29" s="2650">
        <f>ChiNSĐP03nam!Y15</f>
        <v>7370000</v>
      </c>
      <c r="R29" s="2657">
        <f t="shared" si="39"/>
        <v>33108978.394711081</v>
      </c>
      <c r="S29" s="336">
        <f t="shared" si="37"/>
        <v>10998440</v>
      </c>
      <c r="T29" s="336">
        <f t="shared" si="37"/>
        <v>22110538.394711081</v>
      </c>
      <c r="U29" s="1153" t="s">
        <v>204</v>
      </c>
      <c r="V29" s="336"/>
      <c r="W29" s="336"/>
      <c r="X29" s="1153" t="s">
        <v>204</v>
      </c>
      <c r="Y29" s="336"/>
      <c r="Z29" s="336"/>
      <c r="AA29" s="1153" t="s">
        <v>204</v>
      </c>
      <c r="AB29" s="336"/>
      <c r="AC29" s="336"/>
      <c r="AD29" s="1153" t="s">
        <v>204</v>
      </c>
      <c r="AE29" s="336"/>
      <c r="AF29" s="336"/>
    </row>
    <row r="30" spans="1:32" s="1464" customFormat="1" ht="18">
      <c r="A30" s="2548" t="s">
        <v>137</v>
      </c>
      <c r="B30" s="137" t="s">
        <v>230</v>
      </c>
      <c r="C30" s="51">
        <f t="shared" si="38"/>
        <v>4179745</v>
      </c>
      <c r="D30" s="51">
        <f>ChiNSĐP03nam!D20</f>
        <v>1017035</v>
      </c>
      <c r="E30" s="51">
        <f>ChiNSĐP03nam!E20</f>
        <v>3162710</v>
      </c>
      <c r="F30" s="51">
        <f t="shared" si="33"/>
        <v>4179745</v>
      </c>
      <c r="G30" s="51">
        <f>ChiNSĐP03nam!I20</f>
        <v>1017035</v>
      </c>
      <c r="H30" s="51">
        <f>ChiNSĐP03nam!J20</f>
        <v>3162710</v>
      </c>
      <c r="I30" s="51">
        <f t="shared" si="34"/>
        <v>4797945.7831797441</v>
      </c>
      <c r="J30" s="51">
        <f>ChiNSĐP03nam!N20</f>
        <v>956676</v>
      </c>
      <c r="K30" s="51">
        <f>ChiNSĐP03nam!O20</f>
        <v>3841269.7831797441</v>
      </c>
      <c r="L30" s="51">
        <f t="shared" si="35"/>
        <v>4916000</v>
      </c>
      <c r="M30" s="51">
        <f>ChiNSĐP03nam!S20</f>
        <v>1075000</v>
      </c>
      <c r="N30" s="51">
        <f>ChiNSĐP03nam!T20</f>
        <v>3841000</v>
      </c>
      <c r="O30" s="51">
        <f t="shared" si="36"/>
        <v>5004000</v>
      </c>
      <c r="P30" s="51">
        <f>ChiNSĐP03nam!X20</f>
        <v>1163000</v>
      </c>
      <c r="Q30" s="2651">
        <f>ChiNSĐP03nam!Y20</f>
        <v>3841000</v>
      </c>
      <c r="R30" s="2658">
        <f t="shared" si="39"/>
        <v>14717945.783179745</v>
      </c>
      <c r="S30" s="51">
        <f t="shared" si="37"/>
        <v>3194676</v>
      </c>
      <c r="T30" s="51">
        <f t="shared" si="37"/>
        <v>11523269.783179745</v>
      </c>
      <c r="U30" s="336">
        <f>V30+W30</f>
        <v>64920.799999999814</v>
      </c>
      <c r="V30" s="336">
        <f>V14-V21</f>
        <v>-88289.266666666605</v>
      </c>
      <c r="W30" s="336">
        <f>W14-W21</f>
        <v>153210.06666666642</v>
      </c>
      <c r="X30" s="336">
        <f>Y30+Z30</f>
        <v>280465</v>
      </c>
      <c r="Y30" s="336">
        <f>Y14-Y21</f>
        <v>-69650</v>
      </c>
      <c r="Z30" s="336">
        <f>Z14-Z21</f>
        <v>350115</v>
      </c>
      <c r="AA30" s="336">
        <f>AB30+AC30</f>
        <v>694200.22038975032</v>
      </c>
      <c r="AB30" s="336">
        <f>AB14-AB21</f>
        <v>382275.21690559341</v>
      </c>
      <c r="AC30" s="336">
        <f>AC14-AC21</f>
        <v>311925.00348415691</v>
      </c>
      <c r="AD30" s="336">
        <f>AE30+AF30</f>
        <v>973501.13324674137</v>
      </c>
      <c r="AE30" s="336">
        <f>AE14-AE21</f>
        <v>559525.907349905</v>
      </c>
      <c r="AF30" s="336">
        <f>AF14-AF21</f>
        <v>413975.22589683637</v>
      </c>
    </row>
    <row r="31" spans="1:32" s="1464" customFormat="1" ht="18">
      <c r="A31" s="2548" t="s">
        <v>137</v>
      </c>
      <c r="B31" s="137" t="s">
        <v>205</v>
      </c>
      <c r="C31" s="51">
        <f t="shared" si="38"/>
        <v>31000</v>
      </c>
      <c r="D31" s="51">
        <f>ChiNSĐP03nam!D19</f>
        <v>31000</v>
      </c>
      <c r="E31" s="51">
        <f>'[1]Phụ lục số 2'!E18</f>
        <v>0</v>
      </c>
      <c r="F31" s="51">
        <f t="shared" si="33"/>
        <v>31000</v>
      </c>
      <c r="G31" s="51">
        <f>ChiNSĐP03nam!I19</f>
        <v>31000</v>
      </c>
      <c r="H31" s="51">
        <f>'[1]Phụ lục số 2'!J18</f>
        <v>0</v>
      </c>
      <c r="I31" s="51">
        <f t="shared" si="34"/>
        <v>31218</v>
      </c>
      <c r="J31" s="51">
        <f>ChiNSĐP03nam!N19</f>
        <v>31218</v>
      </c>
      <c r="K31" s="51">
        <f>ChiNSĐP03nam!O19</f>
        <v>0</v>
      </c>
      <c r="L31" s="51">
        <f t="shared" si="35"/>
        <v>35000</v>
      </c>
      <c r="M31" s="51">
        <f>ChiNSĐP03nam!S19</f>
        <v>35000</v>
      </c>
      <c r="N31" s="51">
        <f>'[1]Phụ lục số 2'!T18</f>
        <v>0</v>
      </c>
      <c r="O31" s="51">
        <f t="shared" si="36"/>
        <v>38000</v>
      </c>
      <c r="P31" s="51">
        <f>ChiNSĐP03nam!X19</f>
        <v>38000</v>
      </c>
      <c r="Q31" s="2651">
        <f>'[1]Phụ lục số 2'!Y18</f>
        <v>0</v>
      </c>
      <c r="R31" s="2658">
        <f t="shared" si="39"/>
        <v>104218</v>
      </c>
      <c r="S31" s="51">
        <f t="shared" si="37"/>
        <v>104218</v>
      </c>
      <c r="T31" s="51">
        <f t="shared" si="37"/>
        <v>0</v>
      </c>
      <c r="U31" s="336"/>
      <c r="V31" s="336"/>
      <c r="W31" s="336"/>
      <c r="X31" s="336"/>
      <c r="Y31" s="336"/>
      <c r="Z31" s="336"/>
      <c r="AA31" s="336"/>
      <c r="AB31" s="336"/>
      <c r="AC31" s="336"/>
      <c r="AD31" s="336"/>
      <c r="AE31" s="336"/>
      <c r="AF31" s="336"/>
    </row>
    <row r="32" spans="1:32" s="1464" customFormat="1" ht="18">
      <c r="A32" s="2548" t="s">
        <v>137</v>
      </c>
      <c r="B32" s="137" t="s">
        <v>206</v>
      </c>
      <c r="C32" s="51">
        <f>SUM(D32:E32)</f>
        <v>5143120</v>
      </c>
      <c r="D32" s="51">
        <f>D29-D30-D31</f>
        <v>2120000</v>
      </c>
      <c r="E32" s="51">
        <f>E29-E30-E31</f>
        <v>3023120</v>
      </c>
      <c r="F32" s="51">
        <f t="shared" si="33"/>
        <v>5143120</v>
      </c>
      <c r="G32" s="51">
        <f>G29-G30-G31</f>
        <v>2120000</v>
      </c>
      <c r="H32" s="51">
        <f>H29-H30-H31</f>
        <v>3023120</v>
      </c>
      <c r="I32" s="51">
        <f t="shared" si="34"/>
        <v>5835814.6115313368</v>
      </c>
      <c r="J32" s="51">
        <f>J29-J30-J31</f>
        <v>2306546</v>
      </c>
      <c r="K32" s="51">
        <f>K29-K30-K31</f>
        <v>3529268.6115313368</v>
      </c>
      <c r="L32" s="51">
        <f t="shared" si="35"/>
        <v>6120000</v>
      </c>
      <c r="M32" s="51">
        <f>M29-M30-M31</f>
        <v>2591000</v>
      </c>
      <c r="N32" s="51">
        <f>N29-N30-N31</f>
        <v>3529000</v>
      </c>
      <c r="O32" s="51">
        <f t="shared" si="36"/>
        <v>6331000</v>
      </c>
      <c r="P32" s="51">
        <f>P29-P30-P31</f>
        <v>2802000</v>
      </c>
      <c r="Q32" s="2651">
        <f>Q29-Q30-Q31</f>
        <v>3529000</v>
      </c>
      <c r="R32" s="2658">
        <f t="shared" si="39"/>
        <v>18286814.611531336</v>
      </c>
      <c r="S32" s="51">
        <f t="shared" si="37"/>
        <v>7699546</v>
      </c>
      <c r="T32" s="51">
        <f t="shared" si="37"/>
        <v>10587268.611531336</v>
      </c>
      <c r="U32" s="497"/>
      <c r="V32" s="497"/>
      <c r="W32" s="497"/>
      <c r="X32" s="497">
        <f>I7/$C$7</f>
        <v>1.1474659014722739</v>
      </c>
      <c r="Y32" s="497">
        <f>J7/D7</f>
        <v>0.91088029412674876</v>
      </c>
      <c r="Z32" s="497">
        <f>K7/E7</f>
        <v>1.2803553086142401</v>
      </c>
      <c r="AA32" s="497">
        <f>L7/C7</f>
        <v>1.2090914108676805</v>
      </c>
      <c r="AB32" s="497">
        <f>M7/J7</f>
        <v>1.280207941982898</v>
      </c>
      <c r="AC32" s="497">
        <f>N7/K7</f>
        <v>0.9631939303361855</v>
      </c>
      <c r="AD32" s="497">
        <f>O7/C7</f>
        <v>1.2766688431604067</v>
      </c>
      <c r="AE32" s="497">
        <f>P7/M7</f>
        <v>1.187520489959327</v>
      </c>
      <c r="AF32" s="497">
        <f>Q7/N7</f>
        <v>0.98597895568760663</v>
      </c>
    </row>
    <row r="33" spans="1:32" s="1464" customFormat="1" ht="34.799999999999997">
      <c r="A33" s="2635">
        <v>3</v>
      </c>
      <c r="B33" s="209" t="s">
        <v>143</v>
      </c>
      <c r="C33" s="336">
        <f>SUM(D33:E33)</f>
        <v>0</v>
      </c>
      <c r="D33" s="336">
        <f>'[1]Phụ lục số 2'!D30</f>
        <v>0</v>
      </c>
      <c r="E33" s="336">
        <f>'[1]Phụ lục số 2'!E30</f>
        <v>0</v>
      </c>
      <c r="F33" s="336">
        <f>SUM(G33:H33)</f>
        <v>431000</v>
      </c>
      <c r="G33" s="336">
        <f>ChiNSĐP03nam!I31</f>
        <v>89700</v>
      </c>
      <c r="H33" s="336">
        <f>ChiNSĐP03nam!J31</f>
        <v>341300</v>
      </c>
      <c r="I33" s="336">
        <f>SUM(J33:K33)</f>
        <v>0</v>
      </c>
      <c r="J33" s="336">
        <f>ChiNSĐP03nam!N31</f>
        <v>0</v>
      </c>
      <c r="K33" s="336">
        <f>ChiNSĐP03nam!O31</f>
        <v>0</v>
      </c>
      <c r="L33" s="336">
        <f>SUM(M33:N33)</f>
        <v>0</v>
      </c>
      <c r="M33" s="336">
        <f>ChiNSĐP03nam!S31</f>
        <v>0</v>
      </c>
      <c r="N33" s="336">
        <f>ChiNSĐP03nam!T31</f>
        <v>0</v>
      </c>
      <c r="O33" s="336">
        <f>SUM(P33:Q33)</f>
        <v>0</v>
      </c>
      <c r="P33" s="336">
        <f>ChiNSĐP03nam!X31</f>
        <v>0</v>
      </c>
      <c r="Q33" s="2650">
        <f>ChiNSĐP03nam!Y31</f>
        <v>0</v>
      </c>
      <c r="R33" s="2657">
        <f t="shared" si="39"/>
        <v>0</v>
      </c>
      <c r="S33" s="336">
        <f t="shared" ref="S33" si="40">J33+M33+P33</f>
        <v>0</v>
      </c>
      <c r="T33" s="336">
        <f t="shared" ref="T33" si="41">K33+N33+Q33</f>
        <v>0</v>
      </c>
      <c r="U33" s="336"/>
      <c r="V33" s="336"/>
      <c r="W33" s="336"/>
      <c r="X33" s="336"/>
      <c r="Y33" s="497">
        <f>Y32-1</f>
        <v>-8.9119705873251243E-2</v>
      </c>
      <c r="Z33" s="497">
        <f>Z32-1</f>
        <v>0.28035530861424007</v>
      </c>
      <c r="AA33" s="336"/>
      <c r="AB33" s="497">
        <f>AB32-1</f>
        <v>0.280207941982898</v>
      </c>
      <c r="AC33" s="497">
        <f>AC32-1</f>
        <v>-3.68060696638145E-2</v>
      </c>
      <c r="AD33" s="336"/>
      <c r="AE33" s="497">
        <f>AE32-1</f>
        <v>0.18752048995932702</v>
      </c>
      <c r="AF33" s="497">
        <f>AF32-1</f>
        <v>-1.4021044312393371E-2</v>
      </c>
    </row>
    <row r="34" spans="1:32" s="1464" customFormat="1" ht="34.799999999999997">
      <c r="A34" s="2635">
        <v>4</v>
      </c>
      <c r="B34" s="209" t="s">
        <v>232</v>
      </c>
      <c r="C34" s="336"/>
      <c r="D34" s="336"/>
      <c r="E34" s="336"/>
      <c r="F34" s="336"/>
      <c r="G34" s="336">
        <f>ChiNSĐP03nam!I32</f>
        <v>0</v>
      </c>
      <c r="H34" s="336">
        <f>ChiNSĐP03nam!J32</f>
        <v>357489.34666666656</v>
      </c>
      <c r="I34" s="336">
        <f t="shared" ref="I34:I38" si="42">SUM(J34:K34)</f>
        <v>717399.2</v>
      </c>
      <c r="J34" s="336">
        <f>ChiNSĐP03nam!N32</f>
        <v>79139.200000000012</v>
      </c>
      <c r="K34" s="336">
        <f>ChiNSĐP03nam!O32</f>
        <v>638260</v>
      </c>
      <c r="L34" s="336">
        <f t="shared" ref="L34:L35" si="43">SUM(M34:N34)</f>
        <v>881301.31019487511</v>
      </c>
      <c r="M34" s="336">
        <f>ChiNSĐP03nam!S32</f>
        <v>565518.00845279661</v>
      </c>
      <c r="N34" s="336">
        <f>ChiNSĐP03nam!T32</f>
        <v>315783.30174207845</v>
      </c>
      <c r="O34" s="336">
        <f t="shared" ref="O34:O38" si="44">SUM(P34:Q34)</f>
        <v>1235804.6166233711</v>
      </c>
      <c r="P34" s="336">
        <f>ChiNSĐP03nam!X32</f>
        <v>1038397.953674953</v>
      </c>
      <c r="Q34" s="2650">
        <f>ChiNSĐP03nam!Y32</f>
        <v>197406.66294841812</v>
      </c>
      <c r="R34" s="2657">
        <f t="shared" si="39"/>
        <v>2834505.1268182462</v>
      </c>
      <c r="S34" s="336">
        <f t="shared" ref="S34:S38" si="45">J34+M34+P34</f>
        <v>1683055.1621277495</v>
      </c>
      <c r="T34" s="336">
        <f t="shared" ref="T34:T38" si="46">K34+N34+Q34</f>
        <v>1151449.9646904967</v>
      </c>
      <c r="U34" s="336"/>
      <c r="V34" s="336"/>
      <c r="W34" s="336"/>
      <c r="X34" s="336"/>
      <c r="Y34" s="497"/>
      <c r="Z34" s="497"/>
      <c r="AA34" s="336"/>
      <c r="AB34" s="497"/>
      <c r="AC34" s="497"/>
      <c r="AD34" s="336"/>
      <c r="AE34" s="497"/>
      <c r="AF34" s="497"/>
    </row>
    <row r="35" spans="1:32" s="1464" customFormat="1" ht="17.399999999999999">
      <c r="A35" s="2635">
        <v>5</v>
      </c>
      <c r="B35" s="76" t="s">
        <v>231</v>
      </c>
      <c r="C35" s="336"/>
      <c r="D35" s="336"/>
      <c r="E35" s="336"/>
      <c r="F35" s="336"/>
      <c r="G35" s="336">
        <f>ChiNSĐP03nam!I33</f>
        <v>0</v>
      </c>
      <c r="H35" s="336">
        <f>ChiNSĐP03nam!J33</f>
        <v>153209.71999999997</v>
      </c>
      <c r="I35" s="336">
        <f t="shared" si="42"/>
        <v>0</v>
      </c>
      <c r="J35" s="336">
        <f>ChiNSĐP03nam!N33</f>
        <v>0</v>
      </c>
      <c r="K35" s="336">
        <f>ChiNSĐP03nam!O33</f>
        <v>0</v>
      </c>
      <c r="L35" s="336">
        <f t="shared" si="43"/>
        <v>0</v>
      </c>
      <c r="M35" s="336">
        <f>ChiNSĐP03nam!S33</f>
        <v>0</v>
      </c>
      <c r="N35" s="336">
        <f>ChiNSĐP03nam!T33</f>
        <v>0</v>
      </c>
      <c r="O35" s="336">
        <f t="shared" si="44"/>
        <v>0</v>
      </c>
      <c r="P35" s="336">
        <f>ChiNSĐP03nam!X33</f>
        <v>0</v>
      </c>
      <c r="Q35" s="2650">
        <f>ChiNSĐP03nam!Y33</f>
        <v>0</v>
      </c>
      <c r="R35" s="2657">
        <f t="shared" si="39"/>
        <v>0</v>
      </c>
      <c r="S35" s="336">
        <f t="shared" si="45"/>
        <v>0</v>
      </c>
      <c r="T35" s="336">
        <f t="shared" si="46"/>
        <v>0</v>
      </c>
      <c r="U35" s="336"/>
      <c r="V35" s="336"/>
      <c r="W35" s="336"/>
      <c r="X35" s="336"/>
      <c r="Y35" s="497"/>
      <c r="Z35" s="497"/>
      <c r="AA35" s="336"/>
      <c r="AB35" s="497"/>
      <c r="AC35" s="497"/>
      <c r="AD35" s="336"/>
      <c r="AE35" s="497"/>
      <c r="AF35" s="497"/>
    </row>
    <row r="36" spans="1:32" s="1464" customFormat="1" ht="17.399999999999999">
      <c r="A36" s="2635">
        <v>6</v>
      </c>
      <c r="B36" s="134" t="s">
        <v>60</v>
      </c>
      <c r="C36" s="336">
        <f t="shared" si="38"/>
        <v>2000</v>
      </c>
      <c r="D36" s="336">
        <f>ChiNSĐP03nam!D29</f>
        <v>2000</v>
      </c>
      <c r="E36" s="336">
        <f>ChiNSĐP03nam!E29</f>
        <v>0</v>
      </c>
      <c r="F36" s="336">
        <f t="shared" si="33"/>
        <v>2000</v>
      </c>
      <c r="G36" s="336">
        <f>ChiNSĐP03nam!I29</f>
        <v>2000</v>
      </c>
      <c r="H36" s="336">
        <f>ChiNSĐP03nam!J29</f>
        <v>0</v>
      </c>
      <c r="I36" s="336">
        <f t="shared" si="42"/>
        <v>2000</v>
      </c>
      <c r="J36" s="336">
        <f>ChiNSĐP03nam!N29</f>
        <v>2000</v>
      </c>
      <c r="K36" s="336">
        <f>ChiNSĐP03nam!O29</f>
        <v>0</v>
      </c>
      <c r="L36" s="336">
        <f t="shared" ref="L36:L44" si="47">SUM(M36:N36)</f>
        <v>2000</v>
      </c>
      <c r="M36" s="336">
        <f>ChiNSĐP03nam!S29</f>
        <v>2000</v>
      </c>
      <c r="N36" s="336">
        <f>ChiNSĐP03nam!T29</f>
        <v>0</v>
      </c>
      <c r="O36" s="336">
        <f t="shared" si="44"/>
        <v>2000</v>
      </c>
      <c r="P36" s="336">
        <f>ChiNSĐP03nam!X29</f>
        <v>2000</v>
      </c>
      <c r="Q36" s="2650">
        <f>ChiNSĐP03nam!Y29</f>
        <v>0</v>
      </c>
      <c r="R36" s="2657">
        <f t="shared" si="39"/>
        <v>6000</v>
      </c>
      <c r="S36" s="336">
        <f t="shared" si="45"/>
        <v>6000</v>
      </c>
      <c r="T36" s="336">
        <f t="shared" si="46"/>
        <v>0</v>
      </c>
      <c r="U36" s="336"/>
      <c r="V36" s="336"/>
      <c r="W36" s="336"/>
      <c r="X36" s="336"/>
      <c r="Y36" s="497">
        <f>Y33/2</f>
        <v>-4.4559852936625621E-2</v>
      </c>
      <c r="Z36" s="497">
        <f>Z33/2</f>
        <v>0.14017765430712004</v>
      </c>
      <c r="AA36" s="336"/>
      <c r="AB36" s="497">
        <f>AB33/2</f>
        <v>0.140103970991449</v>
      </c>
      <c r="AC36" s="497">
        <f>AC33/2</f>
        <v>-1.840303483190725E-2</v>
      </c>
      <c r="AD36" s="336"/>
      <c r="AE36" s="497">
        <f>AE33/2</f>
        <v>9.376024497966351E-2</v>
      </c>
      <c r="AF36" s="497">
        <f>AF33/2</f>
        <v>-7.0105221561966857E-3</v>
      </c>
    </row>
    <row r="37" spans="1:32" s="1464" customFormat="1" ht="17.399999999999999">
      <c r="A37" s="2640">
        <v>7</v>
      </c>
      <c r="B37" s="134" t="s">
        <v>87</v>
      </c>
      <c r="C37" s="336">
        <f t="shared" si="38"/>
        <v>274623</v>
      </c>
      <c r="D37" s="336">
        <f>ChiNSĐP03nam!D30</f>
        <v>135382</v>
      </c>
      <c r="E37" s="336">
        <f>ChiNSĐP03nam!E30</f>
        <v>139241</v>
      </c>
      <c r="F37" s="336">
        <f t="shared" si="33"/>
        <v>274623</v>
      </c>
      <c r="G37" s="336">
        <f>ChiNSĐP03nam!I30</f>
        <v>135382</v>
      </c>
      <c r="H37" s="336">
        <f>ChiNSĐP03nam!J30</f>
        <v>139241</v>
      </c>
      <c r="I37" s="336">
        <f t="shared" si="42"/>
        <v>327868.91231904214</v>
      </c>
      <c r="J37" s="336">
        <f>ChiNSĐP03nam!N30</f>
        <v>152264.36799999999</v>
      </c>
      <c r="K37" s="336">
        <f>ChiNSĐP03nam!O30</f>
        <v>175604.54431904212</v>
      </c>
      <c r="L37" s="336">
        <f t="shared" si="47"/>
        <v>347000</v>
      </c>
      <c r="M37" s="336">
        <f>ChiNSĐP03nam!S30</f>
        <v>171000</v>
      </c>
      <c r="N37" s="336">
        <f>ChiNSĐP03nam!T30</f>
        <v>176000</v>
      </c>
      <c r="O37" s="336">
        <f t="shared" si="44"/>
        <v>361000</v>
      </c>
      <c r="P37" s="336">
        <f>ChiNSĐP03nam!X30</f>
        <v>185000</v>
      </c>
      <c r="Q37" s="2650">
        <f>ChiNSĐP03nam!Y30</f>
        <v>176000</v>
      </c>
      <c r="R37" s="2657">
        <f t="shared" si="39"/>
        <v>1035868.9123190421</v>
      </c>
      <c r="S37" s="336">
        <f t="shared" si="45"/>
        <v>508264.36800000002</v>
      </c>
      <c r="T37" s="336">
        <f t="shared" si="46"/>
        <v>527604.54431904212</v>
      </c>
      <c r="U37" s="336"/>
      <c r="V37" s="336"/>
      <c r="W37" s="336"/>
      <c r="X37" s="336" t="s">
        <v>207</v>
      </c>
      <c r="Y37" s="497">
        <f>1+Y36</f>
        <v>0.95544014706337443</v>
      </c>
      <c r="Z37" s="497">
        <f>1+Z36</f>
        <v>1.14017765430712</v>
      </c>
      <c r="AA37" s="336" t="s">
        <v>207</v>
      </c>
      <c r="AB37" s="497">
        <f>1+AB36</f>
        <v>1.1401039709914489</v>
      </c>
      <c r="AC37" s="497">
        <f>1+AC36</f>
        <v>0.98159696516809269</v>
      </c>
      <c r="AD37" s="336" t="s">
        <v>207</v>
      </c>
      <c r="AE37" s="497">
        <f>1+AE36</f>
        <v>1.0937602449796635</v>
      </c>
      <c r="AF37" s="497">
        <f>1+AF36</f>
        <v>0.99298947784380331</v>
      </c>
    </row>
    <row r="38" spans="1:32" s="1464" customFormat="1" ht="17.399999999999999">
      <c r="A38" s="2640">
        <v>8</v>
      </c>
      <c r="B38" s="134" t="s">
        <v>126</v>
      </c>
      <c r="C38" s="336">
        <f t="shared" si="38"/>
        <v>0</v>
      </c>
      <c r="D38" s="336">
        <f>ChiNSĐP03nam!D34</f>
        <v>0</v>
      </c>
      <c r="E38" s="336">
        <f>ChiNSĐP03nam!E34</f>
        <v>0</v>
      </c>
      <c r="F38" s="336">
        <f t="shared" si="33"/>
        <v>0</v>
      </c>
      <c r="G38" s="336">
        <f>ChiNSĐP03nam!I34</f>
        <v>0</v>
      </c>
      <c r="H38" s="336">
        <f>ChiNSĐP03nam!J34</f>
        <v>0</v>
      </c>
      <c r="I38" s="336">
        <f t="shared" si="42"/>
        <v>3000</v>
      </c>
      <c r="J38" s="336">
        <f>ChiNSĐP03nam!N34</f>
        <v>3000</v>
      </c>
      <c r="K38" s="336">
        <f>ChiNSĐP03nam!O34</f>
        <v>0</v>
      </c>
      <c r="L38" s="336">
        <f t="shared" si="47"/>
        <v>3000</v>
      </c>
      <c r="M38" s="336">
        <f>ChiNSĐP03nam!S34</f>
        <v>3000</v>
      </c>
      <c r="N38" s="336">
        <f>ChiNSĐP03nam!T34</f>
        <v>0</v>
      </c>
      <c r="O38" s="336">
        <f t="shared" si="44"/>
        <v>3000</v>
      </c>
      <c r="P38" s="336">
        <f>ChiNSĐP03nam!X34</f>
        <v>3000</v>
      </c>
      <c r="Q38" s="2650">
        <f>ChiNSĐP03nam!Y34</f>
        <v>0</v>
      </c>
      <c r="R38" s="2657">
        <f t="shared" si="39"/>
        <v>9000</v>
      </c>
      <c r="S38" s="336">
        <f t="shared" si="45"/>
        <v>9000</v>
      </c>
      <c r="T38" s="336">
        <f t="shared" si="46"/>
        <v>0</v>
      </c>
      <c r="U38" s="336"/>
      <c r="V38" s="336"/>
      <c r="W38" s="336"/>
      <c r="X38" s="336"/>
      <c r="Y38" s="336"/>
      <c r="Z38" s="336"/>
      <c r="AA38" s="336"/>
      <c r="AB38" s="336"/>
      <c r="AC38" s="336"/>
      <c r="AD38" s="336"/>
      <c r="AE38" s="336"/>
      <c r="AF38" s="336"/>
    </row>
    <row r="39" spans="1:32" s="1464" customFormat="1" ht="34.799999999999997">
      <c r="A39" s="2635" t="s">
        <v>20</v>
      </c>
      <c r="B39" s="1390" t="s">
        <v>59</v>
      </c>
      <c r="C39" s="336">
        <f>SUM(D39:E39)</f>
        <v>2597007</v>
      </c>
      <c r="D39" s="336">
        <f>SUM(D40:D42)</f>
        <v>2597007</v>
      </c>
      <c r="E39" s="336">
        <f t="shared" ref="E39" si="48">SUM(E40:E42)</f>
        <v>0</v>
      </c>
      <c r="F39" s="336">
        <f>SUM(G39:H39)</f>
        <v>2597007</v>
      </c>
      <c r="G39" s="336">
        <f>SUM(G40:G42)</f>
        <v>2597007</v>
      </c>
      <c r="H39" s="336">
        <f t="shared" ref="H39" si="49">SUM(H40:H42)</f>
        <v>0</v>
      </c>
      <c r="I39" s="336">
        <f t="shared" si="34"/>
        <v>1988976</v>
      </c>
      <c r="J39" s="336">
        <f>SUM(J40:J42)</f>
        <v>1988976</v>
      </c>
      <c r="K39" s="336">
        <f>SUM(K40:K42)</f>
        <v>0</v>
      </c>
      <c r="L39" s="336">
        <f t="shared" si="47"/>
        <v>2379485.2999999998</v>
      </c>
      <c r="M39" s="336">
        <f>SUM(M40:M42)</f>
        <v>2379485.2999999998</v>
      </c>
      <c r="N39" s="336">
        <f>SUM(N40:N42)</f>
        <v>0</v>
      </c>
      <c r="O39" s="336">
        <f>SUM(P39:Q39)</f>
        <v>2379485.2999999998</v>
      </c>
      <c r="P39" s="336">
        <f>SUM(P40:P42)</f>
        <v>2379485.2999999998</v>
      </c>
      <c r="Q39" s="2650">
        <f t="shared" ref="Q39" si="50">SUM(Q40:Q42)</f>
        <v>0</v>
      </c>
      <c r="R39" s="2657">
        <f>SUM(R40:R42)</f>
        <v>6747946.5999999996</v>
      </c>
      <c r="S39" s="336">
        <f t="shared" ref="S39:T39" si="51">SUM(S40:S42)</f>
        <v>6747946.5999999996</v>
      </c>
      <c r="T39" s="336">
        <f t="shared" si="51"/>
        <v>0</v>
      </c>
      <c r="U39" s="336"/>
      <c r="V39" s="336"/>
      <c r="W39" s="336"/>
      <c r="X39" s="336"/>
      <c r="Y39" s="336"/>
      <c r="Z39" s="336"/>
      <c r="AA39" s="336"/>
      <c r="AB39" s="336"/>
      <c r="AC39" s="336"/>
      <c r="AD39" s="336"/>
      <c r="AE39" s="336"/>
      <c r="AF39" s="336"/>
    </row>
    <row r="40" spans="1:32" s="1467" customFormat="1" ht="18">
      <c r="A40" s="2548">
        <v>1</v>
      </c>
      <c r="B40" s="78" t="str">
        <f>'Phụ lục số 3'!B41</f>
        <v>Chi thực hiện mục tiêu, nhiệm vụ quan trọng (vốn đầu tư phát triển)</v>
      </c>
      <c r="C40" s="51">
        <f>SUM(D40:E40)</f>
        <v>2417971</v>
      </c>
      <c r="D40" s="51">
        <f>ChiNSĐP03nam!D36</f>
        <v>2417971</v>
      </c>
      <c r="E40" s="51">
        <f>ChiNSĐP03nam!E36</f>
        <v>0</v>
      </c>
      <c r="F40" s="51">
        <f>SUM(G40:H40)</f>
        <v>2417971</v>
      </c>
      <c r="G40" s="51">
        <f>ChiNSĐP03nam!I36</f>
        <v>2417971</v>
      </c>
      <c r="H40" s="51"/>
      <c r="I40" s="51">
        <f>SUM(J40:K40)</f>
        <v>1814491</v>
      </c>
      <c r="J40" s="51">
        <f>ChiNSĐP03nam!N36</f>
        <v>1814491</v>
      </c>
      <c r="K40" s="51"/>
      <c r="L40" s="51">
        <f>SUM(M40:N40)</f>
        <v>2205000</v>
      </c>
      <c r="M40" s="51">
        <f>ChiNSĐP03nam!S36</f>
        <v>2205000</v>
      </c>
      <c r="N40" s="51"/>
      <c r="O40" s="51">
        <f>SUM(P40:Q40)</f>
        <v>2205000</v>
      </c>
      <c r="P40" s="51">
        <f>ChiNSĐP03nam!X36</f>
        <v>2205000</v>
      </c>
      <c r="Q40" s="2651">
        <f>ChiNSĐP03nam!Y36</f>
        <v>0</v>
      </c>
      <c r="R40" s="2658">
        <f>I40+L40+O40</f>
        <v>6224491</v>
      </c>
      <c r="S40" s="51">
        <f t="shared" si="37"/>
        <v>6224491</v>
      </c>
      <c r="T40" s="51">
        <f t="shared" si="37"/>
        <v>0</v>
      </c>
      <c r="U40" s="51"/>
      <c r="V40" s="51"/>
      <c r="W40" s="51"/>
      <c r="X40" s="51"/>
      <c r="Y40" s="51"/>
      <c r="Z40" s="51"/>
      <c r="AA40" s="51"/>
      <c r="AB40" s="51"/>
      <c r="AC40" s="51"/>
      <c r="AD40" s="51"/>
      <c r="AE40" s="51"/>
      <c r="AF40" s="51"/>
    </row>
    <row r="41" spans="1:32" s="1467" customFormat="1" ht="18">
      <c r="A41" s="2548">
        <v>2</v>
      </c>
      <c r="B41" s="78" t="str">
        <f>'Phụ lục số 3'!B42</f>
        <v>Chi thực hiện mục tiêu, nhiệm vụ quan trọng (kinh phí sự nghiệp)</v>
      </c>
      <c r="C41" s="51">
        <f t="shared" ref="C41:C42" si="52">SUM(D41:E41)</f>
        <v>179036</v>
      </c>
      <c r="D41" s="51">
        <f>ChiNSĐP03nam!D37</f>
        <v>179036</v>
      </c>
      <c r="E41" s="51">
        <f>ChiNSĐP03nam!E37</f>
        <v>0</v>
      </c>
      <c r="F41" s="51">
        <f t="shared" ref="F41:F43" si="53">SUM(G41:H41)</f>
        <v>179036</v>
      </c>
      <c r="G41" s="51">
        <f>ChiNSĐP03nam!I37</f>
        <v>179036</v>
      </c>
      <c r="H41" s="51"/>
      <c r="I41" s="51">
        <f t="shared" ref="I41:I42" si="54">SUM(J41:K41)</f>
        <v>174485</v>
      </c>
      <c r="J41" s="51">
        <f>ChiNSĐP03nam!N37</f>
        <v>174485</v>
      </c>
      <c r="K41" s="51"/>
      <c r="L41" s="51">
        <f t="shared" ref="L41:L42" si="55">SUM(M41:N41)</f>
        <v>174485.3</v>
      </c>
      <c r="M41" s="51">
        <f>ChiNSĐP03nam!S37</f>
        <v>174485.3</v>
      </c>
      <c r="N41" s="51"/>
      <c r="O41" s="51">
        <f t="shared" ref="O41:O44" si="56">SUM(P41:Q41)</f>
        <v>174485.3</v>
      </c>
      <c r="P41" s="51">
        <f>ChiNSĐP03nam!X37</f>
        <v>174485.3</v>
      </c>
      <c r="Q41" s="2651">
        <f>ChiNSĐP03nam!Y37</f>
        <v>0</v>
      </c>
      <c r="R41" s="2658">
        <f t="shared" ref="R41:R44" si="57">I41+L41+O41</f>
        <v>523455.6</v>
      </c>
      <c r="S41" s="51">
        <f t="shared" ref="S41:S44" si="58">J41+M41+P41</f>
        <v>523455.6</v>
      </c>
      <c r="T41" s="51">
        <f t="shared" ref="T41:T44" si="59">K41+N41+Q41</f>
        <v>0</v>
      </c>
      <c r="U41" s="51"/>
      <c r="V41" s="51"/>
      <c r="W41" s="51"/>
      <c r="X41" s="51"/>
      <c r="Y41" s="51"/>
      <c r="Z41" s="51"/>
      <c r="AA41" s="51"/>
      <c r="AB41" s="51"/>
      <c r="AC41" s="51"/>
      <c r="AD41" s="51"/>
      <c r="AE41" s="51"/>
      <c r="AF41" s="51"/>
    </row>
    <row r="42" spans="1:32" s="1467" customFormat="1" ht="18">
      <c r="A42" s="2548">
        <v>3</v>
      </c>
      <c r="B42" s="78" t="str">
        <f>'Phụ lục số 3'!B43</f>
        <v>Chi bổ sung có mục tiêu nhiệm vụ quan trọng khác (nếu có)</v>
      </c>
      <c r="C42" s="51">
        <f t="shared" si="52"/>
        <v>0</v>
      </c>
      <c r="D42" s="51">
        <f>ChiNSĐP03nam!D38</f>
        <v>0</v>
      </c>
      <c r="E42" s="51">
        <f>ChiNSĐP03nam!E38</f>
        <v>0</v>
      </c>
      <c r="F42" s="51">
        <f t="shared" si="53"/>
        <v>0</v>
      </c>
      <c r="G42" s="51">
        <f>ChiNSĐP03nam!I38</f>
        <v>0</v>
      </c>
      <c r="H42" s="51"/>
      <c r="I42" s="51">
        <f t="shared" si="54"/>
        <v>0</v>
      </c>
      <c r="J42" s="51">
        <f>ChiNSĐP03nam!N38</f>
        <v>0</v>
      </c>
      <c r="K42" s="51"/>
      <c r="L42" s="51">
        <f t="shared" si="55"/>
        <v>0</v>
      </c>
      <c r="M42" s="51">
        <f>ChiNSĐP03nam!S38</f>
        <v>0</v>
      </c>
      <c r="N42" s="51"/>
      <c r="O42" s="51">
        <f t="shared" si="56"/>
        <v>0</v>
      </c>
      <c r="P42" s="51">
        <f>ChiNSĐP03nam!X38</f>
        <v>0</v>
      </c>
      <c r="Q42" s="2651">
        <f>ChiNSĐP03nam!Y38</f>
        <v>0</v>
      </c>
      <c r="R42" s="2658">
        <f t="shared" si="57"/>
        <v>0</v>
      </c>
      <c r="S42" s="51">
        <f t="shared" si="58"/>
        <v>0</v>
      </c>
      <c r="T42" s="51">
        <f t="shared" si="59"/>
        <v>0</v>
      </c>
      <c r="U42" s="51"/>
      <c r="V42" s="51"/>
      <c r="W42" s="51"/>
      <c r="X42" s="51"/>
      <c r="Y42" s="51"/>
      <c r="Z42" s="51"/>
      <c r="AA42" s="51"/>
      <c r="AB42" s="51"/>
      <c r="AC42" s="51"/>
      <c r="AD42" s="51"/>
      <c r="AE42" s="51"/>
      <c r="AF42" s="51"/>
    </row>
    <row r="43" spans="1:32" s="1464" customFormat="1" ht="39.75" customHeight="1">
      <c r="A43" s="2635" t="s">
        <v>49</v>
      </c>
      <c r="B43" s="143" t="s">
        <v>133</v>
      </c>
      <c r="C43" s="336">
        <f t="shared" si="38"/>
        <v>31500</v>
      </c>
      <c r="D43" s="336">
        <f>ChiNSĐP03nam!D39</f>
        <v>31500</v>
      </c>
      <c r="E43" s="336">
        <f>'[1]Phụ lục số 2'!E35</f>
        <v>0</v>
      </c>
      <c r="F43" s="336">
        <f t="shared" si="53"/>
        <v>31500</v>
      </c>
      <c r="G43" s="336">
        <f>ChiNSĐP03nam!I39</f>
        <v>31500</v>
      </c>
      <c r="H43" s="336">
        <f>'[1]Phụ lục số 2'!J35</f>
        <v>0</v>
      </c>
      <c r="I43" s="336">
        <f>SUM(J43:K43)</f>
        <v>0</v>
      </c>
      <c r="J43" s="336">
        <f>ChiNSĐP03nam!N39</f>
        <v>0</v>
      </c>
      <c r="K43" s="336">
        <f>'[1]Phụ lục số 2'!O35</f>
        <v>0</v>
      </c>
      <c r="L43" s="336">
        <f>SUM(M43:N43)</f>
        <v>0</v>
      </c>
      <c r="M43" s="336">
        <f>ChiNSĐP03nam!S39</f>
        <v>0</v>
      </c>
      <c r="N43" s="336">
        <f>'[1]Phụ lục số 2'!T35</f>
        <v>0</v>
      </c>
      <c r="O43" s="336">
        <f t="shared" si="56"/>
        <v>0</v>
      </c>
      <c r="P43" s="336">
        <f>ChiNSĐP03nam!X39</f>
        <v>0</v>
      </c>
      <c r="Q43" s="2650">
        <f>ChiNSĐP03nam!Y39</f>
        <v>0</v>
      </c>
      <c r="R43" s="2657">
        <f t="shared" si="57"/>
        <v>0</v>
      </c>
      <c r="S43" s="336">
        <f t="shared" si="58"/>
        <v>0</v>
      </c>
      <c r="T43" s="336">
        <f t="shared" si="59"/>
        <v>0</v>
      </c>
      <c r="U43" s="336"/>
      <c r="V43" s="336"/>
      <c r="W43" s="336"/>
      <c r="X43" s="336"/>
      <c r="Y43" s="336"/>
      <c r="Z43" s="336"/>
      <c r="AA43" s="336"/>
      <c r="AB43" s="336"/>
      <c r="AC43" s="336"/>
      <c r="AD43" s="336"/>
      <c r="AE43" s="336"/>
      <c r="AF43" s="336"/>
    </row>
    <row r="44" spans="1:32" s="1465" customFormat="1" ht="17.399999999999999">
      <c r="A44" s="2635" t="s">
        <v>50</v>
      </c>
      <c r="B44" s="134" t="s">
        <v>235</v>
      </c>
      <c r="C44" s="336">
        <f t="shared" si="38"/>
        <v>0</v>
      </c>
      <c r="D44" s="336">
        <f>E13</f>
        <v>0</v>
      </c>
      <c r="E44" s="336"/>
      <c r="F44" s="336">
        <f t="shared" si="33"/>
        <v>0</v>
      </c>
      <c r="G44" s="336">
        <f>H13</f>
        <v>0</v>
      </c>
      <c r="H44" s="336"/>
      <c r="I44" s="336">
        <f t="shared" si="34"/>
        <v>0</v>
      </c>
      <c r="J44" s="336">
        <f>K13</f>
        <v>0</v>
      </c>
      <c r="K44" s="336"/>
      <c r="L44" s="336">
        <f t="shared" si="47"/>
        <v>0</v>
      </c>
      <c r="M44" s="336">
        <f>N13</f>
        <v>0</v>
      </c>
      <c r="N44" s="336"/>
      <c r="O44" s="336">
        <f t="shared" si="56"/>
        <v>0</v>
      </c>
      <c r="P44" s="336">
        <f>Q13</f>
        <v>0</v>
      </c>
      <c r="Q44" s="2650"/>
      <c r="R44" s="2657">
        <f t="shared" si="57"/>
        <v>0</v>
      </c>
      <c r="S44" s="336">
        <f t="shared" si="58"/>
        <v>0</v>
      </c>
      <c r="T44" s="336">
        <f t="shared" si="59"/>
        <v>0</v>
      </c>
      <c r="U44" s="336"/>
      <c r="V44" s="336"/>
      <c r="W44" s="336"/>
      <c r="X44" s="336"/>
      <c r="Y44" s="336"/>
      <c r="Z44" s="336"/>
      <c r="AA44" s="336"/>
      <c r="AB44" s="336"/>
      <c r="AC44" s="336"/>
      <c r="AD44" s="336"/>
      <c r="AE44" s="336"/>
      <c r="AF44" s="336"/>
    </row>
    <row r="45" spans="1:32" s="1466" customFormat="1" ht="18" thickBot="1">
      <c r="A45" s="2641" t="s">
        <v>26</v>
      </c>
      <c r="B45" s="2662" t="s">
        <v>241</v>
      </c>
      <c r="C45" s="2652">
        <f>C5-C21</f>
        <v>0</v>
      </c>
      <c r="D45" s="2652">
        <f>D5-D21</f>
        <v>4748721</v>
      </c>
      <c r="E45" s="2652">
        <f>E5-E21</f>
        <v>-4748721</v>
      </c>
      <c r="F45" s="2652">
        <f>G45+H45</f>
        <v>-294299.26666666567</v>
      </c>
      <c r="G45" s="2652">
        <f t="shared" ref="G45:Q45" si="60">G5-G21</f>
        <v>4454421.7333333343</v>
      </c>
      <c r="H45" s="2652">
        <f t="shared" si="60"/>
        <v>-4748721</v>
      </c>
      <c r="I45" s="2652">
        <f t="shared" si="60"/>
        <v>-0.31599999591708183</v>
      </c>
      <c r="J45" s="2652">
        <f t="shared" si="60"/>
        <v>5081823.432</v>
      </c>
      <c r="K45" s="2652">
        <f t="shared" si="60"/>
        <v>-5081823.3479999993</v>
      </c>
      <c r="L45" s="2652">
        <f t="shared" si="60"/>
        <v>0.11019487306475639</v>
      </c>
      <c r="M45" s="2652">
        <f t="shared" si="60"/>
        <v>5083323.4084527977</v>
      </c>
      <c r="N45" s="2652">
        <f t="shared" si="60"/>
        <v>-5083323.2982579228</v>
      </c>
      <c r="O45" s="2652">
        <f t="shared" si="60"/>
        <v>-0.17318175360560417</v>
      </c>
      <c r="P45" s="2652">
        <f t="shared" si="60"/>
        <v>5083322.9621277507</v>
      </c>
      <c r="Q45" s="2653">
        <f t="shared" si="60"/>
        <v>-5083323.1353095043</v>
      </c>
      <c r="R45" s="2659">
        <f t="shared" si="37"/>
        <v>-0.37898687645792961</v>
      </c>
      <c r="S45" s="1155">
        <f t="shared" si="37"/>
        <v>15248469.802580548</v>
      </c>
      <c r="T45" s="1155">
        <f t="shared" si="37"/>
        <v>-15248469.781567426</v>
      </c>
      <c r="U45" s="1155"/>
      <c r="V45" s="1155"/>
      <c r="W45" s="1155"/>
      <c r="X45" s="1155"/>
      <c r="Y45" s="1155"/>
      <c r="Z45" s="1155"/>
      <c r="AA45" s="1155"/>
      <c r="AB45" s="1155"/>
      <c r="AC45" s="1155"/>
      <c r="AD45" s="1155"/>
      <c r="AE45" s="1155"/>
      <c r="AF45" s="1155"/>
    </row>
    <row r="47" spans="1:32" hidden="1">
      <c r="C47" s="1156"/>
      <c r="D47" s="1156">
        <f>D45*1000</f>
        <v>4748721000</v>
      </c>
      <c r="E47" s="1156">
        <f>E45*1000</f>
        <v>-4748721000</v>
      </c>
      <c r="F47" s="1156"/>
      <c r="G47" s="1156">
        <f>G45*1000000</f>
        <v>4454421733333.334</v>
      </c>
      <c r="H47" s="1156">
        <f>H45*1000000</f>
        <v>-4748721000000</v>
      </c>
      <c r="I47" s="1156">
        <f>+I45*1000000</f>
        <v>-315999.99591708183</v>
      </c>
      <c r="J47" s="1156">
        <f>J45*1000000</f>
        <v>5081823432000</v>
      </c>
      <c r="K47" s="1156">
        <f>K45*1000000</f>
        <v>-5081823347999.999</v>
      </c>
      <c r="L47" s="1156"/>
      <c r="M47" s="1156">
        <f>M45*1000000</f>
        <v>5083323408452.7979</v>
      </c>
      <c r="N47" s="1156">
        <f>N45*1000000</f>
        <v>-5083323298257.9229</v>
      </c>
      <c r="O47" s="1156"/>
      <c r="P47" s="1156">
        <f>P45*1000000</f>
        <v>5083322962127.751</v>
      </c>
      <c r="Q47" s="1156">
        <f>Q45*1000000</f>
        <v>-5083323135309.5039</v>
      </c>
      <c r="R47" s="1156"/>
      <c r="S47" s="1156">
        <f>S45*1000000</f>
        <v>15248469802580.549</v>
      </c>
      <c r="T47" s="1156">
        <f>T45*1000000</f>
        <v>-15248469781567.426</v>
      </c>
    </row>
    <row r="48" spans="1:32" hidden="1"/>
    <row r="49" spans="3:20" hidden="1">
      <c r="C49" s="1157">
        <f>+C45*1000</f>
        <v>0</v>
      </c>
      <c r="D49" s="1157">
        <f>+D45*1000</f>
        <v>4748721000</v>
      </c>
      <c r="E49" s="1157">
        <f t="shared" ref="E49:T49" si="61">+E45*1000</f>
        <v>-4748721000</v>
      </c>
      <c r="F49" s="1157">
        <f>+F45*1000</f>
        <v>-294299266.66666567</v>
      </c>
      <c r="G49" s="1157">
        <f>+G45*1000</f>
        <v>4454421733.333334</v>
      </c>
      <c r="H49" s="1157">
        <f t="shared" si="61"/>
        <v>-4748721000</v>
      </c>
      <c r="I49" s="1157">
        <f t="shared" si="61"/>
        <v>-315.99999591708183</v>
      </c>
      <c r="J49" s="1157">
        <f t="shared" si="61"/>
        <v>5081823432</v>
      </c>
      <c r="K49" s="1157">
        <f t="shared" si="61"/>
        <v>-5081823347.999999</v>
      </c>
      <c r="L49" s="1157">
        <f t="shared" si="61"/>
        <v>110.19487306475639</v>
      </c>
      <c r="M49" s="1157">
        <f t="shared" si="61"/>
        <v>5083323408.4527979</v>
      </c>
      <c r="N49" s="1157">
        <f t="shared" si="61"/>
        <v>-5083323298.2579231</v>
      </c>
      <c r="O49" s="1157">
        <f t="shared" si="61"/>
        <v>-173.18175360560417</v>
      </c>
      <c r="P49" s="1157">
        <f t="shared" si="61"/>
        <v>5083322962.1277504</v>
      </c>
      <c r="Q49" s="1157">
        <f t="shared" si="61"/>
        <v>-5083323135.3095045</v>
      </c>
      <c r="R49" s="1157">
        <f t="shared" si="61"/>
        <v>-378.98687645792961</v>
      </c>
      <c r="S49" s="1157">
        <f t="shared" si="61"/>
        <v>15248469802.580549</v>
      </c>
      <c r="T49" s="1157">
        <f t="shared" si="61"/>
        <v>-15248469781.567427</v>
      </c>
    </row>
    <row r="50" spans="3:20" hidden="1">
      <c r="J50" s="1158" t="e">
        <f>J14+#REF!</f>
        <v>#REF!</v>
      </c>
      <c r="R50" s="1159">
        <f>R23/$R$22</f>
        <v>0.285789378022202</v>
      </c>
    </row>
    <row r="51" spans="3:20" hidden="1">
      <c r="J51" s="1158">
        <f>I22</f>
        <v>16638432.915999997</v>
      </c>
      <c r="R51" s="1159">
        <f>R29/$R$22</f>
        <v>0.63919983718109918</v>
      </c>
    </row>
    <row r="52" spans="3:20" hidden="1">
      <c r="J52" s="1159" t="e">
        <f>+J50/J51</f>
        <v>#REF!</v>
      </c>
    </row>
    <row r="53" spans="3:20" hidden="1"/>
    <row r="54" spans="3:20" hidden="1"/>
    <row r="55" spans="3:20" hidden="1">
      <c r="J55" s="1158"/>
    </row>
    <row r="56" spans="3:20" hidden="1">
      <c r="F56" s="1158">
        <f>-F45</f>
        <v>294299.26666666567</v>
      </c>
      <c r="H56" s="1158">
        <f>H45-E45</f>
        <v>0</v>
      </c>
      <c r="I56" s="1145">
        <f>+I6*1%</f>
        <v>159881.18315999996</v>
      </c>
    </row>
    <row r="57" spans="3:20" hidden="1">
      <c r="F57" s="1158">
        <f>+F56+F5</f>
        <v>17291694.066666666</v>
      </c>
      <c r="I57" s="1145">
        <f>INT(I56)</f>
        <v>159881</v>
      </c>
    </row>
    <row r="58" spans="3:20" hidden="1">
      <c r="I58" s="1145">
        <f>+(I36+I37)*1%</f>
        <v>3298.6891231904215</v>
      </c>
      <c r="J58" s="1159">
        <f>+J45/D45</f>
        <v>1.0701457154463276</v>
      </c>
    </row>
    <row r="59" spans="3:20" hidden="1">
      <c r="I59" s="1145">
        <f>+I57-I58</f>
        <v>156582.31087680958</v>
      </c>
    </row>
    <row r="60" spans="3:20" hidden="1">
      <c r="I60" s="1145">
        <v>120000</v>
      </c>
    </row>
    <row r="61" spans="3:20" hidden="1">
      <c r="I61" s="1159">
        <f>I32/C32</f>
        <v>1.1346837350735228</v>
      </c>
    </row>
    <row r="62" spans="3:20" hidden="1"/>
    <row r="63" spans="3:20" hidden="1"/>
    <row r="64" spans="3:20" hidden="1"/>
    <row r="65" hidden="1"/>
    <row r="88" spans="2:2">
      <c r="B88" s="1160"/>
    </row>
  </sheetData>
  <mergeCells count="14">
    <mergeCell ref="A1:Q1"/>
    <mergeCell ref="A3:A4"/>
    <mergeCell ref="B3:B4"/>
    <mergeCell ref="C3:E3"/>
    <mergeCell ref="F3:H3"/>
    <mergeCell ref="I3:K3"/>
    <mergeCell ref="L3:N3"/>
    <mergeCell ref="O3:Q3"/>
    <mergeCell ref="U3:W3"/>
    <mergeCell ref="X3:Z3"/>
    <mergeCell ref="AA3:AC3"/>
    <mergeCell ref="AD3:AF3"/>
    <mergeCell ref="R2:T2"/>
    <mergeCell ref="R3:T3"/>
  </mergeCells>
  <hyperlinks>
    <hyperlink ref="A3:A4" location="'List danh mục'!A1" display="TT"/>
  </hyperlinks>
  <printOptions horizontalCentered="1"/>
  <pageMargins left="0" right="0" top="0.39370078740157483" bottom="0.19685039370078741" header="0.19685039370078741" footer="0.19685039370078741"/>
  <pageSetup paperSize="9" scale="60" orientation="landscape" r:id="rId1"/>
  <headerFooter>
    <oddHeader>&amp;R&amp;A</oddHeader>
    <oddFooter>&amp;C&amp;P/&amp;N</oddFooter>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AF68"/>
  <sheetViews>
    <sheetView workbookViewId="0">
      <pane xSplit="2" ySplit="6" topLeftCell="E10" activePane="bottomRight" state="frozen"/>
      <selection activeCell="AG10" sqref="AG10"/>
      <selection pane="topRight" activeCell="AG10" sqref="AG10"/>
      <selection pane="bottomLeft" activeCell="AG10" sqref="AG10"/>
      <selection pane="bottomRight" activeCell="J12" sqref="J12"/>
    </sheetView>
  </sheetViews>
  <sheetFormatPr defaultColWidth="9" defaultRowHeight="18"/>
  <cols>
    <col min="1" max="1" width="4.19921875" style="20" customWidth="1"/>
    <col min="2" max="2" width="56.69921875" style="37" customWidth="1"/>
    <col min="3" max="17" width="8.69921875" style="37" customWidth="1"/>
    <col min="18" max="20" width="10.59765625" style="37" customWidth="1"/>
    <col min="21" max="21" width="17.5" style="37" customWidth="1"/>
    <col min="22" max="22" width="16.3984375" style="37" customWidth="1"/>
    <col min="23" max="23" width="13.8984375" style="37" customWidth="1"/>
    <col min="24" max="24" width="16.59765625" style="37" customWidth="1"/>
    <col min="25" max="25" width="17" style="37" customWidth="1"/>
    <col min="26" max="26" width="16.69921875" style="37" customWidth="1"/>
    <col min="27" max="27" width="29.69921875" style="37" customWidth="1"/>
    <col min="28" max="28" width="12.3984375" style="37" customWidth="1"/>
    <col min="29" max="29" width="11" style="37" customWidth="1"/>
    <col min="30" max="30" width="40.8984375" style="37" customWidth="1"/>
    <col min="31" max="32" width="9" style="37" customWidth="1"/>
    <col min="33" max="16384" width="9" style="37"/>
  </cols>
  <sheetData>
    <row r="1" spans="1:32" ht="34.5" customHeight="1">
      <c r="A1" s="4475" t="s">
        <v>225</v>
      </c>
      <c r="B1" s="4475"/>
      <c r="C1" s="4475"/>
      <c r="D1" s="4475"/>
      <c r="E1" s="4475"/>
      <c r="F1" s="4475"/>
      <c r="G1" s="4475"/>
      <c r="H1" s="4475"/>
      <c r="I1" s="4475"/>
      <c r="J1" s="4475"/>
      <c r="K1" s="4475"/>
      <c r="L1" s="125"/>
      <c r="M1" s="125"/>
      <c r="N1" s="125"/>
      <c r="O1" s="125"/>
      <c r="P1" s="125"/>
      <c r="Q1" s="125"/>
      <c r="R1" s="70"/>
      <c r="S1" s="70"/>
      <c r="T1" s="70"/>
      <c r="AC1" s="70"/>
    </row>
    <row r="2" spans="1:32" ht="18.600000000000001" thickBot="1">
      <c r="A2" s="38"/>
      <c r="B2" s="38"/>
      <c r="C2" s="1828"/>
      <c r="D2" s="1828"/>
      <c r="E2" s="1828"/>
      <c r="F2" s="1828"/>
      <c r="G2" s="1239"/>
      <c r="H2" s="1462"/>
      <c r="I2" s="4476" t="s">
        <v>182</v>
      </c>
      <c r="J2" s="4476"/>
      <c r="K2" s="4476"/>
      <c r="L2" s="126"/>
      <c r="M2" s="126"/>
      <c r="N2" s="126"/>
      <c r="O2" s="126"/>
      <c r="P2" s="39"/>
      <c r="Q2" s="39"/>
      <c r="R2" s="39"/>
      <c r="S2" s="39"/>
      <c r="T2" s="39"/>
    </row>
    <row r="3" spans="1:32" s="38" customFormat="1" ht="17.25" customHeight="1" thickTop="1">
      <c r="A3" s="4477" t="s">
        <v>183</v>
      </c>
      <c r="B3" s="4479" t="s">
        <v>52</v>
      </c>
      <c r="C3" s="4481" t="s">
        <v>184</v>
      </c>
      <c r="D3" s="4481"/>
      <c r="E3" s="4481"/>
      <c r="F3" s="4481" t="s">
        <v>208</v>
      </c>
      <c r="G3" s="4481"/>
      <c r="H3" s="4481"/>
      <c r="I3" s="4469" t="s">
        <v>209</v>
      </c>
      <c r="J3" s="4470"/>
      <c r="K3" s="4471"/>
      <c r="L3" s="4469" t="s">
        <v>185</v>
      </c>
      <c r="M3" s="4470"/>
      <c r="N3" s="4471"/>
      <c r="O3" s="4469" t="s">
        <v>210</v>
      </c>
      <c r="P3" s="4470"/>
      <c r="Q3" s="4472"/>
      <c r="R3" s="4473" t="s">
        <v>186</v>
      </c>
      <c r="S3" s="4473"/>
      <c r="T3" s="4474"/>
      <c r="U3" s="4466" t="s">
        <v>187</v>
      </c>
      <c r="V3" s="4467"/>
      <c r="W3" s="4468"/>
      <c r="X3" s="4466" t="s">
        <v>188</v>
      </c>
      <c r="Y3" s="4467"/>
      <c r="Z3" s="4468"/>
      <c r="AA3" s="4466" t="s">
        <v>189</v>
      </c>
      <c r="AB3" s="4467"/>
      <c r="AC3" s="4468"/>
      <c r="AD3" s="4466" t="s">
        <v>190</v>
      </c>
      <c r="AE3" s="4467"/>
      <c r="AF3" s="4468"/>
    </row>
    <row r="4" spans="1:32" s="38" customFormat="1" ht="17.399999999999999">
      <c r="A4" s="4478"/>
      <c r="B4" s="4480"/>
      <c r="C4" s="1829" t="s">
        <v>53</v>
      </c>
      <c r="D4" s="2075" t="s">
        <v>191</v>
      </c>
      <c r="E4" s="2075" t="s">
        <v>192</v>
      </c>
      <c r="F4" s="1829" t="s">
        <v>53</v>
      </c>
      <c r="G4" s="2075" t="s">
        <v>191</v>
      </c>
      <c r="H4" s="2075" t="s">
        <v>192</v>
      </c>
      <c r="I4" s="1823" t="s">
        <v>53</v>
      </c>
      <c r="J4" s="1824" t="s">
        <v>191</v>
      </c>
      <c r="K4" s="1824" t="s">
        <v>192</v>
      </c>
      <c r="L4" s="1823" t="s">
        <v>53</v>
      </c>
      <c r="M4" s="1824" t="s">
        <v>191</v>
      </c>
      <c r="N4" s="1824" t="s">
        <v>192</v>
      </c>
      <c r="O4" s="1823" t="s">
        <v>53</v>
      </c>
      <c r="P4" s="1824" t="s">
        <v>191</v>
      </c>
      <c r="Q4" s="2106" t="s">
        <v>192</v>
      </c>
      <c r="R4" s="2100" t="s">
        <v>53</v>
      </c>
      <c r="S4" s="128" t="s">
        <v>191</v>
      </c>
      <c r="T4" s="128" t="s">
        <v>192</v>
      </c>
      <c r="U4" s="127" t="s">
        <v>53</v>
      </c>
      <c r="V4" s="129" t="s">
        <v>54</v>
      </c>
      <c r="W4" s="129" t="s">
        <v>55</v>
      </c>
      <c r="X4" s="127" t="s">
        <v>53</v>
      </c>
      <c r="Y4" s="129" t="s">
        <v>54</v>
      </c>
      <c r="Z4" s="129" t="s">
        <v>55</v>
      </c>
      <c r="AA4" s="127" t="s">
        <v>53</v>
      </c>
      <c r="AB4" s="129" t="s">
        <v>54</v>
      </c>
      <c r="AC4" s="129" t="s">
        <v>55</v>
      </c>
      <c r="AD4" s="127" t="s">
        <v>53</v>
      </c>
      <c r="AE4" s="129" t="s">
        <v>54</v>
      </c>
      <c r="AF4" s="129" t="s">
        <v>55</v>
      </c>
    </row>
    <row r="5" spans="1:32" s="38" customFormat="1" ht="17.399999999999999">
      <c r="A5" s="2107" t="s">
        <v>7</v>
      </c>
      <c r="B5" s="159" t="s">
        <v>1794</v>
      </c>
      <c r="C5" s="1830">
        <f>SUM(C8,C13,C19,C20)</f>
        <v>20568716</v>
      </c>
      <c r="D5" s="1830">
        <f t="shared" ref="D5:E5" si="0">SUM(D8,D13,D19,D20)</f>
        <v>12922645</v>
      </c>
      <c r="E5" s="1830">
        <f t="shared" si="0"/>
        <v>7646071</v>
      </c>
      <c r="F5" s="1830">
        <f>SUM(F8,F13,F19,F20)</f>
        <v>21746115.800000001</v>
      </c>
      <c r="G5" s="1830">
        <f t="shared" ref="G5:Q5" si="1">SUM(G8,G13,G19,G20)</f>
        <v>13068045.733333334</v>
      </c>
      <c r="H5" s="1830">
        <f t="shared" si="1"/>
        <v>8678070.0666666664</v>
      </c>
      <c r="I5" s="1825">
        <f t="shared" si="1"/>
        <v>23710732.348000001</v>
      </c>
      <c r="J5" s="1825">
        <f t="shared" si="1"/>
        <v>13802329</v>
      </c>
      <c r="K5" s="1825">
        <f>SUM(K8,K13,K19,K20)</f>
        <v>9908403.3480000012</v>
      </c>
      <c r="L5" s="1825">
        <f t="shared" si="1"/>
        <v>24562110.068389751</v>
      </c>
      <c r="M5" s="1825">
        <f t="shared" si="1"/>
        <v>15344426.462668305</v>
      </c>
      <c r="N5" s="1825">
        <f>SUM(N8,N13,N19,N20)</f>
        <v>9217683.6057214458</v>
      </c>
      <c r="O5" s="1825">
        <f t="shared" si="1"/>
        <v>25522613.191441622</v>
      </c>
      <c r="P5" s="1825">
        <f t="shared" si="1"/>
        <v>16384606.148853552</v>
      </c>
      <c r="Q5" s="2108">
        <f t="shared" si="1"/>
        <v>9138007.0425880682</v>
      </c>
      <c r="R5" s="2101">
        <f>I5+L5+O5</f>
        <v>73795455.607831374</v>
      </c>
      <c r="S5" s="131">
        <f>J5+M5+P5</f>
        <v>45531361.611521855</v>
      </c>
      <c r="T5" s="131">
        <f>K5+N5+Q5</f>
        <v>28264093.996309519</v>
      </c>
      <c r="U5" s="132" t="s">
        <v>194</v>
      </c>
      <c r="V5" s="131"/>
      <c r="W5" s="131"/>
      <c r="X5" s="132" t="s">
        <v>194</v>
      </c>
      <c r="Y5" s="131"/>
      <c r="Z5" s="131"/>
      <c r="AA5" s="132" t="s">
        <v>194</v>
      </c>
      <c r="AB5" s="131"/>
      <c r="AC5" s="131"/>
      <c r="AD5" s="132" t="s">
        <v>194</v>
      </c>
      <c r="AE5" s="131"/>
      <c r="AF5" s="131"/>
    </row>
    <row r="6" spans="1:32" s="38" customFormat="1" ht="17.399999999999999">
      <c r="A6" s="2109"/>
      <c r="B6" s="134" t="s">
        <v>1795</v>
      </c>
      <c r="C6" s="59">
        <f>SUM(D6:E6)</f>
        <v>12873690</v>
      </c>
      <c r="D6" s="59">
        <f>D8+D14+D19-D44</f>
        <v>5545417</v>
      </c>
      <c r="E6" s="59">
        <f>E8+E14+E19-E44</f>
        <v>7328273</v>
      </c>
      <c r="F6" s="59">
        <f>SUM(G6:H6)</f>
        <v>14051089.800000001</v>
      </c>
      <c r="G6" s="59">
        <f>G8+G14+G19-G44</f>
        <v>5690817.7333333343</v>
      </c>
      <c r="H6" s="59">
        <f>H8+H14+H19-H44</f>
        <v>8360272.0666666664</v>
      </c>
      <c r="I6" s="59">
        <f>I8+I14+I19-I44+I18</f>
        <v>15986032.651999999</v>
      </c>
      <c r="J6" s="59">
        <f>J8+J14+J19-J44+J18</f>
        <v>6730029.6519999998</v>
      </c>
      <c r="K6" s="59">
        <f>K8+K14+K19-K44+K18</f>
        <v>9256003</v>
      </c>
      <c r="L6" s="59">
        <f t="shared" ref="L6:P6" si="2">L8+L14+L19-L44</f>
        <v>15796586.072389748</v>
      </c>
      <c r="M6" s="59">
        <f>M8+M14+M19-M44</f>
        <v>7231302.8146683043</v>
      </c>
      <c r="N6" s="59">
        <f>N8+N14+N19-N44</f>
        <v>8565283.2577214446</v>
      </c>
      <c r="O6" s="59">
        <f t="shared" si="2"/>
        <v>16757089.195441619</v>
      </c>
      <c r="P6" s="59">
        <f t="shared" si="2"/>
        <v>8271482.5008535506</v>
      </c>
      <c r="Q6" s="2086">
        <f>Q8+Q14+Q19-Q44</f>
        <v>8485606.694588067</v>
      </c>
      <c r="R6" s="2102">
        <f>SUM(R8,S14,S16,R19)</f>
        <v>56071084.963831365</v>
      </c>
      <c r="S6" s="14">
        <f>S8+S14+S16+S19-S45</f>
        <v>43056961.052941307</v>
      </c>
      <c r="T6" s="14">
        <f>R6-S6</f>
        <v>13014123.910890058</v>
      </c>
      <c r="U6" s="135"/>
      <c r="V6" s="14"/>
      <c r="W6" s="14"/>
      <c r="X6" s="135"/>
      <c r="Y6" s="14"/>
      <c r="Z6" s="14"/>
      <c r="AA6" s="135"/>
      <c r="AB6" s="14"/>
      <c r="AC6" s="14"/>
      <c r="AD6" s="135"/>
      <c r="AE6" s="14"/>
      <c r="AF6" s="14"/>
    </row>
    <row r="7" spans="1:32" s="38" customFormat="1" ht="17.399999999999999">
      <c r="A7" s="2109"/>
      <c r="B7" s="134" t="s">
        <v>1796</v>
      </c>
      <c r="C7" s="59">
        <f>+D7+E7</f>
        <v>10373690</v>
      </c>
      <c r="D7" s="59">
        <f>D6-D9-D10</f>
        <v>3845417</v>
      </c>
      <c r="E7" s="59">
        <f>E6-E9-E10</f>
        <v>6528273</v>
      </c>
      <c r="F7" s="59">
        <f>+G7+H7</f>
        <v>11021089.800000001</v>
      </c>
      <c r="G7" s="59">
        <f>G6-G9-G10-G11</f>
        <v>3640817.7333333343</v>
      </c>
      <c r="H7" s="59">
        <f>H6-H9-H10</f>
        <v>7380272.0666666664</v>
      </c>
      <c r="I7" s="59">
        <f>+J7+K7</f>
        <v>12266032.651999999</v>
      </c>
      <c r="J7" s="59">
        <f>J6-J9-J10-J11</f>
        <v>4153029.6519999998</v>
      </c>
      <c r="K7" s="59">
        <f>K6-K9-K10</f>
        <v>8113003</v>
      </c>
      <c r="L7" s="59">
        <f>+M7+N7</f>
        <v>12274586.072389748</v>
      </c>
      <c r="M7" s="59">
        <f>M6-M9-M10-M11</f>
        <v>4484203.068905592</v>
      </c>
      <c r="N7" s="59">
        <f>N6-N9-N10</f>
        <v>7790383.003484156</v>
      </c>
      <c r="O7" s="59">
        <f>+P7+Q7</f>
        <v>12997089.195441619</v>
      </c>
      <c r="P7" s="59">
        <f>P6-P9-P10-P11</f>
        <v>5325082.7678027032</v>
      </c>
      <c r="Q7" s="2086">
        <f>Q6-Q9-Q10</f>
        <v>7672006.4276389144</v>
      </c>
      <c r="R7" s="2102">
        <f>+S7+T7</f>
        <v>45069084.963831365</v>
      </c>
      <c r="S7" s="14">
        <f>S6-S9-S10</f>
        <v>34786461.574127749</v>
      </c>
      <c r="T7" s="14">
        <f>T6-T9-T10</f>
        <v>10282623.389703616</v>
      </c>
      <c r="U7" s="135"/>
      <c r="V7" s="14"/>
      <c r="W7" s="14"/>
      <c r="X7" s="135"/>
      <c r="Y7" s="14"/>
      <c r="Z7" s="14"/>
      <c r="AA7" s="135"/>
      <c r="AB7" s="14"/>
      <c r="AC7" s="14"/>
      <c r="AD7" s="135"/>
      <c r="AE7" s="14"/>
      <c r="AF7" s="14"/>
    </row>
    <row r="8" spans="1:32" s="38" customFormat="1" ht="17.399999999999999">
      <c r="A8" s="2109">
        <v>1</v>
      </c>
      <c r="B8" s="134" t="s">
        <v>56</v>
      </c>
      <c r="C8" s="59">
        <f>SUM(D8:E8)</f>
        <v>6704000</v>
      </c>
      <c r="D8" s="59">
        <f>'Phụ lục số 1'!F8</f>
        <v>3806650</v>
      </c>
      <c r="E8" s="59">
        <f>'Phụ lục số 1'!G8</f>
        <v>2897350</v>
      </c>
      <c r="F8" s="59">
        <f>SUM(G8:H8)</f>
        <v>7450399.7999999998</v>
      </c>
      <c r="G8" s="59">
        <f>'Phụ lục số 1'!X8</f>
        <v>3862350.7333333334</v>
      </c>
      <c r="H8" s="59">
        <f>'Phụ lục số 1'!Y8</f>
        <v>3588049.0666666664</v>
      </c>
      <c r="I8" s="59">
        <f>SUM(J8:K8)</f>
        <v>8484930</v>
      </c>
      <c r="J8" s="59">
        <f>'Phụ lục số 1'!AI8</f>
        <v>4545850</v>
      </c>
      <c r="K8" s="59">
        <f>'Phụ lục số 1'!AJ8</f>
        <v>3939080</v>
      </c>
      <c r="L8" s="59">
        <f t="shared" ref="L8:L20" si="3">SUM(M8:N8)</f>
        <v>9114399.2203897499</v>
      </c>
      <c r="M8" s="59">
        <f>'Phụ lục số 1'!AO8</f>
        <v>5618298.9626683053</v>
      </c>
      <c r="N8" s="59">
        <f>'Phụ lục số 1'!AP8</f>
        <v>3496100.2577214451</v>
      </c>
      <c r="O8" s="59">
        <f t="shared" ref="O8:O20" si="4">SUM(P8:Q8)</f>
        <v>9911000.2332467418</v>
      </c>
      <c r="P8" s="59">
        <f>'Phụ lục số 1'!AU8</f>
        <v>6172099.8404007535</v>
      </c>
      <c r="Q8" s="2086">
        <f>'Phụ lục số 1'!AV8</f>
        <v>3738900.3928459887</v>
      </c>
      <c r="R8" s="2102">
        <f t="shared" ref="R8:T22" si="5">I8+L8+O8</f>
        <v>27510329.45363649</v>
      </c>
      <c r="S8" s="14">
        <f t="shared" si="5"/>
        <v>16336248.803069059</v>
      </c>
      <c r="T8" s="14">
        <f t="shared" si="5"/>
        <v>11174080.650567433</v>
      </c>
      <c r="U8" s="14">
        <f>SUM(V8:W8)</f>
        <v>746399.79999999981</v>
      </c>
      <c r="V8" s="14">
        <f>G8-$D$8</f>
        <v>55700.733333333395</v>
      </c>
      <c r="W8" s="14">
        <f>H8-$E$8</f>
        <v>690699.06666666642</v>
      </c>
      <c r="X8" s="14">
        <f>SUM(Y8:Z8)</f>
        <v>1780930</v>
      </c>
      <c r="Y8" s="14">
        <f>J8-$D$8</f>
        <v>739200</v>
      </c>
      <c r="Z8" s="14">
        <f>K8-$E$8</f>
        <v>1041730</v>
      </c>
      <c r="AA8" s="14">
        <f>SUM(AB8:AC8)</f>
        <v>2410399.2203897503</v>
      </c>
      <c r="AB8" s="14">
        <f>M8-$D$8</f>
        <v>1811648.9626683053</v>
      </c>
      <c r="AC8" s="14">
        <f>N8-$E$8</f>
        <v>598750.25772144506</v>
      </c>
      <c r="AD8" s="14">
        <f>SUM(AE8:AF8)</f>
        <v>3207000.2332467423</v>
      </c>
      <c r="AE8" s="14">
        <f>P8-$D$8</f>
        <v>2365449.8404007535</v>
      </c>
      <c r="AF8" s="14">
        <f>Q8-$E$8</f>
        <v>841550.39284598874</v>
      </c>
    </row>
    <row r="9" spans="1:32" s="38" customFormat="1">
      <c r="A9" s="2110"/>
      <c r="B9" s="137" t="s">
        <v>377</v>
      </c>
      <c r="C9" s="30">
        <f t="shared" ref="C9:C20" si="6">SUM(D9:E9)</f>
        <v>900000</v>
      </c>
      <c r="D9" s="30">
        <f>'Phụ lục số 1'!F40</f>
        <v>100000</v>
      </c>
      <c r="E9" s="30">
        <f>'Phụ lục số 1'!G40</f>
        <v>800000</v>
      </c>
      <c r="F9" s="30">
        <f t="shared" ref="F9:F20" si="7">SUM(G9:H9)</f>
        <v>1080000</v>
      </c>
      <c r="G9" s="30">
        <f>'Phụ lục số 1'!X40</f>
        <v>100000</v>
      </c>
      <c r="H9" s="30">
        <f>'Phụ lục số 1'!Y40</f>
        <v>980000</v>
      </c>
      <c r="I9" s="30">
        <f>SUM(J9:K9)</f>
        <v>1770000</v>
      </c>
      <c r="J9" s="30">
        <f>'Phụ lục số 1'!AI40</f>
        <v>627000</v>
      </c>
      <c r="K9" s="30">
        <f>'Phụ lục số 1'!AJ40</f>
        <v>1143000</v>
      </c>
      <c r="L9" s="30">
        <f t="shared" si="3"/>
        <v>1200000</v>
      </c>
      <c r="M9" s="30">
        <f>'Phụ lục số 1'!AO40</f>
        <v>425099.74576271186</v>
      </c>
      <c r="N9" s="30">
        <f>'Phụ lục số 1'!AP40</f>
        <v>774900.25423728814</v>
      </c>
      <c r="O9" s="30">
        <f t="shared" si="4"/>
        <v>1260000</v>
      </c>
      <c r="P9" s="30">
        <f>'Phụ lục số 1'!AU40</f>
        <v>446399.73305084754</v>
      </c>
      <c r="Q9" s="2085">
        <f>'Phụ lục số 1'!AV40</f>
        <v>813600.26694915246</v>
      </c>
      <c r="R9" s="2103">
        <f>I9+L9+O9</f>
        <v>4230000</v>
      </c>
      <c r="S9" s="13">
        <f t="shared" si="5"/>
        <v>1498499.4788135593</v>
      </c>
      <c r="T9" s="13">
        <f t="shared" si="5"/>
        <v>2731500.5211864407</v>
      </c>
      <c r="U9" s="135" t="s">
        <v>198</v>
      </c>
      <c r="V9" s="14"/>
      <c r="W9" s="14"/>
      <c r="X9" s="135" t="s">
        <v>198</v>
      </c>
      <c r="Y9" s="14"/>
      <c r="Z9" s="14"/>
      <c r="AA9" s="135" t="s">
        <v>198</v>
      </c>
      <c r="AB9" s="14"/>
      <c r="AC9" s="14"/>
      <c r="AD9" s="135" t="s">
        <v>198</v>
      </c>
      <c r="AE9" s="14"/>
      <c r="AF9" s="14"/>
    </row>
    <row r="10" spans="1:32" s="38" customFormat="1">
      <c r="A10" s="2110"/>
      <c r="B10" s="137" t="s">
        <v>1791</v>
      </c>
      <c r="C10" s="30">
        <f t="shared" si="6"/>
        <v>1600000</v>
      </c>
      <c r="D10" s="30">
        <f>'Phụ lục số 1'!F48</f>
        <v>1600000</v>
      </c>
      <c r="E10" s="30">
        <f>'Phụ lục số 1'!G48</f>
        <v>0</v>
      </c>
      <c r="F10" s="30">
        <f>SUM(G10:H10)</f>
        <v>1950000</v>
      </c>
      <c r="G10" s="30">
        <f>'Phụ lục số 1'!X48</f>
        <v>1950000</v>
      </c>
      <c r="H10" s="30">
        <f>'Phụ lục số 1'!Y48</f>
        <v>0</v>
      </c>
      <c r="I10" s="30">
        <f>SUM(J10:K10)</f>
        <v>1950000</v>
      </c>
      <c r="J10" s="30">
        <f>'Phụ lục số 1'!AI48</f>
        <v>1950000</v>
      </c>
      <c r="K10" s="30">
        <f>'[24]Phụ lục số 1'!S48</f>
        <v>0</v>
      </c>
      <c r="L10" s="30">
        <f t="shared" si="3"/>
        <v>2322000</v>
      </c>
      <c r="M10" s="30">
        <f>'Phụ lục số 1'!AO48</f>
        <v>2322000</v>
      </c>
      <c r="N10" s="30">
        <f>'Phụ lục số 1'!AP48</f>
        <v>0</v>
      </c>
      <c r="O10" s="30">
        <f>SUM(P10:Q10)</f>
        <v>2500000</v>
      </c>
      <c r="P10" s="30">
        <f>'Phụ lục số 1'!AU48</f>
        <v>2500000</v>
      </c>
      <c r="Q10" s="2085">
        <f>'Phụ lục số 1'!AV48</f>
        <v>0</v>
      </c>
      <c r="R10" s="2103">
        <f t="shared" si="5"/>
        <v>6772000</v>
      </c>
      <c r="S10" s="13">
        <f t="shared" si="5"/>
        <v>6772000</v>
      </c>
      <c r="T10" s="13">
        <f t="shared" si="5"/>
        <v>0</v>
      </c>
      <c r="U10" s="14">
        <f>SUM(V10:W10)</f>
        <v>530000</v>
      </c>
      <c r="V10" s="14">
        <f>(G9+G10+G11)-($D$9+$D$10+$D$11)</f>
        <v>350000</v>
      </c>
      <c r="W10" s="14">
        <f>(H9+H10+H11)-($E$9+$E$10+$E$11)</f>
        <v>180000</v>
      </c>
      <c r="X10" s="14">
        <f>SUM(Y10:Z10)</f>
        <v>1220000</v>
      </c>
      <c r="Y10" s="14">
        <f>(J9+J10+J11)-($D$9+$D$10+$D$11)</f>
        <v>877000</v>
      </c>
      <c r="Z10" s="14">
        <f>(K9+K10+K11)-($E$9+$E$10+$E$11)</f>
        <v>343000</v>
      </c>
      <c r="AA10" s="14">
        <f>SUM(AB10:AC10)</f>
        <v>1022000</v>
      </c>
      <c r="AB10" s="14">
        <f>(M9+M10+M11)-($D$9+$D$10+$D$11)</f>
        <v>1047099.7457627119</v>
      </c>
      <c r="AC10" s="14">
        <f>(N9+N10+N11)-($E$9+$E$10+$E$11)</f>
        <v>-25099.745762711857</v>
      </c>
      <c r="AD10" s="14">
        <f>SUM(AE10:AF10)</f>
        <v>1260000</v>
      </c>
      <c r="AE10" s="14">
        <f>(P9+P10+P11)-($D$9+$D$10+$D$11)</f>
        <v>1246399.7330508474</v>
      </c>
      <c r="AF10" s="14">
        <f>(Q9+Q10+Q11)-($E$9+$E$10+$E$11)</f>
        <v>13600.266949152458</v>
      </c>
    </row>
    <row r="11" spans="1:32" s="38" customFormat="1">
      <c r="A11" s="2110"/>
      <c r="B11" s="137" t="s">
        <v>1793</v>
      </c>
      <c r="C11" s="30">
        <f t="shared" si="6"/>
        <v>0</v>
      </c>
      <c r="D11" s="30">
        <f>'Phụ lục số 1'!F45-'Phụ lục số 1'!F45</f>
        <v>0</v>
      </c>
      <c r="E11" s="30">
        <f>'Phụ lục số 1'!G46</f>
        <v>0</v>
      </c>
      <c r="F11" s="30">
        <f>SUM(G11:H11)</f>
        <v>0</v>
      </c>
      <c r="G11" s="30">
        <f>'Phụ lục số 1'!X46</f>
        <v>0</v>
      </c>
      <c r="H11" s="30">
        <f>'Phụ lục số 1'!Y46</f>
        <v>0</v>
      </c>
      <c r="I11" s="30">
        <f>SUM(J11:K11)</f>
        <v>0</v>
      </c>
      <c r="J11" s="30">
        <f>'Phụ lục số 1'!AI46</f>
        <v>0</v>
      </c>
      <c r="K11" s="30">
        <f>'Phụ lục số 1'!AJ46</f>
        <v>0</v>
      </c>
      <c r="L11" s="30">
        <f t="shared" si="3"/>
        <v>0</v>
      </c>
      <c r="M11" s="30">
        <f>'Phụ lục số 1'!AO46</f>
        <v>0</v>
      </c>
      <c r="N11" s="30">
        <f>'Phụ lục số 1'!AP46</f>
        <v>0</v>
      </c>
      <c r="O11" s="30">
        <f>SUM(P11:Q11)</f>
        <v>0</v>
      </c>
      <c r="P11" s="30">
        <f>'Phụ lục số 1'!AU46</f>
        <v>0</v>
      </c>
      <c r="Q11" s="2085">
        <f>'Phụ lục số 1'!AV46</f>
        <v>0</v>
      </c>
      <c r="R11" s="2103">
        <f t="shared" si="5"/>
        <v>0</v>
      </c>
      <c r="S11" s="13">
        <f t="shared" si="5"/>
        <v>0</v>
      </c>
      <c r="T11" s="13">
        <f t="shared" si="5"/>
        <v>0</v>
      </c>
      <c r="U11" s="14"/>
      <c r="V11" s="14"/>
      <c r="W11" s="14"/>
      <c r="X11" s="14"/>
      <c r="Y11" s="14"/>
      <c r="Z11" s="14"/>
      <c r="AA11" s="14"/>
      <c r="AB11" s="14"/>
      <c r="AC11" s="14"/>
      <c r="AD11" s="14"/>
      <c r="AE11" s="14"/>
      <c r="AF11" s="14"/>
    </row>
    <row r="12" spans="1:32" s="38" customFormat="1">
      <c r="A12" s="2110"/>
      <c r="B12" s="137" t="s">
        <v>1790</v>
      </c>
      <c r="C12" s="30">
        <f>SUM(D12:E12)</f>
        <v>4204000</v>
      </c>
      <c r="D12" s="30">
        <f>D8-D9-D10-D11</f>
        <v>2106650</v>
      </c>
      <c r="E12" s="30">
        <f>E8-E9-E10-E11</f>
        <v>2097350</v>
      </c>
      <c r="F12" s="30">
        <f>SUM(G12:H12)</f>
        <v>4420399.8</v>
      </c>
      <c r="G12" s="30">
        <f>G8-G9-G10-G11</f>
        <v>1812350.7333333334</v>
      </c>
      <c r="H12" s="30">
        <f>H8-H9-H10-H11</f>
        <v>2608049.0666666664</v>
      </c>
      <c r="I12" s="30">
        <f t="shared" ref="I12" si="8">SUM(J12:K12)</f>
        <v>4764930</v>
      </c>
      <c r="J12" s="30">
        <f>J8-J9-J10-J11</f>
        <v>1968850</v>
      </c>
      <c r="K12" s="30">
        <f>K8-K9-K10-K11</f>
        <v>2796080</v>
      </c>
      <c r="L12" s="30">
        <f t="shared" si="3"/>
        <v>5592399.2203897508</v>
      </c>
      <c r="M12" s="30">
        <f>M8-M9-M10-M11</f>
        <v>2871199.2169055939</v>
      </c>
      <c r="N12" s="30">
        <f>N8-N9-N10-N11</f>
        <v>2721200.0034841569</v>
      </c>
      <c r="O12" s="30">
        <f>SUM(P12:Q12)</f>
        <v>6151000.2332467418</v>
      </c>
      <c r="P12" s="30">
        <f>P8-P9-P10-P11</f>
        <v>3225700.1073499061</v>
      </c>
      <c r="Q12" s="2085">
        <f>Q8-Q9-Q10-Q11</f>
        <v>2925300.1258968362</v>
      </c>
      <c r="R12" s="2103">
        <f t="shared" si="5"/>
        <v>16508329.453636492</v>
      </c>
      <c r="S12" s="13">
        <f t="shared" si="5"/>
        <v>8065749.3242555</v>
      </c>
      <c r="T12" s="13">
        <f t="shared" si="5"/>
        <v>8442580.1293809935</v>
      </c>
      <c r="U12" s="14"/>
      <c r="V12" s="14"/>
      <c r="W12" s="14"/>
      <c r="X12" s="14"/>
      <c r="Y12" s="14"/>
      <c r="Z12" s="14"/>
      <c r="AA12" s="14"/>
      <c r="AB12" s="14"/>
      <c r="AC12" s="14"/>
      <c r="AD12" s="14"/>
      <c r="AE12" s="14"/>
      <c r="AF12" s="14"/>
    </row>
    <row r="13" spans="1:32" s="38" customFormat="1" ht="17.399999999999999">
      <c r="A13" s="2109">
        <v>2</v>
      </c>
      <c r="B13" s="134" t="s">
        <v>57</v>
      </c>
      <c r="C13" s="59">
        <f>SUM(C14:C15)</f>
        <v>13833216</v>
      </c>
      <c r="D13" s="59">
        <f t="shared" ref="D13:E13" si="9">SUM(D14:D15)</f>
        <v>9084495</v>
      </c>
      <c r="E13" s="59">
        <f t="shared" si="9"/>
        <v>4748721</v>
      </c>
      <c r="F13" s="59">
        <f t="shared" si="7"/>
        <v>13833216</v>
      </c>
      <c r="G13" s="59">
        <f>G14+G15</f>
        <v>9084495</v>
      </c>
      <c r="H13" s="59">
        <f>H14+H15</f>
        <v>4748721</v>
      </c>
      <c r="I13" s="59">
        <f>SUM(J13:K13)</f>
        <v>14339802.348000001</v>
      </c>
      <c r="J13" s="59">
        <f>J14+J15</f>
        <v>9256479</v>
      </c>
      <c r="K13" s="59">
        <f>K14+K15</f>
        <v>5083323.3480000002</v>
      </c>
      <c r="L13" s="59">
        <f t="shared" si="3"/>
        <v>14730311.648000002</v>
      </c>
      <c r="M13" s="59">
        <f>M14+M15</f>
        <v>9646988.3000000007</v>
      </c>
      <c r="N13" s="59">
        <f>N14+N15</f>
        <v>5083323.3480000002</v>
      </c>
      <c r="O13" s="59">
        <f>SUM(P13:Q13)</f>
        <v>14730311.648000002</v>
      </c>
      <c r="P13" s="59">
        <f>P14+P15</f>
        <v>9646988.3000000007</v>
      </c>
      <c r="Q13" s="2086">
        <f>Q14+Q15</f>
        <v>5083323.3480000002</v>
      </c>
      <c r="R13" s="2102">
        <f t="shared" si="5"/>
        <v>43800425.644000009</v>
      </c>
      <c r="S13" s="14">
        <f t="shared" si="5"/>
        <v>28550455.600000001</v>
      </c>
      <c r="T13" s="14">
        <f t="shared" si="5"/>
        <v>15249970.044</v>
      </c>
      <c r="U13" s="135" t="s">
        <v>201</v>
      </c>
      <c r="V13" s="14"/>
      <c r="W13" s="14"/>
      <c r="X13" s="135" t="s">
        <v>201</v>
      </c>
      <c r="Y13" s="14"/>
      <c r="Z13" s="14"/>
      <c r="AA13" s="135" t="s">
        <v>201</v>
      </c>
      <c r="AB13" s="14"/>
      <c r="AC13" s="14"/>
      <c r="AD13" s="135" t="s">
        <v>201</v>
      </c>
      <c r="AE13" s="14"/>
      <c r="AF13" s="14"/>
    </row>
    <row r="14" spans="1:32" s="38" customFormat="1">
      <c r="A14" s="2110" t="s">
        <v>236</v>
      </c>
      <c r="B14" s="137" t="s">
        <v>238</v>
      </c>
      <c r="C14" s="30">
        <f t="shared" si="6"/>
        <v>10918411</v>
      </c>
      <c r="D14" s="30">
        <f>'Phụ lục số 1'!F53</f>
        <v>6487488</v>
      </c>
      <c r="E14" s="30">
        <f>'[1]Phụ lục số 3-thu bs'!$K$14</f>
        <v>4430923</v>
      </c>
      <c r="F14" s="30">
        <f t="shared" si="7"/>
        <v>10918411</v>
      </c>
      <c r="G14" s="30">
        <f>$D$14</f>
        <v>6487488</v>
      </c>
      <c r="H14" s="30">
        <f>E14</f>
        <v>4430923</v>
      </c>
      <c r="I14" s="30">
        <f>SUM(J14:K14)</f>
        <v>11048111</v>
      </c>
      <c r="J14" s="30">
        <f>'Phụ lục số 1'!AI53</f>
        <v>6617188</v>
      </c>
      <c r="K14" s="30">
        <f>'[1]Phụ lục số 3-thu bs'!$N$14</f>
        <v>4430923</v>
      </c>
      <c r="L14" s="30">
        <f t="shared" si="3"/>
        <v>11048111</v>
      </c>
      <c r="M14" s="30">
        <f>$J$14</f>
        <v>6617188</v>
      </c>
      <c r="N14" s="30">
        <f>K14</f>
        <v>4430923</v>
      </c>
      <c r="O14" s="30">
        <f t="shared" si="4"/>
        <v>11048111</v>
      </c>
      <c r="P14" s="30">
        <f>$J$14</f>
        <v>6617188</v>
      </c>
      <c r="Q14" s="2085">
        <f>N14</f>
        <v>4430923</v>
      </c>
      <c r="R14" s="2103">
        <f t="shared" si="5"/>
        <v>33144333</v>
      </c>
      <c r="S14" s="13">
        <f t="shared" si="5"/>
        <v>19851564</v>
      </c>
      <c r="T14" s="13">
        <f t="shared" si="5"/>
        <v>13292769</v>
      </c>
      <c r="U14" s="14">
        <f>SUM(V14:W14)</f>
        <v>216399.79999999981</v>
      </c>
      <c r="V14" s="14">
        <f>V8-V10</f>
        <v>-294299.2666666666</v>
      </c>
      <c r="W14" s="14">
        <f>W8-W10</f>
        <v>510699.06666666642</v>
      </c>
      <c r="X14" s="14">
        <f>SUM(Y14:Z14)</f>
        <v>560930</v>
      </c>
      <c r="Y14" s="14">
        <f>Y8-Y10</f>
        <v>-137800</v>
      </c>
      <c r="Z14" s="14">
        <f>Z8-Z10</f>
        <v>698730</v>
      </c>
      <c r="AA14" s="14">
        <f>SUM(AB14:AC14)</f>
        <v>1388399.2203897503</v>
      </c>
      <c r="AB14" s="14">
        <f>AB8-AB10</f>
        <v>764549.21690559341</v>
      </c>
      <c r="AC14" s="14">
        <f>AC8-AC10</f>
        <v>623850.00348415691</v>
      </c>
      <c r="AD14" s="14">
        <f>SUM(AE14:AF14)</f>
        <v>1947000.2332467423</v>
      </c>
      <c r="AE14" s="14">
        <f>AE8-AE10</f>
        <v>1119050.1073499061</v>
      </c>
      <c r="AF14" s="14">
        <f>AF8-AF10</f>
        <v>827950.12589683628</v>
      </c>
    </row>
    <row r="15" spans="1:32" s="38" customFormat="1">
      <c r="A15" s="2110" t="s">
        <v>237</v>
      </c>
      <c r="B15" s="137" t="s">
        <v>239</v>
      </c>
      <c r="C15" s="30">
        <f>SUM(D15:E15)</f>
        <v>2914805</v>
      </c>
      <c r="D15" s="30">
        <f>SUM(D16:D18)</f>
        <v>2597007</v>
      </c>
      <c r="E15" s="30">
        <f>'[1]Phụ lục số 3-thu bs'!$K$15</f>
        <v>317798</v>
      </c>
      <c r="F15" s="30">
        <f t="shared" si="7"/>
        <v>2914805</v>
      </c>
      <c r="G15" s="30">
        <f>SUM(G16:G18)</f>
        <v>2597007</v>
      </c>
      <c r="H15" s="30">
        <f t="shared" ref="H15" si="10">SUM(H16:H18)</f>
        <v>317798</v>
      </c>
      <c r="I15" s="30">
        <f>SUM(J15:K15)</f>
        <v>3291691.3480000002</v>
      </c>
      <c r="J15" s="30">
        <f>SUM(J16:J18)</f>
        <v>2639291</v>
      </c>
      <c r="K15" s="30">
        <f>SUM(K16:K18)</f>
        <v>652400.348</v>
      </c>
      <c r="L15" s="30">
        <f t="shared" si="3"/>
        <v>3682200.648</v>
      </c>
      <c r="M15" s="30">
        <f>SUM(M16:M18)</f>
        <v>3029800.3</v>
      </c>
      <c r="N15" s="30">
        <f>SUM(N16:N18)</f>
        <v>652400.348</v>
      </c>
      <c r="O15" s="30">
        <f>SUM(P15:Q15)</f>
        <v>3682200.648</v>
      </c>
      <c r="P15" s="30">
        <f>SUM(P16:P18)</f>
        <v>3029800.3</v>
      </c>
      <c r="Q15" s="2085">
        <f>SUM(Q16:Q18)</f>
        <v>652400.348</v>
      </c>
      <c r="R15" s="2103">
        <f t="shared" si="5"/>
        <v>10656092.644000001</v>
      </c>
      <c r="S15" s="13">
        <f t="shared" si="5"/>
        <v>8698891.5999999996</v>
      </c>
      <c r="T15" s="13">
        <f t="shared" si="5"/>
        <v>1957201.044</v>
      </c>
      <c r="U15" s="135"/>
      <c r="V15" s="14"/>
      <c r="W15" s="14"/>
      <c r="X15" s="135"/>
      <c r="Y15" s="14"/>
      <c r="Z15" s="14"/>
      <c r="AA15" s="135"/>
      <c r="AB15" s="14"/>
      <c r="AC15" s="14"/>
      <c r="AD15" s="135"/>
      <c r="AE15" s="14"/>
      <c r="AF15" s="14"/>
    </row>
    <row r="16" spans="1:32" s="38" customFormat="1">
      <c r="A16" s="2084" t="s">
        <v>34</v>
      </c>
      <c r="B16" s="11" t="s">
        <v>1293</v>
      </c>
      <c r="C16" s="30">
        <f>SUM(D16:E16)</f>
        <v>2417971</v>
      </c>
      <c r="D16" s="30">
        <f>'Phụ lục số 1'!F56</f>
        <v>2417971</v>
      </c>
      <c r="E16" s="30"/>
      <c r="F16" s="30">
        <f t="shared" si="7"/>
        <v>2735769</v>
      </c>
      <c r="G16" s="30">
        <f>'Phụ lục số 1'!X56</f>
        <v>2417971</v>
      </c>
      <c r="H16" s="30">
        <f>E15</f>
        <v>317798</v>
      </c>
      <c r="I16" s="30">
        <f>SUM(J16:K16)</f>
        <v>2466891.3480000002</v>
      </c>
      <c r="J16" s="30">
        <f>'Phụ lục số 1'!AI56</f>
        <v>1814491</v>
      </c>
      <c r="K16" s="30">
        <f>'Phụ lục số 5'!E38</f>
        <v>652400.348</v>
      </c>
      <c r="L16" s="30">
        <f t="shared" si="3"/>
        <v>2857400.3480000002</v>
      </c>
      <c r="M16" s="30">
        <f>'Phụ lục số 1'!AO56</f>
        <v>2205000</v>
      </c>
      <c r="N16" s="30">
        <f>K16</f>
        <v>652400.348</v>
      </c>
      <c r="O16" s="30">
        <f t="shared" si="4"/>
        <v>2857400.3480000002</v>
      </c>
      <c r="P16" s="30">
        <f>'Phụ lục số 1'!AU56</f>
        <v>2205000</v>
      </c>
      <c r="Q16" s="2085">
        <f>N16</f>
        <v>652400.348</v>
      </c>
      <c r="R16" s="2103">
        <f>I16+L16+O16</f>
        <v>8181692.0440000007</v>
      </c>
      <c r="S16" s="13">
        <f t="shared" si="5"/>
        <v>6224491</v>
      </c>
      <c r="T16" s="13">
        <f>K16+N16+Q16</f>
        <v>1957201.044</v>
      </c>
      <c r="U16" s="135"/>
      <c r="V16" s="14"/>
      <c r="W16" s="14"/>
      <c r="X16" s="135"/>
      <c r="Y16" s="14"/>
      <c r="Z16" s="14"/>
      <c r="AA16" s="135"/>
      <c r="AB16" s="14"/>
      <c r="AC16" s="14"/>
      <c r="AD16" s="135"/>
      <c r="AE16" s="14"/>
      <c r="AF16" s="14"/>
    </row>
    <row r="17" spans="1:32" s="38" customFormat="1">
      <c r="A17" s="2084" t="s">
        <v>35</v>
      </c>
      <c r="B17" s="11" t="s">
        <v>1294</v>
      </c>
      <c r="C17" s="30">
        <f t="shared" ref="C17:C19" si="11">SUM(D17:E17)</f>
        <v>179036</v>
      </c>
      <c r="D17" s="30">
        <f>'Phụ lục số 1'!F57</f>
        <v>179036</v>
      </c>
      <c r="E17" s="30"/>
      <c r="F17" s="30">
        <f t="shared" si="7"/>
        <v>179036</v>
      </c>
      <c r="G17" s="30">
        <f>'Phụ lục số 1'!X57</f>
        <v>179036</v>
      </c>
      <c r="H17" s="30"/>
      <c r="I17" s="30">
        <f t="shared" ref="I17:I18" si="12">SUM(J17:K17)</f>
        <v>174485</v>
      </c>
      <c r="J17" s="30">
        <f>'Phụ lục số 1'!AI57</f>
        <v>174485</v>
      </c>
      <c r="K17" s="30"/>
      <c r="L17" s="30">
        <f t="shared" si="3"/>
        <v>174485.3</v>
      </c>
      <c r="M17" s="30">
        <f>'Phụ lục số 1'!AO57</f>
        <v>174485.3</v>
      </c>
      <c r="N17" s="30"/>
      <c r="O17" s="30"/>
      <c r="P17" s="30">
        <f>'Phụ lục số 1'!AU57</f>
        <v>174485.3</v>
      </c>
      <c r="Q17" s="2085"/>
      <c r="R17" s="2103">
        <f t="shared" ref="R17:R20" si="13">I17+L17+O17</f>
        <v>348970.3</v>
      </c>
      <c r="S17" s="13">
        <f t="shared" si="5"/>
        <v>523455.6</v>
      </c>
      <c r="T17" s="13">
        <f t="shared" si="5"/>
        <v>0</v>
      </c>
      <c r="U17" s="135"/>
      <c r="V17" s="14"/>
      <c r="W17" s="14"/>
      <c r="X17" s="135"/>
      <c r="Y17" s="14"/>
      <c r="Z17" s="14"/>
      <c r="AA17" s="135"/>
      <c r="AB17" s="14"/>
      <c r="AC17" s="14"/>
      <c r="AD17" s="135"/>
      <c r="AE17" s="14"/>
      <c r="AF17" s="14"/>
    </row>
    <row r="18" spans="1:32" s="38" customFormat="1">
      <c r="A18" s="2084" t="s">
        <v>36</v>
      </c>
      <c r="B18" s="11" t="s">
        <v>1787</v>
      </c>
      <c r="C18" s="30">
        <f t="shared" si="11"/>
        <v>0</v>
      </c>
      <c r="D18" s="30">
        <f>'Phụ lục số 1'!F58</f>
        <v>0</v>
      </c>
      <c r="E18" s="30"/>
      <c r="F18" s="30">
        <f t="shared" si="7"/>
        <v>0</v>
      </c>
      <c r="G18" s="30"/>
      <c r="H18" s="30"/>
      <c r="I18" s="30">
        <f t="shared" si="12"/>
        <v>650315</v>
      </c>
      <c r="J18" s="30">
        <f>'Phụ lục số 1'!AI58</f>
        <v>650315</v>
      </c>
      <c r="K18" s="30"/>
      <c r="L18" s="13">
        <f t="shared" si="3"/>
        <v>650315</v>
      </c>
      <c r="M18" s="13">
        <f>J18</f>
        <v>650315</v>
      </c>
      <c r="N18" s="13"/>
      <c r="O18" s="13"/>
      <c r="P18" s="13">
        <f>M18</f>
        <v>650315</v>
      </c>
      <c r="Q18" s="2119"/>
      <c r="R18" s="2103">
        <f t="shared" si="13"/>
        <v>1300630</v>
      </c>
      <c r="S18" s="13">
        <f t="shared" si="5"/>
        <v>1950945</v>
      </c>
      <c r="T18" s="13">
        <f t="shared" si="5"/>
        <v>0</v>
      </c>
      <c r="U18" s="135"/>
      <c r="V18" s="14"/>
      <c r="W18" s="14"/>
      <c r="X18" s="135"/>
      <c r="Y18" s="14"/>
      <c r="Z18" s="14"/>
      <c r="AA18" s="135"/>
      <c r="AB18" s="14"/>
      <c r="AC18" s="14"/>
      <c r="AD18" s="135"/>
      <c r="AE18" s="14"/>
      <c r="AF18" s="14"/>
    </row>
    <row r="19" spans="1:32" s="38" customFormat="1">
      <c r="A19" s="2109">
        <v>3</v>
      </c>
      <c r="B19" s="134" t="s">
        <v>240</v>
      </c>
      <c r="C19" s="30">
        <f t="shared" si="11"/>
        <v>0</v>
      </c>
      <c r="D19" s="59">
        <f>'Phụ lục số 1'!F59</f>
        <v>0</v>
      </c>
      <c r="E19" s="59">
        <f>'[24]Phụ lục số 1'!G58</f>
        <v>0</v>
      </c>
      <c r="F19" s="59">
        <f t="shared" si="7"/>
        <v>431000</v>
      </c>
      <c r="G19" s="59">
        <f>'Phụ lục số 1'!X59</f>
        <v>89700</v>
      </c>
      <c r="H19" s="59">
        <f>'Phụ lục số 1'!Y59</f>
        <v>341300</v>
      </c>
      <c r="I19" s="59">
        <f>SUM(J19:K19)</f>
        <v>886000</v>
      </c>
      <c r="J19" s="59">
        <f>'Phụ lục số 1'!AI59</f>
        <v>0</v>
      </c>
      <c r="K19" s="59">
        <f>'Phụ lục số 1'!AJ59</f>
        <v>886000</v>
      </c>
      <c r="L19" s="14">
        <f t="shared" si="3"/>
        <v>717399.2</v>
      </c>
      <c r="M19" s="14">
        <f>'Phụ lục số 1'!AO59</f>
        <v>79139.200000000012</v>
      </c>
      <c r="N19" s="14">
        <f>'Phụ lục số 1'!AP59</f>
        <v>638260</v>
      </c>
      <c r="O19" s="14">
        <f t="shared" si="4"/>
        <v>881301.31019487511</v>
      </c>
      <c r="P19" s="14">
        <f>'Phụ lục số 1'!AU59</f>
        <v>565518.00845279661</v>
      </c>
      <c r="Q19" s="2120">
        <f>'Phụ lục số 1'!AV59</f>
        <v>315783.30174207845</v>
      </c>
      <c r="R19" s="2103">
        <f t="shared" si="13"/>
        <v>2484700.5101948753</v>
      </c>
      <c r="S19" s="13">
        <f t="shared" si="5"/>
        <v>644657.20845279656</v>
      </c>
      <c r="T19" s="13">
        <f t="shared" si="5"/>
        <v>1840043.3017420785</v>
      </c>
      <c r="U19" s="135" t="s">
        <v>202</v>
      </c>
      <c r="V19" s="14"/>
      <c r="W19" s="14"/>
      <c r="X19" s="135" t="s">
        <v>202</v>
      </c>
      <c r="Y19" s="14"/>
      <c r="Z19" s="14"/>
      <c r="AA19" s="135" t="s">
        <v>202</v>
      </c>
      <c r="AB19" s="14"/>
      <c r="AC19" s="14"/>
      <c r="AD19" s="135" t="s">
        <v>202</v>
      </c>
      <c r="AE19" s="14"/>
      <c r="AF19" s="14"/>
    </row>
    <row r="20" spans="1:32" s="38" customFormat="1">
      <c r="A20" s="2109">
        <v>4</v>
      </c>
      <c r="B20" s="134" t="s">
        <v>132</v>
      </c>
      <c r="C20" s="59">
        <f t="shared" si="6"/>
        <v>31500</v>
      </c>
      <c r="D20" s="59">
        <f>'Phụ lục số 1'!F60</f>
        <v>31500</v>
      </c>
      <c r="E20" s="59">
        <f>'Phụ lục số 1'!G60</f>
        <v>0</v>
      </c>
      <c r="F20" s="59">
        <f t="shared" si="7"/>
        <v>31500</v>
      </c>
      <c r="G20" s="59">
        <f>'Phụ lục số 1'!X60</f>
        <v>31500</v>
      </c>
      <c r="H20" s="59">
        <f>'Phụ lục số 1'!Y60</f>
        <v>0</v>
      </c>
      <c r="I20" s="59">
        <f>SUM(J20:K20)</f>
        <v>0</v>
      </c>
      <c r="J20" s="59">
        <f>'Phụ lục số 1'!AI60</f>
        <v>0</v>
      </c>
      <c r="K20" s="59">
        <f>'Phụ lục số 1'!AJ60</f>
        <v>0</v>
      </c>
      <c r="L20" s="14">
        <f t="shared" si="3"/>
        <v>0</v>
      </c>
      <c r="M20" s="14">
        <f>'Phụ lục số 1'!AO60</f>
        <v>0</v>
      </c>
      <c r="N20" s="14">
        <f>'Phụ lục số 1'!AP60</f>
        <v>0</v>
      </c>
      <c r="O20" s="14">
        <f t="shared" si="4"/>
        <v>0</v>
      </c>
      <c r="P20" s="14">
        <f>'Phụ lục số 1'!AU60</f>
        <v>0</v>
      </c>
      <c r="Q20" s="2120">
        <f>'Phụ lục số 1'!AV60</f>
        <v>0</v>
      </c>
      <c r="R20" s="2103">
        <f t="shared" si="13"/>
        <v>0</v>
      </c>
      <c r="S20" s="13">
        <f t="shared" si="5"/>
        <v>0</v>
      </c>
      <c r="T20" s="13">
        <f t="shared" si="5"/>
        <v>0</v>
      </c>
      <c r="U20" s="14">
        <f>V20+W20</f>
        <v>0</v>
      </c>
      <c r="V20" s="14"/>
      <c r="W20" s="14"/>
      <c r="X20" s="14"/>
      <c r="Y20" s="14"/>
      <c r="Z20" s="14"/>
      <c r="AA20" s="14"/>
      <c r="AB20" s="14"/>
      <c r="AC20" s="14"/>
      <c r="AD20" s="14"/>
      <c r="AE20" s="14"/>
      <c r="AF20" s="14"/>
    </row>
    <row r="21" spans="1:32" s="38" customFormat="1" ht="17.399999999999999">
      <c r="A21" s="2109" t="s">
        <v>22</v>
      </c>
      <c r="B21" s="134" t="s">
        <v>1797</v>
      </c>
      <c r="C21" s="59">
        <f t="shared" ref="C21:I21" si="14">SUM(C22,C39)+C43+C44</f>
        <v>20568716</v>
      </c>
      <c r="D21" s="59">
        <f t="shared" si="14"/>
        <v>12922645</v>
      </c>
      <c r="E21" s="59">
        <f t="shared" si="14"/>
        <v>7646071</v>
      </c>
      <c r="F21" s="59">
        <f t="shared" si="14"/>
        <v>22040415.066666666</v>
      </c>
      <c r="G21" s="59">
        <f t="shared" si="14"/>
        <v>13362345</v>
      </c>
      <c r="H21" s="59">
        <f t="shared" si="14"/>
        <v>8678070.0666666664</v>
      </c>
      <c r="I21" s="59">
        <f t="shared" si="14"/>
        <v>23710732.263999999</v>
      </c>
      <c r="J21" s="59">
        <f>SUM(J22,J39)+J43+J44</f>
        <v>13802328.916000001</v>
      </c>
      <c r="K21" s="59">
        <f t="shared" ref="K21:Q21" si="15">SUM(K22,K39)+K43+K44</f>
        <v>9908403.3479999993</v>
      </c>
      <c r="L21" s="14">
        <f>SUM(L22,L39)+L43+L44</f>
        <v>24562109.958194878</v>
      </c>
      <c r="M21" s="14">
        <f t="shared" si="15"/>
        <v>15344426.402215507</v>
      </c>
      <c r="N21" s="14">
        <f t="shared" si="15"/>
        <v>9217683.5559793673</v>
      </c>
      <c r="O21" s="14">
        <f>SUM(O22,O39)+O43+O44</f>
        <v>25522613.264623374</v>
      </c>
      <c r="P21" s="14">
        <f t="shared" si="15"/>
        <v>16384606.334725801</v>
      </c>
      <c r="Q21" s="2120">
        <f t="shared" si="15"/>
        <v>9138006.929897571</v>
      </c>
      <c r="R21" s="2102">
        <f t="shared" si="5"/>
        <v>73795455.486818254</v>
      </c>
      <c r="S21" s="14">
        <f t="shared" si="5"/>
        <v>45531361.652941309</v>
      </c>
      <c r="T21" s="14">
        <f t="shared" si="5"/>
        <v>28264093.833876938</v>
      </c>
      <c r="U21" s="14">
        <f>SUM(V21:W21)</f>
        <v>151479</v>
      </c>
      <c r="V21" s="14">
        <f>INT(V14*70%)</f>
        <v>-206010</v>
      </c>
      <c r="W21" s="14">
        <f>INT(W14*70%)</f>
        <v>357489</v>
      </c>
      <c r="X21" s="14">
        <f>SUM(Y21:Z21)</f>
        <v>280465</v>
      </c>
      <c r="Y21" s="14">
        <f>INT(Y14/2)</f>
        <v>-68900</v>
      </c>
      <c r="Z21" s="14">
        <f>INT(Z14/2)</f>
        <v>349365</v>
      </c>
      <c r="AA21" s="14">
        <f>SUM(AB21:AC21)</f>
        <v>694199</v>
      </c>
      <c r="AB21" s="14">
        <f>INT(AB14/2)</f>
        <v>382274</v>
      </c>
      <c r="AC21" s="14">
        <f>INT(AC14/2)</f>
        <v>311925</v>
      </c>
      <c r="AD21" s="14">
        <f>SUM(AE21:AF21)</f>
        <v>973500</v>
      </c>
      <c r="AE21" s="14">
        <f>INT(AE14/2)</f>
        <v>559525</v>
      </c>
      <c r="AF21" s="14">
        <f>INT(AF14/2)</f>
        <v>413975</v>
      </c>
    </row>
    <row r="22" spans="1:32" s="38" customFormat="1" ht="17.399999999999999">
      <c r="A22" s="2109" t="s">
        <v>9</v>
      </c>
      <c r="B22" s="134" t="s">
        <v>88</v>
      </c>
      <c r="C22" s="59">
        <f>SUM(C23,C29,C33:C38)</f>
        <v>13191488</v>
      </c>
      <c r="D22" s="59">
        <f>SUM(D23,D29,D33:D38)</f>
        <v>5545417</v>
      </c>
      <c r="E22" s="59">
        <f t="shared" ref="E22" si="16">SUM(E23,E29,E33:E38)</f>
        <v>7646071</v>
      </c>
      <c r="F22" s="59">
        <f>SUM(F23,F29,F33:F38)</f>
        <v>14663187.066666666</v>
      </c>
      <c r="G22" s="59">
        <f>SUM(G23,G29,G33:G38)</f>
        <v>5985117</v>
      </c>
      <c r="H22" s="59">
        <f t="shared" ref="H22" si="17">SUM(H23,H29,H33:H38)</f>
        <v>8678070.0666666664</v>
      </c>
      <c r="I22" s="59">
        <f>SUM(I23,I29,I33:I38)</f>
        <v>16638432.915999997</v>
      </c>
      <c r="J22" s="59">
        <f t="shared" ref="J22:Q22" si="18">SUM(J23,J29,J33:J38)</f>
        <v>6730029.568</v>
      </c>
      <c r="K22" s="59">
        <f t="shared" si="18"/>
        <v>9908403.3479999993</v>
      </c>
      <c r="L22" s="14">
        <f t="shared" si="18"/>
        <v>17099301.310194876</v>
      </c>
      <c r="M22" s="14">
        <f t="shared" si="18"/>
        <v>7881617.7542155078</v>
      </c>
      <c r="N22" s="14">
        <f t="shared" si="18"/>
        <v>9217683.5559793673</v>
      </c>
      <c r="O22" s="14">
        <f t="shared" si="18"/>
        <v>18059804.616623372</v>
      </c>
      <c r="P22" s="14">
        <f t="shared" si="18"/>
        <v>8921797.6867258009</v>
      </c>
      <c r="Q22" s="2120">
        <f t="shared" si="18"/>
        <v>9138006.929897571</v>
      </c>
      <c r="R22" s="2102">
        <f t="shared" si="5"/>
        <v>51797538.842818245</v>
      </c>
      <c r="S22" s="14">
        <f t="shared" si="5"/>
        <v>23533445.008941308</v>
      </c>
      <c r="T22" s="14">
        <f t="shared" si="5"/>
        <v>28264093.833876938</v>
      </c>
      <c r="U22" s="14"/>
      <c r="V22" s="14"/>
      <c r="W22" s="14"/>
      <c r="X22" s="14"/>
      <c r="Y22" s="14"/>
      <c r="Z22" s="14"/>
      <c r="AA22" s="14"/>
      <c r="AB22" s="14"/>
      <c r="AC22" s="14"/>
      <c r="AD22" s="14"/>
      <c r="AE22" s="14"/>
      <c r="AF22" s="14"/>
    </row>
    <row r="23" spans="1:32" s="38" customFormat="1" ht="17.399999999999999">
      <c r="A23" s="2109">
        <v>1</v>
      </c>
      <c r="B23" s="134" t="s">
        <v>93</v>
      </c>
      <c r="C23" s="59">
        <f>SUM(C24:C27)</f>
        <v>3561000</v>
      </c>
      <c r="D23" s="59">
        <f t="shared" ref="D23:T23" si="19">SUM(D24:D27)</f>
        <v>2240000</v>
      </c>
      <c r="E23" s="59">
        <f t="shared" si="19"/>
        <v>1321000</v>
      </c>
      <c r="F23" s="59">
        <f t="shared" si="19"/>
        <v>4091000</v>
      </c>
      <c r="G23" s="59">
        <f t="shared" si="19"/>
        <v>2590000</v>
      </c>
      <c r="H23" s="59">
        <f t="shared" si="19"/>
        <v>1501000</v>
      </c>
      <c r="I23" s="59">
        <f>SUM(I24:I28)</f>
        <v>4923186.4089698764</v>
      </c>
      <c r="J23" s="59">
        <f>SUM(J24:J28)</f>
        <v>3199186</v>
      </c>
      <c r="K23" s="59">
        <f>SUM(K24:K28)</f>
        <v>1724000.4089698761</v>
      </c>
      <c r="L23" s="14">
        <f>SUM(L24:L28)</f>
        <v>4795000</v>
      </c>
      <c r="M23" s="14">
        <f t="shared" ref="M23:Q23" si="20">SUM(M24:M28)</f>
        <v>3439099.7457627119</v>
      </c>
      <c r="N23" s="14">
        <f t="shared" si="20"/>
        <v>1355900.2542372881</v>
      </c>
      <c r="O23" s="14">
        <f t="shared" si="20"/>
        <v>5085000</v>
      </c>
      <c r="P23" s="14">
        <f t="shared" si="20"/>
        <v>3690399.7330508474</v>
      </c>
      <c r="Q23" s="2120">
        <f t="shared" si="20"/>
        <v>1394600.2669491526</v>
      </c>
      <c r="R23" s="2102">
        <f t="shared" si="19"/>
        <v>14623186.408969875</v>
      </c>
      <c r="S23" s="14">
        <f t="shared" si="19"/>
        <v>10148685.478813559</v>
      </c>
      <c r="T23" s="14">
        <f t="shared" si="19"/>
        <v>4474500.9301563166</v>
      </c>
      <c r="U23" s="138"/>
      <c r="V23" s="14"/>
      <c r="W23" s="14"/>
      <c r="X23" s="14"/>
      <c r="Y23" s="14"/>
      <c r="Z23" s="14"/>
      <c r="AA23" s="14"/>
      <c r="AB23" s="14"/>
      <c r="AC23" s="14"/>
      <c r="AD23" s="14"/>
      <c r="AE23" s="14"/>
      <c r="AF23" s="14"/>
    </row>
    <row r="24" spans="1:32" s="38" customFormat="1">
      <c r="A24" s="2110" t="s">
        <v>137</v>
      </c>
      <c r="B24" s="137" t="s">
        <v>1305</v>
      </c>
      <c r="C24" s="30">
        <f t="shared" ref="C24:C44" si="21">SUM(D24:E24)</f>
        <v>1061000</v>
      </c>
      <c r="D24" s="30">
        <f>'Phụ lục số 2'!D10</f>
        <v>540000</v>
      </c>
      <c r="E24" s="30">
        <f>'Phụ lục số 2'!E10</f>
        <v>521000</v>
      </c>
      <c r="F24" s="30">
        <f t="shared" ref="F24:F44" si="22">SUM(G24:H24)</f>
        <v>1061000</v>
      </c>
      <c r="G24" s="30">
        <f>'Phụ lục số 2'!S10</f>
        <v>540000</v>
      </c>
      <c r="H24" s="30">
        <f>'Phụ lục số 2'!T10</f>
        <v>521000</v>
      </c>
      <c r="I24" s="30">
        <f t="shared" ref="I24:I29" si="23">SUM(J24:K24)</f>
        <v>1143186.4089698761</v>
      </c>
      <c r="J24" s="30">
        <f>'Phụ lục số 2'!AA10</f>
        <v>562186</v>
      </c>
      <c r="K24" s="30">
        <f>'Phụ lục số 2'!AB10</f>
        <v>581000.40896987612</v>
      </c>
      <c r="L24" s="13">
        <f t="shared" ref="L24:L32" si="24">SUM(M24:N24)</f>
        <v>1213000</v>
      </c>
      <c r="M24" s="13">
        <f>'Phụ lục số 2'!AF10</f>
        <v>632000</v>
      </c>
      <c r="N24" s="13">
        <f>'Phụ lục số 2'!AG10</f>
        <v>581000</v>
      </c>
      <c r="O24" s="13">
        <f t="shared" ref="O24:O32" si="25">SUM(P24:Q24)</f>
        <v>1265000</v>
      </c>
      <c r="P24" s="13">
        <f>'Phụ lục số 2'!AK10</f>
        <v>684000</v>
      </c>
      <c r="Q24" s="2119">
        <f>'Phụ lục số 2'!AL10</f>
        <v>581000</v>
      </c>
      <c r="R24" s="2103">
        <f t="shared" ref="R24:T45" si="26">I24+L24+O24</f>
        <v>3621186.4089698764</v>
      </c>
      <c r="S24" s="13">
        <f t="shared" si="26"/>
        <v>1878186</v>
      </c>
      <c r="T24" s="13">
        <f t="shared" si="26"/>
        <v>1743000.4089698761</v>
      </c>
      <c r="U24" s="13"/>
      <c r="V24" s="13"/>
      <c r="W24" s="13"/>
      <c r="X24" s="14"/>
      <c r="Y24" s="14"/>
      <c r="Z24" s="14"/>
      <c r="AA24" s="14"/>
      <c r="AB24" s="14"/>
      <c r="AC24" s="14"/>
      <c r="AD24" s="14"/>
      <c r="AE24" s="14"/>
      <c r="AF24" s="14"/>
    </row>
    <row r="25" spans="1:32" s="38" customFormat="1">
      <c r="A25" s="2110" t="s">
        <v>137</v>
      </c>
      <c r="B25" s="137" t="s">
        <v>391</v>
      </c>
      <c r="C25" s="30">
        <f t="shared" si="21"/>
        <v>900000</v>
      </c>
      <c r="D25" s="30">
        <f>'Phụ lục số 2'!D11</f>
        <v>100000</v>
      </c>
      <c r="E25" s="30">
        <f>'Phụ lục số 2'!E11</f>
        <v>800000</v>
      </c>
      <c r="F25" s="30">
        <f t="shared" si="22"/>
        <v>1080000</v>
      </c>
      <c r="G25" s="30">
        <f>'Phụ lục số 2'!S11</f>
        <v>100000</v>
      </c>
      <c r="H25" s="30">
        <f>'Phụ lục số 2'!T11</f>
        <v>980000</v>
      </c>
      <c r="I25" s="30">
        <f t="shared" si="23"/>
        <v>1770000</v>
      </c>
      <c r="J25" s="30">
        <f>'Phụ lục số 2'!AA11</f>
        <v>627000</v>
      </c>
      <c r="K25" s="30">
        <f>'Phụ lục số 2'!AB11</f>
        <v>1143000</v>
      </c>
      <c r="L25" s="13">
        <f t="shared" si="24"/>
        <v>1200000</v>
      </c>
      <c r="M25" s="13">
        <f>'Phụ lục số 2'!AF11</f>
        <v>425099.74576271186</v>
      </c>
      <c r="N25" s="13">
        <f>'Phụ lục số 2'!AG11</f>
        <v>774900.25423728814</v>
      </c>
      <c r="O25" s="13">
        <f t="shared" si="25"/>
        <v>1260000</v>
      </c>
      <c r="P25" s="13">
        <f>'Phụ lục số 2'!AK11</f>
        <v>446399.73305084754</v>
      </c>
      <c r="Q25" s="2119">
        <f>'Phụ lục số 2'!AL11</f>
        <v>813600.26694915246</v>
      </c>
      <c r="R25" s="2103">
        <f t="shared" si="26"/>
        <v>4230000</v>
      </c>
      <c r="S25" s="13">
        <f t="shared" si="26"/>
        <v>1498499.4788135593</v>
      </c>
      <c r="T25" s="13">
        <f>K25+N25+Q25</f>
        <v>2731500.5211864407</v>
      </c>
      <c r="U25" s="13"/>
      <c r="V25" s="14"/>
      <c r="W25" s="14"/>
      <c r="X25" s="14"/>
      <c r="Y25" s="14"/>
      <c r="Z25" s="14"/>
      <c r="AA25" s="14"/>
      <c r="AB25" s="14"/>
      <c r="AC25" s="14"/>
      <c r="AD25" s="14"/>
      <c r="AE25" s="14"/>
      <c r="AF25" s="14"/>
    </row>
    <row r="26" spans="1:32" s="38" customFormat="1">
      <c r="A26" s="2110" t="s">
        <v>137</v>
      </c>
      <c r="B26" s="11" t="s">
        <v>1378</v>
      </c>
      <c r="C26" s="30">
        <f t="shared" si="21"/>
        <v>1600000</v>
      </c>
      <c r="D26" s="30">
        <f>'Phụ lục số 2'!D12</f>
        <v>1600000</v>
      </c>
      <c r="E26" s="30">
        <f>'Phụ lục số 2'!E12</f>
        <v>0</v>
      </c>
      <c r="F26" s="30">
        <f t="shared" si="22"/>
        <v>1950000</v>
      </c>
      <c r="G26" s="30">
        <f>'Phụ lục số 2'!S12</f>
        <v>1950000</v>
      </c>
      <c r="H26" s="30">
        <f>'Phụ lục số 2'!T12</f>
        <v>0</v>
      </c>
      <c r="I26" s="30">
        <f t="shared" si="23"/>
        <v>1950000</v>
      </c>
      <c r="J26" s="30">
        <f>'Phụ lục số 2'!AA12</f>
        <v>1950000</v>
      </c>
      <c r="K26" s="30">
        <f>'[24]Phụ lục số 2'!O12</f>
        <v>0</v>
      </c>
      <c r="L26" s="13">
        <f t="shared" si="24"/>
        <v>2322000</v>
      </c>
      <c r="M26" s="13">
        <f>'Phụ lục số 2'!AF12</f>
        <v>2322000</v>
      </c>
      <c r="N26" s="13">
        <f>'Phụ lục số 2'!AG12</f>
        <v>0</v>
      </c>
      <c r="O26" s="13">
        <f t="shared" si="25"/>
        <v>2500000</v>
      </c>
      <c r="P26" s="13">
        <f>'Phụ lục số 2'!AK12</f>
        <v>2500000</v>
      </c>
      <c r="Q26" s="2119">
        <f>'Phụ lục số 2'!AL12</f>
        <v>0</v>
      </c>
      <c r="R26" s="2103">
        <f t="shared" si="26"/>
        <v>6772000</v>
      </c>
      <c r="S26" s="13">
        <f>J26+M26+P26</f>
        <v>6772000</v>
      </c>
      <c r="T26" s="13">
        <f t="shared" si="26"/>
        <v>0</v>
      </c>
      <c r="U26" s="14"/>
      <c r="V26" s="14"/>
      <c r="W26" s="14"/>
      <c r="X26" s="14"/>
      <c r="Y26" s="14"/>
      <c r="Z26" s="14"/>
      <c r="AA26" s="14"/>
      <c r="AB26" s="14"/>
      <c r="AC26" s="14"/>
      <c r="AD26" s="14"/>
      <c r="AE26" s="14"/>
      <c r="AF26" s="14"/>
    </row>
    <row r="27" spans="1:32" s="38" customFormat="1">
      <c r="A27" s="2110" t="s">
        <v>137</v>
      </c>
      <c r="B27" s="11" t="str">
        <f>'Phụ lục số 2'!B13</f>
        <v>Chi đầu tư từ nguồn thu thoái vốn doanh nghiệp nhà nước địa phương quản lý;…</v>
      </c>
      <c r="C27" s="30">
        <f t="shared" si="21"/>
        <v>0</v>
      </c>
      <c r="D27" s="30">
        <f>'Phụ lục số 2'!D13</f>
        <v>0</v>
      </c>
      <c r="E27" s="30">
        <f>'Phụ lục số 2'!E13</f>
        <v>0</v>
      </c>
      <c r="F27" s="30">
        <f t="shared" si="22"/>
        <v>0</v>
      </c>
      <c r="G27" s="30">
        <f>'Phụ lục số 2'!S13</f>
        <v>0</v>
      </c>
      <c r="H27" s="30">
        <f>'Phụ lục số 2'!T13</f>
        <v>0</v>
      </c>
      <c r="I27" s="30">
        <f t="shared" si="23"/>
        <v>0</v>
      </c>
      <c r="J27" s="30">
        <f>'Phụ lục số 2'!AA13</f>
        <v>0</v>
      </c>
      <c r="K27" s="30">
        <f>'[24]Phụ lục số 2'!O13</f>
        <v>0</v>
      </c>
      <c r="L27" s="13">
        <f t="shared" si="24"/>
        <v>0</v>
      </c>
      <c r="M27" s="13">
        <f>'Phụ lục số 2'!AF13</f>
        <v>0</v>
      </c>
      <c r="N27" s="13">
        <f>'Phụ lục số 2'!AG13</f>
        <v>0</v>
      </c>
      <c r="O27" s="13">
        <f t="shared" si="25"/>
        <v>0</v>
      </c>
      <c r="P27" s="13">
        <f>'Phụ lục số 2'!AK13</f>
        <v>0</v>
      </c>
      <c r="Q27" s="2119">
        <f>'Phụ lục số 2'!AL13</f>
        <v>0</v>
      </c>
      <c r="R27" s="2103">
        <f t="shared" si="26"/>
        <v>0</v>
      </c>
      <c r="S27" s="13">
        <f t="shared" si="26"/>
        <v>0</v>
      </c>
      <c r="T27" s="13">
        <f t="shared" si="26"/>
        <v>0</v>
      </c>
      <c r="U27" s="14"/>
      <c r="V27" s="14"/>
      <c r="W27" s="14"/>
      <c r="X27" s="14"/>
      <c r="Y27" s="14"/>
      <c r="Z27" s="14"/>
      <c r="AA27" s="14"/>
      <c r="AB27" s="14"/>
      <c r="AC27" s="14"/>
      <c r="AD27" s="14"/>
      <c r="AE27" s="14"/>
      <c r="AF27" s="14"/>
    </row>
    <row r="28" spans="1:32" s="38" customFormat="1">
      <c r="A28" s="2110"/>
      <c r="B28" s="11" t="str">
        <f>'Phụ lục số 2'!B14</f>
        <v>Chi đầu tư phát triển khác (Ủy thác qua NH Chính sách xã hội chi nhánh tỉnh Đồng Tháp)</v>
      </c>
      <c r="C28" s="30"/>
      <c r="D28" s="30"/>
      <c r="E28" s="30"/>
      <c r="F28" s="30"/>
      <c r="G28" s="30"/>
      <c r="H28" s="30"/>
      <c r="I28" s="30">
        <f t="shared" si="23"/>
        <v>60000</v>
      </c>
      <c r="J28" s="30">
        <f>'Phụ lục số 2'!AA14</f>
        <v>60000</v>
      </c>
      <c r="K28" s="30"/>
      <c r="L28" s="13">
        <f t="shared" si="24"/>
        <v>60000</v>
      </c>
      <c r="M28" s="13">
        <f>J28</f>
        <v>60000</v>
      </c>
      <c r="N28" s="13"/>
      <c r="O28" s="13">
        <f t="shared" si="25"/>
        <v>60000</v>
      </c>
      <c r="P28" s="13">
        <f>M28</f>
        <v>60000</v>
      </c>
      <c r="Q28" s="2119"/>
      <c r="R28" s="2103"/>
      <c r="S28" s="13"/>
      <c r="T28" s="13"/>
      <c r="U28" s="14"/>
      <c r="V28" s="14"/>
      <c r="W28" s="14"/>
      <c r="X28" s="14"/>
      <c r="Y28" s="14"/>
      <c r="Z28" s="14"/>
      <c r="AA28" s="14"/>
      <c r="AB28" s="14"/>
      <c r="AC28" s="14"/>
      <c r="AD28" s="14"/>
      <c r="AE28" s="14"/>
      <c r="AF28" s="14"/>
    </row>
    <row r="29" spans="1:32" s="38" customFormat="1" ht="17.399999999999999">
      <c r="A29" s="2111">
        <v>2</v>
      </c>
      <c r="B29" s="139" t="s">
        <v>58</v>
      </c>
      <c r="C29" s="1826">
        <f t="shared" si="21"/>
        <v>9353865</v>
      </c>
      <c r="D29" s="1826">
        <f>'Phụ lục số 2'!D15</f>
        <v>3168035</v>
      </c>
      <c r="E29" s="1826">
        <f>'Phụ lục số 2'!E15</f>
        <v>6185830</v>
      </c>
      <c r="F29" s="1826">
        <f t="shared" ref="F29:F40" si="27">SUM(G29:H29)</f>
        <v>9353865</v>
      </c>
      <c r="G29" s="1826">
        <f>'Phụ lục số 2'!S15</f>
        <v>3168035</v>
      </c>
      <c r="H29" s="1826">
        <f>'Phụ lục số 2'!T15</f>
        <v>6185830</v>
      </c>
      <c r="I29" s="1826">
        <f t="shared" si="23"/>
        <v>10664978.394711081</v>
      </c>
      <c r="J29" s="1826">
        <f>'Phụ lục số 2'!AA15</f>
        <v>3294440</v>
      </c>
      <c r="K29" s="1826">
        <f>'Phụ lục số 2'!AB15</f>
        <v>7370538.3947110809</v>
      </c>
      <c r="L29" s="140">
        <f t="shared" si="24"/>
        <v>11071000</v>
      </c>
      <c r="M29" s="140">
        <f>'Phụ lục số 2'!AF15</f>
        <v>3701000</v>
      </c>
      <c r="N29" s="140">
        <f>'Phụ lục số 2'!AG15</f>
        <v>7370000</v>
      </c>
      <c r="O29" s="140">
        <f t="shared" si="25"/>
        <v>11373000</v>
      </c>
      <c r="P29" s="140">
        <f>'Phụ lục số 2'!AK15</f>
        <v>4003000</v>
      </c>
      <c r="Q29" s="2121">
        <f>'Phụ lục số 2'!AL15</f>
        <v>7370000</v>
      </c>
      <c r="R29" s="2104">
        <f t="shared" si="26"/>
        <v>33108978.394711081</v>
      </c>
      <c r="S29" s="140">
        <f t="shared" si="26"/>
        <v>10998440</v>
      </c>
      <c r="T29" s="140">
        <f t="shared" si="26"/>
        <v>22110538.394711081</v>
      </c>
      <c r="U29" s="135" t="s">
        <v>204</v>
      </c>
      <c r="V29" s="14"/>
      <c r="W29" s="14"/>
      <c r="X29" s="135" t="s">
        <v>204</v>
      </c>
      <c r="Y29" s="14"/>
      <c r="Z29" s="14"/>
      <c r="AA29" s="135" t="s">
        <v>204</v>
      </c>
      <c r="AB29" s="14"/>
      <c r="AC29" s="14"/>
      <c r="AD29" s="135" t="s">
        <v>204</v>
      </c>
      <c r="AE29" s="14"/>
      <c r="AF29" s="14"/>
    </row>
    <row r="30" spans="1:32" s="38" customFormat="1">
      <c r="A30" s="2110" t="s">
        <v>137</v>
      </c>
      <c r="B30" s="137" t="s">
        <v>1788</v>
      </c>
      <c r="C30" s="30">
        <f t="shared" si="21"/>
        <v>4179745</v>
      </c>
      <c r="D30" s="30">
        <f>'Phụ lục số 2'!D20</f>
        <v>1017035</v>
      </c>
      <c r="E30" s="30">
        <f>'Phụ lục số 2'!E20</f>
        <v>3162710</v>
      </c>
      <c r="F30" s="30">
        <f t="shared" si="27"/>
        <v>4179745</v>
      </c>
      <c r="G30" s="30">
        <f>'Phụ lục số 2'!S20</f>
        <v>1017035</v>
      </c>
      <c r="H30" s="30">
        <f>'Phụ lục số 2'!T20</f>
        <v>3162710</v>
      </c>
      <c r="I30" s="30">
        <f>SUM(J30:K30)</f>
        <v>4797945.7831797441</v>
      </c>
      <c r="J30" s="30">
        <f>'Phụ lục số 2'!AA20</f>
        <v>956676</v>
      </c>
      <c r="K30" s="30">
        <f>'Phụ lục số 2'!AB20</f>
        <v>3841269.7831797441</v>
      </c>
      <c r="L30" s="13">
        <f t="shared" si="24"/>
        <v>4916000</v>
      </c>
      <c r="M30" s="13">
        <f>'Phụ lục số 2'!AF20</f>
        <v>1075000</v>
      </c>
      <c r="N30" s="13">
        <f>'Phụ lục số 2'!AG20</f>
        <v>3841000</v>
      </c>
      <c r="O30" s="13">
        <f t="shared" si="25"/>
        <v>5004000</v>
      </c>
      <c r="P30" s="13">
        <f>'Phụ lục số 2'!AK20</f>
        <v>1163000</v>
      </c>
      <c r="Q30" s="2119">
        <f>'Phụ lục số 2'!AL20</f>
        <v>3841000</v>
      </c>
      <c r="R30" s="2103">
        <f>I30+L30+O30</f>
        <v>14717945.783179745</v>
      </c>
      <c r="S30" s="13">
        <f t="shared" si="26"/>
        <v>3194676</v>
      </c>
      <c r="T30" s="13">
        <f t="shared" si="26"/>
        <v>11523269.783179745</v>
      </c>
      <c r="U30" s="14">
        <f>V30+W30</f>
        <v>64920.799999999814</v>
      </c>
      <c r="V30" s="14">
        <f>V14-V21</f>
        <v>-88289.266666666605</v>
      </c>
      <c r="W30" s="14">
        <f>W14-W21</f>
        <v>153210.06666666642</v>
      </c>
      <c r="X30" s="14">
        <f>Y30+Z30</f>
        <v>280465</v>
      </c>
      <c r="Y30" s="14">
        <f>Y14-Y21</f>
        <v>-68900</v>
      </c>
      <c r="Z30" s="14">
        <f>Z14-Z21</f>
        <v>349365</v>
      </c>
      <c r="AA30" s="14">
        <f>AB30+AC30</f>
        <v>694200.22038975032</v>
      </c>
      <c r="AB30" s="14">
        <f>AB14-AB21</f>
        <v>382275.21690559341</v>
      </c>
      <c r="AC30" s="14">
        <f>AC14-AC21</f>
        <v>311925.00348415691</v>
      </c>
      <c r="AD30" s="14">
        <f>AE30+AF30</f>
        <v>973500.2332467424</v>
      </c>
      <c r="AE30" s="14">
        <f>AE14-AE21</f>
        <v>559525.10734990612</v>
      </c>
      <c r="AF30" s="14">
        <f>AF14-AF21</f>
        <v>413975.12589683628</v>
      </c>
    </row>
    <row r="31" spans="1:32" s="38" customFormat="1">
      <c r="A31" s="2110" t="s">
        <v>137</v>
      </c>
      <c r="B31" s="137" t="s">
        <v>1789</v>
      </c>
      <c r="C31" s="30">
        <f t="shared" si="21"/>
        <v>31000</v>
      </c>
      <c r="D31" s="30">
        <f>'Phụ lục số 2'!D19</f>
        <v>31000</v>
      </c>
      <c r="E31" s="30">
        <f>'Phụ lục số 2'!E19</f>
        <v>0</v>
      </c>
      <c r="F31" s="30">
        <f t="shared" si="27"/>
        <v>31000</v>
      </c>
      <c r="G31" s="30">
        <f>'Phụ lục số 2'!S19</f>
        <v>31000</v>
      </c>
      <c r="H31" s="30">
        <f>'Phụ lục số 2'!T19</f>
        <v>0</v>
      </c>
      <c r="I31" s="30">
        <f>SUM(J31:K31)</f>
        <v>31218</v>
      </c>
      <c r="J31" s="30">
        <f>'Phụ lục số 2'!AA19</f>
        <v>31218</v>
      </c>
      <c r="K31" s="30">
        <f>'[24]Phụ lục số 2'!O18</f>
        <v>0</v>
      </c>
      <c r="L31" s="13">
        <f t="shared" si="24"/>
        <v>35000</v>
      </c>
      <c r="M31" s="13">
        <f>'Phụ lục số 2'!AF19</f>
        <v>35000</v>
      </c>
      <c r="N31" s="13">
        <f>'Phụ lục số 2'!AG19</f>
        <v>0</v>
      </c>
      <c r="O31" s="13">
        <f t="shared" si="25"/>
        <v>38000</v>
      </c>
      <c r="P31" s="13">
        <f>'Phụ lục số 2'!AK19</f>
        <v>38000</v>
      </c>
      <c r="Q31" s="2119">
        <f>'[24]Phụ lục số 2'!Y18</f>
        <v>0</v>
      </c>
      <c r="R31" s="2103">
        <f t="shared" si="26"/>
        <v>104218</v>
      </c>
      <c r="S31" s="13">
        <f t="shared" si="26"/>
        <v>104218</v>
      </c>
      <c r="T31" s="13">
        <f t="shared" si="26"/>
        <v>0</v>
      </c>
      <c r="U31" s="14"/>
      <c r="V31" s="14"/>
      <c r="W31" s="14"/>
      <c r="X31" s="14"/>
      <c r="Y31" s="14"/>
      <c r="Z31" s="14"/>
      <c r="AA31" s="14"/>
      <c r="AB31" s="14"/>
      <c r="AC31" s="14"/>
      <c r="AD31" s="14"/>
      <c r="AE31" s="14"/>
      <c r="AF31" s="14"/>
    </row>
    <row r="32" spans="1:32" s="38" customFormat="1">
      <c r="A32" s="2110" t="s">
        <v>137</v>
      </c>
      <c r="B32" s="137" t="s">
        <v>206</v>
      </c>
      <c r="C32" s="30">
        <f>SUM(D32:E32)</f>
        <v>5143120</v>
      </c>
      <c r="D32" s="30">
        <f>D29-D30-D31</f>
        <v>2120000</v>
      </c>
      <c r="E32" s="30">
        <f>E29-E30-E31</f>
        <v>3023120</v>
      </c>
      <c r="F32" s="30">
        <f t="shared" si="27"/>
        <v>5143120</v>
      </c>
      <c r="G32" s="30">
        <f>G29-G30-G31</f>
        <v>2120000</v>
      </c>
      <c r="H32" s="30">
        <f>H29-H30-H31</f>
        <v>3023120</v>
      </c>
      <c r="I32" s="30">
        <f>SUM(J32:K32)</f>
        <v>5835814.6115313368</v>
      </c>
      <c r="J32" s="30">
        <f>J29-J30-J31</f>
        <v>2306546</v>
      </c>
      <c r="K32" s="30">
        <f>K29-K30-K31</f>
        <v>3529268.6115313368</v>
      </c>
      <c r="L32" s="13">
        <f t="shared" si="24"/>
        <v>6120000</v>
      </c>
      <c r="M32" s="13">
        <f>M29-M30-M31</f>
        <v>2591000</v>
      </c>
      <c r="N32" s="13">
        <f>N29-N30-N31</f>
        <v>3529000</v>
      </c>
      <c r="O32" s="13">
        <f t="shared" si="25"/>
        <v>6331000</v>
      </c>
      <c r="P32" s="13">
        <f>P29-P30-P31</f>
        <v>2802000</v>
      </c>
      <c r="Q32" s="2119">
        <f>Q29-Q30-Q31</f>
        <v>3529000</v>
      </c>
      <c r="R32" s="2103">
        <f t="shared" si="26"/>
        <v>18286814.611531336</v>
      </c>
      <c r="S32" s="13">
        <f t="shared" si="26"/>
        <v>7699546</v>
      </c>
      <c r="T32" s="13">
        <f t="shared" si="26"/>
        <v>10587268.611531336</v>
      </c>
      <c r="U32" s="141"/>
      <c r="V32" s="141"/>
      <c r="W32" s="141"/>
      <c r="X32" s="141">
        <f>I7/$C$7</f>
        <v>1.182417505439241</v>
      </c>
      <c r="Y32" s="141">
        <f>J7/D7</f>
        <v>1.0799946148883202</v>
      </c>
      <c r="Z32" s="141">
        <f>K7/E7</f>
        <v>1.2427487330876021</v>
      </c>
      <c r="AA32" s="141">
        <f>L7/C7</f>
        <v>1.1832420356102551</v>
      </c>
      <c r="AB32" s="141">
        <f>M7/J7</f>
        <v>1.079742608325974</v>
      </c>
      <c r="AC32" s="141">
        <f>N7/K7</f>
        <v>0.96023420717139585</v>
      </c>
      <c r="AD32" s="141">
        <f>O7/C7</f>
        <v>1.2528896849088047</v>
      </c>
      <c r="AE32" s="141">
        <f>P7/M7</f>
        <v>1.1875204324995778</v>
      </c>
      <c r="AF32" s="141">
        <f>Q7/N7</f>
        <v>0.98480478099827706</v>
      </c>
    </row>
    <row r="33" spans="1:32" s="38" customFormat="1" ht="17.399999999999999">
      <c r="A33" s="2109">
        <v>3</v>
      </c>
      <c r="B33" s="207" t="s">
        <v>143</v>
      </c>
      <c r="C33" s="59">
        <f>SUM(D33:E33)</f>
        <v>0</v>
      </c>
      <c r="D33" s="59"/>
      <c r="E33" s="59">
        <f>'[24]Phụ lục số 2'!E30</f>
        <v>0</v>
      </c>
      <c r="F33" s="59">
        <f t="shared" si="27"/>
        <v>431000</v>
      </c>
      <c r="G33" s="59">
        <f>'Phụ lục số 2'!S31</f>
        <v>89700</v>
      </c>
      <c r="H33" s="59">
        <f>'Phụ lục số 2'!T31</f>
        <v>341300</v>
      </c>
      <c r="I33" s="59">
        <f>SUM(J33:K33)</f>
        <v>0</v>
      </c>
      <c r="J33" s="59">
        <f>'Phụ lục số 2'!AA31</f>
        <v>0</v>
      </c>
      <c r="K33" s="59">
        <f>'Phụ lục số 2'!AB31</f>
        <v>0</v>
      </c>
      <c r="L33" s="14">
        <f>SUM(M33:N33)</f>
        <v>0</v>
      </c>
      <c r="M33" s="14">
        <f>'Phụ lục số 2'!AF31</f>
        <v>0</v>
      </c>
      <c r="N33" s="14">
        <f>'Phụ lục số 2'!AG31</f>
        <v>0</v>
      </c>
      <c r="O33" s="14">
        <f>SUM(P33:Q33)</f>
        <v>0</v>
      </c>
      <c r="P33" s="14">
        <f>'Phụ lục số 2'!AK31</f>
        <v>0</v>
      </c>
      <c r="Q33" s="2120">
        <f>'Phụ lục số 2'!AL31</f>
        <v>0</v>
      </c>
      <c r="R33" s="2102">
        <f t="shared" si="26"/>
        <v>0</v>
      </c>
      <c r="S33" s="14">
        <f t="shared" si="26"/>
        <v>0</v>
      </c>
      <c r="T33" s="14">
        <f t="shared" si="26"/>
        <v>0</v>
      </c>
      <c r="U33" s="14"/>
      <c r="V33" s="14"/>
      <c r="W33" s="14"/>
      <c r="X33" s="14"/>
      <c r="Y33" s="141">
        <f>Y32-1</f>
        <v>7.9994614888320159E-2</v>
      </c>
      <c r="Z33" s="141">
        <f>Z32-1</f>
        <v>0.24274873308760214</v>
      </c>
      <c r="AA33" s="14"/>
      <c r="AB33" s="141">
        <f>AB32-1</f>
        <v>7.9742608325974018E-2</v>
      </c>
      <c r="AC33" s="141">
        <f>AC32-1</f>
        <v>-3.9765792828604152E-2</v>
      </c>
      <c r="AD33" s="14"/>
      <c r="AE33" s="141">
        <f>AE32-1</f>
        <v>0.18752043249957784</v>
      </c>
      <c r="AF33" s="141">
        <f>AF32-1</f>
        <v>-1.5195219001722937E-2</v>
      </c>
    </row>
    <row r="34" spans="1:32" s="210" customFormat="1" ht="17.399999999999999">
      <c r="A34" s="2109">
        <v>4</v>
      </c>
      <c r="B34" s="209" t="s">
        <v>232</v>
      </c>
      <c r="C34" s="59"/>
      <c r="D34" s="59"/>
      <c r="E34" s="59"/>
      <c r="F34" s="59">
        <f t="shared" si="27"/>
        <v>357489.34666666656</v>
      </c>
      <c r="G34" s="59">
        <f>'Phụ lục số 2'!S32</f>
        <v>0</v>
      </c>
      <c r="H34" s="59">
        <f>'Phụ lục số 2'!T32</f>
        <v>357489.34666666656</v>
      </c>
      <c r="I34" s="59">
        <f t="shared" ref="I34:I38" si="28">SUM(J34:K34)</f>
        <v>717399.2</v>
      </c>
      <c r="J34" s="59">
        <f>'Phụ lục số 2'!AA32</f>
        <v>79139.200000000012</v>
      </c>
      <c r="K34" s="59">
        <f>'Phụ lục số 2'!AB32</f>
        <v>638260</v>
      </c>
      <c r="L34" s="14">
        <f>SUM(M34:N34)</f>
        <v>881301.31019487511</v>
      </c>
      <c r="M34" s="14">
        <f>'Phụ lục số 2'!AF32</f>
        <v>565518.00845279661</v>
      </c>
      <c r="N34" s="14">
        <f>'Phụ lục số 2'!AG32</f>
        <v>315783.30174207845</v>
      </c>
      <c r="O34" s="14">
        <f t="shared" ref="O34:O38" si="29">SUM(P34:Q34)</f>
        <v>1235804.6166233711</v>
      </c>
      <c r="P34" s="14">
        <f>'Phụ lục số 2'!AK32</f>
        <v>1038397.953674953</v>
      </c>
      <c r="Q34" s="2120">
        <f>'Phụ lục số 2'!AL32</f>
        <v>197406.66294841812</v>
      </c>
      <c r="R34" s="2102">
        <f t="shared" si="26"/>
        <v>2834505.1268182462</v>
      </c>
      <c r="S34" s="14">
        <f t="shared" si="26"/>
        <v>1683055.1621277495</v>
      </c>
      <c r="T34" s="14">
        <f t="shared" si="26"/>
        <v>1151449.9646904967</v>
      </c>
      <c r="U34" s="14"/>
      <c r="V34" s="14"/>
      <c r="W34" s="14"/>
      <c r="X34" s="14"/>
      <c r="Y34" s="141"/>
      <c r="Z34" s="141"/>
      <c r="AA34" s="14"/>
      <c r="AB34" s="141"/>
      <c r="AC34" s="141"/>
      <c r="AD34" s="14"/>
      <c r="AE34" s="141"/>
      <c r="AF34" s="141"/>
    </row>
    <row r="35" spans="1:32" s="38" customFormat="1" ht="34.799999999999997">
      <c r="A35" s="2109">
        <v>5</v>
      </c>
      <c r="B35" s="208" t="s">
        <v>231</v>
      </c>
      <c r="C35" s="59"/>
      <c r="D35" s="59"/>
      <c r="E35" s="59"/>
      <c r="F35" s="59">
        <f t="shared" si="27"/>
        <v>153209.71999999997</v>
      </c>
      <c r="G35" s="59">
        <f>'Phụ lục số 2'!S33</f>
        <v>0</v>
      </c>
      <c r="H35" s="59">
        <f>'Phụ lục số 2'!T33</f>
        <v>153209.71999999997</v>
      </c>
      <c r="I35" s="59"/>
      <c r="J35" s="59"/>
      <c r="K35" s="59"/>
      <c r="L35" s="14">
        <f>SUM(M35:N35)</f>
        <v>0</v>
      </c>
      <c r="M35" s="14">
        <f>'Phụ lục số 2'!AF33</f>
        <v>0</v>
      </c>
      <c r="N35" s="14">
        <f>'Phụ lục số 2'!AG33</f>
        <v>0</v>
      </c>
      <c r="O35" s="14">
        <f t="shared" si="29"/>
        <v>0</v>
      </c>
      <c r="P35" s="14">
        <f>'Phụ lục số 2'!AK33</f>
        <v>0</v>
      </c>
      <c r="Q35" s="2120">
        <f>'Phụ lục số 2'!AL33</f>
        <v>0</v>
      </c>
      <c r="R35" s="2102">
        <f t="shared" si="26"/>
        <v>0</v>
      </c>
      <c r="S35" s="14">
        <f t="shared" si="26"/>
        <v>0</v>
      </c>
      <c r="T35" s="14">
        <f t="shared" si="26"/>
        <v>0</v>
      </c>
      <c r="U35" s="14"/>
      <c r="V35" s="14"/>
      <c r="W35" s="14"/>
      <c r="X35" s="14"/>
      <c r="Y35" s="141"/>
      <c r="Z35" s="141"/>
      <c r="AA35" s="14"/>
      <c r="AB35" s="141"/>
      <c r="AC35" s="141"/>
      <c r="AD35" s="14"/>
      <c r="AE35" s="141"/>
      <c r="AF35" s="141"/>
    </row>
    <row r="36" spans="1:32" s="38" customFormat="1" ht="17.399999999999999">
      <c r="A36" s="2109">
        <v>6</v>
      </c>
      <c r="B36" s="134" t="s">
        <v>60</v>
      </c>
      <c r="C36" s="59">
        <f t="shared" si="21"/>
        <v>2000</v>
      </c>
      <c r="D36" s="59">
        <f>'Phụ lục số 2'!D29</f>
        <v>2000</v>
      </c>
      <c r="E36" s="59">
        <f>'[24]Phụ lục số 2'!E28</f>
        <v>0</v>
      </c>
      <c r="F36" s="59">
        <f t="shared" si="27"/>
        <v>2000</v>
      </c>
      <c r="G36" s="59">
        <f>'Phụ lục số 2'!S29</f>
        <v>2000</v>
      </c>
      <c r="H36" s="59">
        <f>'Phụ lục số 2'!T29</f>
        <v>0</v>
      </c>
      <c r="I36" s="59">
        <f t="shared" si="28"/>
        <v>2000</v>
      </c>
      <c r="J36" s="59">
        <f>'[24]Phụ lục số 2'!N28</f>
        <v>2000</v>
      </c>
      <c r="K36" s="59">
        <f>'[24]Phụ lục số 2'!O28</f>
        <v>0</v>
      </c>
      <c r="L36" s="14">
        <f t="shared" ref="L36:L44" si="30">SUM(M36:N36)</f>
        <v>2000</v>
      </c>
      <c r="M36" s="14">
        <f>'Phụ lục số 2'!AF29</f>
        <v>2000</v>
      </c>
      <c r="N36" s="14">
        <f>'Phụ lục số 2'!AG29</f>
        <v>0</v>
      </c>
      <c r="O36" s="14">
        <f t="shared" si="29"/>
        <v>2000</v>
      </c>
      <c r="P36" s="14">
        <f>'Phụ lục số 2'!AK29</f>
        <v>2000</v>
      </c>
      <c r="Q36" s="2120">
        <f>'Phụ lục số 2'!AL29</f>
        <v>0</v>
      </c>
      <c r="R36" s="2102">
        <f t="shared" si="26"/>
        <v>6000</v>
      </c>
      <c r="S36" s="14">
        <f t="shared" si="26"/>
        <v>6000</v>
      </c>
      <c r="T36" s="14">
        <f t="shared" si="26"/>
        <v>0</v>
      </c>
      <c r="U36" s="14"/>
      <c r="V36" s="14"/>
      <c r="W36" s="14"/>
      <c r="X36" s="14"/>
      <c r="Y36" s="141">
        <f>Y33/2</f>
        <v>3.999730744416008E-2</v>
      </c>
      <c r="Z36" s="141">
        <f>Z33/2</f>
        <v>0.12137436654380107</v>
      </c>
      <c r="AA36" s="14"/>
      <c r="AB36" s="141">
        <f>AB33/2</f>
        <v>3.9871304162987009E-2</v>
      </c>
      <c r="AC36" s="141">
        <f>AC33/2</f>
        <v>-1.9882896414302076E-2</v>
      </c>
      <c r="AD36" s="14"/>
      <c r="AE36" s="141">
        <f>AE33/2</f>
        <v>9.3760216249788919E-2</v>
      </c>
      <c r="AF36" s="141">
        <f>AF33/2</f>
        <v>-7.5976095008614686E-3</v>
      </c>
    </row>
    <row r="37" spans="1:32" s="38" customFormat="1" ht="17.399999999999999">
      <c r="A37" s="2113">
        <v>7</v>
      </c>
      <c r="B37" s="134" t="s">
        <v>87</v>
      </c>
      <c r="C37" s="59">
        <f t="shared" si="21"/>
        <v>274623</v>
      </c>
      <c r="D37" s="59">
        <f>'Phụ lục số 2'!D30</f>
        <v>135382</v>
      </c>
      <c r="E37" s="59">
        <f>'Phụ lục số 2'!E30</f>
        <v>139241</v>
      </c>
      <c r="F37" s="59">
        <f t="shared" si="27"/>
        <v>274623</v>
      </c>
      <c r="G37" s="59">
        <f>'Phụ lục số 2'!S30</f>
        <v>135382</v>
      </c>
      <c r="H37" s="59">
        <f>'Phụ lục số 2'!T30</f>
        <v>139241</v>
      </c>
      <c r="I37" s="59">
        <f t="shared" si="28"/>
        <v>327868.91231904214</v>
      </c>
      <c r="J37" s="59">
        <f>'Phụ lục số 2'!AA30</f>
        <v>152264.36799999999</v>
      </c>
      <c r="K37" s="59">
        <f>'Phụ lục số 2'!AB30</f>
        <v>175604.54431904212</v>
      </c>
      <c r="L37" s="14">
        <f>SUM(M37:N37)</f>
        <v>347000</v>
      </c>
      <c r="M37" s="14">
        <f>'Phụ lục số 2'!AF30</f>
        <v>171000</v>
      </c>
      <c r="N37" s="14">
        <f>'Phụ lục số 2'!AG30</f>
        <v>176000</v>
      </c>
      <c r="O37" s="14">
        <f>SUM(P37:Q37)</f>
        <v>361000</v>
      </c>
      <c r="P37" s="14">
        <f>'Phụ lục số 2'!AK30</f>
        <v>185000</v>
      </c>
      <c r="Q37" s="2120">
        <f>'Phụ lục số 2'!AL30</f>
        <v>176000</v>
      </c>
      <c r="R37" s="2102">
        <f t="shared" si="26"/>
        <v>1035868.9123190421</v>
      </c>
      <c r="S37" s="14">
        <f t="shared" si="26"/>
        <v>508264.36800000002</v>
      </c>
      <c r="T37" s="14">
        <f t="shared" si="26"/>
        <v>527604.54431904212</v>
      </c>
      <c r="U37" s="14"/>
      <c r="V37" s="14"/>
      <c r="W37" s="14"/>
      <c r="X37" s="142" t="s">
        <v>207</v>
      </c>
      <c r="Y37" s="141">
        <f>1+Y36</f>
        <v>1.03999730744416</v>
      </c>
      <c r="Z37" s="141">
        <f>1+Z36</f>
        <v>1.121374366543801</v>
      </c>
      <c r="AA37" s="142" t="s">
        <v>207</v>
      </c>
      <c r="AB37" s="141">
        <f>1+AB36</f>
        <v>1.039871304162987</v>
      </c>
      <c r="AC37" s="141">
        <f>1+AC36</f>
        <v>0.98011710358569792</v>
      </c>
      <c r="AD37" s="142" t="s">
        <v>207</v>
      </c>
      <c r="AE37" s="141">
        <f>1+AE36</f>
        <v>1.0937602162497888</v>
      </c>
      <c r="AF37" s="141">
        <f>1+AF36</f>
        <v>0.99240239049913859</v>
      </c>
    </row>
    <row r="38" spans="1:32" s="38" customFormat="1" ht="17.399999999999999">
      <c r="A38" s="2113">
        <v>8</v>
      </c>
      <c r="B38" s="134" t="s">
        <v>126</v>
      </c>
      <c r="C38" s="59">
        <f t="shared" si="21"/>
        <v>0</v>
      </c>
      <c r="D38" s="59">
        <f>'Phụ lục số 2'!D34</f>
        <v>0</v>
      </c>
      <c r="E38" s="59">
        <f>'[24]Phụ lục số 2'!E31</f>
        <v>0</v>
      </c>
      <c r="F38" s="59">
        <f t="shared" si="27"/>
        <v>0</v>
      </c>
      <c r="G38" s="59">
        <f>'Phụ lục số 2'!S34</f>
        <v>0</v>
      </c>
      <c r="H38" s="59">
        <f>'Phụ lục số 2'!T34</f>
        <v>0</v>
      </c>
      <c r="I38" s="59">
        <f t="shared" si="28"/>
        <v>3000</v>
      </c>
      <c r="J38" s="59">
        <f>'Phụ lục số 2'!AA34</f>
        <v>3000</v>
      </c>
      <c r="K38" s="59">
        <f>'[24]Phụ lục số 2'!O31</f>
        <v>0</v>
      </c>
      <c r="L38" s="14">
        <f t="shared" si="30"/>
        <v>3000</v>
      </c>
      <c r="M38" s="14">
        <f>'Phụ lục số 2'!AF34</f>
        <v>3000</v>
      </c>
      <c r="N38" s="14">
        <f>'Phụ lục số 2'!AG34</f>
        <v>0</v>
      </c>
      <c r="O38" s="14">
        <f t="shared" si="29"/>
        <v>3000</v>
      </c>
      <c r="P38" s="14">
        <f>'Phụ lục số 2'!AK34</f>
        <v>3000</v>
      </c>
      <c r="Q38" s="2120">
        <f>'Phụ lục số 2'!AL34</f>
        <v>0</v>
      </c>
      <c r="R38" s="2102">
        <f t="shared" si="26"/>
        <v>9000</v>
      </c>
      <c r="S38" s="14">
        <f t="shared" si="26"/>
        <v>9000</v>
      </c>
      <c r="T38" s="14">
        <f t="shared" si="26"/>
        <v>0</v>
      </c>
      <c r="U38" s="14"/>
      <c r="V38" s="14"/>
      <c r="W38" s="14"/>
      <c r="X38" s="14"/>
      <c r="Y38" s="14"/>
      <c r="Z38" s="14"/>
      <c r="AA38" s="14"/>
      <c r="AB38" s="14"/>
      <c r="AC38" s="14"/>
      <c r="AD38" s="14"/>
      <c r="AE38" s="14"/>
      <c r="AF38" s="14"/>
    </row>
    <row r="39" spans="1:32" s="38" customFormat="1" ht="17.399999999999999">
      <c r="A39" s="2109" t="s">
        <v>20</v>
      </c>
      <c r="B39" s="134" t="s">
        <v>1784</v>
      </c>
      <c r="C39" s="59">
        <f>SUM(C40:C42)</f>
        <v>2597007</v>
      </c>
      <c r="D39" s="59">
        <f t="shared" ref="D39:G39" si="31">SUM(D40:D42)</f>
        <v>2597007</v>
      </c>
      <c r="E39" s="59">
        <f t="shared" si="31"/>
        <v>0</v>
      </c>
      <c r="F39" s="59">
        <f t="shared" si="27"/>
        <v>2597007</v>
      </c>
      <c r="G39" s="59">
        <f t="shared" si="31"/>
        <v>2597007</v>
      </c>
      <c r="H39" s="59">
        <f>SUM(H40:H42)</f>
        <v>0</v>
      </c>
      <c r="I39" s="59">
        <f>SUM(J39:K39)</f>
        <v>1988976</v>
      </c>
      <c r="J39" s="59">
        <f>SUM(J40:J41)</f>
        <v>1988976</v>
      </c>
      <c r="K39" s="59">
        <f>SUM(K40:K41)</f>
        <v>0</v>
      </c>
      <c r="L39" s="14">
        <f>SUM(M39:N39)</f>
        <v>2379485.2999999998</v>
      </c>
      <c r="M39" s="14">
        <f>SUM(M40:M41)</f>
        <v>2379485.2999999998</v>
      </c>
      <c r="N39" s="14">
        <f>SUM(N40:N41)</f>
        <v>0</v>
      </c>
      <c r="O39" s="14">
        <f>SUM(P39:Q39)</f>
        <v>2379485.2999999998</v>
      </c>
      <c r="P39" s="14">
        <f>SUM(P40:P41)</f>
        <v>2379485.2999999998</v>
      </c>
      <c r="Q39" s="2120">
        <f>SUM(Q40:Q41)</f>
        <v>0</v>
      </c>
      <c r="R39" s="2102">
        <f>SUM(S39:T39)</f>
        <v>6747946.5999999996</v>
      </c>
      <c r="S39" s="14">
        <f>SUM(S40:S41)</f>
        <v>6747946.5999999996</v>
      </c>
      <c r="T39" s="14">
        <f>SUM(T40:T41)</f>
        <v>0</v>
      </c>
      <c r="U39" s="14"/>
      <c r="V39" s="14"/>
      <c r="W39" s="14"/>
      <c r="X39" s="14"/>
      <c r="Y39" s="14"/>
      <c r="Z39" s="14"/>
      <c r="AA39" s="14"/>
      <c r="AB39" s="14"/>
      <c r="AC39" s="14"/>
      <c r="AD39" s="14"/>
      <c r="AE39" s="14"/>
      <c r="AF39" s="14"/>
    </row>
    <row r="40" spans="1:32" s="20" customFormat="1">
      <c r="A40" s="2110">
        <v>1</v>
      </c>
      <c r="B40" s="78" t="str">
        <f>CĐNSĐP03namBS!B40</f>
        <v>Chi thực hiện mục tiêu, nhiệm vụ quan trọng (vốn đầu tư phát triển)</v>
      </c>
      <c r="C40" s="30">
        <f>SUM(D40:E40)</f>
        <v>2417971</v>
      </c>
      <c r="D40" s="30">
        <f>'Phụ lục số 1'!F56</f>
        <v>2417971</v>
      </c>
      <c r="E40" s="30"/>
      <c r="F40" s="30">
        <f t="shared" si="27"/>
        <v>2417971</v>
      </c>
      <c r="G40" s="30">
        <f>'Phụ lục số 2'!S36</f>
        <v>2417971</v>
      </c>
      <c r="H40" s="30"/>
      <c r="I40" s="30">
        <f>SUM(J40:K40)</f>
        <v>1814491</v>
      </c>
      <c r="J40" s="30">
        <f>'Phụ lục số 2'!AA36</f>
        <v>1814491</v>
      </c>
      <c r="K40" s="30"/>
      <c r="L40" s="13">
        <f>SUM(M40:N40)</f>
        <v>2205000</v>
      </c>
      <c r="M40" s="13">
        <f>'Phụ lục số 2'!AF36</f>
        <v>2205000</v>
      </c>
      <c r="N40" s="13"/>
      <c r="O40" s="13">
        <f>SUM(P40:Q40)</f>
        <v>2205000</v>
      </c>
      <c r="P40" s="13">
        <f>'Phụ lục số 2'!AK36</f>
        <v>2205000</v>
      </c>
      <c r="Q40" s="2119">
        <f>'Phụ lục số 2'!AL36</f>
        <v>0</v>
      </c>
      <c r="R40" s="2103">
        <f>SUM(S40:T40)</f>
        <v>6224491</v>
      </c>
      <c r="S40" s="13">
        <f t="shared" si="26"/>
        <v>6224491</v>
      </c>
      <c r="T40" s="13">
        <f t="shared" si="26"/>
        <v>0</v>
      </c>
      <c r="U40" s="13"/>
      <c r="V40" s="13"/>
      <c r="W40" s="13"/>
      <c r="X40" s="13"/>
      <c r="Y40" s="13"/>
      <c r="Z40" s="13"/>
      <c r="AA40" s="13"/>
      <c r="AB40" s="13"/>
      <c r="AC40" s="13"/>
      <c r="AD40" s="13"/>
      <c r="AE40" s="13"/>
      <c r="AF40" s="13"/>
    </row>
    <row r="41" spans="1:32" s="20" customFormat="1">
      <c r="A41" s="2110">
        <v>2</v>
      </c>
      <c r="B41" s="78" t="str">
        <f>CĐNSĐP03namBS!B41</f>
        <v>Chi thực hiện mục tiêu, nhiệm vụ quan trọng (kinh phí sự nghiệp)</v>
      </c>
      <c r="C41" s="30">
        <f>SUM(D41:E41)</f>
        <v>179036</v>
      </c>
      <c r="D41" s="30">
        <f>'Phụ lục số 1'!F57</f>
        <v>179036</v>
      </c>
      <c r="E41" s="30"/>
      <c r="F41" s="30">
        <f t="shared" ref="F41:F42" si="32">SUM(G41:H41)</f>
        <v>179036</v>
      </c>
      <c r="G41" s="30">
        <f>'Phụ lục số 2'!S37</f>
        <v>179036</v>
      </c>
      <c r="H41" s="30"/>
      <c r="I41" s="30">
        <f>SUM(J41:K41)</f>
        <v>174485</v>
      </c>
      <c r="J41" s="30">
        <f>'Phụ lục số 2'!AA37</f>
        <v>174485</v>
      </c>
      <c r="K41" s="30"/>
      <c r="L41" s="13">
        <f>SUM(M41:N41)</f>
        <v>174485.3</v>
      </c>
      <c r="M41" s="13">
        <f>'Phụ lục số 2'!AF37</f>
        <v>174485.3</v>
      </c>
      <c r="N41" s="13"/>
      <c r="O41" s="13">
        <f>SUM(P41:Q41)</f>
        <v>174485.3</v>
      </c>
      <c r="P41" s="13">
        <f>'Phụ lục số 2'!AK37</f>
        <v>174485.3</v>
      </c>
      <c r="Q41" s="2119">
        <f>'Phụ lục số 2'!AL37</f>
        <v>0</v>
      </c>
      <c r="R41" s="2103">
        <f>SUM(S41:T41)</f>
        <v>523455.6</v>
      </c>
      <c r="S41" s="13">
        <f t="shared" si="26"/>
        <v>523455.6</v>
      </c>
      <c r="T41" s="13">
        <f t="shared" si="26"/>
        <v>0</v>
      </c>
      <c r="U41" s="13"/>
      <c r="V41" s="13"/>
      <c r="W41" s="13"/>
      <c r="X41" s="13"/>
      <c r="Y41" s="13"/>
      <c r="Z41" s="13"/>
      <c r="AA41" s="13"/>
      <c r="AB41" s="13"/>
      <c r="AC41" s="13"/>
      <c r="AD41" s="13"/>
      <c r="AE41" s="13"/>
      <c r="AF41" s="13"/>
    </row>
    <row r="42" spans="1:32" s="20" customFormat="1">
      <c r="A42" s="2110">
        <v>3</v>
      </c>
      <c r="B42" s="78" t="str">
        <f>CĐNSĐP03namBS!B42</f>
        <v>Chi bổ sung có mục tiêu nhiệm vụ quan trọng khác (nếu có)</v>
      </c>
      <c r="C42" s="30"/>
      <c r="D42" s="30"/>
      <c r="E42" s="30"/>
      <c r="F42" s="30">
        <f t="shared" si="32"/>
        <v>0</v>
      </c>
      <c r="G42" s="30"/>
      <c r="H42" s="30"/>
      <c r="I42" s="30"/>
      <c r="J42" s="30"/>
      <c r="K42" s="30"/>
      <c r="L42" s="13">
        <f>SUM(M42:N42)</f>
        <v>0</v>
      </c>
      <c r="M42" s="13"/>
      <c r="N42" s="13"/>
      <c r="O42" s="13">
        <f>SUM(P42:Q42)</f>
        <v>0</v>
      </c>
      <c r="P42" s="13"/>
      <c r="Q42" s="2119"/>
      <c r="R42" s="2103">
        <f t="shared" ref="R42:R43" si="33">SUM(S42:T42)</f>
        <v>0</v>
      </c>
      <c r="S42" s="13">
        <f t="shared" si="26"/>
        <v>0</v>
      </c>
      <c r="T42" s="13"/>
      <c r="U42" s="13"/>
      <c r="V42" s="13"/>
      <c r="W42" s="13"/>
      <c r="X42" s="13"/>
      <c r="Y42" s="13"/>
      <c r="Z42" s="13"/>
      <c r="AA42" s="13"/>
      <c r="AB42" s="13"/>
      <c r="AC42" s="13"/>
      <c r="AD42" s="13"/>
      <c r="AE42" s="13"/>
      <c r="AF42" s="13"/>
    </row>
    <row r="43" spans="1:32" s="38" customFormat="1">
      <c r="A43" s="2109" t="s">
        <v>49</v>
      </c>
      <c r="B43" s="143" t="s">
        <v>133</v>
      </c>
      <c r="C43" s="59">
        <f t="shared" si="21"/>
        <v>31500</v>
      </c>
      <c r="D43" s="59">
        <f>'Phụ lục số 2'!D39</f>
        <v>31500</v>
      </c>
      <c r="E43" s="59">
        <f>'[24]Phụ lục số 2'!E35</f>
        <v>0</v>
      </c>
      <c r="F43" s="59">
        <f t="shared" si="22"/>
        <v>31500</v>
      </c>
      <c r="G43" s="59">
        <f>'Phụ lục số 2'!S39</f>
        <v>31500</v>
      </c>
      <c r="H43" s="59">
        <f>'Phụ lục số 2'!T39</f>
        <v>0</v>
      </c>
      <c r="I43" s="59">
        <f>SUM(J43:K43)</f>
        <v>0</v>
      </c>
      <c r="J43" s="59">
        <f>'Phụ lục số 2'!AA39</f>
        <v>0</v>
      </c>
      <c r="K43" s="59">
        <f>'Phụ lục số 2'!AB39</f>
        <v>0</v>
      </c>
      <c r="L43" s="14">
        <f t="shared" si="30"/>
        <v>0</v>
      </c>
      <c r="M43" s="14">
        <f>'Phụ lục số 2'!AF39</f>
        <v>0</v>
      </c>
      <c r="N43" s="14">
        <f>'Phụ lục số 2'!AG39</f>
        <v>0</v>
      </c>
      <c r="O43" s="14">
        <f t="shared" ref="O43:O44" si="34">SUM(P43:Q43)</f>
        <v>0</v>
      </c>
      <c r="P43" s="14">
        <f>'Phụ lục số 2'!AK39</f>
        <v>0</v>
      </c>
      <c r="Q43" s="2120">
        <f>'Phụ lục số 2'!AL39</f>
        <v>0</v>
      </c>
      <c r="R43" s="2103">
        <f t="shared" si="33"/>
        <v>0</v>
      </c>
      <c r="S43" s="13">
        <f t="shared" si="26"/>
        <v>0</v>
      </c>
      <c r="T43" s="14">
        <f t="shared" si="26"/>
        <v>0</v>
      </c>
      <c r="U43" s="14"/>
      <c r="V43" s="14"/>
      <c r="W43" s="14"/>
      <c r="X43" s="14"/>
      <c r="Y43" s="14"/>
      <c r="Z43" s="14"/>
      <c r="AA43" s="14"/>
      <c r="AB43" s="14"/>
      <c r="AC43" s="14"/>
      <c r="AD43" s="14"/>
      <c r="AE43" s="14"/>
      <c r="AF43" s="14"/>
    </row>
    <row r="44" spans="1:32" s="2" customFormat="1" ht="17.399999999999999">
      <c r="A44" s="2109" t="s">
        <v>50</v>
      </c>
      <c r="B44" s="134" t="s">
        <v>235</v>
      </c>
      <c r="C44" s="59">
        <f t="shared" si="21"/>
        <v>4748721</v>
      </c>
      <c r="D44" s="59">
        <f>E13</f>
        <v>4748721</v>
      </c>
      <c r="E44" s="59"/>
      <c r="F44" s="59">
        <f t="shared" si="22"/>
        <v>4748721</v>
      </c>
      <c r="G44" s="59">
        <f>H13</f>
        <v>4748721</v>
      </c>
      <c r="H44" s="59"/>
      <c r="I44" s="59">
        <f>SUM(J44:K44)</f>
        <v>5083323.3480000002</v>
      </c>
      <c r="J44" s="59">
        <f>K13</f>
        <v>5083323.3480000002</v>
      </c>
      <c r="K44" s="59"/>
      <c r="L44" s="14">
        <f t="shared" si="30"/>
        <v>5083323.3480000002</v>
      </c>
      <c r="M44" s="14">
        <f>N13</f>
        <v>5083323.3480000002</v>
      </c>
      <c r="N44" s="14"/>
      <c r="O44" s="14">
        <f t="shared" si="34"/>
        <v>5083323.3480000002</v>
      </c>
      <c r="P44" s="14">
        <f>Q13</f>
        <v>5083323.3480000002</v>
      </c>
      <c r="Q44" s="2120"/>
      <c r="R44" s="2102">
        <f t="shared" si="26"/>
        <v>15249970.044</v>
      </c>
      <c r="S44" s="14">
        <f t="shared" si="26"/>
        <v>15249970.044</v>
      </c>
      <c r="T44" s="14">
        <f t="shared" si="26"/>
        <v>0</v>
      </c>
      <c r="U44" s="14"/>
      <c r="V44" s="14"/>
      <c r="W44" s="14"/>
      <c r="X44" s="14"/>
      <c r="Y44" s="14"/>
      <c r="Z44" s="14"/>
      <c r="AA44" s="14"/>
      <c r="AB44" s="14"/>
      <c r="AC44" s="14"/>
      <c r="AD44" s="14"/>
      <c r="AE44" s="14"/>
      <c r="AF44" s="14"/>
    </row>
    <row r="45" spans="1:32" ht="18.600000000000001" thickBot="1">
      <c r="A45" s="2114" t="s">
        <v>26</v>
      </c>
      <c r="B45" s="2115" t="s">
        <v>241</v>
      </c>
      <c r="C45" s="2117">
        <f>C5-C21</f>
        <v>0</v>
      </c>
      <c r="D45" s="2117">
        <f>D5-D21</f>
        <v>0</v>
      </c>
      <c r="E45" s="2117">
        <f>E5-E21</f>
        <v>0</v>
      </c>
      <c r="F45" s="2117">
        <f>G45+H45</f>
        <v>-294299.26666666567</v>
      </c>
      <c r="G45" s="2117">
        <f t="shared" ref="G45:P45" si="35">G5-G21</f>
        <v>-294299.26666666567</v>
      </c>
      <c r="H45" s="2117">
        <f t="shared" si="35"/>
        <v>0</v>
      </c>
      <c r="I45" s="2117">
        <f t="shared" si="35"/>
        <v>8.4000002592802048E-2</v>
      </c>
      <c r="J45" s="2117">
        <f>J5-J21</f>
        <v>8.3999998867511749E-2</v>
      </c>
      <c r="K45" s="2117">
        <f t="shared" si="35"/>
        <v>0</v>
      </c>
      <c r="L45" s="2116">
        <f t="shared" si="35"/>
        <v>0.11019487306475639</v>
      </c>
      <c r="M45" s="2116">
        <f t="shared" si="35"/>
        <v>6.0452798381447792E-2</v>
      </c>
      <c r="N45" s="2116">
        <f t="shared" si="35"/>
        <v>4.97420784085989E-2</v>
      </c>
      <c r="O45" s="2116">
        <f t="shared" si="35"/>
        <v>-7.3181752115488052E-2</v>
      </c>
      <c r="P45" s="2116">
        <f t="shared" si="35"/>
        <v>-0.18587224930524826</v>
      </c>
      <c r="Q45" s="2122">
        <f>Q5-Q21</f>
        <v>0.11269049718976021</v>
      </c>
      <c r="R45" s="2105">
        <f t="shared" si="26"/>
        <v>0.12101312354207039</v>
      </c>
      <c r="S45" s="145">
        <f t="shared" si="26"/>
        <v>-4.1419452056288719E-2</v>
      </c>
      <c r="T45" s="145">
        <f t="shared" si="26"/>
        <v>0.16243257559835911</v>
      </c>
      <c r="U45" s="145"/>
      <c r="V45" s="145"/>
      <c r="W45" s="145"/>
      <c r="X45" s="145"/>
      <c r="Y45" s="145"/>
      <c r="Z45" s="145"/>
      <c r="AA45" s="145"/>
      <c r="AB45" s="145"/>
      <c r="AC45" s="145"/>
      <c r="AD45" s="145"/>
      <c r="AE45" s="145"/>
      <c r="AF45" s="145"/>
    </row>
    <row r="46" spans="1:32" ht="18.600000000000001" thickTop="1"/>
    <row r="47" spans="1:32">
      <c r="C47" s="146"/>
      <c r="D47" s="146"/>
      <c r="E47" s="146"/>
      <c r="F47" s="146"/>
      <c r="G47" s="146"/>
      <c r="H47" s="146"/>
      <c r="I47" s="146"/>
      <c r="J47" s="146"/>
      <c r="K47" s="146"/>
      <c r="L47" s="146"/>
      <c r="M47" s="146"/>
      <c r="N47" s="146"/>
      <c r="O47" s="146"/>
      <c r="P47" s="146"/>
      <c r="Q47" s="146"/>
      <c r="R47" s="146"/>
      <c r="S47" s="146"/>
      <c r="T47" s="146"/>
    </row>
    <row r="48" spans="1:32">
      <c r="G48" s="55"/>
      <c r="I48" s="54"/>
    </row>
    <row r="49" spans="1:20">
      <c r="C49" s="34"/>
      <c r="D49" s="34"/>
      <c r="E49" s="34"/>
      <c r="F49" s="34"/>
      <c r="G49" s="34">
        <f>G48-G47</f>
        <v>0</v>
      </c>
      <c r="H49" s="34"/>
      <c r="I49" s="34"/>
      <c r="J49" s="34"/>
      <c r="K49" s="34"/>
      <c r="L49" s="34"/>
      <c r="M49" s="34"/>
      <c r="N49" s="34"/>
      <c r="O49" s="34"/>
      <c r="P49" s="34"/>
      <c r="Q49" s="34"/>
      <c r="R49" s="34"/>
      <c r="S49" s="34"/>
      <c r="T49" s="34"/>
    </row>
    <row r="50" spans="1:20">
      <c r="A50" s="38" t="s">
        <v>130</v>
      </c>
      <c r="B50" s="37" t="s">
        <v>211</v>
      </c>
      <c r="I50" s="160">
        <f>I51+C5</f>
        <v>22349646</v>
      </c>
      <c r="J50" s="54">
        <f>J12-D12</f>
        <v>-137800</v>
      </c>
      <c r="K50" s="54">
        <f>K12-E12</f>
        <v>698730</v>
      </c>
      <c r="L50" s="54">
        <f>M50+N50</f>
        <v>827469.22038975079</v>
      </c>
      <c r="M50" s="54">
        <f>M12-J12</f>
        <v>902349.21690559387</v>
      </c>
      <c r="N50" s="54">
        <f>N12-K12</f>
        <v>-74879.996515843086</v>
      </c>
      <c r="R50" s="35"/>
    </row>
    <row r="51" spans="1:20">
      <c r="A51" s="20">
        <v>1</v>
      </c>
      <c r="B51" s="37" t="s">
        <v>212</v>
      </c>
      <c r="F51" s="54">
        <f>SUM(G51:H51)</f>
        <v>746399.79999999981</v>
      </c>
      <c r="G51" s="54">
        <f>G8-D8</f>
        <v>55700.733333333395</v>
      </c>
      <c r="H51" s="54">
        <f>H8-E8</f>
        <v>690699.06666666642</v>
      </c>
      <c r="I51" s="54">
        <f>SUM(J51:K51)</f>
        <v>1780930</v>
      </c>
      <c r="J51" s="54">
        <f>J8-D8</f>
        <v>739200</v>
      </c>
      <c r="K51" s="54">
        <f>K8-E8</f>
        <v>1041730</v>
      </c>
      <c r="L51" s="214">
        <f>SUM(M51:N51)</f>
        <v>629469.22038975032</v>
      </c>
      <c r="M51" s="214">
        <f>M8-J8</f>
        <v>1072448.9626683053</v>
      </c>
      <c r="N51" s="214">
        <f>N8-K8</f>
        <v>-442979.74227855494</v>
      </c>
      <c r="O51" s="214">
        <f>SUM(P51:Q51)</f>
        <v>796601.01285699196</v>
      </c>
      <c r="P51" s="214">
        <f>P8-M8</f>
        <v>553800.87773244828</v>
      </c>
      <c r="Q51" s="214">
        <f>Q8-N8</f>
        <v>242800.13512454368</v>
      </c>
      <c r="R51" s="35"/>
    </row>
    <row r="52" spans="1:20">
      <c r="A52" s="20">
        <v>2</v>
      </c>
      <c r="B52" s="37" t="s">
        <v>213</v>
      </c>
      <c r="F52" s="54">
        <f>SUM(G52:H52)</f>
        <v>530000</v>
      </c>
      <c r="G52" s="54">
        <f>SUM(G9:G11)-SUM(D9:D11)</f>
        <v>350000</v>
      </c>
      <c r="H52" s="54">
        <f>SUM(H9:H11)-SUM(E9:E11)</f>
        <v>180000</v>
      </c>
      <c r="I52" s="54">
        <f t="shared" ref="I52" si="36">SUM(J52:K52)</f>
        <v>1220000</v>
      </c>
      <c r="J52" s="147">
        <f>SUM(J9:J11)-SUM(D9:D11)</f>
        <v>877000</v>
      </c>
      <c r="K52" s="147">
        <f>SUM(K9:K11)-SUM(E9:E11)</f>
        <v>343000</v>
      </c>
      <c r="L52" s="214">
        <f t="shared" ref="L52" si="37">SUM(M52:N52)</f>
        <v>-198000</v>
      </c>
      <c r="M52" s="214">
        <f>SUM(M9:M11)-SUM(J9:J11)</f>
        <v>170099.74576271186</v>
      </c>
      <c r="N52" s="214">
        <f>SUM(N9:N11)-SUM(K9:K11)</f>
        <v>-368099.74576271186</v>
      </c>
      <c r="O52" s="214">
        <f>SUM(P52:Q52)</f>
        <v>237999.99999999988</v>
      </c>
      <c r="P52" s="214">
        <f>SUM(P9:P11)-SUM(M9:M11)</f>
        <v>199299.98728813557</v>
      </c>
      <c r="Q52" s="214">
        <f>SUM(Q9:Q11)-SUM(N9:N11)</f>
        <v>38700.012711864314</v>
      </c>
    </row>
    <row r="53" spans="1:20">
      <c r="A53" s="20">
        <v>3</v>
      </c>
      <c r="B53" s="37" t="s">
        <v>214</v>
      </c>
      <c r="F53" s="54">
        <f>SUM(G53:H53)</f>
        <v>216399.79999999981</v>
      </c>
      <c r="G53" s="54">
        <f>G51-G52</f>
        <v>-294299.2666666666</v>
      </c>
      <c r="H53" s="54">
        <f>H51-H52</f>
        <v>510699.06666666642</v>
      </c>
      <c r="I53" s="54">
        <f>SUM(J53:K53)</f>
        <v>560930</v>
      </c>
      <c r="J53" s="54">
        <f>J51-J52</f>
        <v>-137800</v>
      </c>
      <c r="K53" s="54">
        <f>K51-K52</f>
        <v>698730</v>
      </c>
      <c r="L53" s="214">
        <f>L51-L52</f>
        <v>827469.22038975032</v>
      </c>
      <c r="M53" s="214">
        <f>M51-M52</f>
        <v>902349.21690559341</v>
      </c>
      <c r="N53" s="214">
        <f>N51-N52</f>
        <v>-74879.996515843086</v>
      </c>
      <c r="O53" s="214">
        <f t="shared" ref="O53:O55" si="38">SUM(P53:Q53)</f>
        <v>558601.01285699208</v>
      </c>
      <c r="P53" s="214">
        <f>P51-P52</f>
        <v>354500.89044431271</v>
      </c>
      <c r="Q53" s="214">
        <f>Q51-Q52</f>
        <v>204100.12241267937</v>
      </c>
    </row>
    <row r="54" spans="1:20" s="149" customFormat="1" ht="36">
      <c r="A54" s="148">
        <v>4</v>
      </c>
      <c r="B54" s="149" t="s">
        <v>215</v>
      </c>
      <c r="F54" s="150">
        <f>SUM(G54:H54)</f>
        <v>210339.71333333314</v>
      </c>
      <c r="G54" s="150">
        <f>G53*50%</f>
        <v>-147149.6333333333</v>
      </c>
      <c r="H54" s="150">
        <f>H53*70%</f>
        <v>357489.34666666645</v>
      </c>
      <c r="I54" s="150">
        <f>SUM(J54:K54)</f>
        <v>280465</v>
      </c>
      <c r="J54" s="150">
        <f>J53*50%</f>
        <v>-68900</v>
      </c>
      <c r="K54" s="150">
        <f>K53*50%</f>
        <v>349365</v>
      </c>
      <c r="L54" s="215">
        <f>SUM(M54:N54)</f>
        <v>413734.61019487516</v>
      </c>
      <c r="M54" s="215">
        <f>M53*50%</f>
        <v>451174.6084527967</v>
      </c>
      <c r="N54" s="215">
        <f>N53*50%</f>
        <v>-37439.998257921543</v>
      </c>
      <c r="O54" s="215">
        <f t="shared" si="38"/>
        <v>279300.50642849604</v>
      </c>
      <c r="P54" s="215">
        <f>P53*50%</f>
        <v>177250.44522215636</v>
      </c>
      <c r="Q54" s="215">
        <f>Q53*50%</f>
        <v>102050.06120633968</v>
      </c>
    </row>
    <row r="55" spans="1:20" s="154" customFormat="1">
      <c r="A55" s="152">
        <v>5</v>
      </c>
      <c r="B55" s="153" t="s">
        <v>216</v>
      </c>
      <c r="F55" s="155">
        <f>SUM(G55:H55)</f>
        <v>6060.0866666666698</v>
      </c>
      <c r="G55" s="155">
        <f>G53-G54</f>
        <v>-147149.6333333333</v>
      </c>
      <c r="H55" s="155">
        <f>H53-H54</f>
        <v>153209.71999999997</v>
      </c>
      <c r="I55" s="156">
        <f>I53-I54</f>
        <v>280465</v>
      </c>
      <c r="J55" s="156">
        <f t="shared" ref="J55:K55" si="39">J53-J54</f>
        <v>-68900</v>
      </c>
      <c r="K55" s="156">
        <f t="shared" si="39"/>
        <v>349365</v>
      </c>
      <c r="L55" s="215">
        <f>SUM(M55:N55)</f>
        <v>413734.61019487516</v>
      </c>
      <c r="M55" s="1831">
        <f>M53-M54</f>
        <v>451174.6084527967</v>
      </c>
      <c r="N55" s="1831">
        <f>N53-N54</f>
        <v>-37439.998257921543</v>
      </c>
      <c r="O55" s="215">
        <f t="shared" si="38"/>
        <v>279300.50642849604</v>
      </c>
      <c r="P55" s="215">
        <f>P53-P54</f>
        <v>177250.44522215636</v>
      </c>
      <c r="Q55" s="215">
        <f t="shared" ref="Q55" si="40">Q53-Q54</f>
        <v>102050.06120633968</v>
      </c>
    </row>
    <row r="56" spans="1:20">
      <c r="A56" s="38" t="s">
        <v>217</v>
      </c>
      <c r="B56" s="37" t="s">
        <v>218</v>
      </c>
      <c r="F56" s="54"/>
      <c r="H56" s="54"/>
    </row>
    <row r="57" spans="1:20">
      <c r="A57" s="20">
        <v>1</v>
      </c>
      <c r="B57" s="37" t="s">
        <v>219</v>
      </c>
      <c r="F57" s="54"/>
      <c r="I57" s="36">
        <f>I7/C7</f>
        <v>1.182417505439241</v>
      </c>
      <c r="J57" s="36">
        <f>J7/D7</f>
        <v>1.0799946148883202</v>
      </c>
      <c r="K57" s="36">
        <f>K7/E7</f>
        <v>1.2427487330876021</v>
      </c>
      <c r="L57" s="36">
        <f>L7/I7</f>
        <v>1.0006973257476495</v>
      </c>
      <c r="M57" s="36">
        <f>M7/J7</f>
        <v>1.079742608325974</v>
      </c>
      <c r="N57" s="36">
        <f>N7/K7</f>
        <v>0.96023420717139585</v>
      </c>
      <c r="O57" s="36">
        <f>O7/L7</f>
        <v>1.0588617097791231</v>
      </c>
      <c r="P57" s="36">
        <f t="shared" ref="P57:Q57" si="41">P7/M7</f>
        <v>1.1875204324995778</v>
      </c>
      <c r="Q57" s="36">
        <f t="shared" si="41"/>
        <v>0.98480478099827706</v>
      </c>
    </row>
    <row r="58" spans="1:20">
      <c r="I58" s="36">
        <f t="shared" ref="I58:Q58" si="42">I57-1</f>
        <v>0.18241750543924096</v>
      </c>
      <c r="J58" s="36">
        <f>J57-1</f>
        <v>7.9994614888320159E-2</v>
      </c>
      <c r="K58" s="36">
        <f>K57-1</f>
        <v>0.24274873308760214</v>
      </c>
      <c r="L58" s="36">
        <f>L57-1</f>
        <v>6.9732574764946875E-4</v>
      </c>
      <c r="M58" s="36">
        <f>M57-1</f>
        <v>7.9742608325974018E-2</v>
      </c>
      <c r="N58" s="36">
        <f>N57-1</f>
        <v>-3.9765792828604152E-2</v>
      </c>
      <c r="O58" s="36">
        <f t="shared" si="42"/>
        <v>5.8861709779123084E-2</v>
      </c>
      <c r="P58" s="36">
        <f t="shared" si="42"/>
        <v>0.18752043249957784</v>
      </c>
      <c r="Q58" s="36">
        <f t="shared" si="42"/>
        <v>-1.5195219001722937E-2</v>
      </c>
    </row>
    <row r="59" spans="1:20">
      <c r="A59" s="20">
        <v>2</v>
      </c>
      <c r="B59" s="37" t="s">
        <v>220</v>
      </c>
      <c r="I59" s="36">
        <f t="shared" ref="I59:Q59" si="43">I58/2</f>
        <v>9.1208752719620478E-2</v>
      </c>
      <c r="J59" s="36">
        <f t="shared" si="43"/>
        <v>3.999730744416008E-2</v>
      </c>
      <c r="K59" s="36">
        <f t="shared" si="43"/>
        <v>0.12137436654380107</v>
      </c>
      <c r="L59" s="36">
        <f t="shared" si="43"/>
        <v>3.4866287382473438E-4</v>
      </c>
      <c r="M59" s="36">
        <f>M58/2</f>
        <v>3.9871304162987009E-2</v>
      </c>
      <c r="N59" s="36">
        <f t="shared" si="43"/>
        <v>-1.9882896414302076E-2</v>
      </c>
      <c r="O59" s="36">
        <f t="shared" si="43"/>
        <v>2.9430854889561542E-2</v>
      </c>
      <c r="P59" s="36">
        <f t="shared" si="43"/>
        <v>9.3760216249788919E-2</v>
      </c>
      <c r="Q59" s="36">
        <f t="shared" si="43"/>
        <v>-7.5976095008614686E-3</v>
      </c>
    </row>
    <row r="60" spans="1:20">
      <c r="A60" s="20">
        <v>3</v>
      </c>
      <c r="B60" s="37" t="s">
        <v>221</v>
      </c>
      <c r="I60" s="157">
        <f>1+I59</f>
        <v>1.0912087527196204</v>
      </c>
      <c r="J60" s="218">
        <f>1+J59</f>
        <v>1.03999730744416</v>
      </c>
      <c r="K60" s="218">
        <f>1+K59</f>
        <v>1.121374366543801</v>
      </c>
      <c r="L60" s="36">
        <f t="shared" ref="L60:Q60" si="44">1+L59</f>
        <v>1.0003486628738247</v>
      </c>
      <c r="M60" s="36">
        <f>1+M59</f>
        <v>1.039871304162987</v>
      </c>
      <c r="N60" s="36">
        <f t="shared" si="44"/>
        <v>0.98011710358569792</v>
      </c>
      <c r="O60" s="36">
        <f t="shared" si="44"/>
        <v>1.0294308548895614</v>
      </c>
      <c r="P60" s="36">
        <f t="shared" si="44"/>
        <v>1.0937602162497888</v>
      </c>
      <c r="Q60" s="36">
        <f t="shared" si="44"/>
        <v>0.99240239049913859</v>
      </c>
    </row>
    <row r="61" spans="1:20">
      <c r="I61" s="35"/>
    </row>
    <row r="62" spans="1:20">
      <c r="I62" s="1827">
        <f>SUM(J62:K62)</f>
        <v>16699041</v>
      </c>
      <c r="J62" s="54">
        <f>J12+J14+J19</f>
        <v>8586038</v>
      </c>
      <c r="K62" s="54">
        <f>K12+K14+K19</f>
        <v>8113003</v>
      </c>
      <c r="L62" s="1827">
        <f>SUM(M62:N62)</f>
        <v>17357909.420389749</v>
      </c>
      <c r="M62" s="54">
        <f>M12+M14+M19</f>
        <v>9567526.4169055931</v>
      </c>
      <c r="N62" s="54">
        <f>N12+N14+N19</f>
        <v>7790383.0034841569</v>
      </c>
      <c r="O62" s="1827">
        <f>SUM(P62:Q62)</f>
        <v>18080412.543441616</v>
      </c>
      <c r="P62" s="54">
        <f>P12+P14+P19</f>
        <v>10408406.115802703</v>
      </c>
      <c r="Q62" s="54">
        <f>Q12+Q14+Q19</f>
        <v>7672006.4276389144</v>
      </c>
    </row>
    <row r="63" spans="1:20">
      <c r="M63" s="37">
        <f>M62/J62</f>
        <v>1.1143121445427557</v>
      </c>
      <c r="N63" s="37">
        <f>N62/K62</f>
        <v>0.96023420717139596</v>
      </c>
      <c r="P63" s="37">
        <f>P62/M62</f>
        <v>1.087888934114809</v>
      </c>
      <c r="Q63" s="37">
        <f>Q62/N62</f>
        <v>0.98480478099827695</v>
      </c>
    </row>
    <row r="64" spans="1:20">
      <c r="M64" s="37">
        <f>M63-1</f>
        <v>0.11431214454275573</v>
      </c>
      <c r="N64" s="37">
        <f>N63-1</f>
        <v>-3.9765792828604041E-2</v>
      </c>
      <c r="P64" s="37">
        <f>P63-1</f>
        <v>8.7888934114809025E-2</v>
      </c>
      <c r="Q64" s="37">
        <f>Q63-1</f>
        <v>-1.5195219001723048E-2</v>
      </c>
    </row>
    <row r="65" spans="2:17">
      <c r="I65" s="54"/>
      <c r="M65" s="37">
        <f>M64/2</f>
        <v>5.7156072271377867E-2</v>
      </c>
      <c r="N65" s="37">
        <f>N64/2</f>
        <v>-1.988289641430202E-2</v>
      </c>
      <c r="P65" s="37">
        <f>P64/2</f>
        <v>4.3944467057404513E-2</v>
      </c>
      <c r="Q65" s="37">
        <f>Q64/2</f>
        <v>-7.5976095008615241E-3</v>
      </c>
    </row>
    <row r="66" spans="2:17">
      <c r="I66" s="54"/>
      <c r="L66" s="54"/>
      <c r="M66" s="37">
        <f>1+M65</f>
        <v>1.0571560722713778</v>
      </c>
      <c r="N66" s="37">
        <f>1+N65</f>
        <v>0.98011710358569792</v>
      </c>
      <c r="O66" s="54"/>
      <c r="P66" s="37">
        <f>1+P65</f>
        <v>1.0439444670574045</v>
      </c>
      <c r="Q66" s="37">
        <f>1+Q65</f>
        <v>0.99240239049913848</v>
      </c>
    </row>
    <row r="68" spans="2:17">
      <c r="B68" s="37" t="s">
        <v>227</v>
      </c>
    </row>
  </sheetData>
  <mergeCells count="14">
    <mergeCell ref="A1:K1"/>
    <mergeCell ref="I2:K2"/>
    <mergeCell ref="A3:A4"/>
    <mergeCell ref="B3:B4"/>
    <mergeCell ref="C3:E3"/>
    <mergeCell ref="F3:H3"/>
    <mergeCell ref="I3:K3"/>
    <mergeCell ref="AD3:AF3"/>
    <mergeCell ref="L3:N3"/>
    <mergeCell ref="O3:Q3"/>
    <mergeCell ref="R3:T3"/>
    <mergeCell ref="U3:W3"/>
    <mergeCell ref="X3:Z3"/>
    <mergeCell ref="AA3:AC3"/>
  </mergeCells>
  <hyperlinks>
    <hyperlink ref="A3:A4" location="'List danh mục'!A1" display="TT"/>
  </hyperlinks>
  <printOptions horizontalCentered="1"/>
  <pageMargins left="0" right="0" top="0.39370078740157483" bottom="0" header="0.11811023622047245" footer="0.11811023622047245"/>
  <pageSetup paperSize="9" scale="65" orientation="landscape" r:id="rId1"/>
  <headerFooter alignWithMargins="0">
    <oddHeader>&amp;R&amp;11&amp;A</oddHeader>
    <oddFooter>&amp;C&amp;11&amp;P/&amp;N</oddFooter>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499984740745262"/>
  </sheetPr>
  <dimension ref="A1:Q196"/>
  <sheetViews>
    <sheetView tabSelected="1" workbookViewId="0">
      <selection activeCell="A2" sqref="A2:Q2"/>
    </sheetView>
  </sheetViews>
  <sheetFormatPr defaultColWidth="9" defaultRowHeight="15.6"/>
  <cols>
    <col min="1" max="1" width="4.19921875" style="245" customWidth="1"/>
    <col min="2" max="2" width="15.5" style="245" customWidth="1"/>
    <col min="3" max="3" width="6.5" style="245" customWidth="1"/>
    <col min="4" max="4" width="7" style="245" customWidth="1"/>
    <col min="5" max="5" width="7.19921875" style="245" customWidth="1"/>
    <col min="6" max="9" width="8.09765625" style="245" customWidth="1"/>
    <col min="10" max="10" width="7.19921875" style="245" customWidth="1"/>
    <col min="11" max="11" width="8.09765625" style="245" customWidth="1"/>
    <col min="12" max="12" width="8.5" style="245" customWidth="1"/>
    <col min="13" max="13" width="7.5" style="245" customWidth="1"/>
    <col min="14" max="15" width="8.09765625" style="245" customWidth="1"/>
    <col min="16" max="17" width="7.5" style="245" customWidth="1"/>
    <col min="18" max="16384" width="9" style="245"/>
  </cols>
  <sheetData>
    <row r="1" spans="1:17">
      <c r="A1" s="4500" t="s">
        <v>2823</v>
      </c>
      <c r="B1" s="4333"/>
      <c r="C1" s="4333"/>
      <c r="D1" s="4333"/>
      <c r="E1" s="4333"/>
      <c r="F1" s="4333"/>
      <c r="G1" s="4333"/>
      <c r="H1" s="4333"/>
      <c r="I1" s="4333"/>
      <c r="J1" s="4333"/>
      <c r="K1" s="4333"/>
      <c r="L1" s="4333"/>
      <c r="M1" s="4333"/>
      <c r="N1" s="4333"/>
      <c r="O1" s="4333"/>
      <c r="P1" s="4333"/>
      <c r="Q1" s="4333"/>
    </row>
    <row r="2" spans="1:17">
      <c r="A2" s="4498" t="s">
        <v>3708</v>
      </c>
      <c r="B2" s="4499"/>
      <c r="C2" s="4499"/>
      <c r="D2" s="4499"/>
      <c r="E2" s="4499"/>
      <c r="F2" s="4499"/>
      <c r="G2" s="4499"/>
      <c r="H2" s="4499"/>
      <c r="I2" s="4499"/>
      <c r="J2" s="4499"/>
      <c r="K2" s="4499"/>
      <c r="L2" s="4499"/>
      <c r="M2" s="4499"/>
      <c r="N2" s="4499"/>
      <c r="O2" s="4499"/>
      <c r="P2" s="4499"/>
      <c r="Q2" s="4499"/>
    </row>
    <row r="3" spans="1:17">
      <c r="P3" s="4501" t="s">
        <v>2081</v>
      </c>
      <c r="Q3" s="4501"/>
    </row>
    <row r="4" spans="1:17" s="248" customFormat="1">
      <c r="A4" s="4277" t="s">
        <v>1370</v>
      </c>
      <c r="B4" s="4334" t="s">
        <v>2082</v>
      </c>
      <c r="C4" s="4453" t="s">
        <v>2083</v>
      </c>
      <c r="D4" s="4454"/>
      <c r="E4" s="4454"/>
      <c r="F4" s="4454"/>
      <c r="G4" s="4454"/>
      <c r="H4" s="4454"/>
      <c r="I4" s="4454"/>
      <c r="J4" s="4454"/>
      <c r="K4" s="4454"/>
      <c r="L4" s="4454"/>
      <c r="M4" s="4454"/>
      <c r="N4" s="4454"/>
      <c r="O4" s="4454"/>
      <c r="P4" s="4454"/>
      <c r="Q4" s="4455"/>
    </row>
    <row r="5" spans="1:17" s="248" customFormat="1" ht="27.15" customHeight="1">
      <c r="A5" s="4277"/>
      <c r="B5" s="4334"/>
      <c r="C5" s="4502" t="s">
        <v>352</v>
      </c>
      <c r="D5" s="4503"/>
      <c r="E5" s="4503"/>
      <c r="F5" s="4503"/>
      <c r="G5" s="4504"/>
      <c r="H5" s="4334" t="s">
        <v>2084</v>
      </c>
      <c r="I5" s="4334" t="s">
        <v>97</v>
      </c>
      <c r="J5" s="4334" t="s">
        <v>2085</v>
      </c>
      <c r="K5" s="4334" t="s">
        <v>354</v>
      </c>
      <c r="L5" s="4334" t="s">
        <v>271</v>
      </c>
      <c r="M5" s="4334" t="s">
        <v>2086</v>
      </c>
      <c r="N5" s="4423" t="s">
        <v>2087</v>
      </c>
      <c r="O5" s="4334" t="s">
        <v>2088</v>
      </c>
      <c r="P5" s="4495" t="s">
        <v>2089</v>
      </c>
      <c r="Q5" s="4334" t="s">
        <v>2042</v>
      </c>
    </row>
    <row r="6" spans="1:17" s="256" customFormat="1" ht="103.5" customHeight="1">
      <c r="A6" s="4277"/>
      <c r="B6" s="4334"/>
      <c r="C6" s="249" t="s">
        <v>2090</v>
      </c>
      <c r="D6" s="249" t="s">
        <v>2091</v>
      </c>
      <c r="E6" s="249" t="s">
        <v>14</v>
      </c>
      <c r="F6" s="249" t="s">
        <v>2092</v>
      </c>
      <c r="G6" s="249" t="s">
        <v>2093</v>
      </c>
      <c r="H6" s="4334"/>
      <c r="I6" s="4334"/>
      <c r="J6" s="4334"/>
      <c r="K6" s="4334"/>
      <c r="L6" s="4334"/>
      <c r="M6" s="4334"/>
      <c r="N6" s="4230"/>
      <c r="O6" s="4334"/>
      <c r="P6" s="4495"/>
      <c r="Q6" s="4334"/>
    </row>
    <row r="7" spans="1:17" ht="20.100000000000001" customHeight="1">
      <c r="A7" s="2171">
        <v>1</v>
      </c>
      <c r="B7" s="2172" t="s">
        <v>1850</v>
      </c>
      <c r="C7" s="2173">
        <v>1</v>
      </c>
      <c r="D7" s="2173">
        <v>1</v>
      </c>
      <c r="E7" s="2173">
        <v>0</v>
      </c>
      <c r="F7" s="2173">
        <v>0</v>
      </c>
      <c r="G7" s="2173">
        <v>1</v>
      </c>
      <c r="H7" s="2173">
        <v>1</v>
      </c>
      <c r="I7" s="2173">
        <v>1</v>
      </c>
      <c r="J7" s="2173">
        <v>1</v>
      </c>
      <c r="K7" s="2173">
        <v>0</v>
      </c>
      <c r="L7" s="2173">
        <v>0</v>
      </c>
      <c r="M7" s="2173">
        <v>1</v>
      </c>
      <c r="N7" s="2173">
        <v>1</v>
      </c>
      <c r="O7" s="2173">
        <v>1</v>
      </c>
      <c r="P7" s="2173">
        <v>1</v>
      </c>
      <c r="Q7" s="2173">
        <v>0</v>
      </c>
    </row>
    <row r="8" spans="1:17" ht="20.100000000000001" customHeight="1">
      <c r="A8" s="809">
        <v>2</v>
      </c>
      <c r="B8" s="1211" t="s">
        <v>333</v>
      </c>
      <c r="C8" s="2174">
        <v>1</v>
      </c>
      <c r="D8" s="2174">
        <v>1</v>
      </c>
      <c r="E8" s="2174">
        <v>0</v>
      </c>
      <c r="F8" s="2174">
        <v>0</v>
      </c>
      <c r="G8" s="2174">
        <v>1</v>
      </c>
      <c r="H8" s="2174">
        <v>1</v>
      </c>
      <c r="I8" s="2174">
        <v>1</v>
      </c>
      <c r="J8" s="2174">
        <v>1</v>
      </c>
      <c r="K8" s="2174">
        <v>0</v>
      </c>
      <c r="L8" s="2174">
        <v>0</v>
      </c>
      <c r="M8" s="2174">
        <v>1</v>
      </c>
      <c r="N8" s="2174">
        <v>1</v>
      </c>
      <c r="O8" s="2174">
        <v>1</v>
      </c>
      <c r="P8" s="2174">
        <v>1</v>
      </c>
      <c r="Q8" s="2174">
        <v>0</v>
      </c>
    </row>
    <row r="9" spans="1:17" ht="20.100000000000001" customHeight="1">
      <c r="A9" s="809">
        <v>3</v>
      </c>
      <c r="B9" s="1211" t="s">
        <v>1853</v>
      </c>
      <c r="C9" s="2174">
        <v>1</v>
      </c>
      <c r="D9" s="2174">
        <v>1</v>
      </c>
      <c r="E9" s="2174">
        <v>0</v>
      </c>
      <c r="F9" s="2174">
        <v>0</v>
      </c>
      <c r="G9" s="2174">
        <v>1</v>
      </c>
      <c r="H9" s="2174">
        <v>1</v>
      </c>
      <c r="I9" s="2174">
        <v>1</v>
      </c>
      <c r="J9" s="2174">
        <v>1</v>
      </c>
      <c r="K9" s="2174">
        <v>0</v>
      </c>
      <c r="L9" s="2174">
        <v>0</v>
      </c>
      <c r="M9" s="2174">
        <v>1</v>
      </c>
      <c r="N9" s="2174">
        <v>1</v>
      </c>
      <c r="O9" s="2174">
        <v>1</v>
      </c>
      <c r="P9" s="2174">
        <v>1</v>
      </c>
      <c r="Q9" s="2174">
        <v>0</v>
      </c>
    </row>
    <row r="10" spans="1:17" ht="20.100000000000001" customHeight="1">
      <c r="A10" s="809">
        <v>4</v>
      </c>
      <c r="B10" s="1211" t="s">
        <v>1854</v>
      </c>
      <c r="C10" s="2174">
        <v>1</v>
      </c>
      <c r="D10" s="2174">
        <v>1</v>
      </c>
      <c r="E10" s="2174">
        <v>0</v>
      </c>
      <c r="F10" s="2174">
        <v>0</v>
      </c>
      <c r="G10" s="2174">
        <v>1</v>
      </c>
      <c r="H10" s="2174">
        <v>1</v>
      </c>
      <c r="I10" s="2174">
        <v>1</v>
      </c>
      <c r="J10" s="2174">
        <v>1</v>
      </c>
      <c r="K10" s="2174">
        <v>0</v>
      </c>
      <c r="L10" s="2174">
        <v>0</v>
      </c>
      <c r="M10" s="2174">
        <v>1</v>
      </c>
      <c r="N10" s="2174">
        <v>1</v>
      </c>
      <c r="O10" s="2174">
        <v>1</v>
      </c>
      <c r="P10" s="2174">
        <v>1</v>
      </c>
      <c r="Q10" s="2174">
        <v>0</v>
      </c>
    </row>
    <row r="11" spans="1:17" ht="20.100000000000001" customHeight="1">
      <c r="A11" s="809">
        <v>5</v>
      </c>
      <c r="B11" s="1211" t="s">
        <v>1855</v>
      </c>
      <c r="C11" s="2174">
        <v>1</v>
      </c>
      <c r="D11" s="2174">
        <v>1</v>
      </c>
      <c r="E11" s="2174">
        <v>0</v>
      </c>
      <c r="F11" s="2174">
        <v>0</v>
      </c>
      <c r="G11" s="2174">
        <v>1</v>
      </c>
      <c r="H11" s="2174">
        <v>1</v>
      </c>
      <c r="I11" s="2174">
        <v>1</v>
      </c>
      <c r="J11" s="2174">
        <v>1</v>
      </c>
      <c r="K11" s="2174">
        <v>0</v>
      </c>
      <c r="L11" s="2174">
        <v>0</v>
      </c>
      <c r="M11" s="2174">
        <v>1</v>
      </c>
      <c r="N11" s="2174">
        <v>1</v>
      </c>
      <c r="O11" s="2174">
        <v>1</v>
      </c>
      <c r="P11" s="2174">
        <v>1</v>
      </c>
      <c r="Q11" s="2174">
        <v>0</v>
      </c>
    </row>
    <row r="12" spans="1:17" ht="20.100000000000001" customHeight="1">
      <c r="A12" s="809">
        <v>6</v>
      </c>
      <c r="B12" s="1211" t="s">
        <v>334</v>
      </c>
      <c r="C12" s="2174">
        <v>1</v>
      </c>
      <c r="D12" s="2174">
        <v>1</v>
      </c>
      <c r="E12" s="2174">
        <v>0</v>
      </c>
      <c r="F12" s="2174">
        <v>0</v>
      </c>
      <c r="G12" s="2174">
        <v>1</v>
      </c>
      <c r="H12" s="2174">
        <v>1</v>
      </c>
      <c r="I12" s="2174">
        <v>1</v>
      </c>
      <c r="J12" s="2174">
        <v>1</v>
      </c>
      <c r="K12" s="2174">
        <v>0</v>
      </c>
      <c r="L12" s="2174">
        <v>0</v>
      </c>
      <c r="M12" s="2174">
        <v>1</v>
      </c>
      <c r="N12" s="2174">
        <v>1</v>
      </c>
      <c r="O12" s="2174">
        <v>1</v>
      </c>
      <c r="P12" s="2174">
        <v>1</v>
      </c>
      <c r="Q12" s="2174">
        <v>0</v>
      </c>
    </row>
    <row r="13" spans="1:17" ht="20.100000000000001" customHeight="1">
      <c r="A13" s="809">
        <v>7</v>
      </c>
      <c r="B13" s="1211" t="s">
        <v>1856</v>
      </c>
      <c r="C13" s="2174">
        <v>1</v>
      </c>
      <c r="D13" s="2174">
        <v>1</v>
      </c>
      <c r="E13" s="2174">
        <v>0</v>
      </c>
      <c r="F13" s="2174">
        <v>0</v>
      </c>
      <c r="G13" s="2174">
        <v>1</v>
      </c>
      <c r="H13" s="2174">
        <v>1</v>
      </c>
      <c r="I13" s="2174">
        <v>1</v>
      </c>
      <c r="J13" s="2174">
        <v>1</v>
      </c>
      <c r="K13" s="2174">
        <v>0</v>
      </c>
      <c r="L13" s="2174">
        <v>0</v>
      </c>
      <c r="M13" s="2174">
        <v>1</v>
      </c>
      <c r="N13" s="2174">
        <v>1</v>
      </c>
      <c r="O13" s="2174">
        <v>1</v>
      </c>
      <c r="P13" s="2174">
        <v>1</v>
      </c>
      <c r="Q13" s="2174">
        <v>0</v>
      </c>
    </row>
    <row r="14" spans="1:17" ht="20.100000000000001" customHeight="1">
      <c r="A14" s="809">
        <v>8</v>
      </c>
      <c r="B14" s="1211" t="s">
        <v>1857</v>
      </c>
      <c r="C14" s="2174">
        <v>1</v>
      </c>
      <c r="D14" s="2174">
        <v>1</v>
      </c>
      <c r="E14" s="2174">
        <v>0</v>
      </c>
      <c r="F14" s="2174">
        <v>0</v>
      </c>
      <c r="G14" s="2174">
        <v>1</v>
      </c>
      <c r="H14" s="2174">
        <v>1</v>
      </c>
      <c r="I14" s="2174">
        <v>1</v>
      </c>
      <c r="J14" s="2174">
        <v>1</v>
      </c>
      <c r="K14" s="2174">
        <v>0</v>
      </c>
      <c r="L14" s="2174">
        <v>0</v>
      </c>
      <c r="M14" s="2174">
        <v>1</v>
      </c>
      <c r="N14" s="2174">
        <v>1</v>
      </c>
      <c r="O14" s="2174">
        <v>1</v>
      </c>
      <c r="P14" s="2174">
        <v>1</v>
      </c>
      <c r="Q14" s="2174">
        <v>0</v>
      </c>
    </row>
    <row r="15" spans="1:17" ht="20.100000000000001" customHeight="1">
      <c r="A15" s="809">
        <v>9</v>
      </c>
      <c r="B15" s="1211" t="s">
        <v>1858</v>
      </c>
      <c r="C15" s="2174">
        <v>1</v>
      </c>
      <c r="D15" s="2174">
        <v>1</v>
      </c>
      <c r="E15" s="2174">
        <v>0</v>
      </c>
      <c r="F15" s="2174">
        <v>0</v>
      </c>
      <c r="G15" s="2174">
        <v>1</v>
      </c>
      <c r="H15" s="2174">
        <v>1</v>
      </c>
      <c r="I15" s="2174">
        <v>1</v>
      </c>
      <c r="J15" s="2174">
        <v>1</v>
      </c>
      <c r="K15" s="2174">
        <v>0</v>
      </c>
      <c r="L15" s="2174">
        <v>0</v>
      </c>
      <c r="M15" s="2174">
        <v>1</v>
      </c>
      <c r="N15" s="2174">
        <v>1</v>
      </c>
      <c r="O15" s="2174">
        <v>1</v>
      </c>
      <c r="P15" s="2174">
        <v>1</v>
      </c>
      <c r="Q15" s="2174">
        <v>0</v>
      </c>
    </row>
    <row r="16" spans="1:17" ht="20.100000000000001" customHeight="1">
      <c r="A16" s="809">
        <v>10</v>
      </c>
      <c r="B16" s="1211" t="s">
        <v>1859</v>
      </c>
      <c r="C16" s="2174">
        <v>1</v>
      </c>
      <c r="D16" s="2174">
        <v>1</v>
      </c>
      <c r="E16" s="2174">
        <v>0</v>
      </c>
      <c r="F16" s="2174">
        <v>0</v>
      </c>
      <c r="G16" s="2174">
        <v>1</v>
      </c>
      <c r="H16" s="2174">
        <v>1</v>
      </c>
      <c r="I16" s="2174">
        <v>1</v>
      </c>
      <c r="J16" s="2174">
        <v>1</v>
      </c>
      <c r="K16" s="2174">
        <v>0</v>
      </c>
      <c r="L16" s="2174">
        <v>0</v>
      </c>
      <c r="M16" s="2174">
        <v>1</v>
      </c>
      <c r="N16" s="2174">
        <v>1</v>
      </c>
      <c r="O16" s="2174">
        <v>1</v>
      </c>
      <c r="P16" s="2174">
        <v>1</v>
      </c>
      <c r="Q16" s="2174">
        <v>0</v>
      </c>
    </row>
    <row r="17" spans="1:17" ht="20.100000000000001" customHeight="1">
      <c r="A17" s="809">
        <v>11</v>
      </c>
      <c r="B17" s="1211" t="s">
        <v>2094</v>
      </c>
      <c r="C17" s="2174">
        <v>1</v>
      </c>
      <c r="D17" s="2174">
        <v>1</v>
      </c>
      <c r="E17" s="2174">
        <v>0</v>
      </c>
      <c r="F17" s="2174">
        <v>0</v>
      </c>
      <c r="G17" s="2174">
        <v>1</v>
      </c>
      <c r="H17" s="2174">
        <v>1</v>
      </c>
      <c r="I17" s="2174">
        <v>1</v>
      </c>
      <c r="J17" s="2174">
        <v>1</v>
      </c>
      <c r="K17" s="2174">
        <v>0</v>
      </c>
      <c r="L17" s="2174">
        <v>0</v>
      </c>
      <c r="M17" s="2174">
        <v>1</v>
      </c>
      <c r="N17" s="2174">
        <v>1</v>
      </c>
      <c r="O17" s="2174">
        <v>1</v>
      </c>
      <c r="P17" s="2174">
        <v>1</v>
      </c>
      <c r="Q17" s="2174">
        <v>0</v>
      </c>
    </row>
    <row r="18" spans="1:17" ht="20.100000000000001" customHeight="1">
      <c r="A18" s="1212">
        <v>12</v>
      </c>
      <c r="B18" s="1213" t="s">
        <v>1860</v>
      </c>
      <c r="C18" s="2175">
        <v>1</v>
      </c>
      <c r="D18" s="2175">
        <v>1</v>
      </c>
      <c r="E18" s="2175">
        <v>0</v>
      </c>
      <c r="F18" s="2175">
        <v>0</v>
      </c>
      <c r="G18" s="2175">
        <v>1</v>
      </c>
      <c r="H18" s="2175">
        <v>1</v>
      </c>
      <c r="I18" s="2175">
        <v>1</v>
      </c>
      <c r="J18" s="2175">
        <v>1</v>
      </c>
      <c r="K18" s="2175">
        <v>0</v>
      </c>
      <c r="L18" s="2175">
        <v>0</v>
      </c>
      <c r="M18" s="2175">
        <v>1</v>
      </c>
      <c r="N18" s="2175">
        <v>1</v>
      </c>
      <c r="O18" s="2175">
        <v>1</v>
      </c>
      <c r="P18" s="2175">
        <v>1</v>
      </c>
      <c r="Q18" s="2175">
        <v>0</v>
      </c>
    </row>
    <row r="19" spans="1:17">
      <c r="B19" s="1231" t="s">
        <v>2095</v>
      </c>
      <c r="M19" s="4494"/>
      <c r="N19" s="4494"/>
      <c r="O19" s="4494"/>
      <c r="P19" s="4494"/>
    </row>
    <row r="20" spans="1:17">
      <c r="B20" s="1160" t="s">
        <v>2096</v>
      </c>
      <c r="M20" s="4333"/>
      <c r="N20" s="4333"/>
      <c r="O20" s="4333"/>
      <c r="P20" s="4333"/>
    </row>
    <row r="21" spans="1:17">
      <c r="B21" s="1160" t="s">
        <v>2097</v>
      </c>
      <c r="M21" s="4333"/>
      <c r="N21" s="4333"/>
      <c r="O21" s="4333"/>
      <c r="P21" s="4333"/>
    </row>
    <row r="22" spans="1:17">
      <c r="B22" s="1160" t="s">
        <v>2098</v>
      </c>
    </row>
    <row r="23" spans="1:17">
      <c r="B23" s="1160" t="s">
        <v>2099</v>
      </c>
    </row>
    <row r="24" spans="1:17">
      <c r="B24" s="245" t="s">
        <v>2100</v>
      </c>
    </row>
    <row r="25" spans="1:17">
      <c r="B25" s="1160" t="s">
        <v>2101</v>
      </c>
    </row>
    <row r="26" spans="1:17" ht="37.950000000000003" customHeight="1">
      <c r="B26" s="4497" t="s">
        <v>2102</v>
      </c>
      <c r="C26" s="4497"/>
      <c r="D26" s="4497"/>
      <c r="E26" s="4497"/>
      <c r="F26" s="4497"/>
      <c r="G26" s="4497"/>
      <c r="H26" s="4497"/>
      <c r="I26" s="4497"/>
      <c r="J26" s="4497"/>
      <c r="K26" s="4497"/>
      <c r="L26" s="4497"/>
      <c r="M26" s="4497"/>
      <c r="N26" s="4497"/>
      <c r="O26" s="4497"/>
      <c r="P26" s="4497"/>
      <c r="Q26" s="4497"/>
    </row>
    <row r="27" spans="1:17" ht="100.2" customHeight="1">
      <c r="B27" s="2176"/>
      <c r="C27" s="2176"/>
      <c r="D27" s="2176"/>
      <c r="E27" s="2176"/>
      <c r="F27" s="2176"/>
      <c r="G27" s="2176"/>
      <c r="H27" s="2176"/>
      <c r="I27" s="2176"/>
      <c r="J27" s="2176"/>
      <c r="K27" s="2176"/>
      <c r="L27" s="2176"/>
      <c r="M27" s="2176"/>
      <c r="N27" s="2176"/>
      <c r="O27" s="2176"/>
      <c r="P27" s="2176"/>
      <c r="Q27" s="2176"/>
    </row>
    <row r="28" spans="1:17" ht="24" customHeight="1">
      <c r="A28" s="4333" t="s">
        <v>2311</v>
      </c>
      <c r="B28" s="4333"/>
      <c r="C28" s="4333"/>
      <c r="D28" s="4333"/>
      <c r="E28" s="4333"/>
      <c r="F28" s="4333"/>
      <c r="G28" s="4333"/>
    </row>
    <row r="29" spans="1:17">
      <c r="A29" s="4500" t="s">
        <v>2418</v>
      </c>
      <c r="B29" s="4333"/>
      <c r="C29" s="4333"/>
      <c r="D29" s="4333"/>
      <c r="E29" s="4333"/>
      <c r="F29" s="4333"/>
      <c r="G29" s="4333"/>
    </row>
    <row r="30" spans="1:17">
      <c r="A30" s="4498" t="str">
        <f>A2</f>
        <v>(DỰ TOÁN ĐÃ ĐƯỢC TRÌNH HỘI ĐỒNG NHÂN DÂN TỈNH)</v>
      </c>
      <c r="B30" s="4499"/>
      <c r="C30" s="4499"/>
      <c r="D30" s="4499"/>
      <c r="E30" s="4499"/>
      <c r="F30" s="4499"/>
      <c r="G30" s="4499"/>
    </row>
    <row r="31" spans="1:17">
      <c r="A31" s="2144"/>
      <c r="B31" s="286"/>
      <c r="C31" s="286"/>
      <c r="D31" s="286"/>
      <c r="E31" s="286"/>
      <c r="F31" s="286"/>
      <c r="G31" s="286"/>
    </row>
    <row r="32" spans="1:17">
      <c r="A32" s="246"/>
      <c r="F32" s="4482" t="s">
        <v>2105</v>
      </c>
      <c r="G32" s="4482"/>
    </row>
    <row r="33" spans="1:7">
      <c r="A33" s="4334" t="s">
        <v>1370</v>
      </c>
      <c r="B33" s="4334" t="s">
        <v>2106</v>
      </c>
      <c r="C33" s="4496"/>
      <c r="D33" s="4496"/>
      <c r="E33" s="4496"/>
      <c r="F33" s="4496"/>
      <c r="G33" s="4496"/>
    </row>
    <row r="34" spans="1:7" ht="140.4">
      <c r="A34" s="4334"/>
      <c r="B34" s="4334"/>
      <c r="C34" s="249" t="s">
        <v>271</v>
      </c>
      <c r="D34" s="249" t="s">
        <v>2107</v>
      </c>
      <c r="E34" s="249" t="s">
        <v>354</v>
      </c>
      <c r="F34" s="249" t="s">
        <v>2108</v>
      </c>
      <c r="G34" s="249" t="s">
        <v>2109</v>
      </c>
    </row>
    <row r="35" spans="1:7">
      <c r="A35" s="1209" t="s">
        <v>9</v>
      </c>
      <c r="B35" s="1210" t="s">
        <v>1850</v>
      </c>
      <c r="C35" s="2177"/>
      <c r="D35" s="2177"/>
      <c r="E35" s="2177"/>
      <c r="F35" s="2177"/>
      <c r="G35" s="2177"/>
    </row>
    <row r="36" spans="1:7">
      <c r="A36" s="809">
        <v>1</v>
      </c>
      <c r="B36" s="1211" t="s">
        <v>2110</v>
      </c>
      <c r="C36" s="2174">
        <v>1</v>
      </c>
      <c r="D36" s="2174">
        <v>1</v>
      </c>
      <c r="E36" s="2174">
        <v>1</v>
      </c>
      <c r="F36" s="2174">
        <v>1</v>
      </c>
      <c r="G36" s="2174">
        <v>1</v>
      </c>
    </row>
    <row r="37" spans="1:7">
      <c r="A37" s="809">
        <v>2</v>
      </c>
      <c r="B37" s="1211" t="s">
        <v>2111</v>
      </c>
      <c r="C37" s="2174">
        <v>1</v>
      </c>
      <c r="D37" s="2174">
        <v>1</v>
      </c>
      <c r="E37" s="2174">
        <v>1</v>
      </c>
      <c r="F37" s="2174">
        <v>1</v>
      </c>
      <c r="G37" s="2174">
        <v>1</v>
      </c>
    </row>
    <row r="38" spans="1:7">
      <c r="A38" s="809">
        <v>3</v>
      </c>
      <c r="B38" s="1211" t="s">
        <v>2112</v>
      </c>
      <c r="C38" s="2174">
        <v>1</v>
      </c>
      <c r="D38" s="2174">
        <v>1</v>
      </c>
      <c r="E38" s="2174">
        <v>1</v>
      </c>
      <c r="F38" s="2174">
        <v>1</v>
      </c>
      <c r="G38" s="2174">
        <v>1</v>
      </c>
    </row>
    <row r="39" spans="1:7">
      <c r="A39" s="809">
        <v>4</v>
      </c>
      <c r="B39" s="1211" t="s">
        <v>2113</v>
      </c>
      <c r="C39" s="2174">
        <v>1</v>
      </c>
      <c r="D39" s="2174">
        <v>1</v>
      </c>
      <c r="E39" s="2174">
        <v>1</v>
      </c>
      <c r="F39" s="2174">
        <v>1</v>
      </c>
      <c r="G39" s="2174">
        <v>1</v>
      </c>
    </row>
    <row r="40" spans="1:7">
      <c r="A40" s="809">
        <v>5</v>
      </c>
      <c r="B40" s="1211" t="s">
        <v>2114</v>
      </c>
      <c r="C40" s="2174">
        <v>1</v>
      </c>
      <c r="D40" s="2174">
        <v>1</v>
      </c>
      <c r="E40" s="2174">
        <v>1</v>
      </c>
      <c r="F40" s="2174">
        <v>1</v>
      </c>
      <c r="G40" s="2174">
        <v>1</v>
      </c>
    </row>
    <row r="41" spans="1:7">
      <c r="A41" s="809">
        <v>6</v>
      </c>
      <c r="B41" s="1211" t="s">
        <v>2115</v>
      </c>
      <c r="C41" s="2174">
        <v>1</v>
      </c>
      <c r="D41" s="2174">
        <v>1</v>
      </c>
      <c r="E41" s="2174">
        <v>1</v>
      </c>
      <c r="F41" s="2174">
        <v>1</v>
      </c>
      <c r="G41" s="2174">
        <v>1</v>
      </c>
    </row>
    <row r="42" spans="1:7">
      <c r="A42" s="809">
        <v>7</v>
      </c>
      <c r="B42" s="1211" t="s">
        <v>2116</v>
      </c>
      <c r="C42" s="2174">
        <v>1</v>
      </c>
      <c r="D42" s="2174">
        <v>1</v>
      </c>
      <c r="E42" s="2174">
        <v>1</v>
      </c>
      <c r="F42" s="2174">
        <v>1</v>
      </c>
      <c r="G42" s="2174">
        <v>1</v>
      </c>
    </row>
    <row r="43" spans="1:7">
      <c r="A43" s="809">
        <v>8</v>
      </c>
      <c r="B43" s="1211" t="s">
        <v>2117</v>
      </c>
      <c r="C43" s="2174">
        <v>1</v>
      </c>
      <c r="D43" s="2174">
        <v>1</v>
      </c>
      <c r="E43" s="2174">
        <v>1</v>
      </c>
      <c r="F43" s="2174">
        <v>1</v>
      </c>
      <c r="G43" s="2174">
        <v>1</v>
      </c>
    </row>
    <row r="44" spans="1:7">
      <c r="A44" s="809">
        <v>9</v>
      </c>
      <c r="B44" s="1211" t="s">
        <v>2118</v>
      </c>
      <c r="C44" s="2174">
        <v>1</v>
      </c>
      <c r="D44" s="2174">
        <v>1</v>
      </c>
      <c r="E44" s="2174">
        <v>1</v>
      </c>
      <c r="F44" s="2174">
        <v>1</v>
      </c>
      <c r="G44" s="2174">
        <v>1</v>
      </c>
    </row>
    <row r="45" spans="1:7">
      <c r="A45" s="809">
        <v>10</v>
      </c>
      <c r="B45" s="1211" t="s">
        <v>2119</v>
      </c>
      <c r="C45" s="2174">
        <v>1</v>
      </c>
      <c r="D45" s="2174">
        <v>1</v>
      </c>
      <c r="E45" s="2174">
        <v>1</v>
      </c>
      <c r="F45" s="2174">
        <v>1</v>
      </c>
      <c r="G45" s="2174">
        <v>1</v>
      </c>
    </row>
    <row r="46" spans="1:7">
      <c r="A46" s="1093" t="s">
        <v>20</v>
      </c>
      <c r="B46" s="1094" t="s">
        <v>333</v>
      </c>
      <c r="C46" s="2178"/>
      <c r="D46" s="2178"/>
      <c r="E46" s="2178"/>
      <c r="F46" s="2178"/>
      <c r="G46" s="2178"/>
    </row>
    <row r="47" spans="1:7">
      <c r="A47" s="809">
        <v>1</v>
      </c>
      <c r="B47" s="1211" t="s">
        <v>2120</v>
      </c>
      <c r="C47" s="4483" t="s">
        <v>2312</v>
      </c>
      <c r="D47" s="4484"/>
      <c r="E47" s="4484"/>
      <c r="F47" s="4485"/>
      <c r="G47" s="2174">
        <v>1</v>
      </c>
    </row>
    <row r="48" spans="1:7">
      <c r="A48" s="809">
        <v>2</v>
      </c>
      <c r="B48" s="1211" t="s">
        <v>2122</v>
      </c>
      <c r="C48" s="4486"/>
      <c r="D48" s="4487"/>
      <c r="E48" s="4487"/>
      <c r="F48" s="4488"/>
      <c r="G48" s="2174">
        <v>1</v>
      </c>
    </row>
    <row r="49" spans="1:7">
      <c r="A49" s="251">
        <v>3</v>
      </c>
      <c r="B49" s="229" t="s">
        <v>2123</v>
      </c>
      <c r="C49" s="4486"/>
      <c r="D49" s="4487"/>
      <c r="E49" s="4487"/>
      <c r="F49" s="4488"/>
      <c r="G49" s="2198">
        <v>1</v>
      </c>
    </row>
    <row r="50" spans="1:7">
      <c r="A50" s="809">
        <v>4</v>
      </c>
      <c r="B50" s="1211" t="s">
        <v>2124</v>
      </c>
      <c r="C50" s="4486"/>
      <c r="D50" s="4487"/>
      <c r="E50" s="4487"/>
      <c r="F50" s="4488"/>
      <c r="G50" s="2174">
        <v>1</v>
      </c>
    </row>
    <row r="51" spans="1:7" ht="20.399999999999999" customHeight="1">
      <c r="A51" s="809">
        <v>5</v>
      </c>
      <c r="B51" s="1211" t="s">
        <v>2125</v>
      </c>
      <c r="C51" s="4489"/>
      <c r="D51" s="4490"/>
      <c r="E51" s="4490"/>
      <c r="F51" s="4491"/>
      <c r="G51" s="2174">
        <v>1</v>
      </c>
    </row>
    <row r="52" spans="1:7">
      <c r="A52" s="809">
        <v>6</v>
      </c>
      <c r="B52" s="1211" t="s">
        <v>2126</v>
      </c>
      <c r="C52" s="2174">
        <v>1</v>
      </c>
      <c r="D52" s="2174">
        <v>1</v>
      </c>
      <c r="E52" s="2174">
        <v>1</v>
      </c>
      <c r="F52" s="2174">
        <v>1</v>
      </c>
      <c r="G52" s="2174">
        <v>1</v>
      </c>
    </row>
    <row r="53" spans="1:7">
      <c r="A53" s="809">
        <v>7</v>
      </c>
      <c r="B53" s="1211" t="s">
        <v>2127</v>
      </c>
      <c r="C53" s="2174">
        <v>1</v>
      </c>
      <c r="D53" s="2174">
        <v>1</v>
      </c>
      <c r="E53" s="2174">
        <v>1</v>
      </c>
      <c r="F53" s="2174">
        <v>1</v>
      </c>
      <c r="G53" s="2174">
        <v>1</v>
      </c>
    </row>
    <row r="54" spans="1:7">
      <c r="A54" s="1093" t="s">
        <v>49</v>
      </c>
      <c r="B54" s="1094" t="s">
        <v>1853</v>
      </c>
      <c r="C54" s="2178"/>
      <c r="D54" s="2178"/>
      <c r="E54" s="2178"/>
      <c r="F54" s="2178"/>
      <c r="G54" s="2178"/>
    </row>
    <row r="55" spans="1:7">
      <c r="A55" s="809">
        <v>1</v>
      </c>
      <c r="B55" s="1211" t="s">
        <v>2128</v>
      </c>
      <c r="C55" s="2174">
        <v>1</v>
      </c>
      <c r="D55" s="2174">
        <v>1</v>
      </c>
      <c r="E55" s="2174">
        <v>1</v>
      </c>
      <c r="F55" s="2174">
        <v>1</v>
      </c>
      <c r="G55" s="2174">
        <v>1</v>
      </c>
    </row>
    <row r="56" spans="1:7">
      <c r="A56" s="809">
        <v>2</v>
      </c>
      <c r="B56" s="1211" t="s">
        <v>2129</v>
      </c>
      <c r="C56" s="2174">
        <v>1</v>
      </c>
      <c r="D56" s="2174">
        <v>1</v>
      </c>
      <c r="E56" s="2174">
        <v>1</v>
      </c>
      <c r="F56" s="2174">
        <v>1</v>
      </c>
      <c r="G56" s="2174">
        <v>1</v>
      </c>
    </row>
    <row r="57" spans="1:7">
      <c r="A57" s="809">
        <v>3</v>
      </c>
      <c r="B57" s="1211" t="s">
        <v>2130</v>
      </c>
      <c r="C57" s="2174">
        <v>1</v>
      </c>
      <c r="D57" s="2174">
        <v>1</v>
      </c>
      <c r="E57" s="2174">
        <v>1</v>
      </c>
      <c r="F57" s="2174">
        <v>1</v>
      </c>
      <c r="G57" s="2174">
        <v>1</v>
      </c>
    </row>
    <row r="58" spans="1:7">
      <c r="A58" s="809">
        <v>4</v>
      </c>
      <c r="B58" s="1211" t="s">
        <v>2131</v>
      </c>
      <c r="C58" s="2174">
        <v>1</v>
      </c>
      <c r="D58" s="2174">
        <v>1</v>
      </c>
      <c r="E58" s="2174">
        <v>1</v>
      </c>
      <c r="F58" s="2174">
        <v>1</v>
      </c>
      <c r="G58" s="2174">
        <v>1</v>
      </c>
    </row>
    <row r="59" spans="1:7">
      <c r="A59" s="809">
        <v>5</v>
      </c>
      <c r="B59" s="1211" t="s">
        <v>2132</v>
      </c>
      <c r="C59" s="2174">
        <v>1</v>
      </c>
      <c r="D59" s="2174">
        <v>1</v>
      </c>
      <c r="E59" s="2174">
        <v>1</v>
      </c>
      <c r="F59" s="2174">
        <v>1</v>
      </c>
      <c r="G59" s="2174">
        <v>1</v>
      </c>
    </row>
    <row r="60" spans="1:7">
      <c r="A60" s="809">
        <v>6</v>
      </c>
      <c r="B60" s="1211" t="s">
        <v>2133</v>
      </c>
      <c r="C60" s="2174">
        <v>1</v>
      </c>
      <c r="D60" s="2174">
        <v>1</v>
      </c>
      <c r="E60" s="2174">
        <v>1</v>
      </c>
      <c r="F60" s="2174">
        <v>1</v>
      </c>
      <c r="G60" s="2174">
        <v>1</v>
      </c>
    </row>
    <row r="61" spans="1:7">
      <c r="A61" s="809">
        <v>7</v>
      </c>
      <c r="B61" s="1211" t="s">
        <v>2134</v>
      </c>
      <c r="C61" s="2174">
        <v>1</v>
      </c>
      <c r="D61" s="2174">
        <v>1</v>
      </c>
      <c r="E61" s="2174">
        <v>1</v>
      </c>
      <c r="F61" s="2174">
        <v>1</v>
      </c>
      <c r="G61" s="2174">
        <v>1</v>
      </c>
    </row>
    <row r="62" spans="1:7">
      <c r="A62" s="809">
        <v>8</v>
      </c>
      <c r="B62" s="1211" t="s">
        <v>2135</v>
      </c>
      <c r="C62" s="2174">
        <v>1</v>
      </c>
      <c r="D62" s="2174">
        <v>1</v>
      </c>
      <c r="E62" s="2174">
        <v>1</v>
      </c>
      <c r="F62" s="2174">
        <v>1</v>
      </c>
      <c r="G62" s="2174">
        <v>1</v>
      </c>
    </row>
    <row r="63" spans="1:7">
      <c r="A63" s="809">
        <v>9</v>
      </c>
      <c r="B63" s="1211" t="s">
        <v>2136</v>
      </c>
      <c r="C63" s="2174">
        <v>1</v>
      </c>
      <c r="D63" s="2174">
        <v>1</v>
      </c>
      <c r="E63" s="2174">
        <v>1</v>
      </c>
      <c r="F63" s="2174">
        <v>1</v>
      </c>
      <c r="G63" s="2174">
        <v>1</v>
      </c>
    </row>
    <row r="64" spans="1:7">
      <c r="A64" s="1093" t="s">
        <v>50</v>
      </c>
      <c r="B64" s="1094" t="s">
        <v>2137</v>
      </c>
      <c r="C64" s="2178"/>
      <c r="D64" s="2178"/>
      <c r="E64" s="2178"/>
      <c r="F64" s="2178"/>
      <c r="G64" s="2178"/>
    </row>
    <row r="65" spans="1:7">
      <c r="A65" s="809">
        <v>1</v>
      </c>
      <c r="B65" s="1211" t="s">
        <v>2138</v>
      </c>
      <c r="C65" s="2174">
        <v>1</v>
      </c>
      <c r="D65" s="2174">
        <v>1</v>
      </c>
      <c r="E65" s="2174">
        <v>1</v>
      </c>
      <c r="F65" s="2174">
        <v>1</v>
      </c>
      <c r="G65" s="2174">
        <v>1</v>
      </c>
    </row>
    <row r="66" spans="1:7">
      <c r="A66" s="809">
        <v>2</v>
      </c>
      <c r="B66" s="1211" t="s">
        <v>2139</v>
      </c>
      <c r="C66" s="2174">
        <v>1</v>
      </c>
      <c r="D66" s="2174">
        <v>1</v>
      </c>
      <c r="E66" s="2174">
        <v>1</v>
      </c>
      <c r="F66" s="2174">
        <v>1</v>
      </c>
      <c r="G66" s="2174">
        <v>1</v>
      </c>
    </row>
    <row r="67" spans="1:7">
      <c r="A67" s="809">
        <v>3</v>
      </c>
      <c r="B67" s="1211" t="s">
        <v>2140</v>
      </c>
      <c r="C67" s="2174">
        <v>1</v>
      </c>
      <c r="D67" s="2174">
        <v>1</v>
      </c>
      <c r="E67" s="2174">
        <v>1</v>
      </c>
      <c r="F67" s="2174">
        <v>1</v>
      </c>
      <c r="G67" s="2174">
        <v>1</v>
      </c>
    </row>
    <row r="68" spans="1:7">
      <c r="A68" s="809">
        <v>4</v>
      </c>
      <c r="B68" s="1211" t="s">
        <v>2141</v>
      </c>
      <c r="C68" s="2174">
        <v>1</v>
      </c>
      <c r="D68" s="2174">
        <v>1</v>
      </c>
      <c r="E68" s="2174">
        <v>1</v>
      </c>
      <c r="F68" s="2174">
        <v>1</v>
      </c>
      <c r="G68" s="2174">
        <v>1</v>
      </c>
    </row>
    <row r="69" spans="1:7">
      <c r="A69" s="809">
        <v>5</v>
      </c>
      <c r="B69" s="1211" t="s">
        <v>2142</v>
      </c>
      <c r="C69" s="2174">
        <v>1</v>
      </c>
      <c r="D69" s="2174">
        <v>1</v>
      </c>
      <c r="E69" s="2174">
        <v>1</v>
      </c>
      <c r="F69" s="2174">
        <v>1</v>
      </c>
      <c r="G69" s="2174">
        <v>1</v>
      </c>
    </row>
    <row r="70" spans="1:7">
      <c r="A70" s="809">
        <v>6</v>
      </c>
      <c r="B70" s="1211" t="s">
        <v>2143</v>
      </c>
      <c r="C70" s="2174">
        <v>1</v>
      </c>
      <c r="D70" s="2174">
        <v>1</v>
      </c>
      <c r="E70" s="2174">
        <v>1</v>
      </c>
      <c r="F70" s="2174">
        <v>1</v>
      </c>
      <c r="G70" s="2174">
        <v>1</v>
      </c>
    </row>
    <row r="71" spans="1:7">
      <c r="A71" s="809">
        <v>7</v>
      </c>
      <c r="B71" s="1211" t="s">
        <v>2144</v>
      </c>
      <c r="C71" s="2174">
        <v>1</v>
      </c>
      <c r="D71" s="2174">
        <v>1</v>
      </c>
      <c r="E71" s="2174">
        <v>1</v>
      </c>
      <c r="F71" s="2174">
        <v>1</v>
      </c>
      <c r="G71" s="2174">
        <v>1</v>
      </c>
    </row>
    <row r="72" spans="1:7">
      <c r="A72" s="809">
        <v>8</v>
      </c>
      <c r="B72" s="1211" t="s">
        <v>2145</v>
      </c>
      <c r="C72" s="2174">
        <v>1</v>
      </c>
      <c r="D72" s="2174">
        <v>1</v>
      </c>
      <c r="E72" s="2174">
        <v>1</v>
      </c>
      <c r="F72" s="2174">
        <v>1</v>
      </c>
      <c r="G72" s="2174">
        <v>1</v>
      </c>
    </row>
    <row r="73" spans="1:7">
      <c r="A73" s="809">
        <v>9</v>
      </c>
      <c r="B73" s="1211" t="s">
        <v>2146</v>
      </c>
      <c r="C73" s="2174">
        <v>1</v>
      </c>
      <c r="D73" s="2174">
        <v>1</v>
      </c>
      <c r="E73" s="2174">
        <v>1</v>
      </c>
      <c r="F73" s="2174">
        <v>1</v>
      </c>
      <c r="G73" s="2174">
        <v>1</v>
      </c>
    </row>
    <row r="74" spans="1:7">
      <c r="A74" s="809">
        <v>10</v>
      </c>
      <c r="B74" s="1211" t="s">
        <v>2147</v>
      </c>
      <c r="C74" s="2174">
        <v>1</v>
      </c>
      <c r="D74" s="2174">
        <v>1</v>
      </c>
      <c r="E74" s="2174">
        <v>1</v>
      </c>
      <c r="F74" s="2174">
        <v>1</v>
      </c>
      <c r="G74" s="2174">
        <v>1</v>
      </c>
    </row>
    <row r="75" spans="1:7">
      <c r="A75" s="809">
        <v>11</v>
      </c>
      <c r="B75" s="1211" t="s">
        <v>2148</v>
      </c>
      <c r="C75" s="2174">
        <v>1</v>
      </c>
      <c r="D75" s="2174">
        <v>1</v>
      </c>
      <c r="E75" s="2174">
        <v>1</v>
      </c>
      <c r="F75" s="2174">
        <v>1</v>
      </c>
      <c r="G75" s="2174">
        <v>1</v>
      </c>
    </row>
    <row r="76" spans="1:7">
      <c r="A76" s="809">
        <v>12</v>
      </c>
      <c r="B76" s="1211" t="s">
        <v>2149</v>
      </c>
      <c r="C76" s="2174">
        <v>1</v>
      </c>
      <c r="D76" s="2174">
        <v>1</v>
      </c>
      <c r="E76" s="2174">
        <v>1</v>
      </c>
      <c r="F76" s="2174">
        <v>1</v>
      </c>
      <c r="G76" s="2174">
        <v>1</v>
      </c>
    </row>
    <row r="77" spans="1:7">
      <c r="A77" s="1093" t="s">
        <v>72</v>
      </c>
      <c r="B77" s="1094" t="s">
        <v>1855</v>
      </c>
      <c r="C77" s="2178"/>
      <c r="D77" s="2178"/>
      <c r="E77" s="2178"/>
      <c r="F77" s="2178"/>
      <c r="G77" s="2178"/>
    </row>
    <row r="78" spans="1:7">
      <c r="A78" s="809">
        <v>1</v>
      </c>
      <c r="B78" s="1211" t="s">
        <v>2150</v>
      </c>
      <c r="C78" s="2174">
        <v>1</v>
      </c>
      <c r="D78" s="2174">
        <v>1</v>
      </c>
      <c r="E78" s="2174">
        <v>1</v>
      </c>
      <c r="F78" s="2174">
        <v>1</v>
      </c>
      <c r="G78" s="2174">
        <v>1</v>
      </c>
    </row>
    <row r="79" spans="1:7">
      <c r="A79" s="809">
        <v>2</v>
      </c>
      <c r="B79" s="1211" t="s">
        <v>2151</v>
      </c>
      <c r="C79" s="2174">
        <v>1</v>
      </c>
      <c r="D79" s="2174">
        <v>1</v>
      </c>
      <c r="E79" s="2174">
        <v>1</v>
      </c>
      <c r="F79" s="2174">
        <v>1</v>
      </c>
      <c r="G79" s="2174">
        <v>1</v>
      </c>
    </row>
    <row r="80" spans="1:7">
      <c r="A80" s="809">
        <v>3</v>
      </c>
      <c r="B80" s="1211" t="s">
        <v>2152</v>
      </c>
      <c r="C80" s="2174">
        <v>1</v>
      </c>
      <c r="D80" s="2174">
        <v>1</v>
      </c>
      <c r="E80" s="2174">
        <v>1</v>
      </c>
      <c r="F80" s="2174">
        <v>1</v>
      </c>
      <c r="G80" s="2174">
        <v>1</v>
      </c>
    </row>
    <row r="81" spans="1:7">
      <c r="A81" s="809">
        <v>4</v>
      </c>
      <c r="B81" s="2185" t="s">
        <v>2153</v>
      </c>
      <c r="C81" s="2174">
        <v>1</v>
      </c>
      <c r="D81" s="2174">
        <v>1</v>
      </c>
      <c r="E81" s="2174">
        <v>1</v>
      </c>
      <c r="F81" s="2174">
        <v>1</v>
      </c>
      <c r="G81" s="2174">
        <v>1</v>
      </c>
    </row>
    <row r="82" spans="1:7">
      <c r="A82" s="809">
        <v>5</v>
      </c>
      <c r="B82" s="2199" t="s">
        <v>2154</v>
      </c>
      <c r="C82" s="2174">
        <v>1</v>
      </c>
      <c r="D82" s="2174">
        <v>1</v>
      </c>
      <c r="E82" s="2174">
        <v>1</v>
      </c>
      <c r="F82" s="2174">
        <v>1</v>
      </c>
      <c r="G82" s="2174">
        <v>1</v>
      </c>
    </row>
    <row r="83" spans="1:7">
      <c r="A83" s="809">
        <v>6</v>
      </c>
      <c r="B83" s="1211" t="s">
        <v>2155</v>
      </c>
      <c r="C83" s="2174">
        <v>1</v>
      </c>
      <c r="D83" s="2174">
        <v>1</v>
      </c>
      <c r="E83" s="2174">
        <v>1</v>
      </c>
      <c r="F83" s="2174">
        <v>1</v>
      </c>
      <c r="G83" s="2174">
        <v>1</v>
      </c>
    </row>
    <row r="84" spans="1:7">
      <c r="A84" s="809">
        <v>7</v>
      </c>
      <c r="B84" s="1211" t="s">
        <v>2156</v>
      </c>
      <c r="C84" s="2174">
        <v>1</v>
      </c>
      <c r="D84" s="2174">
        <v>1</v>
      </c>
      <c r="E84" s="2174">
        <v>1</v>
      </c>
      <c r="F84" s="2174">
        <v>1</v>
      </c>
      <c r="G84" s="2174">
        <v>1</v>
      </c>
    </row>
    <row r="85" spans="1:7">
      <c r="A85" s="809">
        <v>8</v>
      </c>
      <c r="B85" s="1211" t="s">
        <v>2157</v>
      </c>
      <c r="C85" s="2174">
        <v>1</v>
      </c>
      <c r="D85" s="2174">
        <v>1</v>
      </c>
      <c r="E85" s="2174">
        <v>1</v>
      </c>
      <c r="F85" s="2174">
        <v>1</v>
      </c>
      <c r="G85" s="2174">
        <v>1</v>
      </c>
    </row>
    <row r="86" spans="1:7">
      <c r="A86" s="809">
        <v>9</v>
      </c>
      <c r="B86" s="1211" t="s">
        <v>2158</v>
      </c>
      <c r="C86" s="2174">
        <v>1</v>
      </c>
      <c r="D86" s="2174">
        <v>1</v>
      </c>
      <c r="E86" s="2174">
        <v>1</v>
      </c>
      <c r="F86" s="2174">
        <v>1</v>
      </c>
      <c r="G86" s="2174">
        <v>1</v>
      </c>
    </row>
    <row r="87" spans="1:7">
      <c r="A87" s="809">
        <v>10</v>
      </c>
      <c r="B87" s="1211" t="s">
        <v>2159</v>
      </c>
      <c r="C87" s="2174">
        <v>1</v>
      </c>
      <c r="D87" s="2174">
        <v>1</v>
      </c>
      <c r="E87" s="2174">
        <v>1</v>
      </c>
      <c r="F87" s="2174">
        <v>1</v>
      </c>
      <c r="G87" s="2174">
        <v>1</v>
      </c>
    </row>
    <row r="88" spans="1:7">
      <c r="A88" s="809">
        <v>11</v>
      </c>
      <c r="B88" s="1211" t="s">
        <v>2160</v>
      </c>
      <c r="C88" s="2174">
        <v>1</v>
      </c>
      <c r="D88" s="2174">
        <v>1</v>
      </c>
      <c r="E88" s="2174">
        <v>1</v>
      </c>
      <c r="F88" s="2174">
        <v>1</v>
      </c>
      <c r="G88" s="2174">
        <v>1</v>
      </c>
    </row>
    <row r="89" spans="1:7">
      <c r="A89" s="809">
        <v>12</v>
      </c>
      <c r="B89" s="1211" t="s">
        <v>2161</v>
      </c>
      <c r="C89" s="2174">
        <v>1</v>
      </c>
      <c r="D89" s="2174">
        <v>1</v>
      </c>
      <c r="E89" s="2174">
        <v>1</v>
      </c>
      <c r="F89" s="2174">
        <v>1</v>
      </c>
      <c r="G89" s="2174">
        <v>1</v>
      </c>
    </row>
    <row r="90" spans="1:7">
      <c r="A90" s="809">
        <v>13</v>
      </c>
      <c r="B90" s="1211" t="s">
        <v>2162</v>
      </c>
      <c r="C90" s="2174">
        <v>1</v>
      </c>
      <c r="D90" s="2174">
        <v>1</v>
      </c>
      <c r="E90" s="2174">
        <v>1</v>
      </c>
      <c r="F90" s="2174">
        <v>1</v>
      </c>
      <c r="G90" s="2174">
        <v>1</v>
      </c>
    </row>
    <row r="91" spans="1:7">
      <c r="A91" s="1093" t="s">
        <v>100</v>
      </c>
      <c r="B91" s="2168" t="s">
        <v>2163</v>
      </c>
      <c r="C91" s="2174"/>
      <c r="D91" s="2174"/>
      <c r="E91" s="2174"/>
      <c r="F91" s="2174"/>
      <c r="G91" s="2174"/>
    </row>
    <row r="92" spans="1:7">
      <c r="A92" s="809">
        <v>1</v>
      </c>
      <c r="B92" s="1211" t="s">
        <v>2164</v>
      </c>
      <c r="C92" s="4492" t="s">
        <v>2313</v>
      </c>
      <c r="D92" s="4493"/>
      <c r="E92" s="4493"/>
      <c r="F92" s="4493"/>
      <c r="G92" s="2174">
        <v>1</v>
      </c>
    </row>
    <row r="93" spans="1:7">
      <c r="A93" s="809">
        <v>2</v>
      </c>
      <c r="B93" s="1211" t="s">
        <v>2166</v>
      </c>
      <c r="C93" s="4493"/>
      <c r="D93" s="4493"/>
      <c r="E93" s="4493"/>
      <c r="F93" s="4493"/>
      <c r="G93" s="2174">
        <v>1</v>
      </c>
    </row>
    <row r="94" spans="1:7">
      <c r="A94" s="809">
        <v>3</v>
      </c>
      <c r="B94" s="1211" t="s">
        <v>2167</v>
      </c>
      <c r="C94" s="4493"/>
      <c r="D94" s="4493"/>
      <c r="E94" s="4493"/>
      <c r="F94" s="4493"/>
      <c r="G94" s="2174">
        <v>1</v>
      </c>
    </row>
    <row r="95" spans="1:7">
      <c r="A95" s="809">
        <v>4</v>
      </c>
      <c r="B95" s="1211" t="s">
        <v>2168</v>
      </c>
      <c r="C95" s="4493"/>
      <c r="D95" s="4493"/>
      <c r="E95" s="4493"/>
      <c r="F95" s="4493"/>
      <c r="G95" s="2174">
        <v>1</v>
      </c>
    </row>
    <row r="96" spans="1:7">
      <c r="A96" s="809">
        <v>5</v>
      </c>
      <c r="B96" s="1211" t="s">
        <v>2169</v>
      </c>
      <c r="C96" s="4493"/>
      <c r="D96" s="4493"/>
      <c r="E96" s="4493"/>
      <c r="F96" s="4493"/>
      <c r="G96" s="2174">
        <v>1</v>
      </c>
    </row>
    <row r="97" spans="1:7">
      <c r="A97" s="809">
        <v>6</v>
      </c>
      <c r="B97" s="1211" t="s">
        <v>2170</v>
      </c>
      <c r="C97" s="4493"/>
      <c r="D97" s="4493"/>
      <c r="E97" s="4493"/>
      <c r="F97" s="4493"/>
      <c r="G97" s="2174">
        <v>1</v>
      </c>
    </row>
    <row r="98" spans="1:7">
      <c r="A98" s="809">
        <v>7</v>
      </c>
      <c r="B98" s="1211" t="s">
        <v>2171</v>
      </c>
      <c r="C98" s="4493"/>
      <c r="D98" s="4493"/>
      <c r="E98" s="4493"/>
      <c r="F98" s="4493"/>
      <c r="G98" s="2174">
        <v>1</v>
      </c>
    </row>
    <row r="99" spans="1:7">
      <c r="A99" s="809">
        <v>8</v>
      </c>
      <c r="B99" s="1211" t="s">
        <v>2172</v>
      </c>
      <c r="C99" s="4493"/>
      <c r="D99" s="4493"/>
      <c r="E99" s="4493"/>
      <c r="F99" s="4493"/>
      <c r="G99" s="2174">
        <v>1</v>
      </c>
    </row>
    <row r="100" spans="1:7">
      <c r="A100" s="809">
        <v>9</v>
      </c>
      <c r="B100" s="1211" t="s">
        <v>2173</v>
      </c>
      <c r="C100" s="2174">
        <v>1</v>
      </c>
      <c r="D100" s="2174">
        <v>1</v>
      </c>
      <c r="E100" s="2174">
        <v>1</v>
      </c>
      <c r="F100" s="2174">
        <v>1</v>
      </c>
      <c r="G100" s="2174">
        <v>1</v>
      </c>
    </row>
    <row r="101" spans="1:7">
      <c r="A101" s="809">
        <v>10</v>
      </c>
      <c r="B101" s="1211" t="s">
        <v>2174</v>
      </c>
      <c r="C101" s="2174">
        <v>1</v>
      </c>
      <c r="D101" s="2174">
        <v>1</v>
      </c>
      <c r="E101" s="2174">
        <v>1</v>
      </c>
      <c r="F101" s="2174">
        <v>1</v>
      </c>
      <c r="G101" s="2174">
        <v>1</v>
      </c>
    </row>
    <row r="102" spans="1:7">
      <c r="A102" s="809">
        <v>11</v>
      </c>
      <c r="B102" s="1211" t="s">
        <v>2175</v>
      </c>
      <c r="C102" s="2174">
        <v>1</v>
      </c>
      <c r="D102" s="2174">
        <v>1</v>
      </c>
      <c r="E102" s="2174">
        <v>1</v>
      </c>
      <c r="F102" s="2174">
        <v>1</v>
      </c>
      <c r="G102" s="2174">
        <v>1</v>
      </c>
    </row>
    <row r="103" spans="1:7">
      <c r="A103" s="809">
        <v>12</v>
      </c>
      <c r="B103" s="1211" t="s">
        <v>2176</v>
      </c>
      <c r="C103" s="2174">
        <v>1</v>
      </c>
      <c r="D103" s="2174">
        <v>1</v>
      </c>
      <c r="E103" s="2174">
        <v>1</v>
      </c>
      <c r="F103" s="2174">
        <v>1</v>
      </c>
      <c r="G103" s="2174">
        <v>1</v>
      </c>
    </row>
    <row r="104" spans="1:7">
      <c r="A104" s="809">
        <v>13</v>
      </c>
      <c r="B104" s="1211" t="s">
        <v>2177</v>
      </c>
      <c r="C104" s="2174">
        <v>1</v>
      </c>
      <c r="D104" s="2174">
        <v>1</v>
      </c>
      <c r="E104" s="2174">
        <v>1</v>
      </c>
      <c r="F104" s="2174">
        <v>1</v>
      </c>
      <c r="G104" s="2174">
        <v>1</v>
      </c>
    </row>
    <row r="105" spans="1:7">
      <c r="A105" s="809">
        <v>14</v>
      </c>
      <c r="B105" s="1211" t="s">
        <v>2178</v>
      </c>
      <c r="C105" s="2174">
        <v>1</v>
      </c>
      <c r="D105" s="2174">
        <v>1</v>
      </c>
      <c r="E105" s="2174">
        <v>1</v>
      </c>
      <c r="F105" s="2174">
        <v>1</v>
      </c>
      <c r="G105" s="2174">
        <v>1</v>
      </c>
    </row>
    <row r="106" spans="1:7">
      <c r="A106" s="809">
        <v>15</v>
      </c>
      <c r="B106" s="1211" t="s">
        <v>2179</v>
      </c>
      <c r="C106" s="2174">
        <v>1</v>
      </c>
      <c r="D106" s="2174">
        <v>1</v>
      </c>
      <c r="E106" s="2174">
        <v>1</v>
      </c>
      <c r="F106" s="2174">
        <v>1</v>
      </c>
      <c r="G106" s="2174">
        <v>1</v>
      </c>
    </row>
    <row r="107" spans="1:7">
      <c r="A107" s="1093" t="s">
        <v>151</v>
      </c>
      <c r="B107" s="2168" t="s">
        <v>2180</v>
      </c>
      <c r="C107" s="2174"/>
      <c r="D107" s="2174"/>
      <c r="E107" s="2174"/>
      <c r="F107" s="2174"/>
      <c r="G107" s="2174"/>
    </row>
    <row r="108" spans="1:7">
      <c r="A108" s="809">
        <v>1</v>
      </c>
      <c r="B108" s="1211" t="s">
        <v>2181</v>
      </c>
      <c r="C108" s="2174">
        <v>1</v>
      </c>
      <c r="D108" s="2174">
        <v>1</v>
      </c>
      <c r="E108" s="2174">
        <v>1</v>
      </c>
      <c r="F108" s="2174">
        <v>1</v>
      </c>
      <c r="G108" s="2174">
        <v>1</v>
      </c>
    </row>
    <row r="109" spans="1:7">
      <c r="A109" s="809">
        <v>2</v>
      </c>
      <c r="B109" s="1211" t="s">
        <v>2182</v>
      </c>
      <c r="C109" s="2174">
        <v>1</v>
      </c>
      <c r="D109" s="2174">
        <v>1</v>
      </c>
      <c r="E109" s="2174">
        <v>1</v>
      </c>
      <c r="F109" s="2174">
        <v>1</v>
      </c>
      <c r="G109" s="2174">
        <v>1</v>
      </c>
    </row>
    <row r="110" spans="1:7">
      <c r="A110" s="809">
        <v>3</v>
      </c>
      <c r="B110" s="1211" t="s">
        <v>2183</v>
      </c>
      <c r="C110" s="2174">
        <v>1</v>
      </c>
      <c r="D110" s="2174">
        <v>1</v>
      </c>
      <c r="E110" s="2174">
        <v>1</v>
      </c>
      <c r="F110" s="2174">
        <v>1</v>
      </c>
      <c r="G110" s="2174">
        <v>1</v>
      </c>
    </row>
    <row r="111" spans="1:7">
      <c r="A111" s="809">
        <v>4</v>
      </c>
      <c r="B111" s="1211" t="s">
        <v>2184</v>
      </c>
      <c r="C111" s="2174">
        <v>1</v>
      </c>
      <c r="D111" s="2174">
        <v>1</v>
      </c>
      <c r="E111" s="2174">
        <v>1</v>
      </c>
      <c r="F111" s="2174">
        <v>1</v>
      </c>
      <c r="G111" s="2174">
        <v>1</v>
      </c>
    </row>
    <row r="112" spans="1:7">
      <c r="A112" s="809">
        <v>5</v>
      </c>
      <c r="B112" s="1211" t="s">
        <v>2185</v>
      </c>
      <c r="C112" s="2174">
        <v>1</v>
      </c>
      <c r="D112" s="2174">
        <v>1</v>
      </c>
      <c r="E112" s="2174">
        <v>1</v>
      </c>
      <c r="F112" s="2174">
        <v>1</v>
      </c>
      <c r="G112" s="2174">
        <v>1</v>
      </c>
    </row>
    <row r="113" spans="1:7">
      <c r="A113" s="809">
        <v>6</v>
      </c>
      <c r="B113" s="1211" t="s">
        <v>2186</v>
      </c>
      <c r="C113" s="2174">
        <v>1</v>
      </c>
      <c r="D113" s="2174">
        <v>1</v>
      </c>
      <c r="E113" s="2174">
        <v>1</v>
      </c>
      <c r="F113" s="2174">
        <v>1</v>
      </c>
      <c r="G113" s="2174">
        <v>1</v>
      </c>
    </row>
    <row r="114" spans="1:7">
      <c r="A114" s="809">
        <v>7</v>
      </c>
      <c r="B114" s="1211" t="s">
        <v>2187</v>
      </c>
      <c r="C114" s="2174">
        <v>1</v>
      </c>
      <c r="D114" s="2174">
        <v>1</v>
      </c>
      <c r="E114" s="2174">
        <v>1</v>
      </c>
      <c r="F114" s="2174">
        <v>1</v>
      </c>
      <c r="G114" s="2174">
        <v>1</v>
      </c>
    </row>
    <row r="115" spans="1:7">
      <c r="A115" s="809">
        <v>8</v>
      </c>
      <c r="B115" s="1211" t="s">
        <v>2188</v>
      </c>
      <c r="C115" s="2174">
        <v>1</v>
      </c>
      <c r="D115" s="2174">
        <v>1</v>
      </c>
      <c r="E115" s="2174">
        <v>1</v>
      </c>
      <c r="F115" s="2174">
        <v>1</v>
      </c>
      <c r="G115" s="2174">
        <v>1</v>
      </c>
    </row>
    <row r="116" spans="1:7">
      <c r="A116" s="809">
        <v>9</v>
      </c>
      <c r="B116" s="1211" t="s">
        <v>2189</v>
      </c>
      <c r="C116" s="2174">
        <v>1</v>
      </c>
      <c r="D116" s="2174">
        <v>1</v>
      </c>
      <c r="E116" s="2174">
        <v>1</v>
      </c>
      <c r="F116" s="2174">
        <v>1</v>
      </c>
      <c r="G116" s="2174">
        <v>1</v>
      </c>
    </row>
    <row r="117" spans="1:7">
      <c r="A117" s="809">
        <v>10</v>
      </c>
      <c r="B117" s="1211" t="s">
        <v>2190</v>
      </c>
      <c r="C117" s="2174">
        <v>1</v>
      </c>
      <c r="D117" s="2174">
        <v>1</v>
      </c>
      <c r="E117" s="2174">
        <v>1</v>
      </c>
      <c r="F117" s="2174">
        <v>1</v>
      </c>
      <c r="G117" s="2174">
        <v>1</v>
      </c>
    </row>
    <row r="118" spans="1:7">
      <c r="A118" s="809">
        <v>11</v>
      </c>
      <c r="B118" s="1211" t="s">
        <v>2191</v>
      </c>
      <c r="C118" s="2174">
        <v>1</v>
      </c>
      <c r="D118" s="2174">
        <v>1</v>
      </c>
      <c r="E118" s="2174">
        <v>1</v>
      </c>
      <c r="F118" s="2174">
        <v>1</v>
      </c>
      <c r="G118" s="2174">
        <v>1</v>
      </c>
    </row>
    <row r="119" spans="1:7">
      <c r="A119" s="809">
        <v>12</v>
      </c>
      <c r="B119" s="1211" t="s">
        <v>2192</v>
      </c>
      <c r="C119" s="2174">
        <v>1</v>
      </c>
      <c r="D119" s="2174">
        <v>1</v>
      </c>
      <c r="E119" s="2174">
        <v>1</v>
      </c>
      <c r="F119" s="2174">
        <v>1</v>
      </c>
      <c r="G119" s="2174">
        <v>1</v>
      </c>
    </row>
    <row r="120" spans="1:7">
      <c r="A120" s="809">
        <v>13</v>
      </c>
      <c r="B120" s="1211" t="s">
        <v>2193</v>
      </c>
      <c r="C120" s="2174">
        <v>1</v>
      </c>
      <c r="D120" s="2174">
        <v>1</v>
      </c>
      <c r="E120" s="2174">
        <v>1</v>
      </c>
      <c r="F120" s="2174">
        <v>1</v>
      </c>
      <c r="G120" s="2174">
        <v>1</v>
      </c>
    </row>
    <row r="121" spans="1:7">
      <c r="A121" s="809">
        <v>14</v>
      </c>
      <c r="B121" s="1211" t="s">
        <v>2194</v>
      </c>
      <c r="C121" s="2174">
        <v>1</v>
      </c>
      <c r="D121" s="2174">
        <v>1</v>
      </c>
      <c r="E121" s="2174">
        <v>1</v>
      </c>
      <c r="F121" s="2174">
        <v>1</v>
      </c>
      <c r="G121" s="2174">
        <v>1</v>
      </c>
    </row>
    <row r="122" spans="1:7">
      <c r="A122" s="809">
        <v>15</v>
      </c>
      <c r="B122" s="1211" t="s">
        <v>2195</v>
      </c>
      <c r="C122" s="2174">
        <v>1</v>
      </c>
      <c r="D122" s="2174">
        <v>1</v>
      </c>
      <c r="E122" s="2174">
        <v>1</v>
      </c>
      <c r="F122" s="2174">
        <v>1</v>
      </c>
      <c r="G122" s="2174">
        <v>1</v>
      </c>
    </row>
    <row r="123" spans="1:7">
      <c r="A123" s="809">
        <v>16</v>
      </c>
      <c r="B123" s="1211" t="s">
        <v>2196</v>
      </c>
      <c r="C123" s="2174">
        <v>1</v>
      </c>
      <c r="D123" s="2174">
        <v>1</v>
      </c>
      <c r="E123" s="2174">
        <v>1</v>
      </c>
      <c r="F123" s="2174">
        <v>1</v>
      </c>
      <c r="G123" s="2174">
        <v>1</v>
      </c>
    </row>
    <row r="124" spans="1:7">
      <c r="A124" s="809">
        <v>17</v>
      </c>
      <c r="B124" s="1211" t="s">
        <v>2126</v>
      </c>
      <c r="C124" s="2174">
        <v>1</v>
      </c>
      <c r="D124" s="2174">
        <v>1</v>
      </c>
      <c r="E124" s="2174">
        <v>1</v>
      </c>
      <c r="F124" s="2174">
        <v>1</v>
      </c>
      <c r="G124" s="2174">
        <v>1</v>
      </c>
    </row>
    <row r="125" spans="1:7">
      <c r="A125" s="809">
        <v>18</v>
      </c>
      <c r="B125" s="1211" t="s">
        <v>2197</v>
      </c>
      <c r="C125" s="2174">
        <v>1</v>
      </c>
      <c r="D125" s="2174">
        <v>1</v>
      </c>
      <c r="E125" s="2174">
        <v>1</v>
      </c>
      <c r="F125" s="2174">
        <v>1</v>
      </c>
      <c r="G125" s="2174">
        <v>1</v>
      </c>
    </row>
    <row r="126" spans="1:7">
      <c r="A126" s="1093" t="s">
        <v>229</v>
      </c>
      <c r="B126" s="2168" t="s">
        <v>1857</v>
      </c>
      <c r="C126" s="2185"/>
      <c r="D126" s="2185"/>
      <c r="E126" s="2185"/>
      <c r="F126" s="2185"/>
      <c r="G126" s="2185"/>
    </row>
    <row r="127" spans="1:7">
      <c r="A127" s="809">
        <v>1</v>
      </c>
      <c r="B127" s="1211" t="s">
        <v>2198</v>
      </c>
      <c r="C127" s="2174">
        <v>1</v>
      </c>
      <c r="D127" s="2174">
        <v>1</v>
      </c>
      <c r="E127" s="2174">
        <v>1</v>
      </c>
      <c r="F127" s="2174">
        <v>1</v>
      </c>
      <c r="G127" s="2174">
        <v>1</v>
      </c>
    </row>
    <row r="128" spans="1:7">
      <c r="A128" s="809">
        <v>2</v>
      </c>
      <c r="B128" s="1211" t="s">
        <v>2199</v>
      </c>
      <c r="C128" s="2174">
        <v>1</v>
      </c>
      <c r="D128" s="2174">
        <v>1</v>
      </c>
      <c r="E128" s="2174">
        <v>1</v>
      </c>
      <c r="F128" s="2174">
        <v>1</v>
      </c>
      <c r="G128" s="2174">
        <v>1</v>
      </c>
    </row>
    <row r="129" spans="1:7">
      <c r="A129" s="809">
        <v>3</v>
      </c>
      <c r="B129" s="1211" t="s">
        <v>2200</v>
      </c>
      <c r="C129" s="2174">
        <v>1</v>
      </c>
      <c r="D129" s="2174">
        <v>1</v>
      </c>
      <c r="E129" s="2174">
        <v>1</v>
      </c>
      <c r="F129" s="2174">
        <v>1</v>
      </c>
      <c r="G129" s="2174">
        <v>1</v>
      </c>
    </row>
    <row r="130" spans="1:7">
      <c r="A130" s="809">
        <v>4</v>
      </c>
      <c r="B130" s="1211" t="s">
        <v>2201</v>
      </c>
      <c r="C130" s="2174">
        <v>1</v>
      </c>
      <c r="D130" s="2174">
        <v>1</v>
      </c>
      <c r="E130" s="2174">
        <v>1</v>
      </c>
      <c r="F130" s="2174">
        <v>1</v>
      </c>
      <c r="G130" s="2174">
        <v>1</v>
      </c>
    </row>
    <row r="131" spans="1:7">
      <c r="A131" s="809">
        <v>5</v>
      </c>
      <c r="B131" s="1211" t="s">
        <v>2202</v>
      </c>
      <c r="C131" s="2174">
        <v>1</v>
      </c>
      <c r="D131" s="2174">
        <v>1</v>
      </c>
      <c r="E131" s="2174">
        <v>1</v>
      </c>
      <c r="F131" s="2174">
        <v>1</v>
      </c>
      <c r="G131" s="2174">
        <v>1</v>
      </c>
    </row>
    <row r="132" spans="1:7">
      <c r="A132" s="809">
        <v>6</v>
      </c>
      <c r="B132" s="1211" t="s">
        <v>2203</v>
      </c>
      <c r="C132" s="2174">
        <v>1</v>
      </c>
      <c r="D132" s="2174">
        <v>1</v>
      </c>
      <c r="E132" s="2174">
        <v>1</v>
      </c>
      <c r="F132" s="2174">
        <v>1</v>
      </c>
      <c r="G132" s="2174">
        <v>1</v>
      </c>
    </row>
    <row r="133" spans="1:7">
      <c r="A133" s="809">
        <v>7</v>
      </c>
      <c r="B133" s="1211" t="s">
        <v>2204</v>
      </c>
      <c r="C133" s="2174">
        <v>1</v>
      </c>
      <c r="D133" s="2174">
        <v>1</v>
      </c>
      <c r="E133" s="2174">
        <v>1</v>
      </c>
      <c r="F133" s="2174">
        <v>1</v>
      </c>
      <c r="G133" s="2174">
        <v>1</v>
      </c>
    </row>
    <row r="134" spans="1:7">
      <c r="A134" s="809">
        <v>8</v>
      </c>
      <c r="B134" s="1211" t="s">
        <v>2205</v>
      </c>
      <c r="C134" s="2174">
        <v>1</v>
      </c>
      <c r="D134" s="2174">
        <v>1</v>
      </c>
      <c r="E134" s="2174">
        <v>1</v>
      </c>
      <c r="F134" s="2174">
        <v>1</v>
      </c>
      <c r="G134" s="2174">
        <v>1</v>
      </c>
    </row>
    <row r="135" spans="1:7">
      <c r="A135" s="809">
        <v>9</v>
      </c>
      <c r="B135" s="1211" t="s">
        <v>2206</v>
      </c>
      <c r="C135" s="2174">
        <v>1</v>
      </c>
      <c r="D135" s="2174">
        <v>1</v>
      </c>
      <c r="E135" s="2174">
        <v>1</v>
      </c>
      <c r="F135" s="2174">
        <v>1</v>
      </c>
      <c r="G135" s="2174">
        <v>1</v>
      </c>
    </row>
    <row r="136" spans="1:7">
      <c r="A136" s="809">
        <v>10</v>
      </c>
      <c r="B136" s="1211" t="s">
        <v>2207</v>
      </c>
      <c r="C136" s="2174">
        <v>1</v>
      </c>
      <c r="D136" s="2174">
        <v>1</v>
      </c>
      <c r="E136" s="2174">
        <v>1</v>
      </c>
      <c r="F136" s="2174">
        <v>1</v>
      </c>
      <c r="G136" s="2174">
        <v>1</v>
      </c>
    </row>
    <row r="137" spans="1:7">
      <c r="A137" s="809">
        <v>11</v>
      </c>
      <c r="B137" s="1211" t="s">
        <v>2208</v>
      </c>
      <c r="C137" s="2174">
        <v>1</v>
      </c>
      <c r="D137" s="2174">
        <v>1</v>
      </c>
      <c r="E137" s="2174">
        <v>1</v>
      </c>
      <c r="F137" s="2174">
        <v>1</v>
      </c>
      <c r="G137" s="2174">
        <v>1</v>
      </c>
    </row>
    <row r="138" spans="1:7">
      <c r="A138" s="809">
        <v>12</v>
      </c>
      <c r="B138" s="1211" t="s">
        <v>2209</v>
      </c>
      <c r="C138" s="2174">
        <v>1</v>
      </c>
      <c r="D138" s="2174">
        <v>1</v>
      </c>
      <c r="E138" s="2174">
        <v>1</v>
      </c>
      <c r="F138" s="2174">
        <v>1</v>
      </c>
      <c r="G138" s="2174">
        <v>1</v>
      </c>
    </row>
    <row r="139" spans="1:7">
      <c r="A139" s="809">
        <v>13</v>
      </c>
      <c r="B139" s="1211" t="s">
        <v>2210</v>
      </c>
      <c r="C139" s="2174">
        <v>1</v>
      </c>
      <c r="D139" s="2174">
        <v>1</v>
      </c>
      <c r="E139" s="2174">
        <v>1</v>
      </c>
      <c r="F139" s="2174">
        <v>1</v>
      </c>
      <c r="G139" s="2174">
        <v>1</v>
      </c>
    </row>
    <row r="140" spans="1:7">
      <c r="A140" s="1093" t="s">
        <v>2211</v>
      </c>
      <c r="B140" s="2168" t="s">
        <v>1858</v>
      </c>
      <c r="C140" s="2185"/>
      <c r="D140" s="2185"/>
      <c r="E140" s="2185"/>
      <c r="F140" s="2185"/>
      <c r="G140" s="2185"/>
    </row>
    <row r="141" spans="1:7">
      <c r="A141" s="809">
        <v>1</v>
      </c>
      <c r="B141" s="1211" t="s">
        <v>2212</v>
      </c>
      <c r="C141" s="2174">
        <v>1</v>
      </c>
      <c r="D141" s="2174">
        <v>1</v>
      </c>
      <c r="E141" s="2174">
        <v>1</v>
      </c>
      <c r="F141" s="2174">
        <v>1</v>
      </c>
      <c r="G141" s="2174">
        <v>1</v>
      </c>
    </row>
    <row r="142" spans="1:7">
      <c r="A142" s="809">
        <v>2</v>
      </c>
      <c r="B142" s="1211" t="s">
        <v>2151</v>
      </c>
      <c r="C142" s="2174">
        <v>1</v>
      </c>
      <c r="D142" s="2174">
        <v>1</v>
      </c>
      <c r="E142" s="2174">
        <v>1</v>
      </c>
      <c r="F142" s="2174">
        <v>1</v>
      </c>
      <c r="G142" s="2174">
        <v>1</v>
      </c>
    </row>
    <row r="143" spans="1:7">
      <c r="A143" s="809">
        <v>3</v>
      </c>
      <c r="B143" s="1211" t="s">
        <v>2213</v>
      </c>
      <c r="C143" s="2174">
        <v>1</v>
      </c>
      <c r="D143" s="2174">
        <v>1</v>
      </c>
      <c r="E143" s="2174">
        <v>1</v>
      </c>
      <c r="F143" s="2174">
        <v>1</v>
      </c>
      <c r="G143" s="2174">
        <v>1</v>
      </c>
    </row>
    <row r="144" spans="1:7">
      <c r="A144" s="809">
        <v>4</v>
      </c>
      <c r="B144" s="1211" t="s">
        <v>2214</v>
      </c>
      <c r="C144" s="2174">
        <v>1</v>
      </c>
      <c r="D144" s="2174">
        <v>1</v>
      </c>
      <c r="E144" s="2174">
        <v>1</v>
      </c>
      <c r="F144" s="2174">
        <v>1</v>
      </c>
      <c r="G144" s="2174">
        <v>1</v>
      </c>
    </row>
    <row r="145" spans="1:7">
      <c r="A145" s="809">
        <v>5</v>
      </c>
      <c r="B145" s="1211" t="s">
        <v>2215</v>
      </c>
      <c r="C145" s="2174">
        <v>1</v>
      </c>
      <c r="D145" s="2174">
        <v>1</v>
      </c>
      <c r="E145" s="2174">
        <v>1</v>
      </c>
      <c r="F145" s="2174">
        <v>1</v>
      </c>
      <c r="G145" s="2174">
        <v>1</v>
      </c>
    </row>
    <row r="146" spans="1:7">
      <c r="A146" s="809">
        <v>6</v>
      </c>
      <c r="B146" s="1211" t="s">
        <v>2216</v>
      </c>
      <c r="C146" s="2174">
        <v>1</v>
      </c>
      <c r="D146" s="2174">
        <v>1</v>
      </c>
      <c r="E146" s="2174">
        <v>1</v>
      </c>
      <c r="F146" s="2174">
        <v>1</v>
      </c>
      <c r="G146" s="2174">
        <v>1</v>
      </c>
    </row>
    <row r="147" spans="1:7">
      <c r="A147" s="809">
        <v>7</v>
      </c>
      <c r="B147" s="1211" t="s">
        <v>2217</v>
      </c>
      <c r="C147" s="2174">
        <v>1</v>
      </c>
      <c r="D147" s="2174">
        <v>1</v>
      </c>
      <c r="E147" s="2174">
        <v>1</v>
      </c>
      <c r="F147" s="2174">
        <v>1</v>
      </c>
      <c r="G147" s="2174">
        <v>1</v>
      </c>
    </row>
    <row r="148" spans="1:7">
      <c r="A148" s="809">
        <v>8</v>
      </c>
      <c r="B148" s="1211" t="s">
        <v>2218</v>
      </c>
      <c r="C148" s="2174">
        <v>1</v>
      </c>
      <c r="D148" s="2174">
        <v>1</v>
      </c>
      <c r="E148" s="2174">
        <v>1</v>
      </c>
      <c r="F148" s="2174">
        <v>1</v>
      </c>
      <c r="G148" s="2174">
        <v>1</v>
      </c>
    </row>
    <row r="149" spans="1:7">
      <c r="A149" s="809">
        <v>9</v>
      </c>
      <c r="B149" s="1211" t="s">
        <v>2219</v>
      </c>
      <c r="C149" s="2174">
        <v>1</v>
      </c>
      <c r="D149" s="2174">
        <v>1</v>
      </c>
      <c r="E149" s="2174">
        <v>1</v>
      </c>
      <c r="F149" s="2174">
        <v>1</v>
      </c>
      <c r="G149" s="2174">
        <v>1</v>
      </c>
    </row>
    <row r="150" spans="1:7">
      <c r="A150" s="809">
        <v>10</v>
      </c>
      <c r="B150" s="1211" t="s">
        <v>2220</v>
      </c>
      <c r="C150" s="2174">
        <v>1</v>
      </c>
      <c r="D150" s="2174">
        <v>1</v>
      </c>
      <c r="E150" s="2174">
        <v>1</v>
      </c>
      <c r="F150" s="2174">
        <v>1</v>
      </c>
      <c r="G150" s="2174">
        <v>1</v>
      </c>
    </row>
    <row r="151" spans="1:7">
      <c r="A151" s="809">
        <v>11</v>
      </c>
      <c r="B151" s="1211" t="s">
        <v>2221</v>
      </c>
      <c r="C151" s="2174">
        <v>1</v>
      </c>
      <c r="D151" s="2174">
        <v>1</v>
      </c>
      <c r="E151" s="2174">
        <v>1</v>
      </c>
      <c r="F151" s="2174">
        <v>1</v>
      </c>
      <c r="G151" s="2174">
        <v>1</v>
      </c>
    </row>
    <row r="152" spans="1:7">
      <c r="A152" s="809">
        <v>12</v>
      </c>
      <c r="B152" s="1211" t="s">
        <v>2222</v>
      </c>
      <c r="C152" s="2174">
        <v>1</v>
      </c>
      <c r="D152" s="2174">
        <v>1</v>
      </c>
      <c r="E152" s="2174">
        <v>1</v>
      </c>
      <c r="F152" s="2174">
        <v>1</v>
      </c>
      <c r="G152" s="2174">
        <v>1</v>
      </c>
    </row>
    <row r="153" spans="1:7">
      <c r="A153" s="809">
        <v>13</v>
      </c>
      <c r="B153" s="1211" t="s">
        <v>2223</v>
      </c>
      <c r="C153" s="2174">
        <v>1</v>
      </c>
      <c r="D153" s="2174">
        <v>1</v>
      </c>
      <c r="E153" s="2174">
        <v>1</v>
      </c>
      <c r="F153" s="2174">
        <v>1</v>
      </c>
      <c r="G153" s="2174">
        <v>1</v>
      </c>
    </row>
    <row r="154" spans="1:7">
      <c r="A154" s="1093" t="s">
        <v>2224</v>
      </c>
      <c r="B154" s="2168" t="s">
        <v>2225</v>
      </c>
      <c r="C154" s="2185"/>
      <c r="D154" s="2185"/>
      <c r="E154" s="2185"/>
      <c r="F154" s="2185"/>
      <c r="G154" s="2185"/>
    </row>
    <row r="155" spans="1:7">
      <c r="A155" s="809">
        <v>1</v>
      </c>
      <c r="B155" s="1211" t="s">
        <v>2226</v>
      </c>
      <c r="C155" s="2174">
        <v>1</v>
      </c>
      <c r="D155" s="2174">
        <v>1</v>
      </c>
      <c r="E155" s="2174">
        <v>1</v>
      </c>
      <c r="F155" s="2174">
        <v>1</v>
      </c>
      <c r="G155" s="2174">
        <v>1</v>
      </c>
    </row>
    <row r="156" spans="1:7">
      <c r="A156" s="809">
        <v>2</v>
      </c>
      <c r="B156" s="1211" t="s">
        <v>2227</v>
      </c>
      <c r="C156" s="2174">
        <v>1</v>
      </c>
      <c r="D156" s="2174">
        <v>1</v>
      </c>
      <c r="E156" s="2174">
        <v>1</v>
      </c>
      <c r="F156" s="2174">
        <v>1</v>
      </c>
      <c r="G156" s="2174">
        <v>1</v>
      </c>
    </row>
    <row r="157" spans="1:7">
      <c r="A157" s="809">
        <v>3</v>
      </c>
      <c r="B157" s="1211" t="s">
        <v>2228</v>
      </c>
      <c r="C157" s="2174">
        <v>1</v>
      </c>
      <c r="D157" s="2174">
        <v>1</v>
      </c>
      <c r="E157" s="2174">
        <v>1</v>
      </c>
      <c r="F157" s="2174">
        <v>1</v>
      </c>
      <c r="G157" s="2174">
        <v>1</v>
      </c>
    </row>
    <row r="158" spans="1:7">
      <c r="A158" s="809">
        <v>4</v>
      </c>
      <c r="B158" s="1211" t="s">
        <v>2134</v>
      </c>
      <c r="C158" s="2174">
        <v>1</v>
      </c>
      <c r="D158" s="2174">
        <v>1</v>
      </c>
      <c r="E158" s="2174">
        <v>1</v>
      </c>
      <c r="F158" s="2174">
        <v>1</v>
      </c>
      <c r="G158" s="2174">
        <v>1</v>
      </c>
    </row>
    <row r="159" spans="1:7">
      <c r="A159" s="809">
        <v>5</v>
      </c>
      <c r="B159" s="1211" t="s">
        <v>2229</v>
      </c>
      <c r="C159" s="2174">
        <v>1</v>
      </c>
      <c r="D159" s="2174">
        <v>1</v>
      </c>
      <c r="E159" s="2174">
        <v>1</v>
      </c>
      <c r="F159" s="2174">
        <v>1</v>
      </c>
      <c r="G159" s="2174">
        <v>1</v>
      </c>
    </row>
    <row r="160" spans="1:7">
      <c r="A160" s="809">
        <v>6</v>
      </c>
      <c r="B160" s="1211" t="s">
        <v>2230</v>
      </c>
      <c r="C160" s="2174">
        <v>1</v>
      </c>
      <c r="D160" s="2174">
        <v>1</v>
      </c>
      <c r="E160" s="2174">
        <v>1</v>
      </c>
      <c r="F160" s="2174">
        <v>1</v>
      </c>
      <c r="G160" s="2174">
        <v>1</v>
      </c>
    </row>
    <row r="161" spans="1:7">
      <c r="A161" s="809">
        <v>7</v>
      </c>
      <c r="B161" s="1211" t="s">
        <v>2231</v>
      </c>
      <c r="C161" s="2174">
        <v>1</v>
      </c>
      <c r="D161" s="2174">
        <v>1</v>
      </c>
      <c r="E161" s="2174">
        <v>1</v>
      </c>
      <c r="F161" s="2174">
        <v>1</v>
      </c>
      <c r="G161" s="2174">
        <v>1</v>
      </c>
    </row>
    <row r="162" spans="1:7">
      <c r="A162" s="809">
        <v>8</v>
      </c>
      <c r="B162" s="1211" t="s">
        <v>2232</v>
      </c>
      <c r="C162" s="2174">
        <v>1</v>
      </c>
      <c r="D162" s="2174">
        <v>1</v>
      </c>
      <c r="E162" s="2174">
        <v>1</v>
      </c>
      <c r="F162" s="2174">
        <v>1</v>
      </c>
      <c r="G162" s="2174">
        <v>1</v>
      </c>
    </row>
    <row r="163" spans="1:7">
      <c r="A163" s="809">
        <v>9</v>
      </c>
      <c r="B163" s="1211" t="s">
        <v>2233</v>
      </c>
      <c r="C163" s="2174">
        <v>1</v>
      </c>
      <c r="D163" s="2174">
        <v>1</v>
      </c>
      <c r="E163" s="2174">
        <v>1</v>
      </c>
      <c r="F163" s="2174">
        <v>1</v>
      </c>
      <c r="G163" s="2174">
        <v>1</v>
      </c>
    </row>
    <row r="164" spans="1:7">
      <c r="A164" s="809">
        <v>10</v>
      </c>
      <c r="B164" s="1211" t="s">
        <v>2234</v>
      </c>
      <c r="C164" s="2174">
        <v>1</v>
      </c>
      <c r="D164" s="2174">
        <v>1</v>
      </c>
      <c r="E164" s="2174">
        <v>1</v>
      </c>
      <c r="F164" s="2174">
        <v>1</v>
      </c>
      <c r="G164" s="2174">
        <v>1</v>
      </c>
    </row>
    <row r="165" spans="1:7">
      <c r="A165" s="809">
        <v>11</v>
      </c>
      <c r="B165" s="1211" t="s">
        <v>2235</v>
      </c>
      <c r="C165" s="2174">
        <v>1</v>
      </c>
      <c r="D165" s="2174">
        <v>1</v>
      </c>
      <c r="E165" s="2174">
        <v>1</v>
      </c>
      <c r="F165" s="2174">
        <v>1</v>
      </c>
      <c r="G165" s="2174">
        <v>1</v>
      </c>
    </row>
    <row r="166" spans="1:7">
      <c r="A166" s="809">
        <v>12</v>
      </c>
      <c r="B166" s="1211" t="s">
        <v>2236</v>
      </c>
      <c r="C166" s="2174">
        <v>1</v>
      </c>
      <c r="D166" s="2174">
        <v>1</v>
      </c>
      <c r="E166" s="2174">
        <v>1</v>
      </c>
      <c r="F166" s="2174">
        <v>1</v>
      </c>
      <c r="G166" s="2174">
        <v>1</v>
      </c>
    </row>
    <row r="167" spans="1:7">
      <c r="A167" s="1093" t="s">
        <v>2237</v>
      </c>
      <c r="B167" s="2168" t="s">
        <v>335</v>
      </c>
      <c r="C167" s="2185"/>
      <c r="D167" s="2185"/>
      <c r="E167" s="2185"/>
      <c r="F167" s="2185"/>
      <c r="G167" s="2185"/>
    </row>
    <row r="168" spans="1:7">
      <c r="A168" s="809">
        <v>1</v>
      </c>
      <c r="B168" s="1211" t="s">
        <v>2164</v>
      </c>
      <c r="C168" s="4492" t="s">
        <v>2314</v>
      </c>
      <c r="D168" s="4493"/>
      <c r="E168" s="4493"/>
      <c r="F168" s="4493"/>
      <c r="G168" s="2174">
        <v>1</v>
      </c>
    </row>
    <row r="169" spans="1:7">
      <c r="A169" s="809">
        <v>2</v>
      </c>
      <c r="B169" s="1211" t="s">
        <v>2166</v>
      </c>
      <c r="C169" s="4493"/>
      <c r="D169" s="4493"/>
      <c r="E169" s="4493"/>
      <c r="F169" s="4493"/>
      <c r="G169" s="2174">
        <v>1</v>
      </c>
    </row>
    <row r="170" spans="1:7">
      <c r="A170" s="809">
        <v>3</v>
      </c>
      <c r="B170" s="1211" t="s">
        <v>2167</v>
      </c>
      <c r="C170" s="4493"/>
      <c r="D170" s="4493"/>
      <c r="E170" s="4493"/>
      <c r="F170" s="4493"/>
      <c r="G170" s="2174">
        <v>1</v>
      </c>
    </row>
    <row r="171" spans="1:7">
      <c r="A171" s="809">
        <v>4</v>
      </c>
      <c r="B171" s="1211" t="s">
        <v>2168</v>
      </c>
      <c r="C171" s="4493"/>
      <c r="D171" s="4493"/>
      <c r="E171" s="4493"/>
      <c r="F171" s="4493"/>
      <c r="G171" s="2174">
        <v>1</v>
      </c>
    </row>
    <row r="172" spans="1:7">
      <c r="A172" s="809">
        <v>5</v>
      </c>
      <c r="B172" s="1211" t="s">
        <v>2239</v>
      </c>
      <c r="C172" s="4493"/>
      <c r="D172" s="4493"/>
      <c r="E172" s="4493"/>
      <c r="F172" s="4493"/>
      <c r="G172" s="2174">
        <v>1</v>
      </c>
    </row>
    <row r="173" spans="1:7">
      <c r="A173" s="860">
        <v>6</v>
      </c>
      <c r="B173" s="229" t="s">
        <v>2240</v>
      </c>
      <c r="C173" s="4493"/>
      <c r="D173" s="4493"/>
      <c r="E173" s="4493"/>
      <c r="F173" s="4493"/>
      <c r="G173" s="2198">
        <v>1</v>
      </c>
    </row>
    <row r="174" spans="1:7">
      <c r="A174" s="809">
        <v>7</v>
      </c>
      <c r="B174" s="1211" t="s">
        <v>2241</v>
      </c>
      <c r="C174" s="2174">
        <v>1</v>
      </c>
      <c r="D174" s="2174">
        <v>1</v>
      </c>
      <c r="E174" s="2174">
        <v>1</v>
      </c>
      <c r="F174" s="2174">
        <v>1</v>
      </c>
      <c r="G174" s="2174">
        <v>1</v>
      </c>
    </row>
    <row r="175" spans="1:7">
      <c r="A175" s="809">
        <v>8</v>
      </c>
      <c r="B175" s="1211" t="s">
        <v>2242</v>
      </c>
      <c r="C175" s="2174">
        <v>1</v>
      </c>
      <c r="D175" s="2174">
        <v>1</v>
      </c>
      <c r="E175" s="2174">
        <v>1</v>
      </c>
      <c r="F175" s="2174">
        <v>1</v>
      </c>
      <c r="G175" s="2174">
        <v>1</v>
      </c>
    </row>
    <row r="176" spans="1:7">
      <c r="A176" s="809">
        <v>9</v>
      </c>
      <c r="B176" s="1211" t="s">
        <v>2243</v>
      </c>
      <c r="C176" s="2174">
        <v>1</v>
      </c>
      <c r="D176" s="2174">
        <v>1</v>
      </c>
      <c r="E176" s="2174">
        <v>1</v>
      </c>
      <c r="F176" s="2174">
        <v>1</v>
      </c>
      <c r="G176" s="2174">
        <v>1</v>
      </c>
    </row>
    <row r="177" spans="1:7">
      <c r="A177" s="1093" t="s">
        <v>2244</v>
      </c>
      <c r="B177" s="2168" t="s">
        <v>2245</v>
      </c>
      <c r="C177" s="2185"/>
      <c r="D177" s="2185"/>
      <c r="E177" s="2185"/>
      <c r="F177" s="2185"/>
      <c r="G177" s="2185"/>
    </row>
    <row r="178" spans="1:7">
      <c r="A178" s="809">
        <v>1</v>
      </c>
      <c r="B178" s="1211" t="s">
        <v>2246</v>
      </c>
      <c r="C178" s="2174">
        <v>1</v>
      </c>
      <c r="D178" s="2174">
        <v>1</v>
      </c>
      <c r="E178" s="2174">
        <v>1</v>
      </c>
      <c r="F178" s="2174">
        <v>1</v>
      </c>
      <c r="G178" s="2174">
        <v>1</v>
      </c>
    </row>
    <row r="179" spans="1:7">
      <c r="A179" s="809">
        <v>2</v>
      </c>
      <c r="B179" s="1211" t="s">
        <v>2162</v>
      </c>
      <c r="C179" s="2174">
        <v>1</v>
      </c>
      <c r="D179" s="2174">
        <v>1</v>
      </c>
      <c r="E179" s="2174">
        <v>1</v>
      </c>
      <c r="F179" s="2174">
        <v>1</v>
      </c>
      <c r="G179" s="2174">
        <v>1</v>
      </c>
    </row>
    <row r="180" spans="1:7">
      <c r="A180" s="809">
        <v>3</v>
      </c>
      <c r="B180" s="1211" t="s">
        <v>2247</v>
      </c>
      <c r="C180" s="2174">
        <v>1</v>
      </c>
      <c r="D180" s="2174">
        <v>1</v>
      </c>
      <c r="E180" s="2174">
        <v>1</v>
      </c>
      <c r="F180" s="2174">
        <v>1</v>
      </c>
      <c r="G180" s="2174">
        <v>1</v>
      </c>
    </row>
    <row r="181" spans="1:7">
      <c r="A181" s="809">
        <v>4</v>
      </c>
      <c r="B181" s="1211" t="s">
        <v>2248</v>
      </c>
      <c r="C181" s="2174">
        <v>1</v>
      </c>
      <c r="D181" s="2174">
        <v>1</v>
      </c>
      <c r="E181" s="2174">
        <v>1</v>
      </c>
      <c r="F181" s="2174">
        <v>1</v>
      </c>
      <c r="G181" s="2174">
        <v>1</v>
      </c>
    </row>
    <row r="182" spans="1:7">
      <c r="A182" s="809">
        <v>5</v>
      </c>
      <c r="B182" s="1211" t="s">
        <v>2249</v>
      </c>
      <c r="C182" s="2174">
        <v>1</v>
      </c>
      <c r="D182" s="2174">
        <v>1</v>
      </c>
      <c r="E182" s="2174">
        <v>1</v>
      </c>
      <c r="F182" s="2174">
        <v>1</v>
      </c>
      <c r="G182" s="2174">
        <v>1</v>
      </c>
    </row>
    <row r="183" spans="1:7">
      <c r="A183" s="809">
        <v>6</v>
      </c>
      <c r="B183" s="1211" t="s">
        <v>2250</v>
      </c>
      <c r="C183" s="2174">
        <v>1</v>
      </c>
      <c r="D183" s="2174">
        <v>1</v>
      </c>
      <c r="E183" s="2174">
        <v>1</v>
      </c>
      <c r="F183" s="2174">
        <v>1</v>
      </c>
      <c r="G183" s="2174">
        <v>1</v>
      </c>
    </row>
    <row r="184" spans="1:7">
      <c r="A184" s="809">
        <v>7</v>
      </c>
      <c r="B184" s="1211" t="s">
        <v>2251</v>
      </c>
      <c r="C184" s="2174">
        <v>1</v>
      </c>
      <c r="D184" s="2174">
        <v>1</v>
      </c>
      <c r="E184" s="2174">
        <v>1</v>
      </c>
      <c r="F184" s="2174">
        <v>1</v>
      </c>
      <c r="G184" s="2174">
        <v>1</v>
      </c>
    </row>
    <row r="185" spans="1:7">
      <c r="A185" s="809">
        <v>8</v>
      </c>
      <c r="B185" s="1211" t="s">
        <v>2252</v>
      </c>
      <c r="C185" s="2174">
        <v>1</v>
      </c>
      <c r="D185" s="2174">
        <v>1</v>
      </c>
      <c r="E185" s="2174">
        <v>1</v>
      </c>
      <c r="F185" s="2174">
        <v>1</v>
      </c>
      <c r="G185" s="2174">
        <v>1</v>
      </c>
    </row>
    <row r="186" spans="1:7">
      <c r="A186" s="809">
        <v>9</v>
      </c>
      <c r="B186" s="1211" t="s">
        <v>2253</v>
      </c>
      <c r="C186" s="2174">
        <v>1</v>
      </c>
      <c r="D186" s="2174">
        <v>1</v>
      </c>
      <c r="E186" s="2174">
        <v>1</v>
      </c>
      <c r="F186" s="2174">
        <v>1</v>
      </c>
      <c r="G186" s="2174">
        <v>1</v>
      </c>
    </row>
    <row r="187" spans="1:7">
      <c r="A187" s="809">
        <v>10</v>
      </c>
      <c r="B187" s="1211" t="s">
        <v>2254</v>
      </c>
      <c r="C187" s="2174">
        <v>1</v>
      </c>
      <c r="D187" s="2174">
        <v>1</v>
      </c>
      <c r="E187" s="2174">
        <v>1</v>
      </c>
      <c r="F187" s="2174">
        <v>1</v>
      </c>
      <c r="G187" s="2174">
        <v>1</v>
      </c>
    </row>
    <row r="188" spans="1:7">
      <c r="A188" s="809">
        <v>11</v>
      </c>
      <c r="B188" s="1211" t="s">
        <v>2255</v>
      </c>
      <c r="C188" s="2174">
        <v>1</v>
      </c>
      <c r="D188" s="2174">
        <v>1</v>
      </c>
      <c r="E188" s="2174">
        <v>1</v>
      </c>
      <c r="F188" s="2174">
        <v>1</v>
      </c>
      <c r="G188" s="2174">
        <v>1</v>
      </c>
    </row>
    <row r="189" spans="1:7">
      <c r="A189" s="1212">
        <v>12</v>
      </c>
      <c r="B189" s="1213" t="s">
        <v>2256</v>
      </c>
      <c r="C189" s="2175">
        <v>1</v>
      </c>
      <c r="D189" s="2175">
        <v>1</v>
      </c>
      <c r="E189" s="2175">
        <v>1</v>
      </c>
      <c r="F189" s="2175">
        <v>1</v>
      </c>
      <c r="G189" s="2175">
        <v>1</v>
      </c>
    </row>
    <row r="190" spans="1:7">
      <c r="A190" s="246"/>
      <c r="B190" s="248" t="s">
        <v>2257</v>
      </c>
      <c r="E190" s="4494"/>
      <c r="F190" s="4494"/>
      <c r="G190" s="4494"/>
    </row>
    <row r="191" spans="1:7">
      <c r="A191" s="246"/>
      <c r="B191" s="2200" t="s">
        <v>2258</v>
      </c>
      <c r="E191" s="2191"/>
      <c r="F191" s="2191"/>
      <c r="G191" s="2191"/>
    </row>
    <row r="192" spans="1:7">
      <c r="A192" s="246"/>
      <c r="B192" s="2200" t="s">
        <v>2259</v>
      </c>
      <c r="E192" s="4333"/>
      <c r="F192" s="4333"/>
      <c r="G192" s="4333"/>
    </row>
    <row r="193" spans="1:7">
      <c r="A193" s="246"/>
      <c r="B193" s="2200" t="s">
        <v>2260</v>
      </c>
      <c r="E193" s="4333"/>
      <c r="F193" s="4333"/>
      <c r="G193" s="4333"/>
    </row>
    <row r="194" spans="1:7">
      <c r="A194" s="246"/>
      <c r="B194" s="2200" t="s">
        <v>2261</v>
      </c>
    </row>
    <row r="195" spans="1:7">
      <c r="A195" s="246"/>
      <c r="B195" s="2200" t="s">
        <v>2262</v>
      </c>
    </row>
    <row r="196" spans="1:7">
      <c r="A196" s="246"/>
    </row>
  </sheetData>
  <mergeCells count="34">
    <mergeCell ref="A1:Q1"/>
    <mergeCell ref="P3:Q3"/>
    <mergeCell ref="A4:A6"/>
    <mergeCell ref="B4:B6"/>
    <mergeCell ref="C4:Q4"/>
    <mergeCell ref="C5:G5"/>
    <mergeCell ref="H5:H6"/>
    <mergeCell ref="I5:I6"/>
    <mergeCell ref="J5:J6"/>
    <mergeCell ref="K5:K6"/>
    <mergeCell ref="A2:Q2"/>
    <mergeCell ref="L5:L6"/>
    <mergeCell ref="M5:M6"/>
    <mergeCell ref="N5:N6"/>
    <mergeCell ref="A28:G28"/>
    <mergeCell ref="P5:P6"/>
    <mergeCell ref="Q5:Q6"/>
    <mergeCell ref="A33:A34"/>
    <mergeCell ref="B33:B34"/>
    <mergeCell ref="C33:G33"/>
    <mergeCell ref="O5:O6"/>
    <mergeCell ref="M19:P19"/>
    <mergeCell ref="M20:P20"/>
    <mergeCell ref="M21:P21"/>
    <mergeCell ref="B26:Q26"/>
    <mergeCell ref="A30:G30"/>
    <mergeCell ref="A29:G29"/>
    <mergeCell ref="E193:G193"/>
    <mergeCell ref="F32:G32"/>
    <mergeCell ref="C47:F51"/>
    <mergeCell ref="C92:F99"/>
    <mergeCell ref="C168:F173"/>
    <mergeCell ref="E190:G190"/>
    <mergeCell ref="E192:G192"/>
  </mergeCells>
  <hyperlinks>
    <hyperlink ref="A4:A6" location="'List danh mục'!A1" display="'List danh mục'!A1"/>
  </hyperlinks>
  <pageMargins left="0.70866141732283472" right="0.70866141732283472" top="0.74803149606299213" bottom="0.74803149606299213" header="0.31496062992125984" footer="0.31496062992125984"/>
  <pageSetup scale="80" orientation="landscape"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V526"/>
  <sheetViews>
    <sheetView topLeftCell="A515" zoomScale="75" zoomScaleNormal="75" workbookViewId="0">
      <selection activeCell="A30" sqref="A30:G30"/>
    </sheetView>
  </sheetViews>
  <sheetFormatPr defaultColWidth="10.19921875" defaultRowHeight="15.6"/>
  <cols>
    <col min="1" max="1" width="5.09765625" style="245" customWidth="1"/>
    <col min="2" max="2" width="29.5" style="245" customWidth="1"/>
    <col min="3" max="3" width="11.5" style="245" hidden="1" customWidth="1"/>
    <col min="4" max="4" width="13.8984375" style="245" hidden="1" customWidth="1"/>
    <col min="5" max="5" width="7.5" style="245" hidden="1" customWidth="1"/>
    <col min="6" max="6" width="17.09765625" style="245" hidden="1" customWidth="1"/>
    <col min="7" max="7" width="11.09765625" style="220" customWidth="1"/>
    <col min="8" max="8" width="8.69921875" style="220" customWidth="1"/>
    <col min="9" max="9" width="10.5" style="220" customWidth="1"/>
    <col min="10" max="10" width="10.8984375" style="220" customWidth="1"/>
    <col min="11" max="11" width="10.19921875" style="220" customWidth="1"/>
    <col min="12" max="12" width="8.69921875" style="220" customWidth="1"/>
    <col min="13" max="13" width="10.19921875" style="220" customWidth="1"/>
    <col min="14" max="14" width="10.69921875" style="220" customWidth="1"/>
    <col min="15" max="15" width="10" style="220" customWidth="1"/>
    <col min="16" max="16" width="8.69921875" style="220" customWidth="1"/>
    <col min="17" max="17" width="10.69921875" style="220" customWidth="1"/>
    <col min="18" max="18" width="10.59765625" style="220" customWidth="1"/>
    <col min="19" max="19" width="10" style="245" customWidth="1"/>
    <col min="20" max="20" width="7.5" style="245" customWidth="1"/>
    <col min="21" max="22" width="11.09765625" style="245" customWidth="1"/>
    <col min="23" max="16384" width="10.19921875" style="245"/>
  </cols>
  <sheetData>
    <row r="1" spans="1:22" s="37" customFormat="1" ht="26.4" customHeight="1">
      <c r="A1" s="4012"/>
      <c r="B1" s="4012"/>
      <c r="C1" s="4506" t="s">
        <v>3418</v>
      </c>
      <c r="D1" s="4506"/>
      <c r="E1" s="4506"/>
      <c r="F1" s="4013"/>
      <c r="G1" s="4013"/>
      <c r="H1" s="4014"/>
      <c r="I1" s="4014"/>
      <c r="J1" s="4014"/>
      <c r="K1" s="4014"/>
      <c r="L1" s="4014"/>
      <c r="M1" s="4014"/>
      <c r="N1" s="4014"/>
      <c r="O1" s="4014"/>
      <c r="P1" s="4014"/>
      <c r="Q1" s="4014"/>
      <c r="R1" s="4014"/>
      <c r="S1" s="4015"/>
      <c r="T1" s="4015"/>
      <c r="U1" s="4507" t="s">
        <v>2856</v>
      </c>
      <c r="V1" s="4507"/>
    </row>
    <row r="2" spans="1:22" s="37" customFormat="1" ht="18">
      <c r="G2" s="1"/>
      <c r="H2" s="1"/>
      <c r="I2" s="1"/>
      <c r="J2" s="1"/>
      <c r="K2" s="1"/>
      <c r="L2" s="1"/>
      <c r="M2" s="1"/>
      <c r="N2" s="1"/>
      <c r="O2" s="1"/>
      <c r="P2" s="1"/>
      <c r="Q2" s="1"/>
      <c r="R2" s="1"/>
    </row>
    <row r="3" spans="1:22" s="37" customFormat="1" ht="18">
      <c r="A3" s="4016"/>
      <c r="B3" s="4015"/>
      <c r="C3" s="4508" t="s">
        <v>2857</v>
      </c>
      <c r="D3" s="4508"/>
      <c r="E3" s="4508"/>
      <c r="F3" s="4508"/>
      <c r="G3" s="4508"/>
      <c r="H3" s="4508"/>
      <c r="I3" s="4508"/>
      <c r="J3" s="4508"/>
      <c r="K3" s="4508"/>
      <c r="L3" s="4508"/>
      <c r="M3" s="4508"/>
      <c r="N3" s="4508"/>
      <c r="O3" s="4508"/>
      <c r="P3" s="4508"/>
      <c r="Q3" s="4508"/>
      <c r="R3" s="4508"/>
      <c r="S3" s="4015"/>
      <c r="T3" s="4015"/>
      <c r="U3" s="4015"/>
      <c r="V3" s="4015"/>
    </row>
    <row r="4" spans="1:22" s="37" customFormat="1" ht="18">
      <c r="A4" s="4017"/>
      <c r="B4" s="4015"/>
      <c r="C4" s="4509" t="s">
        <v>2826</v>
      </c>
      <c r="D4" s="4509"/>
      <c r="E4" s="4509"/>
      <c r="F4" s="4509"/>
      <c r="G4" s="4509"/>
      <c r="H4" s="4509"/>
      <c r="I4" s="4509"/>
      <c r="J4" s="4509"/>
      <c r="K4" s="4509"/>
      <c r="L4" s="4509"/>
      <c r="M4" s="4509"/>
      <c r="N4" s="4509"/>
      <c r="O4" s="4509"/>
      <c r="P4" s="4509"/>
      <c r="Q4" s="4509"/>
      <c r="R4" s="4509"/>
      <c r="S4" s="4015"/>
      <c r="T4" s="4015"/>
      <c r="U4" s="4015"/>
      <c r="V4" s="4015"/>
    </row>
    <row r="5" spans="1:22">
      <c r="A5" s="4510" t="s">
        <v>2827</v>
      </c>
      <c r="B5" s="4511"/>
      <c r="C5" s="4511"/>
      <c r="D5" s="4511"/>
      <c r="E5" s="4511"/>
      <c r="F5" s="4511"/>
      <c r="G5" s="4511"/>
      <c r="H5" s="4511"/>
      <c r="I5" s="4511"/>
      <c r="J5" s="4511"/>
      <c r="K5" s="4511"/>
      <c r="L5" s="4511"/>
      <c r="M5" s="4511"/>
      <c r="N5" s="4511"/>
      <c r="O5" s="4511"/>
      <c r="P5" s="4511"/>
      <c r="Q5" s="4511"/>
      <c r="R5" s="4511"/>
      <c r="S5" s="4511"/>
      <c r="T5" s="4511"/>
      <c r="U5" s="4511"/>
      <c r="V5" s="4511"/>
    </row>
    <row r="6" spans="1:22">
      <c r="A6" s="4505" t="s">
        <v>244</v>
      </c>
      <c r="B6" s="4505" t="s">
        <v>2858</v>
      </c>
      <c r="C6" s="4505" t="s">
        <v>2859</v>
      </c>
      <c r="D6" s="4505" t="s">
        <v>2860</v>
      </c>
      <c r="E6" s="4505" t="s">
        <v>2861</v>
      </c>
      <c r="F6" s="4505" t="s">
        <v>2862</v>
      </c>
      <c r="G6" s="4505"/>
      <c r="H6" s="4505"/>
      <c r="I6" s="4505"/>
      <c r="J6" s="4505"/>
      <c r="K6" s="4512" t="s">
        <v>2863</v>
      </c>
      <c r="L6" s="4512"/>
      <c r="M6" s="4512"/>
      <c r="N6" s="4512"/>
      <c r="O6" s="4512" t="s">
        <v>2864</v>
      </c>
      <c r="P6" s="4512"/>
      <c r="Q6" s="4512"/>
      <c r="R6" s="4512"/>
      <c r="S6" s="4513" t="s">
        <v>2865</v>
      </c>
      <c r="T6" s="4513"/>
      <c r="U6" s="4513"/>
      <c r="V6" s="4513"/>
    </row>
    <row r="7" spans="1:22">
      <c r="A7" s="4505"/>
      <c r="B7" s="4505"/>
      <c r="C7" s="4505"/>
      <c r="D7" s="4505"/>
      <c r="E7" s="4505"/>
      <c r="F7" s="4505" t="s">
        <v>2866</v>
      </c>
      <c r="G7" s="4512" t="s">
        <v>2867</v>
      </c>
      <c r="H7" s="4512"/>
      <c r="I7" s="4512"/>
      <c r="J7" s="4512"/>
      <c r="K7" s="4512"/>
      <c r="L7" s="4512"/>
      <c r="M7" s="4512"/>
      <c r="N7" s="4512"/>
      <c r="O7" s="4512"/>
      <c r="P7" s="4512"/>
      <c r="Q7" s="4512"/>
      <c r="R7" s="4512"/>
      <c r="S7" s="4513"/>
      <c r="T7" s="4513"/>
      <c r="U7" s="4513"/>
      <c r="V7" s="4513"/>
    </row>
    <row r="8" spans="1:22">
      <c r="A8" s="4505"/>
      <c r="B8" s="4505"/>
      <c r="C8" s="4505"/>
      <c r="D8" s="4505"/>
      <c r="E8" s="4505"/>
      <c r="F8" s="4505"/>
      <c r="G8" s="4512" t="s">
        <v>3419</v>
      </c>
      <c r="H8" s="4512" t="s">
        <v>2868</v>
      </c>
      <c r="I8" s="4512"/>
      <c r="J8" s="4512"/>
      <c r="K8" s="4512" t="s">
        <v>4</v>
      </c>
      <c r="L8" s="4512" t="s">
        <v>2868</v>
      </c>
      <c r="M8" s="4512"/>
      <c r="N8" s="4512"/>
      <c r="O8" s="4512" t="s">
        <v>4</v>
      </c>
      <c r="P8" s="4512" t="s">
        <v>2868</v>
      </c>
      <c r="Q8" s="4512"/>
      <c r="R8" s="4512"/>
      <c r="S8" s="4505" t="s">
        <v>4</v>
      </c>
      <c r="T8" s="4513" t="s">
        <v>2868</v>
      </c>
      <c r="U8" s="4513"/>
      <c r="V8" s="4513"/>
    </row>
    <row r="9" spans="1:22" ht="43.5" customHeight="1">
      <c r="A9" s="4505"/>
      <c r="B9" s="4505"/>
      <c r="C9" s="4505"/>
      <c r="D9" s="4505"/>
      <c r="E9" s="4505"/>
      <c r="F9" s="4505"/>
      <c r="G9" s="4512"/>
      <c r="H9" s="4019" t="s">
        <v>2869</v>
      </c>
      <c r="I9" s="4019" t="s">
        <v>2733</v>
      </c>
      <c r="J9" s="4019" t="s">
        <v>2734</v>
      </c>
      <c r="K9" s="4512"/>
      <c r="L9" s="4019" t="s">
        <v>2869</v>
      </c>
      <c r="M9" s="4019" t="s">
        <v>2733</v>
      </c>
      <c r="N9" s="4019" t="s">
        <v>2734</v>
      </c>
      <c r="O9" s="4512"/>
      <c r="P9" s="4019" t="s">
        <v>2869</v>
      </c>
      <c r="Q9" s="4019" t="s">
        <v>2733</v>
      </c>
      <c r="R9" s="4019" t="s">
        <v>2734</v>
      </c>
      <c r="S9" s="4505"/>
      <c r="T9" s="4018" t="s">
        <v>2869</v>
      </c>
      <c r="U9" s="4018" t="s">
        <v>2733</v>
      </c>
      <c r="V9" s="4020" t="s">
        <v>2734</v>
      </c>
    </row>
    <row r="10" spans="1:22">
      <c r="A10" s="4021" t="s">
        <v>7</v>
      </c>
      <c r="B10" s="4021" t="s">
        <v>22</v>
      </c>
      <c r="C10" s="4021">
        <v>1</v>
      </c>
      <c r="D10" s="4021">
        <v>2</v>
      </c>
      <c r="E10" s="4021">
        <v>3</v>
      </c>
      <c r="F10" s="4021">
        <v>4</v>
      </c>
      <c r="G10" s="4022">
        <v>5</v>
      </c>
      <c r="H10" s="4022">
        <v>6</v>
      </c>
      <c r="I10" s="4022">
        <v>7</v>
      </c>
      <c r="J10" s="4022">
        <v>8</v>
      </c>
      <c r="K10" s="4022">
        <v>9</v>
      </c>
      <c r="L10" s="4022">
        <v>10</v>
      </c>
      <c r="M10" s="4022">
        <v>11</v>
      </c>
      <c r="N10" s="4022">
        <v>12</v>
      </c>
      <c r="O10" s="4022">
        <v>13</v>
      </c>
      <c r="P10" s="4022">
        <v>14</v>
      </c>
      <c r="Q10" s="4022">
        <v>15</v>
      </c>
      <c r="R10" s="4022">
        <v>16</v>
      </c>
      <c r="S10" s="4022">
        <v>17</v>
      </c>
      <c r="T10" s="4021">
        <v>18</v>
      </c>
      <c r="U10" s="4021">
        <v>19</v>
      </c>
      <c r="V10" s="4021">
        <v>20</v>
      </c>
    </row>
    <row r="11" spans="1:22" s="4026" customFormat="1" ht="32.4" customHeight="1">
      <c r="A11" s="4023"/>
      <c r="B11" s="4024" t="s">
        <v>363</v>
      </c>
      <c r="C11" s="4023"/>
      <c r="D11" s="4023"/>
      <c r="E11" s="4023"/>
      <c r="F11" s="4023"/>
      <c r="G11" s="4025">
        <f t="shared" ref="G11:V11" si="0">G12+G525</f>
        <v>20666290.382000003</v>
      </c>
      <c r="H11" s="4025">
        <f t="shared" si="0"/>
        <v>897450</v>
      </c>
      <c r="I11" s="4025">
        <f t="shared" si="0"/>
        <v>8319560.1940000001</v>
      </c>
      <c r="J11" s="4025">
        <f t="shared" si="0"/>
        <v>11188331.112</v>
      </c>
      <c r="K11" s="4025">
        <f t="shared" si="0"/>
        <v>5968998.4591437001</v>
      </c>
      <c r="L11" s="4025">
        <f t="shared" si="0"/>
        <v>535490.6</v>
      </c>
      <c r="M11" s="4025">
        <f t="shared" si="0"/>
        <v>2617957.0841437001</v>
      </c>
      <c r="N11" s="4025">
        <f t="shared" si="0"/>
        <v>2815050.7750000004</v>
      </c>
      <c r="O11" s="4025">
        <f t="shared" si="0"/>
        <v>6666063.7139999997</v>
      </c>
      <c r="P11" s="4025">
        <f t="shared" si="0"/>
        <v>886634.71400000004</v>
      </c>
      <c r="Q11" s="4025">
        <f t="shared" si="0"/>
        <v>2890215</v>
      </c>
      <c r="R11" s="4025">
        <f t="shared" si="0"/>
        <v>2889214</v>
      </c>
      <c r="S11" s="4025">
        <f t="shared" si="0"/>
        <v>6677677</v>
      </c>
      <c r="T11" s="4025">
        <f t="shared" si="0"/>
        <v>85000</v>
      </c>
      <c r="U11" s="4025">
        <f t="shared" si="0"/>
        <v>1729491</v>
      </c>
      <c r="V11" s="4025">
        <f t="shared" si="0"/>
        <v>4863186</v>
      </c>
    </row>
    <row r="12" spans="1:22" s="248" customFormat="1">
      <c r="A12" s="4009" t="s">
        <v>3420</v>
      </c>
      <c r="B12" s="4010" t="s">
        <v>3403</v>
      </c>
      <c r="C12" s="4009"/>
      <c r="D12" s="4009"/>
      <c r="E12" s="4009"/>
      <c r="F12" s="4009"/>
      <c r="G12" s="4027">
        <f t="shared" ref="G12:V12" si="1">G13+G24+G33+G46+G172+G177+G189+G202+G228+G241+G490+G515+G520</f>
        <v>20666290.382000003</v>
      </c>
      <c r="H12" s="4027">
        <f t="shared" si="1"/>
        <v>897450</v>
      </c>
      <c r="I12" s="4027">
        <f t="shared" si="1"/>
        <v>8319560.1940000001</v>
      </c>
      <c r="J12" s="4027">
        <f t="shared" si="1"/>
        <v>11188331.112</v>
      </c>
      <c r="K12" s="4027">
        <f t="shared" si="1"/>
        <v>5968998.4591437001</v>
      </c>
      <c r="L12" s="4027">
        <f t="shared" si="1"/>
        <v>535490.6</v>
      </c>
      <c r="M12" s="4027">
        <f t="shared" si="1"/>
        <v>2617957.0841437001</v>
      </c>
      <c r="N12" s="4027">
        <f t="shared" si="1"/>
        <v>2815050.7750000004</v>
      </c>
      <c r="O12" s="4027">
        <f t="shared" si="1"/>
        <v>6666063.7139999997</v>
      </c>
      <c r="P12" s="4027">
        <f t="shared" si="1"/>
        <v>886634.71400000004</v>
      </c>
      <c r="Q12" s="4027">
        <f t="shared" si="1"/>
        <v>2890215</v>
      </c>
      <c r="R12" s="4027">
        <f t="shared" si="1"/>
        <v>2889214</v>
      </c>
      <c r="S12" s="4027">
        <f t="shared" si="1"/>
        <v>4953677</v>
      </c>
      <c r="T12" s="4027">
        <f t="shared" si="1"/>
        <v>85000</v>
      </c>
      <c r="U12" s="4027">
        <f t="shared" si="1"/>
        <v>1729491</v>
      </c>
      <c r="V12" s="4027">
        <f t="shared" si="1"/>
        <v>3139186</v>
      </c>
    </row>
    <row r="13" spans="1:22" s="248" customFormat="1">
      <c r="A13" s="4009" t="s">
        <v>7</v>
      </c>
      <c r="B13" s="4010" t="s">
        <v>2870</v>
      </c>
      <c r="C13" s="4009"/>
      <c r="D13" s="4009"/>
      <c r="E13" s="4009"/>
      <c r="F13" s="4009"/>
      <c r="G13" s="4027">
        <f t="shared" ref="G13:U13" si="2">G14+G18</f>
        <v>884422.63199999998</v>
      </c>
      <c r="H13" s="4027">
        <f t="shared" si="2"/>
        <v>0</v>
      </c>
      <c r="I13" s="4027">
        <f t="shared" si="2"/>
        <v>144000</v>
      </c>
      <c r="J13" s="4027">
        <f t="shared" si="2"/>
        <v>740422.63199999998</v>
      </c>
      <c r="K13" s="4027">
        <f t="shared" si="2"/>
        <v>11200</v>
      </c>
      <c r="L13" s="4027">
        <f t="shared" si="2"/>
        <v>0</v>
      </c>
      <c r="M13" s="4027">
        <f t="shared" si="2"/>
        <v>0</v>
      </c>
      <c r="N13" s="4027">
        <f t="shared" si="2"/>
        <v>11200</v>
      </c>
      <c r="O13" s="4027">
        <f t="shared" si="2"/>
        <v>11200</v>
      </c>
      <c r="P13" s="4027">
        <f t="shared" si="2"/>
        <v>0</v>
      </c>
      <c r="Q13" s="4027">
        <f t="shared" si="2"/>
        <v>0</v>
      </c>
      <c r="R13" s="4027">
        <f t="shared" si="2"/>
        <v>11200</v>
      </c>
      <c r="S13" s="4027">
        <f t="shared" si="2"/>
        <v>70300</v>
      </c>
      <c r="T13" s="4027">
        <f t="shared" si="2"/>
        <v>0</v>
      </c>
      <c r="U13" s="4027">
        <f t="shared" si="2"/>
        <v>0</v>
      </c>
      <c r="V13" s="4027">
        <f>V14+V18</f>
        <v>70300</v>
      </c>
    </row>
    <row r="14" spans="1:22" s="248" customFormat="1" ht="31.2">
      <c r="A14" s="4009" t="s">
        <v>9</v>
      </c>
      <c r="B14" s="4010" t="s">
        <v>2845</v>
      </c>
      <c r="C14" s="4009"/>
      <c r="D14" s="4009"/>
      <c r="E14" s="4009"/>
      <c r="F14" s="4009"/>
      <c r="G14" s="4027">
        <f t="shared" ref="G14:V19" si="3">G15</f>
        <v>240000</v>
      </c>
      <c r="H14" s="4027">
        <f t="shared" si="3"/>
        <v>0</v>
      </c>
      <c r="I14" s="4027">
        <f t="shared" si="3"/>
        <v>144000</v>
      </c>
      <c r="J14" s="4027">
        <f t="shared" si="3"/>
        <v>96000</v>
      </c>
      <c r="K14" s="4027">
        <f t="shared" si="3"/>
        <v>5000</v>
      </c>
      <c r="L14" s="4027">
        <f t="shared" si="3"/>
        <v>0</v>
      </c>
      <c r="M14" s="4027">
        <f t="shared" si="3"/>
        <v>0</v>
      </c>
      <c r="N14" s="4027">
        <f t="shared" si="3"/>
        <v>5000</v>
      </c>
      <c r="O14" s="4027">
        <f t="shared" si="3"/>
        <v>5000</v>
      </c>
      <c r="P14" s="4027">
        <f t="shared" si="3"/>
        <v>0</v>
      </c>
      <c r="Q14" s="4027">
        <f t="shared" si="3"/>
        <v>0</v>
      </c>
      <c r="R14" s="4027">
        <f t="shared" si="3"/>
        <v>5000</v>
      </c>
      <c r="S14" s="4027">
        <f t="shared" si="3"/>
        <v>20000</v>
      </c>
      <c r="T14" s="4027">
        <f t="shared" si="3"/>
        <v>0</v>
      </c>
      <c r="U14" s="4027">
        <f t="shared" si="3"/>
        <v>0</v>
      </c>
      <c r="V14" s="4027">
        <f t="shared" si="3"/>
        <v>20000</v>
      </c>
    </row>
    <row r="15" spans="1:22" s="248" customFormat="1">
      <c r="A15" s="4009">
        <v>1</v>
      </c>
      <c r="B15" s="4010" t="s">
        <v>3122</v>
      </c>
      <c r="C15" s="4009"/>
      <c r="D15" s="4009"/>
      <c r="E15" s="4009"/>
      <c r="F15" s="4009"/>
      <c r="G15" s="4027">
        <f t="shared" si="3"/>
        <v>240000</v>
      </c>
      <c r="H15" s="4027">
        <f t="shared" si="3"/>
        <v>0</v>
      </c>
      <c r="I15" s="4027">
        <f t="shared" si="3"/>
        <v>144000</v>
      </c>
      <c r="J15" s="4027">
        <f t="shared" si="3"/>
        <v>96000</v>
      </c>
      <c r="K15" s="4027">
        <f t="shared" si="3"/>
        <v>5000</v>
      </c>
      <c r="L15" s="4027">
        <f t="shared" si="3"/>
        <v>0</v>
      </c>
      <c r="M15" s="4027">
        <f t="shared" si="3"/>
        <v>0</v>
      </c>
      <c r="N15" s="4027">
        <f t="shared" si="3"/>
        <v>5000</v>
      </c>
      <c r="O15" s="4027">
        <f t="shared" si="3"/>
        <v>5000</v>
      </c>
      <c r="P15" s="4027">
        <f t="shared" si="3"/>
        <v>0</v>
      </c>
      <c r="Q15" s="4027">
        <f t="shared" si="3"/>
        <v>0</v>
      </c>
      <c r="R15" s="4027">
        <f t="shared" si="3"/>
        <v>5000</v>
      </c>
      <c r="S15" s="4027">
        <f t="shared" si="3"/>
        <v>20000</v>
      </c>
      <c r="T15" s="4027">
        <f t="shared" si="3"/>
        <v>0</v>
      </c>
      <c r="U15" s="4027">
        <f t="shared" si="3"/>
        <v>0</v>
      </c>
      <c r="V15" s="4027">
        <f t="shared" si="3"/>
        <v>20000</v>
      </c>
    </row>
    <row r="16" spans="1:22" ht="31.2">
      <c r="A16" s="4009" t="s">
        <v>34</v>
      </c>
      <c r="B16" s="4028" t="s">
        <v>2871</v>
      </c>
      <c r="C16" s="4009"/>
      <c r="D16" s="4009"/>
      <c r="E16" s="4009"/>
      <c r="F16" s="4009"/>
      <c r="G16" s="4029">
        <f t="shared" si="3"/>
        <v>240000</v>
      </c>
      <c r="H16" s="4029">
        <f t="shared" si="3"/>
        <v>0</v>
      </c>
      <c r="I16" s="4029">
        <f t="shared" si="3"/>
        <v>144000</v>
      </c>
      <c r="J16" s="4029">
        <f t="shared" si="3"/>
        <v>96000</v>
      </c>
      <c r="K16" s="4029">
        <f t="shared" si="3"/>
        <v>5000</v>
      </c>
      <c r="L16" s="4029">
        <f t="shared" si="3"/>
        <v>0</v>
      </c>
      <c r="M16" s="4029">
        <f t="shared" si="3"/>
        <v>0</v>
      </c>
      <c r="N16" s="4029">
        <f t="shared" si="3"/>
        <v>5000</v>
      </c>
      <c r="O16" s="4029">
        <f t="shared" si="3"/>
        <v>5000</v>
      </c>
      <c r="P16" s="4029">
        <f t="shared" si="3"/>
        <v>0</v>
      </c>
      <c r="Q16" s="4029">
        <f t="shared" si="3"/>
        <v>0</v>
      </c>
      <c r="R16" s="4029">
        <f t="shared" si="3"/>
        <v>5000</v>
      </c>
      <c r="S16" s="4029">
        <f t="shared" si="3"/>
        <v>20000</v>
      </c>
      <c r="T16" s="4029">
        <f t="shared" si="3"/>
        <v>0</v>
      </c>
      <c r="U16" s="4029">
        <f t="shared" si="3"/>
        <v>0</v>
      </c>
      <c r="V16" s="4029">
        <f>V17</f>
        <v>20000</v>
      </c>
    </row>
    <row r="17" spans="1:22" s="1577" customFormat="1" ht="41.25" customHeight="1">
      <c r="A17" s="4030">
        <v>1</v>
      </c>
      <c r="B17" s="4031" t="s">
        <v>2872</v>
      </c>
      <c r="C17" s="4030" t="s">
        <v>2873</v>
      </c>
      <c r="D17" s="4030" t="s">
        <v>2874</v>
      </c>
      <c r="E17" s="4030" t="s">
        <v>2875</v>
      </c>
      <c r="F17" s="4030" t="s">
        <v>2876</v>
      </c>
      <c r="G17" s="4032">
        <f>SUM(H17:J17)</f>
        <v>240000</v>
      </c>
      <c r="H17" s="4032"/>
      <c r="I17" s="4032">
        <v>144000</v>
      </c>
      <c r="J17" s="4032">
        <v>96000</v>
      </c>
      <c r="K17" s="4032">
        <f>SUM(L17:N17)</f>
        <v>5000</v>
      </c>
      <c r="L17" s="4032"/>
      <c r="M17" s="4032"/>
      <c r="N17" s="4033">
        <v>5000</v>
      </c>
      <c r="O17" s="4032">
        <f>SUM(P17:R17)</f>
        <v>5000</v>
      </c>
      <c r="P17" s="4032"/>
      <c r="Q17" s="4032"/>
      <c r="R17" s="4032">
        <v>5000</v>
      </c>
      <c r="S17" s="4033">
        <f>SUM(T17:V17)</f>
        <v>20000</v>
      </c>
      <c r="T17" s="4032"/>
      <c r="U17" s="4032"/>
      <c r="V17" s="4032">
        <v>20000</v>
      </c>
    </row>
    <row r="18" spans="1:22" s="248" customFormat="1">
      <c r="A18" s="4009" t="s">
        <v>20</v>
      </c>
      <c r="B18" s="4010" t="s">
        <v>1483</v>
      </c>
      <c r="C18" s="4009"/>
      <c r="D18" s="4009"/>
      <c r="E18" s="4009"/>
      <c r="F18" s="4009"/>
      <c r="G18" s="4027">
        <f t="shared" si="3"/>
        <v>644422.63199999998</v>
      </c>
      <c r="H18" s="4027">
        <f t="shared" si="3"/>
        <v>0</v>
      </c>
      <c r="I18" s="4027">
        <f t="shared" si="3"/>
        <v>0</v>
      </c>
      <c r="J18" s="4027">
        <f t="shared" si="3"/>
        <v>644422.63199999998</v>
      </c>
      <c r="K18" s="4027">
        <f t="shared" si="3"/>
        <v>6200</v>
      </c>
      <c r="L18" s="4027">
        <f t="shared" si="3"/>
        <v>0</v>
      </c>
      <c r="M18" s="4027">
        <f t="shared" si="3"/>
        <v>0</v>
      </c>
      <c r="N18" s="4027">
        <f t="shared" si="3"/>
        <v>6200</v>
      </c>
      <c r="O18" s="4027">
        <f t="shared" si="3"/>
        <v>6200</v>
      </c>
      <c r="P18" s="4027">
        <f t="shared" si="3"/>
        <v>0</v>
      </c>
      <c r="Q18" s="4027">
        <f t="shared" si="3"/>
        <v>0</v>
      </c>
      <c r="R18" s="4027">
        <f t="shared" si="3"/>
        <v>6200</v>
      </c>
      <c r="S18" s="4027">
        <f t="shared" si="3"/>
        <v>50300</v>
      </c>
      <c r="T18" s="4027">
        <f t="shared" si="3"/>
        <v>0</v>
      </c>
      <c r="U18" s="4027">
        <f t="shared" si="3"/>
        <v>0</v>
      </c>
      <c r="V18" s="4027">
        <f t="shared" si="3"/>
        <v>50300</v>
      </c>
    </row>
    <row r="19" spans="1:22" s="248" customFormat="1">
      <c r="A19" s="4009">
        <v>1</v>
      </c>
      <c r="B19" s="4010" t="s">
        <v>3122</v>
      </c>
      <c r="C19" s="4009"/>
      <c r="D19" s="4009"/>
      <c r="E19" s="4009"/>
      <c r="F19" s="4009"/>
      <c r="G19" s="4027">
        <f t="shared" si="3"/>
        <v>644422.63199999998</v>
      </c>
      <c r="H19" s="4027">
        <f t="shared" si="3"/>
        <v>0</v>
      </c>
      <c r="I19" s="4027">
        <f t="shared" si="3"/>
        <v>0</v>
      </c>
      <c r="J19" s="4027">
        <f t="shared" si="3"/>
        <v>644422.63199999998</v>
      </c>
      <c r="K19" s="4027">
        <f t="shared" si="3"/>
        <v>6200</v>
      </c>
      <c r="L19" s="4027">
        <f t="shared" si="3"/>
        <v>0</v>
      </c>
      <c r="M19" s="4027">
        <f t="shared" si="3"/>
        <v>0</v>
      </c>
      <c r="N19" s="4027">
        <f t="shared" si="3"/>
        <v>6200</v>
      </c>
      <c r="O19" s="4027">
        <f t="shared" si="3"/>
        <v>6200</v>
      </c>
      <c r="P19" s="4027">
        <f t="shared" si="3"/>
        <v>0</v>
      </c>
      <c r="Q19" s="4027">
        <f t="shared" si="3"/>
        <v>0</v>
      </c>
      <c r="R19" s="4027">
        <f t="shared" si="3"/>
        <v>6200</v>
      </c>
      <c r="S19" s="4027">
        <f t="shared" si="3"/>
        <v>50300</v>
      </c>
      <c r="T19" s="4027">
        <f t="shared" si="3"/>
        <v>0</v>
      </c>
      <c r="U19" s="4027">
        <f t="shared" si="3"/>
        <v>0</v>
      </c>
      <c r="V19" s="4027">
        <f t="shared" si="3"/>
        <v>50300</v>
      </c>
    </row>
    <row r="20" spans="1:22" ht="31.2">
      <c r="A20" s="4009" t="s">
        <v>34</v>
      </c>
      <c r="B20" s="4028" t="s">
        <v>2871</v>
      </c>
      <c r="C20" s="4009"/>
      <c r="D20" s="4009"/>
      <c r="E20" s="4009"/>
      <c r="F20" s="4009"/>
      <c r="G20" s="4029">
        <f t="shared" ref="G20:U20" si="4">SUM(G21:G23)</f>
        <v>644422.63199999998</v>
      </c>
      <c r="H20" s="4029">
        <f t="shared" si="4"/>
        <v>0</v>
      </c>
      <c r="I20" s="4029">
        <f t="shared" si="4"/>
        <v>0</v>
      </c>
      <c r="J20" s="4029">
        <f t="shared" si="4"/>
        <v>644422.63199999998</v>
      </c>
      <c r="K20" s="4029">
        <f t="shared" si="4"/>
        <v>6200</v>
      </c>
      <c r="L20" s="4029">
        <f t="shared" si="4"/>
        <v>0</v>
      </c>
      <c r="M20" s="4029">
        <f t="shared" si="4"/>
        <v>0</v>
      </c>
      <c r="N20" s="4029">
        <f t="shared" si="4"/>
        <v>6200</v>
      </c>
      <c r="O20" s="4029">
        <f t="shared" si="4"/>
        <v>6200</v>
      </c>
      <c r="P20" s="4029">
        <f t="shared" si="4"/>
        <v>0</v>
      </c>
      <c r="Q20" s="4029">
        <f t="shared" si="4"/>
        <v>0</v>
      </c>
      <c r="R20" s="4029">
        <f t="shared" si="4"/>
        <v>6200</v>
      </c>
      <c r="S20" s="4029">
        <f t="shared" si="4"/>
        <v>50300</v>
      </c>
      <c r="T20" s="4029">
        <f t="shared" si="4"/>
        <v>0</v>
      </c>
      <c r="U20" s="4029">
        <f t="shared" si="4"/>
        <v>0</v>
      </c>
      <c r="V20" s="4029">
        <f>SUM(V21:V23)</f>
        <v>50300</v>
      </c>
    </row>
    <row r="21" spans="1:22" ht="39" customHeight="1">
      <c r="A21" s="3987">
        <v>1</v>
      </c>
      <c r="B21" s="4034" t="s">
        <v>3421</v>
      </c>
      <c r="C21" s="3987" t="s">
        <v>3110</v>
      </c>
      <c r="D21" s="3987"/>
      <c r="E21" s="3987" t="s">
        <v>3422</v>
      </c>
      <c r="F21" s="3987" t="s">
        <v>3423</v>
      </c>
      <c r="G21" s="4033">
        <f>SUM(H21:J21)</f>
        <v>4526.808</v>
      </c>
      <c r="H21" s="4033"/>
      <c r="I21" s="4033"/>
      <c r="J21" s="4033">
        <v>4526.808</v>
      </c>
      <c r="K21" s="4033">
        <f>SUM(L21:N21)</f>
        <v>2500</v>
      </c>
      <c r="L21" s="4033"/>
      <c r="M21" s="4033"/>
      <c r="N21" s="4033">
        <v>2500</v>
      </c>
      <c r="O21" s="4033">
        <f>SUM(P21:R21)</f>
        <v>2500</v>
      </c>
      <c r="P21" s="4033"/>
      <c r="Q21" s="4033"/>
      <c r="R21" s="4033">
        <v>2500</v>
      </c>
      <c r="S21" s="4033">
        <f>SUM(T21:V21)</f>
        <v>2000</v>
      </c>
      <c r="T21" s="4033"/>
      <c r="U21" s="4033"/>
      <c r="V21" s="4033">
        <v>2000</v>
      </c>
    </row>
    <row r="22" spans="1:22" ht="44.25" customHeight="1">
      <c r="A22" s="3987">
        <v>2</v>
      </c>
      <c r="B22" s="4034" t="s">
        <v>3424</v>
      </c>
      <c r="C22" s="3987" t="s">
        <v>3110</v>
      </c>
      <c r="D22" s="3987"/>
      <c r="E22" s="3987" t="s">
        <v>3422</v>
      </c>
      <c r="F22" s="3987" t="s">
        <v>3425</v>
      </c>
      <c r="G22" s="4033">
        <f t="shared" ref="G22:G23" si="5">SUM(H22:J22)</f>
        <v>11409.26</v>
      </c>
      <c r="H22" s="4033"/>
      <c r="I22" s="4033"/>
      <c r="J22" s="4033">
        <v>11409.26</v>
      </c>
      <c r="K22" s="4033">
        <f t="shared" ref="K22:K23" si="6">SUM(L22:N22)</f>
        <v>2700</v>
      </c>
      <c r="L22" s="4033"/>
      <c r="M22" s="4033"/>
      <c r="N22" s="4033">
        <v>2700</v>
      </c>
      <c r="O22" s="4033">
        <f t="shared" ref="O22:O23" si="7">SUM(P22:R22)</f>
        <v>2700</v>
      </c>
      <c r="P22" s="4033"/>
      <c r="Q22" s="4033"/>
      <c r="R22" s="4033">
        <v>2700</v>
      </c>
      <c r="S22" s="4033">
        <f t="shared" ref="S22:S23" si="8">SUM(T22:V22)</f>
        <v>8300</v>
      </c>
      <c r="T22" s="4033"/>
      <c r="U22" s="4033"/>
      <c r="V22" s="4033">
        <v>8300</v>
      </c>
    </row>
    <row r="23" spans="1:22" s="1577" customFormat="1" ht="37.5" customHeight="1">
      <c r="A23" s="4030">
        <v>3</v>
      </c>
      <c r="B23" s="4031" t="s">
        <v>3426</v>
      </c>
      <c r="C23" s="4030" t="s">
        <v>3427</v>
      </c>
      <c r="D23" s="4030"/>
      <c r="E23" s="4030" t="s">
        <v>2875</v>
      </c>
      <c r="F23" s="4030" t="s">
        <v>3428</v>
      </c>
      <c r="G23" s="4032">
        <f t="shared" si="5"/>
        <v>628486.56400000001</v>
      </c>
      <c r="H23" s="4032"/>
      <c r="I23" s="4032"/>
      <c r="J23" s="4032">
        <v>628486.56400000001</v>
      </c>
      <c r="K23" s="4032">
        <f t="shared" si="6"/>
        <v>1000</v>
      </c>
      <c r="L23" s="4032"/>
      <c r="M23" s="4032"/>
      <c r="N23" s="4033">
        <v>1000</v>
      </c>
      <c r="O23" s="4032">
        <f t="shared" si="7"/>
        <v>1000</v>
      </c>
      <c r="P23" s="4032"/>
      <c r="Q23" s="4032"/>
      <c r="R23" s="4032">
        <v>1000</v>
      </c>
      <c r="S23" s="4033">
        <f t="shared" si="8"/>
        <v>40000</v>
      </c>
      <c r="T23" s="4032"/>
      <c r="U23" s="4032"/>
      <c r="V23" s="4032">
        <v>40000</v>
      </c>
    </row>
    <row r="24" spans="1:22" s="248" customFormat="1">
      <c r="A24" s="4009" t="s">
        <v>22</v>
      </c>
      <c r="B24" s="4010" t="s">
        <v>2877</v>
      </c>
      <c r="C24" s="4009"/>
      <c r="D24" s="4009"/>
      <c r="E24" s="4009"/>
      <c r="F24" s="4009"/>
      <c r="G24" s="4027">
        <f>G25</f>
        <v>131861.92300000001</v>
      </c>
      <c r="H24" s="4027">
        <f t="shared" ref="H24:V24" si="9">H25</f>
        <v>0</v>
      </c>
      <c r="I24" s="4027">
        <f t="shared" si="9"/>
        <v>0</v>
      </c>
      <c r="J24" s="4027">
        <f t="shared" si="9"/>
        <v>131861.92300000001</v>
      </c>
      <c r="K24" s="4027">
        <f t="shared" si="9"/>
        <v>61000</v>
      </c>
      <c r="L24" s="4027">
        <f t="shared" si="9"/>
        <v>0</v>
      </c>
      <c r="M24" s="4027">
        <f t="shared" si="9"/>
        <v>0</v>
      </c>
      <c r="N24" s="4027">
        <f t="shared" si="9"/>
        <v>61000</v>
      </c>
      <c r="O24" s="4027">
        <f t="shared" si="9"/>
        <v>61000</v>
      </c>
      <c r="P24" s="4027">
        <f t="shared" si="9"/>
        <v>0</v>
      </c>
      <c r="Q24" s="4027">
        <f t="shared" si="9"/>
        <v>0</v>
      </c>
      <c r="R24" s="4027">
        <f t="shared" si="9"/>
        <v>61000</v>
      </c>
      <c r="S24" s="4027">
        <f t="shared" si="9"/>
        <v>59800</v>
      </c>
      <c r="T24" s="4027">
        <f t="shared" si="9"/>
        <v>0</v>
      </c>
      <c r="U24" s="4027">
        <f t="shared" si="9"/>
        <v>0</v>
      </c>
      <c r="V24" s="4027">
        <f t="shared" si="9"/>
        <v>59800</v>
      </c>
    </row>
    <row r="25" spans="1:22" s="248" customFormat="1">
      <c r="A25" s="4009" t="s">
        <v>9</v>
      </c>
      <c r="B25" s="4010" t="s">
        <v>1482</v>
      </c>
      <c r="C25" s="4009"/>
      <c r="D25" s="4009"/>
      <c r="E25" s="4009"/>
      <c r="F25" s="4009"/>
      <c r="G25" s="4027">
        <f t="shared" ref="G25:V26" si="10">G26</f>
        <v>131861.92300000001</v>
      </c>
      <c r="H25" s="4027">
        <f t="shared" si="10"/>
        <v>0</v>
      </c>
      <c r="I25" s="4027">
        <f t="shared" si="10"/>
        <v>0</v>
      </c>
      <c r="J25" s="4027">
        <f t="shared" si="10"/>
        <v>131861.92300000001</v>
      </c>
      <c r="K25" s="4027">
        <f t="shared" si="10"/>
        <v>61000</v>
      </c>
      <c r="L25" s="4027">
        <f t="shared" si="10"/>
        <v>0</v>
      </c>
      <c r="M25" s="4027">
        <f t="shared" si="10"/>
        <v>0</v>
      </c>
      <c r="N25" s="4027">
        <f t="shared" si="10"/>
        <v>61000</v>
      </c>
      <c r="O25" s="4027">
        <f t="shared" si="10"/>
        <v>61000</v>
      </c>
      <c r="P25" s="4027">
        <f t="shared" si="10"/>
        <v>0</v>
      </c>
      <c r="Q25" s="4027">
        <f t="shared" si="10"/>
        <v>0</v>
      </c>
      <c r="R25" s="4027">
        <f t="shared" si="10"/>
        <v>61000</v>
      </c>
      <c r="S25" s="4027">
        <f t="shared" si="10"/>
        <v>59800</v>
      </c>
      <c r="T25" s="4027">
        <f t="shared" si="10"/>
        <v>0</v>
      </c>
      <c r="U25" s="4027">
        <f t="shared" si="10"/>
        <v>0</v>
      </c>
      <c r="V25" s="4027">
        <f t="shared" si="10"/>
        <v>59800</v>
      </c>
    </row>
    <row r="26" spans="1:22" s="248" customFormat="1">
      <c r="A26" s="4009">
        <v>1</v>
      </c>
      <c r="B26" s="4010" t="s">
        <v>3122</v>
      </c>
      <c r="C26" s="4009"/>
      <c r="D26" s="4009"/>
      <c r="E26" s="4009"/>
      <c r="F26" s="4009"/>
      <c r="G26" s="4027">
        <f t="shared" si="10"/>
        <v>131861.92300000001</v>
      </c>
      <c r="H26" s="4027">
        <f t="shared" si="10"/>
        <v>0</v>
      </c>
      <c r="I26" s="4027">
        <f t="shared" si="10"/>
        <v>0</v>
      </c>
      <c r="J26" s="4027">
        <f t="shared" si="10"/>
        <v>131861.92300000001</v>
      </c>
      <c r="K26" s="4027">
        <f t="shared" si="10"/>
        <v>61000</v>
      </c>
      <c r="L26" s="4027">
        <f t="shared" si="10"/>
        <v>0</v>
      </c>
      <c r="M26" s="4027">
        <f t="shared" si="10"/>
        <v>0</v>
      </c>
      <c r="N26" s="4027">
        <f t="shared" si="10"/>
        <v>61000</v>
      </c>
      <c r="O26" s="4027">
        <f t="shared" si="10"/>
        <v>61000</v>
      </c>
      <c r="P26" s="4027">
        <f t="shared" si="10"/>
        <v>0</v>
      </c>
      <c r="Q26" s="4027">
        <f t="shared" si="10"/>
        <v>0</v>
      </c>
      <c r="R26" s="4027">
        <f t="shared" si="10"/>
        <v>61000</v>
      </c>
      <c r="S26" s="4027">
        <f t="shared" si="10"/>
        <v>59800</v>
      </c>
      <c r="T26" s="4027">
        <f t="shared" si="10"/>
        <v>0</v>
      </c>
      <c r="U26" s="4027">
        <f t="shared" si="10"/>
        <v>0</v>
      </c>
      <c r="V26" s="4027">
        <f t="shared" si="10"/>
        <v>59800</v>
      </c>
    </row>
    <row r="27" spans="1:22" ht="31.2">
      <c r="A27" s="4009" t="s">
        <v>34</v>
      </c>
      <c r="B27" s="4028" t="s">
        <v>2871</v>
      </c>
      <c r="C27" s="4009"/>
      <c r="D27" s="4009"/>
      <c r="E27" s="4009"/>
      <c r="F27" s="4009"/>
      <c r="G27" s="4029">
        <f t="shared" ref="G27:U27" si="11">SUM(G28:G32)</f>
        <v>131861.92300000001</v>
      </c>
      <c r="H27" s="4029">
        <f t="shared" si="11"/>
        <v>0</v>
      </c>
      <c r="I27" s="4029">
        <f t="shared" si="11"/>
        <v>0</v>
      </c>
      <c r="J27" s="4029">
        <f t="shared" si="11"/>
        <v>131861.92300000001</v>
      </c>
      <c r="K27" s="4029">
        <f t="shared" si="11"/>
        <v>61000</v>
      </c>
      <c r="L27" s="4029">
        <f t="shared" si="11"/>
        <v>0</v>
      </c>
      <c r="M27" s="4029">
        <f t="shared" si="11"/>
        <v>0</v>
      </c>
      <c r="N27" s="4029">
        <f t="shared" si="11"/>
        <v>61000</v>
      </c>
      <c r="O27" s="4029">
        <f t="shared" si="11"/>
        <v>61000</v>
      </c>
      <c r="P27" s="4029">
        <f t="shared" si="11"/>
        <v>0</v>
      </c>
      <c r="Q27" s="4029">
        <f t="shared" si="11"/>
        <v>0</v>
      </c>
      <c r="R27" s="4029">
        <f t="shared" si="11"/>
        <v>61000</v>
      </c>
      <c r="S27" s="4029">
        <f t="shared" si="11"/>
        <v>59800</v>
      </c>
      <c r="T27" s="4029">
        <f t="shared" si="11"/>
        <v>0</v>
      </c>
      <c r="U27" s="4029">
        <f t="shared" si="11"/>
        <v>0</v>
      </c>
      <c r="V27" s="4029">
        <f>SUM(V28:V32)</f>
        <v>59800</v>
      </c>
    </row>
    <row r="28" spans="1:22" ht="39.75" customHeight="1">
      <c r="A28" s="3987">
        <v>1</v>
      </c>
      <c r="B28" s="4034" t="s">
        <v>3429</v>
      </c>
      <c r="C28" s="3987" t="s">
        <v>3115</v>
      </c>
      <c r="D28" s="3987"/>
      <c r="E28" s="3987" t="s">
        <v>2892</v>
      </c>
      <c r="F28" s="3987" t="s">
        <v>3430</v>
      </c>
      <c r="G28" s="4033">
        <f>SUM(H28:J28)</f>
        <v>12504.312</v>
      </c>
      <c r="H28" s="4033"/>
      <c r="I28" s="4033"/>
      <c r="J28" s="4033">
        <v>12504.312</v>
      </c>
      <c r="K28" s="4033">
        <f>SUM(L28:N28)</f>
        <v>10500</v>
      </c>
      <c r="L28" s="4033"/>
      <c r="M28" s="4033"/>
      <c r="N28" s="4033">
        <v>10500</v>
      </c>
      <c r="O28" s="4033">
        <f>SUM(P28:R28)</f>
        <v>10500</v>
      </c>
      <c r="P28" s="4033"/>
      <c r="Q28" s="4033"/>
      <c r="R28" s="4033">
        <v>10500</v>
      </c>
      <c r="S28" s="4033">
        <f>SUM(T28:V28)</f>
        <v>2000</v>
      </c>
      <c r="T28" s="4033"/>
      <c r="U28" s="4033"/>
      <c r="V28" s="4033">
        <v>2000</v>
      </c>
    </row>
    <row r="29" spans="1:22" ht="39.75" customHeight="1">
      <c r="A29" s="3987">
        <v>2</v>
      </c>
      <c r="B29" s="4034" t="s">
        <v>3431</v>
      </c>
      <c r="C29" s="3987" t="s">
        <v>3101</v>
      </c>
      <c r="D29" s="3987"/>
      <c r="E29" s="3987" t="s">
        <v>2892</v>
      </c>
      <c r="F29" s="3987" t="s">
        <v>3432</v>
      </c>
      <c r="G29" s="4033">
        <f t="shared" ref="G29:G32" si="12">SUM(H29:J29)</f>
        <v>13167.619000000001</v>
      </c>
      <c r="H29" s="4033"/>
      <c r="I29" s="4033"/>
      <c r="J29" s="4033">
        <v>13167.619000000001</v>
      </c>
      <c r="K29" s="4033">
        <f t="shared" ref="K29:K32" si="13">SUM(L29:N29)</f>
        <v>10500</v>
      </c>
      <c r="L29" s="4033"/>
      <c r="M29" s="4033"/>
      <c r="N29" s="4033">
        <v>10500</v>
      </c>
      <c r="O29" s="4033">
        <f t="shared" ref="O29:O32" si="14">SUM(P29:R29)</f>
        <v>10500</v>
      </c>
      <c r="P29" s="4033"/>
      <c r="Q29" s="4033"/>
      <c r="R29" s="4033">
        <v>10500</v>
      </c>
      <c r="S29" s="4033">
        <f t="shared" ref="S29:S32" si="15">SUM(T29:V29)</f>
        <v>2700</v>
      </c>
      <c r="T29" s="4033"/>
      <c r="U29" s="4033"/>
      <c r="V29" s="4033">
        <v>2700</v>
      </c>
    </row>
    <row r="30" spans="1:22" ht="50.25" customHeight="1">
      <c r="A30" s="3987">
        <v>3</v>
      </c>
      <c r="B30" s="4034" t="s">
        <v>3433</v>
      </c>
      <c r="C30" s="3987" t="s">
        <v>3346</v>
      </c>
      <c r="D30" s="3987"/>
      <c r="E30" s="3987" t="s">
        <v>2892</v>
      </c>
      <c r="F30" s="3987" t="s">
        <v>3434</v>
      </c>
      <c r="G30" s="4033">
        <f t="shared" si="12"/>
        <v>44948.610999999997</v>
      </c>
      <c r="H30" s="4033"/>
      <c r="I30" s="4033"/>
      <c r="J30" s="4033">
        <v>44948.610999999997</v>
      </c>
      <c r="K30" s="4033">
        <f t="shared" si="13"/>
        <v>20000</v>
      </c>
      <c r="L30" s="4033"/>
      <c r="M30" s="4033"/>
      <c r="N30" s="4033">
        <v>20000</v>
      </c>
      <c r="O30" s="4033">
        <f t="shared" si="14"/>
        <v>20000</v>
      </c>
      <c r="P30" s="4033"/>
      <c r="Q30" s="4033"/>
      <c r="R30" s="4033">
        <v>20000</v>
      </c>
      <c r="S30" s="4033">
        <f t="shared" si="15"/>
        <v>20000</v>
      </c>
      <c r="T30" s="4033"/>
      <c r="U30" s="4033"/>
      <c r="V30" s="4033">
        <v>20000</v>
      </c>
    </row>
    <row r="31" spans="1:22" ht="45.75" customHeight="1">
      <c r="A31" s="3987">
        <v>4</v>
      </c>
      <c r="B31" s="4034" t="s">
        <v>3435</v>
      </c>
      <c r="C31" s="3987" t="s">
        <v>3346</v>
      </c>
      <c r="D31" s="3987"/>
      <c r="E31" s="3987" t="s">
        <v>2892</v>
      </c>
      <c r="F31" s="3987" t="s">
        <v>3436</v>
      </c>
      <c r="G31" s="4033">
        <f t="shared" si="12"/>
        <v>33988.334000000003</v>
      </c>
      <c r="H31" s="4033"/>
      <c r="I31" s="4033"/>
      <c r="J31" s="4033">
        <v>33988.334000000003</v>
      </c>
      <c r="K31" s="4033">
        <f t="shared" si="13"/>
        <v>10000</v>
      </c>
      <c r="L31" s="4033"/>
      <c r="M31" s="4033"/>
      <c r="N31" s="4033">
        <v>10000</v>
      </c>
      <c r="O31" s="4033">
        <f t="shared" si="14"/>
        <v>10000</v>
      </c>
      <c r="P31" s="4033"/>
      <c r="Q31" s="4033"/>
      <c r="R31" s="4033">
        <v>10000</v>
      </c>
      <c r="S31" s="4033">
        <f t="shared" si="15"/>
        <v>20600</v>
      </c>
      <c r="T31" s="4033"/>
      <c r="U31" s="4033"/>
      <c r="V31" s="4033">
        <v>20600</v>
      </c>
    </row>
    <row r="32" spans="1:22" ht="45.75" customHeight="1">
      <c r="A32" s="3987">
        <v>5</v>
      </c>
      <c r="B32" s="4034" t="s">
        <v>3437</v>
      </c>
      <c r="C32" s="3987" t="s">
        <v>3110</v>
      </c>
      <c r="D32" s="3987"/>
      <c r="E32" s="3987" t="s">
        <v>2892</v>
      </c>
      <c r="F32" s="3987" t="s">
        <v>3438</v>
      </c>
      <c r="G32" s="4033">
        <f t="shared" si="12"/>
        <v>27253.046999999999</v>
      </c>
      <c r="H32" s="4033"/>
      <c r="I32" s="4033"/>
      <c r="J32" s="4033">
        <v>27253.046999999999</v>
      </c>
      <c r="K32" s="4033">
        <f t="shared" si="13"/>
        <v>10000</v>
      </c>
      <c r="L32" s="4033"/>
      <c r="M32" s="4033"/>
      <c r="N32" s="4033">
        <v>10000</v>
      </c>
      <c r="O32" s="4033">
        <f t="shared" si="14"/>
        <v>10000</v>
      </c>
      <c r="P32" s="4033"/>
      <c r="Q32" s="4033"/>
      <c r="R32" s="4033">
        <v>10000</v>
      </c>
      <c r="S32" s="4033">
        <f t="shared" si="15"/>
        <v>14500</v>
      </c>
      <c r="T32" s="4033"/>
      <c r="U32" s="4033"/>
      <c r="V32" s="4033">
        <v>14500</v>
      </c>
    </row>
    <row r="33" spans="1:22" s="248" customFormat="1" ht="31.2">
      <c r="A33" s="4009" t="s">
        <v>26</v>
      </c>
      <c r="B33" s="4010" t="s">
        <v>2878</v>
      </c>
      <c r="C33" s="4009"/>
      <c r="D33" s="4009"/>
      <c r="E33" s="4009"/>
      <c r="F33" s="4009"/>
      <c r="G33" s="4027">
        <f>G34+G38+G42</f>
        <v>97114.563999999998</v>
      </c>
      <c r="H33" s="4027">
        <f t="shared" ref="H33:V33" si="16">H34+H38+H42</f>
        <v>0</v>
      </c>
      <c r="I33" s="4027">
        <f t="shared" si="16"/>
        <v>0</v>
      </c>
      <c r="J33" s="4027">
        <f t="shared" si="16"/>
        <v>97114.563999999998</v>
      </c>
      <c r="K33" s="4027">
        <f t="shared" si="16"/>
        <v>28060</v>
      </c>
      <c r="L33" s="4027">
        <f t="shared" si="16"/>
        <v>0</v>
      </c>
      <c r="M33" s="4027">
        <f t="shared" si="16"/>
        <v>0</v>
      </c>
      <c r="N33" s="4027">
        <f t="shared" si="16"/>
        <v>27560</v>
      </c>
      <c r="O33" s="4027">
        <f t="shared" si="16"/>
        <v>25930</v>
      </c>
      <c r="P33" s="4027">
        <f t="shared" si="16"/>
        <v>0</v>
      </c>
      <c r="Q33" s="4027">
        <f t="shared" si="16"/>
        <v>0</v>
      </c>
      <c r="R33" s="4027">
        <f t="shared" si="16"/>
        <v>25930</v>
      </c>
      <c r="S33" s="4027">
        <f t="shared" si="16"/>
        <v>21570</v>
      </c>
      <c r="T33" s="4027">
        <f t="shared" si="16"/>
        <v>0</v>
      </c>
      <c r="U33" s="4027">
        <f t="shared" si="16"/>
        <v>0</v>
      </c>
      <c r="V33" s="4027">
        <f t="shared" si="16"/>
        <v>21570</v>
      </c>
    </row>
    <row r="34" spans="1:22" s="1577" customFormat="1">
      <c r="A34" s="4009" t="s">
        <v>9</v>
      </c>
      <c r="B34" s="4010" t="s">
        <v>1452</v>
      </c>
      <c r="C34" s="4035"/>
      <c r="D34" s="4035"/>
      <c r="E34" s="4035"/>
      <c r="F34" s="4035"/>
      <c r="G34" s="4027">
        <f t="shared" ref="G34:V40" si="17">G35</f>
        <v>63867</v>
      </c>
      <c r="H34" s="4027">
        <f t="shared" si="17"/>
        <v>0</v>
      </c>
      <c r="I34" s="4027">
        <f t="shared" si="17"/>
        <v>0</v>
      </c>
      <c r="J34" s="4027">
        <f t="shared" si="17"/>
        <v>63867</v>
      </c>
      <c r="K34" s="4027">
        <f t="shared" si="17"/>
        <v>27060</v>
      </c>
      <c r="L34" s="4027">
        <f t="shared" si="17"/>
        <v>0</v>
      </c>
      <c r="M34" s="4027">
        <f t="shared" si="17"/>
        <v>0</v>
      </c>
      <c r="N34" s="4027">
        <f t="shared" si="17"/>
        <v>27060</v>
      </c>
      <c r="O34" s="4027">
        <f t="shared" si="17"/>
        <v>25430</v>
      </c>
      <c r="P34" s="4027">
        <f t="shared" si="17"/>
        <v>0</v>
      </c>
      <c r="Q34" s="4027">
        <f t="shared" si="17"/>
        <v>0</v>
      </c>
      <c r="R34" s="4027">
        <f t="shared" si="17"/>
        <v>25430</v>
      </c>
      <c r="S34" s="4027">
        <f t="shared" si="17"/>
        <v>11070</v>
      </c>
      <c r="T34" s="4027">
        <f t="shared" si="17"/>
        <v>0</v>
      </c>
      <c r="U34" s="4027">
        <f t="shared" si="17"/>
        <v>0</v>
      </c>
      <c r="V34" s="4027">
        <f>V35</f>
        <v>11070</v>
      </c>
    </row>
    <row r="35" spans="1:22" s="248" customFormat="1">
      <c r="A35" s="4009">
        <v>1</v>
      </c>
      <c r="B35" s="4010" t="s">
        <v>3122</v>
      </c>
      <c r="C35" s="4009"/>
      <c r="D35" s="4009"/>
      <c r="E35" s="4009"/>
      <c r="F35" s="4009"/>
      <c r="G35" s="4027">
        <f t="shared" si="17"/>
        <v>63867</v>
      </c>
      <c r="H35" s="4027">
        <f t="shared" si="17"/>
        <v>0</v>
      </c>
      <c r="I35" s="4027">
        <f t="shared" si="17"/>
        <v>0</v>
      </c>
      <c r="J35" s="4027">
        <f t="shared" si="17"/>
        <v>63867</v>
      </c>
      <c r="K35" s="4027">
        <f t="shared" si="17"/>
        <v>27060</v>
      </c>
      <c r="L35" s="4027">
        <f t="shared" si="17"/>
        <v>0</v>
      </c>
      <c r="M35" s="4027">
        <f t="shared" si="17"/>
        <v>0</v>
      </c>
      <c r="N35" s="4027">
        <f t="shared" si="17"/>
        <v>27060</v>
      </c>
      <c r="O35" s="4027">
        <f t="shared" si="17"/>
        <v>25430</v>
      </c>
      <c r="P35" s="4027">
        <f t="shared" si="17"/>
        <v>0</v>
      </c>
      <c r="Q35" s="4027">
        <f t="shared" si="17"/>
        <v>0</v>
      </c>
      <c r="R35" s="4027">
        <f t="shared" si="17"/>
        <v>25430</v>
      </c>
      <c r="S35" s="4027">
        <f t="shared" si="17"/>
        <v>11070</v>
      </c>
      <c r="T35" s="4027">
        <f t="shared" si="17"/>
        <v>0</v>
      </c>
      <c r="U35" s="4027">
        <f t="shared" si="17"/>
        <v>0</v>
      </c>
      <c r="V35" s="4027">
        <f t="shared" si="17"/>
        <v>11070</v>
      </c>
    </row>
    <row r="36" spans="1:22" ht="31.2">
      <c r="A36" s="4009" t="s">
        <v>34</v>
      </c>
      <c r="B36" s="4028" t="s">
        <v>2871</v>
      </c>
      <c r="C36" s="4009"/>
      <c r="D36" s="4009"/>
      <c r="E36" s="4009"/>
      <c r="F36" s="4009"/>
      <c r="G36" s="4029">
        <f t="shared" si="17"/>
        <v>63867</v>
      </c>
      <c r="H36" s="4029">
        <f t="shared" si="17"/>
        <v>0</v>
      </c>
      <c r="I36" s="4029">
        <f t="shared" si="17"/>
        <v>0</v>
      </c>
      <c r="J36" s="4029">
        <f t="shared" si="17"/>
        <v>63867</v>
      </c>
      <c r="K36" s="4029">
        <f t="shared" si="17"/>
        <v>27060</v>
      </c>
      <c r="L36" s="4029">
        <f t="shared" si="17"/>
        <v>0</v>
      </c>
      <c r="M36" s="4029">
        <f t="shared" si="17"/>
        <v>0</v>
      </c>
      <c r="N36" s="4029">
        <f t="shared" si="17"/>
        <v>27060</v>
      </c>
      <c r="O36" s="4029">
        <f t="shared" si="17"/>
        <v>25430</v>
      </c>
      <c r="P36" s="4029">
        <f t="shared" si="17"/>
        <v>0</v>
      </c>
      <c r="Q36" s="4029">
        <f t="shared" si="17"/>
        <v>0</v>
      </c>
      <c r="R36" s="4029">
        <f t="shared" si="17"/>
        <v>25430</v>
      </c>
      <c r="S36" s="4029">
        <f t="shared" si="17"/>
        <v>11070</v>
      </c>
      <c r="T36" s="4029">
        <f t="shared" si="17"/>
        <v>0</v>
      </c>
      <c r="U36" s="4029">
        <f t="shared" si="17"/>
        <v>0</v>
      </c>
      <c r="V36" s="4029">
        <f>V37</f>
        <v>11070</v>
      </c>
    </row>
    <row r="37" spans="1:22" s="3997" customFormat="1" ht="33" customHeight="1">
      <c r="A37" s="4036">
        <v>1</v>
      </c>
      <c r="B37" s="4037" t="s">
        <v>2879</v>
      </c>
      <c r="C37" s="4038" t="s">
        <v>2880</v>
      </c>
      <c r="D37" s="4038" t="s">
        <v>2881</v>
      </c>
      <c r="E37" s="4038" t="s">
        <v>2882</v>
      </c>
      <c r="F37" s="4039" t="s">
        <v>2883</v>
      </c>
      <c r="G37" s="3992">
        <v>63867</v>
      </c>
      <c r="H37" s="3992"/>
      <c r="I37" s="3992"/>
      <c r="J37" s="3992">
        <v>63867</v>
      </c>
      <c r="K37" s="3992">
        <f>L37+M37+N37</f>
        <v>27060</v>
      </c>
      <c r="L37" s="3992"/>
      <c r="M37" s="3992"/>
      <c r="N37" s="3992">
        <v>27060</v>
      </c>
      <c r="O37" s="3992">
        <f>P37+Q37+R37</f>
        <v>25430</v>
      </c>
      <c r="P37" s="3992"/>
      <c r="Q37" s="3992"/>
      <c r="R37" s="3992">
        <v>25430</v>
      </c>
      <c r="S37" s="3992">
        <f>T37+U37+V37</f>
        <v>11070</v>
      </c>
      <c r="T37" s="3992"/>
      <c r="U37" s="3992"/>
      <c r="V37" s="3992">
        <v>11070</v>
      </c>
    </row>
    <row r="38" spans="1:22" s="1577" customFormat="1">
      <c r="A38" s="4009" t="s">
        <v>20</v>
      </c>
      <c r="B38" s="4010" t="s">
        <v>3411</v>
      </c>
      <c r="C38" s="4035"/>
      <c r="D38" s="4035"/>
      <c r="E38" s="4035"/>
      <c r="F38" s="4035"/>
      <c r="G38" s="4027">
        <f t="shared" si="17"/>
        <v>18277</v>
      </c>
      <c r="H38" s="4027">
        <f t="shared" si="17"/>
        <v>0</v>
      </c>
      <c r="I38" s="4027">
        <f t="shared" si="17"/>
        <v>0</v>
      </c>
      <c r="J38" s="4027">
        <f t="shared" si="17"/>
        <v>18277</v>
      </c>
      <c r="K38" s="4027">
        <f t="shared" si="17"/>
        <v>0</v>
      </c>
      <c r="L38" s="4027">
        <f t="shared" si="17"/>
        <v>0</v>
      </c>
      <c r="M38" s="4027">
        <f t="shared" si="17"/>
        <v>0</v>
      </c>
      <c r="N38" s="4027">
        <f t="shared" si="17"/>
        <v>0</v>
      </c>
      <c r="O38" s="4027">
        <f t="shared" si="17"/>
        <v>0</v>
      </c>
      <c r="P38" s="4027">
        <f t="shared" si="17"/>
        <v>0</v>
      </c>
      <c r="Q38" s="4027">
        <f t="shared" si="17"/>
        <v>0</v>
      </c>
      <c r="R38" s="4027">
        <f t="shared" si="17"/>
        <v>0</v>
      </c>
      <c r="S38" s="4027">
        <f t="shared" si="17"/>
        <v>8000</v>
      </c>
      <c r="T38" s="4027">
        <f t="shared" si="17"/>
        <v>0</v>
      </c>
      <c r="U38" s="4027">
        <f t="shared" si="17"/>
        <v>0</v>
      </c>
      <c r="V38" s="4027">
        <f>V39</f>
        <v>8000</v>
      </c>
    </row>
    <row r="39" spans="1:22" s="248" customFormat="1">
      <c r="A39" s="4009">
        <v>1</v>
      </c>
      <c r="B39" s="4010" t="s">
        <v>3122</v>
      </c>
      <c r="C39" s="4009"/>
      <c r="D39" s="4009"/>
      <c r="E39" s="4009"/>
      <c r="F39" s="4009"/>
      <c r="G39" s="4027">
        <f t="shared" si="17"/>
        <v>18277</v>
      </c>
      <c r="H39" s="4027">
        <f t="shared" si="17"/>
        <v>0</v>
      </c>
      <c r="I39" s="4027">
        <f t="shared" si="17"/>
        <v>0</v>
      </c>
      <c r="J39" s="4027">
        <f t="shared" si="17"/>
        <v>18277</v>
      </c>
      <c r="K39" s="4027">
        <f t="shared" si="17"/>
        <v>0</v>
      </c>
      <c r="L39" s="4027">
        <f t="shared" si="17"/>
        <v>0</v>
      </c>
      <c r="M39" s="4027">
        <f t="shared" si="17"/>
        <v>0</v>
      </c>
      <c r="N39" s="4027">
        <f t="shared" si="17"/>
        <v>0</v>
      </c>
      <c r="O39" s="4027">
        <f t="shared" si="17"/>
        <v>0</v>
      </c>
      <c r="P39" s="4027">
        <f t="shared" si="17"/>
        <v>0</v>
      </c>
      <c r="Q39" s="4027">
        <f t="shared" si="17"/>
        <v>0</v>
      </c>
      <c r="R39" s="4027">
        <f t="shared" si="17"/>
        <v>0</v>
      </c>
      <c r="S39" s="4027">
        <f t="shared" si="17"/>
        <v>8000</v>
      </c>
      <c r="T39" s="4027">
        <f t="shared" si="17"/>
        <v>0</v>
      </c>
      <c r="U39" s="4027">
        <f t="shared" si="17"/>
        <v>0</v>
      </c>
      <c r="V39" s="4027">
        <f t="shared" si="17"/>
        <v>8000</v>
      </c>
    </row>
    <row r="40" spans="1:22" ht="31.2">
      <c r="A40" s="4009" t="s">
        <v>34</v>
      </c>
      <c r="B40" s="4028" t="s">
        <v>2871</v>
      </c>
      <c r="C40" s="4009"/>
      <c r="D40" s="4009"/>
      <c r="E40" s="4009"/>
      <c r="F40" s="4009"/>
      <c r="G40" s="4029">
        <f t="shared" si="17"/>
        <v>18277</v>
      </c>
      <c r="H40" s="4029">
        <f t="shared" si="17"/>
        <v>0</v>
      </c>
      <c r="I40" s="4029">
        <f t="shared" si="17"/>
        <v>0</v>
      </c>
      <c r="J40" s="4029">
        <f t="shared" si="17"/>
        <v>18277</v>
      </c>
      <c r="K40" s="4029">
        <f t="shared" si="17"/>
        <v>0</v>
      </c>
      <c r="L40" s="4029">
        <f t="shared" si="17"/>
        <v>0</v>
      </c>
      <c r="M40" s="4029">
        <f t="shared" si="17"/>
        <v>0</v>
      </c>
      <c r="N40" s="4029">
        <f t="shared" si="17"/>
        <v>0</v>
      </c>
      <c r="O40" s="4029">
        <f t="shared" si="17"/>
        <v>0</v>
      </c>
      <c r="P40" s="4029">
        <f t="shared" si="17"/>
        <v>0</v>
      </c>
      <c r="Q40" s="4029">
        <f t="shared" si="17"/>
        <v>0</v>
      </c>
      <c r="R40" s="4029">
        <f t="shared" si="17"/>
        <v>0</v>
      </c>
      <c r="S40" s="4029">
        <f t="shared" si="17"/>
        <v>8000</v>
      </c>
      <c r="T40" s="4029">
        <f t="shared" si="17"/>
        <v>0</v>
      </c>
      <c r="U40" s="4029">
        <f t="shared" si="17"/>
        <v>0</v>
      </c>
      <c r="V40" s="4029">
        <f>V41</f>
        <v>8000</v>
      </c>
    </row>
    <row r="41" spans="1:22" s="3997" customFormat="1" ht="48.75" customHeight="1">
      <c r="A41" s="4036">
        <v>1</v>
      </c>
      <c r="B41" s="4037" t="s">
        <v>3439</v>
      </c>
      <c r="C41" s="4038" t="s">
        <v>3110</v>
      </c>
      <c r="D41" s="4038" t="s">
        <v>3440</v>
      </c>
      <c r="E41" s="4038" t="s">
        <v>2954</v>
      </c>
      <c r="F41" s="4039" t="s">
        <v>3441</v>
      </c>
      <c r="G41" s="3992">
        <f>H41+I41+J41</f>
        <v>18277</v>
      </c>
      <c r="H41" s="3992"/>
      <c r="I41" s="3992"/>
      <c r="J41" s="3992">
        <v>18277</v>
      </c>
      <c r="K41" s="3992">
        <f>L41+M41+N41</f>
        <v>0</v>
      </c>
      <c r="L41" s="3992"/>
      <c r="M41" s="3992"/>
      <c r="N41" s="3992"/>
      <c r="O41" s="3992">
        <f>P41+Q41+R41</f>
        <v>0</v>
      </c>
      <c r="P41" s="3992"/>
      <c r="Q41" s="3992"/>
      <c r="R41" s="3992"/>
      <c r="S41" s="3992">
        <f>T41+U41+V41</f>
        <v>8000</v>
      </c>
      <c r="T41" s="3992"/>
      <c r="U41" s="3992"/>
      <c r="V41" s="3992">
        <f>8067-67</f>
        <v>8000</v>
      </c>
    </row>
    <row r="42" spans="1:22" s="1577" customFormat="1">
      <c r="A42" s="4009" t="s">
        <v>49</v>
      </c>
      <c r="B42" s="4010" t="s">
        <v>2852</v>
      </c>
      <c r="C42" s="4035"/>
      <c r="D42" s="4035"/>
      <c r="E42" s="4035"/>
      <c r="F42" s="4035"/>
      <c r="G42" s="4027">
        <f t="shared" ref="G42:V44" si="18">G43</f>
        <v>14970.564</v>
      </c>
      <c r="H42" s="4027">
        <f t="shared" si="18"/>
        <v>0</v>
      </c>
      <c r="I42" s="4027">
        <f t="shared" si="18"/>
        <v>0</v>
      </c>
      <c r="J42" s="4027">
        <f t="shared" si="18"/>
        <v>14970.564</v>
      </c>
      <c r="K42" s="4027">
        <f t="shared" si="18"/>
        <v>1000</v>
      </c>
      <c r="L42" s="4027">
        <f t="shared" si="18"/>
        <v>0</v>
      </c>
      <c r="M42" s="4027">
        <f t="shared" si="18"/>
        <v>0</v>
      </c>
      <c r="N42" s="4027">
        <f t="shared" si="18"/>
        <v>500</v>
      </c>
      <c r="O42" s="4027">
        <f t="shared" si="18"/>
        <v>500</v>
      </c>
      <c r="P42" s="4027">
        <f t="shared" si="18"/>
        <v>0</v>
      </c>
      <c r="Q42" s="4027">
        <f t="shared" si="18"/>
        <v>0</v>
      </c>
      <c r="R42" s="4027">
        <f t="shared" si="18"/>
        <v>500</v>
      </c>
      <c r="S42" s="4027">
        <f t="shared" si="18"/>
        <v>2500</v>
      </c>
      <c r="T42" s="4027">
        <f t="shared" si="18"/>
        <v>0</v>
      </c>
      <c r="U42" s="4027">
        <f t="shared" si="18"/>
        <v>0</v>
      </c>
      <c r="V42" s="4027">
        <f>V43</f>
        <v>2500</v>
      </c>
    </row>
    <row r="43" spans="1:22" s="248" customFormat="1">
      <c r="A43" s="4009">
        <v>1</v>
      </c>
      <c r="B43" s="4010" t="s">
        <v>3122</v>
      </c>
      <c r="C43" s="4009"/>
      <c r="D43" s="4009"/>
      <c r="E43" s="4009"/>
      <c r="F43" s="4009"/>
      <c r="G43" s="4027">
        <f t="shared" si="18"/>
        <v>14970.564</v>
      </c>
      <c r="H43" s="4027">
        <f t="shared" si="18"/>
        <v>0</v>
      </c>
      <c r="I43" s="4027">
        <f t="shared" si="18"/>
        <v>0</v>
      </c>
      <c r="J43" s="4027">
        <f t="shared" si="18"/>
        <v>14970.564</v>
      </c>
      <c r="K43" s="4027">
        <f t="shared" si="18"/>
        <v>1000</v>
      </c>
      <c r="L43" s="4027">
        <f t="shared" si="18"/>
        <v>0</v>
      </c>
      <c r="M43" s="4027">
        <f t="shared" si="18"/>
        <v>0</v>
      </c>
      <c r="N43" s="4027">
        <f t="shared" si="18"/>
        <v>500</v>
      </c>
      <c r="O43" s="4027">
        <f t="shared" si="18"/>
        <v>500</v>
      </c>
      <c r="P43" s="4027">
        <f t="shared" si="18"/>
        <v>0</v>
      </c>
      <c r="Q43" s="4027">
        <f t="shared" si="18"/>
        <v>0</v>
      </c>
      <c r="R43" s="4027">
        <f t="shared" si="18"/>
        <v>500</v>
      </c>
      <c r="S43" s="4027">
        <f t="shared" si="18"/>
        <v>2500</v>
      </c>
      <c r="T43" s="4027">
        <f t="shared" si="18"/>
        <v>0</v>
      </c>
      <c r="U43" s="4027">
        <f t="shared" si="18"/>
        <v>0</v>
      </c>
      <c r="V43" s="4027">
        <f t="shared" si="18"/>
        <v>2500</v>
      </c>
    </row>
    <row r="44" spans="1:22" ht="31.2">
      <c r="A44" s="4009" t="s">
        <v>34</v>
      </c>
      <c r="B44" s="4028" t="s">
        <v>2871</v>
      </c>
      <c r="C44" s="4009"/>
      <c r="D44" s="4009"/>
      <c r="E44" s="4009"/>
      <c r="F44" s="4009"/>
      <c r="G44" s="4029">
        <f t="shared" si="18"/>
        <v>14970.564</v>
      </c>
      <c r="H44" s="4029">
        <f t="shared" si="18"/>
        <v>0</v>
      </c>
      <c r="I44" s="4029">
        <f t="shared" si="18"/>
        <v>0</v>
      </c>
      <c r="J44" s="4029">
        <f t="shared" si="18"/>
        <v>14970.564</v>
      </c>
      <c r="K44" s="4029">
        <f t="shared" si="18"/>
        <v>1000</v>
      </c>
      <c r="L44" s="4029">
        <f t="shared" si="18"/>
        <v>0</v>
      </c>
      <c r="M44" s="4029">
        <f t="shared" si="18"/>
        <v>0</v>
      </c>
      <c r="N44" s="4029">
        <f t="shared" si="18"/>
        <v>500</v>
      </c>
      <c r="O44" s="4029">
        <f t="shared" si="18"/>
        <v>500</v>
      </c>
      <c r="P44" s="4029">
        <f t="shared" si="18"/>
        <v>0</v>
      </c>
      <c r="Q44" s="4029">
        <f t="shared" si="18"/>
        <v>0</v>
      </c>
      <c r="R44" s="4029">
        <f t="shared" si="18"/>
        <v>500</v>
      </c>
      <c r="S44" s="4029">
        <f t="shared" si="18"/>
        <v>2500</v>
      </c>
      <c r="T44" s="4029">
        <f t="shared" si="18"/>
        <v>0</v>
      </c>
      <c r="U44" s="4029">
        <f t="shared" si="18"/>
        <v>0</v>
      </c>
      <c r="V44" s="4029">
        <f>V45</f>
        <v>2500</v>
      </c>
    </row>
    <row r="45" spans="1:22" ht="36" customHeight="1">
      <c r="A45" s="3987">
        <v>1</v>
      </c>
      <c r="B45" s="4040" t="s">
        <v>2884</v>
      </c>
      <c r="C45" s="4041" t="s">
        <v>2885</v>
      </c>
      <c r="D45" s="3987" t="s">
        <v>2886</v>
      </c>
      <c r="E45" s="4041" t="s">
        <v>2887</v>
      </c>
      <c r="F45" s="3987" t="s">
        <v>2888</v>
      </c>
      <c r="G45" s="3992">
        <v>14970.564</v>
      </c>
      <c r="H45" s="3992"/>
      <c r="I45" s="3992"/>
      <c r="J45" s="3992">
        <f t="shared" ref="J45" si="19">G45</f>
        <v>14970.564</v>
      </c>
      <c r="K45" s="3992">
        <f t="shared" ref="K45" si="20">SUM(L45:O45)</f>
        <v>1000</v>
      </c>
      <c r="L45" s="3992"/>
      <c r="M45" s="3992"/>
      <c r="N45" s="3992">
        <v>500</v>
      </c>
      <c r="O45" s="3992">
        <f t="shared" ref="O45" si="21">SUM(P45:R45)</f>
        <v>500</v>
      </c>
      <c r="P45" s="3992"/>
      <c r="Q45" s="3992"/>
      <c r="R45" s="3992">
        <v>500</v>
      </c>
      <c r="S45" s="3992">
        <f t="shared" ref="S45" si="22">SUM(T45:V45)</f>
        <v>2500</v>
      </c>
      <c r="T45" s="3992"/>
      <c r="U45" s="3992"/>
      <c r="V45" s="3992">
        <v>2500</v>
      </c>
    </row>
    <row r="46" spans="1:22" s="248" customFormat="1" ht="62.4">
      <c r="A46" s="4009" t="s">
        <v>130</v>
      </c>
      <c r="B46" s="4010" t="s">
        <v>2889</v>
      </c>
      <c r="C46" s="4009"/>
      <c r="D46" s="4009"/>
      <c r="E46" s="4009"/>
      <c r="F46" s="4009"/>
      <c r="G46" s="4027">
        <f t="shared" ref="G46:V46" si="23">G47+G53+G57+G68+G76+G85+G94+G105+G119+G131+G137+G141+G148+G160</f>
        <v>2452129.5690000001</v>
      </c>
      <c r="H46" s="4027">
        <f t="shared" si="23"/>
        <v>0</v>
      </c>
      <c r="I46" s="4027">
        <f t="shared" si="23"/>
        <v>0</v>
      </c>
      <c r="J46" s="4027">
        <f t="shared" si="23"/>
        <v>2343722.0520000001</v>
      </c>
      <c r="K46" s="4027">
        <f t="shared" si="23"/>
        <v>906112.66</v>
      </c>
      <c r="L46" s="4027">
        <f t="shared" si="23"/>
        <v>0</v>
      </c>
      <c r="M46" s="4027">
        <f t="shared" si="23"/>
        <v>0</v>
      </c>
      <c r="N46" s="4027">
        <f t="shared" si="23"/>
        <v>906112.66</v>
      </c>
      <c r="O46" s="4027">
        <f t="shared" si="23"/>
        <v>875448</v>
      </c>
      <c r="P46" s="4027">
        <f t="shared" si="23"/>
        <v>0</v>
      </c>
      <c r="Q46" s="4027">
        <f t="shared" si="23"/>
        <v>0</v>
      </c>
      <c r="R46" s="4027">
        <f t="shared" si="23"/>
        <v>875448</v>
      </c>
      <c r="S46" s="4027">
        <f t="shared" si="23"/>
        <v>725000</v>
      </c>
      <c r="T46" s="4027">
        <f t="shared" si="23"/>
        <v>0</v>
      </c>
      <c r="U46" s="4027">
        <f t="shared" si="23"/>
        <v>0</v>
      </c>
      <c r="V46" s="4027">
        <f t="shared" si="23"/>
        <v>725000</v>
      </c>
    </row>
    <row r="47" spans="1:22" s="1577" customFormat="1">
      <c r="A47" s="4009" t="s">
        <v>9</v>
      </c>
      <c r="B47" s="4010" t="s">
        <v>1452</v>
      </c>
      <c r="C47" s="4035"/>
      <c r="D47" s="4035"/>
      <c r="E47" s="4035"/>
      <c r="F47" s="4035"/>
      <c r="G47" s="4027">
        <f t="shared" ref="G47:V48" si="24">G48</f>
        <v>62387</v>
      </c>
      <c r="H47" s="4027">
        <f t="shared" si="24"/>
        <v>0</v>
      </c>
      <c r="I47" s="4027">
        <f t="shared" si="24"/>
        <v>0</v>
      </c>
      <c r="J47" s="4027">
        <f t="shared" si="24"/>
        <v>62387</v>
      </c>
      <c r="K47" s="4027">
        <f t="shared" si="24"/>
        <v>38768</v>
      </c>
      <c r="L47" s="4027">
        <f t="shared" si="24"/>
        <v>0</v>
      </c>
      <c r="M47" s="4027">
        <f t="shared" si="24"/>
        <v>0</v>
      </c>
      <c r="N47" s="4027">
        <f t="shared" si="24"/>
        <v>38768</v>
      </c>
      <c r="O47" s="4027">
        <f t="shared" si="24"/>
        <v>41500</v>
      </c>
      <c r="P47" s="4027">
        <f t="shared" si="24"/>
        <v>0</v>
      </c>
      <c r="Q47" s="4027">
        <f t="shared" si="24"/>
        <v>0</v>
      </c>
      <c r="R47" s="4027">
        <f t="shared" si="24"/>
        <v>41500</v>
      </c>
      <c r="S47" s="4027">
        <f t="shared" si="24"/>
        <v>12980</v>
      </c>
      <c r="T47" s="4027">
        <f t="shared" si="24"/>
        <v>0</v>
      </c>
      <c r="U47" s="4027">
        <f t="shared" si="24"/>
        <v>0</v>
      </c>
      <c r="V47" s="4027">
        <f>V48</f>
        <v>12980</v>
      </c>
    </row>
    <row r="48" spans="1:22" s="248" customFormat="1">
      <c r="A48" s="4009">
        <v>1</v>
      </c>
      <c r="B48" s="4010" t="s">
        <v>3122</v>
      </c>
      <c r="C48" s="4009"/>
      <c r="D48" s="4009"/>
      <c r="E48" s="4009"/>
      <c r="F48" s="4009"/>
      <c r="G48" s="4027">
        <f t="shared" si="24"/>
        <v>62387</v>
      </c>
      <c r="H48" s="4027">
        <f t="shared" si="24"/>
        <v>0</v>
      </c>
      <c r="I48" s="4027">
        <f t="shared" si="24"/>
        <v>0</v>
      </c>
      <c r="J48" s="4027">
        <f t="shared" si="24"/>
        <v>62387</v>
      </c>
      <c r="K48" s="4027">
        <f t="shared" si="24"/>
        <v>38768</v>
      </c>
      <c r="L48" s="4027">
        <f t="shared" si="24"/>
        <v>0</v>
      </c>
      <c r="M48" s="4027">
        <f t="shared" si="24"/>
        <v>0</v>
      </c>
      <c r="N48" s="4027">
        <f t="shared" si="24"/>
        <v>38768</v>
      </c>
      <c r="O48" s="4027">
        <f t="shared" si="24"/>
        <v>41500</v>
      </c>
      <c r="P48" s="4027">
        <f t="shared" si="24"/>
        <v>0</v>
      </c>
      <c r="Q48" s="4027">
        <f t="shared" si="24"/>
        <v>0</v>
      </c>
      <c r="R48" s="4027">
        <f t="shared" si="24"/>
        <v>41500</v>
      </c>
      <c r="S48" s="4027">
        <f t="shared" si="24"/>
        <v>12980</v>
      </c>
      <c r="T48" s="4027">
        <f t="shared" si="24"/>
        <v>0</v>
      </c>
      <c r="U48" s="4027">
        <f t="shared" si="24"/>
        <v>0</v>
      </c>
      <c r="V48" s="4027">
        <f t="shared" si="24"/>
        <v>12980</v>
      </c>
    </row>
    <row r="49" spans="1:22" ht="31.2">
      <c r="A49" s="4009" t="s">
        <v>34</v>
      </c>
      <c r="B49" s="4028" t="s">
        <v>2871</v>
      </c>
      <c r="C49" s="4009"/>
      <c r="D49" s="4009"/>
      <c r="E49" s="4009"/>
      <c r="F49" s="4009"/>
      <c r="G49" s="4029">
        <f>SUM(G50:G52)</f>
        <v>62387</v>
      </c>
      <c r="H49" s="4029">
        <f t="shared" ref="H49:V49" si="25">SUM(H50:H52)</f>
        <v>0</v>
      </c>
      <c r="I49" s="4029">
        <f t="shared" si="25"/>
        <v>0</v>
      </c>
      <c r="J49" s="4029">
        <f t="shared" si="25"/>
        <v>62387</v>
      </c>
      <c r="K49" s="4029">
        <f t="shared" si="25"/>
        <v>38768</v>
      </c>
      <c r="L49" s="4029">
        <f t="shared" si="25"/>
        <v>0</v>
      </c>
      <c r="M49" s="4029">
        <f t="shared" si="25"/>
        <v>0</v>
      </c>
      <c r="N49" s="4029">
        <f t="shared" si="25"/>
        <v>38768</v>
      </c>
      <c r="O49" s="4029">
        <f t="shared" si="25"/>
        <v>41500</v>
      </c>
      <c r="P49" s="4029">
        <f t="shared" si="25"/>
        <v>0</v>
      </c>
      <c r="Q49" s="4029">
        <f t="shared" si="25"/>
        <v>0</v>
      </c>
      <c r="R49" s="4029">
        <f t="shared" si="25"/>
        <v>41500</v>
      </c>
      <c r="S49" s="4029">
        <f t="shared" si="25"/>
        <v>12980</v>
      </c>
      <c r="T49" s="4029">
        <f t="shared" si="25"/>
        <v>0</v>
      </c>
      <c r="U49" s="4029">
        <f t="shared" si="25"/>
        <v>0</v>
      </c>
      <c r="V49" s="4029">
        <f t="shared" si="25"/>
        <v>12980</v>
      </c>
    </row>
    <row r="50" spans="1:22" s="3997" customFormat="1" ht="24.75" customHeight="1">
      <c r="A50" s="4036">
        <v>1</v>
      </c>
      <c r="B50" s="4042" t="s">
        <v>2890</v>
      </c>
      <c r="C50" s="4038" t="s">
        <v>2891</v>
      </c>
      <c r="D50" s="4038"/>
      <c r="E50" s="4038" t="s">
        <v>2892</v>
      </c>
      <c r="F50" s="4039" t="s">
        <v>2893</v>
      </c>
      <c r="G50" s="3992">
        <v>18225</v>
      </c>
      <c r="H50" s="3992"/>
      <c r="I50" s="3992"/>
      <c r="J50" s="3992">
        <v>18225</v>
      </c>
      <c r="K50" s="3992">
        <f t="shared" ref="K50:K52" si="26">L50+M50+N50</f>
        <v>10790</v>
      </c>
      <c r="L50" s="3992"/>
      <c r="M50" s="3992"/>
      <c r="N50" s="3992">
        <v>10790</v>
      </c>
      <c r="O50" s="3992">
        <f t="shared" ref="O50:O52" si="27">P50+Q50+R50</f>
        <v>12100</v>
      </c>
      <c r="P50" s="3992"/>
      <c r="Q50" s="3992"/>
      <c r="R50" s="3992">
        <v>12100</v>
      </c>
      <c r="S50" s="3992">
        <f t="shared" ref="S50:S52" si="28">T50+U50+V50</f>
        <v>3850</v>
      </c>
      <c r="T50" s="3992"/>
      <c r="U50" s="3992"/>
      <c r="V50" s="3992">
        <v>3850</v>
      </c>
    </row>
    <row r="51" spans="1:22" s="3997" customFormat="1" ht="24.75" customHeight="1">
      <c r="A51" s="4036">
        <v>2</v>
      </c>
      <c r="B51" s="4042" t="s">
        <v>2894</v>
      </c>
      <c r="C51" s="4038" t="s">
        <v>2895</v>
      </c>
      <c r="D51" s="4038"/>
      <c r="E51" s="4038" t="s">
        <v>2892</v>
      </c>
      <c r="F51" s="4039" t="s">
        <v>2896</v>
      </c>
      <c r="G51" s="3992">
        <v>23634</v>
      </c>
      <c r="H51" s="3992"/>
      <c r="I51" s="3992"/>
      <c r="J51" s="3992">
        <v>23634</v>
      </c>
      <c r="K51" s="3992">
        <f t="shared" si="26"/>
        <v>10148</v>
      </c>
      <c r="L51" s="3992"/>
      <c r="M51" s="3992"/>
      <c r="N51" s="3992">
        <v>10148</v>
      </c>
      <c r="O51" s="3992">
        <f t="shared" si="27"/>
        <v>14000</v>
      </c>
      <c r="P51" s="3992"/>
      <c r="Q51" s="3992"/>
      <c r="R51" s="3992">
        <v>14000</v>
      </c>
      <c r="S51" s="3992">
        <f t="shared" si="28"/>
        <v>6700</v>
      </c>
      <c r="T51" s="3992"/>
      <c r="U51" s="3992"/>
      <c r="V51" s="3992">
        <v>6700</v>
      </c>
    </row>
    <row r="52" spans="1:22" s="3997" customFormat="1" ht="24.75" customHeight="1">
      <c r="A52" s="4036">
        <v>3</v>
      </c>
      <c r="B52" s="4042" t="s">
        <v>2897</v>
      </c>
      <c r="C52" s="4038" t="s">
        <v>2885</v>
      </c>
      <c r="D52" s="4038"/>
      <c r="E52" s="4038" t="s">
        <v>2892</v>
      </c>
      <c r="F52" s="4039" t="s">
        <v>2898</v>
      </c>
      <c r="G52" s="3992">
        <v>20528</v>
      </c>
      <c r="H52" s="3992"/>
      <c r="I52" s="3992"/>
      <c r="J52" s="3992">
        <v>20528</v>
      </c>
      <c r="K52" s="3992">
        <f t="shared" si="26"/>
        <v>17830</v>
      </c>
      <c r="L52" s="3992"/>
      <c r="M52" s="3992"/>
      <c r="N52" s="3992">
        <v>17830</v>
      </c>
      <c r="O52" s="3992">
        <f t="shared" si="27"/>
        <v>15400</v>
      </c>
      <c r="P52" s="3992"/>
      <c r="Q52" s="3992"/>
      <c r="R52" s="3992">
        <v>15400</v>
      </c>
      <c r="S52" s="3992">
        <f t="shared" si="28"/>
        <v>2430</v>
      </c>
      <c r="T52" s="3992"/>
      <c r="U52" s="3992"/>
      <c r="V52" s="3992">
        <v>2430</v>
      </c>
    </row>
    <row r="53" spans="1:22" s="248" customFormat="1" ht="31.2">
      <c r="A53" s="4009" t="s">
        <v>20</v>
      </c>
      <c r="B53" s="4010" t="s">
        <v>2842</v>
      </c>
      <c r="C53" s="4009"/>
      <c r="D53" s="4009"/>
      <c r="E53" s="4009"/>
      <c r="F53" s="4009"/>
      <c r="G53" s="4027">
        <f>G54</f>
        <v>73334</v>
      </c>
      <c r="H53" s="4027">
        <f t="shared" ref="H53:V55" si="29">H54</f>
        <v>0</v>
      </c>
      <c r="I53" s="4027">
        <f t="shared" si="29"/>
        <v>0</v>
      </c>
      <c r="J53" s="4027">
        <f t="shared" si="29"/>
        <v>62800</v>
      </c>
      <c r="K53" s="4027">
        <f t="shared" si="29"/>
        <v>45616</v>
      </c>
      <c r="L53" s="4027">
        <f t="shared" si="29"/>
        <v>0</v>
      </c>
      <c r="M53" s="4027">
        <f t="shared" si="29"/>
        <v>0</v>
      </c>
      <c r="N53" s="4027">
        <f t="shared" si="29"/>
        <v>45616</v>
      </c>
      <c r="O53" s="4027">
        <f t="shared" si="29"/>
        <v>31000</v>
      </c>
      <c r="P53" s="4027">
        <f t="shared" si="29"/>
        <v>0</v>
      </c>
      <c r="Q53" s="4027">
        <f t="shared" si="29"/>
        <v>0</v>
      </c>
      <c r="R53" s="4027">
        <f t="shared" si="29"/>
        <v>31000</v>
      </c>
      <c r="S53" s="4027">
        <f t="shared" si="29"/>
        <v>31800</v>
      </c>
      <c r="T53" s="4027">
        <f t="shared" si="29"/>
        <v>0</v>
      </c>
      <c r="U53" s="4027">
        <f t="shared" si="29"/>
        <v>0</v>
      </c>
      <c r="V53" s="4027">
        <f t="shared" si="29"/>
        <v>31800</v>
      </c>
    </row>
    <row r="54" spans="1:22" s="248" customFormat="1">
      <c r="A54" s="4009">
        <v>1</v>
      </c>
      <c r="B54" s="4010" t="s">
        <v>3122</v>
      </c>
      <c r="C54" s="4009"/>
      <c r="D54" s="4009"/>
      <c r="E54" s="4009"/>
      <c r="F54" s="4009"/>
      <c r="G54" s="4027">
        <f>G55</f>
        <v>73334</v>
      </c>
      <c r="H54" s="4027">
        <f t="shared" si="29"/>
        <v>0</v>
      </c>
      <c r="I54" s="4027">
        <f t="shared" si="29"/>
        <v>0</v>
      </c>
      <c r="J54" s="4027">
        <f t="shared" si="29"/>
        <v>62800</v>
      </c>
      <c r="K54" s="4027">
        <f t="shared" si="29"/>
        <v>45616</v>
      </c>
      <c r="L54" s="4027">
        <f t="shared" si="29"/>
        <v>0</v>
      </c>
      <c r="M54" s="4027">
        <f t="shared" si="29"/>
        <v>0</v>
      </c>
      <c r="N54" s="4027">
        <f t="shared" si="29"/>
        <v>45616</v>
      </c>
      <c r="O54" s="4027">
        <f t="shared" si="29"/>
        <v>31000</v>
      </c>
      <c r="P54" s="4027">
        <f t="shared" si="29"/>
        <v>0</v>
      </c>
      <c r="Q54" s="4027">
        <f t="shared" si="29"/>
        <v>0</v>
      </c>
      <c r="R54" s="4027">
        <f t="shared" si="29"/>
        <v>31000</v>
      </c>
      <c r="S54" s="4027">
        <f t="shared" si="29"/>
        <v>31800</v>
      </c>
      <c r="T54" s="4027">
        <f t="shared" si="29"/>
        <v>0</v>
      </c>
      <c r="U54" s="4027">
        <f t="shared" si="29"/>
        <v>0</v>
      </c>
      <c r="V54" s="4027">
        <f t="shared" si="29"/>
        <v>31800</v>
      </c>
    </row>
    <row r="55" spans="1:22" ht="31.2">
      <c r="A55" s="4009" t="s">
        <v>34</v>
      </c>
      <c r="B55" s="4028" t="s">
        <v>2871</v>
      </c>
      <c r="C55" s="4009"/>
      <c r="D55" s="4009"/>
      <c r="E55" s="4009"/>
      <c r="F55" s="4009"/>
      <c r="G55" s="4029">
        <f>G56</f>
        <v>73334</v>
      </c>
      <c r="H55" s="4029">
        <f t="shared" si="29"/>
        <v>0</v>
      </c>
      <c r="I55" s="4029">
        <f t="shared" si="29"/>
        <v>0</v>
      </c>
      <c r="J55" s="4029">
        <f t="shared" si="29"/>
        <v>62800</v>
      </c>
      <c r="K55" s="4029">
        <f t="shared" si="29"/>
        <v>45616</v>
      </c>
      <c r="L55" s="4029">
        <f t="shared" si="29"/>
        <v>0</v>
      </c>
      <c r="M55" s="4029">
        <f t="shared" si="29"/>
        <v>0</v>
      </c>
      <c r="N55" s="4029">
        <f t="shared" si="29"/>
        <v>45616</v>
      </c>
      <c r="O55" s="4029">
        <f t="shared" si="29"/>
        <v>31000</v>
      </c>
      <c r="P55" s="4029">
        <f t="shared" si="29"/>
        <v>0</v>
      </c>
      <c r="Q55" s="4029">
        <f t="shared" si="29"/>
        <v>0</v>
      </c>
      <c r="R55" s="4029">
        <f t="shared" si="29"/>
        <v>31000</v>
      </c>
      <c r="S55" s="4029">
        <f t="shared" si="29"/>
        <v>31800</v>
      </c>
      <c r="T55" s="4029">
        <f t="shared" si="29"/>
        <v>0</v>
      </c>
      <c r="U55" s="4029">
        <f t="shared" si="29"/>
        <v>0</v>
      </c>
      <c r="V55" s="4029">
        <f t="shared" si="29"/>
        <v>31800</v>
      </c>
    </row>
    <row r="56" spans="1:22" ht="27" customHeight="1">
      <c r="A56" s="4043">
        <v>1</v>
      </c>
      <c r="B56" s="4044" t="s">
        <v>2899</v>
      </c>
      <c r="C56" s="4043" t="s">
        <v>2900</v>
      </c>
      <c r="D56" s="3987" t="s">
        <v>2901</v>
      </c>
      <c r="E56" s="4043" t="s">
        <v>2902</v>
      </c>
      <c r="F56" s="4043" t="s">
        <v>2903</v>
      </c>
      <c r="G56" s="4033">
        <v>73334</v>
      </c>
      <c r="H56" s="4033"/>
      <c r="I56" s="4033"/>
      <c r="J56" s="4033">
        <v>62800</v>
      </c>
      <c r="K56" s="4033">
        <f>N56+M56+L56</f>
        <v>45616</v>
      </c>
      <c r="L56" s="4033"/>
      <c r="M56" s="4033"/>
      <c r="N56" s="4033">
        <v>45616</v>
      </c>
      <c r="O56" s="4033">
        <f>P56+Q56+R56</f>
        <v>31000</v>
      </c>
      <c r="P56" s="4033"/>
      <c r="Q56" s="4033"/>
      <c r="R56" s="4033">
        <v>31000</v>
      </c>
      <c r="S56" s="4033">
        <f>T56+U56+V56</f>
        <v>31800</v>
      </c>
      <c r="T56" s="4033"/>
      <c r="U56" s="4033"/>
      <c r="V56" s="4033">
        <f>23800+8000</f>
        <v>31800</v>
      </c>
    </row>
    <row r="57" spans="1:22" s="1577" customFormat="1">
      <c r="A57" s="4009" t="s">
        <v>49</v>
      </c>
      <c r="B57" s="4010" t="s">
        <v>2846</v>
      </c>
      <c r="C57" s="4035"/>
      <c r="D57" s="4035"/>
      <c r="E57" s="4035"/>
      <c r="F57" s="4035"/>
      <c r="G57" s="4027">
        <f t="shared" ref="G57:V58" si="30">G58</f>
        <v>286210.17599999998</v>
      </c>
      <c r="H57" s="4027">
        <f t="shared" si="30"/>
        <v>0</v>
      </c>
      <c r="I57" s="4027">
        <f t="shared" si="30"/>
        <v>0</v>
      </c>
      <c r="J57" s="4027">
        <f t="shared" si="30"/>
        <v>286210.17599999998</v>
      </c>
      <c r="K57" s="4027">
        <f t="shared" si="30"/>
        <v>86685</v>
      </c>
      <c r="L57" s="4027">
        <f t="shared" si="30"/>
        <v>0</v>
      </c>
      <c r="M57" s="4027">
        <f t="shared" si="30"/>
        <v>0</v>
      </c>
      <c r="N57" s="4027">
        <f t="shared" si="30"/>
        <v>86685</v>
      </c>
      <c r="O57" s="4027">
        <f t="shared" si="30"/>
        <v>86685</v>
      </c>
      <c r="P57" s="4027">
        <f t="shared" si="30"/>
        <v>0</v>
      </c>
      <c r="Q57" s="4027">
        <f t="shared" si="30"/>
        <v>0</v>
      </c>
      <c r="R57" s="4027">
        <f t="shared" si="30"/>
        <v>86685</v>
      </c>
      <c r="S57" s="4027">
        <f t="shared" si="30"/>
        <v>104000</v>
      </c>
      <c r="T57" s="4027">
        <f t="shared" si="30"/>
        <v>0</v>
      </c>
      <c r="U57" s="4027">
        <f t="shared" si="30"/>
        <v>0</v>
      </c>
      <c r="V57" s="4027">
        <f>V58</f>
        <v>104000</v>
      </c>
    </row>
    <row r="58" spans="1:22" s="248" customFormat="1">
      <c r="A58" s="4009">
        <v>1</v>
      </c>
      <c r="B58" s="4010" t="s">
        <v>3122</v>
      </c>
      <c r="C58" s="4009"/>
      <c r="D58" s="4009"/>
      <c r="E58" s="4009"/>
      <c r="F58" s="4009"/>
      <c r="G58" s="4027">
        <f t="shared" si="30"/>
        <v>286210.17599999998</v>
      </c>
      <c r="H58" s="4027">
        <f t="shared" si="30"/>
        <v>0</v>
      </c>
      <c r="I58" s="4027">
        <f t="shared" si="30"/>
        <v>0</v>
      </c>
      <c r="J58" s="4027">
        <f t="shared" si="30"/>
        <v>286210.17599999998</v>
      </c>
      <c r="K58" s="4027">
        <f t="shared" si="30"/>
        <v>86685</v>
      </c>
      <c r="L58" s="4027">
        <f t="shared" si="30"/>
        <v>0</v>
      </c>
      <c r="M58" s="4027">
        <f t="shared" si="30"/>
        <v>0</v>
      </c>
      <c r="N58" s="4027">
        <f t="shared" si="30"/>
        <v>86685</v>
      </c>
      <c r="O58" s="4027">
        <f t="shared" si="30"/>
        <v>86685</v>
      </c>
      <c r="P58" s="4027">
        <f t="shared" si="30"/>
        <v>0</v>
      </c>
      <c r="Q58" s="4027">
        <f t="shared" si="30"/>
        <v>0</v>
      </c>
      <c r="R58" s="4027">
        <f t="shared" si="30"/>
        <v>86685</v>
      </c>
      <c r="S58" s="4027">
        <f t="shared" si="30"/>
        <v>104000</v>
      </c>
      <c r="T58" s="4027">
        <f t="shared" si="30"/>
        <v>0</v>
      </c>
      <c r="U58" s="4027">
        <f t="shared" si="30"/>
        <v>0</v>
      </c>
      <c r="V58" s="4027">
        <f t="shared" si="30"/>
        <v>104000</v>
      </c>
    </row>
    <row r="59" spans="1:22" ht="31.2">
      <c r="A59" s="4009" t="s">
        <v>34</v>
      </c>
      <c r="B59" s="4028" t="s">
        <v>2871</v>
      </c>
      <c r="C59" s="4009"/>
      <c r="D59" s="4009"/>
      <c r="E59" s="4009"/>
      <c r="F59" s="4009"/>
      <c r="G59" s="4029">
        <f t="shared" ref="G59:U59" si="31">SUM(G60:G67)</f>
        <v>286210.17599999998</v>
      </c>
      <c r="H59" s="4029">
        <f t="shared" si="31"/>
        <v>0</v>
      </c>
      <c r="I59" s="4029">
        <f t="shared" si="31"/>
        <v>0</v>
      </c>
      <c r="J59" s="4029">
        <f t="shared" si="31"/>
        <v>286210.17599999998</v>
      </c>
      <c r="K59" s="4029">
        <f t="shared" si="31"/>
        <v>86685</v>
      </c>
      <c r="L59" s="4029">
        <f t="shared" si="31"/>
        <v>0</v>
      </c>
      <c r="M59" s="4029">
        <f t="shared" si="31"/>
        <v>0</v>
      </c>
      <c r="N59" s="4029">
        <f t="shared" si="31"/>
        <v>86685</v>
      </c>
      <c r="O59" s="4029">
        <f t="shared" si="31"/>
        <v>86685</v>
      </c>
      <c r="P59" s="4029">
        <f t="shared" si="31"/>
        <v>0</v>
      </c>
      <c r="Q59" s="4029">
        <f t="shared" si="31"/>
        <v>0</v>
      </c>
      <c r="R59" s="4029">
        <f t="shared" si="31"/>
        <v>86685</v>
      </c>
      <c r="S59" s="4029">
        <f t="shared" si="31"/>
        <v>104000</v>
      </c>
      <c r="T59" s="4029">
        <f t="shared" si="31"/>
        <v>0</v>
      </c>
      <c r="U59" s="4029">
        <f t="shared" si="31"/>
        <v>0</v>
      </c>
      <c r="V59" s="4029">
        <f>SUM(V60:V67)</f>
        <v>104000</v>
      </c>
    </row>
    <row r="60" spans="1:22" s="2137" customFormat="1" ht="25.5" customHeight="1">
      <c r="A60" s="4045">
        <v>1</v>
      </c>
      <c r="B60" s="4046" t="s">
        <v>2904</v>
      </c>
      <c r="C60" s="4043" t="s">
        <v>2905</v>
      </c>
      <c r="D60" s="4047" t="s">
        <v>2906</v>
      </c>
      <c r="E60" s="4048" t="s">
        <v>2887</v>
      </c>
      <c r="F60" s="4049" t="s">
        <v>2907</v>
      </c>
      <c r="G60" s="3990">
        <v>51634</v>
      </c>
      <c r="H60" s="4050"/>
      <c r="I60" s="4050"/>
      <c r="J60" s="3990">
        <v>51634</v>
      </c>
      <c r="K60" s="3990">
        <v>10922</v>
      </c>
      <c r="L60" s="4050"/>
      <c r="M60" s="4050"/>
      <c r="N60" s="3990">
        <v>10922</v>
      </c>
      <c r="O60" s="3990">
        <v>10922</v>
      </c>
      <c r="P60" s="4050"/>
      <c r="Q60" s="4050"/>
      <c r="R60" s="3990">
        <v>10922</v>
      </c>
      <c r="S60" s="3990">
        <v>25000</v>
      </c>
      <c r="T60" s="4050"/>
      <c r="U60" s="4050"/>
      <c r="V60" s="3990">
        <v>25000</v>
      </c>
    </row>
    <row r="61" spans="1:22" s="2137" customFormat="1" ht="25.5" customHeight="1">
      <c r="A61" s="4045">
        <v>2</v>
      </c>
      <c r="B61" s="3988" t="s">
        <v>2908</v>
      </c>
      <c r="C61" s="4043" t="s">
        <v>2909</v>
      </c>
      <c r="D61" s="4047" t="s">
        <v>2910</v>
      </c>
      <c r="E61" s="4048" t="s">
        <v>2887</v>
      </c>
      <c r="F61" s="4048" t="s">
        <v>2911</v>
      </c>
      <c r="G61" s="4051">
        <v>16516</v>
      </c>
      <c r="H61" s="4050"/>
      <c r="I61" s="4050"/>
      <c r="J61" s="4051">
        <v>16516</v>
      </c>
      <c r="K61" s="3990">
        <v>8819</v>
      </c>
      <c r="L61" s="4050"/>
      <c r="M61" s="4050"/>
      <c r="N61" s="3990">
        <v>8819</v>
      </c>
      <c r="O61" s="3990">
        <v>8819</v>
      </c>
      <c r="P61" s="4050"/>
      <c r="Q61" s="4050"/>
      <c r="R61" s="3990">
        <v>8819</v>
      </c>
      <c r="S61" s="3990">
        <v>6000</v>
      </c>
      <c r="T61" s="4050"/>
      <c r="U61" s="4050"/>
      <c r="V61" s="3990">
        <v>6000</v>
      </c>
    </row>
    <row r="62" spans="1:22" s="2137" customFormat="1" ht="25.5" customHeight="1">
      <c r="A62" s="4045">
        <v>3</v>
      </c>
      <c r="B62" s="3988" t="s">
        <v>2912</v>
      </c>
      <c r="C62" s="4043" t="s">
        <v>2913</v>
      </c>
      <c r="D62" s="4047" t="s">
        <v>2914</v>
      </c>
      <c r="E62" s="3987" t="s">
        <v>2915</v>
      </c>
      <c r="F62" s="4049" t="s">
        <v>2916</v>
      </c>
      <c r="G62" s="3990">
        <v>23338</v>
      </c>
      <c r="H62" s="4050"/>
      <c r="I62" s="4050"/>
      <c r="J62" s="3990">
        <v>23338</v>
      </c>
      <c r="K62" s="3990">
        <v>12000</v>
      </c>
      <c r="L62" s="4050"/>
      <c r="M62" s="4050"/>
      <c r="N62" s="3990">
        <v>12000</v>
      </c>
      <c r="O62" s="3990">
        <v>12000</v>
      </c>
      <c r="P62" s="4050"/>
      <c r="Q62" s="4050"/>
      <c r="R62" s="3990">
        <v>12000</v>
      </c>
      <c r="S62" s="3990">
        <v>3500</v>
      </c>
      <c r="T62" s="4050"/>
      <c r="U62" s="4050"/>
      <c r="V62" s="3990">
        <v>3500</v>
      </c>
    </row>
    <row r="63" spans="1:22" s="2137" customFormat="1" ht="25.5" customHeight="1">
      <c r="A63" s="4045">
        <v>4</v>
      </c>
      <c r="B63" s="3988" t="s">
        <v>2917</v>
      </c>
      <c r="C63" s="4043" t="s">
        <v>2918</v>
      </c>
      <c r="D63" s="4047" t="s">
        <v>2919</v>
      </c>
      <c r="E63" s="3987" t="s">
        <v>2920</v>
      </c>
      <c r="F63" s="4048" t="s">
        <v>2921</v>
      </c>
      <c r="G63" s="3990">
        <v>27881</v>
      </c>
      <c r="H63" s="4050"/>
      <c r="I63" s="4050"/>
      <c r="J63" s="3990">
        <v>27881</v>
      </c>
      <c r="K63" s="3990">
        <v>20938</v>
      </c>
      <c r="L63" s="4050"/>
      <c r="M63" s="4050"/>
      <c r="N63" s="3990">
        <v>20938</v>
      </c>
      <c r="O63" s="3990">
        <v>20938</v>
      </c>
      <c r="P63" s="4050"/>
      <c r="Q63" s="4050"/>
      <c r="R63" s="3990">
        <v>20938</v>
      </c>
      <c r="S63" s="3990">
        <v>600</v>
      </c>
      <c r="T63" s="4050"/>
      <c r="U63" s="4050"/>
      <c r="V63" s="3990">
        <v>600</v>
      </c>
    </row>
    <row r="64" spans="1:22" s="2137" customFormat="1" ht="25.5" customHeight="1">
      <c r="A64" s="4045">
        <v>5</v>
      </c>
      <c r="B64" s="3988" t="s">
        <v>2922</v>
      </c>
      <c r="C64" s="4043" t="s">
        <v>2905</v>
      </c>
      <c r="D64" s="4047" t="s">
        <v>2923</v>
      </c>
      <c r="E64" s="4048" t="s">
        <v>2887</v>
      </c>
      <c r="F64" s="4049" t="s">
        <v>2924</v>
      </c>
      <c r="G64" s="3990">
        <v>38304</v>
      </c>
      <c r="H64" s="4050"/>
      <c r="I64" s="4050"/>
      <c r="J64" s="3990">
        <v>38304</v>
      </c>
      <c r="K64" s="3990">
        <v>3036</v>
      </c>
      <c r="L64" s="4050"/>
      <c r="M64" s="4050"/>
      <c r="N64" s="3990">
        <v>3036</v>
      </c>
      <c r="O64" s="3990">
        <v>3036</v>
      </c>
      <c r="P64" s="4050"/>
      <c r="Q64" s="4050"/>
      <c r="R64" s="3990">
        <v>3036</v>
      </c>
      <c r="S64" s="3990">
        <v>16300</v>
      </c>
      <c r="T64" s="4050"/>
      <c r="U64" s="4050"/>
      <c r="V64" s="3990">
        <v>16300</v>
      </c>
    </row>
    <row r="65" spans="1:22" s="2137" customFormat="1" ht="26.25" customHeight="1">
      <c r="A65" s="4045">
        <v>6</v>
      </c>
      <c r="B65" s="3988" t="s">
        <v>2925</v>
      </c>
      <c r="C65" s="4043" t="s">
        <v>2905</v>
      </c>
      <c r="D65" s="4047" t="s">
        <v>2926</v>
      </c>
      <c r="E65" s="4048" t="s">
        <v>2887</v>
      </c>
      <c r="F65" s="4049" t="s">
        <v>2927</v>
      </c>
      <c r="G65" s="3990">
        <v>43571</v>
      </c>
      <c r="H65" s="4050"/>
      <c r="I65" s="4050"/>
      <c r="J65" s="3990">
        <v>43571</v>
      </c>
      <c r="K65" s="3990">
        <v>4463</v>
      </c>
      <c r="L65" s="4050"/>
      <c r="M65" s="4050"/>
      <c r="N65" s="3990">
        <v>4463</v>
      </c>
      <c r="O65" s="3990">
        <v>4463</v>
      </c>
      <c r="P65" s="4050"/>
      <c r="Q65" s="4050"/>
      <c r="R65" s="3990">
        <v>4463</v>
      </c>
      <c r="S65" s="3990">
        <v>24500</v>
      </c>
      <c r="T65" s="4050"/>
      <c r="U65" s="4050"/>
      <c r="V65" s="3990">
        <v>24500</v>
      </c>
    </row>
    <row r="66" spans="1:22" s="2137" customFormat="1" ht="26.25" customHeight="1">
      <c r="A66" s="4045">
        <v>7</v>
      </c>
      <c r="B66" s="3988" t="s">
        <v>2928</v>
      </c>
      <c r="C66" s="4043" t="s">
        <v>2929</v>
      </c>
      <c r="D66" s="3987" t="s">
        <v>2926</v>
      </c>
      <c r="E66" s="4048" t="s">
        <v>2887</v>
      </c>
      <c r="F66" s="4049" t="s">
        <v>2930</v>
      </c>
      <c r="G66" s="3990">
        <v>40036</v>
      </c>
      <c r="H66" s="4050"/>
      <c r="I66" s="4050"/>
      <c r="J66" s="3990">
        <v>40036</v>
      </c>
      <c r="K66" s="3990">
        <v>7600</v>
      </c>
      <c r="L66" s="4050"/>
      <c r="M66" s="4050"/>
      <c r="N66" s="3990">
        <v>7600</v>
      </c>
      <c r="O66" s="3990">
        <v>7600</v>
      </c>
      <c r="P66" s="4050"/>
      <c r="Q66" s="4050"/>
      <c r="R66" s="3990">
        <v>7600</v>
      </c>
      <c r="S66" s="3990">
        <v>16700</v>
      </c>
      <c r="T66" s="4050"/>
      <c r="U66" s="4050"/>
      <c r="V66" s="3990">
        <v>16700</v>
      </c>
    </row>
    <row r="67" spans="1:22" s="2137" customFormat="1" ht="26.25" customHeight="1">
      <c r="A67" s="4045">
        <v>8</v>
      </c>
      <c r="B67" s="4046" t="s">
        <v>2931</v>
      </c>
      <c r="C67" s="4043" t="s">
        <v>2932</v>
      </c>
      <c r="D67" s="4047" t="s">
        <v>2933</v>
      </c>
      <c r="E67" s="4049" t="s">
        <v>2887</v>
      </c>
      <c r="F67" s="4049" t="s">
        <v>2934</v>
      </c>
      <c r="G67" s="4051">
        <v>44930.175999999999</v>
      </c>
      <c r="H67" s="4050"/>
      <c r="I67" s="4050"/>
      <c r="J67" s="4051">
        <v>44930.175999999999</v>
      </c>
      <c r="K67" s="3990">
        <v>18907</v>
      </c>
      <c r="L67" s="4050"/>
      <c r="M67" s="4050"/>
      <c r="N67" s="3990">
        <v>18907</v>
      </c>
      <c r="O67" s="3990">
        <v>18907</v>
      </c>
      <c r="P67" s="4050"/>
      <c r="Q67" s="4050"/>
      <c r="R67" s="3990">
        <v>18907</v>
      </c>
      <c r="S67" s="3990">
        <v>11400</v>
      </c>
      <c r="T67" s="4050"/>
      <c r="U67" s="4050"/>
      <c r="V67" s="3990">
        <v>11400</v>
      </c>
    </row>
    <row r="68" spans="1:22" s="1577" customFormat="1">
      <c r="A68" s="4009" t="s">
        <v>50</v>
      </c>
      <c r="B68" s="4010" t="s">
        <v>2847</v>
      </c>
      <c r="C68" s="4035"/>
      <c r="D68" s="4035"/>
      <c r="E68" s="4035"/>
      <c r="F68" s="4035"/>
      <c r="G68" s="4027">
        <f t="shared" ref="G68:V69" si="32">G69</f>
        <v>122245</v>
      </c>
      <c r="H68" s="4027">
        <f t="shared" si="32"/>
        <v>0</v>
      </c>
      <c r="I68" s="4027">
        <f t="shared" si="32"/>
        <v>0</v>
      </c>
      <c r="J68" s="4027">
        <f t="shared" si="32"/>
        <v>104371</v>
      </c>
      <c r="K68" s="4027">
        <f t="shared" si="32"/>
        <v>27386.530000000002</v>
      </c>
      <c r="L68" s="4027">
        <f t="shared" si="32"/>
        <v>0</v>
      </c>
      <c r="M68" s="4027">
        <f t="shared" si="32"/>
        <v>0</v>
      </c>
      <c r="N68" s="4027">
        <f t="shared" si="32"/>
        <v>27386.530000000002</v>
      </c>
      <c r="O68" s="4027">
        <f t="shared" si="32"/>
        <v>46171</v>
      </c>
      <c r="P68" s="4027">
        <f t="shared" si="32"/>
        <v>0</v>
      </c>
      <c r="Q68" s="4027">
        <f t="shared" si="32"/>
        <v>0</v>
      </c>
      <c r="R68" s="4027">
        <f t="shared" si="32"/>
        <v>46171</v>
      </c>
      <c r="S68" s="4027">
        <f t="shared" si="32"/>
        <v>42053</v>
      </c>
      <c r="T68" s="4027">
        <f t="shared" si="32"/>
        <v>0</v>
      </c>
      <c r="U68" s="4027">
        <f t="shared" si="32"/>
        <v>0</v>
      </c>
      <c r="V68" s="4027">
        <f>V69</f>
        <v>42053</v>
      </c>
    </row>
    <row r="69" spans="1:22" s="248" customFormat="1">
      <c r="A69" s="4009">
        <v>1</v>
      </c>
      <c r="B69" s="4010" t="s">
        <v>3122</v>
      </c>
      <c r="C69" s="4009"/>
      <c r="D69" s="4009"/>
      <c r="E69" s="4009"/>
      <c r="F69" s="4009"/>
      <c r="G69" s="4027">
        <f t="shared" si="32"/>
        <v>122245</v>
      </c>
      <c r="H69" s="4027">
        <f t="shared" si="32"/>
        <v>0</v>
      </c>
      <c r="I69" s="4027">
        <f t="shared" si="32"/>
        <v>0</v>
      </c>
      <c r="J69" s="4027">
        <f t="shared" si="32"/>
        <v>104371</v>
      </c>
      <c r="K69" s="4027">
        <f t="shared" si="32"/>
        <v>27386.530000000002</v>
      </c>
      <c r="L69" s="4027">
        <f t="shared" si="32"/>
        <v>0</v>
      </c>
      <c r="M69" s="4027">
        <f t="shared" si="32"/>
        <v>0</v>
      </c>
      <c r="N69" s="4027">
        <f t="shared" si="32"/>
        <v>27386.530000000002</v>
      </c>
      <c r="O69" s="4027">
        <f t="shared" si="32"/>
        <v>46171</v>
      </c>
      <c r="P69" s="4027">
        <f t="shared" si="32"/>
        <v>0</v>
      </c>
      <c r="Q69" s="4027">
        <f t="shared" si="32"/>
        <v>0</v>
      </c>
      <c r="R69" s="4027">
        <f t="shared" si="32"/>
        <v>46171</v>
      </c>
      <c r="S69" s="4027">
        <f t="shared" si="32"/>
        <v>42053</v>
      </c>
      <c r="T69" s="4027">
        <f t="shared" si="32"/>
        <v>0</v>
      </c>
      <c r="U69" s="4027">
        <f t="shared" si="32"/>
        <v>0</v>
      </c>
      <c r="V69" s="4027">
        <f t="shared" si="32"/>
        <v>42053</v>
      </c>
    </row>
    <row r="70" spans="1:22" ht="31.2">
      <c r="A70" s="4009" t="s">
        <v>34</v>
      </c>
      <c r="B70" s="4028" t="s">
        <v>2871</v>
      </c>
      <c r="C70" s="4009"/>
      <c r="D70" s="4009"/>
      <c r="E70" s="4009"/>
      <c r="F70" s="4009"/>
      <c r="G70" s="4029">
        <f>SUM(G71:G75)</f>
        <v>122245</v>
      </c>
      <c r="H70" s="4029">
        <f t="shared" ref="H70:V70" si="33">SUM(H71:H75)</f>
        <v>0</v>
      </c>
      <c r="I70" s="4029">
        <f t="shared" si="33"/>
        <v>0</v>
      </c>
      <c r="J70" s="4029">
        <f t="shared" si="33"/>
        <v>104371</v>
      </c>
      <c r="K70" s="4029">
        <f t="shared" si="33"/>
        <v>27386.530000000002</v>
      </c>
      <c r="L70" s="4029">
        <f t="shared" si="33"/>
        <v>0</v>
      </c>
      <c r="M70" s="4029">
        <f t="shared" si="33"/>
        <v>0</v>
      </c>
      <c r="N70" s="4029">
        <f t="shared" si="33"/>
        <v>27386.530000000002</v>
      </c>
      <c r="O70" s="4029">
        <f t="shared" si="33"/>
        <v>46171</v>
      </c>
      <c r="P70" s="4029">
        <f t="shared" si="33"/>
        <v>0</v>
      </c>
      <c r="Q70" s="4029">
        <f t="shared" si="33"/>
        <v>0</v>
      </c>
      <c r="R70" s="4029">
        <f t="shared" si="33"/>
        <v>46171</v>
      </c>
      <c r="S70" s="4029">
        <f t="shared" si="33"/>
        <v>42053</v>
      </c>
      <c r="T70" s="4029">
        <f t="shared" si="33"/>
        <v>0</v>
      </c>
      <c r="U70" s="4029">
        <f t="shared" si="33"/>
        <v>0</v>
      </c>
      <c r="V70" s="4029">
        <f t="shared" si="33"/>
        <v>42053</v>
      </c>
    </row>
    <row r="71" spans="1:22" ht="28.5" customHeight="1">
      <c r="A71" s="3987">
        <v>1</v>
      </c>
      <c r="B71" s="4034" t="s">
        <v>2935</v>
      </c>
      <c r="C71" s="3987" t="s">
        <v>2936</v>
      </c>
      <c r="D71" s="4052" t="s">
        <v>2937</v>
      </c>
      <c r="E71" s="3987" t="s">
        <v>2915</v>
      </c>
      <c r="F71" s="3987" t="s">
        <v>2938</v>
      </c>
      <c r="G71" s="3990">
        <v>11839</v>
      </c>
      <c r="H71" s="3990"/>
      <c r="I71" s="3990"/>
      <c r="J71" s="3990">
        <v>11500</v>
      </c>
      <c r="K71" s="3990">
        <f>L71+M71+N71</f>
        <v>8149.4470000000001</v>
      </c>
      <c r="L71" s="3990"/>
      <c r="M71" s="3990"/>
      <c r="N71" s="3990">
        <v>8149.4470000000001</v>
      </c>
      <c r="O71" s="3990">
        <v>9000</v>
      </c>
      <c r="P71" s="3990"/>
      <c r="Q71" s="3990"/>
      <c r="R71" s="3990">
        <v>9000</v>
      </c>
      <c r="S71" s="3990">
        <v>1853</v>
      </c>
      <c r="T71" s="3990"/>
      <c r="U71" s="3990"/>
      <c r="V71" s="3990">
        <v>1853</v>
      </c>
    </row>
    <row r="72" spans="1:22" ht="28.5" customHeight="1">
      <c r="A72" s="3987">
        <v>2</v>
      </c>
      <c r="B72" s="4034" t="s">
        <v>2939</v>
      </c>
      <c r="C72" s="3987" t="s">
        <v>2940</v>
      </c>
      <c r="D72" s="4052" t="s">
        <v>2941</v>
      </c>
      <c r="E72" s="3987" t="s">
        <v>2887</v>
      </c>
      <c r="F72" s="3987" t="s">
        <v>2942</v>
      </c>
      <c r="G72" s="3990">
        <v>15990</v>
      </c>
      <c r="H72" s="3990"/>
      <c r="I72" s="3990"/>
      <c r="J72" s="3990">
        <v>15000</v>
      </c>
      <c r="K72" s="3990">
        <f t="shared" ref="K72:K84" si="34">L72+M72+N72</f>
        <v>8588.1880000000001</v>
      </c>
      <c r="L72" s="3990"/>
      <c r="M72" s="3990"/>
      <c r="N72" s="3990">
        <v>8588.1880000000001</v>
      </c>
      <c r="O72" s="3990">
        <v>11000</v>
      </c>
      <c r="P72" s="3990"/>
      <c r="Q72" s="3990"/>
      <c r="R72" s="3990">
        <v>11000</v>
      </c>
      <c r="S72" s="3990">
        <v>4000</v>
      </c>
      <c r="T72" s="3990"/>
      <c r="U72" s="3990"/>
      <c r="V72" s="3990">
        <v>4000</v>
      </c>
    </row>
    <row r="73" spans="1:22" ht="28.5" customHeight="1">
      <c r="A73" s="3987">
        <v>3</v>
      </c>
      <c r="B73" s="4034" t="s">
        <v>2943</v>
      </c>
      <c r="C73" s="3987" t="s">
        <v>2944</v>
      </c>
      <c r="D73" s="4052" t="s">
        <v>2945</v>
      </c>
      <c r="E73" s="3987" t="s">
        <v>2887</v>
      </c>
      <c r="F73" s="3987" t="s">
        <v>2946</v>
      </c>
      <c r="G73" s="3990">
        <v>13326</v>
      </c>
      <c r="H73" s="3990"/>
      <c r="I73" s="3990"/>
      <c r="J73" s="3990">
        <v>13000</v>
      </c>
      <c r="K73" s="3990">
        <f t="shared" si="34"/>
        <v>8256.2240000000002</v>
      </c>
      <c r="L73" s="3990"/>
      <c r="M73" s="3990"/>
      <c r="N73" s="3990">
        <v>8256.2240000000002</v>
      </c>
      <c r="O73" s="3990">
        <v>9800</v>
      </c>
      <c r="P73" s="3990"/>
      <c r="Q73" s="3990"/>
      <c r="R73" s="3990">
        <v>9800</v>
      </c>
      <c r="S73" s="3990">
        <v>3200</v>
      </c>
      <c r="T73" s="3990"/>
      <c r="U73" s="3990"/>
      <c r="V73" s="3990">
        <v>3200</v>
      </c>
    </row>
    <row r="74" spans="1:22" ht="29.25" customHeight="1">
      <c r="A74" s="3987">
        <v>4</v>
      </c>
      <c r="B74" s="4034" t="s">
        <v>2947</v>
      </c>
      <c r="C74" s="3987" t="s">
        <v>2948</v>
      </c>
      <c r="D74" s="4052" t="s">
        <v>2949</v>
      </c>
      <c r="E74" s="3987" t="s">
        <v>2887</v>
      </c>
      <c r="F74" s="3987" t="s">
        <v>2950</v>
      </c>
      <c r="G74" s="3990">
        <v>41226</v>
      </c>
      <c r="H74" s="3990"/>
      <c r="I74" s="3990"/>
      <c r="J74" s="3990">
        <v>35371</v>
      </c>
      <c r="K74" s="3990">
        <f t="shared" si="34"/>
        <v>2392.6709999999998</v>
      </c>
      <c r="L74" s="3990"/>
      <c r="M74" s="3990"/>
      <c r="N74" s="3990">
        <v>2392.6709999999998</v>
      </c>
      <c r="O74" s="3990">
        <v>16371</v>
      </c>
      <c r="P74" s="3990"/>
      <c r="Q74" s="3990"/>
      <c r="R74" s="3990">
        <v>16371</v>
      </c>
      <c r="S74" s="3990">
        <v>18000</v>
      </c>
      <c r="T74" s="3990"/>
      <c r="U74" s="3990"/>
      <c r="V74" s="3990">
        <v>18000</v>
      </c>
    </row>
    <row r="75" spans="1:22" ht="29.25" customHeight="1">
      <c r="A75" s="3987">
        <v>5</v>
      </c>
      <c r="B75" s="4034" t="s">
        <v>2951</v>
      </c>
      <c r="C75" s="3987" t="s">
        <v>2952</v>
      </c>
      <c r="D75" s="4052" t="s">
        <v>2953</v>
      </c>
      <c r="E75" s="3987" t="s">
        <v>2954</v>
      </c>
      <c r="F75" s="3987" t="s">
        <v>2955</v>
      </c>
      <c r="G75" s="3990">
        <v>39864</v>
      </c>
      <c r="H75" s="3990"/>
      <c r="I75" s="3990"/>
      <c r="J75" s="3990">
        <v>29500</v>
      </c>
      <c r="K75" s="3990">
        <f t="shared" si="34"/>
        <v>0</v>
      </c>
      <c r="L75" s="3990"/>
      <c r="M75" s="3990"/>
      <c r="N75" s="3990">
        <v>0</v>
      </c>
      <c r="O75" s="3990"/>
      <c r="P75" s="3990"/>
      <c r="Q75" s="3990"/>
      <c r="R75" s="3990"/>
      <c r="S75" s="3990">
        <v>15000</v>
      </c>
      <c r="T75" s="3990"/>
      <c r="U75" s="3990"/>
      <c r="V75" s="3990">
        <v>15000</v>
      </c>
    </row>
    <row r="76" spans="1:22" s="1577" customFormat="1">
      <c r="A76" s="4009" t="s">
        <v>72</v>
      </c>
      <c r="B76" s="4010" t="s">
        <v>2848</v>
      </c>
      <c r="C76" s="4035"/>
      <c r="D76" s="4035"/>
      <c r="E76" s="4035"/>
      <c r="F76" s="4035"/>
      <c r="G76" s="4027">
        <f t="shared" ref="G76:V77" si="35">G77</f>
        <v>149941.109</v>
      </c>
      <c r="H76" s="4027">
        <f t="shared" si="35"/>
        <v>0</v>
      </c>
      <c r="I76" s="4027">
        <f t="shared" si="35"/>
        <v>0</v>
      </c>
      <c r="J76" s="4027">
        <f t="shared" si="35"/>
        <v>149941.109</v>
      </c>
      <c r="K76" s="4027">
        <f t="shared" si="35"/>
        <v>47190</v>
      </c>
      <c r="L76" s="4027">
        <f t="shared" si="35"/>
        <v>0</v>
      </c>
      <c r="M76" s="4027">
        <f t="shared" si="35"/>
        <v>0</v>
      </c>
      <c r="N76" s="4027">
        <f t="shared" si="35"/>
        <v>47190</v>
      </c>
      <c r="O76" s="4027">
        <f t="shared" si="35"/>
        <v>51068</v>
      </c>
      <c r="P76" s="4027">
        <f t="shared" si="35"/>
        <v>0</v>
      </c>
      <c r="Q76" s="4027">
        <f t="shared" si="35"/>
        <v>0</v>
      </c>
      <c r="R76" s="4027">
        <f t="shared" si="35"/>
        <v>51068</v>
      </c>
      <c r="S76" s="4027">
        <f t="shared" si="35"/>
        <v>50508</v>
      </c>
      <c r="T76" s="4027">
        <f t="shared" si="35"/>
        <v>0</v>
      </c>
      <c r="U76" s="4027">
        <f t="shared" si="35"/>
        <v>0</v>
      </c>
      <c r="V76" s="4027">
        <f>V77</f>
        <v>50508</v>
      </c>
    </row>
    <row r="77" spans="1:22" s="248" customFormat="1">
      <c r="A77" s="4009">
        <v>1</v>
      </c>
      <c r="B77" s="4010" t="s">
        <v>3122</v>
      </c>
      <c r="C77" s="4009"/>
      <c r="D77" s="4009"/>
      <c r="E77" s="4009"/>
      <c r="F77" s="4009"/>
      <c r="G77" s="4027">
        <f t="shared" si="35"/>
        <v>149941.109</v>
      </c>
      <c r="H77" s="4027">
        <f t="shared" si="35"/>
        <v>0</v>
      </c>
      <c r="I77" s="4027">
        <f t="shared" si="35"/>
        <v>0</v>
      </c>
      <c r="J77" s="4027">
        <f t="shared" si="35"/>
        <v>149941.109</v>
      </c>
      <c r="K77" s="4027">
        <f t="shared" si="35"/>
        <v>47190</v>
      </c>
      <c r="L77" s="4027">
        <f t="shared" si="35"/>
        <v>0</v>
      </c>
      <c r="M77" s="4027">
        <f t="shared" si="35"/>
        <v>0</v>
      </c>
      <c r="N77" s="4027">
        <f t="shared" si="35"/>
        <v>47190</v>
      </c>
      <c r="O77" s="4027">
        <f t="shared" si="35"/>
        <v>51068</v>
      </c>
      <c r="P77" s="4027">
        <f t="shared" si="35"/>
        <v>0</v>
      </c>
      <c r="Q77" s="4027">
        <f t="shared" si="35"/>
        <v>0</v>
      </c>
      <c r="R77" s="4027">
        <f t="shared" si="35"/>
        <v>51068</v>
      </c>
      <c r="S77" s="4027">
        <f t="shared" si="35"/>
        <v>50508</v>
      </c>
      <c r="T77" s="4027">
        <f t="shared" si="35"/>
        <v>0</v>
      </c>
      <c r="U77" s="4027">
        <f t="shared" si="35"/>
        <v>0</v>
      </c>
      <c r="V77" s="4027">
        <f t="shared" si="35"/>
        <v>50508</v>
      </c>
    </row>
    <row r="78" spans="1:22" ht="31.2">
      <c r="A78" s="4009" t="s">
        <v>34</v>
      </c>
      <c r="B78" s="4028" t="s">
        <v>2871</v>
      </c>
      <c r="C78" s="4009"/>
      <c r="D78" s="4009"/>
      <c r="E78" s="4009"/>
      <c r="F78" s="4009"/>
      <c r="G78" s="4029">
        <f t="shared" ref="G78:U78" si="36">SUM(G79:G84)</f>
        <v>149941.109</v>
      </c>
      <c r="H78" s="4029">
        <f t="shared" si="36"/>
        <v>0</v>
      </c>
      <c r="I78" s="4029">
        <f t="shared" si="36"/>
        <v>0</v>
      </c>
      <c r="J78" s="4029">
        <f t="shared" si="36"/>
        <v>149941.109</v>
      </c>
      <c r="K78" s="4029">
        <f t="shared" si="36"/>
        <v>47190</v>
      </c>
      <c r="L78" s="4029">
        <f t="shared" si="36"/>
        <v>0</v>
      </c>
      <c r="M78" s="4029">
        <f t="shared" si="36"/>
        <v>0</v>
      </c>
      <c r="N78" s="4029">
        <f t="shared" si="36"/>
        <v>47190</v>
      </c>
      <c r="O78" s="4029">
        <f t="shared" si="36"/>
        <v>51068</v>
      </c>
      <c r="P78" s="4029">
        <f t="shared" si="36"/>
        <v>0</v>
      </c>
      <c r="Q78" s="4029">
        <f t="shared" si="36"/>
        <v>0</v>
      </c>
      <c r="R78" s="4029">
        <f t="shared" si="36"/>
        <v>51068</v>
      </c>
      <c r="S78" s="4029">
        <f t="shared" si="36"/>
        <v>50508</v>
      </c>
      <c r="T78" s="4029">
        <f t="shared" si="36"/>
        <v>0</v>
      </c>
      <c r="U78" s="4029">
        <f t="shared" si="36"/>
        <v>0</v>
      </c>
      <c r="V78" s="4029">
        <f>SUM(V79:V84)</f>
        <v>50508</v>
      </c>
    </row>
    <row r="79" spans="1:22" s="3998" customFormat="1" ht="27.75" customHeight="1">
      <c r="A79" s="4036">
        <v>1</v>
      </c>
      <c r="B79" s="4053" t="s">
        <v>2956</v>
      </c>
      <c r="C79" s="4054" t="s">
        <v>2957</v>
      </c>
      <c r="D79" s="4054" t="s">
        <v>2958</v>
      </c>
      <c r="E79" s="4055" t="s">
        <v>2959</v>
      </c>
      <c r="F79" s="4041" t="s">
        <v>2960</v>
      </c>
      <c r="G79" s="3990">
        <v>7436.8739999999998</v>
      </c>
      <c r="H79" s="4051"/>
      <c r="I79" s="4051"/>
      <c r="J79" s="4051">
        <v>7436.8739999999998</v>
      </c>
      <c r="K79" s="4051">
        <f t="shared" si="34"/>
        <v>5000</v>
      </c>
      <c r="L79" s="4051"/>
      <c r="M79" s="4051"/>
      <c r="N79" s="4051">
        <v>5000</v>
      </c>
      <c r="O79" s="4051">
        <f t="shared" ref="O79:O84" si="37">P79+Q79+R79</f>
        <v>5000</v>
      </c>
      <c r="P79" s="4056"/>
      <c r="Q79" s="4056"/>
      <c r="R79" s="4051">
        <v>5000</v>
      </c>
      <c r="S79" s="4056">
        <f t="shared" ref="S79:S84" si="38">T79+U79+V79</f>
        <v>300</v>
      </c>
      <c r="T79" s="4056"/>
      <c r="U79" s="4056"/>
      <c r="V79" s="4051">
        <v>300</v>
      </c>
    </row>
    <row r="80" spans="1:22" s="3998" customFormat="1" ht="27.75" customHeight="1">
      <c r="A80" s="4036">
        <v>2</v>
      </c>
      <c r="B80" s="4053" t="s">
        <v>2961</v>
      </c>
      <c r="C80" s="4054" t="s">
        <v>2119</v>
      </c>
      <c r="D80" s="4054" t="s">
        <v>2962</v>
      </c>
      <c r="E80" s="4055" t="s">
        <v>2963</v>
      </c>
      <c r="F80" s="4041" t="s">
        <v>2964</v>
      </c>
      <c r="G80" s="3990">
        <v>10316.326999999999</v>
      </c>
      <c r="H80" s="4051"/>
      <c r="I80" s="4051"/>
      <c r="J80" s="4051">
        <v>10316.326999999999</v>
      </c>
      <c r="K80" s="4051">
        <f t="shared" si="34"/>
        <v>6303</v>
      </c>
      <c r="L80" s="4056"/>
      <c r="M80" s="4056"/>
      <c r="N80" s="4051">
        <v>6303</v>
      </c>
      <c r="O80" s="4051">
        <f t="shared" si="37"/>
        <v>6303</v>
      </c>
      <c r="P80" s="4056"/>
      <c r="Q80" s="4056"/>
      <c r="R80" s="4051">
        <v>6303</v>
      </c>
      <c r="S80" s="4056">
        <f t="shared" si="38"/>
        <v>1274</v>
      </c>
      <c r="T80" s="4056"/>
      <c r="U80" s="4056"/>
      <c r="V80" s="4051">
        <v>1274</v>
      </c>
    </row>
    <row r="81" spans="1:22" s="3998" customFormat="1" ht="27.75" customHeight="1">
      <c r="A81" s="4036">
        <v>3</v>
      </c>
      <c r="B81" s="4053" t="s">
        <v>2965</v>
      </c>
      <c r="C81" s="4054" t="s">
        <v>2113</v>
      </c>
      <c r="D81" s="4054" t="s">
        <v>2966</v>
      </c>
      <c r="E81" s="3987" t="s">
        <v>2967</v>
      </c>
      <c r="F81" s="4041" t="s">
        <v>2968</v>
      </c>
      <c r="G81" s="3990">
        <v>37129.237999999998</v>
      </c>
      <c r="H81" s="4051"/>
      <c r="I81" s="4051"/>
      <c r="J81" s="4051">
        <v>37129.237999999998</v>
      </c>
      <c r="K81" s="4051">
        <f t="shared" si="34"/>
        <v>7998</v>
      </c>
      <c r="L81" s="4056"/>
      <c r="M81" s="4056"/>
      <c r="N81" s="4051">
        <v>7998</v>
      </c>
      <c r="O81" s="4051">
        <f t="shared" si="37"/>
        <v>11876</v>
      </c>
      <c r="P81" s="4056"/>
      <c r="Q81" s="4056"/>
      <c r="R81" s="4051">
        <v>11876</v>
      </c>
      <c r="S81" s="4056">
        <f t="shared" si="38"/>
        <v>12224</v>
      </c>
      <c r="T81" s="4056"/>
      <c r="U81" s="4056"/>
      <c r="V81" s="4051">
        <v>12224</v>
      </c>
    </row>
    <row r="82" spans="1:22" s="3997" customFormat="1" ht="27.75" customHeight="1">
      <c r="A82" s="4036">
        <v>4</v>
      </c>
      <c r="B82" s="4053" t="s">
        <v>2969</v>
      </c>
      <c r="C82" s="4054" t="s">
        <v>2970</v>
      </c>
      <c r="D82" s="4054" t="s">
        <v>2971</v>
      </c>
      <c r="E82" s="4055" t="s">
        <v>2972</v>
      </c>
      <c r="F82" s="4041" t="s">
        <v>2973</v>
      </c>
      <c r="G82" s="3990">
        <v>44992.538999999997</v>
      </c>
      <c r="H82" s="4051"/>
      <c r="I82" s="4051"/>
      <c r="J82" s="3990">
        <v>44992.538999999997</v>
      </c>
      <c r="K82" s="4051">
        <f t="shared" si="34"/>
        <v>18689</v>
      </c>
      <c r="L82" s="4051"/>
      <c r="M82" s="4051"/>
      <c r="N82" s="4051">
        <v>18689</v>
      </c>
      <c r="O82" s="4051">
        <f t="shared" si="37"/>
        <v>18689</v>
      </c>
      <c r="P82" s="4051"/>
      <c r="Q82" s="4051"/>
      <c r="R82" s="4051">
        <v>18689</v>
      </c>
      <c r="S82" s="4056">
        <f t="shared" si="38"/>
        <v>16210</v>
      </c>
      <c r="T82" s="4051"/>
      <c r="U82" s="4051"/>
      <c r="V82" s="4051">
        <v>16210</v>
      </c>
    </row>
    <row r="83" spans="1:22" s="3997" customFormat="1" ht="24.75" customHeight="1">
      <c r="A83" s="4036">
        <v>5</v>
      </c>
      <c r="B83" s="4053" t="s">
        <v>2974</v>
      </c>
      <c r="C83" s="4054" t="s">
        <v>2115</v>
      </c>
      <c r="D83" s="4054" t="s">
        <v>2975</v>
      </c>
      <c r="E83" s="4055" t="s">
        <v>2976</v>
      </c>
      <c r="F83" s="4041" t="s">
        <v>2977</v>
      </c>
      <c r="G83" s="3990">
        <v>19266.810000000001</v>
      </c>
      <c r="H83" s="4051"/>
      <c r="I83" s="4051"/>
      <c r="J83" s="3990">
        <v>19266.810000000001</v>
      </c>
      <c r="K83" s="4051">
        <f t="shared" si="34"/>
        <v>9200</v>
      </c>
      <c r="L83" s="4051"/>
      <c r="M83" s="4051"/>
      <c r="N83" s="4051">
        <v>9200</v>
      </c>
      <c r="O83" s="4051">
        <f t="shared" si="37"/>
        <v>9200</v>
      </c>
      <c r="P83" s="4051"/>
      <c r="Q83" s="4051"/>
      <c r="R83" s="4051">
        <v>9200</v>
      </c>
      <c r="S83" s="4056">
        <f t="shared" si="38"/>
        <v>5500</v>
      </c>
      <c r="T83" s="4051"/>
      <c r="U83" s="4051"/>
      <c r="V83" s="4051">
        <v>5500</v>
      </c>
    </row>
    <row r="84" spans="1:22" s="3997" customFormat="1" ht="24.75" customHeight="1">
      <c r="A84" s="4036">
        <v>6</v>
      </c>
      <c r="B84" s="4053" t="s">
        <v>2978</v>
      </c>
      <c r="C84" s="4054" t="s">
        <v>2119</v>
      </c>
      <c r="D84" s="4054" t="s">
        <v>2979</v>
      </c>
      <c r="E84" s="4055" t="s">
        <v>2887</v>
      </c>
      <c r="F84" s="4041" t="s">
        <v>2980</v>
      </c>
      <c r="G84" s="3990">
        <v>30799.321</v>
      </c>
      <c r="H84" s="4051"/>
      <c r="I84" s="4051"/>
      <c r="J84" s="4051">
        <v>30799.321</v>
      </c>
      <c r="K84" s="4051">
        <f t="shared" si="34"/>
        <v>0</v>
      </c>
      <c r="L84" s="4051"/>
      <c r="M84" s="4051"/>
      <c r="N84" s="4051"/>
      <c r="O84" s="4051">
        <f t="shared" si="37"/>
        <v>0</v>
      </c>
      <c r="P84" s="4051"/>
      <c r="Q84" s="4051"/>
      <c r="R84" s="4051"/>
      <c r="S84" s="4056">
        <f t="shared" si="38"/>
        <v>15000</v>
      </c>
      <c r="T84" s="4051"/>
      <c r="U84" s="4051"/>
      <c r="V84" s="4051">
        <v>15000</v>
      </c>
    </row>
    <row r="85" spans="1:22" s="1577" customFormat="1">
      <c r="A85" s="4009" t="s">
        <v>100</v>
      </c>
      <c r="B85" s="4010" t="s">
        <v>2849</v>
      </c>
      <c r="C85" s="4035"/>
      <c r="D85" s="4035"/>
      <c r="E85" s="4035"/>
      <c r="F85" s="4035"/>
      <c r="G85" s="4027">
        <f t="shared" ref="G85:V86" si="39">G86</f>
        <v>150124</v>
      </c>
      <c r="H85" s="4027">
        <f t="shared" si="39"/>
        <v>0</v>
      </c>
      <c r="I85" s="4027">
        <f t="shared" si="39"/>
        <v>0</v>
      </c>
      <c r="J85" s="4027">
        <f t="shared" si="39"/>
        <v>121521.48300000001</v>
      </c>
      <c r="K85" s="4027">
        <f t="shared" si="39"/>
        <v>67991</v>
      </c>
      <c r="L85" s="4027">
        <f t="shared" si="39"/>
        <v>0</v>
      </c>
      <c r="M85" s="4027">
        <f t="shared" si="39"/>
        <v>0</v>
      </c>
      <c r="N85" s="4027">
        <f t="shared" si="39"/>
        <v>67991</v>
      </c>
      <c r="O85" s="4027">
        <f t="shared" si="39"/>
        <v>67991</v>
      </c>
      <c r="P85" s="4027">
        <f t="shared" si="39"/>
        <v>0</v>
      </c>
      <c r="Q85" s="4027">
        <f t="shared" si="39"/>
        <v>0</v>
      </c>
      <c r="R85" s="4027">
        <f t="shared" si="39"/>
        <v>67991</v>
      </c>
      <c r="S85" s="4027">
        <f t="shared" si="39"/>
        <v>33848</v>
      </c>
      <c r="T85" s="4027">
        <f t="shared" si="39"/>
        <v>0</v>
      </c>
      <c r="U85" s="4027">
        <f t="shared" si="39"/>
        <v>0</v>
      </c>
      <c r="V85" s="4027">
        <f>V86</f>
        <v>33848</v>
      </c>
    </row>
    <row r="86" spans="1:22" s="248" customFormat="1">
      <c r="A86" s="4009">
        <v>1</v>
      </c>
      <c r="B86" s="4010" t="s">
        <v>3122</v>
      </c>
      <c r="C86" s="4009"/>
      <c r="D86" s="4009"/>
      <c r="E86" s="4009"/>
      <c r="F86" s="4009"/>
      <c r="G86" s="4027">
        <f t="shared" si="39"/>
        <v>150124</v>
      </c>
      <c r="H86" s="4027">
        <f t="shared" si="39"/>
        <v>0</v>
      </c>
      <c r="I86" s="4027">
        <f t="shared" si="39"/>
        <v>0</v>
      </c>
      <c r="J86" s="4027">
        <f t="shared" si="39"/>
        <v>121521.48300000001</v>
      </c>
      <c r="K86" s="4027">
        <f t="shared" si="39"/>
        <v>67991</v>
      </c>
      <c r="L86" s="4027">
        <f t="shared" si="39"/>
        <v>0</v>
      </c>
      <c r="M86" s="4027">
        <f t="shared" si="39"/>
        <v>0</v>
      </c>
      <c r="N86" s="4027">
        <f t="shared" si="39"/>
        <v>67991</v>
      </c>
      <c r="O86" s="4027">
        <f t="shared" si="39"/>
        <v>67991</v>
      </c>
      <c r="P86" s="4027">
        <f t="shared" si="39"/>
        <v>0</v>
      </c>
      <c r="Q86" s="4027">
        <f t="shared" si="39"/>
        <v>0</v>
      </c>
      <c r="R86" s="4027">
        <f t="shared" si="39"/>
        <v>67991</v>
      </c>
      <c r="S86" s="4027">
        <f t="shared" si="39"/>
        <v>33848</v>
      </c>
      <c r="T86" s="4027">
        <f t="shared" si="39"/>
        <v>0</v>
      </c>
      <c r="U86" s="4027">
        <f t="shared" si="39"/>
        <v>0</v>
      </c>
      <c r="V86" s="4027">
        <f t="shared" si="39"/>
        <v>33848</v>
      </c>
    </row>
    <row r="87" spans="1:22" ht="31.2">
      <c r="A87" s="4009" t="s">
        <v>34</v>
      </c>
      <c r="B87" s="4028" t="s">
        <v>2871</v>
      </c>
      <c r="C87" s="4009"/>
      <c r="D87" s="4009"/>
      <c r="E87" s="4009"/>
      <c r="F87" s="4009"/>
      <c r="G87" s="4029">
        <f>SUM(G88:G93)</f>
        <v>150124</v>
      </c>
      <c r="H87" s="4029">
        <f t="shared" ref="H87:V87" si="40">SUM(H88:H93)</f>
        <v>0</v>
      </c>
      <c r="I87" s="4029">
        <f t="shared" si="40"/>
        <v>0</v>
      </c>
      <c r="J87" s="4029">
        <f t="shared" si="40"/>
        <v>121521.48300000001</v>
      </c>
      <c r="K87" s="4029">
        <f t="shared" si="40"/>
        <v>67991</v>
      </c>
      <c r="L87" s="4029">
        <f t="shared" si="40"/>
        <v>0</v>
      </c>
      <c r="M87" s="4029">
        <f t="shared" si="40"/>
        <v>0</v>
      </c>
      <c r="N87" s="4029">
        <f t="shared" si="40"/>
        <v>67991</v>
      </c>
      <c r="O87" s="4029">
        <f t="shared" si="40"/>
        <v>67991</v>
      </c>
      <c r="P87" s="4029">
        <f t="shared" si="40"/>
        <v>0</v>
      </c>
      <c r="Q87" s="4029">
        <f t="shared" si="40"/>
        <v>0</v>
      </c>
      <c r="R87" s="4029">
        <f t="shared" si="40"/>
        <v>67991</v>
      </c>
      <c r="S87" s="4029">
        <f t="shared" si="40"/>
        <v>33848</v>
      </c>
      <c r="T87" s="4029">
        <f t="shared" si="40"/>
        <v>0</v>
      </c>
      <c r="U87" s="4029">
        <f t="shared" si="40"/>
        <v>0</v>
      </c>
      <c r="V87" s="4029">
        <f t="shared" si="40"/>
        <v>33848</v>
      </c>
    </row>
    <row r="88" spans="1:22" s="3999" customFormat="1" ht="24.75" customHeight="1">
      <c r="A88" s="3987">
        <v>1</v>
      </c>
      <c r="B88" s="4034" t="s">
        <v>2981</v>
      </c>
      <c r="C88" s="4047" t="s">
        <v>2982</v>
      </c>
      <c r="D88" s="4047" t="s">
        <v>2983</v>
      </c>
      <c r="E88" s="4047" t="s">
        <v>2887</v>
      </c>
      <c r="F88" s="4047" t="s">
        <v>2984</v>
      </c>
      <c r="G88" s="4057">
        <v>21309</v>
      </c>
      <c r="H88" s="4058"/>
      <c r="I88" s="4059"/>
      <c r="J88" s="4057">
        <v>15601</v>
      </c>
      <c r="K88" s="4058">
        <f>N88</f>
        <v>15300</v>
      </c>
      <c r="L88" s="4059"/>
      <c r="M88" s="4059"/>
      <c r="N88" s="4033">
        <v>15300</v>
      </c>
      <c r="O88" s="4057">
        <f>R88</f>
        <v>15300</v>
      </c>
      <c r="P88" s="4059"/>
      <c r="Q88" s="4059"/>
      <c r="R88" s="4057">
        <v>15300</v>
      </c>
      <c r="S88" s="3990">
        <f>V88</f>
        <v>301</v>
      </c>
      <c r="T88" s="4059"/>
      <c r="U88" s="4059"/>
      <c r="V88" s="4057">
        <v>301</v>
      </c>
    </row>
    <row r="89" spans="1:22" s="3999" customFormat="1" ht="24.75" customHeight="1">
      <c r="A89" s="3987">
        <v>2</v>
      </c>
      <c r="B89" s="4034" t="s">
        <v>2985</v>
      </c>
      <c r="C89" s="4047" t="s">
        <v>2982</v>
      </c>
      <c r="D89" s="4047" t="s">
        <v>2986</v>
      </c>
      <c r="E89" s="4047" t="s">
        <v>2887</v>
      </c>
      <c r="F89" s="4047" t="s">
        <v>2987</v>
      </c>
      <c r="G89" s="4057">
        <v>23502</v>
      </c>
      <c r="H89" s="4058"/>
      <c r="I89" s="4059"/>
      <c r="J89" s="4057">
        <v>18590.483</v>
      </c>
      <c r="K89" s="4058">
        <f t="shared" ref="K89:K91" si="41">N89</f>
        <v>15300</v>
      </c>
      <c r="L89" s="4059"/>
      <c r="M89" s="4059"/>
      <c r="N89" s="4033">
        <v>15300</v>
      </c>
      <c r="O89" s="4057">
        <f t="shared" ref="O89:O91" si="42">R89</f>
        <v>15300</v>
      </c>
      <c r="P89" s="4059"/>
      <c r="Q89" s="4059"/>
      <c r="R89" s="4057">
        <v>15300</v>
      </c>
      <c r="S89" s="3990">
        <f t="shared" ref="S89:S91" si="43">V89</f>
        <v>1350</v>
      </c>
      <c r="T89" s="4059"/>
      <c r="U89" s="4059"/>
      <c r="V89" s="4057">
        <v>1350</v>
      </c>
    </row>
    <row r="90" spans="1:22" s="3999" customFormat="1" ht="24.75" customHeight="1">
      <c r="A90" s="3987">
        <v>3</v>
      </c>
      <c r="B90" s="4034" t="s">
        <v>2988</v>
      </c>
      <c r="C90" s="4047" t="s">
        <v>2982</v>
      </c>
      <c r="D90" s="4047" t="s">
        <v>2989</v>
      </c>
      <c r="E90" s="4047" t="s">
        <v>2887</v>
      </c>
      <c r="F90" s="4047" t="s">
        <v>2990</v>
      </c>
      <c r="G90" s="4057">
        <v>26327</v>
      </c>
      <c r="H90" s="4058"/>
      <c r="I90" s="4059"/>
      <c r="J90" s="4057">
        <v>20600</v>
      </c>
      <c r="K90" s="4058">
        <f t="shared" si="41"/>
        <v>19391</v>
      </c>
      <c r="L90" s="4059"/>
      <c r="M90" s="4059"/>
      <c r="N90" s="4033">
        <v>19391</v>
      </c>
      <c r="O90" s="4057">
        <f t="shared" si="42"/>
        <v>19391</v>
      </c>
      <c r="P90" s="4059"/>
      <c r="Q90" s="4059"/>
      <c r="R90" s="4057">
        <v>19391</v>
      </c>
      <c r="S90" s="3990">
        <f t="shared" si="43"/>
        <v>1209</v>
      </c>
      <c r="T90" s="4059"/>
      <c r="U90" s="4059"/>
      <c r="V90" s="4057">
        <v>1209</v>
      </c>
    </row>
    <row r="91" spans="1:22" s="3999" customFormat="1" ht="24.75" customHeight="1">
      <c r="A91" s="3987">
        <v>4</v>
      </c>
      <c r="B91" s="4034" t="s">
        <v>2991</v>
      </c>
      <c r="C91" s="4047" t="s">
        <v>2982</v>
      </c>
      <c r="D91" s="4047" t="s">
        <v>2992</v>
      </c>
      <c r="E91" s="4047" t="s">
        <v>2887</v>
      </c>
      <c r="F91" s="4047" t="s">
        <v>2993</v>
      </c>
      <c r="G91" s="4057">
        <v>38227</v>
      </c>
      <c r="H91" s="4058"/>
      <c r="I91" s="4058"/>
      <c r="J91" s="4057">
        <v>30730</v>
      </c>
      <c r="K91" s="4058">
        <f t="shared" si="41"/>
        <v>18000</v>
      </c>
      <c r="L91" s="4058"/>
      <c r="M91" s="4058"/>
      <c r="N91" s="4033">
        <v>18000</v>
      </c>
      <c r="O91" s="4057">
        <f t="shared" si="42"/>
        <v>18000</v>
      </c>
      <c r="P91" s="4058"/>
      <c r="Q91" s="4058"/>
      <c r="R91" s="4057">
        <v>18000</v>
      </c>
      <c r="S91" s="3990">
        <f t="shared" si="43"/>
        <v>12488</v>
      </c>
      <c r="T91" s="4058"/>
      <c r="U91" s="4058"/>
      <c r="V91" s="4057">
        <v>12488</v>
      </c>
    </row>
    <row r="92" spans="1:22" s="3999" customFormat="1" ht="24.75" customHeight="1">
      <c r="A92" s="3987">
        <v>5</v>
      </c>
      <c r="B92" s="4034" t="s">
        <v>2994</v>
      </c>
      <c r="C92" s="4047" t="s">
        <v>2982</v>
      </c>
      <c r="D92" s="4047" t="s">
        <v>2995</v>
      </c>
      <c r="E92" s="4047" t="s">
        <v>2892</v>
      </c>
      <c r="F92" s="4047" t="s">
        <v>2996</v>
      </c>
      <c r="G92" s="4057">
        <v>14763</v>
      </c>
      <c r="H92" s="4058"/>
      <c r="I92" s="4058"/>
      <c r="J92" s="4057">
        <v>13000</v>
      </c>
      <c r="K92" s="4058"/>
      <c r="L92" s="4058"/>
      <c r="M92" s="4058"/>
      <c r="N92" s="3990"/>
      <c r="O92" s="4058"/>
      <c r="P92" s="4058"/>
      <c r="Q92" s="4058"/>
      <c r="R92" s="4058"/>
      <c r="S92" s="3990">
        <f>V92</f>
        <v>7000</v>
      </c>
      <c r="T92" s="4058"/>
      <c r="U92" s="4058"/>
      <c r="V92" s="4057">
        <v>7000</v>
      </c>
    </row>
    <row r="93" spans="1:22" s="3999" customFormat="1" ht="24.75" customHeight="1">
      <c r="A93" s="3987">
        <v>6</v>
      </c>
      <c r="B93" s="4034" t="s">
        <v>2997</v>
      </c>
      <c r="C93" s="4047" t="s">
        <v>2982</v>
      </c>
      <c r="D93" s="4047" t="s">
        <v>2998</v>
      </c>
      <c r="E93" s="4047" t="s">
        <v>2892</v>
      </c>
      <c r="F93" s="4047" t="s">
        <v>2999</v>
      </c>
      <c r="G93" s="4057">
        <v>25996</v>
      </c>
      <c r="H93" s="4058"/>
      <c r="I93" s="4058"/>
      <c r="J93" s="4057">
        <v>23000</v>
      </c>
      <c r="K93" s="4058"/>
      <c r="L93" s="4058"/>
      <c r="M93" s="4058"/>
      <c r="N93" s="3990"/>
      <c r="O93" s="4058"/>
      <c r="P93" s="4058"/>
      <c r="Q93" s="4058"/>
      <c r="R93" s="4058"/>
      <c r="S93" s="3990">
        <f>V93</f>
        <v>11500</v>
      </c>
      <c r="T93" s="4058"/>
      <c r="U93" s="4058"/>
      <c r="V93" s="4057">
        <v>11500</v>
      </c>
    </row>
    <row r="94" spans="1:22" s="1577" customFormat="1">
      <c r="A94" s="4009" t="s">
        <v>151</v>
      </c>
      <c r="B94" s="4010" t="s">
        <v>2850</v>
      </c>
      <c r="C94" s="4035"/>
      <c r="D94" s="4035"/>
      <c r="E94" s="4035"/>
      <c r="F94" s="4035"/>
      <c r="G94" s="4027">
        <f t="shared" ref="G94:V95" si="44">G95</f>
        <v>204797</v>
      </c>
      <c r="H94" s="4027">
        <f t="shared" si="44"/>
        <v>0</v>
      </c>
      <c r="I94" s="4027">
        <f t="shared" si="44"/>
        <v>0</v>
      </c>
      <c r="J94" s="4027">
        <f t="shared" si="44"/>
        <v>153400</v>
      </c>
      <c r="K94" s="4027">
        <f t="shared" si="44"/>
        <v>137212</v>
      </c>
      <c r="L94" s="4027">
        <f t="shared" si="44"/>
        <v>0</v>
      </c>
      <c r="M94" s="4027">
        <f t="shared" si="44"/>
        <v>0</v>
      </c>
      <c r="N94" s="4027">
        <f t="shared" si="44"/>
        <v>137212</v>
      </c>
      <c r="O94" s="4027">
        <f t="shared" si="44"/>
        <v>117400</v>
      </c>
      <c r="P94" s="4027">
        <f t="shared" si="44"/>
        <v>0</v>
      </c>
      <c r="Q94" s="4027">
        <f t="shared" si="44"/>
        <v>0</v>
      </c>
      <c r="R94" s="4027">
        <f t="shared" si="44"/>
        <v>117400</v>
      </c>
      <c r="S94" s="4027">
        <f t="shared" si="44"/>
        <v>36000</v>
      </c>
      <c r="T94" s="4027">
        <f t="shared" si="44"/>
        <v>0</v>
      </c>
      <c r="U94" s="4027">
        <f t="shared" si="44"/>
        <v>0</v>
      </c>
      <c r="V94" s="4027">
        <f>V95</f>
        <v>36000</v>
      </c>
    </row>
    <row r="95" spans="1:22" s="248" customFormat="1">
      <c r="A95" s="4009">
        <v>1</v>
      </c>
      <c r="B95" s="4010" t="s">
        <v>3122</v>
      </c>
      <c r="C95" s="4009"/>
      <c r="D95" s="4009"/>
      <c r="E95" s="4009"/>
      <c r="F95" s="4009"/>
      <c r="G95" s="4027">
        <f t="shared" si="44"/>
        <v>204797</v>
      </c>
      <c r="H95" s="4027">
        <f t="shared" si="44"/>
        <v>0</v>
      </c>
      <c r="I95" s="4027">
        <f t="shared" si="44"/>
        <v>0</v>
      </c>
      <c r="J95" s="4027">
        <f t="shared" si="44"/>
        <v>153400</v>
      </c>
      <c r="K95" s="4027">
        <f t="shared" si="44"/>
        <v>137212</v>
      </c>
      <c r="L95" s="4027">
        <f t="shared" si="44"/>
        <v>0</v>
      </c>
      <c r="M95" s="4027">
        <f t="shared" si="44"/>
        <v>0</v>
      </c>
      <c r="N95" s="4027">
        <f t="shared" si="44"/>
        <v>137212</v>
      </c>
      <c r="O95" s="4027">
        <f t="shared" si="44"/>
        <v>117400</v>
      </c>
      <c r="P95" s="4027">
        <f t="shared" si="44"/>
        <v>0</v>
      </c>
      <c r="Q95" s="4027">
        <f t="shared" si="44"/>
        <v>0</v>
      </c>
      <c r="R95" s="4027">
        <f t="shared" si="44"/>
        <v>117400</v>
      </c>
      <c r="S95" s="4027">
        <f t="shared" si="44"/>
        <v>36000</v>
      </c>
      <c r="T95" s="4027">
        <f t="shared" si="44"/>
        <v>0</v>
      </c>
      <c r="U95" s="4027">
        <f t="shared" si="44"/>
        <v>0</v>
      </c>
      <c r="V95" s="4027">
        <f t="shared" si="44"/>
        <v>36000</v>
      </c>
    </row>
    <row r="96" spans="1:22" ht="31.2">
      <c r="A96" s="4009" t="s">
        <v>34</v>
      </c>
      <c r="B96" s="4028" t="s">
        <v>2871</v>
      </c>
      <c r="C96" s="4009"/>
      <c r="D96" s="4009"/>
      <c r="E96" s="4009"/>
      <c r="F96" s="4009"/>
      <c r="G96" s="4029">
        <f>SUM(G97:G104)</f>
        <v>204797</v>
      </c>
      <c r="H96" s="4029">
        <f t="shared" ref="H96:V96" si="45">SUM(H97:H104)</f>
        <v>0</v>
      </c>
      <c r="I96" s="4029">
        <f t="shared" si="45"/>
        <v>0</v>
      </c>
      <c r="J96" s="4029">
        <f t="shared" si="45"/>
        <v>153400</v>
      </c>
      <c r="K96" s="4029">
        <f t="shared" si="45"/>
        <v>137212</v>
      </c>
      <c r="L96" s="4029">
        <f t="shared" si="45"/>
        <v>0</v>
      </c>
      <c r="M96" s="4029">
        <f t="shared" si="45"/>
        <v>0</v>
      </c>
      <c r="N96" s="4029">
        <f t="shared" si="45"/>
        <v>137212</v>
      </c>
      <c r="O96" s="4029">
        <f t="shared" si="45"/>
        <v>117400</v>
      </c>
      <c r="P96" s="4029">
        <f t="shared" si="45"/>
        <v>0</v>
      </c>
      <c r="Q96" s="4029">
        <f t="shared" si="45"/>
        <v>0</v>
      </c>
      <c r="R96" s="4029">
        <f t="shared" si="45"/>
        <v>117400</v>
      </c>
      <c r="S96" s="4029">
        <f t="shared" si="45"/>
        <v>36000</v>
      </c>
      <c r="T96" s="4029">
        <f t="shared" si="45"/>
        <v>0</v>
      </c>
      <c r="U96" s="4029">
        <f t="shared" si="45"/>
        <v>0</v>
      </c>
      <c r="V96" s="4029">
        <f t="shared" si="45"/>
        <v>36000</v>
      </c>
    </row>
    <row r="97" spans="1:22" s="4002" customFormat="1" ht="25.5" customHeight="1">
      <c r="A97" s="4036">
        <v>1</v>
      </c>
      <c r="B97" s="4060" t="s">
        <v>3000</v>
      </c>
      <c r="C97" s="3987" t="s">
        <v>3001</v>
      </c>
      <c r="D97" s="3987" t="s">
        <v>3002</v>
      </c>
      <c r="E97" s="4061" t="s">
        <v>2887</v>
      </c>
      <c r="F97" s="4061" t="s">
        <v>3003</v>
      </c>
      <c r="G97" s="4062">
        <v>27680</v>
      </c>
      <c r="H97" s="4062"/>
      <c r="I97" s="4062"/>
      <c r="J97" s="4062">
        <v>20800</v>
      </c>
      <c r="K97" s="4062">
        <f>N97</f>
        <v>19530</v>
      </c>
      <c r="L97" s="4062"/>
      <c r="M97" s="4062"/>
      <c r="N97" s="4062">
        <v>19530</v>
      </c>
      <c r="O97" s="4062">
        <v>19300</v>
      </c>
      <c r="P97" s="4062"/>
      <c r="Q97" s="4062"/>
      <c r="R97" s="4062">
        <v>19300</v>
      </c>
      <c r="S97" s="4062">
        <v>1500</v>
      </c>
      <c r="T97" s="4062"/>
      <c r="U97" s="4062"/>
      <c r="V97" s="4062">
        <v>1500</v>
      </c>
    </row>
    <row r="98" spans="1:22" s="4002" customFormat="1" ht="25.5" customHeight="1">
      <c r="A98" s="4036">
        <v>2</v>
      </c>
      <c r="B98" s="4060" t="s">
        <v>3004</v>
      </c>
      <c r="C98" s="3987" t="s">
        <v>3005</v>
      </c>
      <c r="D98" s="3987" t="s">
        <v>3006</v>
      </c>
      <c r="E98" s="4061" t="s">
        <v>2887</v>
      </c>
      <c r="F98" s="4061" t="s">
        <v>3007</v>
      </c>
      <c r="G98" s="4062">
        <v>24306</v>
      </c>
      <c r="H98" s="4062"/>
      <c r="I98" s="4062"/>
      <c r="J98" s="4062">
        <v>20400</v>
      </c>
      <c r="K98" s="4062">
        <f t="shared" ref="K98:K104" si="46">N98</f>
        <v>19817</v>
      </c>
      <c r="L98" s="4062"/>
      <c r="M98" s="4062"/>
      <c r="N98" s="4062">
        <v>19817</v>
      </c>
      <c r="O98" s="4062">
        <v>19000</v>
      </c>
      <c r="P98" s="4062"/>
      <c r="Q98" s="4062"/>
      <c r="R98" s="4062">
        <v>19000</v>
      </c>
      <c r="S98" s="4062">
        <v>1400</v>
      </c>
      <c r="T98" s="4062"/>
      <c r="U98" s="4062"/>
      <c r="V98" s="4062">
        <v>1400</v>
      </c>
    </row>
    <row r="99" spans="1:22" s="4002" customFormat="1" ht="26.25" customHeight="1">
      <c r="A99" s="4036">
        <v>3</v>
      </c>
      <c r="B99" s="4063" t="s">
        <v>3008</v>
      </c>
      <c r="C99" s="3987" t="s">
        <v>3001</v>
      </c>
      <c r="D99" s="3987" t="s">
        <v>3009</v>
      </c>
      <c r="E99" s="4061" t="s">
        <v>2887</v>
      </c>
      <c r="F99" s="4061" t="s">
        <v>3010</v>
      </c>
      <c r="G99" s="4062">
        <v>28906</v>
      </c>
      <c r="H99" s="4062"/>
      <c r="I99" s="4062"/>
      <c r="J99" s="4062">
        <v>20500</v>
      </c>
      <c r="K99" s="4062">
        <f t="shared" si="46"/>
        <v>19061</v>
      </c>
      <c r="L99" s="4062"/>
      <c r="M99" s="4062"/>
      <c r="N99" s="4062">
        <v>19061</v>
      </c>
      <c r="O99" s="4062">
        <v>18500</v>
      </c>
      <c r="P99" s="4062"/>
      <c r="Q99" s="4062"/>
      <c r="R99" s="4062">
        <v>18500</v>
      </c>
      <c r="S99" s="4062">
        <v>2000</v>
      </c>
      <c r="T99" s="4062"/>
      <c r="U99" s="4062"/>
      <c r="V99" s="4062">
        <v>2000</v>
      </c>
    </row>
    <row r="100" spans="1:22" s="4002" customFormat="1" ht="26.25" customHeight="1">
      <c r="A100" s="4036">
        <v>4</v>
      </c>
      <c r="B100" s="4063" t="s">
        <v>3011</v>
      </c>
      <c r="C100" s="3987" t="s">
        <v>3012</v>
      </c>
      <c r="D100" s="3987" t="s">
        <v>3013</v>
      </c>
      <c r="E100" s="4064" t="s">
        <v>2892</v>
      </c>
      <c r="F100" s="4064" t="s">
        <v>3014</v>
      </c>
      <c r="G100" s="4062">
        <v>25926</v>
      </c>
      <c r="H100" s="4062"/>
      <c r="I100" s="4062"/>
      <c r="J100" s="4062">
        <v>20200</v>
      </c>
      <c r="K100" s="4062">
        <f t="shared" si="46"/>
        <v>19404</v>
      </c>
      <c r="L100" s="4062"/>
      <c r="M100" s="4062"/>
      <c r="N100" s="4062">
        <v>19404</v>
      </c>
      <c r="O100" s="4062">
        <v>10900</v>
      </c>
      <c r="P100" s="4062"/>
      <c r="Q100" s="4062"/>
      <c r="R100" s="4062">
        <v>10900</v>
      </c>
      <c r="S100" s="4062">
        <v>9300</v>
      </c>
      <c r="T100" s="4062"/>
      <c r="U100" s="4062"/>
      <c r="V100" s="4062">
        <v>9300</v>
      </c>
    </row>
    <row r="101" spans="1:22" s="4002" customFormat="1" ht="26.25" customHeight="1">
      <c r="A101" s="4036">
        <v>5</v>
      </c>
      <c r="B101" s="4063" t="s">
        <v>3015</v>
      </c>
      <c r="C101" s="3987" t="s">
        <v>3016</v>
      </c>
      <c r="D101" s="3987" t="s">
        <v>3017</v>
      </c>
      <c r="E101" s="4061" t="s">
        <v>2887</v>
      </c>
      <c r="F101" s="4061" t="s">
        <v>3018</v>
      </c>
      <c r="G101" s="4062">
        <v>33937</v>
      </c>
      <c r="H101" s="4062"/>
      <c r="I101" s="4062"/>
      <c r="J101" s="4062">
        <v>28000</v>
      </c>
      <c r="K101" s="4062">
        <f t="shared" si="46"/>
        <v>26247</v>
      </c>
      <c r="L101" s="4062"/>
      <c r="M101" s="4062"/>
      <c r="N101" s="4062">
        <v>26247</v>
      </c>
      <c r="O101" s="4062">
        <v>24000</v>
      </c>
      <c r="P101" s="4062"/>
      <c r="Q101" s="4062"/>
      <c r="R101" s="4062">
        <v>24000</v>
      </c>
      <c r="S101" s="4062">
        <v>4000</v>
      </c>
      <c r="T101" s="4062"/>
      <c r="U101" s="4062"/>
      <c r="V101" s="4062">
        <v>4000</v>
      </c>
    </row>
    <row r="102" spans="1:22" s="4002" customFormat="1" ht="33" customHeight="1">
      <c r="A102" s="4036">
        <v>6</v>
      </c>
      <c r="B102" s="4063" t="s">
        <v>3019</v>
      </c>
      <c r="C102" s="3987" t="s">
        <v>3020</v>
      </c>
      <c r="D102" s="3987" t="s">
        <v>3021</v>
      </c>
      <c r="E102" s="4064" t="s">
        <v>3022</v>
      </c>
      <c r="F102" s="4064" t="s">
        <v>3023</v>
      </c>
      <c r="G102" s="4065">
        <v>9776</v>
      </c>
      <c r="H102" s="4062"/>
      <c r="I102" s="4062"/>
      <c r="J102" s="4062">
        <v>8200</v>
      </c>
      <c r="K102" s="4062">
        <f t="shared" si="46"/>
        <v>7525</v>
      </c>
      <c r="L102" s="4062"/>
      <c r="M102" s="4062"/>
      <c r="N102" s="4062">
        <v>7525</v>
      </c>
      <c r="O102" s="4062">
        <v>5400</v>
      </c>
      <c r="P102" s="4062"/>
      <c r="Q102" s="4062"/>
      <c r="R102" s="4062">
        <v>5400</v>
      </c>
      <c r="S102" s="4062">
        <v>2800</v>
      </c>
      <c r="T102" s="4062"/>
      <c r="U102" s="4062"/>
      <c r="V102" s="4062">
        <v>2800</v>
      </c>
    </row>
    <row r="103" spans="1:22" s="4002" customFormat="1" ht="33" customHeight="1">
      <c r="A103" s="4036">
        <v>7</v>
      </c>
      <c r="B103" s="4063" t="s">
        <v>3024</v>
      </c>
      <c r="C103" s="3987" t="s">
        <v>3020</v>
      </c>
      <c r="D103" s="3987" t="s">
        <v>3025</v>
      </c>
      <c r="E103" s="4064" t="s">
        <v>3022</v>
      </c>
      <c r="F103" s="4064" t="s">
        <v>3026</v>
      </c>
      <c r="G103" s="4065">
        <v>12375</v>
      </c>
      <c r="H103" s="4062"/>
      <c r="I103" s="4062"/>
      <c r="J103" s="4062">
        <v>8700</v>
      </c>
      <c r="K103" s="4062">
        <f t="shared" si="46"/>
        <v>7557</v>
      </c>
      <c r="L103" s="4062"/>
      <c r="M103" s="4062"/>
      <c r="N103" s="4062">
        <v>7557</v>
      </c>
      <c r="O103" s="4062">
        <v>4300</v>
      </c>
      <c r="P103" s="4062"/>
      <c r="Q103" s="4062"/>
      <c r="R103" s="4062">
        <v>4300</v>
      </c>
      <c r="S103" s="4062">
        <v>4400</v>
      </c>
      <c r="T103" s="4062"/>
      <c r="U103" s="4062"/>
      <c r="V103" s="4062">
        <v>4400</v>
      </c>
    </row>
    <row r="104" spans="1:22" s="4002" customFormat="1" ht="33" customHeight="1">
      <c r="A104" s="4036">
        <v>8</v>
      </c>
      <c r="B104" s="4063" t="s">
        <v>3027</v>
      </c>
      <c r="C104" s="3987" t="s">
        <v>3005</v>
      </c>
      <c r="D104" s="3987" t="s">
        <v>3028</v>
      </c>
      <c r="E104" s="4064" t="s">
        <v>3022</v>
      </c>
      <c r="F104" s="4064" t="s">
        <v>3029</v>
      </c>
      <c r="G104" s="4065">
        <v>41891</v>
      </c>
      <c r="H104" s="4062"/>
      <c r="I104" s="4062"/>
      <c r="J104" s="4062">
        <v>26600</v>
      </c>
      <c r="K104" s="4062">
        <f t="shared" si="46"/>
        <v>18071</v>
      </c>
      <c r="L104" s="4062"/>
      <c r="M104" s="4062"/>
      <c r="N104" s="4062">
        <v>18071</v>
      </c>
      <c r="O104" s="4062">
        <v>16000</v>
      </c>
      <c r="P104" s="4062"/>
      <c r="Q104" s="4062"/>
      <c r="R104" s="4062">
        <v>16000</v>
      </c>
      <c r="S104" s="4062">
        <v>10600</v>
      </c>
      <c r="T104" s="4062"/>
      <c r="U104" s="4062"/>
      <c r="V104" s="4062">
        <v>10600</v>
      </c>
    </row>
    <row r="105" spans="1:22" s="1577" customFormat="1">
      <c r="A105" s="4009" t="s">
        <v>229</v>
      </c>
      <c r="B105" s="4010" t="s">
        <v>2851</v>
      </c>
      <c r="C105" s="4035"/>
      <c r="D105" s="4035"/>
      <c r="E105" s="4035"/>
      <c r="F105" s="4035"/>
      <c r="G105" s="4027">
        <f t="shared" ref="G105:V106" si="47">G106</f>
        <v>379142</v>
      </c>
      <c r="H105" s="4027">
        <f t="shared" si="47"/>
        <v>0</v>
      </c>
      <c r="I105" s="4027">
        <f t="shared" si="47"/>
        <v>0</v>
      </c>
      <c r="J105" s="4027">
        <f t="shared" si="47"/>
        <v>379142</v>
      </c>
      <c r="K105" s="4027">
        <f t="shared" si="47"/>
        <v>105295</v>
      </c>
      <c r="L105" s="4027">
        <f t="shared" si="47"/>
        <v>0</v>
      </c>
      <c r="M105" s="4027">
        <f t="shared" si="47"/>
        <v>0</v>
      </c>
      <c r="N105" s="4027">
        <f t="shared" si="47"/>
        <v>105295</v>
      </c>
      <c r="O105" s="4027">
        <f t="shared" si="47"/>
        <v>117856</v>
      </c>
      <c r="P105" s="4027">
        <f t="shared" si="47"/>
        <v>0</v>
      </c>
      <c r="Q105" s="4027">
        <f t="shared" si="47"/>
        <v>0</v>
      </c>
      <c r="R105" s="4027">
        <f t="shared" si="47"/>
        <v>117856</v>
      </c>
      <c r="S105" s="4027">
        <f t="shared" si="47"/>
        <v>72274</v>
      </c>
      <c r="T105" s="4027">
        <f t="shared" si="47"/>
        <v>0</v>
      </c>
      <c r="U105" s="4027">
        <f t="shared" si="47"/>
        <v>0</v>
      </c>
      <c r="V105" s="4027">
        <f>V106</f>
        <v>72274</v>
      </c>
    </row>
    <row r="106" spans="1:22" s="248" customFormat="1">
      <c r="A106" s="4009">
        <v>1</v>
      </c>
      <c r="B106" s="4010" t="s">
        <v>3122</v>
      </c>
      <c r="C106" s="4009"/>
      <c r="D106" s="4009"/>
      <c r="E106" s="4009"/>
      <c r="F106" s="4009"/>
      <c r="G106" s="4027">
        <f t="shared" si="47"/>
        <v>379142</v>
      </c>
      <c r="H106" s="4027">
        <f t="shared" si="47"/>
        <v>0</v>
      </c>
      <c r="I106" s="4027">
        <f t="shared" si="47"/>
        <v>0</v>
      </c>
      <c r="J106" s="4027">
        <f t="shared" si="47"/>
        <v>379142</v>
      </c>
      <c r="K106" s="4027">
        <f t="shared" si="47"/>
        <v>105295</v>
      </c>
      <c r="L106" s="4027">
        <f t="shared" si="47"/>
        <v>0</v>
      </c>
      <c r="M106" s="4027">
        <f t="shared" si="47"/>
        <v>0</v>
      </c>
      <c r="N106" s="4027">
        <f t="shared" si="47"/>
        <v>105295</v>
      </c>
      <c r="O106" s="4027">
        <f t="shared" si="47"/>
        <v>117856</v>
      </c>
      <c r="P106" s="4027">
        <f t="shared" si="47"/>
        <v>0</v>
      </c>
      <c r="Q106" s="4027">
        <f t="shared" si="47"/>
        <v>0</v>
      </c>
      <c r="R106" s="4027">
        <f t="shared" si="47"/>
        <v>117856</v>
      </c>
      <c r="S106" s="4027">
        <f t="shared" si="47"/>
        <v>72274</v>
      </c>
      <c r="T106" s="4027">
        <f t="shared" si="47"/>
        <v>0</v>
      </c>
      <c r="U106" s="4027">
        <f t="shared" si="47"/>
        <v>0</v>
      </c>
      <c r="V106" s="4027">
        <f t="shared" si="47"/>
        <v>72274</v>
      </c>
    </row>
    <row r="107" spans="1:22" ht="31.2">
      <c r="A107" s="4009" t="s">
        <v>34</v>
      </c>
      <c r="B107" s="4028" t="s">
        <v>2871</v>
      </c>
      <c r="C107" s="4009"/>
      <c r="D107" s="4009"/>
      <c r="E107" s="4009"/>
      <c r="F107" s="4009"/>
      <c r="G107" s="4029">
        <f>SUM(G108:G118)</f>
        <v>379142</v>
      </c>
      <c r="H107" s="4029">
        <f t="shared" ref="H107:V107" si="48">SUM(H108:H118)</f>
        <v>0</v>
      </c>
      <c r="I107" s="4029">
        <f t="shared" si="48"/>
        <v>0</v>
      </c>
      <c r="J107" s="4029">
        <f t="shared" si="48"/>
        <v>379142</v>
      </c>
      <c r="K107" s="4029">
        <f t="shared" si="48"/>
        <v>105295</v>
      </c>
      <c r="L107" s="4029">
        <f t="shared" si="48"/>
        <v>0</v>
      </c>
      <c r="M107" s="4029">
        <f t="shared" si="48"/>
        <v>0</v>
      </c>
      <c r="N107" s="4029">
        <f t="shared" si="48"/>
        <v>105295</v>
      </c>
      <c r="O107" s="4029">
        <f t="shared" si="48"/>
        <v>117856</v>
      </c>
      <c r="P107" s="4029">
        <f t="shared" si="48"/>
        <v>0</v>
      </c>
      <c r="Q107" s="4029">
        <f t="shared" si="48"/>
        <v>0</v>
      </c>
      <c r="R107" s="4029">
        <f t="shared" si="48"/>
        <v>117856</v>
      </c>
      <c r="S107" s="4029">
        <f t="shared" si="48"/>
        <v>72274</v>
      </c>
      <c r="T107" s="4029">
        <f t="shared" si="48"/>
        <v>0</v>
      </c>
      <c r="U107" s="4029">
        <f t="shared" si="48"/>
        <v>0</v>
      </c>
      <c r="V107" s="4029">
        <f t="shared" si="48"/>
        <v>72274</v>
      </c>
    </row>
    <row r="108" spans="1:22" s="4072" customFormat="1" ht="31.5" customHeight="1">
      <c r="A108" s="3987">
        <v>1</v>
      </c>
      <c r="B108" s="4066" t="s">
        <v>3030</v>
      </c>
      <c r="C108" s="4067" t="s">
        <v>3031</v>
      </c>
      <c r="D108" s="4068" t="s">
        <v>3032</v>
      </c>
      <c r="E108" s="4067" t="s">
        <v>2887</v>
      </c>
      <c r="F108" s="4069" t="s">
        <v>3033</v>
      </c>
      <c r="G108" s="4070">
        <v>21912</v>
      </c>
      <c r="H108" s="4071"/>
      <c r="I108" s="4071"/>
      <c r="J108" s="4070">
        <f>G108</f>
        <v>21912</v>
      </c>
      <c r="K108" s="4070">
        <f>SUM(L108:N108)</f>
        <v>6500</v>
      </c>
      <c r="L108" s="4071"/>
      <c r="M108" s="4071"/>
      <c r="N108" s="3990">
        <v>6500</v>
      </c>
      <c r="O108" s="4070">
        <f>SUM(P108:R108)</f>
        <v>6500</v>
      </c>
      <c r="P108" s="4071"/>
      <c r="Q108" s="4071"/>
      <c r="R108" s="4070">
        <v>6500</v>
      </c>
      <c r="S108" s="3990">
        <f>SUM(T108:V108)</f>
        <v>8500</v>
      </c>
      <c r="T108" s="4071"/>
      <c r="U108" s="4071"/>
      <c r="V108" s="4070">
        <v>8500</v>
      </c>
    </row>
    <row r="109" spans="1:22" s="4072" customFormat="1" ht="31.5" customHeight="1">
      <c r="A109" s="3987">
        <v>2</v>
      </c>
      <c r="B109" s="4066" t="s">
        <v>3034</v>
      </c>
      <c r="C109" s="4067" t="s">
        <v>3031</v>
      </c>
      <c r="D109" s="4068" t="s">
        <v>3035</v>
      </c>
      <c r="E109" s="4067" t="s">
        <v>2887</v>
      </c>
      <c r="F109" s="4069" t="s">
        <v>3036</v>
      </c>
      <c r="G109" s="4070">
        <v>21875</v>
      </c>
      <c r="H109" s="4071"/>
      <c r="I109" s="4071"/>
      <c r="J109" s="4070">
        <f t="shared" ref="J109:J118" si="49">G109</f>
        <v>21875</v>
      </c>
      <c r="K109" s="4070">
        <f t="shared" ref="K109:K115" si="50">SUM(L109:N109)</f>
        <v>10400</v>
      </c>
      <c r="L109" s="4071"/>
      <c r="M109" s="4071"/>
      <c r="N109" s="3990">
        <v>10400</v>
      </c>
      <c r="O109" s="4070">
        <f t="shared" ref="O109:O118" si="51">SUM(P109:R109)</f>
        <v>10400</v>
      </c>
      <c r="P109" s="4071"/>
      <c r="Q109" s="4071"/>
      <c r="R109" s="4070">
        <v>10400</v>
      </c>
      <c r="S109" s="3990">
        <f t="shared" ref="S109:S118" si="52">SUM(T109:V109)</f>
        <v>7000</v>
      </c>
      <c r="T109" s="4071"/>
      <c r="U109" s="4071"/>
      <c r="V109" s="4070">
        <v>7000</v>
      </c>
    </row>
    <row r="110" spans="1:22" s="4072" customFormat="1" ht="31.5" customHeight="1">
      <c r="A110" s="3987">
        <v>3</v>
      </c>
      <c r="B110" s="4066" t="s">
        <v>3037</v>
      </c>
      <c r="C110" s="4067" t="s">
        <v>3031</v>
      </c>
      <c r="D110" s="4068" t="s">
        <v>3038</v>
      </c>
      <c r="E110" s="4067" t="s">
        <v>3039</v>
      </c>
      <c r="F110" s="4069" t="s">
        <v>3040</v>
      </c>
      <c r="G110" s="4070">
        <v>41975</v>
      </c>
      <c r="H110" s="4071"/>
      <c r="I110" s="4071"/>
      <c r="J110" s="4070">
        <f t="shared" si="49"/>
        <v>41975</v>
      </c>
      <c r="K110" s="4070">
        <f t="shared" si="50"/>
        <v>27597</v>
      </c>
      <c r="L110" s="4071"/>
      <c r="M110" s="4071"/>
      <c r="N110" s="3990">
        <v>27597</v>
      </c>
      <c r="O110" s="4070">
        <f t="shared" si="51"/>
        <v>27597</v>
      </c>
      <c r="P110" s="4071"/>
      <c r="Q110" s="4071"/>
      <c r="R110" s="4070">
        <v>27597</v>
      </c>
      <c r="S110" s="3990">
        <f t="shared" si="52"/>
        <v>5800</v>
      </c>
      <c r="T110" s="4071"/>
      <c r="U110" s="4071"/>
      <c r="V110" s="4070">
        <v>5800</v>
      </c>
    </row>
    <row r="111" spans="1:22" s="4072" customFormat="1" ht="43.5" customHeight="1">
      <c r="A111" s="3987">
        <v>4</v>
      </c>
      <c r="B111" s="4066" t="s">
        <v>3041</v>
      </c>
      <c r="C111" s="4067" t="s">
        <v>3031</v>
      </c>
      <c r="D111" s="4068" t="s">
        <v>3042</v>
      </c>
      <c r="E111" s="4067" t="s">
        <v>2887</v>
      </c>
      <c r="F111" s="4069" t="s">
        <v>3043</v>
      </c>
      <c r="G111" s="4070">
        <v>26408</v>
      </c>
      <c r="H111" s="4071"/>
      <c r="I111" s="4071"/>
      <c r="J111" s="4070">
        <f t="shared" si="49"/>
        <v>26408</v>
      </c>
      <c r="K111" s="4070">
        <f t="shared" si="50"/>
        <v>13016</v>
      </c>
      <c r="L111" s="4071"/>
      <c r="M111" s="4071"/>
      <c r="N111" s="3990">
        <v>13016</v>
      </c>
      <c r="O111" s="4070">
        <f t="shared" si="51"/>
        <v>13016</v>
      </c>
      <c r="P111" s="4071"/>
      <c r="Q111" s="4071"/>
      <c r="R111" s="4070">
        <v>13016</v>
      </c>
      <c r="S111" s="3990">
        <f t="shared" si="52"/>
        <v>3674</v>
      </c>
      <c r="T111" s="4071"/>
      <c r="U111" s="4071"/>
      <c r="V111" s="4070">
        <v>3674</v>
      </c>
    </row>
    <row r="112" spans="1:22" s="4072" customFormat="1" ht="43.5" customHeight="1">
      <c r="A112" s="3987">
        <v>5</v>
      </c>
      <c r="B112" s="4066" t="s">
        <v>3044</v>
      </c>
      <c r="C112" s="4067" t="s">
        <v>3031</v>
      </c>
      <c r="D112" s="4068" t="s">
        <v>3045</v>
      </c>
      <c r="E112" s="4067" t="s">
        <v>2887</v>
      </c>
      <c r="F112" s="4069" t="s">
        <v>3046</v>
      </c>
      <c r="G112" s="4070">
        <v>20517</v>
      </c>
      <c r="H112" s="4071"/>
      <c r="I112" s="4071"/>
      <c r="J112" s="4070">
        <f t="shared" si="49"/>
        <v>20517</v>
      </c>
      <c r="K112" s="4070">
        <f t="shared" si="50"/>
        <v>9800</v>
      </c>
      <c r="L112" s="4071"/>
      <c r="M112" s="4071"/>
      <c r="N112" s="3990">
        <v>9800</v>
      </c>
      <c r="O112" s="4070">
        <f t="shared" si="51"/>
        <v>9800</v>
      </c>
      <c r="P112" s="4071"/>
      <c r="Q112" s="4071"/>
      <c r="R112" s="4070">
        <v>9800</v>
      </c>
      <c r="S112" s="3990">
        <f t="shared" si="52"/>
        <v>5300</v>
      </c>
      <c r="T112" s="4071"/>
      <c r="U112" s="4071"/>
      <c r="V112" s="4070">
        <v>5300</v>
      </c>
    </row>
    <row r="113" spans="1:22" s="4072" customFormat="1" ht="29.25" customHeight="1">
      <c r="A113" s="3987">
        <v>6</v>
      </c>
      <c r="B113" s="4066" t="s">
        <v>3047</v>
      </c>
      <c r="C113" s="4067" t="s">
        <v>3031</v>
      </c>
      <c r="D113" s="4068" t="s">
        <v>3048</v>
      </c>
      <c r="E113" s="4067" t="s">
        <v>3039</v>
      </c>
      <c r="F113" s="4069" t="s">
        <v>3049</v>
      </c>
      <c r="G113" s="4070">
        <v>37654</v>
      </c>
      <c r="H113" s="4071"/>
      <c r="I113" s="4071"/>
      <c r="J113" s="4070">
        <f t="shared" si="49"/>
        <v>37654</v>
      </c>
      <c r="K113" s="4070">
        <f t="shared" si="50"/>
        <v>13717</v>
      </c>
      <c r="L113" s="4071"/>
      <c r="M113" s="4071"/>
      <c r="N113" s="3990">
        <v>13717</v>
      </c>
      <c r="O113" s="4070">
        <f t="shared" si="51"/>
        <v>20291</v>
      </c>
      <c r="P113" s="4071"/>
      <c r="Q113" s="4071"/>
      <c r="R113" s="4070">
        <v>20291</v>
      </c>
      <c r="S113" s="3990">
        <f t="shared" si="52"/>
        <v>8100</v>
      </c>
      <c r="T113" s="4071"/>
      <c r="U113" s="4071"/>
      <c r="V113" s="4070">
        <v>8100</v>
      </c>
    </row>
    <row r="114" spans="1:22" s="4072" customFormat="1" ht="29.25" customHeight="1">
      <c r="A114" s="3987">
        <v>7</v>
      </c>
      <c r="B114" s="4066" t="s">
        <v>3050</v>
      </c>
      <c r="C114" s="4067" t="s">
        <v>3031</v>
      </c>
      <c r="D114" s="4068" t="s">
        <v>3051</v>
      </c>
      <c r="E114" s="4067" t="s">
        <v>3039</v>
      </c>
      <c r="F114" s="4069" t="s">
        <v>3052</v>
      </c>
      <c r="G114" s="4070">
        <v>35544</v>
      </c>
      <c r="H114" s="4071"/>
      <c r="I114" s="4071"/>
      <c r="J114" s="4070">
        <f t="shared" si="49"/>
        <v>35544</v>
      </c>
      <c r="K114" s="4070">
        <f t="shared" si="50"/>
        <v>14865</v>
      </c>
      <c r="L114" s="4071"/>
      <c r="M114" s="4071"/>
      <c r="N114" s="3990">
        <v>14865</v>
      </c>
      <c r="O114" s="4070">
        <f t="shared" si="51"/>
        <v>20852</v>
      </c>
      <c r="P114" s="4071"/>
      <c r="Q114" s="4071"/>
      <c r="R114" s="4070">
        <v>20852</v>
      </c>
      <c r="S114" s="3990">
        <f t="shared" si="52"/>
        <v>6900</v>
      </c>
      <c r="T114" s="4071"/>
      <c r="U114" s="4071"/>
      <c r="V114" s="4070">
        <v>6900</v>
      </c>
    </row>
    <row r="115" spans="1:22" s="4072" customFormat="1" ht="35.25" customHeight="1">
      <c r="A115" s="3987">
        <v>8</v>
      </c>
      <c r="B115" s="4066" t="s">
        <v>3053</v>
      </c>
      <c r="C115" s="4067" t="s">
        <v>3031</v>
      </c>
      <c r="D115" s="4068" t="s">
        <v>3054</v>
      </c>
      <c r="E115" s="4067" t="s">
        <v>2887</v>
      </c>
      <c r="F115" s="4069" t="s">
        <v>3055</v>
      </c>
      <c r="G115" s="4070">
        <v>24272</v>
      </c>
      <c r="H115" s="4071"/>
      <c r="I115" s="4071"/>
      <c r="J115" s="4070">
        <f t="shared" si="49"/>
        <v>24272</v>
      </c>
      <c r="K115" s="4070">
        <f t="shared" si="50"/>
        <v>9400</v>
      </c>
      <c r="L115" s="4071"/>
      <c r="M115" s="4071"/>
      <c r="N115" s="3990">
        <v>9400</v>
      </c>
      <c r="O115" s="4070">
        <f t="shared" si="51"/>
        <v>9400</v>
      </c>
      <c r="P115" s="4071"/>
      <c r="Q115" s="4071"/>
      <c r="R115" s="4070">
        <v>9400</v>
      </c>
      <c r="S115" s="3990">
        <f t="shared" si="52"/>
        <v>6000</v>
      </c>
      <c r="T115" s="4071"/>
      <c r="U115" s="4071"/>
      <c r="V115" s="4070">
        <v>6000</v>
      </c>
    </row>
    <row r="116" spans="1:22" s="4072" customFormat="1" ht="35.25" customHeight="1">
      <c r="A116" s="3987">
        <v>9</v>
      </c>
      <c r="B116" s="4066" t="s">
        <v>3056</v>
      </c>
      <c r="C116" s="4067" t="s">
        <v>3031</v>
      </c>
      <c r="D116" s="4067" t="s">
        <v>3057</v>
      </c>
      <c r="E116" s="4067" t="s">
        <v>3058</v>
      </c>
      <c r="F116" s="4069" t="s">
        <v>3059</v>
      </c>
      <c r="G116" s="4070">
        <v>42042</v>
      </c>
      <c r="H116" s="4071"/>
      <c r="I116" s="4071"/>
      <c r="J116" s="4070">
        <f t="shared" si="49"/>
        <v>42042</v>
      </c>
      <c r="K116" s="4071"/>
      <c r="L116" s="4071"/>
      <c r="M116" s="4071"/>
      <c r="N116" s="4073"/>
      <c r="O116" s="4070">
        <f t="shared" si="51"/>
        <v>0</v>
      </c>
      <c r="P116" s="4071"/>
      <c r="Q116" s="4071"/>
      <c r="R116" s="4070"/>
      <c r="S116" s="3990">
        <f t="shared" si="52"/>
        <v>7000</v>
      </c>
      <c r="T116" s="4071"/>
      <c r="U116" s="4071"/>
      <c r="V116" s="4070">
        <v>7000</v>
      </c>
    </row>
    <row r="117" spans="1:22" s="4072" customFormat="1" ht="35.25" customHeight="1">
      <c r="A117" s="3987">
        <v>10</v>
      </c>
      <c r="B117" s="4066" t="s">
        <v>3060</v>
      </c>
      <c r="C117" s="4067" t="s">
        <v>3031</v>
      </c>
      <c r="D117" s="4067" t="s">
        <v>3061</v>
      </c>
      <c r="E117" s="4067" t="s">
        <v>3058</v>
      </c>
      <c r="F117" s="4069" t="s">
        <v>3062</v>
      </c>
      <c r="G117" s="4070">
        <v>67334</v>
      </c>
      <c r="H117" s="4071"/>
      <c r="I117" s="4071"/>
      <c r="J117" s="4070">
        <f t="shared" si="49"/>
        <v>67334</v>
      </c>
      <c r="K117" s="4071"/>
      <c r="L117" s="4071"/>
      <c r="M117" s="4071"/>
      <c r="N117" s="4073"/>
      <c r="O117" s="4070">
        <f t="shared" si="51"/>
        <v>0</v>
      </c>
      <c r="P117" s="4071"/>
      <c r="Q117" s="4071"/>
      <c r="R117" s="4070"/>
      <c r="S117" s="3990">
        <f t="shared" si="52"/>
        <v>7000</v>
      </c>
      <c r="T117" s="4071"/>
      <c r="U117" s="4071"/>
      <c r="V117" s="4070">
        <v>7000</v>
      </c>
    </row>
    <row r="118" spans="1:22" s="4072" customFormat="1" ht="35.25" customHeight="1">
      <c r="A118" s="3987">
        <v>11</v>
      </c>
      <c r="B118" s="4066" t="s">
        <v>3063</v>
      </c>
      <c r="C118" s="4067" t="s">
        <v>3031</v>
      </c>
      <c r="D118" s="4067" t="s">
        <v>3064</v>
      </c>
      <c r="E118" s="4067" t="s">
        <v>2954</v>
      </c>
      <c r="F118" s="4069" t="s">
        <v>3065</v>
      </c>
      <c r="G118" s="4070">
        <v>39609</v>
      </c>
      <c r="H118" s="4071"/>
      <c r="I118" s="4071"/>
      <c r="J118" s="4070">
        <f t="shared" si="49"/>
        <v>39609</v>
      </c>
      <c r="K118" s="4071"/>
      <c r="L118" s="4071"/>
      <c r="M118" s="4071"/>
      <c r="N118" s="4073"/>
      <c r="O118" s="4070">
        <f t="shared" si="51"/>
        <v>0</v>
      </c>
      <c r="P118" s="4071"/>
      <c r="Q118" s="4071"/>
      <c r="R118" s="4070"/>
      <c r="S118" s="3990">
        <f t="shared" si="52"/>
        <v>7000</v>
      </c>
      <c r="T118" s="4071"/>
      <c r="U118" s="4071"/>
      <c r="V118" s="4070">
        <v>7000</v>
      </c>
    </row>
    <row r="119" spans="1:22" s="1577" customFormat="1">
      <c r="A119" s="4009" t="s">
        <v>2211</v>
      </c>
      <c r="B119" s="4010" t="s">
        <v>2852</v>
      </c>
      <c r="C119" s="4035"/>
      <c r="D119" s="4035"/>
      <c r="E119" s="4035"/>
      <c r="F119" s="4035"/>
      <c r="G119" s="4027">
        <f t="shared" ref="G119:V120" si="53">G120</f>
        <v>236460</v>
      </c>
      <c r="H119" s="4027">
        <f t="shared" si="53"/>
        <v>0</v>
      </c>
      <c r="I119" s="4027">
        <f t="shared" si="53"/>
        <v>0</v>
      </c>
      <c r="J119" s="4027">
        <f t="shared" si="53"/>
        <v>236460</v>
      </c>
      <c r="K119" s="4027">
        <f t="shared" si="53"/>
        <v>43814</v>
      </c>
      <c r="L119" s="4027">
        <f t="shared" si="53"/>
        <v>0</v>
      </c>
      <c r="M119" s="4027">
        <f t="shared" si="53"/>
        <v>0</v>
      </c>
      <c r="N119" s="4027">
        <f t="shared" si="53"/>
        <v>43814</v>
      </c>
      <c r="O119" s="4027">
        <f t="shared" si="53"/>
        <v>39429</v>
      </c>
      <c r="P119" s="4027">
        <f t="shared" si="53"/>
        <v>0</v>
      </c>
      <c r="Q119" s="4027">
        <f t="shared" si="53"/>
        <v>0</v>
      </c>
      <c r="R119" s="4027">
        <f t="shared" si="53"/>
        <v>39429</v>
      </c>
      <c r="S119" s="4027">
        <f t="shared" si="53"/>
        <v>78949</v>
      </c>
      <c r="T119" s="4027">
        <f t="shared" si="53"/>
        <v>0</v>
      </c>
      <c r="U119" s="4027">
        <f t="shared" si="53"/>
        <v>0</v>
      </c>
      <c r="V119" s="4027">
        <f>V120</f>
        <v>78949</v>
      </c>
    </row>
    <row r="120" spans="1:22" s="248" customFormat="1">
      <c r="A120" s="4009">
        <v>1</v>
      </c>
      <c r="B120" s="4010" t="s">
        <v>3122</v>
      </c>
      <c r="C120" s="4009"/>
      <c r="D120" s="4009"/>
      <c r="E120" s="4009"/>
      <c r="F120" s="4009"/>
      <c r="G120" s="4027">
        <f t="shared" si="53"/>
        <v>236460</v>
      </c>
      <c r="H120" s="4027">
        <f t="shared" si="53"/>
        <v>0</v>
      </c>
      <c r="I120" s="4027">
        <f t="shared" si="53"/>
        <v>0</v>
      </c>
      <c r="J120" s="4027">
        <f t="shared" si="53"/>
        <v>236460</v>
      </c>
      <c r="K120" s="4027">
        <f t="shared" si="53"/>
        <v>43814</v>
      </c>
      <c r="L120" s="4027">
        <f t="shared" si="53"/>
        <v>0</v>
      </c>
      <c r="M120" s="4027">
        <f t="shared" si="53"/>
        <v>0</v>
      </c>
      <c r="N120" s="4027">
        <f t="shared" si="53"/>
        <v>43814</v>
      </c>
      <c r="O120" s="4027">
        <f t="shared" si="53"/>
        <v>39429</v>
      </c>
      <c r="P120" s="4027">
        <f t="shared" si="53"/>
        <v>0</v>
      </c>
      <c r="Q120" s="4027">
        <f t="shared" si="53"/>
        <v>0</v>
      </c>
      <c r="R120" s="4027">
        <f t="shared" si="53"/>
        <v>39429</v>
      </c>
      <c r="S120" s="4027">
        <f t="shared" si="53"/>
        <v>78949</v>
      </c>
      <c r="T120" s="4027">
        <f t="shared" si="53"/>
        <v>0</v>
      </c>
      <c r="U120" s="4027">
        <f t="shared" si="53"/>
        <v>0</v>
      </c>
      <c r="V120" s="4027">
        <f t="shared" si="53"/>
        <v>78949</v>
      </c>
    </row>
    <row r="121" spans="1:22" ht="31.2">
      <c r="A121" s="4009" t="s">
        <v>34</v>
      </c>
      <c r="B121" s="4028" t="s">
        <v>2871</v>
      </c>
      <c r="C121" s="4009"/>
      <c r="D121" s="4009"/>
      <c r="E121" s="4009"/>
      <c r="F121" s="4009"/>
      <c r="G121" s="4029">
        <f>SUM(G122:G130)</f>
        <v>236460</v>
      </c>
      <c r="H121" s="4029">
        <f t="shared" ref="H121:V121" si="54">SUM(H122:H130)</f>
        <v>0</v>
      </c>
      <c r="I121" s="4029">
        <f t="shared" si="54"/>
        <v>0</v>
      </c>
      <c r="J121" s="4029">
        <f t="shared" si="54"/>
        <v>236460</v>
      </c>
      <c r="K121" s="4029">
        <f t="shared" si="54"/>
        <v>43814</v>
      </c>
      <c r="L121" s="4029">
        <f t="shared" si="54"/>
        <v>0</v>
      </c>
      <c r="M121" s="4029">
        <f t="shared" si="54"/>
        <v>0</v>
      </c>
      <c r="N121" s="4029">
        <f t="shared" si="54"/>
        <v>43814</v>
      </c>
      <c r="O121" s="4029">
        <f t="shared" si="54"/>
        <v>39429</v>
      </c>
      <c r="P121" s="4029">
        <f t="shared" si="54"/>
        <v>0</v>
      </c>
      <c r="Q121" s="4029">
        <f t="shared" si="54"/>
        <v>0</v>
      </c>
      <c r="R121" s="4029">
        <f t="shared" si="54"/>
        <v>39429</v>
      </c>
      <c r="S121" s="4029">
        <f t="shared" si="54"/>
        <v>78949</v>
      </c>
      <c r="T121" s="4029">
        <f t="shared" si="54"/>
        <v>0</v>
      </c>
      <c r="U121" s="4029">
        <f t="shared" si="54"/>
        <v>0</v>
      </c>
      <c r="V121" s="4029">
        <f t="shared" si="54"/>
        <v>78949</v>
      </c>
    </row>
    <row r="122" spans="1:22" ht="26.25" customHeight="1">
      <c r="A122" s="3987">
        <v>1</v>
      </c>
      <c r="B122" s="4034" t="s">
        <v>3066</v>
      </c>
      <c r="C122" s="3987" t="s">
        <v>2885</v>
      </c>
      <c r="D122" s="4074" t="s">
        <v>3067</v>
      </c>
      <c r="E122" s="3987" t="s">
        <v>2887</v>
      </c>
      <c r="F122" s="4075" t="s">
        <v>3068</v>
      </c>
      <c r="G122" s="3990">
        <v>52305</v>
      </c>
      <c r="H122" s="3990"/>
      <c r="I122" s="3990"/>
      <c r="J122" s="3990">
        <f>G122</f>
        <v>52305</v>
      </c>
      <c r="K122" s="3992">
        <f>SUM(L122:N122)</f>
        <v>20000</v>
      </c>
      <c r="L122" s="3992"/>
      <c r="M122" s="3992"/>
      <c r="N122" s="3992">
        <v>20000</v>
      </c>
      <c r="O122" s="3992">
        <f>SUM(P122:R122)</f>
        <v>20000</v>
      </c>
      <c r="P122" s="3992"/>
      <c r="Q122" s="3992"/>
      <c r="R122" s="3992">
        <v>20000</v>
      </c>
      <c r="S122" s="3992">
        <f>SUM(T122:V122)</f>
        <v>16571</v>
      </c>
      <c r="T122" s="3992"/>
      <c r="U122" s="3992"/>
      <c r="V122" s="3992">
        <v>16571</v>
      </c>
    </row>
    <row r="123" spans="1:22" ht="26.25" customHeight="1">
      <c r="A123" s="3987">
        <v>2</v>
      </c>
      <c r="B123" s="4034" t="s">
        <v>3069</v>
      </c>
      <c r="C123" s="3987" t="s">
        <v>2885</v>
      </c>
      <c r="D123" s="4074" t="s">
        <v>3070</v>
      </c>
      <c r="E123" s="3987" t="s">
        <v>2915</v>
      </c>
      <c r="F123" s="4041" t="s">
        <v>3071</v>
      </c>
      <c r="G123" s="3990">
        <v>21594</v>
      </c>
      <c r="H123" s="3990"/>
      <c r="I123" s="3990"/>
      <c r="J123" s="3990">
        <f>G123</f>
        <v>21594</v>
      </c>
      <c r="K123" s="3992">
        <f>SUM(L123:N123)</f>
        <v>16580</v>
      </c>
      <c r="L123" s="3992"/>
      <c r="M123" s="3992"/>
      <c r="N123" s="3992">
        <v>16580</v>
      </c>
      <c r="O123" s="3992">
        <f>SUM(P123:R123)</f>
        <v>12195</v>
      </c>
      <c r="P123" s="3992"/>
      <c r="Q123" s="3992"/>
      <c r="R123" s="3992">
        <v>12195</v>
      </c>
      <c r="S123" s="3992">
        <f>SUM(T123:V123)</f>
        <v>4385</v>
      </c>
      <c r="T123" s="3992"/>
      <c r="U123" s="3992"/>
      <c r="V123" s="3992">
        <v>4385</v>
      </c>
    </row>
    <row r="124" spans="1:22" ht="26.25" customHeight="1">
      <c r="A124" s="3987">
        <v>3</v>
      </c>
      <c r="B124" s="4034" t="s">
        <v>3072</v>
      </c>
      <c r="C124" s="3987" t="s">
        <v>2885</v>
      </c>
      <c r="D124" s="4074" t="s">
        <v>3073</v>
      </c>
      <c r="E124" s="3987" t="s">
        <v>2887</v>
      </c>
      <c r="F124" s="4041" t="s">
        <v>3074</v>
      </c>
      <c r="G124" s="3990">
        <v>28944</v>
      </c>
      <c r="H124" s="3990"/>
      <c r="I124" s="3990"/>
      <c r="J124" s="3990">
        <f>G124</f>
        <v>28944</v>
      </c>
      <c r="K124" s="3992">
        <f t="shared" ref="K124:K125" si="55">SUM(L124:N124)</f>
        <v>4850</v>
      </c>
      <c r="L124" s="4076"/>
      <c r="M124" s="4076"/>
      <c r="N124" s="3992">
        <v>4850</v>
      </c>
      <c r="O124" s="3992">
        <f t="shared" ref="O124:O125" si="56">SUM(P124:R124)</f>
        <v>4850</v>
      </c>
      <c r="P124" s="4076"/>
      <c r="Q124" s="4076"/>
      <c r="R124" s="3992">
        <v>4850</v>
      </c>
      <c r="S124" s="3992">
        <f t="shared" ref="S124:S125" si="57">SUM(T124:V124)</f>
        <v>14000</v>
      </c>
      <c r="T124" s="4076"/>
      <c r="U124" s="4076"/>
      <c r="V124" s="3992">
        <v>14000</v>
      </c>
    </row>
    <row r="125" spans="1:22" ht="33" customHeight="1">
      <c r="A125" s="3987">
        <v>4</v>
      </c>
      <c r="B125" s="4034" t="s">
        <v>3075</v>
      </c>
      <c r="C125" s="3987" t="s">
        <v>2885</v>
      </c>
      <c r="D125" s="4074" t="s">
        <v>3076</v>
      </c>
      <c r="E125" s="3987" t="s">
        <v>2887</v>
      </c>
      <c r="F125" s="4041" t="s">
        <v>3077</v>
      </c>
      <c r="G125" s="3990">
        <v>23187</v>
      </c>
      <c r="H125" s="3990"/>
      <c r="I125" s="3990"/>
      <c r="J125" s="3990">
        <f>G125</f>
        <v>23187</v>
      </c>
      <c r="K125" s="3992">
        <f t="shared" si="55"/>
        <v>2384</v>
      </c>
      <c r="L125" s="4076"/>
      <c r="M125" s="4076"/>
      <c r="N125" s="3992">
        <v>2384</v>
      </c>
      <c r="O125" s="3992">
        <f t="shared" si="56"/>
        <v>2384</v>
      </c>
      <c r="P125" s="4076"/>
      <c r="Q125" s="4076"/>
      <c r="R125" s="3992">
        <v>2384</v>
      </c>
      <c r="S125" s="3992">
        <f t="shared" si="57"/>
        <v>10093</v>
      </c>
      <c r="T125" s="4076"/>
      <c r="U125" s="4076"/>
      <c r="V125" s="3992">
        <v>10093</v>
      </c>
    </row>
    <row r="126" spans="1:22" ht="30" customHeight="1">
      <c r="A126" s="3987">
        <v>5</v>
      </c>
      <c r="B126" s="3988" t="s">
        <v>3078</v>
      </c>
      <c r="C126" s="4074" t="s">
        <v>2885</v>
      </c>
      <c r="D126" s="3987" t="s">
        <v>3079</v>
      </c>
      <c r="E126" s="4077" t="s">
        <v>2892</v>
      </c>
      <c r="F126" s="4041" t="s">
        <v>3080</v>
      </c>
      <c r="G126" s="3990">
        <v>27068</v>
      </c>
      <c r="H126" s="3992"/>
      <c r="I126" s="3992"/>
      <c r="J126" s="3990">
        <f t="shared" ref="J126:J130" si="58">G126</f>
        <v>27068</v>
      </c>
      <c r="K126" s="3992">
        <f>SUM(L126:O126)</f>
        <v>0</v>
      </c>
      <c r="L126" s="3992"/>
      <c r="M126" s="3992"/>
      <c r="N126" s="3992">
        <v>0</v>
      </c>
      <c r="O126" s="3992">
        <f>SUM(P126:R126)</f>
        <v>0</v>
      </c>
      <c r="P126" s="3992"/>
      <c r="Q126" s="3992"/>
      <c r="R126" s="3992">
        <v>0</v>
      </c>
      <c r="S126" s="3992">
        <f>SUM(T126:V126)</f>
        <v>7000</v>
      </c>
      <c r="T126" s="3992"/>
      <c r="U126" s="3992"/>
      <c r="V126" s="3992">
        <v>7000</v>
      </c>
    </row>
    <row r="127" spans="1:22" ht="33" customHeight="1">
      <c r="A127" s="3987">
        <v>6</v>
      </c>
      <c r="B127" s="3988" t="s">
        <v>3081</v>
      </c>
      <c r="C127" s="4074" t="s">
        <v>2885</v>
      </c>
      <c r="D127" s="3987" t="s">
        <v>3082</v>
      </c>
      <c r="E127" s="4077" t="s">
        <v>2892</v>
      </c>
      <c r="F127" s="4041" t="s">
        <v>3083</v>
      </c>
      <c r="G127" s="3990">
        <v>23310</v>
      </c>
      <c r="H127" s="3992"/>
      <c r="I127" s="3992"/>
      <c r="J127" s="3990">
        <f t="shared" si="58"/>
        <v>23310</v>
      </c>
      <c r="K127" s="3992">
        <f t="shared" ref="K127:K130" si="59">SUM(L127:O127)</f>
        <v>0</v>
      </c>
      <c r="L127" s="3992"/>
      <c r="M127" s="3992"/>
      <c r="N127" s="3992">
        <v>0</v>
      </c>
      <c r="O127" s="3992">
        <f t="shared" ref="O127:O130" si="60">SUM(P127:R127)</f>
        <v>0</v>
      </c>
      <c r="P127" s="3992"/>
      <c r="Q127" s="3992"/>
      <c r="R127" s="3992">
        <v>0</v>
      </c>
      <c r="S127" s="3992">
        <f t="shared" ref="S127:S130" si="61">SUM(T127:V127)</f>
        <v>6000</v>
      </c>
      <c r="T127" s="3992"/>
      <c r="U127" s="3992"/>
      <c r="V127" s="3992">
        <v>6000</v>
      </c>
    </row>
    <row r="128" spans="1:22" ht="39.75" customHeight="1">
      <c r="A128" s="3987">
        <v>7</v>
      </c>
      <c r="B128" s="3988" t="s">
        <v>3084</v>
      </c>
      <c r="C128" s="4074" t="s">
        <v>2885</v>
      </c>
      <c r="D128" s="3987" t="s">
        <v>3085</v>
      </c>
      <c r="E128" s="3987" t="s">
        <v>2892</v>
      </c>
      <c r="F128" s="3987" t="s">
        <v>3086</v>
      </c>
      <c r="G128" s="3990">
        <v>14973</v>
      </c>
      <c r="H128" s="3992"/>
      <c r="I128" s="3992"/>
      <c r="J128" s="3990">
        <f t="shared" si="58"/>
        <v>14973</v>
      </c>
      <c r="K128" s="3992">
        <f t="shared" si="59"/>
        <v>0</v>
      </c>
      <c r="L128" s="3992"/>
      <c r="M128" s="3992"/>
      <c r="N128" s="3992">
        <v>0</v>
      </c>
      <c r="O128" s="3992">
        <f t="shared" si="60"/>
        <v>0</v>
      </c>
      <c r="P128" s="3992"/>
      <c r="Q128" s="3992"/>
      <c r="R128" s="3992">
        <v>0</v>
      </c>
      <c r="S128" s="3992">
        <f t="shared" si="61"/>
        <v>6000</v>
      </c>
      <c r="T128" s="3992"/>
      <c r="U128" s="3992"/>
      <c r="V128" s="3992">
        <v>6000</v>
      </c>
    </row>
    <row r="129" spans="1:22" ht="36.75" customHeight="1">
      <c r="A129" s="3987">
        <v>8</v>
      </c>
      <c r="B129" s="3988" t="s">
        <v>3087</v>
      </c>
      <c r="C129" s="4074" t="s">
        <v>2885</v>
      </c>
      <c r="D129" s="3987" t="s">
        <v>3088</v>
      </c>
      <c r="E129" s="3987" t="s">
        <v>2892</v>
      </c>
      <c r="F129" s="3987" t="s">
        <v>3089</v>
      </c>
      <c r="G129" s="3990">
        <v>22070</v>
      </c>
      <c r="H129" s="3992"/>
      <c r="I129" s="3992"/>
      <c r="J129" s="3990">
        <f t="shared" si="58"/>
        <v>22070</v>
      </c>
      <c r="K129" s="3992">
        <f t="shared" si="59"/>
        <v>0</v>
      </c>
      <c r="L129" s="3992"/>
      <c r="M129" s="3992"/>
      <c r="N129" s="3992">
        <v>0</v>
      </c>
      <c r="O129" s="3992">
        <f t="shared" si="60"/>
        <v>0</v>
      </c>
      <c r="P129" s="3992"/>
      <c r="Q129" s="3992"/>
      <c r="R129" s="3992">
        <v>0</v>
      </c>
      <c r="S129" s="3992">
        <f t="shared" si="61"/>
        <v>6000</v>
      </c>
      <c r="T129" s="3992"/>
      <c r="U129" s="3992"/>
      <c r="V129" s="3992">
        <v>6000</v>
      </c>
    </row>
    <row r="130" spans="1:22" ht="24.75" customHeight="1">
      <c r="A130" s="3987">
        <v>9</v>
      </c>
      <c r="B130" s="3988" t="s">
        <v>3090</v>
      </c>
      <c r="C130" s="3987" t="s">
        <v>2885</v>
      </c>
      <c r="D130" s="3987" t="s">
        <v>3091</v>
      </c>
      <c r="E130" s="3987" t="s">
        <v>3092</v>
      </c>
      <c r="F130" s="3987" t="s">
        <v>3093</v>
      </c>
      <c r="G130" s="3990">
        <v>23009</v>
      </c>
      <c r="H130" s="3992"/>
      <c r="I130" s="3992"/>
      <c r="J130" s="3990">
        <f t="shared" si="58"/>
        <v>23009</v>
      </c>
      <c r="K130" s="3992">
        <f t="shared" si="59"/>
        <v>0</v>
      </c>
      <c r="L130" s="3992"/>
      <c r="M130" s="3992"/>
      <c r="N130" s="3992">
        <v>0</v>
      </c>
      <c r="O130" s="3992">
        <f t="shared" si="60"/>
        <v>0</v>
      </c>
      <c r="P130" s="3992"/>
      <c r="Q130" s="3992"/>
      <c r="R130" s="3992">
        <v>0</v>
      </c>
      <c r="S130" s="3992">
        <f t="shared" si="61"/>
        <v>8900</v>
      </c>
      <c r="T130" s="3992"/>
      <c r="U130" s="3992"/>
      <c r="V130" s="3992">
        <v>8900</v>
      </c>
    </row>
    <row r="131" spans="1:22" s="1577" customFormat="1">
      <c r="A131" s="4009" t="s">
        <v>2224</v>
      </c>
      <c r="B131" s="4010" t="s">
        <v>3174</v>
      </c>
      <c r="C131" s="4035"/>
      <c r="D131" s="4035"/>
      <c r="E131" s="4035"/>
      <c r="F131" s="4035"/>
      <c r="G131" s="4027">
        <f t="shared" ref="G131:V132" si="62">G132</f>
        <v>89985</v>
      </c>
      <c r="H131" s="4027">
        <f t="shared" si="62"/>
        <v>0</v>
      </c>
      <c r="I131" s="4027">
        <f t="shared" si="62"/>
        <v>0</v>
      </c>
      <c r="J131" s="4027">
        <f t="shared" si="62"/>
        <v>89985</v>
      </c>
      <c r="K131" s="4027">
        <f t="shared" si="62"/>
        <v>41600</v>
      </c>
      <c r="L131" s="4027">
        <f t="shared" si="62"/>
        <v>0</v>
      </c>
      <c r="M131" s="4027">
        <f t="shared" si="62"/>
        <v>0</v>
      </c>
      <c r="N131" s="4027">
        <f t="shared" si="62"/>
        <v>41600</v>
      </c>
      <c r="O131" s="4027">
        <f t="shared" si="62"/>
        <v>41600</v>
      </c>
      <c r="P131" s="4027">
        <f t="shared" si="62"/>
        <v>0</v>
      </c>
      <c r="Q131" s="4027">
        <f t="shared" si="62"/>
        <v>0</v>
      </c>
      <c r="R131" s="4027">
        <f t="shared" si="62"/>
        <v>41600</v>
      </c>
      <c r="S131" s="4027">
        <f t="shared" si="62"/>
        <v>12600</v>
      </c>
      <c r="T131" s="4027">
        <f t="shared" si="62"/>
        <v>0</v>
      </c>
      <c r="U131" s="4027">
        <f t="shared" si="62"/>
        <v>0</v>
      </c>
      <c r="V131" s="4027">
        <f>V132</f>
        <v>12600</v>
      </c>
    </row>
    <row r="132" spans="1:22" s="248" customFormat="1">
      <c r="A132" s="4078">
        <v>1</v>
      </c>
      <c r="B132" s="4079" t="s">
        <v>3122</v>
      </c>
      <c r="C132" s="4078"/>
      <c r="D132" s="4078"/>
      <c r="E132" s="4078"/>
      <c r="F132" s="4078"/>
      <c r="G132" s="4080">
        <f t="shared" si="62"/>
        <v>89985</v>
      </c>
      <c r="H132" s="4080">
        <f t="shared" si="62"/>
        <v>0</v>
      </c>
      <c r="I132" s="4080">
        <f t="shared" si="62"/>
        <v>0</v>
      </c>
      <c r="J132" s="4080">
        <f t="shared" si="62"/>
        <v>89985</v>
      </c>
      <c r="K132" s="4080">
        <f t="shared" si="62"/>
        <v>41600</v>
      </c>
      <c r="L132" s="4080">
        <f t="shared" si="62"/>
        <v>0</v>
      </c>
      <c r="M132" s="4080">
        <f t="shared" si="62"/>
        <v>0</v>
      </c>
      <c r="N132" s="4080">
        <f t="shared" si="62"/>
        <v>41600</v>
      </c>
      <c r="O132" s="4080">
        <f t="shared" si="62"/>
        <v>41600</v>
      </c>
      <c r="P132" s="4080">
        <f t="shared" si="62"/>
        <v>0</v>
      </c>
      <c r="Q132" s="4080">
        <f t="shared" si="62"/>
        <v>0</v>
      </c>
      <c r="R132" s="4080">
        <f t="shared" si="62"/>
        <v>41600</v>
      </c>
      <c r="S132" s="4080">
        <f t="shared" si="62"/>
        <v>12600</v>
      </c>
      <c r="T132" s="4080">
        <f t="shared" si="62"/>
        <v>0</v>
      </c>
      <c r="U132" s="4080">
        <f t="shared" si="62"/>
        <v>0</v>
      </c>
      <c r="V132" s="4080">
        <f t="shared" si="62"/>
        <v>12600</v>
      </c>
    </row>
    <row r="133" spans="1:22" ht="31.2">
      <c r="A133" s="3995" t="s">
        <v>34</v>
      </c>
      <c r="B133" s="4081" t="s">
        <v>2871</v>
      </c>
      <c r="C133" s="3995"/>
      <c r="D133" s="3995"/>
      <c r="E133" s="3995"/>
      <c r="F133" s="3995"/>
      <c r="G133" s="4082">
        <f>SUM(G134:G136)</f>
        <v>89985</v>
      </c>
      <c r="H133" s="4082">
        <f t="shared" ref="H133:V133" si="63">SUM(H134:H136)</f>
        <v>0</v>
      </c>
      <c r="I133" s="4082">
        <f t="shared" si="63"/>
        <v>0</v>
      </c>
      <c r="J133" s="4082">
        <f t="shared" si="63"/>
        <v>89985</v>
      </c>
      <c r="K133" s="4082">
        <f t="shared" si="63"/>
        <v>41600</v>
      </c>
      <c r="L133" s="4082">
        <f t="shared" si="63"/>
        <v>0</v>
      </c>
      <c r="M133" s="4082">
        <f t="shared" si="63"/>
        <v>0</v>
      </c>
      <c r="N133" s="4082">
        <f t="shared" si="63"/>
        <v>41600</v>
      </c>
      <c r="O133" s="4082">
        <f t="shared" si="63"/>
        <v>41600</v>
      </c>
      <c r="P133" s="4082">
        <f t="shared" si="63"/>
        <v>0</v>
      </c>
      <c r="Q133" s="4082">
        <f t="shared" si="63"/>
        <v>0</v>
      </c>
      <c r="R133" s="4082">
        <f t="shared" si="63"/>
        <v>41600</v>
      </c>
      <c r="S133" s="4082">
        <f t="shared" si="63"/>
        <v>12600</v>
      </c>
      <c r="T133" s="4082">
        <f t="shared" si="63"/>
        <v>0</v>
      </c>
      <c r="U133" s="4082">
        <f t="shared" si="63"/>
        <v>0</v>
      </c>
      <c r="V133" s="4082">
        <f t="shared" si="63"/>
        <v>12600</v>
      </c>
    </row>
    <row r="134" spans="1:22" ht="36.75" customHeight="1">
      <c r="A134" s="4083">
        <v>1</v>
      </c>
      <c r="B134" s="4084" t="s">
        <v>3442</v>
      </c>
      <c r="C134" s="4083" t="s">
        <v>3110</v>
      </c>
      <c r="D134" s="4084"/>
      <c r="E134" s="4083" t="s">
        <v>2892</v>
      </c>
      <c r="F134" s="4083" t="s">
        <v>3443</v>
      </c>
      <c r="G134" s="4085">
        <f>SUM(H134:J134)</f>
        <v>20068</v>
      </c>
      <c r="H134" s="4086"/>
      <c r="I134" s="4087"/>
      <c r="J134" s="4085">
        <v>20068</v>
      </c>
      <c r="K134" s="4085">
        <f t="shared" ref="K134:K136" si="64">SUM(L134:N134)</f>
        <v>3700</v>
      </c>
      <c r="L134" s="4088"/>
      <c r="M134" s="4088"/>
      <c r="N134" s="4089">
        <f>R134</f>
        <v>3700</v>
      </c>
      <c r="O134" s="4085">
        <f>SUM(P134:R134)</f>
        <v>3700</v>
      </c>
      <c r="P134" s="4088"/>
      <c r="Q134" s="4085"/>
      <c r="R134" s="4085">
        <v>3700</v>
      </c>
      <c r="S134" s="4090">
        <f>SUM(T134:V134)</f>
        <v>4000</v>
      </c>
      <c r="T134" s="4088"/>
      <c r="U134" s="4088"/>
      <c r="V134" s="4085">
        <v>4000</v>
      </c>
    </row>
    <row r="135" spans="1:22" ht="63.75" customHeight="1">
      <c r="A135" s="4083">
        <v>2</v>
      </c>
      <c r="B135" s="4084" t="s">
        <v>3444</v>
      </c>
      <c r="C135" s="4083" t="s">
        <v>3110</v>
      </c>
      <c r="D135" s="4084"/>
      <c r="E135" s="4083" t="s">
        <v>2887</v>
      </c>
      <c r="F135" s="4083" t="s">
        <v>3445</v>
      </c>
      <c r="G135" s="4085">
        <f t="shared" ref="G135:G136" si="65">SUM(H135:J135)</f>
        <v>32751</v>
      </c>
      <c r="H135" s="4086"/>
      <c r="I135" s="4087"/>
      <c r="J135" s="4085">
        <v>32751</v>
      </c>
      <c r="K135" s="4085">
        <f t="shared" si="64"/>
        <v>19600</v>
      </c>
      <c r="L135" s="4088"/>
      <c r="M135" s="4088"/>
      <c r="N135" s="4089">
        <f t="shared" ref="N135:N136" si="66">R135</f>
        <v>19600</v>
      </c>
      <c r="O135" s="4085">
        <f t="shared" ref="O135:O136" si="67">SUM(P135:R135)</f>
        <v>19600</v>
      </c>
      <c r="P135" s="4088"/>
      <c r="Q135" s="4085"/>
      <c r="R135" s="4085">
        <v>19600</v>
      </c>
      <c r="S135" s="4090">
        <f t="shared" ref="S135:S136" si="68">SUM(T135:V135)</f>
        <v>4600</v>
      </c>
      <c r="T135" s="4088"/>
      <c r="U135" s="4088"/>
      <c r="V135" s="4085">
        <v>4600</v>
      </c>
    </row>
    <row r="136" spans="1:22" ht="36.75" customHeight="1">
      <c r="A136" s="4083">
        <v>3</v>
      </c>
      <c r="B136" s="4084" t="s">
        <v>3446</v>
      </c>
      <c r="C136" s="4083" t="s">
        <v>3110</v>
      </c>
      <c r="D136" s="4084"/>
      <c r="E136" s="4083" t="s">
        <v>2892</v>
      </c>
      <c r="F136" s="4083" t="s">
        <v>3447</v>
      </c>
      <c r="G136" s="4085">
        <f t="shared" si="65"/>
        <v>37166</v>
      </c>
      <c r="H136" s="4086"/>
      <c r="I136" s="4087"/>
      <c r="J136" s="4085">
        <v>37166</v>
      </c>
      <c r="K136" s="4085">
        <f t="shared" si="64"/>
        <v>18300</v>
      </c>
      <c r="L136" s="4088"/>
      <c r="M136" s="4088"/>
      <c r="N136" s="4089">
        <f t="shared" si="66"/>
        <v>18300</v>
      </c>
      <c r="O136" s="4085">
        <f t="shared" si="67"/>
        <v>18300</v>
      </c>
      <c r="P136" s="4088"/>
      <c r="Q136" s="4085"/>
      <c r="R136" s="4085">
        <v>18300</v>
      </c>
      <c r="S136" s="4090">
        <f t="shared" si="68"/>
        <v>4000</v>
      </c>
      <c r="T136" s="4088"/>
      <c r="U136" s="4088"/>
      <c r="V136" s="4085">
        <v>4000</v>
      </c>
    </row>
    <row r="137" spans="1:22" s="1577" customFormat="1">
      <c r="A137" s="3995" t="s">
        <v>2237</v>
      </c>
      <c r="B137" s="3996" t="s">
        <v>3412</v>
      </c>
      <c r="C137" s="4091"/>
      <c r="D137" s="4091"/>
      <c r="E137" s="4091"/>
      <c r="F137" s="4091"/>
      <c r="G137" s="4092">
        <f t="shared" ref="G137:V139" si="69">G138</f>
        <v>51459.284</v>
      </c>
      <c r="H137" s="4092">
        <f t="shared" si="69"/>
        <v>0</v>
      </c>
      <c r="I137" s="4092">
        <f t="shared" si="69"/>
        <v>0</v>
      </c>
      <c r="J137" s="4092">
        <f t="shared" si="69"/>
        <v>51459.284</v>
      </c>
      <c r="K137" s="4092">
        <f t="shared" si="69"/>
        <v>10900</v>
      </c>
      <c r="L137" s="4092">
        <f t="shared" si="69"/>
        <v>0</v>
      </c>
      <c r="M137" s="4092">
        <f t="shared" si="69"/>
        <v>0</v>
      </c>
      <c r="N137" s="4092">
        <f t="shared" si="69"/>
        <v>10900</v>
      </c>
      <c r="O137" s="4092">
        <f t="shared" si="69"/>
        <v>10900</v>
      </c>
      <c r="P137" s="4092">
        <f t="shared" si="69"/>
        <v>0</v>
      </c>
      <c r="Q137" s="4092">
        <f t="shared" si="69"/>
        <v>0</v>
      </c>
      <c r="R137" s="4092">
        <f t="shared" si="69"/>
        <v>10900</v>
      </c>
      <c r="S137" s="4092">
        <f t="shared" si="69"/>
        <v>18500</v>
      </c>
      <c r="T137" s="4092">
        <f t="shared" si="69"/>
        <v>0</v>
      </c>
      <c r="U137" s="4092">
        <f t="shared" si="69"/>
        <v>0</v>
      </c>
      <c r="V137" s="4092">
        <f>V138</f>
        <v>18500</v>
      </c>
    </row>
    <row r="138" spans="1:22" s="248" customFormat="1">
      <c r="A138" s="3995">
        <v>1</v>
      </c>
      <c r="B138" s="3996" t="s">
        <v>3122</v>
      </c>
      <c r="C138" s="3995"/>
      <c r="D138" s="3995"/>
      <c r="E138" s="3995"/>
      <c r="F138" s="3995"/>
      <c r="G138" s="4092">
        <f t="shared" si="69"/>
        <v>51459.284</v>
      </c>
      <c r="H138" s="4092">
        <f t="shared" si="69"/>
        <v>0</v>
      </c>
      <c r="I138" s="4092">
        <f t="shared" si="69"/>
        <v>0</v>
      </c>
      <c r="J138" s="4092">
        <f t="shared" si="69"/>
        <v>51459.284</v>
      </c>
      <c r="K138" s="4092">
        <f t="shared" si="69"/>
        <v>10900</v>
      </c>
      <c r="L138" s="4092">
        <f t="shared" si="69"/>
        <v>0</v>
      </c>
      <c r="M138" s="4092">
        <f t="shared" si="69"/>
        <v>0</v>
      </c>
      <c r="N138" s="4092">
        <f t="shared" si="69"/>
        <v>10900</v>
      </c>
      <c r="O138" s="4092">
        <f t="shared" si="69"/>
        <v>10900</v>
      </c>
      <c r="P138" s="4092">
        <f t="shared" si="69"/>
        <v>0</v>
      </c>
      <c r="Q138" s="4092">
        <f t="shared" si="69"/>
        <v>0</v>
      </c>
      <c r="R138" s="4092">
        <f t="shared" si="69"/>
        <v>10900</v>
      </c>
      <c r="S138" s="4092">
        <f t="shared" si="69"/>
        <v>18500</v>
      </c>
      <c r="T138" s="4092">
        <f t="shared" si="69"/>
        <v>0</v>
      </c>
      <c r="U138" s="4092">
        <f t="shared" si="69"/>
        <v>0</v>
      </c>
      <c r="V138" s="4092">
        <f t="shared" si="69"/>
        <v>18500</v>
      </c>
    </row>
    <row r="139" spans="1:22" ht="31.2">
      <c r="A139" s="3995" t="s">
        <v>34</v>
      </c>
      <c r="B139" s="4081" t="s">
        <v>2871</v>
      </c>
      <c r="C139" s="3995"/>
      <c r="D139" s="3995"/>
      <c r="E139" s="3995"/>
      <c r="F139" s="3995"/>
      <c r="G139" s="4082">
        <f t="shared" si="69"/>
        <v>51459.284</v>
      </c>
      <c r="H139" s="4082">
        <f t="shared" si="69"/>
        <v>0</v>
      </c>
      <c r="I139" s="4082">
        <f t="shared" si="69"/>
        <v>0</v>
      </c>
      <c r="J139" s="4082">
        <f t="shared" si="69"/>
        <v>51459.284</v>
      </c>
      <c r="K139" s="4082">
        <f t="shared" si="69"/>
        <v>10900</v>
      </c>
      <c r="L139" s="4082">
        <f t="shared" si="69"/>
        <v>0</v>
      </c>
      <c r="M139" s="4082">
        <f t="shared" si="69"/>
        <v>0</v>
      </c>
      <c r="N139" s="4082">
        <f t="shared" si="69"/>
        <v>10900</v>
      </c>
      <c r="O139" s="4082">
        <f t="shared" si="69"/>
        <v>10900</v>
      </c>
      <c r="P139" s="4082">
        <f t="shared" si="69"/>
        <v>0</v>
      </c>
      <c r="Q139" s="4082">
        <f t="shared" si="69"/>
        <v>0</v>
      </c>
      <c r="R139" s="4082">
        <f t="shared" si="69"/>
        <v>10900</v>
      </c>
      <c r="S139" s="4082">
        <f t="shared" si="69"/>
        <v>18500</v>
      </c>
      <c r="T139" s="4082">
        <f t="shared" si="69"/>
        <v>0</v>
      </c>
      <c r="U139" s="4082">
        <f t="shared" si="69"/>
        <v>0</v>
      </c>
      <c r="V139" s="4082">
        <f>V140</f>
        <v>18500</v>
      </c>
    </row>
    <row r="140" spans="1:22" s="4096" customFormat="1" ht="29.25" customHeight="1">
      <c r="A140" s="4093">
        <v>1</v>
      </c>
      <c r="B140" s="4094" t="s">
        <v>3448</v>
      </c>
      <c r="C140" s="4093" t="s">
        <v>3449</v>
      </c>
      <c r="D140" s="4093" t="s">
        <v>3450</v>
      </c>
      <c r="E140" s="4093" t="s">
        <v>2887</v>
      </c>
      <c r="F140" s="4093" t="s">
        <v>3451</v>
      </c>
      <c r="G140" s="4095">
        <f>J140</f>
        <v>51459.284</v>
      </c>
      <c r="H140" s="4095"/>
      <c r="I140" s="4095"/>
      <c r="J140" s="4095">
        <v>51459.284</v>
      </c>
      <c r="K140" s="4095">
        <f>N140</f>
        <v>10900</v>
      </c>
      <c r="L140" s="4095"/>
      <c r="M140" s="4095"/>
      <c r="N140" s="4095">
        <v>10900</v>
      </c>
      <c r="O140" s="4095">
        <f>R140</f>
        <v>10900</v>
      </c>
      <c r="P140" s="4095"/>
      <c r="Q140" s="4095"/>
      <c r="R140" s="4095">
        <v>10900</v>
      </c>
      <c r="S140" s="4095">
        <f>V140</f>
        <v>18500</v>
      </c>
      <c r="T140" s="4095"/>
      <c r="U140" s="4095"/>
      <c r="V140" s="4095">
        <v>18500</v>
      </c>
    </row>
    <row r="141" spans="1:22" s="1577" customFormat="1">
      <c r="A141" s="4009" t="s">
        <v>2244</v>
      </c>
      <c r="B141" s="4010" t="s">
        <v>3413</v>
      </c>
      <c r="C141" s="4035"/>
      <c r="D141" s="4035"/>
      <c r="E141" s="4035"/>
      <c r="F141" s="4035"/>
      <c r="G141" s="4027">
        <f t="shared" ref="G141:V142" si="70">G142</f>
        <v>239062</v>
      </c>
      <c r="H141" s="4027">
        <f t="shared" si="70"/>
        <v>0</v>
      </c>
      <c r="I141" s="4027">
        <f t="shared" si="70"/>
        <v>0</v>
      </c>
      <c r="J141" s="4027">
        <f t="shared" si="70"/>
        <v>239062</v>
      </c>
      <c r="K141" s="4027">
        <f t="shared" si="70"/>
        <v>20512</v>
      </c>
      <c r="L141" s="4027">
        <f t="shared" si="70"/>
        <v>0</v>
      </c>
      <c r="M141" s="4027">
        <f t="shared" si="70"/>
        <v>0</v>
      </c>
      <c r="N141" s="4027">
        <f t="shared" si="70"/>
        <v>20512</v>
      </c>
      <c r="O141" s="4027">
        <f t="shared" si="70"/>
        <v>10500</v>
      </c>
      <c r="P141" s="4027">
        <f t="shared" si="70"/>
        <v>0</v>
      </c>
      <c r="Q141" s="4027">
        <f t="shared" si="70"/>
        <v>0</v>
      </c>
      <c r="R141" s="4027">
        <f t="shared" si="70"/>
        <v>10500</v>
      </c>
      <c r="S141" s="4027">
        <f t="shared" si="70"/>
        <v>139200</v>
      </c>
      <c r="T141" s="4027">
        <f t="shared" si="70"/>
        <v>0</v>
      </c>
      <c r="U141" s="4027">
        <f t="shared" si="70"/>
        <v>0</v>
      </c>
      <c r="V141" s="4027">
        <f>V142</f>
        <v>139200</v>
      </c>
    </row>
    <row r="142" spans="1:22" s="248" customFormat="1">
      <c r="A142" s="4009">
        <v>1</v>
      </c>
      <c r="B142" s="4010" t="s">
        <v>3122</v>
      </c>
      <c r="C142" s="4009"/>
      <c r="D142" s="4009"/>
      <c r="E142" s="4009"/>
      <c r="F142" s="4009"/>
      <c r="G142" s="4027">
        <f t="shared" si="70"/>
        <v>239062</v>
      </c>
      <c r="H142" s="4027">
        <f t="shared" si="70"/>
        <v>0</v>
      </c>
      <c r="I142" s="4027">
        <f t="shared" si="70"/>
        <v>0</v>
      </c>
      <c r="J142" s="4027">
        <f t="shared" si="70"/>
        <v>239062</v>
      </c>
      <c r="K142" s="4027">
        <f t="shared" si="70"/>
        <v>20512</v>
      </c>
      <c r="L142" s="4027">
        <f t="shared" si="70"/>
        <v>0</v>
      </c>
      <c r="M142" s="4027">
        <f t="shared" si="70"/>
        <v>0</v>
      </c>
      <c r="N142" s="4027">
        <f t="shared" si="70"/>
        <v>20512</v>
      </c>
      <c r="O142" s="4027">
        <f t="shared" si="70"/>
        <v>10500</v>
      </c>
      <c r="P142" s="4027">
        <f t="shared" si="70"/>
        <v>0</v>
      </c>
      <c r="Q142" s="4027">
        <f t="shared" si="70"/>
        <v>0</v>
      </c>
      <c r="R142" s="4027">
        <f t="shared" si="70"/>
        <v>10500</v>
      </c>
      <c r="S142" s="4027">
        <f t="shared" si="70"/>
        <v>139200</v>
      </c>
      <c r="T142" s="4027">
        <f t="shared" si="70"/>
        <v>0</v>
      </c>
      <c r="U142" s="4027">
        <f t="shared" si="70"/>
        <v>0</v>
      </c>
      <c r="V142" s="4027">
        <f t="shared" si="70"/>
        <v>139200</v>
      </c>
    </row>
    <row r="143" spans="1:22" ht="31.2">
      <c r="A143" s="4009" t="s">
        <v>34</v>
      </c>
      <c r="B143" s="4028" t="s">
        <v>2871</v>
      </c>
      <c r="C143" s="4009"/>
      <c r="D143" s="4009"/>
      <c r="E143" s="4009"/>
      <c r="F143" s="4009"/>
      <c r="G143" s="4029">
        <f t="shared" ref="G143:U143" si="71">SUM(G144:G147)</f>
        <v>239062</v>
      </c>
      <c r="H143" s="4029">
        <f t="shared" si="71"/>
        <v>0</v>
      </c>
      <c r="I143" s="4029">
        <f t="shared" si="71"/>
        <v>0</v>
      </c>
      <c r="J143" s="4029">
        <f t="shared" si="71"/>
        <v>239062</v>
      </c>
      <c r="K143" s="4029">
        <f t="shared" si="71"/>
        <v>20512</v>
      </c>
      <c r="L143" s="4029">
        <f t="shared" si="71"/>
        <v>0</v>
      </c>
      <c r="M143" s="4029">
        <f t="shared" si="71"/>
        <v>0</v>
      </c>
      <c r="N143" s="4029">
        <f t="shared" si="71"/>
        <v>20512</v>
      </c>
      <c r="O143" s="4029">
        <f t="shared" si="71"/>
        <v>10500</v>
      </c>
      <c r="P143" s="4029">
        <f t="shared" si="71"/>
        <v>0</v>
      </c>
      <c r="Q143" s="4029">
        <f t="shared" si="71"/>
        <v>0</v>
      </c>
      <c r="R143" s="4029">
        <f t="shared" si="71"/>
        <v>10500</v>
      </c>
      <c r="S143" s="4029">
        <f t="shared" si="71"/>
        <v>139200</v>
      </c>
      <c r="T143" s="4029">
        <f t="shared" si="71"/>
        <v>0</v>
      </c>
      <c r="U143" s="4029">
        <f t="shared" si="71"/>
        <v>0</v>
      </c>
      <c r="V143" s="4029">
        <f>SUM(V144:V147)</f>
        <v>139200</v>
      </c>
    </row>
    <row r="144" spans="1:22" ht="37.5" customHeight="1">
      <c r="A144" s="4047">
        <v>1</v>
      </c>
      <c r="B144" s="4097" t="s">
        <v>3452</v>
      </c>
      <c r="C144" s="4047" t="s">
        <v>3101</v>
      </c>
      <c r="D144" s="4047" t="s">
        <v>3453</v>
      </c>
      <c r="E144" s="4047" t="s">
        <v>2887</v>
      </c>
      <c r="F144" s="4047" t="s">
        <v>3454</v>
      </c>
      <c r="G144" s="4098">
        <f>SUM(H144:J144)</f>
        <v>57178</v>
      </c>
      <c r="H144" s="4098"/>
      <c r="I144" s="4098"/>
      <c r="J144" s="4098">
        <v>57178</v>
      </c>
      <c r="K144" s="4098">
        <f>SUM(L144:N144)</f>
        <v>4399</v>
      </c>
      <c r="L144" s="4058"/>
      <c r="M144" s="4058"/>
      <c r="N144" s="4051">
        <v>4399</v>
      </c>
      <c r="O144" s="4098">
        <f>SUM(P144:R144)</f>
        <v>5000</v>
      </c>
      <c r="P144" s="4058"/>
      <c r="Q144" s="4058"/>
      <c r="R144" s="4098">
        <v>5000</v>
      </c>
      <c r="S144" s="4051">
        <f>SUM(T144:V144)</f>
        <v>40100</v>
      </c>
      <c r="T144" s="4098"/>
      <c r="U144" s="4098"/>
      <c r="V144" s="4098">
        <f>30100+10000</f>
        <v>40100</v>
      </c>
    </row>
    <row r="145" spans="1:22" ht="37.5" customHeight="1">
      <c r="A145" s="4047">
        <v>2</v>
      </c>
      <c r="B145" s="4097" t="s">
        <v>3455</v>
      </c>
      <c r="C145" s="4047" t="s">
        <v>3101</v>
      </c>
      <c r="D145" s="4047" t="s">
        <v>3453</v>
      </c>
      <c r="E145" s="4047" t="s">
        <v>2887</v>
      </c>
      <c r="F145" s="4047" t="s">
        <v>3456</v>
      </c>
      <c r="G145" s="4098">
        <f>SUM(H145:J145)</f>
        <v>83019</v>
      </c>
      <c r="H145" s="4098"/>
      <c r="I145" s="4098"/>
      <c r="J145" s="4098">
        <v>83019</v>
      </c>
      <c r="K145" s="4098">
        <f>SUM(L145:N145)</f>
        <v>6443</v>
      </c>
      <c r="L145" s="4098"/>
      <c r="M145" s="4098"/>
      <c r="N145" s="4051">
        <v>6443</v>
      </c>
      <c r="O145" s="4098">
        <f>SUM(P145:R145)</f>
        <v>3000</v>
      </c>
      <c r="P145" s="4098"/>
      <c r="Q145" s="4098"/>
      <c r="R145" s="4098">
        <v>3000</v>
      </c>
      <c r="S145" s="4051">
        <f>SUM(T145:V145)</f>
        <v>53100</v>
      </c>
      <c r="T145" s="4098"/>
      <c r="U145" s="4098"/>
      <c r="V145" s="4098">
        <f>43100+10000</f>
        <v>53100</v>
      </c>
    </row>
    <row r="146" spans="1:22" ht="33.75" customHeight="1">
      <c r="A146" s="4047">
        <v>3</v>
      </c>
      <c r="B146" s="4097" t="s">
        <v>3457</v>
      </c>
      <c r="C146" s="4047" t="s">
        <v>3101</v>
      </c>
      <c r="D146" s="4047" t="s">
        <v>3458</v>
      </c>
      <c r="E146" s="4047" t="s">
        <v>2887</v>
      </c>
      <c r="F146" s="4047" t="s">
        <v>3459</v>
      </c>
      <c r="G146" s="4098">
        <f>SUM(H146:J146)</f>
        <v>72883</v>
      </c>
      <c r="H146" s="4098"/>
      <c r="I146" s="4098"/>
      <c r="J146" s="4098">
        <v>72883</v>
      </c>
      <c r="K146" s="4098">
        <f>SUM(L146:N146)</f>
        <v>0</v>
      </c>
      <c r="L146" s="4098"/>
      <c r="M146" s="4098"/>
      <c r="N146" s="4051"/>
      <c r="O146" s="4098">
        <f>SUM(P146:R146)</f>
        <v>500</v>
      </c>
      <c r="P146" s="4098"/>
      <c r="Q146" s="4098"/>
      <c r="R146" s="4098">
        <v>500</v>
      </c>
      <c r="S146" s="4051">
        <f>SUM(T146:V146)</f>
        <v>30000</v>
      </c>
      <c r="T146" s="4098"/>
      <c r="U146" s="4098"/>
      <c r="V146" s="4098">
        <v>30000</v>
      </c>
    </row>
    <row r="147" spans="1:22" ht="33.75" customHeight="1">
      <c r="A147" s="4047">
        <v>4</v>
      </c>
      <c r="B147" s="4097" t="s">
        <v>3460</v>
      </c>
      <c r="C147" s="4047" t="s">
        <v>3101</v>
      </c>
      <c r="D147" s="4047" t="s">
        <v>3461</v>
      </c>
      <c r="E147" s="4047" t="s">
        <v>2887</v>
      </c>
      <c r="F147" s="4047" t="s">
        <v>3462</v>
      </c>
      <c r="G147" s="4098">
        <f>SUM(H147:J147)</f>
        <v>25982</v>
      </c>
      <c r="H147" s="4098"/>
      <c r="I147" s="4098"/>
      <c r="J147" s="4098">
        <v>25982</v>
      </c>
      <c r="K147" s="4098">
        <f>SUM(L147:N147)</f>
        <v>9670</v>
      </c>
      <c r="L147" s="4098"/>
      <c r="M147" s="4098"/>
      <c r="N147" s="4051">
        <v>9670</v>
      </c>
      <c r="O147" s="4098">
        <f>SUM(P147:R147)</f>
        <v>2000</v>
      </c>
      <c r="P147" s="4098"/>
      <c r="Q147" s="4098"/>
      <c r="R147" s="4098">
        <v>2000</v>
      </c>
      <c r="S147" s="4051">
        <f>SUM(T147:V147)</f>
        <v>16000</v>
      </c>
      <c r="T147" s="4098"/>
      <c r="U147" s="4098"/>
      <c r="V147" s="4098">
        <v>16000</v>
      </c>
    </row>
    <row r="148" spans="1:22" s="1577" customFormat="1">
      <c r="A148" s="4009" t="s">
        <v>3463</v>
      </c>
      <c r="B148" s="4010" t="s">
        <v>3414</v>
      </c>
      <c r="C148" s="4035"/>
      <c r="D148" s="4035"/>
      <c r="E148" s="4035"/>
      <c r="F148" s="4035"/>
      <c r="G148" s="4027">
        <f t="shared" ref="G148:V149" si="72">G149</f>
        <v>178413</v>
      </c>
      <c r="H148" s="4027">
        <f t="shared" si="72"/>
        <v>0</v>
      </c>
      <c r="I148" s="4027">
        <f t="shared" si="72"/>
        <v>0</v>
      </c>
      <c r="J148" s="4027">
        <f t="shared" si="72"/>
        <v>178413</v>
      </c>
      <c r="K148" s="4027">
        <f t="shared" si="72"/>
        <v>125027.13000000002</v>
      </c>
      <c r="L148" s="4027">
        <f t="shared" si="72"/>
        <v>0</v>
      </c>
      <c r="M148" s="4027">
        <f t="shared" si="72"/>
        <v>0</v>
      </c>
      <c r="N148" s="4027">
        <f t="shared" si="72"/>
        <v>125027.13000000002</v>
      </c>
      <c r="O148" s="4027">
        <f t="shared" si="72"/>
        <v>105232</v>
      </c>
      <c r="P148" s="4027">
        <f t="shared" si="72"/>
        <v>0</v>
      </c>
      <c r="Q148" s="4027">
        <f t="shared" si="72"/>
        <v>0</v>
      </c>
      <c r="R148" s="4027">
        <f t="shared" si="72"/>
        <v>105232</v>
      </c>
      <c r="S148" s="4027">
        <f t="shared" si="72"/>
        <v>18000</v>
      </c>
      <c r="T148" s="4027">
        <f t="shared" si="72"/>
        <v>0</v>
      </c>
      <c r="U148" s="4027">
        <f t="shared" si="72"/>
        <v>0</v>
      </c>
      <c r="V148" s="4027">
        <f>V149</f>
        <v>18000</v>
      </c>
    </row>
    <row r="149" spans="1:22" s="248" customFormat="1">
      <c r="A149" s="4009">
        <v>1</v>
      </c>
      <c r="B149" s="4010" t="s">
        <v>3122</v>
      </c>
      <c r="C149" s="4009"/>
      <c r="D149" s="4009"/>
      <c r="E149" s="4009"/>
      <c r="F149" s="4009"/>
      <c r="G149" s="4027">
        <f t="shared" si="72"/>
        <v>178413</v>
      </c>
      <c r="H149" s="4027">
        <f t="shared" si="72"/>
        <v>0</v>
      </c>
      <c r="I149" s="4027">
        <f t="shared" si="72"/>
        <v>0</v>
      </c>
      <c r="J149" s="4027">
        <f t="shared" si="72"/>
        <v>178413</v>
      </c>
      <c r="K149" s="4027">
        <f t="shared" si="72"/>
        <v>125027.13000000002</v>
      </c>
      <c r="L149" s="4027">
        <f t="shared" si="72"/>
        <v>0</v>
      </c>
      <c r="M149" s="4027">
        <f t="shared" si="72"/>
        <v>0</v>
      </c>
      <c r="N149" s="4027">
        <f t="shared" si="72"/>
        <v>125027.13000000002</v>
      </c>
      <c r="O149" s="4027">
        <f t="shared" si="72"/>
        <v>105232</v>
      </c>
      <c r="P149" s="4027">
        <f t="shared" si="72"/>
        <v>0</v>
      </c>
      <c r="Q149" s="4027">
        <f t="shared" si="72"/>
        <v>0</v>
      </c>
      <c r="R149" s="4027">
        <f t="shared" si="72"/>
        <v>105232</v>
      </c>
      <c r="S149" s="4027">
        <f t="shared" si="72"/>
        <v>18000</v>
      </c>
      <c r="T149" s="4027">
        <f t="shared" si="72"/>
        <v>0</v>
      </c>
      <c r="U149" s="4027">
        <f t="shared" si="72"/>
        <v>0</v>
      </c>
      <c r="V149" s="4027">
        <f t="shared" si="72"/>
        <v>18000</v>
      </c>
    </row>
    <row r="150" spans="1:22" ht="31.2">
      <c r="A150" s="4009" t="s">
        <v>34</v>
      </c>
      <c r="B150" s="4028" t="s">
        <v>2871</v>
      </c>
      <c r="C150" s="4009"/>
      <c r="D150" s="4009"/>
      <c r="E150" s="4009"/>
      <c r="F150" s="4009"/>
      <c r="G150" s="4029">
        <f>SUM(G151:G159)</f>
        <v>178413</v>
      </c>
      <c r="H150" s="4029">
        <f t="shared" ref="H150:V150" si="73">SUM(H151:H159)</f>
        <v>0</v>
      </c>
      <c r="I150" s="4029">
        <f t="shared" si="73"/>
        <v>0</v>
      </c>
      <c r="J150" s="4029">
        <f t="shared" si="73"/>
        <v>178413</v>
      </c>
      <c r="K150" s="4029">
        <f t="shared" si="73"/>
        <v>125027.13000000002</v>
      </c>
      <c r="L150" s="4029">
        <f t="shared" si="73"/>
        <v>0</v>
      </c>
      <c r="M150" s="4029">
        <f t="shared" si="73"/>
        <v>0</v>
      </c>
      <c r="N150" s="4029">
        <f t="shared" si="73"/>
        <v>125027.13000000002</v>
      </c>
      <c r="O150" s="4029">
        <f t="shared" si="73"/>
        <v>105232</v>
      </c>
      <c r="P150" s="4029">
        <f t="shared" si="73"/>
        <v>0</v>
      </c>
      <c r="Q150" s="4029">
        <f t="shared" si="73"/>
        <v>0</v>
      </c>
      <c r="R150" s="4029">
        <f t="shared" si="73"/>
        <v>105232</v>
      </c>
      <c r="S150" s="4029">
        <f t="shared" si="73"/>
        <v>18000</v>
      </c>
      <c r="T150" s="4029">
        <f t="shared" si="73"/>
        <v>0</v>
      </c>
      <c r="U150" s="4029">
        <f t="shared" si="73"/>
        <v>0</v>
      </c>
      <c r="V150" s="4029">
        <f t="shared" si="73"/>
        <v>18000</v>
      </c>
    </row>
    <row r="151" spans="1:22" s="3999" customFormat="1" ht="62.4">
      <c r="A151" s="3987">
        <v>1</v>
      </c>
      <c r="B151" s="4099" t="s">
        <v>3464</v>
      </c>
      <c r="C151" s="4055" t="s">
        <v>3465</v>
      </c>
      <c r="D151" s="3987" t="s">
        <v>3466</v>
      </c>
      <c r="E151" s="3987" t="s">
        <v>3309</v>
      </c>
      <c r="F151" s="4055" t="s">
        <v>3467</v>
      </c>
      <c r="G151" s="4051">
        <v>7327</v>
      </c>
      <c r="H151" s="4051">
        <v>0</v>
      </c>
      <c r="I151" s="4051">
        <v>0</v>
      </c>
      <c r="J151" s="4051">
        <v>7327</v>
      </c>
      <c r="K151" s="4051">
        <v>4164.152</v>
      </c>
      <c r="L151" s="4051">
        <v>0</v>
      </c>
      <c r="M151" s="4051">
        <v>0</v>
      </c>
      <c r="N151" s="4051">
        <v>4164.152</v>
      </c>
      <c r="O151" s="4051">
        <v>3100</v>
      </c>
      <c r="P151" s="4051"/>
      <c r="Q151" s="4051">
        <v>0</v>
      </c>
      <c r="R151" s="4051">
        <v>3100</v>
      </c>
      <c r="S151" s="4051">
        <v>2600</v>
      </c>
      <c r="T151" s="4051">
        <v>0</v>
      </c>
      <c r="U151" s="4051">
        <v>0</v>
      </c>
      <c r="V151" s="4051">
        <v>2600</v>
      </c>
    </row>
    <row r="152" spans="1:22" s="3999" customFormat="1" ht="38.25" customHeight="1">
      <c r="A152" s="3987">
        <v>2</v>
      </c>
      <c r="B152" s="4099" t="s">
        <v>3468</v>
      </c>
      <c r="C152" s="4041" t="s">
        <v>3469</v>
      </c>
      <c r="D152" s="3987" t="s">
        <v>3470</v>
      </c>
      <c r="E152" s="3987" t="s">
        <v>3309</v>
      </c>
      <c r="F152" s="4055" t="s">
        <v>3471</v>
      </c>
      <c r="G152" s="4051">
        <v>6101</v>
      </c>
      <c r="H152" s="4051">
        <v>0</v>
      </c>
      <c r="I152" s="4051">
        <v>0</v>
      </c>
      <c r="J152" s="4051">
        <v>6101</v>
      </c>
      <c r="K152" s="4051">
        <v>4000</v>
      </c>
      <c r="L152" s="4051">
        <v>0</v>
      </c>
      <c r="M152" s="4051">
        <v>0</v>
      </c>
      <c r="N152" s="4051">
        <v>4000</v>
      </c>
      <c r="O152" s="4051">
        <v>4000</v>
      </c>
      <c r="P152" s="4051"/>
      <c r="Q152" s="4051">
        <v>0</v>
      </c>
      <c r="R152" s="4051">
        <v>4000</v>
      </c>
      <c r="S152" s="4051">
        <v>1000</v>
      </c>
      <c r="T152" s="4051">
        <v>0</v>
      </c>
      <c r="U152" s="4051">
        <v>0</v>
      </c>
      <c r="V152" s="4051">
        <v>1000</v>
      </c>
    </row>
    <row r="153" spans="1:22" s="3999" customFormat="1" ht="38.25" customHeight="1">
      <c r="A153" s="3987">
        <v>3</v>
      </c>
      <c r="B153" s="4099" t="s">
        <v>3472</v>
      </c>
      <c r="C153" s="4041" t="s">
        <v>3473</v>
      </c>
      <c r="D153" s="3987" t="s">
        <v>3474</v>
      </c>
      <c r="E153" s="3987" t="s">
        <v>3309</v>
      </c>
      <c r="F153" s="4055" t="s">
        <v>3475</v>
      </c>
      <c r="G153" s="4051">
        <v>7227</v>
      </c>
      <c r="H153" s="4051">
        <v>0</v>
      </c>
      <c r="I153" s="4051">
        <v>0</v>
      </c>
      <c r="J153" s="4051">
        <v>7227</v>
      </c>
      <c r="K153" s="4051">
        <v>5400</v>
      </c>
      <c r="L153" s="4051">
        <v>0</v>
      </c>
      <c r="M153" s="4051">
        <v>0</v>
      </c>
      <c r="N153" s="4051">
        <v>5400</v>
      </c>
      <c r="O153" s="4051">
        <v>5400</v>
      </c>
      <c r="P153" s="4051"/>
      <c r="Q153" s="4051">
        <v>0</v>
      </c>
      <c r="R153" s="4051">
        <v>5400</v>
      </c>
      <c r="S153" s="4051">
        <v>600</v>
      </c>
      <c r="T153" s="4051">
        <v>0</v>
      </c>
      <c r="U153" s="4051">
        <v>0</v>
      </c>
      <c r="V153" s="4051">
        <v>600</v>
      </c>
    </row>
    <row r="154" spans="1:22" s="3999" customFormat="1" ht="38.25" customHeight="1">
      <c r="A154" s="3987">
        <v>4</v>
      </c>
      <c r="B154" s="4099" t="s">
        <v>3476</v>
      </c>
      <c r="C154" s="4041" t="s">
        <v>3477</v>
      </c>
      <c r="D154" s="3987" t="s">
        <v>3478</v>
      </c>
      <c r="E154" s="3987" t="s">
        <v>2915</v>
      </c>
      <c r="F154" s="4055" t="s">
        <v>3479</v>
      </c>
      <c r="G154" s="4051">
        <v>13067</v>
      </c>
      <c r="H154" s="4051">
        <v>0</v>
      </c>
      <c r="I154" s="4051">
        <v>0</v>
      </c>
      <c r="J154" s="4051">
        <v>13067</v>
      </c>
      <c r="K154" s="4051">
        <v>11694.44</v>
      </c>
      <c r="L154" s="4051">
        <v>0</v>
      </c>
      <c r="M154" s="4051">
        <v>0</v>
      </c>
      <c r="N154" s="4051">
        <v>11694.44</v>
      </c>
      <c r="O154" s="4051">
        <v>11800</v>
      </c>
      <c r="P154" s="4051"/>
      <c r="Q154" s="4051">
        <v>0</v>
      </c>
      <c r="R154" s="4051">
        <v>11800</v>
      </c>
      <c r="S154" s="4051">
        <v>600</v>
      </c>
      <c r="T154" s="4051">
        <v>0</v>
      </c>
      <c r="U154" s="4051">
        <v>0</v>
      </c>
      <c r="V154" s="4051">
        <v>600</v>
      </c>
    </row>
    <row r="155" spans="1:22" s="3999" customFormat="1" ht="38.25" customHeight="1">
      <c r="A155" s="3987">
        <v>5</v>
      </c>
      <c r="B155" s="4099" t="s">
        <v>3480</v>
      </c>
      <c r="C155" s="4041" t="s">
        <v>3477</v>
      </c>
      <c r="D155" s="3987" t="s">
        <v>3481</v>
      </c>
      <c r="E155" s="3987" t="s">
        <v>3309</v>
      </c>
      <c r="F155" s="4055" t="s">
        <v>3482</v>
      </c>
      <c r="G155" s="4051">
        <v>19125</v>
      </c>
      <c r="H155" s="4051">
        <v>0</v>
      </c>
      <c r="I155" s="4051">
        <v>0</v>
      </c>
      <c r="J155" s="4051">
        <v>19125</v>
      </c>
      <c r="K155" s="4051">
        <v>14058.475</v>
      </c>
      <c r="L155" s="4051">
        <v>0</v>
      </c>
      <c r="M155" s="4051">
        <v>0</v>
      </c>
      <c r="N155" s="4051">
        <v>14058.475</v>
      </c>
      <c r="O155" s="4051">
        <v>13500</v>
      </c>
      <c r="P155" s="4051"/>
      <c r="Q155" s="4051">
        <v>0</v>
      </c>
      <c r="R155" s="4051">
        <v>13500</v>
      </c>
      <c r="S155" s="4051">
        <v>500</v>
      </c>
      <c r="T155" s="4051">
        <v>0</v>
      </c>
      <c r="U155" s="4051">
        <v>0</v>
      </c>
      <c r="V155" s="4051">
        <v>500</v>
      </c>
    </row>
    <row r="156" spans="1:22" s="3999" customFormat="1" ht="38.25" customHeight="1">
      <c r="A156" s="3987">
        <v>6</v>
      </c>
      <c r="B156" s="4099" t="s">
        <v>3483</v>
      </c>
      <c r="C156" s="4041" t="s">
        <v>3473</v>
      </c>
      <c r="D156" s="3987" t="s">
        <v>3484</v>
      </c>
      <c r="E156" s="3987" t="s">
        <v>3309</v>
      </c>
      <c r="F156" s="4055" t="s">
        <v>3485</v>
      </c>
      <c r="G156" s="4051">
        <v>22665</v>
      </c>
      <c r="H156" s="4051">
        <v>0</v>
      </c>
      <c r="I156" s="4051">
        <v>0</v>
      </c>
      <c r="J156" s="4051">
        <v>22665</v>
      </c>
      <c r="K156" s="4051">
        <v>13429.977000000001</v>
      </c>
      <c r="L156" s="4051">
        <v>0</v>
      </c>
      <c r="M156" s="4051">
        <v>0</v>
      </c>
      <c r="N156" s="4051">
        <v>13429.977000000001</v>
      </c>
      <c r="O156" s="4051">
        <v>9620</v>
      </c>
      <c r="P156" s="4051"/>
      <c r="Q156" s="4051">
        <v>0</v>
      </c>
      <c r="R156" s="4051">
        <v>9620</v>
      </c>
      <c r="S156" s="4051">
        <v>5000</v>
      </c>
      <c r="T156" s="4051">
        <v>0</v>
      </c>
      <c r="U156" s="4051">
        <v>0</v>
      </c>
      <c r="V156" s="4051">
        <v>5000</v>
      </c>
    </row>
    <row r="157" spans="1:22" s="3999" customFormat="1" ht="38.25" customHeight="1">
      <c r="A157" s="3987">
        <v>7</v>
      </c>
      <c r="B157" s="4099" t="s">
        <v>3486</v>
      </c>
      <c r="C157" s="4041" t="s">
        <v>3487</v>
      </c>
      <c r="D157" s="3987" t="s">
        <v>3488</v>
      </c>
      <c r="E157" s="3987" t="s">
        <v>3309</v>
      </c>
      <c r="F157" s="4055" t="s">
        <v>3489</v>
      </c>
      <c r="G157" s="4051">
        <v>37179</v>
      </c>
      <c r="H157" s="4051">
        <v>0</v>
      </c>
      <c r="I157" s="4051">
        <v>0</v>
      </c>
      <c r="J157" s="4051">
        <v>37179</v>
      </c>
      <c r="K157" s="4051">
        <v>23058.014999999999</v>
      </c>
      <c r="L157" s="4051">
        <v>0</v>
      </c>
      <c r="M157" s="4051">
        <v>0</v>
      </c>
      <c r="N157" s="4051">
        <v>23058.014999999999</v>
      </c>
      <c r="O157" s="4051">
        <v>21100</v>
      </c>
      <c r="P157" s="4051"/>
      <c r="Q157" s="4051">
        <v>0</v>
      </c>
      <c r="R157" s="4051">
        <v>21100</v>
      </c>
      <c r="S157" s="4051">
        <v>3000</v>
      </c>
      <c r="T157" s="4051">
        <v>0</v>
      </c>
      <c r="U157" s="4051">
        <v>0</v>
      </c>
      <c r="V157" s="4051">
        <v>3000</v>
      </c>
    </row>
    <row r="158" spans="1:22" s="3999" customFormat="1" ht="38.25" customHeight="1">
      <c r="A158" s="3987">
        <v>8</v>
      </c>
      <c r="B158" s="4099" t="s">
        <v>3490</v>
      </c>
      <c r="C158" s="4041" t="s">
        <v>3477</v>
      </c>
      <c r="D158" s="3987" t="s">
        <v>3491</v>
      </c>
      <c r="E158" s="3987" t="s">
        <v>3309</v>
      </c>
      <c r="F158" s="4055" t="s">
        <v>3492</v>
      </c>
      <c r="G158" s="4051">
        <v>29776</v>
      </c>
      <c r="H158" s="4051">
        <v>0</v>
      </c>
      <c r="I158" s="4051">
        <v>0</v>
      </c>
      <c r="J158" s="4051">
        <v>29776</v>
      </c>
      <c r="K158" s="4051">
        <v>21118.983</v>
      </c>
      <c r="L158" s="4051">
        <v>0</v>
      </c>
      <c r="M158" s="4051">
        <v>0</v>
      </c>
      <c r="N158" s="4051">
        <v>21118.983</v>
      </c>
      <c r="O158" s="4051">
        <v>18000</v>
      </c>
      <c r="P158" s="4051"/>
      <c r="Q158" s="4051">
        <v>0</v>
      </c>
      <c r="R158" s="4051">
        <v>18000</v>
      </c>
      <c r="S158" s="4051">
        <v>1700</v>
      </c>
      <c r="T158" s="4051">
        <v>0</v>
      </c>
      <c r="U158" s="4051">
        <v>0</v>
      </c>
      <c r="V158" s="4051">
        <v>1700</v>
      </c>
    </row>
    <row r="159" spans="1:22" s="3999" customFormat="1" ht="31.5" customHeight="1">
      <c r="A159" s="3987">
        <v>9</v>
      </c>
      <c r="B159" s="4099" t="s">
        <v>3493</v>
      </c>
      <c r="C159" s="4041" t="s">
        <v>3494</v>
      </c>
      <c r="D159" s="3987" t="s">
        <v>3495</v>
      </c>
      <c r="E159" s="3987" t="s">
        <v>3309</v>
      </c>
      <c r="F159" s="4055" t="s">
        <v>3496</v>
      </c>
      <c r="G159" s="4051">
        <v>35946</v>
      </c>
      <c r="H159" s="4051">
        <v>0</v>
      </c>
      <c r="I159" s="4051">
        <v>0</v>
      </c>
      <c r="J159" s="4051">
        <v>35946</v>
      </c>
      <c r="K159" s="4051">
        <v>28103.088</v>
      </c>
      <c r="L159" s="4051">
        <v>0</v>
      </c>
      <c r="M159" s="4051">
        <v>0</v>
      </c>
      <c r="N159" s="4051">
        <v>28103.088</v>
      </c>
      <c r="O159" s="4051">
        <v>18712</v>
      </c>
      <c r="P159" s="4051"/>
      <c r="Q159" s="4051">
        <v>0</v>
      </c>
      <c r="R159" s="4051">
        <v>18712</v>
      </c>
      <c r="S159" s="4051">
        <v>3000</v>
      </c>
      <c r="T159" s="4051">
        <v>0</v>
      </c>
      <c r="U159" s="4051">
        <v>0</v>
      </c>
      <c r="V159" s="4051">
        <v>3000</v>
      </c>
    </row>
    <row r="160" spans="1:22" s="1577" customFormat="1">
      <c r="A160" s="4009" t="s">
        <v>3497</v>
      </c>
      <c r="B160" s="4010" t="s">
        <v>3415</v>
      </c>
      <c r="C160" s="4035"/>
      <c r="D160" s="4035"/>
      <c r="E160" s="4035"/>
      <c r="F160" s="4035"/>
      <c r="G160" s="4027">
        <f t="shared" ref="G160:V161" si="74">G161</f>
        <v>228570</v>
      </c>
      <c r="H160" s="4027">
        <f t="shared" si="74"/>
        <v>0</v>
      </c>
      <c r="I160" s="4027">
        <f t="shared" si="74"/>
        <v>0</v>
      </c>
      <c r="J160" s="4027">
        <f t="shared" si="74"/>
        <v>228570</v>
      </c>
      <c r="K160" s="4027">
        <f t="shared" si="74"/>
        <v>108116</v>
      </c>
      <c r="L160" s="4027">
        <f t="shared" si="74"/>
        <v>0</v>
      </c>
      <c r="M160" s="4027">
        <f t="shared" si="74"/>
        <v>0</v>
      </c>
      <c r="N160" s="4027">
        <f t="shared" si="74"/>
        <v>108116</v>
      </c>
      <c r="O160" s="4027">
        <f t="shared" si="74"/>
        <v>108116</v>
      </c>
      <c r="P160" s="4027">
        <f t="shared" si="74"/>
        <v>0</v>
      </c>
      <c r="Q160" s="4027">
        <f t="shared" si="74"/>
        <v>0</v>
      </c>
      <c r="R160" s="4027">
        <f t="shared" si="74"/>
        <v>108116</v>
      </c>
      <c r="S160" s="4027">
        <f t="shared" si="74"/>
        <v>74288</v>
      </c>
      <c r="T160" s="4027">
        <f t="shared" si="74"/>
        <v>0</v>
      </c>
      <c r="U160" s="4027">
        <f t="shared" si="74"/>
        <v>0</v>
      </c>
      <c r="V160" s="4027">
        <f>V161</f>
        <v>74288</v>
      </c>
    </row>
    <row r="161" spans="1:22" s="248" customFormat="1">
      <c r="A161" s="4009">
        <v>1</v>
      </c>
      <c r="B161" s="4010" t="s">
        <v>3122</v>
      </c>
      <c r="C161" s="4009"/>
      <c r="D161" s="4009"/>
      <c r="E161" s="4009"/>
      <c r="F161" s="4009"/>
      <c r="G161" s="4027">
        <f t="shared" si="74"/>
        <v>228570</v>
      </c>
      <c r="H161" s="4027">
        <f t="shared" si="74"/>
        <v>0</v>
      </c>
      <c r="I161" s="4027">
        <f t="shared" si="74"/>
        <v>0</v>
      </c>
      <c r="J161" s="4027">
        <f t="shared" si="74"/>
        <v>228570</v>
      </c>
      <c r="K161" s="4027">
        <f t="shared" si="74"/>
        <v>108116</v>
      </c>
      <c r="L161" s="4027">
        <f t="shared" si="74"/>
        <v>0</v>
      </c>
      <c r="M161" s="4027">
        <f t="shared" si="74"/>
        <v>0</v>
      </c>
      <c r="N161" s="4027">
        <f t="shared" si="74"/>
        <v>108116</v>
      </c>
      <c r="O161" s="4027">
        <f t="shared" si="74"/>
        <v>108116</v>
      </c>
      <c r="P161" s="4027">
        <f t="shared" si="74"/>
        <v>0</v>
      </c>
      <c r="Q161" s="4027">
        <f t="shared" si="74"/>
        <v>0</v>
      </c>
      <c r="R161" s="4027">
        <f t="shared" si="74"/>
        <v>108116</v>
      </c>
      <c r="S161" s="4027">
        <f t="shared" si="74"/>
        <v>74288</v>
      </c>
      <c r="T161" s="4027">
        <f t="shared" si="74"/>
        <v>0</v>
      </c>
      <c r="U161" s="4027">
        <f t="shared" si="74"/>
        <v>0</v>
      </c>
      <c r="V161" s="4027">
        <f t="shared" si="74"/>
        <v>74288</v>
      </c>
    </row>
    <row r="162" spans="1:22" ht="31.2">
      <c r="A162" s="4009" t="s">
        <v>34</v>
      </c>
      <c r="B162" s="4028" t="s">
        <v>2871</v>
      </c>
      <c r="C162" s="4009"/>
      <c r="D162" s="4009"/>
      <c r="E162" s="4009"/>
      <c r="F162" s="4009"/>
      <c r="G162" s="4029">
        <f t="shared" ref="G162:U162" si="75">SUM(G163:G171)</f>
        <v>228570</v>
      </c>
      <c r="H162" s="4029">
        <f t="shared" si="75"/>
        <v>0</v>
      </c>
      <c r="I162" s="4029">
        <f t="shared" si="75"/>
        <v>0</v>
      </c>
      <c r="J162" s="4029">
        <f t="shared" si="75"/>
        <v>228570</v>
      </c>
      <c r="K162" s="4029">
        <f t="shared" si="75"/>
        <v>108116</v>
      </c>
      <c r="L162" s="4029">
        <f t="shared" si="75"/>
        <v>0</v>
      </c>
      <c r="M162" s="4029">
        <f t="shared" si="75"/>
        <v>0</v>
      </c>
      <c r="N162" s="4029">
        <f t="shared" si="75"/>
        <v>108116</v>
      </c>
      <c r="O162" s="4029">
        <f t="shared" si="75"/>
        <v>108116</v>
      </c>
      <c r="P162" s="4029">
        <f t="shared" si="75"/>
        <v>0</v>
      </c>
      <c r="Q162" s="4029">
        <f t="shared" si="75"/>
        <v>0</v>
      </c>
      <c r="R162" s="4029">
        <f t="shared" si="75"/>
        <v>108116</v>
      </c>
      <c r="S162" s="4029">
        <f t="shared" si="75"/>
        <v>74288</v>
      </c>
      <c r="T162" s="4029">
        <f t="shared" si="75"/>
        <v>0</v>
      </c>
      <c r="U162" s="4029">
        <f t="shared" si="75"/>
        <v>0</v>
      </c>
      <c r="V162" s="4029">
        <f>SUM(V163:V171)</f>
        <v>74288</v>
      </c>
    </row>
    <row r="163" spans="1:22" s="1557" customFormat="1" ht="31.5" customHeight="1">
      <c r="A163" s="3987">
        <v>1</v>
      </c>
      <c r="B163" s="4034" t="s">
        <v>3498</v>
      </c>
      <c r="C163" s="3987" t="s">
        <v>3115</v>
      </c>
      <c r="D163" s="3987"/>
      <c r="E163" s="4100" t="s">
        <v>2887</v>
      </c>
      <c r="F163" s="3987" t="s">
        <v>3499</v>
      </c>
      <c r="G163" s="3990">
        <v>34130</v>
      </c>
      <c r="H163" s="3990"/>
      <c r="I163" s="3990"/>
      <c r="J163" s="3990">
        <v>34130</v>
      </c>
      <c r="K163" s="3990">
        <v>12600</v>
      </c>
      <c r="L163" s="3990"/>
      <c r="M163" s="3990"/>
      <c r="N163" s="3990">
        <v>12600</v>
      </c>
      <c r="O163" s="3990">
        <v>12600</v>
      </c>
      <c r="P163" s="3990"/>
      <c r="Q163" s="3990"/>
      <c r="R163" s="3990">
        <v>12600</v>
      </c>
      <c r="S163" s="3992">
        <v>16792</v>
      </c>
      <c r="T163" s="3990"/>
      <c r="U163" s="3990"/>
      <c r="V163" s="3992">
        <v>16792</v>
      </c>
    </row>
    <row r="164" spans="1:22" s="1557" customFormat="1" ht="31.5" customHeight="1">
      <c r="A164" s="3987">
        <v>2</v>
      </c>
      <c r="B164" s="3988" t="s">
        <v>3500</v>
      </c>
      <c r="C164" s="3987" t="s">
        <v>3115</v>
      </c>
      <c r="D164" s="4101"/>
      <c r="E164" s="4100" t="s">
        <v>2887</v>
      </c>
      <c r="F164" s="3987" t="s">
        <v>3501</v>
      </c>
      <c r="G164" s="3990">
        <v>21282</v>
      </c>
      <c r="H164" s="3990"/>
      <c r="I164" s="3990"/>
      <c r="J164" s="3990">
        <v>21282</v>
      </c>
      <c r="K164" s="3990">
        <v>14111</v>
      </c>
      <c r="L164" s="3990"/>
      <c r="M164" s="3990"/>
      <c r="N164" s="3990">
        <v>14111</v>
      </c>
      <c r="O164" s="3990">
        <v>14111</v>
      </c>
      <c r="P164" s="3990"/>
      <c r="Q164" s="3990"/>
      <c r="R164" s="3990">
        <v>14111</v>
      </c>
      <c r="S164" s="3990">
        <v>2927</v>
      </c>
      <c r="T164" s="3990"/>
      <c r="U164" s="3990"/>
      <c r="V164" s="3990">
        <v>2927</v>
      </c>
    </row>
    <row r="165" spans="1:22" s="1557" customFormat="1" ht="31.5" customHeight="1">
      <c r="A165" s="3987">
        <v>3</v>
      </c>
      <c r="B165" s="4034" t="s">
        <v>3502</v>
      </c>
      <c r="C165" s="3987" t="s">
        <v>3115</v>
      </c>
      <c r="D165" s="4101"/>
      <c r="E165" s="4100" t="s">
        <v>2887</v>
      </c>
      <c r="F165" s="3987" t="s">
        <v>3503</v>
      </c>
      <c r="G165" s="3990">
        <v>29295</v>
      </c>
      <c r="H165" s="3990"/>
      <c r="I165" s="3990"/>
      <c r="J165" s="3990">
        <v>29295</v>
      </c>
      <c r="K165" s="3990">
        <v>7700</v>
      </c>
      <c r="L165" s="3990"/>
      <c r="M165" s="3990"/>
      <c r="N165" s="3990">
        <v>7700</v>
      </c>
      <c r="O165" s="3990">
        <v>7700</v>
      </c>
      <c r="P165" s="3990"/>
      <c r="Q165" s="3990"/>
      <c r="R165" s="3990">
        <v>7700</v>
      </c>
      <c r="S165" s="3990">
        <v>16107</v>
      </c>
      <c r="T165" s="3990"/>
      <c r="U165" s="3990"/>
      <c r="V165" s="3990">
        <v>16107</v>
      </c>
    </row>
    <row r="166" spans="1:22" s="1557" customFormat="1" ht="31.5" customHeight="1">
      <c r="A166" s="3987">
        <v>4</v>
      </c>
      <c r="B166" s="4034" t="s">
        <v>3504</v>
      </c>
      <c r="C166" s="3987" t="s">
        <v>3115</v>
      </c>
      <c r="D166" s="4101"/>
      <c r="E166" s="3987" t="s">
        <v>3505</v>
      </c>
      <c r="F166" s="3987" t="s">
        <v>3506</v>
      </c>
      <c r="G166" s="3992">
        <v>29388</v>
      </c>
      <c r="H166" s="3990"/>
      <c r="I166" s="3990"/>
      <c r="J166" s="3992">
        <v>29388</v>
      </c>
      <c r="K166" s="3990">
        <v>17300</v>
      </c>
      <c r="L166" s="3990"/>
      <c r="M166" s="3990"/>
      <c r="N166" s="3990">
        <v>17300</v>
      </c>
      <c r="O166" s="3990">
        <v>17300</v>
      </c>
      <c r="P166" s="3990"/>
      <c r="Q166" s="3990"/>
      <c r="R166" s="3990">
        <v>17300</v>
      </c>
      <c r="S166" s="3990">
        <v>4297</v>
      </c>
      <c r="T166" s="3990"/>
      <c r="U166" s="3990"/>
      <c r="V166" s="3990">
        <v>4297</v>
      </c>
    </row>
    <row r="167" spans="1:22" s="1557" customFormat="1" ht="31.5" customHeight="1">
      <c r="A167" s="3987">
        <v>5</v>
      </c>
      <c r="B167" s="4034" t="s">
        <v>3507</v>
      </c>
      <c r="C167" s="3987" t="s">
        <v>3115</v>
      </c>
      <c r="D167" s="4101"/>
      <c r="E167" s="3987" t="s">
        <v>3505</v>
      </c>
      <c r="F167" s="3987" t="s">
        <v>3508</v>
      </c>
      <c r="G167" s="3992">
        <v>25737</v>
      </c>
      <c r="H167" s="3990"/>
      <c r="I167" s="3990"/>
      <c r="J167" s="3992">
        <v>25737</v>
      </c>
      <c r="K167" s="3990">
        <v>18665</v>
      </c>
      <c r="L167" s="3990"/>
      <c r="M167" s="3990"/>
      <c r="N167" s="3990">
        <v>18665</v>
      </c>
      <c r="O167" s="3990">
        <v>18665</v>
      </c>
      <c r="P167" s="3990"/>
      <c r="Q167" s="3990"/>
      <c r="R167" s="3990">
        <v>18665</v>
      </c>
      <c r="S167" s="3990">
        <v>3186</v>
      </c>
      <c r="T167" s="3990"/>
      <c r="U167" s="3990"/>
      <c r="V167" s="3990">
        <v>3186</v>
      </c>
    </row>
    <row r="168" spans="1:22" s="1557" customFormat="1" ht="31.5" customHeight="1">
      <c r="A168" s="3987">
        <v>6</v>
      </c>
      <c r="B168" s="4034" t="s">
        <v>3509</v>
      </c>
      <c r="C168" s="3987" t="s">
        <v>3115</v>
      </c>
      <c r="D168" s="4101"/>
      <c r="E168" s="3987" t="s">
        <v>2887</v>
      </c>
      <c r="F168" s="3987" t="s">
        <v>3510</v>
      </c>
      <c r="G168" s="3992">
        <v>19681</v>
      </c>
      <c r="H168" s="3990"/>
      <c r="I168" s="3990"/>
      <c r="J168" s="3992">
        <v>19681</v>
      </c>
      <c r="K168" s="3990">
        <v>14140</v>
      </c>
      <c r="L168" s="3990"/>
      <c r="M168" s="3990"/>
      <c r="N168" s="3990">
        <v>14140</v>
      </c>
      <c r="O168" s="3990">
        <v>14140</v>
      </c>
      <c r="P168" s="3990"/>
      <c r="Q168" s="3990"/>
      <c r="R168" s="3990">
        <v>14140</v>
      </c>
      <c r="S168" s="3990">
        <v>717</v>
      </c>
      <c r="T168" s="3990"/>
      <c r="U168" s="3990"/>
      <c r="V168" s="3990">
        <v>717</v>
      </c>
    </row>
    <row r="169" spans="1:22" s="1557" customFormat="1" ht="32.25" customHeight="1">
      <c r="A169" s="3987">
        <v>7</v>
      </c>
      <c r="B169" s="4034" t="s">
        <v>3511</v>
      </c>
      <c r="C169" s="3987" t="s">
        <v>3115</v>
      </c>
      <c r="D169" s="4101"/>
      <c r="E169" s="4100" t="s">
        <v>2887</v>
      </c>
      <c r="F169" s="3987" t="s">
        <v>3512</v>
      </c>
      <c r="G169" s="3990">
        <v>26676</v>
      </c>
      <c r="H169" s="3990"/>
      <c r="I169" s="3990"/>
      <c r="J169" s="3990">
        <v>26676</v>
      </c>
      <c r="K169" s="3990">
        <v>6100</v>
      </c>
      <c r="L169" s="3990"/>
      <c r="M169" s="3990"/>
      <c r="N169" s="3990">
        <v>6100</v>
      </c>
      <c r="O169" s="3990">
        <v>6100</v>
      </c>
      <c r="P169" s="3990"/>
      <c r="Q169" s="3990"/>
      <c r="R169" s="3990">
        <v>6100</v>
      </c>
      <c r="S169" s="3990">
        <v>12875</v>
      </c>
      <c r="T169" s="3990"/>
      <c r="U169" s="3990"/>
      <c r="V169" s="3990">
        <v>12875</v>
      </c>
    </row>
    <row r="170" spans="1:22" s="1557" customFormat="1" ht="32.25" customHeight="1">
      <c r="A170" s="3987">
        <v>8</v>
      </c>
      <c r="B170" s="4034" t="s">
        <v>3513</v>
      </c>
      <c r="C170" s="3987" t="s">
        <v>3115</v>
      </c>
      <c r="D170" s="4101"/>
      <c r="E170" s="4100" t="s">
        <v>2887</v>
      </c>
      <c r="F170" s="3987" t="s">
        <v>3514</v>
      </c>
      <c r="G170" s="3990">
        <v>20841</v>
      </c>
      <c r="H170" s="3990"/>
      <c r="I170" s="3990"/>
      <c r="J170" s="3990">
        <v>20841</v>
      </c>
      <c r="K170" s="3990">
        <v>6700</v>
      </c>
      <c r="L170" s="3990"/>
      <c r="M170" s="3990"/>
      <c r="N170" s="3990">
        <v>6700</v>
      </c>
      <c r="O170" s="3990">
        <v>6700</v>
      </c>
      <c r="P170" s="3990"/>
      <c r="Q170" s="3990"/>
      <c r="R170" s="3990">
        <v>6700</v>
      </c>
      <c r="S170" s="3990">
        <v>9682</v>
      </c>
      <c r="T170" s="3990"/>
      <c r="U170" s="3990"/>
      <c r="V170" s="3990">
        <v>9682</v>
      </c>
    </row>
    <row r="171" spans="1:22" s="1557" customFormat="1" ht="32.25" customHeight="1">
      <c r="A171" s="3987">
        <v>9</v>
      </c>
      <c r="B171" s="4034" t="s">
        <v>3515</v>
      </c>
      <c r="C171" s="3987" t="s">
        <v>3115</v>
      </c>
      <c r="D171" s="4101"/>
      <c r="E171" s="4100" t="s">
        <v>2887</v>
      </c>
      <c r="F171" s="3987" t="s">
        <v>3516</v>
      </c>
      <c r="G171" s="3990">
        <v>21540</v>
      </c>
      <c r="H171" s="3990"/>
      <c r="I171" s="3990"/>
      <c r="J171" s="3990">
        <v>21540</v>
      </c>
      <c r="K171" s="3990">
        <v>10800</v>
      </c>
      <c r="L171" s="3990"/>
      <c r="M171" s="3990"/>
      <c r="N171" s="3990">
        <v>10800</v>
      </c>
      <c r="O171" s="3990">
        <v>10800</v>
      </c>
      <c r="P171" s="3990"/>
      <c r="Q171" s="3990"/>
      <c r="R171" s="3990">
        <v>10800</v>
      </c>
      <c r="S171" s="3990">
        <v>7705</v>
      </c>
      <c r="T171" s="3990"/>
      <c r="U171" s="3990"/>
      <c r="V171" s="3990">
        <v>7705</v>
      </c>
    </row>
    <row r="172" spans="1:22" s="248" customFormat="1">
      <c r="A172" s="4009" t="s">
        <v>217</v>
      </c>
      <c r="B172" s="4010" t="s">
        <v>3094</v>
      </c>
      <c r="C172" s="4009"/>
      <c r="D172" s="4009"/>
      <c r="E172" s="4009"/>
      <c r="F172" s="4009"/>
      <c r="G172" s="4027">
        <f>G173</f>
        <v>43036</v>
      </c>
      <c r="H172" s="4027">
        <f t="shared" ref="H172:V175" si="76">H173</f>
        <v>0</v>
      </c>
      <c r="I172" s="4027">
        <f t="shared" si="76"/>
        <v>0</v>
      </c>
      <c r="J172" s="4027">
        <f t="shared" si="76"/>
        <v>43036</v>
      </c>
      <c r="K172" s="4027">
        <f t="shared" si="76"/>
        <v>5000</v>
      </c>
      <c r="L172" s="4027">
        <f t="shared" si="76"/>
        <v>0</v>
      </c>
      <c r="M172" s="4027">
        <f t="shared" si="76"/>
        <v>0</v>
      </c>
      <c r="N172" s="4027">
        <f t="shared" si="76"/>
        <v>5000</v>
      </c>
      <c r="O172" s="4027">
        <f t="shared" si="76"/>
        <v>5000</v>
      </c>
      <c r="P172" s="4027">
        <f t="shared" si="76"/>
        <v>0</v>
      </c>
      <c r="Q172" s="4027">
        <f t="shared" si="76"/>
        <v>0</v>
      </c>
      <c r="R172" s="4027">
        <f t="shared" si="76"/>
        <v>5000</v>
      </c>
      <c r="S172" s="4027">
        <f t="shared" si="76"/>
        <v>24000</v>
      </c>
      <c r="T172" s="4027">
        <f t="shared" si="76"/>
        <v>0</v>
      </c>
      <c r="U172" s="4027">
        <f t="shared" si="76"/>
        <v>0</v>
      </c>
      <c r="V172" s="4027">
        <f t="shared" si="76"/>
        <v>24000</v>
      </c>
    </row>
    <row r="173" spans="1:22" s="248" customFormat="1">
      <c r="A173" s="4009" t="s">
        <v>9</v>
      </c>
      <c r="B173" s="4010" t="s">
        <v>1455</v>
      </c>
      <c r="C173" s="4009"/>
      <c r="D173" s="4009"/>
      <c r="E173" s="4009"/>
      <c r="F173" s="4009"/>
      <c r="G173" s="4027">
        <f>G174</f>
        <v>43036</v>
      </c>
      <c r="H173" s="4027">
        <f t="shared" si="76"/>
        <v>0</v>
      </c>
      <c r="I173" s="4027">
        <f t="shared" si="76"/>
        <v>0</v>
      </c>
      <c r="J173" s="4027">
        <f t="shared" si="76"/>
        <v>43036</v>
      </c>
      <c r="K173" s="4027">
        <f t="shared" si="76"/>
        <v>5000</v>
      </c>
      <c r="L173" s="4027">
        <f t="shared" si="76"/>
        <v>0</v>
      </c>
      <c r="M173" s="4027">
        <f t="shared" si="76"/>
        <v>0</v>
      </c>
      <c r="N173" s="4027">
        <f t="shared" si="76"/>
        <v>5000</v>
      </c>
      <c r="O173" s="4027">
        <f t="shared" si="76"/>
        <v>5000</v>
      </c>
      <c r="P173" s="4027">
        <f t="shared" si="76"/>
        <v>0</v>
      </c>
      <c r="Q173" s="4027">
        <f t="shared" si="76"/>
        <v>0</v>
      </c>
      <c r="R173" s="4027">
        <f t="shared" si="76"/>
        <v>5000</v>
      </c>
      <c r="S173" s="4027">
        <f t="shared" si="76"/>
        <v>24000</v>
      </c>
      <c r="T173" s="4027">
        <f t="shared" si="76"/>
        <v>0</v>
      </c>
      <c r="U173" s="4027">
        <f t="shared" si="76"/>
        <v>0</v>
      </c>
      <c r="V173" s="4027">
        <f t="shared" si="76"/>
        <v>24000</v>
      </c>
    </row>
    <row r="174" spans="1:22" s="248" customFormat="1">
      <c r="A174" s="4009">
        <v>1</v>
      </c>
      <c r="B174" s="4010" t="s">
        <v>3122</v>
      </c>
      <c r="C174" s="4009"/>
      <c r="D174" s="4009"/>
      <c r="E174" s="4009"/>
      <c r="F174" s="4009"/>
      <c r="G174" s="4027">
        <f>G175</f>
        <v>43036</v>
      </c>
      <c r="H174" s="4027">
        <f t="shared" si="76"/>
        <v>0</v>
      </c>
      <c r="I174" s="4027">
        <f t="shared" si="76"/>
        <v>0</v>
      </c>
      <c r="J174" s="4027">
        <f t="shared" si="76"/>
        <v>43036</v>
      </c>
      <c r="K174" s="4027">
        <f t="shared" si="76"/>
        <v>5000</v>
      </c>
      <c r="L174" s="4027">
        <f t="shared" si="76"/>
        <v>0</v>
      </c>
      <c r="M174" s="4027">
        <f t="shared" si="76"/>
        <v>0</v>
      </c>
      <c r="N174" s="4027">
        <f t="shared" si="76"/>
        <v>5000</v>
      </c>
      <c r="O174" s="4027">
        <f t="shared" si="76"/>
        <v>5000</v>
      </c>
      <c r="P174" s="4027">
        <f t="shared" si="76"/>
        <v>0</v>
      </c>
      <c r="Q174" s="4027">
        <f t="shared" si="76"/>
        <v>0</v>
      </c>
      <c r="R174" s="4027">
        <f t="shared" si="76"/>
        <v>5000</v>
      </c>
      <c r="S174" s="4027">
        <f t="shared" si="76"/>
        <v>24000</v>
      </c>
      <c r="T174" s="4027">
        <f t="shared" si="76"/>
        <v>0</v>
      </c>
      <c r="U174" s="4027">
        <f t="shared" si="76"/>
        <v>0</v>
      </c>
      <c r="V174" s="4027">
        <f t="shared" si="76"/>
        <v>24000</v>
      </c>
    </row>
    <row r="175" spans="1:22" ht="31.2">
      <c r="A175" s="4009" t="s">
        <v>34</v>
      </c>
      <c r="B175" s="4028" t="s">
        <v>2871</v>
      </c>
      <c r="C175" s="4009"/>
      <c r="D175" s="4009"/>
      <c r="E175" s="4009"/>
      <c r="F175" s="4009"/>
      <c r="G175" s="4029">
        <f>G176</f>
        <v>43036</v>
      </c>
      <c r="H175" s="4029">
        <f t="shared" si="76"/>
        <v>0</v>
      </c>
      <c r="I175" s="4029">
        <f t="shared" si="76"/>
        <v>0</v>
      </c>
      <c r="J175" s="4029">
        <f t="shared" si="76"/>
        <v>43036</v>
      </c>
      <c r="K175" s="4029">
        <f t="shared" si="76"/>
        <v>5000</v>
      </c>
      <c r="L175" s="4029">
        <f t="shared" si="76"/>
        <v>0</v>
      </c>
      <c r="M175" s="4029">
        <f t="shared" si="76"/>
        <v>0</v>
      </c>
      <c r="N175" s="4029">
        <f t="shared" si="76"/>
        <v>5000</v>
      </c>
      <c r="O175" s="4029">
        <f t="shared" si="76"/>
        <v>5000</v>
      </c>
      <c r="P175" s="4029">
        <f t="shared" si="76"/>
        <v>0</v>
      </c>
      <c r="Q175" s="4029">
        <f t="shared" si="76"/>
        <v>0</v>
      </c>
      <c r="R175" s="4029">
        <f t="shared" si="76"/>
        <v>5000</v>
      </c>
      <c r="S175" s="4029">
        <f t="shared" si="76"/>
        <v>24000</v>
      </c>
      <c r="T175" s="4029">
        <f t="shared" si="76"/>
        <v>0</v>
      </c>
      <c r="U175" s="4029">
        <f t="shared" si="76"/>
        <v>0</v>
      </c>
      <c r="V175" s="4029">
        <f t="shared" si="76"/>
        <v>24000</v>
      </c>
    </row>
    <row r="176" spans="1:22" ht="51.75" customHeight="1">
      <c r="A176" s="4102">
        <v>1</v>
      </c>
      <c r="B176" s="4103" t="s">
        <v>3517</v>
      </c>
      <c r="C176" s="4052" t="s">
        <v>3097</v>
      </c>
      <c r="D176" s="4041" t="s">
        <v>3098</v>
      </c>
      <c r="E176" s="3987" t="s">
        <v>2892</v>
      </c>
      <c r="F176" s="4104" t="s">
        <v>3518</v>
      </c>
      <c r="G176" s="4033">
        <f>H176+I176+J176</f>
        <v>43036</v>
      </c>
      <c r="H176" s="4033"/>
      <c r="I176" s="4033"/>
      <c r="J176" s="4033">
        <v>43036</v>
      </c>
      <c r="K176" s="4033">
        <f>L176+M176+N176</f>
        <v>5000</v>
      </c>
      <c r="L176" s="4033"/>
      <c r="M176" s="4033"/>
      <c r="N176" s="4033">
        <v>5000</v>
      </c>
      <c r="O176" s="4033">
        <f>P176+Q176+R176</f>
        <v>5000</v>
      </c>
      <c r="P176" s="4033"/>
      <c r="Q176" s="4033"/>
      <c r="R176" s="4033">
        <v>5000</v>
      </c>
      <c r="S176" s="4033">
        <f>T176+U176+V176</f>
        <v>24000</v>
      </c>
      <c r="T176" s="4033"/>
      <c r="U176" s="4033"/>
      <c r="V176" s="4033">
        <v>24000</v>
      </c>
    </row>
    <row r="177" spans="1:22" s="248" customFormat="1">
      <c r="A177" s="4009" t="s">
        <v>1048</v>
      </c>
      <c r="B177" s="4010" t="s">
        <v>3095</v>
      </c>
      <c r="C177" s="4009"/>
      <c r="D177" s="4009"/>
      <c r="E177" s="4009"/>
      <c r="F177" s="4009"/>
      <c r="G177" s="4027">
        <f>G178+G182</f>
        <v>454149.63799999998</v>
      </c>
      <c r="H177" s="4027">
        <f t="shared" ref="H177:V177" si="77">H178+H182</f>
        <v>0</v>
      </c>
      <c r="I177" s="4027">
        <f t="shared" si="77"/>
        <v>0</v>
      </c>
      <c r="J177" s="4027">
        <f t="shared" si="77"/>
        <v>454149.63799999998</v>
      </c>
      <c r="K177" s="4027">
        <f t="shared" si="77"/>
        <v>203534</v>
      </c>
      <c r="L177" s="4027">
        <f t="shared" si="77"/>
        <v>0</v>
      </c>
      <c r="M177" s="4027">
        <f t="shared" si="77"/>
        <v>0</v>
      </c>
      <c r="N177" s="4027">
        <f t="shared" si="77"/>
        <v>203534</v>
      </c>
      <c r="O177" s="4027">
        <f t="shared" si="77"/>
        <v>180502</v>
      </c>
      <c r="P177" s="4027">
        <f t="shared" si="77"/>
        <v>0</v>
      </c>
      <c r="Q177" s="4027">
        <f t="shared" si="77"/>
        <v>0</v>
      </c>
      <c r="R177" s="4027">
        <f t="shared" si="77"/>
        <v>180502</v>
      </c>
      <c r="S177" s="4027">
        <f t="shared" si="77"/>
        <v>231919</v>
      </c>
      <c r="T177" s="4027">
        <f t="shared" si="77"/>
        <v>0</v>
      </c>
      <c r="U177" s="4027">
        <f t="shared" si="77"/>
        <v>0</v>
      </c>
      <c r="V177" s="4027">
        <f t="shared" si="77"/>
        <v>231919</v>
      </c>
    </row>
    <row r="178" spans="1:22" s="248" customFormat="1">
      <c r="A178" s="4009" t="s">
        <v>9</v>
      </c>
      <c r="B178" s="4010" t="s">
        <v>1451</v>
      </c>
      <c r="C178" s="4009"/>
      <c r="D178" s="4009"/>
      <c r="E178" s="4009"/>
      <c r="F178" s="4009"/>
      <c r="G178" s="4027">
        <f>G179</f>
        <v>63023.637999999999</v>
      </c>
      <c r="H178" s="4027">
        <f t="shared" ref="H178:V180" si="78">H179</f>
        <v>0</v>
      </c>
      <c r="I178" s="4027">
        <f t="shared" si="78"/>
        <v>0</v>
      </c>
      <c r="J178" s="4027">
        <f t="shared" si="78"/>
        <v>63023.637999999999</v>
      </c>
      <c r="K178" s="4027">
        <f t="shared" si="78"/>
        <v>269</v>
      </c>
      <c r="L178" s="4027">
        <f t="shared" si="78"/>
        <v>0</v>
      </c>
      <c r="M178" s="4027">
        <f t="shared" si="78"/>
        <v>0</v>
      </c>
      <c r="N178" s="4027">
        <f t="shared" si="78"/>
        <v>269</v>
      </c>
      <c r="O178" s="4027">
        <f t="shared" si="78"/>
        <v>269</v>
      </c>
      <c r="P178" s="4027">
        <f t="shared" si="78"/>
        <v>0</v>
      </c>
      <c r="Q178" s="4027">
        <f t="shared" si="78"/>
        <v>0</v>
      </c>
      <c r="R178" s="4027">
        <f t="shared" si="78"/>
        <v>269</v>
      </c>
      <c r="S178" s="4027">
        <f t="shared" si="78"/>
        <v>56700</v>
      </c>
      <c r="T178" s="4027">
        <f t="shared" si="78"/>
        <v>0</v>
      </c>
      <c r="U178" s="4027">
        <f t="shared" si="78"/>
        <v>0</v>
      </c>
      <c r="V178" s="4027">
        <f t="shared" si="78"/>
        <v>56700</v>
      </c>
    </row>
    <row r="179" spans="1:22" s="248" customFormat="1">
      <c r="A179" s="4009">
        <v>1</v>
      </c>
      <c r="B179" s="4010" t="s">
        <v>3122</v>
      </c>
      <c r="C179" s="4009"/>
      <c r="D179" s="4009"/>
      <c r="E179" s="4009"/>
      <c r="F179" s="4009"/>
      <c r="G179" s="4027">
        <f>G180</f>
        <v>63023.637999999999</v>
      </c>
      <c r="H179" s="4027">
        <f t="shared" si="78"/>
        <v>0</v>
      </c>
      <c r="I179" s="4027">
        <f t="shared" si="78"/>
        <v>0</v>
      </c>
      <c r="J179" s="4027">
        <f t="shared" si="78"/>
        <v>63023.637999999999</v>
      </c>
      <c r="K179" s="4027">
        <f t="shared" si="78"/>
        <v>269</v>
      </c>
      <c r="L179" s="4027">
        <f t="shared" si="78"/>
        <v>0</v>
      </c>
      <c r="M179" s="4027">
        <f t="shared" si="78"/>
        <v>0</v>
      </c>
      <c r="N179" s="4027">
        <f t="shared" si="78"/>
        <v>269</v>
      </c>
      <c r="O179" s="4027">
        <f t="shared" si="78"/>
        <v>269</v>
      </c>
      <c r="P179" s="4027">
        <f t="shared" si="78"/>
        <v>0</v>
      </c>
      <c r="Q179" s="4027">
        <f t="shared" si="78"/>
        <v>0</v>
      </c>
      <c r="R179" s="4027">
        <f t="shared" si="78"/>
        <v>269</v>
      </c>
      <c r="S179" s="4027">
        <f t="shared" si="78"/>
        <v>56700</v>
      </c>
      <c r="T179" s="4027">
        <f t="shared" si="78"/>
        <v>0</v>
      </c>
      <c r="U179" s="4027">
        <f t="shared" si="78"/>
        <v>0</v>
      </c>
      <c r="V179" s="4027">
        <f t="shared" si="78"/>
        <v>56700</v>
      </c>
    </row>
    <row r="180" spans="1:22" ht="31.2">
      <c r="A180" s="4009" t="s">
        <v>34</v>
      </c>
      <c r="B180" s="4028" t="s">
        <v>2871</v>
      </c>
      <c r="C180" s="4009"/>
      <c r="D180" s="4009"/>
      <c r="E180" s="4009"/>
      <c r="F180" s="4009"/>
      <c r="G180" s="4029">
        <f>G181</f>
        <v>63023.637999999999</v>
      </c>
      <c r="H180" s="4029">
        <f t="shared" si="78"/>
        <v>0</v>
      </c>
      <c r="I180" s="4029">
        <f t="shared" si="78"/>
        <v>0</v>
      </c>
      <c r="J180" s="4029">
        <f t="shared" si="78"/>
        <v>63023.637999999999</v>
      </c>
      <c r="K180" s="4029">
        <f t="shared" si="78"/>
        <v>269</v>
      </c>
      <c r="L180" s="4029">
        <f t="shared" si="78"/>
        <v>0</v>
      </c>
      <c r="M180" s="4029">
        <f t="shared" si="78"/>
        <v>0</v>
      </c>
      <c r="N180" s="4029">
        <f t="shared" si="78"/>
        <v>269</v>
      </c>
      <c r="O180" s="4029">
        <f t="shared" si="78"/>
        <v>269</v>
      </c>
      <c r="P180" s="4029">
        <f t="shared" si="78"/>
        <v>0</v>
      </c>
      <c r="Q180" s="4029">
        <f t="shared" si="78"/>
        <v>0</v>
      </c>
      <c r="R180" s="4029">
        <f t="shared" si="78"/>
        <v>269</v>
      </c>
      <c r="S180" s="4029">
        <f t="shared" si="78"/>
        <v>56700</v>
      </c>
      <c r="T180" s="4029">
        <f t="shared" si="78"/>
        <v>0</v>
      </c>
      <c r="U180" s="4029">
        <f t="shared" si="78"/>
        <v>0</v>
      </c>
      <c r="V180" s="4029">
        <f t="shared" si="78"/>
        <v>56700</v>
      </c>
    </row>
    <row r="181" spans="1:22" ht="62.25" customHeight="1">
      <c r="A181" s="4102">
        <v>1</v>
      </c>
      <c r="B181" s="4103" t="s">
        <v>3096</v>
      </c>
      <c r="C181" s="4052" t="s">
        <v>3097</v>
      </c>
      <c r="D181" s="4041" t="s">
        <v>3098</v>
      </c>
      <c r="E181" s="3987" t="s">
        <v>2892</v>
      </c>
      <c r="F181" s="4104" t="s">
        <v>3099</v>
      </c>
      <c r="G181" s="4033">
        <f>H181+I181+J181</f>
        <v>63023.637999999999</v>
      </c>
      <c r="H181" s="4105"/>
      <c r="I181" s="4105"/>
      <c r="J181" s="4033">
        <v>63023.637999999999</v>
      </c>
      <c r="K181" s="4033">
        <f>L181+M181+N181</f>
        <v>269</v>
      </c>
      <c r="L181" s="4033"/>
      <c r="M181" s="4033"/>
      <c r="N181" s="4033">
        <v>269</v>
      </c>
      <c r="O181" s="4033">
        <f>P181+Q181+R181</f>
        <v>269</v>
      </c>
      <c r="P181" s="4033"/>
      <c r="Q181" s="4033"/>
      <c r="R181" s="4033">
        <v>269</v>
      </c>
      <c r="S181" s="4033">
        <f>T181+U181+V181</f>
        <v>56700</v>
      </c>
      <c r="T181" s="4033"/>
      <c r="U181" s="4033"/>
      <c r="V181" s="4033">
        <v>56700</v>
      </c>
    </row>
    <row r="182" spans="1:22" s="248" customFormat="1" ht="31.2">
      <c r="A182" s="4009" t="s">
        <v>20</v>
      </c>
      <c r="B182" s="4010" t="s">
        <v>2842</v>
      </c>
      <c r="C182" s="4009"/>
      <c r="D182" s="4009"/>
      <c r="E182" s="4009"/>
      <c r="F182" s="4009"/>
      <c r="G182" s="4027">
        <f>G183</f>
        <v>391126</v>
      </c>
      <c r="H182" s="4027">
        <f t="shared" ref="H182:V183" si="79">H183</f>
        <v>0</v>
      </c>
      <c r="I182" s="4027">
        <f t="shared" si="79"/>
        <v>0</v>
      </c>
      <c r="J182" s="4027">
        <f t="shared" si="79"/>
        <v>391126</v>
      </c>
      <c r="K182" s="4027">
        <f t="shared" si="79"/>
        <v>203265</v>
      </c>
      <c r="L182" s="4027">
        <f t="shared" si="79"/>
        <v>0</v>
      </c>
      <c r="M182" s="4027">
        <f t="shared" si="79"/>
        <v>0</v>
      </c>
      <c r="N182" s="4027">
        <f t="shared" si="79"/>
        <v>203265</v>
      </c>
      <c r="O182" s="4027">
        <f t="shared" si="79"/>
        <v>180233</v>
      </c>
      <c r="P182" s="4027">
        <f t="shared" si="79"/>
        <v>0</v>
      </c>
      <c r="Q182" s="4027">
        <f t="shared" si="79"/>
        <v>0</v>
      </c>
      <c r="R182" s="4027">
        <f t="shared" si="79"/>
        <v>180233</v>
      </c>
      <c r="S182" s="4027">
        <f t="shared" si="79"/>
        <v>175219</v>
      </c>
      <c r="T182" s="4027">
        <f t="shared" si="79"/>
        <v>0</v>
      </c>
      <c r="U182" s="4027">
        <f t="shared" si="79"/>
        <v>0</v>
      </c>
      <c r="V182" s="4027">
        <f t="shared" si="79"/>
        <v>175219</v>
      </c>
    </row>
    <row r="183" spans="1:22" s="248" customFormat="1">
      <c r="A183" s="4009">
        <v>1</v>
      </c>
      <c r="B183" s="4010" t="s">
        <v>3122</v>
      </c>
      <c r="C183" s="4009"/>
      <c r="D183" s="4009"/>
      <c r="E183" s="4009"/>
      <c r="F183" s="4009"/>
      <c r="G183" s="4027">
        <f>G184</f>
        <v>391126</v>
      </c>
      <c r="H183" s="4027">
        <f t="shared" si="79"/>
        <v>0</v>
      </c>
      <c r="I183" s="4027">
        <f t="shared" si="79"/>
        <v>0</v>
      </c>
      <c r="J183" s="4027">
        <f t="shared" si="79"/>
        <v>391126</v>
      </c>
      <c r="K183" s="4027">
        <f t="shared" si="79"/>
        <v>203265</v>
      </c>
      <c r="L183" s="4027">
        <f t="shared" si="79"/>
        <v>0</v>
      </c>
      <c r="M183" s="4027">
        <f t="shared" si="79"/>
        <v>0</v>
      </c>
      <c r="N183" s="4027">
        <f t="shared" si="79"/>
        <v>203265</v>
      </c>
      <c r="O183" s="4027">
        <f t="shared" si="79"/>
        <v>180233</v>
      </c>
      <c r="P183" s="4027">
        <f t="shared" si="79"/>
        <v>0</v>
      </c>
      <c r="Q183" s="4027">
        <f t="shared" si="79"/>
        <v>0</v>
      </c>
      <c r="R183" s="4027">
        <f t="shared" si="79"/>
        <v>180233</v>
      </c>
      <c r="S183" s="4027">
        <f t="shared" si="79"/>
        <v>175219</v>
      </c>
      <c r="T183" s="4027">
        <f t="shared" si="79"/>
        <v>0</v>
      </c>
      <c r="U183" s="4027">
        <f t="shared" si="79"/>
        <v>0</v>
      </c>
      <c r="V183" s="4027">
        <f t="shared" si="79"/>
        <v>175219</v>
      </c>
    </row>
    <row r="184" spans="1:22" ht="31.2">
      <c r="A184" s="4009" t="s">
        <v>34</v>
      </c>
      <c r="B184" s="4028" t="s">
        <v>2871</v>
      </c>
      <c r="C184" s="4009"/>
      <c r="D184" s="4009"/>
      <c r="E184" s="4009"/>
      <c r="F184" s="4009"/>
      <c r="G184" s="4029">
        <f>SUM(G185:G188)</f>
        <v>391126</v>
      </c>
      <c r="H184" s="4029">
        <f t="shared" ref="H184:V184" si="80">SUM(H185:H188)</f>
        <v>0</v>
      </c>
      <c r="I184" s="4029">
        <f t="shared" si="80"/>
        <v>0</v>
      </c>
      <c r="J184" s="4029">
        <f t="shared" si="80"/>
        <v>391126</v>
      </c>
      <c r="K184" s="4029">
        <f t="shared" si="80"/>
        <v>203265</v>
      </c>
      <c r="L184" s="4029">
        <f t="shared" si="80"/>
        <v>0</v>
      </c>
      <c r="M184" s="4029">
        <f t="shared" si="80"/>
        <v>0</v>
      </c>
      <c r="N184" s="4029">
        <f t="shared" si="80"/>
        <v>203265</v>
      </c>
      <c r="O184" s="4029">
        <f t="shared" si="80"/>
        <v>180233</v>
      </c>
      <c r="P184" s="4029">
        <f t="shared" si="80"/>
        <v>0</v>
      </c>
      <c r="Q184" s="4029">
        <f t="shared" si="80"/>
        <v>0</v>
      </c>
      <c r="R184" s="4029">
        <f t="shared" si="80"/>
        <v>180233</v>
      </c>
      <c r="S184" s="4029">
        <f t="shared" si="80"/>
        <v>175219</v>
      </c>
      <c r="T184" s="4029">
        <f t="shared" si="80"/>
        <v>0</v>
      </c>
      <c r="U184" s="4029">
        <f t="shared" si="80"/>
        <v>0</v>
      </c>
      <c r="V184" s="4029">
        <f t="shared" si="80"/>
        <v>175219</v>
      </c>
    </row>
    <row r="185" spans="1:22" ht="46.8">
      <c r="A185" s="4043">
        <v>1</v>
      </c>
      <c r="B185" s="4044" t="s">
        <v>3100</v>
      </c>
      <c r="C185" s="4043" t="s">
        <v>3101</v>
      </c>
      <c r="D185" s="4043" t="s">
        <v>3102</v>
      </c>
      <c r="E185" s="4043" t="s">
        <v>2902</v>
      </c>
      <c r="F185" s="4043" t="s">
        <v>3103</v>
      </c>
      <c r="G185" s="4033">
        <v>58691</v>
      </c>
      <c r="H185" s="4033"/>
      <c r="I185" s="4033"/>
      <c r="J185" s="4033">
        <v>58691</v>
      </c>
      <c r="K185" s="4033">
        <f>N185+M185+L185</f>
        <v>51995</v>
      </c>
      <c r="L185" s="4050"/>
      <c r="M185" s="4050"/>
      <c r="N185" s="4033">
        <v>51995</v>
      </c>
      <c r="O185" s="4033">
        <f t="shared" ref="O185:O188" si="81">P185+Q185+R185</f>
        <v>50483</v>
      </c>
      <c r="P185" s="4050"/>
      <c r="Q185" s="4050"/>
      <c r="R185" s="4050">
        <v>50483</v>
      </c>
      <c r="S185" s="4033">
        <f t="shared" ref="S185:S188" si="82">T185+U185+V185</f>
        <v>3100</v>
      </c>
      <c r="T185" s="4033"/>
      <c r="U185" s="4033"/>
      <c r="V185" s="4033">
        <v>3100</v>
      </c>
    </row>
    <row r="186" spans="1:22" ht="30.75" customHeight="1">
      <c r="A186" s="4043">
        <v>2</v>
      </c>
      <c r="B186" s="4044" t="s">
        <v>3104</v>
      </c>
      <c r="C186" s="4043" t="s">
        <v>3105</v>
      </c>
      <c r="D186" s="4043" t="s">
        <v>3106</v>
      </c>
      <c r="E186" s="4043" t="s">
        <v>3107</v>
      </c>
      <c r="F186" s="4043" t="s">
        <v>3108</v>
      </c>
      <c r="G186" s="4033">
        <v>138692</v>
      </c>
      <c r="H186" s="4033"/>
      <c r="I186" s="4033"/>
      <c r="J186" s="4033">
        <v>138692</v>
      </c>
      <c r="K186" s="4033">
        <f t="shared" ref="K186:K188" si="83">N186+M186+L186</f>
        <v>61149</v>
      </c>
      <c r="L186" s="4050"/>
      <c r="M186" s="4050"/>
      <c r="N186" s="4033">
        <v>61149</v>
      </c>
      <c r="O186" s="4033">
        <f t="shared" si="81"/>
        <v>53202</v>
      </c>
      <c r="P186" s="4050"/>
      <c r="Q186" s="4050"/>
      <c r="R186" s="4050">
        <v>53202</v>
      </c>
      <c r="S186" s="4033">
        <f t="shared" si="82"/>
        <v>71900</v>
      </c>
      <c r="T186" s="4029"/>
      <c r="U186" s="4029"/>
      <c r="V186" s="4033">
        <v>71900</v>
      </c>
    </row>
    <row r="187" spans="1:22" ht="48" customHeight="1">
      <c r="A187" s="4043">
        <v>3</v>
      </c>
      <c r="B187" s="4044" t="s">
        <v>3109</v>
      </c>
      <c r="C187" s="4043" t="s">
        <v>3110</v>
      </c>
      <c r="D187" s="4043" t="s">
        <v>3111</v>
      </c>
      <c r="E187" s="4043" t="s">
        <v>3112</v>
      </c>
      <c r="F187" s="4043" t="s">
        <v>3113</v>
      </c>
      <c r="G187" s="4033">
        <v>85147</v>
      </c>
      <c r="H187" s="4033"/>
      <c r="I187" s="4033"/>
      <c r="J187" s="4033">
        <v>85147</v>
      </c>
      <c r="K187" s="4033">
        <f t="shared" si="83"/>
        <v>46789</v>
      </c>
      <c r="L187" s="4050"/>
      <c r="M187" s="4050"/>
      <c r="N187" s="4033">
        <v>46789</v>
      </c>
      <c r="O187" s="4033">
        <f t="shared" si="81"/>
        <v>45000</v>
      </c>
      <c r="P187" s="4050"/>
      <c r="Q187" s="4050"/>
      <c r="R187" s="4050">
        <v>45000</v>
      </c>
      <c r="S187" s="4033">
        <f t="shared" si="82"/>
        <v>31600</v>
      </c>
      <c r="T187" s="4033"/>
      <c r="U187" s="4033"/>
      <c r="V187" s="4033">
        <v>31600</v>
      </c>
    </row>
    <row r="188" spans="1:22" ht="54" customHeight="1">
      <c r="A188" s="4043">
        <v>4</v>
      </c>
      <c r="B188" s="4044" t="s">
        <v>3114</v>
      </c>
      <c r="C188" s="4043" t="s">
        <v>3115</v>
      </c>
      <c r="D188" s="4043" t="s">
        <v>3111</v>
      </c>
      <c r="E188" s="4043" t="s">
        <v>3116</v>
      </c>
      <c r="F188" s="4043" t="s">
        <v>3117</v>
      </c>
      <c r="G188" s="4033">
        <v>108596</v>
      </c>
      <c r="H188" s="4033"/>
      <c r="I188" s="4033"/>
      <c r="J188" s="4033">
        <v>108596</v>
      </c>
      <c r="K188" s="4033">
        <f t="shared" si="83"/>
        <v>43332</v>
      </c>
      <c r="L188" s="4050"/>
      <c r="M188" s="4050"/>
      <c r="N188" s="4033">
        <v>43332</v>
      </c>
      <c r="O188" s="4033">
        <f t="shared" si="81"/>
        <v>31548</v>
      </c>
      <c r="P188" s="4050"/>
      <c r="Q188" s="4050"/>
      <c r="R188" s="4050">
        <v>31548</v>
      </c>
      <c r="S188" s="4033">
        <f t="shared" si="82"/>
        <v>68619</v>
      </c>
      <c r="T188" s="4029"/>
      <c r="U188" s="4029"/>
      <c r="V188" s="4033">
        <f>68552+67</f>
        <v>68619</v>
      </c>
    </row>
    <row r="189" spans="1:22" s="248" customFormat="1">
      <c r="A189" s="4009" t="s">
        <v>884</v>
      </c>
      <c r="B189" s="4010" t="s">
        <v>3118</v>
      </c>
      <c r="C189" s="4009"/>
      <c r="D189" s="4009"/>
      <c r="E189" s="4009"/>
      <c r="F189" s="4009"/>
      <c r="G189" s="4027">
        <f t="shared" ref="G189:U189" si="84">G190+G198</f>
        <v>109705</v>
      </c>
      <c r="H189" s="4027">
        <f t="shared" si="84"/>
        <v>0</v>
      </c>
      <c r="I189" s="4027">
        <f t="shared" si="84"/>
        <v>0</v>
      </c>
      <c r="J189" s="4027">
        <f t="shared" si="84"/>
        <v>105903</v>
      </c>
      <c r="K189" s="4027">
        <f t="shared" si="84"/>
        <v>15449</v>
      </c>
      <c r="L189" s="4027">
        <f t="shared" si="84"/>
        <v>0</v>
      </c>
      <c r="M189" s="4027">
        <f t="shared" si="84"/>
        <v>0</v>
      </c>
      <c r="N189" s="4027">
        <f t="shared" si="84"/>
        <v>15449</v>
      </c>
      <c r="O189" s="4027">
        <f t="shared" si="84"/>
        <v>5699</v>
      </c>
      <c r="P189" s="4027">
        <f t="shared" si="84"/>
        <v>0</v>
      </c>
      <c r="Q189" s="4027">
        <f t="shared" si="84"/>
        <v>0</v>
      </c>
      <c r="R189" s="4027">
        <f t="shared" si="84"/>
        <v>5699</v>
      </c>
      <c r="S189" s="4027">
        <f t="shared" si="84"/>
        <v>59200</v>
      </c>
      <c r="T189" s="4027">
        <f t="shared" si="84"/>
        <v>0</v>
      </c>
      <c r="U189" s="4027">
        <f t="shared" si="84"/>
        <v>0</v>
      </c>
      <c r="V189" s="4027">
        <f>V190+V198</f>
        <v>59200</v>
      </c>
    </row>
    <row r="190" spans="1:22" s="1577" customFormat="1">
      <c r="A190" s="4009" t="s">
        <v>9</v>
      </c>
      <c r="B190" s="4010" t="s">
        <v>2855</v>
      </c>
      <c r="C190" s="4035"/>
      <c r="D190" s="4035"/>
      <c r="E190" s="4035"/>
      <c r="F190" s="4035"/>
      <c r="G190" s="4027">
        <f>G191+G194</f>
        <v>57264</v>
      </c>
      <c r="H190" s="4027">
        <f t="shared" ref="H190:V190" si="85">H191+H194</f>
        <v>0</v>
      </c>
      <c r="I190" s="4027">
        <f t="shared" si="85"/>
        <v>0</v>
      </c>
      <c r="J190" s="4027">
        <f t="shared" si="85"/>
        <v>53462</v>
      </c>
      <c r="K190" s="4027">
        <f t="shared" si="85"/>
        <v>15449</v>
      </c>
      <c r="L190" s="4027">
        <f t="shared" si="85"/>
        <v>0</v>
      </c>
      <c r="M190" s="4027">
        <f t="shared" si="85"/>
        <v>0</v>
      </c>
      <c r="N190" s="4027">
        <f t="shared" si="85"/>
        <v>15449</v>
      </c>
      <c r="O190" s="4027">
        <f t="shared" si="85"/>
        <v>5699</v>
      </c>
      <c r="P190" s="4027">
        <f t="shared" si="85"/>
        <v>0</v>
      </c>
      <c r="Q190" s="4027">
        <f t="shared" si="85"/>
        <v>0</v>
      </c>
      <c r="R190" s="4027">
        <f t="shared" si="85"/>
        <v>5699</v>
      </c>
      <c r="S190" s="4027">
        <f t="shared" si="85"/>
        <v>34200</v>
      </c>
      <c r="T190" s="4027">
        <f t="shared" si="85"/>
        <v>0</v>
      </c>
      <c r="U190" s="4027">
        <f t="shared" si="85"/>
        <v>0</v>
      </c>
      <c r="V190" s="4027">
        <f t="shared" si="85"/>
        <v>34200</v>
      </c>
    </row>
    <row r="191" spans="1:22" s="812" customFormat="1">
      <c r="A191" s="4101">
        <v>1</v>
      </c>
      <c r="B191" s="4106" t="s">
        <v>3119</v>
      </c>
      <c r="C191" s="4107"/>
      <c r="D191" s="4107"/>
      <c r="E191" s="4107"/>
      <c r="F191" s="4107"/>
      <c r="G191" s="3989">
        <f t="shared" ref="G191:U191" si="86">SUM(G192:G193)</f>
        <v>2843</v>
      </c>
      <c r="H191" s="3989">
        <f t="shared" si="86"/>
        <v>0</v>
      </c>
      <c r="I191" s="3989">
        <f t="shared" si="86"/>
        <v>0</v>
      </c>
      <c r="J191" s="3989">
        <f t="shared" si="86"/>
        <v>2843</v>
      </c>
      <c r="K191" s="3989">
        <f t="shared" si="86"/>
        <v>0</v>
      </c>
      <c r="L191" s="3989">
        <f t="shared" si="86"/>
        <v>0</v>
      </c>
      <c r="M191" s="3989">
        <f t="shared" si="86"/>
        <v>0</v>
      </c>
      <c r="N191" s="3989">
        <f t="shared" si="86"/>
        <v>0</v>
      </c>
      <c r="O191" s="3989">
        <f t="shared" si="86"/>
        <v>0</v>
      </c>
      <c r="P191" s="3989">
        <f t="shared" si="86"/>
        <v>0</v>
      </c>
      <c r="Q191" s="3989">
        <f t="shared" si="86"/>
        <v>0</v>
      </c>
      <c r="R191" s="3989">
        <f t="shared" si="86"/>
        <v>0</v>
      </c>
      <c r="S191" s="3989">
        <f t="shared" si="86"/>
        <v>2000</v>
      </c>
      <c r="T191" s="3989">
        <f t="shared" si="86"/>
        <v>0</v>
      </c>
      <c r="U191" s="3989">
        <f t="shared" si="86"/>
        <v>0</v>
      </c>
      <c r="V191" s="3989">
        <f>SUM(V192:V193)</f>
        <v>2000</v>
      </c>
    </row>
    <row r="192" spans="1:22" s="812" customFormat="1" ht="31.2">
      <c r="A192" s="3987">
        <v>1</v>
      </c>
      <c r="B192" s="3988" t="s">
        <v>3120</v>
      </c>
      <c r="C192" s="3987" t="s">
        <v>3110</v>
      </c>
      <c r="D192" s="4107"/>
      <c r="E192" s="4107"/>
      <c r="F192" s="4107"/>
      <c r="G192" s="4033">
        <f>H192+I192+J192</f>
        <v>1372</v>
      </c>
      <c r="H192" s="4108"/>
      <c r="I192" s="4108"/>
      <c r="J192" s="3990">
        <v>1372</v>
      </c>
      <c r="K192" s="4108"/>
      <c r="L192" s="4108"/>
      <c r="M192" s="4108"/>
      <c r="N192" s="4108"/>
      <c r="O192" s="4108"/>
      <c r="P192" s="4108"/>
      <c r="Q192" s="4108"/>
      <c r="R192" s="4108"/>
      <c r="S192" s="4033">
        <f>T192+U192+V192</f>
        <v>1000</v>
      </c>
      <c r="T192" s="4108"/>
      <c r="U192" s="4108"/>
      <c r="V192" s="4033">
        <v>1000</v>
      </c>
    </row>
    <row r="193" spans="1:22" s="812" customFormat="1" ht="31.2">
      <c r="A193" s="3987">
        <v>2</v>
      </c>
      <c r="B193" s="3988" t="s">
        <v>3121</v>
      </c>
      <c r="C193" s="3987" t="s">
        <v>3115</v>
      </c>
      <c r="D193" s="4107"/>
      <c r="E193" s="4107"/>
      <c r="F193" s="4107"/>
      <c r="G193" s="4033">
        <f>H193+I193+J193</f>
        <v>1471</v>
      </c>
      <c r="H193" s="4108"/>
      <c r="I193" s="4108"/>
      <c r="J193" s="3990">
        <v>1471</v>
      </c>
      <c r="K193" s="4108"/>
      <c r="L193" s="4108"/>
      <c r="M193" s="4108"/>
      <c r="N193" s="4108"/>
      <c r="O193" s="4108"/>
      <c r="P193" s="4108"/>
      <c r="Q193" s="4108"/>
      <c r="R193" s="4108"/>
      <c r="S193" s="4033">
        <f>T193+U193+V193</f>
        <v>1000</v>
      </c>
      <c r="T193" s="4108"/>
      <c r="U193" s="4108"/>
      <c r="V193" s="4033">
        <v>1000</v>
      </c>
    </row>
    <row r="194" spans="1:22" s="812" customFormat="1">
      <c r="A194" s="4101">
        <v>2</v>
      </c>
      <c r="B194" s="4106" t="s">
        <v>3122</v>
      </c>
      <c r="C194" s="4107"/>
      <c r="D194" s="4107"/>
      <c r="E194" s="4107"/>
      <c r="F194" s="4107"/>
      <c r="G194" s="3989">
        <f>G195</f>
        <v>54421</v>
      </c>
      <c r="H194" s="3989"/>
      <c r="I194" s="3989"/>
      <c r="J194" s="3989">
        <f>J195</f>
        <v>50619</v>
      </c>
      <c r="K194" s="3989">
        <f>K195</f>
        <v>15449</v>
      </c>
      <c r="L194" s="4108"/>
      <c r="M194" s="4108"/>
      <c r="N194" s="3989">
        <f>N195</f>
        <v>15449</v>
      </c>
      <c r="O194" s="3989">
        <f>O195</f>
        <v>5699</v>
      </c>
      <c r="P194" s="4108"/>
      <c r="Q194" s="4108"/>
      <c r="R194" s="3989">
        <f>R195</f>
        <v>5699</v>
      </c>
      <c r="S194" s="3989">
        <f>S195</f>
        <v>32200</v>
      </c>
      <c r="T194" s="4108"/>
      <c r="U194" s="4108"/>
      <c r="V194" s="3989">
        <f>V195</f>
        <v>32200</v>
      </c>
    </row>
    <row r="195" spans="1:22" ht="31.2">
      <c r="A195" s="4009" t="s">
        <v>34</v>
      </c>
      <c r="B195" s="4028" t="s">
        <v>2871</v>
      </c>
      <c r="C195" s="4009"/>
      <c r="D195" s="4009"/>
      <c r="E195" s="4009"/>
      <c r="F195" s="4009"/>
      <c r="G195" s="4029">
        <f>SUM(G196:G197)</f>
        <v>54421</v>
      </c>
      <c r="H195" s="4029">
        <f t="shared" ref="H195:V195" si="87">SUM(H196:H197)</f>
        <v>0</v>
      </c>
      <c r="I195" s="4029">
        <f t="shared" si="87"/>
        <v>0</v>
      </c>
      <c r="J195" s="4029">
        <f t="shared" si="87"/>
        <v>50619</v>
      </c>
      <c r="K195" s="4029">
        <f t="shared" si="87"/>
        <v>15449</v>
      </c>
      <c r="L195" s="4029">
        <f t="shared" si="87"/>
        <v>0</v>
      </c>
      <c r="M195" s="4029">
        <f t="shared" si="87"/>
        <v>0</v>
      </c>
      <c r="N195" s="4029">
        <f t="shared" si="87"/>
        <v>15449</v>
      </c>
      <c r="O195" s="4029">
        <f t="shared" si="87"/>
        <v>5699</v>
      </c>
      <c r="P195" s="4029">
        <f t="shared" si="87"/>
        <v>0</v>
      </c>
      <c r="Q195" s="4029">
        <f t="shared" si="87"/>
        <v>0</v>
      </c>
      <c r="R195" s="4029">
        <f t="shared" si="87"/>
        <v>5699</v>
      </c>
      <c r="S195" s="4029">
        <f t="shared" si="87"/>
        <v>32200</v>
      </c>
      <c r="T195" s="4029">
        <f t="shared" si="87"/>
        <v>0</v>
      </c>
      <c r="U195" s="4029">
        <f t="shared" si="87"/>
        <v>0</v>
      </c>
      <c r="V195" s="4029">
        <f t="shared" si="87"/>
        <v>32200</v>
      </c>
    </row>
    <row r="196" spans="1:22" ht="46.8">
      <c r="A196" s="4045">
        <v>1</v>
      </c>
      <c r="B196" s="4109" t="s">
        <v>3123</v>
      </c>
      <c r="C196" s="4041" t="s">
        <v>3124</v>
      </c>
      <c r="D196" s="4041"/>
      <c r="E196" s="4041" t="s">
        <v>2892</v>
      </c>
      <c r="F196" s="4041" t="s">
        <v>3125</v>
      </c>
      <c r="G196" s="3990">
        <v>39702</v>
      </c>
      <c r="H196" s="3990"/>
      <c r="I196" s="3990"/>
      <c r="J196" s="3990">
        <v>35900</v>
      </c>
      <c r="K196" s="3990">
        <f>L196+M196+N196</f>
        <v>15449</v>
      </c>
      <c r="L196" s="3990"/>
      <c r="M196" s="3990"/>
      <c r="N196" s="3990">
        <v>15449</v>
      </c>
      <c r="O196" s="3990">
        <f>P196+Q196+R196</f>
        <v>5699</v>
      </c>
      <c r="P196" s="3990"/>
      <c r="Q196" s="3990"/>
      <c r="R196" s="3990">
        <v>5699</v>
      </c>
      <c r="S196" s="3990">
        <f>T196+U196+V196</f>
        <v>29200</v>
      </c>
      <c r="T196" s="3990"/>
      <c r="U196" s="3990"/>
      <c r="V196" s="3990">
        <v>29200</v>
      </c>
    </row>
    <row r="197" spans="1:22" s="1577" customFormat="1" ht="31.2">
      <c r="A197" s="4110">
        <v>2</v>
      </c>
      <c r="B197" s="4111" t="s">
        <v>3126</v>
      </c>
      <c r="C197" s="4112" t="s">
        <v>3127</v>
      </c>
      <c r="D197" s="4112"/>
      <c r="E197" s="4112" t="s">
        <v>2954</v>
      </c>
      <c r="F197" s="4112"/>
      <c r="G197" s="4113">
        <f>H197+I197+J197</f>
        <v>14719</v>
      </c>
      <c r="H197" s="4113"/>
      <c r="I197" s="4113"/>
      <c r="J197" s="4113">
        <v>14719</v>
      </c>
      <c r="K197" s="4113">
        <f>L197+M197+N197</f>
        <v>0</v>
      </c>
      <c r="L197" s="4113"/>
      <c r="M197" s="4113"/>
      <c r="N197" s="3990"/>
      <c r="O197" s="4113">
        <f>P197+Q197+R197</f>
        <v>0</v>
      </c>
      <c r="P197" s="4113"/>
      <c r="Q197" s="4113"/>
      <c r="R197" s="4113"/>
      <c r="S197" s="3990">
        <f>T197+U197+V197</f>
        <v>3000</v>
      </c>
      <c r="T197" s="4113"/>
      <c r="U197" s="4113"/>
      <c r="V197" s="4113">
        <v>3000</v>
      </c>
    </row>
    <row r="198" spans="1:22" s="1577" customFormat="1" ht="31.2">
      <c r="A198" s="4009" t="s">
        <v>20</v>
      </c>
      <c r="B198" s="4010" t="s">
        <v>3405</v>
      </c>
      <c r="C198" s="4035"/>
      <c r="D198" s="4035"/>
      <c r="E198" s="4035"/>
      <c r="F198" s="4035"/>
      <c r="G198" s="4027">
        <f t="shared" ref="G198:V200" si="88">G199</f>
        <v>52441</v>
      </c>
      <c r="H198" s="4027">
        <f t="shared" si="88"/>
        <v>0</v>
      </c>
      <c r="I198" s="4027">
        <f t="shared" si="88"/>
        <v>0</v>
      </c>
      <c r="J198" s="4027">
        <f t="shared" si="88"/>
        <v>52441</v>
      </c>
      <c r="K198" s="4027">
        <f t="shared" si="88"/>
        <v>0</v>
      </c>
      <c r="L198" s="4027">
        <f t="shared" si="88"/>
        <v>0</v>
      </c>
      <c r="M198" s="4027">
        <f t="shared" si="88"/>
        <v>0</v>
      </c>
      <c r="N198" s="4027">
        <f t="shared" si="88"/>
        <v>0</v>
      </c>
      <c r="O198" s="4027">
        <f t="shared" si="88"/>
        <v>0</v>
      </c>
      <c r="P198" s="4027">
        <f t="shared" si="88"/>
        <v>0</v>
      </c>
      <c r="Q198" s="4027">
        <f t="shared" si="88"/>
        <v>0</v>
      </c>
      <c r="R198" s="4027">
        <f t="shared" si="88"/>
        <v>0</v>
      </c>
      <c r="S198" s="4027">
        <f t="shared" si="88"/>
        <v>25000</v>
      </c>
      <c r="T198" s="4027">
        <f t="shared" si="88"/>
        <v>0</v>
      </c>
      <c r="U198" s="4027">
        <f t="shared" si="88"/>
        <v>0</v>
      </c>
      <c r="V198" s="4027">
        <f>V199</f>
        <v>25000</v>
      </c>
    </row>
    <row r="199" spans="1:22" s="248" customFormat="1">
      <c r="A199" s="4009">
        <v>1</v>
      </c>
      <c r="B199" s="4010" t="s">
        <v>3122</v>
      </c>
      <c r="C199" s="4009"/>
      <c r="D199" s="4009"/>
      <c r="E199" s="4009"/>
      <c r="F199" s="4009"/>
      <c r="G199" s="4027">
        <f t="shared" si="88"/>
        <v>52441</v>
      </c>
      <c r="H199" s="4027">
        <f t="shared" si="88"/>
        <v>0</v>
      </c>
      <c r="I199" s="4027">
        <f t="shared" si="88"/>
        <v>0</v>
      </c>
      <c r="J199" s="4027">
        <f t="shared" si="88"/>
        <v>52441</v>
      </c>
      <c r="K199" s="4027">
        <f t="shared" si="88"/>
        <v>0</v>
      </c>
      <c r="L199" s="4027">
        <f t="shared" si="88"/>
        <v>0</v>
      </c>
      <c r="M199" s="4027">
        <f t="shared" si="88"/>
        <v>0</v>
      </c>
      <c r="N199" s="4027">
        <f t="shared" si="88"/>
        <v>0</v>
      </c>
      <c r="O199" s="4027">
        <f t="shared" si="88"/>
        <v>0</v>
      </c>
      <c r="P199" s="4027">
        <f t="shared" si="88"/>
        <v>0</v>
      </c>
      <c r="Q199" s="4027">
        <f t="shared" si="88"/>
        <v>0</v>
      </c>
      <c r="R199" s="4027">
        <f t="shared" si="88"/>
        <v>0</v>
      </c>
      <c r="S199" s="4027">
        <f t="shared" si="88"/>
        <v>25000</v>
      </c>
      <c r="T199" s="4027">
        <f t="shared" si="88"/>
        <v>0</v>
      </c>
      <c r="U199" s="4027">
        <f t="shared" si="88"/>
        <v>0</v>
      </c>
      <c r="V199" s="4027">
        <f t="shared" si="88"/>
        <v>25000</v>
      </c>
    </row>
    <row r="200" spans="1:22" ht="31.2">
      <c r="A200" s="4009" t="s">
        <v>34</v>
      </c>
      <c r="B200" s="4028" t="s">
        <v>2871</v>
      </c>
      <c r="C200" s="4009"/>
      <c r="D200" s="4009"/>
      <c r="E200" s="4009"/>
      <c r="F200" s="4009"/>
      <c r="G200" s="4029">
        <f>G201</f>
        <v>52441</v>
      </c>
      <c r="H200" s="4029">
        <f t="shared" si="88"/>
        <v>0</v>
      </c>
      <c r="I200" s="4029">
        <f t="shared" si="88"/>
        <v>0</v>
      </c>
      <c r="J200" s="4029">
        <f t="shared" si="88"/>
        <v>52441</v>
      </c>
      <c r="K200" s="4029">
        <f t="shared" si="88"/>
        <v>0</v>
      </c>
      <c r="L200" s="4029">
        <f t="shared" si="88"/>
        <v>0</v>
      </c>
      <c r="M200" s="4029">
        <f t="shared" si="88"/>
        <v>0</v>
      </c>
      <c r="N200" s="4029">
        <f t="shared" si="88"/>
        <v>0</v>
      </c>
      <c r="O200" s="4029">
        <f t="shared" si="88"/>
        <v>0</v>
      </c>
      <c r="P200" s="4029">
        <f t="shared" si="88"/>
        <v>0</v>
      </c>
      <c r="Q200" s="4029">
        <f t="shared" si="88"/>
        <v>0</v>
      </c>
      <c r="R200" s="4029">
        <f t="shared" si="88"/>
        <v>0</v>
      </c>
      <c r="S200" s="4029">
        <f t="shared" si="88"/>
        <v>25000</v>
      </c>
      <c r="T200" s="4029">
        <f t="shared" si="88"/>
        <v>0</v>
      </c>
      <c r="U200" s="4029">
        <f t="shared" si="88"/>
        <v>0</v>
      </c>
      <c r="V200" s="4029">
        <f t="shared" si="88"/>
        <v>25000</v>
      </c>
    </row>
    <row r="201" spans="1:22" s="1577" customFormat="1" ht="46.8">
      <c r="A201" s="4030">
        <v>1</v>
      </c>
      <c r="B201" s="4031" t="s">
        <v>3519</v>
      </c>
      <c r="C201" s="4030" t="s">
        <v>3110</v>
      </c>
      <c r="D201" s="4030"/>
      <c r="E201" s="4030" t="s">
        <v>3092</v>
      </c>
      <c r="F201" s="4030" t="s">
        <v>3520</v>
      </c>
      <c r="G201" s="4113">
        <f>H201+I201+J201</f>
        <v>52441</v>
      </c>
      <c r="H201" s="4113">
        <v>0</v>
      </c>
      <c r="I201" s="4113">
        <v>0</v>
      </c>
      <c r="J201" s="4113">
        <v>52441</v>
      </c>
      <c r="K201" s="4113">
        <f>L201+M201+N201</f>
        <v>0</v>
      </c>
      <c r="L201" s="4113"/>
      <c r="M201" s="4113"/>
      <c r="N201" s="3990"/>
      <c r="O201" s="4113">
        <f>P201+Q201+R201</f>
        <v>0</v>
      </c>
      <c r="P201" s="4113"/>
      <c r="Q201" s="4113"/>
      <c r="R201" s="4113"/>
      <c r="S201" s="3990">
        <f>T201+U201+V201</f>
        <v>25000</v>
      </c>
      <c r="T201" s="4113"/>
      <c r="U201" s="4113"/>
      <c r="V201" s="4113">
        <v>25000</v>
      </c>
    </row>
    <row r="202" spans="1:22" s="248" customFormat="1">
      <c r="A202" s="4009" t="s">
        <v>2534</v>
      </c>
      <c r="B202" s="4010" t="s">
        <v>3128</v>
      </c>
      <c r="C202" s="4009"/>
      <c r="D202" s="4009"/>
      <c r="E202" s="4009"/>
      <c r="F202" s="4009"/>
      <c r="G202" s="4027">
        <f>G203+G207+G211+G218+G223</f>
        <v>41141.012999999999</v>
      </c>
      <c r="H202" s="4027">
        <f t="shared" ref="H202:V202" si="89">H203+H207+H211+H218+H223</f>
        <v>0</v>
      </c>
      <c r="I202" s="4027">
        <f t="shared" si="89"/>
        <v>0</v>
      </c>
      <c r="J202" s="4027">
        <f t="shared" si="89"/>
        <v>34649.913999999997</v>
      </c>
      <c r="K202" s="4027">
        <f t="shared" si="89"/>
        <v>9000</v>
      </c>
      <c r="L202" s="4027">
        <f t="shared" si="89"/>
        <v>0</v>
      </c>
      <c r="M202" s="4027">
        <f t="shared" si="89"/>
        <v>0</v>
      </c>
      <c r="N202" s="4027">
        <f t="shared" si="89"/>
        <v>9000</v>
      </c>
      <c r="O202" s="4027">
        <f t="shared" si="89"/>
        <v>9000</v>
      </c>
      <c r="P202" s="4027">
        <f t="shared" si="89"/>
        <v>0</v>
      </c>
      <c r="Q202" s="4027">
        <f t="shared" si="89"/>
        <v>0</v>
      </c>
      <c r="R202" s="4027">
        <f t="shared" si="89"/>
        <v>9000</v>
      </c>
      <c r="S202" s="4027">
        <f t="shared" si="89"/>
        <v>21300</v>
      </c>
      <c r="T202" s="4027">
        <f t="shared" si="89"/>
        <v>0</v>
      </c>
      <c r="U202" s="4027">
        <f t="shared" si="89"/>
        <v>0</v>
      </c>
      <c r="V202" s="4027">
        <f t="shared" si="89"/>
        <v>21300</v>
      </c>
    </row>
    <row r="203" spans="1:22" s="1577" customFormat="1">
      <c r="A203" s="4009" t="s">
        <v>9</v>
      </c>
      <c r="B203" s="4010" t="s">
        <v>2849</v>
      </c>
      <c r="C203" s="4035"/>
      <c r="D203" s="4035"/>
      <c r="E203" s="4035"/>
      <c r="F203" s="4035"/>
      <c r="G203" s="4027">
        <f t="shared" ref="G203:V205" si="90">G204</f>
        <v>4637.0990000000002</v>
      </c>
      <c r="H203" s="4027">
        <f t="shared" si="90"/>
        <v>0</v>
      </c>
      <c r="I203" s="4027">
        <f t="shared" si="90"/>
        <v>0</v>
      </c>
      <c r="J203" s="4027">
        <f t="shared" si="90"/>
        <v>4600</v>
      </c>
      <c r="K203" s="4027">
        <f t="shared" si="90"/>
        <v>200</v>
      </c>
      <c r="L203" s="4027">
        <f t="shared" si="90"/>
        <v>0</v>
      </c>
      <c r="M203" s="4027">
        <f t="shared" si="90"/>
        <v>0</v>
      </c>
      <c r="N203" s="4027">
        <f t="shared" si="90"/>
        <v>200</v>
      </c>
      <c r="O203" s="4027">
        <f t="shared" si="90"/>
        <v>200</v>
      </c>
      <c r="P203" s="4027">
        <f t="shared" si="90"/>
        <v>0</v>
      </c>
      <c r="Q203" s="4027">
        <f t="shared" si="90"/>
        <v>0</v>
      </c>
      <c r="R203" s="4027">
        <f t="shared" si="90"/>
        <v>200</v>
      </c>
      <c r="S203" s="4027">
        <f t="shared" si="90"/>
        <v>3800</v>
      </c>
      <c r="T203" s="4027">
        <f t="shared" si="90"/>
        <v>0</v>
      </c>
      <c r="U203" s="4027">
        <f t="shared" si="90"/>
        <v>0</v>
      </c>
      <c r="V203" s="4027">
        <f>V204</f>
        <v>3800</v>
      </c>
    </row>
    <row r="204" spans="1:22" s="248" customFormat="1">
      <c r="A204" s="4009">
        <v>1</v>
      </c>
      <c r="B204" s="4010" t="s">
        <v>3122</v>
      </c>
      <c r="C204" s="4009"/>
      <c r="D204" s="4009"/>
      <c r="E204" s="4009"/>
      <c r="F204" s="4009"/>
      <c r="G204" s="4027">
        <f t="shared" si="90"/>
        <v>4637.0990000000002</v>
      </c>
      <c r="H204" s="4027">
        <f t="shared" si="90"/>
        <v>0</v>
      </c>
      <c r="I204" s="4027">
        <f t="shared" si="90"/>
        <v>0</v>
      </c>
      <c r="J204" s="4027">
        <f t="shared" si="90"/>
        <v>4600</v>
      </c>
      <c r="K204" s="4027">
        <f t="shared" si="90"/>
        <v>200</v>
      </c>
      <c r="L204" s="4027">
        <f t="shared" si="90"/>
        <v>0</v>
      </c>
      <c r="M204" s="4027">
        <f t="shared" si="90"/>
        <v>0</v>
      </c>
      <c r="N204" s="4027">
        <f t="shared" si="90"/>
        <v>200</v>
      </c>
      <c r="O204" s="4027">
        <f t="shared" si="90"/>
        <v>200</v>
      </c>
      <c r="P204" s="4027">
        <f t="shared" si="90"/>
        <v>0</v>
      </c>
      <c r="Q204" s="4027">
        <f t="shared" si="90"/>
        <v>0</v>
      </c>
      <c r="R204" s="4027">
        <f t="shared" si="90"/>
        <v>200</v>
      </c>
      <c r="S204" s="4027">
        <f t="shared" si="90"/>
        <v>3800</v>
      </c>
      <c r="T204" s="4027">
        <f t="shared" si="90"/>
        <v>0</v>
      </c>
      <c r="U204" s="4027">
        <f t="shared" si="90"/>
        <v>0</v>
      </c>
      <c r="V204" s="4027">
        <f t="shared" si="90"/>
        <v>3800</v>
      </c>
    </row>
    <row r="205" spans="1:22" ht="31.2">
      <c r="A205" s="4009" t="s">
        <v>34</v>
      </c>
      <c r="B205" s="4028" t="s">
        <v>2871</v>
      </c>
      <c r="C205" s="4009"/>
      <c r="D205" s="4009"/>
      <c r="E205" s="4009"/>
      <c r="F205" s="4009"/>
      <c r="G205" s="4029">
        <f>G206</f>
        <v>4637.0990000000002</v>
      </c>
      <c r="H205" s="4029">
        <f t="shared" si="90"/>
        <v>0</v>
      </c>
      <c r="I205" s="4029">
        <f t="shared" si="90"/>
        <v>0</v>
      </c>
      <c r="J205" s="4029">
        <f t="shared" si="90"/>
        <v>4600</v>
      </c>
      <c r="K205" s="4029">
        <f t="shared" si="90"/>
        <v>200</v>
      </c>
      <c r="L205" s="4029">
        <f t="shared" si="90"/>
        <v>0</v>
      </c>
      <c r="M205" s="4029">
        <f t="shared" si="90"/>
        <v>0</v>
      </c>
      <c r="N205" s="4029">
        <f t="shared" si="90"/>
        <v>200</v>
      </c>
      <c r="O205" s="4029">
        <f t="shared" si="90"/>
        <v>200</v>
      </c>
      <c r="P205" s="4029">
        <f t="shared" si="90"/>
        <v>0</v>
      </c>
      <c r="Q205" s="4029">
        <f t="shared" si="90"/>
        <v>0</v>
      </c>
      <c r="R205" s="4029">
        <f t="shared" si="90"/>
        <v>200</v>
      </c>
      <c r="S205" s="4029">
        <f t="shared" si="90"/>
        <v>3800</v>
      </c>
      <c r="T205" s="4029">
        <f t="shared" si="90"/>
        <v>0</v>
      </c>
      <c r="U205" s="4029">
        <f t="shared" si="90"/>
        <v>0</v>
      </c>
      <c r="V205" s="4029">
        <f t="shared" si="90"/>
        <v>3800</v>
      </c>
    </row>
    <row r="206" spans="1:22" s="3999" customFormat="1" ht="27" customHeight="1">
      <c r="A206" s="3987">
        <v>1</v>
      </c>
      <c r="B206" s="4034" t="s">
        <v>3129</v>
      </c>
      <c r="C206" s="4047" t="s">
        <v>2982</v>
      </c>
      <c r="D206" s="4047" t="s">
        <v>3130</v>
      </c>
      <c r="E206" s="4047" t="s">
        <v>2892</v>
      </c>
      <c r="F206" s="4047" t="s">
        <v>3131</v>
      </c>
      <c r="G206" s="4057">
        <v>4637.0990000000002</v>
      </c>
      <c r="H206" s="4057"/>
      <c r="I206" s="4057"/>
      <c r="J206" s="4057">
        <v>4600</v>
      </c>
      <c r="K206" s="4058">
        <f>N206</f>
        <v>200</v>
      </c>
      <c r="L206" s="4058"/>
      <c r="M206" s="4058"/>
      <c r="N206" s="3990">
        <v>200</v>
      </c>
      <c r="O206" s="4058">
        <f>R206</f>
        <v>200</v>
      </c>
      <c r="P206" s="4058"/>
      <c r="Q206" s="4058"/>
      <c r="R206" s="4058">
        <v>200</v>
      </c>
      <c r="S206" s="4033">
        <f>V206</f>
        <v>3800</v>
      </c>
      <c r="T206" s="4057"/>
      <c r="U206" s="4057"/>
      <c r="V206" s="4057">
        <v>3800</v>
      </c>
    </row>
    <row r="207" spans="1:22" s="1577" customFormat="1">
      <c r="A207" s="4009" t="s">
        <v>20</v>
      </c>
      <c r="B207" s="4010" t="s">
        <v>2850</v>
      </c>
      <c r="C207" s="4035"/>
      <c r="D207" s="4035"/>
      <c r="E207" s="4035"/>
      <c r="F207" s="4035"/>
      <c r="G207" s="4027">
        <f t="shared" ref="G207:V209" si="91">G208</f>
        <v>6454</v>
      </c>
      <c r="H207" s="4027">
        <f t="shared" si="91"/>
        <v>0</v>
      </c>
      <c r="I207" s="4027">
        <f t="shared" si="91"/>
        <v>0</v>
      </c>
      <c r="J207" s="4027">
        <f t="shared" si="91"/>
        <v>0</v>
      </c>
      <c r="K207" s="4027">
        <f t="shared" si="91"/>
        <v>3900</v>
      </c>
      <c r="L207" s="4027">
        <f t="shared" si="91"/>
        <v>0</v>
      </c>
      <c r="M207" s="4027">
        <f t="shared" si="91"/>
        <v>0</v>
      </c>
      <c r="N207" s="4027">
        <f t="shared" si="91"/>
        <v>3900</v>
      </c>
      <c r="O207" s="4027">
        <f t="shared" si="91"/>
        <v>3900</v>
      </c>
      <c r="P207" s="4027">
        <f t="shared" si="91"/>
        <v>0</v>
      </c>
      <c r="Q207" s="4027">
        <f t="shared" si="91"/>
        <v>0</v>
      </c>
      <c r="R207" s="4027">
        <f t="shared" si="91"/>
        <v>3900</v>
      </c>
      <c r="S207" s="4027">
        <f t="shared" si="91"/>
        <v>1100</v>
      </c>
      <c r="T207" s="4027">
        <f t="shared" si="91"/>
        <v>0</v>
      </c>
      <c r="U207" s="4027">
        <f t="shared" si="91"/>
        <v>0</v>
      </c>
      <c r="V207" s="4027">
        <f>V208</f>
        <v>1100</v>
      </c>
    </row>
    <row r="208" spans="1:22" s="248" customFormat="1">
      <c r="A208" s="4009">
        <v>1</v>
      </c>
      <c r="B208" s="4010" t="s">
        <v>3122</v>
      </c>
      <c r="C208" s="4009"/>
      <c r="D208" s="4009"/>
      <c r="E208" s="4009"/>
      <c r="F208" s="4009"/>
      <c r="G208" s="4027">
        <f t="shared" si="91"/>
        <v>6454</v>
      </c>
      <c r="H208" s="4027">
        <f t="shared" si="91"/>
        <v>0</v>
      </c>
      <c r="I208" s="4027">
        <f t="shared" si="91"/>
        <v>0</v>
      </c>
      <c r="J208" s="4027">
        <f t="shared" si="91"/>
        <v>0</v>
      </c>
      <c r="K208" s="4027">
        <f t="shared" si="91"/>
        <v>3900</v>
      </c>
      <c r="L208" s="4027">
        <f t="shared" si="91"/>
        <v>0</v>
      </c>
      <c r="M208" s="4027">
        <f t="shared" si="91"/>
        <v>0</v>
      </c>
      <c r="N208" s="4027">
        <f t="shared" si="91"/>
        <v>3900</v>
      </c>
      <c r="O208" s="4027">
        <f t="shared" si="91"/>
        <v>3900</v>
      </c>
      <c r="P208" s="4027">
        <f t="shared" si="91"/>
        <v>0</v>
      </c>
      <c r="Q208" s="4027">
        <f t="shared" si="91"/>
        <v>0</v>
      </c>
      <c r="R208" s="4027">
        <f t="shared" si="91"/>
        <v>3900</v>
      </c>
      <c r="S208" s="4027">
        <f t="shared" si="91"/>
        <v>1100</v>
      </c>
      <c r="T208" s="4027">
        <f t="shared" si="91"/>
        <v>0</v>
      </c>
      <c r="U208" s="4027">
        <f t="shared" si="91"/>
        <v>0</v>
      </c>
      <c r="V208" s="4027">
        <f t="shared" si="91"/>
        <v>1100</v>
      </c>
    </row>
    <row r="209" spans="1:22" ht="31.2">
      <c r="A209" s="4009" t="s">
        <v>34</v>
      </c>
      <c r="B209" s="4028" t="s">
        <v>2871</v>
      </c>
      <c r="C209" s="4009"/>
      <c r="D209" s="4009"/>
      <c r="E209" s="4009"/>
      <c r="F209" s="4009"/>
      <c r="G209" s="4029">
        <f>G210</f>
        <v>6454</v>
      </c>
      <c r="H209" s="4029">
        <f t="shared" si="91"/>
        <v>0</v>
      </c>
      <c r="I209" s="4029">
        <f t="shared" si="91"/>
        <v>0</v>
      </c>
      <c r="J209" s="4029">
        <f t="shared" si="91"/>
        <v>0</v>
      </c>
      <c r="K209" s="4029">
        <f t="shared" si="91"/>
        <v>3900</v>
      </c>
      <c r="L209" s="4029">
        <f t="shared" si="91"/>
        <v>0</v>
      </c>
      <c r="M209" s="4029">
        <f t="shared" si="91"/>
        <v>0</v>
      </c>
      <c r="N209" s="4029">
        <f t="shared" si="91"/>
        <v>3900</v>
      </c>
      <c r="O209" s="4029">
        <f t="shared" si="91"/>
        <v>3900</v>
      </c>
      <c r="P209" s="4029">
        <f t="shared" si="91"/>
        <v>0</v>
      </c>
      <c r="Q209" s="4029">
        <f t="shared" si="91"/>
        <v>0</v>
      </c>
      <c r="R209" s="4029">
        <f t="shared" si="91"/>
        <v>3900</v>
      </c>
      <c r="S209" s="4029">
        <f t="shared" si="91"/>
        <v>1100</v>
      </c>
      <c r="T209" s="4029">
        <f t="shared" si="91"/>
        <v>0</v>
      </c>
      <c r="U209" s="4029">
        <f t="shared" si="91"/>
        <v>0</v>
      </c>
      <c r="V209" s="4029">
        <f t="shared" si="91"/>
        <v>1100</v>
      </c>
    </row>
    <row r="210" spans="1:22" s="4002" customFormat="1" ht="43.5" customHeight="1">
      <c r="A210" s="3987">
        <v>1</v>
      </c>
      <c r="B210" s="4114" t="s">
        <v>3132</v>
      </c>
      <c r="C210" s="3987" t="s">
        <v>3133</v>
      </c>
      <c r="D210" s="4115" t="s">
        <v>3134</v>
      </c>
      <c r="E210" s="4116" t="s">
        <v>2887</v>
      </c>
      <c r="F210" s="4116" t="s">
        <v>3135</v>
      </c>
      <c r="G210" s="4117">
        <v>6454</v>
      </c>
      <c r="H210" s="4117"/>
      <c r="I210" s="4117"/>
      <c r="J210" s="4117"/>
      <c r="K210" s="4117">
        <f>N210</f>
        <v>3900</v>
      </c>
      <c r="L210" s="4117"/>
      <c r="M210" s="4117"/>
      <c r="N210" s="4117">
        <v>3900</v>
      </c>
      <c r="O210" s="4117">
        <v>3900</v>
      </c>
      <c r="P210" s="4117"/>
      <c r="Q210" s="4117"/>
      <c r="R210" s="4117">
        <v>3900</v>
      </c>
      <c r="S210" s="4117">
        <v>1100</v>
      </c>
      <c r="T210" s="4117"/>
      <c r="U210" s="4117"/>
      <c r="V210" s="4117">
        <v>1100</v>
      </c>
    </row>
    <row r="211" spans="1:22" s="1577" customFormat="1">
      <c r="A211" s="4009" t="s">
        <v>49</v>
      </c>
      <c r="B211" s="4010" t="s">
        <v>2851</v>
      </c>
      <c r="C211" s="4035"/>
      <c r="D211" s="4035"/>
      <c r="E211" s="4035"/>
      <c r="F211" s="4035"/>
      <c r="G211" s="4027">
        <f t="shared" ref="G211:V212" si="92">G212</f>
        <v>14000.995999999999</v>
      </c>
      <c r="H211" s="4027">
        <f t="shared" si="92"/>
        <v>0</v>
      </c>
      <c r="I211" s="4027">
        <f t="shared" si="92"/>
        <v>0</v>
      </c>
      <c r="J211" s="4027">
        <f t="shared" si="92"/>
        <v>14000.995999999999</v>
      </c>
      <c r="K211" s="4027">
        <f t="shared" si="92"/>
        <v>4900</v>
      </c>
      <c r="L211" s="4027">
        <f t="shared" si="92"/>
        <v>0</v>
      </c>
      <c r="M211" s="4027">
        <f t="shared" si="92"/>
        <v>0</v>
      </c>
      <c r="N211" s="4027">
        <f t="shared" si="92"/>
        <v>4900</v>
      </c>
      <c r="O211" s="4027">
        <f t="shared" si="92"/>
        <v>4900</v>
      </c>
      <c r="P211" s="4027">
        <f t="shared" si="92"/>
        <v>0</v>
      </c>
      <c r="Q211" s="4027">
        <f t="shared" si="92"/>
        <v>0</v>
      </c>
      <c r="R211" s="4027">
        <f t="shared" si="92"/>
        <v>4900</v>
      </c>
      <c r="S211" s="4027">
        <f t="shared" si="92"/>
        <v>7500</v>
      </c>
      <c r="T211" s="4027">
        <f t="shared" si="92"/>
        <v>0</v>
      </c>
      <c r="U211" s="4027">
        <f t="shared" si="92"/>
        <v>0</v>
      </c>
      <c r="V211" s="4027">
        <f>V212</f>
        <v>7500</v>
      </c>
    </row>
    <row r="212" spans="1:22" s="248" customFormat="1">
      <c r="A212" s="4009">
        <v>1</v>
      </c>
      <c r="B212" s="4010" t="s">
        <v>3122</v>
      </c>
      <c r="C212" s="4009"/>
      <c r="D212" s="4009"/>
      <c r="E212" s="4009"/>
      <c r="F212" s="4009"/>
      <c r="G212" s="4027">
        <f t="shared" si="92"/>
        <v>14000.995999999999</v>
      </c>
      <c r="H212" s="4027">
        <f t="shared" si="92"/>
        <v>0</v>
      </c>
      <c r="I212" s="4027">
        <f t="shared" si="92"/>
        <v>0</v>
      </c>
      <c r="J212" s="4027">
        <f t="shared" si="92"/>
        <v>14000.995999999999</v>
      </c>
      <c r="K212" s="4027">
        <f t="shared" si="92"/>
        <v>4900</v>
      </c>
      <c r="L212" s="4027">
        <f t="shared" si="92"/>
        <v>0</v>
      </c>
      <c r="M212" s="4027">
        <f t="shared" si="92"/>
        <v>0</v>
      </c>
      <c r="N212" s="4027">
        <f t="shared" si="92"/>
        <v>4900</v>
      </c>
      <c r="O212" s="4027">
        <f t="shared" si="92"/>
        <v>4900</v>
      </c>
      <c r="P212" s="4027">
        <f t="shared" si="92"/>
        <v>0</v>
      </c>
      <c r="Q212" s="4027">
        <f t="shared" si="92"/>
        <v>0</v>
      </c>
      <c r="R212" s="4027">
        <f t="shared" si="92"/>
        <v>4900</v>
      </c>
      <c r="S212" s="4027">
        <f t="shared" si="92"/>
        <v>7500</v>
      </c>
      <c r="T212" s="4027">
        <f t="shared" si="92"/>
        <v>0</v>
      </c>
      <c r="U212" s="4027">
        <f t="shared" si="92"/>
        <v>0</v>
      </c>
      <c r="V212" s="4027">
        <f t="shared" si="92"/>
        <v>7500</v>
      </c>
    </row>
    <row r="213" spans="1:22" ht="31.2">
      <c r="A213" s="4009" t="s">
        <v>34</v>
      </c>
      <c r="B213" s="4028" t="s">
        <v>2871</v>
      </c>
      <c r="C213" s="4009"/>
      <c r="D213" s="4009"/>
      <c r="E213" s="4009"/>
      <c r="F213" s="4009"/>
      <c r="G213" s="4029">
        <f>SUM(G214:G217)</f>
        <v>14000.995999999999</v>
      </c>
      <c r="H213" s="4029">
        <f t="shared" ref="H213:V213" si="93">SUM(H214:H217)</f>
        <v>0</v>
      </c>
      <c r="I213" s="4029">
        <f t="shared" si="93"/>
        <v>0</v>
      </c>
      <c r="J213" s="4029">
        <f t="shared" si="93"/>
        <v>14000.995999999999</v>
      </c>
      <c r="K213" s="4029">
        <f t="shared" si="93"/>
        <v>4900</v>
      </c>
      <c r="L213" s="4029">
        <f t="shared" si="93"/>
        <v>0</v>
      </c>
      <c r="M213" s="4029">
        <f t="shared" si="93"/>
        <v>0</v>
      </c>
      <c r="N213" s="4029">
        <f t="shared" si="93"/>
        <v>4900</v>
      </c>
      <c r="O213" s="4029">
        <f t="shared" si="93"/>
        <v>4900</v>
      </c>
      <c r="P213" s="4029">
        <f t="shared" si="93"/>
        <v>0</v>
      </c>
      <c r="Q213" s="4029">
        <f t="shared" si="93"/>
        <v>0</v>
      </c>
      <c r="R213" s="4029">
        <f t="shared" si="93"/>
        <v>4900</v>
      </c>
      <c r="S213" s="4029">
        <f t="shared" si="93"/>
        <v>7500</v>
      </c>
      <c r="T213" s="4029">
        <f t="shared" si="93"/>
        <v>0</v>
      </c>
      <c r="U213" s="4029">
        <f t="shared" si="93"/>
        <v>0</v>
      </c>
      <c r="V213" s="4029">
        <f t="shared" si="93"/>
        <v>7500</v>
      </c>
    </row>
    <row r="214" spans="1:22" s="4072" customFormat="1" ht="30.75" customHeight="1">
      <c r="A214" s="3987">
        <v>1</v>
      </c>
      <c r="B214" s="4066" t="s">
        <v>3136</v>
      </c>
      <c r="C214" s="4041" t="s">
        <v>3031</v>
      </c>
      <c r="D214" s="4067" t="s">
        <v>3137</v>
      </c>
      <c r="E214" s="4067" t="s">
        <v>2892</v>
      </c>
      <c r="F214" s="4069" t="s">
        <v>3138</v>
      </c>
      <c r="G214" s="4070">
        <v>5430</v>
      </c>
      <c r="H214" s="4071"/>
      <c r="I214" s="4071"/>
      <c r="J214" s="4070">
        <f>G214</f>
        <v>5430</v>
      </c>
      <c r="K214" s="4070">
        <f>SUM(L214:N214)</f>
        <v>900</v>
      </c>
      <c r="L214" s="4070"/>
      <c r="M214" s="4070"/>
      <c r="N214" s="3990">
        <v>900</v>
      </c>
      <c r="O214" s="4070">
        <f>SUM(P214:R214)</f>
        <v>900</v>
      </c>
      <c r="P214" s="4071"/>
      <c r="Q214" s="4071"/>
      <c r="R214" s="4070">
        <v>900</v>
      </c>
      <c r="S214" s="3990">
        <f>SUM(T214:V214)</f>
        <v>4100</v>
      </c>
      <c r="T214" s="4071"/>
      <c r="U214" s="4071"/>
      <c r="V214" s="4070">
        <v>4100</v>
      </c>
    </row>
    <row r="215" spans="1:22" s="4072" customFormat="1" ht="30.75" customHeight="1">
      <c r="A215" s="3987">
        <v>2</v>
      </c>
      <c r="B215" s="4066" t="s">
        <v>3139</v>
      </c>
      <c r="C215" s="4041" t="s">
        <v>3031</v>
      </c>
      <c r="D215" s="4067" t="s">
        <v>3137</v>
      </c>
      <c r="E215" s="4067" t="s">
        <v>2892</v>
      </c>
      <c r="F215" s="4069" t="s">
        <v>3140</v>
      </c>
      <c r="G215" s="4070">
        <v>2611</v>
      </c>
      <c r="H215" s="4071"/>
      <c r="I215" s="4071"/>
      <c r="J215" s="4070">
        <f>G215</f>
        <v>2611</v>
      </c>
      <c r="K215" s="4070">
        <f>SUM(L215:N215)</f>
        <v>1200</v>
      </c>
      <c r="L215" s="4071"/>
      <c r="M215" s="4071"/>
      <c r="N215" s="3990">
        <v>1200</v>
      </c>
      <c r="O215" s="4070">
        <f>SUM(P215:R215)</f>
        <v>1200</v>
      </c>
      <c r="P215" s="4071"/>
      <c r="Q215" s="4071"/>
      <c r="R215" s="4070">
        <v>1200</v>
      </c>
      <c r="S215" s="3990">
        <f>SUM(T215:V215)</f>
        <v>1400</v>
      </c>
      <c r="T215" s="4071"/>
      <c r="U215" s="4071"/>
      <c r="V215" s="4070">
        <v>1400</v>
      </c>
    </row>
    <row r="216" spans="1:22" s="4072" customFormat="1" ht="30.75" customHeight="1">
      <c r="A216" s="3987">
        <v>3</v>
      </c>
      <c r="B216" s="4066" t="s">
        <v>3141</v>
      </c>
      <c r="C216" s="4041" t="s">
        <v>3031</v>
      </c>
      <c r="D216" s="4067" t="s">
        <v>3137</v>
      </c>
      <c r="E216" s="4067" t="s">
        <v>2892</v>
      </c>
      <c r="F216" s="4069" t="s">
        <v>3142</v>
      </c>
      <c r="G216" s="4070">
        <v>2658</v>
      </c>
      <c r="H216" s="4071"/>
      <c r="I216" s="4071"/>
      <c r="J216" s="4070">
        <f>G216</f>
        <v>2658</v>
      </c>
      <c r="K216" s="4070">
        <f>SUM(L216:N216)</f>
        <v>1600</v>
      </c>
      <c r="L216" s="4071"/>
      <c r="M216" s="4071"/>
      <c r="N216" s="3990">
        <v>1600</v>
      </c>
      <c r="O216" s="4070">
        <f>SUM(P216:R216)</f>
        <v>1600</v>
      </c>
      <c r="P216" s="4071"/>
      <c r="Q216" s="4071"/>
      <c r="R216" s="4070">
        <v>1600</v>
      </c>
      <c r="S216" s="3990">
        <f>SUM(T216:V216)</f>
        <v>1000</v>
      </c>
      <c r="T216" s="4071"/>
      <c r="U216" s="4071"/>
      <c r="V216" s="4070">
        <v>1000</v>
      </c>
    </row>
    <row r="217" spans="1:22" s="4072" customFormat="1" ht="30.75" customHeight="1">
      <c r="A217" s="3987">
        <v>4</v>
      </c>
      <c r="B217" s="4066" t="s">
        <v>3143</v>
      </c>
      <c r="C217" s="4041" t="s">
        <v>3031</v>
      </c>
      <c r="D217" s="4067" t="s">
        <v>3137</v>
      </c>
      <c r="E217" s="4067" t="s">
        <v>2892</v>
      </c>
      <c r="F217" s="4069" t="s">
        <v>3144</v>
      </c>
      <c r="G217" s="4070">
        <v>3301.9960000000001</v>
      </c>
      <c r="H217" s="4071"/>
      <c r="I217" s="4071"/>
      <c r="J217" s="4070">
        <f>G217</f>
        <v>3301.9960000000001</v>
      </c>
      <c r="K217" s="4070">
        <f>SUM(L217:N217)</f>
        <v>1200</v>
      </c>
      <c r="L217" s="4071"/>
      <c r="M217" s="4071"/>
      <c r="N217" s="3990">
        <v>1200</v>
      </c>
      <c r="O217" s="4070">
        <f>SUM(P217:R217)</f>
        <v>1200</v>
      </c>
      <c r="P217" s="4071"/>
      <c r="Q217" s="4071"/>
      <c r="R217" s="4070">
        <v>1200</v>
      </c>
      <c r="S217" s="3990">
        <f>SUM(T217:V217)</f>
        <v>1000</v>
      </c>
      <c r="T217" s="4071"/>
      <c r="U217" s="4071"/>
      <c r="V217" s="4070">
        <v>1000</v>
      </c>
    </row>
    <row r="218" spans="1:22" s="1577" customFormat="1">
      <c r="A218" s="4009" t="s">
        <v>50</v>
      </c>
      <c r="B218" s="4010" t="s">
        <v>3412</v>
      </c>
      <c r="C218" s="4035"/>
      <c r="D218" s="4035"/>
      <c r="E218" s="4035"/>
      <c r="F218" s="4035"/>
      <c r="G218" s="4027">
        <f t="shared" ref="G218:V219" si="94">G219</f>
        <v>10866</v>
      </c>
      <c r="H218" s="4027">
        <f t="shared" si="94"/>
        <v>0</v>
      </c>
      <c r="I218" s="4027">
        <f t="shared" si="94"/>
        <v>0</v>
      </c>
      <c r="J218" s="4027">
        <f t="shared" si="94"/>
        <v>10866</v>
      </c>
      <c r="K218" s="4027">
        <f t="shared" si="94"/>
        <v>0</v>
      </c>
      <c r="L218" s="4027">
        <f t="shared" si="94"/>
        <v>0</v>
      </c>
      <c r="M218" s="4027">
        <f t="shared" si="94"/>
        <v>0</v>
      </c>
      <c r="N218" s="4027">
        <f t="shared" si="94"/>
        <v>0</v>
      </c>
      <c r="O218" s="4027">
        <f t="shared" si="94"/>
        <v>0</v>
      </c>
      <c r="P218" s="4027">
        <f t="shared" si="94"/>
        <v>0</v>
      </c>
      <c r="Q218" s="4027">
        <f t="shared" si="94"/>
        <v>0</v>
      </c>
      <c r="R218" s="4027">
        <f t="shared" si="94"/>
        <v>0</v>
      </c>
      <c r="S218" s="4027">
        <f t="shared" si="94"/>
        <v>4200</v>
      </c>
      <c r="T218" s="4027">
        <f t="shared" si="94"/>
        <v>0</v>
      </c>
      <c r="U218" s="4027">
        <f t="shared" si="94"/>
        <v>0</v>
      </c>
      <c r="V218" s="4027">
        <f>V219</f>
        <v>4200</v>
      </c>
    </row>
    <row r="219" spans="1:22" s="248" customFormat="1">
      <c r="A219" s="4009">
        <v>1</v>
      </c>
      <c r="B219" s="4010" t="s">
        <v>3122</v>
      </c>
      <c r="C219" s="4009"/>
      <c r="D219" s="4009"/>
      <c r="E219" s="4009"/>
      <c r="F219" s="4009"/>
      <c r="G219" s="4027">
        <f t="shared" si="94"/>
        <v>10866</v>
      </c>
      <c r="H219" s="4027">
        <f t="shared" si="94"/>
        <v>0</v>
      </c>
      <c r="I219" s="4027">
        <f t="shared" si="94"/>
        <v>0</v>
      </c>
      <c r="J219" s="4027">
        <f t="shared" si="94"/>
        <v>10866</v>
      </c>
      <c r="K219" s="4027">
        <f t="shared" si="94"/>
        <v>0</v>
      </c>
      <c r="L219" s="4027">
        <f t="shared" si="94"/>
        <v>0</v>
      </c>
      <c r="M219" s="4027">
        <f t="shared" si="94"/>
        <v>0</v>
      </c>
      <c r="N219" s="4027">
        <f t="shared" si="94"/>
        <v>0</v>
      </c>
      <c r="O219" s="4027">
        <f t="shared" si="94"/>
        <v>0</v>
      </c>
      <c r="P219" s="4027">
        <f t="shared" si="94"/>
        <v>0</v>
      </c>
      <c r="Q219" s="4027">
        <f t="shared" si="94"/>
        <v>0</v>
      </c>
      <c r="R219" s="4027">
        <f t="shared" si="94"/>
        <v>0</v>
      </c>
      <c r="S219" s="4027">
        <f t="shared" si="94"/>
        <v>4200</v>
      </c>
      <c r="T219" s="4027">
        <f t="shared" si="94"/>
        <v>0</v>
      </c>
      <c r="U219" s="4027">
        <f t="shared" si="94"/>
        <v>0</v>
      </c>
      <c r="V219" s="4027">
        <f t="shared" si="94"/>
        <v>4200</v>
      </c>
    </row>
    <row r="220" spans="1:22" ht="31.2">
      <c r="A220" s="4009" t="s">
        <v>34</v>
      </c>
      <c r="B220" s="4028" t="s">
        <v>2871</v>
      </c>
      <c r="C220" s="4009"/>
      <c r="D220" s="4009"/>
      <c r="E220" s="4009"/>
      <c r="F220" s="4009"/>
      <c r="G220" s="4029">
        <f>SUM(G221:G222)</f>
        <v>10866</v>
      </c>
      <c r="H220" s="4029">
        <f t="shared" ref="H220:V220" si="95">SUM(H221:H222)</f>
        <v>0</v>
      </c>
      <c r="I220" s="4029">
        <f t="shared" si="95"/>
        <v>0</v>
      </c>
      <c r="J220" s="4029">
        <f t="shared" si="95"/>
        <v>10866</v>
      </c>
      <c r="K220" s="4029">
        <f t="shared" si="95"/>
        <v>0</v>
      </c>
      <c r="L220" s="4029">
        <f t="shared" si="95"/>
        <v>0</v>
      </c>
      <c r="M220" s="4029">
        <f t="shared" si="95"/>
        <v>0</v>
      </c>
      <c r="N220" s="4029">
        <f t="shared" si="95"/>
        <v>0</v>
      </c>
      <c r="O220" s="4029">
        <f t="shared" si="95"/>
        <v>0</v>
      </c>
      <c r="P220" s="4029">
        <f t="shared" si="95"/>
        <v>0</v>
      </c>
      <c r="Q220" s="4029">
        <f t="shared" si="95"/>
        <v>0</v>
      </c>
      <c r="R220" s="4029">
        <f t="shared" si="95"/>
        <v>0</v>
      </c>
      <c r="S220" s="4029">
        <f t="shared" si="95"/>
        <v>4200</v>
      </c>
      <c r="T220" s="4029">
        <f t="shared" si="95"/>
        <v>0</v>
      </c>
      <c r="U220" s="4029">
        <f t="shared" si="95"/>
        <v>0</v>
      </c>
      <c r="V220" s="4029">
        <f t="shared" si="95"/>
        <v>4200</v>
      </c>
    </row>
    <row r="221" spans="1:22" s="4096" customFormat="1" ht="32.25" customHeight="1">
      <c r="A221" s="3987">
        <v>1</v>
      </c>
      <c r="B221" s="4034" t="s">
        <v>3521</v>
      </c>
      <c r="C221" s="3987" t="s">
        <v>3522</v>
      </c>
      <c r="D221" s="3987" t="s">
        <v>3523</v>
      </c>
      <c r="E221" s="3987" t="s">
        <v>2892</v>
      </c>
      <c r="F221" s="3987" t="s">
        <v>3524</v>
      </c>
      <c r="G221" s="3990">
        <v>6993</v>
      </c>
      <c r="H221" s="3990"/>
      <c r="I221" s="3990"/>
      <c r="J221" s="3990">
        <f>G221</f>
        <v>6993</v>
      </c>
      <c r="K221" s="3990">
        <f>N221</f>
        <v>0</v>
      </c>
      <c r="L221" s="3990"/>
      <c r="M221" s="3990"/>
      <c r="N221" s="3990">
        <v>0</v>
      </c>
      <c r="O221" s="3990">
        <f>R221</f>
        <v>0</v>
      </c>
      <c r="P221" s="3990"/>
      <c r="Q221" s="3990"/>
      <c r="R221" s="3990">
        <v>0</v>
      </c>
      <c r="S221" s="3990">
        <f>V221</f>
        <v>3000</v>
      </c>
      <c r="T221" s="3990"/>
      <c r="U221" s="3990"/>
      <c r="V221" s="3990">
        <v>3000</v>
      </c>
    </row>
    <row r="222" spans="1:22" s="4096" customFormat="1" ht="32.25" customHeight="1">
      <c r="A222" s="3987">
        <v>2</v>
      </c>
      <c r="B222" s="4034" t="s">
        <v>3525</v>
      </c>
      <c r="C222" s="3987" t="s">
        <v>3522</v>
      </c>
      <c r="D222" s="3987" t="s">
        <v>3526</v>
      </c>
      <c r="E222" s="3987" t="s">
        <v>2892</v>
      </c>
      <c r="F222" s="3987" t="s">
        <v>3527</v>
      </c>
      <c r="G222" s="3990">
        <v>3873</v>
      </c>
      <c r="H222" s="3990"/>
      <c r="I222" s="3990"/>
      <c r="J222" s="3990">
        <f>G222</f>
        <v>3873</v>
      </c>
      <c r="K222" s="3990">
        <f>N222</f>
        <v>0</v>
      </c>
      <c r="L222" s="3990"/>
      <c r="M222" s="3990"/>
      <c r="N222" s="3990">
        <v>0</v>
      </c>
      <c r="O222" s="3990">
        <f>R222</f>
        <v>0</v>
      </c>
      <c r="P222" s="3990"/>
      <c r="Q222" s="3990"/>
      <c r="R222" s="3990">
        <v>0</v>
      </c>
      <c r="S222" s="3990">
        <f>V222</f>
        <v>1200</v>
      </c>
      <c r="T222" s="3990"/>
      <c r="U222" s="3990"/>
      <c r="V222" s="3990">
        <v>1200</v>
      </c>
    </row>
    <row r="223" spans="1:22" s="1577" customFormat="1">
      <c r="A223" s="4009" t="s">
        <v>72</v>
      </c>
      <c r="B223" s="4010" t="s">
        <v>3414</v>
      </c>
      <c r="C223" s="4035"/>
      <c r="D223" s="4035"/>
      <c r="E223" s="4035"/>
      <c r="F223" s="4035"/>
      <c r="G223" s="4027">
        <f t="shared" ref="G223:V224" si="96">G224</f>
        <v>5182.9179999999997</v>
      </c>
      <c r="H223" s="4027">
        <f t="shared" si="96"/>
        <v>0</v>
      </c>
      <c r="I223" s="4027">
        <f t="shared" si="96"/>
        <v>0</v>
      </c>
      <c r="J223" s="4027">
        <f t="shared" si="96"/>
        <v>5182.9179999999997</v>
      </c>
      <c r="K223" s="4027">
        <f t="shared" si="96"/>
        <v>0</v>
      </c>
      <c r="L223" s="4027">
        <f t="shared" si="96"/>
        <v>0</v>
      </c>
      <c r="M223" s="4027">
        <f t="shared" si="96"/>
        <v>0</v>
      </c>
      <c r="N223" s="4027">
        <f t="shared" si="96"/>
        <v>0</v>
      </c>
      <c r="O223" s="4027">
        <f t="shared" si="96"/>
        <v>0</v>
      </c>
      <c r="P223" s="4027">
        <f t="shared" si="96"/>
        <v>0</v>
      </c>
      <c r="Q223" s="4027">
        <f t="shared" si="96"/>
        <v>0</v>
      </c>
      <c r="R223" s="4027">
        <f t="shared" si="96"/>
        <v>0</v>
      </c>
      <c r="S223" s="4027">
        <f t="shared" si="96"/>
        <v>4700</v>
      </c>
      <c r="T223" s="4027">
        <f t="shared" si="96"/>
        <v>0</v>
      </c>
      <c r="U223" s="4027">
        <f t="shared" si="96"/>
        <v>0</v>
      </c>
      <c r="V223" s="4027">
        <f>V224</f>
        <v>4700</v>
      </c>
    </row>
    <row r="224" spans="1:22" s="248" customFormat="1">
      <c r="A224" s="4009">
        <v>1</v>
      </c>
      <c r="B224" s="4010" t="s">
        <v>3122</v>
      </c>
      <c r="C224" s="4009"/>
      <c r="D224" s="4009"/>
      <c r="E224" s="4009"/>
      <c r="F224" s="4009"/>
      <c r="G224" s="4027">
        <f t="shared" si="96"/>
        <v>5182.9179999999997</v>
      </c>
      <c r="H224" s="4027">
        <f t="shared" si="96"/>
        <v>0</v>
      </c>
      <c r="I224" s="4027">
        <f t="shared" si="96"/>
        <v>0</v>
      </c>
      <c r="J224" s="4027">
        <f t="shared" si="96"/>
        <v>5182.9179999999997</v>
      </c>
      <c r="K224" s="4027">
        <f t="shared" si="96"/>
        <v>0</v>
      </c>
      <c r="L224" s="4027">
        <f t="shared" si="96"/>
        <v>0</v>
      </c>
      <c r="M224" s="4027">
        <f t="shared" si="96"/>
        <v>0</v>
      </c>
      <c r="N224" s="4027">
        <f t="shared" si="96"/>
        <v>0</v>
      </c>
      <c r="O224" s="4027">
        <f t="shared" si="96"/>
        <v>0</v>
      </c>
      <c r="P224" s="4027">
        <f t="shared" si="96"/>
        <v>0</v>
      </c>
      <c r="Q224" s="4027">
        <f t="shared" si="96"/>
        <v>0</v>
      </c>
      <c r="R224" s="4027">
        <f t="shared" si="96"/>
        <v>0</v>
      </c>
      <c r="S224" s="4027">
        <f t="shared" si="96"/>
        <v>4700</v>
      </c>
      <c r="T224" s="4027">
        <f t="shared" si="96"/>
        <v>0</v>
      </c>
      <c r="U224" s="4027">
        <f t="shared" si="96"/>
        <v>0</v>
      </c>
      <c r="V224" s="4027">
        <f t="shared" si="96"/>
        <v>4700</v>
      </c>
    </row>
    <row r="225" spans="1:22" ht="31.2">
      <c r="A225" s="4009" t="s">
        <v>34</v>
      </c>
      <c r="B225" s="4028" t="s">
        <v>2871</v>
      </c>
      <c r="C225" s="4009"/>
      <c r="D225" s="4009"/>
      <c r="E225" s="4009"/>
      <c r="F225" s="4009"/>
      <c r="G225" s="4029">
        <f t="shared" ref="G225:U225" si="97">SUM(G226:G227)</f>
        <v>5182.9179999999997</v>
      </c>
      <c r="H225" s="4029">
        <f t="shared" si="97"/>
        <v>0</v>
      </c>
      <c r="I225" s="4029">
        <f t="shared" si="97"/>
        <v>0</v>
      </c>
      <c r="J225" s="4029">
        <f t="shared" si="97"/>
        <v>5182.9179999999997</v>
      </c>
      <c r="K225" s="4029">
        <f t="shared" si="97"/>
        <v>0</v>
      </c>
      <c r="L225" s="4029">
        <f t="shared" si="97"/>
        <v>0</v>
      </c>
      <c r="M225" s="4029">
        <f t="shared" si="97"/>
        <v>0</v>
      </c>
      <c r="N225" s="4029">
        <f t="shared" si="97"/>
        <v>0</v>
      </c>
      <c r="O225" s="4029">
        <f t="shared" si="97"/>
        <v>0</v>
      </c>
      <c r="P225" s="4029">
        <f t="shared" si="97"/>
        <v>0</v>
      </c>
      <c r="Q225" s="4029">
        <f t="shared" si="97"/>
        <v>0</v>
      </c>
      <c r="R225" s="4029">
        <f t="shared" si="97"/>
        <v>0</v>
      </c>
      <c r="S225" s="4029">
        <f t="shared" si="97"/>
        <v>4700</v>
      </c>
      <c r="T225" s="4029">
        <f t="shared" si="97"/>
        <v>0</v>
      </c>
      <c r="U225" s="4029">
        <f t="shared" si="97"/>
        <v>0</v>
      </c>
      <c r="V225" s="4029">
        <f>SUM(V226:V227)</f>
        <v>4700</v>
      </c>
    </row>
    <row r="226" spans="1:22" s="3999" customFormat="1" ht="27.75" customHeight="1">
      <c r="A226" s="3987">
        <v>1</v>
      </c>
      <c r="B226" s="4034" t="s">
        <v>3528</v>
      </c>
      <c r="C226" s="3987" t="s">
        <v>3529</v>
      </c>
      <c r="D226" s="3987"/>
      <c r="E226" s="3987"/>
      <c r="F226" s="3987" t="s">
        <v>3530</v>
      </c>
      <c r="G226" s="4118">
        <f t="shared" ref="G226:G227" si="98">H226+I226+J226</f>
        <v>3258.596</v>
      </c>
      <c r="H226" s="3990"/>
      <c r="I226" s="3990"/>
      <c r="J226" s="3990">
        <v>3258.596</v>
      </c>
      <c r="K226" s="4118">
        <f t="shared" ref="K226:K227" si="99">L226+M226+N226</f>
        <v>0</v>
      </c>
      <c r="L226" s="3990"/>
      <c r="M226" s="3990"/>
      <c r="N226" s="3990"/>
      <c r="O226" s="4118">
        <f t="shared" ref="O226:O227" si="100">P226+Q226+R226</f>
        <v>0</v>
      </c>
      <c r="P226" s="3990"/>
      <c r="Q226" s="3990"/>
      <c r="R226" s="3990"/>
      <c r="S226" s="3992">
        <f t="shared" ref="S226:S227" si="101">T226+U226+V226</f>
        <v>2900</v>
      </c>
      <c r="T226" s="3990"/>
      <c r="U226" s="3990"/>
      <c r="V226" s="3990">
        <v>2900</v>
      </c>
    </row>
    <row r="227" spans="1:22" s="3999" customFormat="1" ht="27.75" customHeight="1">
      <c r="A227" s="3987">
        <v>2</v>
      </c>
      <c r="B227" s="4034" t="s">
        <v>3531</v>
      </c>
      <c r="C227" s="3987" t="s">
        <v>3532</v>
      </c>
      <c r="D227" s="3987"/>
      <c r="E227" s="3987"/>
      <c r="F227" s="3987" t="s">
        <v>3533</v>
      </c>
      <c r="G227" s="4118">
        <f t="shared" si="98"/>
        <v>1924.3219999999999</v>
      </c>
      <c r="H227" s="3990"/>
      <c r="I227" s="3990"/>
      <c r="J227" s="3990">
        <v>1924.3219999999999</v>
      </c>
      <c r="K227" s="4118">
        <f t="shared" si="99"/>
        <v>0</v>
      </c>
      <c r="L227" s="3990"/>
      <c r="M227" s="3990"/>
      <c r="N227" s="3990"/>
      <c r="O227" s="4118">
        <f t="shared" si="100"/>
        <v>0</v>
      </c>
      <c r="P227" s="3990"/>
      <c r="Q227" s="3990"/>
      <c r="R227" s="3990"/>
      <c r="S227" s="3992">
        <f t="shared" si="101"/>
        <v>1800</v>
      </c>
      <c r="T227" s="3990"/>
      <c r="U227" s="3990"/>
      <c r="V227" s="3990">
        <v>1800</v>
      </c>
    </row>
    <row r="228" spans="1:22" s="248" customFormat="1">
      <c r="A228" s="4009" t="s">
        <v>9</v>
      </c>
      <c r="B228" s="4010" t="s">
        <v>3145</v>
      </c>
      <c r="C228" s="4009"/>
      <c r="D228" s="4009"/>
      <c r="E228" s="4009"/>
      <c r="F228" s="4009"/>
      <c r="G228" s="4027">
        <f>G229+G233+G237</f>
        <v>735314</v>
      </c>
      <c r="H228" s="4027">
        <f t="shared" ref="H228:V228" si="102">H229+H233+H237</f>
        <v>558326</v>
      </c>
      <c r="I228" s="4027">
        <f t="shared" si="102"/>
        <v>0</v>
      </c>
      <c r="J228" s="4027">
        <f t="shared" si="102"/>
        <v>170571</v>
      </c>
      <c r="K228" s="4027">
        <f t="shared" si="102"/>
        <v>574941.6</v>
      </c>
      <c r="L228" s="4027">
        <f t="shared" si="102"/>
        <v>438066.6</v>
      </c>
      <c r="M228" s="4027">
        <f t="shared" si="102"/>
        <v>0</v>
      </c>
      <c r="N228" s="4027">
        <f t="shared" si="102"/>
        <v>136875</v>
      </c>
      <c r="O228" s="4027">
        <f t="shared" si="102"/>
        <v>686104.71400000004</v>
      </c>
      <c r="P228" s="4027">
        <f t="shared" si="102"/>
        <v>548200.71400000004</v>
      </c>
      <c r="Q228" s="4027">
        <f t="shared" si="102"/>
        <v>0</v>
      </c>
      <c r="R228" s="4027">
        <f t="shared" si="102"/>
        <v>137904</v>
      </c>
      <c r="S228" s="4027">
        <f t="shared" si="102"/>
        <v>42300</v>
      </c>
      <c r="T228" s="4027">
        <f t="shared" si="102"/>
        <v>0</v>
      </c>
      <c r="U228" s="4027">
        <f t="shared" si="102"/>
        <v>0</v>
      </c>
      <c r="V228" s="4027">
        <f t="shared" si="102"/>
        <v>42300</v>
      </c>
    </row>
    <row r="229" spans="1:22" s="1577" customFormat="1" ht="31.2">
      <c r="A229" s="4009" t="s">
        <v>9</v>
      </c>
      <c r="B229" s="4010" t="s">
        <v>2853</v>
      </c>
      <c r="C229" s="4035"/>
      <c r="D229" s="4035"/>
      <c r="E229" s="4035"/>
      <c r="F229" s="4035"/>
      <c r="G229" s="4027">
        <f t="shared" ref="G229:V239" si="103">G230</f>
        <v>663704</v>
      </c>
      <c r="H229" s="4027">
        <f t="shared" si="103"/>
        <v>558326</v>
      </c>
      <c r="I229" s="4027">
        <f t="shared" si="103"/>
        <v>0</v>
      </c>
      <c r="J229" s="4027">
        <f t="shared" si="103"/>
        <v>98961</v>
      </c>
      <c r="K229" s="4027">
        <f t="shared" si="103"/>
        <v>535998.6</v>
      </c>
      <c r="L229" s="4027">
        <f t="shared" si="103"/>
        <v>438066.6</v>
      </c>
      <c r="M229" s="4027">
        <f t="shared" si="103"/>
        <v>0</v>
      </c>
      <c r="N229" s="4027">
        <f t="shared" si="103"/>
        <v>97932</v>
      </c>
      <c r="O229" s="4027">
        <f t="shared" si="103"/>
        <v>647161.71400000004</v>
      </c>
      <c r="P229" s="4027">
        <f t="shared" si="103"/>
        <v>548200.71400000004</v>
      </c>
      <c r="Q229" s="4027">
        <f t="shared" si="103"/>
        <v>0</v>
      </c>
      <c r="R229" s="4027">
        <f t="shared" si="103"/>
        <v>98961</v>
      </c>
      <c r="S229" s="4027">
        <f t="shared" si="103"/>
        <v>26500</v>
      </c>
      <c r="T229" s="4027">
        <f t="shared" si="103"/>
        <v>0</v>
      </c>
      <c r="U229" s="4027">
        <f t="shared" si="103"/>
        <v>0</v>
      </c>
      <c r="V229" s="4027">
        <f t="shared" si="103"/>
        <v>26500</v>
      </c>
    </row>
    <row r="230" spans="1:22" s="248" customFormat="1">
      <c r="A230" s="4009">
        <v>1</v>
      </c>
      <c r="B230" s="4010" t="s">
        <v>3122</v>
      </c>
      <c r="C230" s="4009"/>
      <c r="D230" s="4009"/>
      <c r="E230" s="4009"/>
      <c r="F230" s="4009"/>
      <c r="G230" s="4027">
        <f>G231</f>
        <v>663704</v>
      </c>
      <c r="H230" s="4027">
        <f t="shared" si="103"/>
        <v>558326</v>
      </c>
      <c r="I230" s="4027">
        <f t="shared" si="103"/>
        <v>0</v>
      </c>
      <c r="J230" s="4027">
        <f t="shared" si="103"/>
        <v>98961</v>
      </c>
      <c r="K230" s="4027">
        <f t="shared" si="103"/>
        <v>535998.6</v>
      </c>
      <c r="L230" s="4027">
        <f t="shared" si="103"/>
        <v>438066.6</v>
      </c>
      <c r="M230" s="4027">
        <f t="shared" si="103"/>
        <v>0</v>
      </c>
      <c r="N230" s="4027">
        <f t="shared" si="103"/>
        <v>97932</v>
      </c>
      <c r="O230" s="4027">
        <f t="shared" si="103"/>
        <v>647161.71400000004</v>
      </c>
      <c r="P230" s="4027">
        <f t="shared" si="103"/>
        <v>548200.71400000004</v>
      </c>
      <c r="Q230" s="4027">
        <f t="shared" si="103"/>
        <v>0</v>
      </c>
      <c r="R230" s="4027">
        <f t="shared" si="103"/>
        <v>98961</v>
      </c>
      <c r="S230" s="4027">
        <f t="shared" si="103"/>
        <v>26500</v>
      </c>
      <c r="T230" s="4027">
        <f t="shared" si="103"/>
        <v>0</v>
      </c>
      <c r="U230" s="4027">
        <f t="shared" si="103"/>
        <v>0</v>
      </c>
      <c r="V230" s="4027">
        <f t="shared" si="103"/>
        <v>26500</v>
      </c>
    </row>
    <row r="231" spans="1:22" ht="46.8">
      <c r="A231" s="4009" t="s">
        <v>34</v>
      </c>
      <c r="B231" s="4119" t="s">
        <v>3266</v>
      </c>
      <c r="C231" s="4009"/>
      <c r="D231" s="4009"/>
      <c r="E231" s="4009"/>
      <c r="F231" s="4009"/>
      <c r="G231" s="4029">
        <f>G232</f>
        <v>663704</v>
      </c>
      <c r="H231" s="4029">
        <f t="shared" si="103"/>
        <v>558326</v>
      </c>
      <c r="I231" s="4029">
        <f t="shared" si="103"/>
        <v>0</v>
      </c>
      <c r="J231" s="4029">
        <f t="shared" si="103"/>
        <v>98961</v>
      </c>
      <c r="K231" s="4029">
        <f t="shared" si="103"/>
        <v>535998.6</v>
      </c>
      <c r="L231" s="4029">
        <f t="shared" si="103"/>
        <v>438066.6</v>
      </c>
      <c r="M231" s="4029">
        <f t="shared" si="103"/>
        <v>0</v>
      </c>
      <c r="N231" s="4029">
        <f t="shared" si="103"/>
        <v>97932</v>
      </c>
      <c r="O231" s="4029">
        <f t="shared" si="103"/>
        <v>647161.71400000004</v>
      </c>
      <c r="P231" s="4029">
        <f t="shared" si="103"/>
        <v>548200.71400000004</v>
      </c>
      <c r="Q231" s="4029">
        <f t="shared" si="103"/>
        <v>0</v>
      </c>
      <c r="R231" s="4029">
        <f t="shared" si="103"/>
        <v>98961</v>
      </c>
      <c r="S231" s="4029">
        <f t="shared" si="103"/>
        <v>26500</v>
      </c>
      <c r="T231" s="4029">
        <f t="shared" si="103"/>
        <v>0</v>
      </c>
      <c r="U231" s="4029">
        <f t="shared" si="103"/>
        <v>0</v>
      </c>
      <c r="V231" s="4029">
        <f t="shared" si="103"/>
        <v>26500</v>
      </c>
    </row>
    <row r="232" spans="1:22" s="4002" customFormat="1" ht="140.4">
      <c r="A232" s="4102">
        <v>1</v>
      </c>
      <c r="B232" s="4097" t="s">
        <v>3534</v>
      </c>
      <c r="C232" s="4052" t="s">
        <v>3535</v>
      </c>
      <c r="D232" s="4120"/>
      <c r="E232" s="4120" t="s">
        <v>3536</v>
      </c>
      <c r="F232" s="4047" t="s">
        <v>3537</v>
      </c>
      <c r="G232" s="4118">
        <f>H232+I232+J232+6417</f>
        <v>663704</v>
      </c>
      <c r="H232" s="4118">
        <v>558326</v>
      </c>
      <c r="I232" s="4118"/>
      <c r="J232" s="4118">
        <v>98961</v>
      </c>
      <c r="K232" s="4118">
        <f>L232+M232+N232</f>
        <v>535998.6</v>
      </c>
      <c r="L232" s="4118">
        <v>438066.6</v>
      </c>
      <c r="M232" s="4118"/>
      <c r="N232" s="3992">
        <v>97932</v>
      </c>
      <c r="O232" s="4118">
        <f>P232+Q232+R232</f>
        <v>647161.71400000004</v>
      </c>
      <c r="P232" s="4118">
        <v>548200.71400000004</v>
      </c>
      <c r="Q232" s="4118"/>
      <c r="R232" s="4118">
        <v>98961</v>
      </c>
      <c r="S232" s="3992">
        <f>T232+U232+V232</f>
        <v>26500</v>
      </c>
      <c r="T232" s="4118"/>
      <c r="U232" s="4118"/>
      <c r="V232" s="4118">
        <v>26500</v>
      </c>
    </row>
    <row r="233" spans="1:22" s="1577" customFormat="1" ht="31.2">
      <c r="A233" s="4009" t="s">
        <v>20</v>
      </c>
      <c r="B233" s="4010" t="s">
        <v>3408</v>
      </c>
      <c r="C233" s="4035"/>
      <c r="D233" s="4035"/>
      <c r="E233" s="4035"/>
      <c r="F233" s="4035"/>
      <c r="G233" s="4027">
        <f t="shared" si="103"/>
        <v>59593</v>
      </c>
      <c r="H233" s="4027">
        <f t="shared" si="103"/>
        <v>0</v>
      </c>
      <c r="I233" s="4027">
        <f t="shared" si="103"/>
        <v>0</v>
      </c>
      <c r="J233" s="4027">
        <f t="shared" si="103"/>
        <v>59593</v>
      </c>
      <c r="K233" s="4027">
        <f t="shared" si="103"/>
        <v>38943</v>
      </c>
      <c r="L233" s="4027">
        <f t="shared" si="103"/>
        <v>0</v>
      </c>
      <c r="M233" s="4027">
        <f t="shared" si="103"/>
        <v>0</v>
      </c>
      <c r="N233" s="4027">
        <f t="shared" si="103"/>
        <v>38943</v>
      </c>
      <c r="O233" s="4027">
        <f t="shared" si="103"/>
        <v>38943</v>
      </c>
      <c r="P233" s="4027">
        <f t="shared" si="103"/>
        <v>0</v>
      </c>
      <c r="Q233" s="4027">
        <f t="shared" si="103"/>
        <v>0</v>
      </c>
      <c r="R233" s="4027">
        <f t="shared" si="103"/>
        <v>38943</v>
      </c>
      <c r="S233" s="4027">
        <f t="shared" si="103"/>
        <v>5800</v>
      </c>
      <c r="T233" s="4027">
        <f t="shared" si="103"/>
        <v>0</v>
      </c>
      <c r="U233" s="4027">
        <f t="shared" si="103"/>
        <v>0</v>
      </c>
      <c r="V233" s="4027">
        <f t="shared" si="103"/>
        <v>5800</v>
      </c>
    </row>
    <row r="234" spans="1:22" s="248" customFormat="1">
      <c r="A234" s="4009">
        <v>1</v>
      </c>
      <c r="B234" s="4010" t="s">
        <v>3122</v>
      </c>
      <c r="C234" s="4009"/>
      <c r="D234" s="4009"/>
      <c r="E234" s="4009"/>
      <c r="F234" s="4009"/>
      <c r="G234" s="4027">
        <f>G235</f>
        <v>59593</v>
      </c>
      <c r="H234" s="4027">
        <f t="shared" si="103"/>
        <v>0</v>
      </c>
      <c r="I234" s="4027">
        <f t="shared" si="103"/>
        <v>0</v>
      </c>
      <c r="J234" s="4027">
        <f t="shared" si="103"/>
        <v>59593</v>
      </c>
      <c r="K234" s="4027">
        <f t="shared" si="103"/>
        <v>38943</v>
      </c>
      <c r="L234" s="4027">
        <f t="shared" si="103"/>
        <v>0</v>
      </c>
      <c r="M234" s="4027">
        <f t="shared" si="103"/>
        <v>0</v>
      </c>
      <c r="N234" s="4027">
        <f t="shared" si="103"/>
        <v>38943</v>
      </c>
      <c r="O234" s="4027">
        <f t="shared" si="103"/>
        <v>38943</v>
      </c>
      <c r="P234" s="4027">
        <f t="shared" si="103"/>
        <v>0</v>
      </c>
      <c r="Q234" s="4027">
        <f t="shared" si="103"/>
        <v>0</v>
      </c>
      <c r="R234" s="4027">
        <f t="shared" si="103"/>
        <v>38943</v>
      </c>
      <c r="S234" s="4027">
        <f t="shared" si="103"/>
        <v>5800</v>
      </c>
      <c r="T234" s="4027">
        <f t="shared" si="103"/>
        <v>0</v>
      </c>
      <c r="U234" s="4027">
        <f t="shared" si="103"/>
        <v>0</v>
      </c>
      <c r="V234" s="4027">
        <f t="shared" si="103"/>
        <v>5800</v>
      </c>
    </row>
    <row r="235" spans="1:22" ht="31.2">
      <c r="A235" s="4009" t="s">
        <v>34</v>
      </c>
      <c r="B235" s="4028" t="s">
        <v>2871</v>
      </c>
      <c r="C235" s="4009"/>
      <c r="D235" s="4009"/>
      <c r="E235" s="4009"/>
      <c r="F235" s="4009"/>
      <c r="G235" s="4029">
        <f>G236</f>
        <v>59593</v>
      </c>
      <c r="H235" s="4029">
        <f t="shared" si="103"/>
        <v>0</v>
      </c>
      <c r="I235" s="4029">
        <f t="shared" si="103"/>
        <v>0</v>
      </c>
      <c r="J235" s="4029">
        <f t="shared" si="103"/>
        <v>59593</v>
      </c>
      <c r="K235" s="4029">
        <f t="shared" si="103"/>
        <v>38943</v>
      </c>
      <c r="L235" s="4029">
        <f t="shared" si="103"/>
        <v>0</v>
      </c>
      <c r="M235" s="4029">
        <f t="shared" si="103"/>
        <v>0</v>
      </c>
      <c r="N235" s="4029">
        <f t="shared" si="103"/>
        <v>38943</v>
      </c>
      <c r="O235" s="4029">
        <f t="shared" si="103"/>
        <v>38943</v>
      </c>
      <c r="P235" s="4029">
        <f t="shared" si="103"/>
        <v>0</v>
      </c>
      <c r="Q235" s="4029">
        <f t="shared" si="103"/>
        <v>0</v>
      </c>
      <c r="R235" s="4029">
        <f t="shared" si="103"/>
        <v>38943</v>
      </c>
      <c r="S235" s="4029">
        <f t="shared" si="103"/>
        <v>5800</v>
      </c>
      <c r="T235" s="4029">
        <f t="shared" si="103"/>
        <v>0</v>
      </c>
      <c r="U235" s="4029">
        <f t="shared" si="103"/>
        <v>0</v>
      </c>
      <c r="V235" s="4029">
        <f t="shared" si="103"/>
        <v>5800</v>
      </c>
    </row>
    <row r="236" spans="1:22" s="4002" customFormat="1" ht="62.4">
      <c r="A236" s="4102">
        <v>1</v>
      </c>
      <c r="B236" s="4097" t="s">
        <v>3538</v>
      </c>
      <c r="C236" s="4102" t="s">
        <v>3105</v>
      </c>
      <c r="D236" s="4120"/>
      <c r="E236" s="4120"/>
      <c r="F236" s="4047" t="s">
        <v>3539</v>
      </c>
      <c r="G236" s="4118">
        <f t="shared" ref="G236" si="104">H236+I236+J236</f>
        <v>59593</v>
      </c>
      <c r="H236" s="4118"/>
      <c r="I236" s="4118"/>
      <c r="J236" s="4118">
        <v>59593</v>
      </c>
      <c r="K236" s="4118">
        <f t="shared" ref="K236" si="105">L236+M236+N236</f>
        <v>38943</v>
      </c>
      <c r="L236" s="4118"/>
      <c r="M236" s="4118"/>
      <c r="N236" s="3992">
        <v>38943</v>
      </c>
      <c r="O236" s="4118">
        <f t="shared" ref="O236" si="106">P236+Q236+R236</f>
        <v>38943</v>
      </c>
      <c r="P236" s="4118"/>
      <c r="Q236" s="4118"/>
      <c r="R236" s="4118">
        <v>38943</v>
      </c>
      <c r="S236" s="3992">
        <f t="shared" ref="S236" si="107">T236+U236+V236</f>
        <v>5800</v>
      </c>
      <c r="T236" s="4118"/>
      <c r="U236" s="4118"/>
      <c r="V236" s="4118">
        <v>5800</v>
      </c>
    </row>
    <row r="237" spans="1:22" s="1577" customFormat="1">
      <c r="A237" s="4009" t="s">
        <v>49</v>
      </c>
      <c r="B237" s="4010" t="s">
        <v>3409</v>
      </c>
      <c r="C237" s="4035"/>
      <c r="D237" s="4035"/>
      <c r="E237" s="4035"/>
      <c r="F237" s="4035"/>
      <c r="G237" s="4027">
        <f t="shared" si="103"/>
        <v>12017</v>
      </c>
      <c r="H237" s="4027">
        <f t="shared" si="103"/>
        <v>0</v>
      </c>
      <c r="I237" s="4027">
        <f t="shared" si="103"/>
        <v>0</v>
      </c>
      <c r="J237" s="4027">
        <f t="shared" si="103"/>
        <v>12017</v>
      </c>
      <c r="K237" s="4027">
        <f t="shared" si="103"/>
        <v>0</v>
      </c>
      <c r="L237" s="4027">
        <f t="shared" si="103"/>
        <v>0</v>
      </c>
      <c r="M237" s="4027">
        <f t="shared" si="103"/>
        <v>0</v>
      </c>
      <c r="N237" s="4027">
        <f t="shared" si="103"/>
        <v>0</v>
      </c>
      <c r="O237" s="4027">
        <f t="shared" si="103"/>
        <v>0</v>
      </c>
      <c r="P237" s="4027">
        <f t="shared" si="103"/>
        <v>0</v>
      </c>
      <c r="Q237" s="4027">
        <f t="shared" si="103"/>
        <v>0</v>
      </c>
      <c r="R237" s="4027">
        <f t="shared" si="103"/>
        <v>0</v>
      </c>
      <c r="S237" s="4027">
        <f t="shared" si="103"/>
        <v>10000</v>
      </c>
      <c r="T237" s="4027">
        <f t="shared" si="103"/>
        <v>0</v>
      </c>
      <c r="U237" s="4027">
        <f t="shared" si="103"/>
        <v>0</v>
      </c>
      <c r="V237" s="4027">
        <f t="shared" si="103"/>
        <v>10000</v>
      </c>
    </row>
    <row r="238" spans="1:22" s="248" customFormat="1">
      <c r="A238" s="4009">
        <v>1</v>
      </c>
      <c r="B238" s="4010" t="s">
        <v>3122</v>
      </c>
      <c r="C238" s="4009"/>
      <c r="D238" s="4009"/>
      <c r="E238" s="4009"/>
      <c r="F238" s="4009"/>
      <c r="G238" s="4027">
        <f>G239</f>
        <v>12017</v>
      </c>
      <c r="H238" s="4027">
        <f t="shared" si="103"/>
        <v>0</v>
      </c>
      <c r="I238" s="4027">
        <f t="shared" si="103"/>
        <v>0</v>
      </c>
      <c r="J238" s="4027">
        <f t="shared" si="103"/>
        <v>12017</v>
      </c>
      <c r="K238" s="4027">
        <f t="shared" si="103"/>
        <v>0</v>
      </c>
      <c r="L238" s="4027">
        <f t="shared" si="103"/>
        <v>0</v>
      </c>
      <c r="M238" s="4027">
        <f t="shared" si="103"/>
        <v>0</v>
      </c>
      <c r="N238" s="4027">
        <f t="shared" si="103"/>
        <v>0</v>
      </c>
      <c r="O238" s="4027">
        <f t="shared" si="103"/>
        <v>0</v>
      </c>
      <c r="P238" s="4027">
        <f t="shared" si="103"/>
        <v>0</v>
      </c>
      <c r="Q238" s="4027">
        <f t="shared" si="103"/>
        <v>0</v>
      </c>
      <c r="R238" s="4027">
        <f t="shared" si="103"/>
        <v>0</v>
      </c>
      <c r="S238" s="4027">
        <f t="shared" si="103"/>
        <v>10000</v>
      </c>
      <c r="T238" s="4027">
        <f t="shared" si="103"/>
        <v>0</v>
      </c>
      <c r="U238" s="4027">
        <f t="shared" si="103"/>
        <v>0</v>
      </c>
      <c r="V238" s="4027">
        <f t="shared" si="103"/>
        <v>10000</v>
      </c>
    </row>
    <row r="239" spans="1:22" ht="31.2">
      <c r="A239" s="4009" t="s">
        <v>34</v>
      </c>
      <c r="B239" s="4028" t="s">
        <v>2871</v>
      </c>
      <c r="C239" s="4009"/>
      <c r="D239" s="4009"/>
      <c r="E239" s="4009"/>
      <c r="F239" s="4009"/>
      <c r="G239" s="4029">
        <f t="shared" ref="G239" si="108">G240</f>
        <v>12017</v>
      </c>
      <c r="H239" s="4029">
        <f t="shared" si="103"/>
        <v>0</v>
      </c>
      <c r="I239" s="4029">
        <f t="shared" si="103"/>
        <v>0</v>
      </c>
      <c r="J239" s="4029">
        <f t="shared" si="103"/>
        <v>12017</v>
      </c>
      <c r="K239" s="4029">
        <f t="shared" si="103"/>
        <v>0</v>
      </c>
      <c r="L239" s="4029">
        <f t="shared" si="103"/>
        <v>0</v>
      </c>
      <c r="M239" s="4029">
        <f t="shared" si="103"/>
        <v>0</v>
      </c>
      <c r="N239" s="4029">
        <f t="shared" si="103"/>
        <v>0</v>
      </c>
      <c r="O239" s="4029">
        <f t="shared" si="103"/>
        <v>0</v>
      </c>
      <c r="P239" s="4029">
        <f t="shared" si="103"/>
        <v>0</v>
      </c>
      <c r="Q239" s="4029">
        <f t="shared" si="103"/>
        <v>0</v>
      </c>
      <c r="R239" s="4029">
        <f t="shared" si="103"/>
        <v>0</v>
      </c>
      <c r="S239" s="4029">
        <f t="shared" si="103"/>
        <v>10000</v>
      </c>
      <c r="T239" s="4029">
        <f t="shared" si="103"/>
        <v>0</v>
      </c>
      <c r="U239" s="4029">
        <f t="shared" si="103"/>
        <v>0</v>
      </c>
      <c r="V239" s="4029">
        <f>V240</f>
        <v>10000</v>
      </c>
    </row>
    <row r="240" spans="1:22" s="4004" customFormat="1" ht="62.4">
      <c r="A240" s="4121">
        <v>1</v>
      </c>
      <c r="B240" s="4031" t="s">
        <v>3540</v>
      </c>
      <c r="C240" s="4030" t="s">
        <v>2885</v>
      </c>
      <c r="D240" s="4031"/>
      <c r="E240" s="4031" t="s">
        <v>3058</v>
      </c>
      <c r="F240" s="4031" t="s">
        <v>3541</v>
      </c>
      <c r="G240" s="4113">
        <f>H240+I240+J240</f>
        <v>12017</v>
      </c>
      <c r="H240" s="4113"/>
      <c r="I240" s="4113"/>
      <c r="J240" s="4113">
        <v>12017</v>
      </c>
      <c r="K240" s="4113">
        <f>L240+M240+N240</f>
        <v>0</v>
      </c>
      <c r="L240" s="4113"/>
      <c r="M240" s="4113"/>
      <c r="N240" s="3990"/>
      <c r="O240" s="4113">
        <f>P240+Q240+R240</f>
        <v>0</v>
      </c>
      <c r="P240" s="4113"/>
      <c r="Q240" s="4113"/>
      <c r="R240" s="4113"/>
      <c r="S240" s="3990">
        <f>T240+U240+V240</f>
        <v>10000</v>
      </c>
      <c r="T240" s="4113"/>
      <c r="U240" s="4113"/>
      <c r="V240" s="4113">
        <v>10000</v>
      </c>
    </row>
    <row r="241" spans="1:22" s="248" customFormat="1">
      <c r="A241" s="4009" t="s">
        <v>3388</v>
      </c>
      <c r="B241" s="4010" t="s">
        <v>3146</v>
      </c>
      <c r="C241" s="4009"/>
      <c r="D241" s="4009"/>
      <c r="E241" s="4009"/>
      <c r="F241" s="4009"/>
      <c r="G241" s="4027">
        <f t="shared" ref="G241:V241" si="109">G242+G288+G365+G403+G413+G422</f>
        <v>15572433.031000003</v>
      </c>
      <c r="H241" s="4027">
        <f t="shared" si="109"/>
        <v>339124</v>
      </c>
      <c r="I241" s="4027">
        <f t="shared" si="109"/>
        <v>8161303.1940000001</v>
      </c>
      <c r="J241" s="4027">
        <f t="shared" si="109"/>
        <v>6976902.9519999996</v>
      </c>
      <c r="K241" s="4027">
        <f t="shared" si="109"/>
        <v>4145377.8941436997</v>
      </c>
      <c r="L241" s="4027">
        <f t="shared" si="109"/>
        <v>97424</v>
      </c>
      <c r="M241" s="4027">
        <f t="shared" si="109"/>
        <v>2612667.1521437</v>
      </c>
      <c r="N241" s="4027">
        <f t="shared" si="109"/>
        <v>1435286.7420000001</v>
      </c>
      <c r="O241" s="4027">
        <f t="shared" si="109"/>
        <v>4796103</v>
      </c>
      <c r="P241" s="4027">
        <f t="shared" si="109"/>
        <v>338434</v>
      </c>
      <c r="Q241" s="4027">
        <f t="shared" si="109"/>
        <v>2884638</v>
      </c>
      <c r="R241" s="4027">
        <f t="shared" si="109"/>
        <v>1573031</v>
      </c>
      <c r="S241" s="4027">
        <f t="shared" si="109"/>
        <v>3563059</v>
      </c>
      <c r="T241" s="4027">
        <f t="shared" si="109"/>
        <v>85000</v>
      </c>
      <c r="U241" s="4027">
        <f t="shared" si="109"/>
        <v>1724275</v>
      </c>
      <c r="V241" s="4027">
        <f t="shared" si="109"/>
        <v>1753784</v>
      </c>
    </row>
    <row r="242" spans="1:22" s="248" customFormat="1" ht="31.2">
      <c r="A242" s="4009" t="s">
        <v>3542</v>
      </c>
      <c r="B242" s="4010" t="s">
        <v>3147</v>
      </c>
      <c r="C242" s="4009"/>
      <c r="D242" s="4009"/>
      <c r="E242" s="4009"/>
      <c r="F242" s="4009"/>
      <c r="G242" s="4027">
        <f>G243+G248+G252+G257+G261+G267+G271+G277+G281</f>
        <v>2186354.5559999999</v>
      </c>
      <c r="H242" s="4027">
        <f t="shared" ref="H242:V242" si="110">H243+H248+H252+H257+H261+H267+H271+H277+H281</f>
        <v>339124</v>
      </c>
      <c r="I242" s="4027">
        <f t="shared" si="110"/>
        <v>1153122.1940000001</v>
      </c>
      <c r="J242" s="4027">
        <f t="shared" si="110"/>
        <v>694108.36199999996</v>
      </c>
      <c r="K242" s="4027">
        <f t="shared" si="110"/>
        <v>718342.83100000001</v>
      </c>
      <c r="L242" s="4027">
        <f t="shared" si="110"/>
        <v>97424</v>
      </c>
      <c r="M242" s="4027">
        <f t="shared" si="110"/>
        <v>542554.83100000001</v>
      </c>
      <c r="N242" s="4027">
        <f t="shared" si="110"/>
        <v>78364</v>
      </c>
      <c r="O242" s="4027">
        <f t="shared" si="110"/>
        <v>1009082</v>
      </c>
      <c r="P242" s="4027">
        <f t="shared" si="110"/>
        <v>338434</v>
      </c>
      <c r="Q242" s="4027">
        <f t="shared" si="110"/>
        <v>590283</v>
      </c>
      <c r="R242" s="4027">
        <f t="shared" si="110"/>
        <v>80365</v>
      </c>
      <c r="S242" s="4027">
        <f t="shared" si="110"/>
        <v>406598</v>
      </c>
      <c r="T242" s="4027">
        <f t="shared" si="110"/>
        <v>85000</v>
      </c>
      <c r="U242" s="4027">
        <f t="shared" si="110"/>
        <v>189678</v>
      </c>
      <c r="V242" s="4027">
        <f t="shared" si="110"/>
        <v>131920</v>
      </c>
    </row>
    <row r="243" spans="1:22" s="1577" customFormat="1" ht="31.2">
      <c r="A243" s="4009" t="s">
        <v>9</v>
      </c>
      <c r="B243" s="4010" t="s">
        <v>2853</v>
      </c>
      <c r="C243" s="4035"/>
      <c r="D243" s="4035"/>
      <c r="E243" s="4035"/>
      <c r="F243" s="4035"/>
      <c r="G243" s="4027">
        <f t="shared" ref="G243:V244" si="111">G244</f>
        <v>56319</v>
      </c>
      <c r="H243" s="4027">
        <f t="shared" si="111"/>
        <v>0</v>
      </c>
      <c r="I243" s="4027">
        <f t="shared" si="111"/>
        <v>0</v>
      </c>
      <c r="J243" s="4027">
        <f t="shared" si="111"/>
        <v>56319</v>
      </c>
      <c r="K243" s="4027">
        <f t="shared" si="111"/>
        <v>12042</v>
      </c>
      <c r="L243" s="4027">
        <f t="shared" si="111"/>
        <v>0</v>
      </c>
      <c r="M243" s="4027">
        <f t="shared" si="111"/>
        <v>0</v>
      </c>
      <c r="N243" s="4027">
        <f t="shared" si="111"/>
        <v>12042</v>
      </c>
      <c r="O243" s="4027">
        <f t="shared" si="111"/>
        <v>13000</v>
      </c>
      <c r="P243" s="4027">
        <f t="shared" si="111"/>
        <v>0</v>
      </c>
      <c r="Q243" s="4027">
        <f t="shared" si="111"/>
        <v>0</v>
      </c>
      <c r="R243" s="4027">
        <f t="shared" si="111"/>
        <v>13000</v>
      </c>
      <c r="S243" s="4027">
        <f t="shared" si="111"/>
        <v>16000</v>
      </c>
      <c r="T243" s="4027">
        <f t="shared" si="111"/>
        <v>0</v>
      </c>
      <c r="U243" s="4027">
        <f t="shared" si="111"/>
        <v>0</v>
      </c>
      <c r="V243" s="4027">
        <f t="shared" si="111"/>
        <v>16000</v>
      </c>
    </row>
    <row r="244" spans="1:22" s="248" customFormat="1">
      <c r="A244" s="4009">
        <v>1</v>
      </c>
      <c r="B244" s="4010" t="s">
        <v>3122</v>
      </c>
      <c r="C244" s="4009"/>
      <c r="D244" s="4009"/>
      <c r="E244" s="4009"/>
      <c r="F244" s="4009"/>
      <c r="G244" s="4027">
        <f>G245</f>
        <v>56319</v>
      </c>
      <c r="H244" s="4027">
        <f t="shared" si="111"/>
        <v>0</v>
      </c>
      <c r="I244" s="4027">
        <f t="shared" si="111"/>
        <v>0</v>
      </c>
      <c r="J244" s="4027">
        <f t="shared" si="111"/>
        <v>56319</v>
      </c>
      <c r="K244" s="4027">
        <f t="shared" si="111"/>
        <v>12042</v>
      </c>
      <c r="L244" s="4027">
        <f t="shared" si="111"/>
        <v>0</v>
      </c>
      <c r="M244" s="4027">
        <f t="shared" si="111"/>
        <v>0</v>
      </c>
      <c r="N244" s="4027">
        <f t="shared" si="111"/>
        <v>12042</v>
      </c>
      <c r="O244" s="4027">
        <f t="shared" si="111"/>
        <v>13000</v>
      </c>
      <c r="P244" s="4027">
        <f t="shared" si="111"/>
        <v>0</v>
      </c>
      <c r="Q244" s="4027">
        <f t="shared" si="111"/>
        <v>0</v>
      </c>
      <c r="R244" s="4027">
        <f t="shared" si="111"/>
        <v>13000</v>
      </c>
      <c r="S244" s="4027">
        <f t="shared" si="111"/>
        <v>16000</v>
      </c>
      <c r="T244" s="4027">
        <f t="shared" si="111"/>
        <v>0</v>
      </c>
      <c r="U244" s="4027">
        <f t="shared" si="111"/>
        <v>0</v>
      </c>
      <c r="V244" s="4027">
        <f t="shared" si="111"/>
        <v>16000</v>
      </c>
    </row>
    <row r="245" spans="1:22" ht="31.2">
      <c r="A245" s="4009" t="s">
        <v>34</v>
      </c>
      <c r="B245" s="4028" t="s">
        <v>2871</v>
      </c>
      <c r="C245" s="4009"/>
      <c r="D245" s="4009"/>
      <c r="E245" s="4009"/>
      <c r="F245" s="4009"/>
      <c r="G245" s="4029">
        <f t="shared" ref="G245:V245" si="112">SUM(G246:G247)</f>
        <v>56319</v>
      </c>
      <c r="H245" s="4029">
        <f t="shared" si="112"/>
        <v>0</v>
      </c>
      <c r="I245" s="4029">
        <f t="shared" si="112"/>
        <v>0</v>
      </c>
      <c r="J245" s="4029">
        <f t="shared" si="112"/>
        <v>56319</v>
      </c>
      <c r="K245" s="4029">
        <f t="shared" si="112"/>
        <v>12042</v>
      </c>
      <c r="L245" s="4029">
        <f t="shared" si="112"/>
        <v>0</v>
      </c>
      <c r="M245" s="4029">
        <f t="shared" si="112"/>
        <v>0</v>
      </c>
      <c r="N245" s="4029">
        <f t="shared" si="112"/>
        <v>12042</v>
      </c>
      <c r="O245" s="4029">
        <f t="shared" si="112"/>
        <v>13000</v>
      </c>
      <c r="P245" s="4029">
        <f t="shared" si="112"/>
        <v>0</v>
      </c>
      <c r="Q245" s="4029">
        <f t="shared" si="112"/>
        <v>0</v>
      </c>
      <c r="R245" s="4029">
        <f t="shared" si="112"/>
        <v>13000</v>
      </c>
      <c r="S245" s="4029">
        <f t="shared" si="112"/>
        <v>16000</v>
      </c>
      <c r="T245" s="4029">
        <f t="shared" si="112"/>
        <v>0</v>
      </c>
      <c r="U245" s="4029">
        <f t="shared" si="112"/>
        <v>0</v>
      </c>
      <c r="V245" s="4029">
        <f t="shared" si="112"/>
        <v>16000</v>
      </c>
    </row>
    <row r="246" spans="1:22" s="1557" customFormat="1" ht="93.6">
      <c r="A246" s="3987">
        <v>1</v>
      </c>
      <c r="B246" s="4034" t="s">
        <v>3148</v>
      </c>
      <c r="C246" s="4052" t="s">
        <v>3427</v>
      </c>
      <c r="D246" s="4052" t="s">
        <v>3149</v>
      </c>
      <c r="E246" s="4052">
        <v>2023</v>
      </c>
      <c r="F246" s="4052" t="s">
        <v>3150</v>
      </c>
      <c r="G246" s="3990">
        <f>H246+I246+J246</f>
        <v>22981</v>
      </c>
      <c r="H246" s="3990"/>
      <c r="I246" s="3990"/>
      <c r="J246" s="3990">
        <v>22981</v>
      </c>
      <c r="K246" s="3990">
        <f>L246+M246+N246</f>
        <v>12042</v>
      </c>
      <c r="L246" s="3990"/>
      <c r="M246" s="3990"/>
      <c r="N246" s="3990">
        <v>12042</v>
      </c>
      <c r="O246" s="3990">
        <f>P246+Q246+R246</f>
        <v>13000</v>
      </c>
      <c r="P246" s="3990"/>
      <c r="Q246" s="3990"/>
      <c r="R246" s="3990">
        <v>13000</v>
      </c>
      <c r="S246" s="3990">
        <f>T246+U246+V246</f>
        <v>7700</v>
      </c>
      <c r="T246" s="3990"/>
      <c r="U246" s="3990"/>
      <c r="V246" s="3990">
        <v>7700</v>
      </c>
    </row>
    <row r="247" spans="1:22" s="1557" customFormat="1" ht="46.8">
      <c r="A247" s="3987">
        <v>2</v>
      </c>
      <c r="B247" s="4034" t="s">
        <v>3151</v>
      </c>
      <c r="C247" s="4052" t="s">
        <v>3543</v>
      </c>
      <c r="D247" s="4052"/>
      <c r="E247" s="4052" t="s">
        <v>3112</v>
      </c>
      <c r="F247" s="4052" t="s">
        <v>3152</v>
      </c>
      <c r="G247" s="3990">
        <f>H247+I247+J247</f>
        <v>33338</v>
      </c>
      <c r="H247" s="3990"/>
      <c r="I247" s="3990"/>
      <c r="J247" s="3990">
        <v>33338</v>
      </c>
      <c r="K247" s="3990">
        <f>L247+M247+N247</f>
        <v>0</v>
      </c>
      <c r="L247" s="3990"/>
      <c r="M247" s="3990"/>
      <c r="N247" s="3990"/>
      <c r="O247" s="3990">
        <f>P247+Q247+R247</f>
        <v>0</v>
      </c>
      <c r="P247" s="3990"/>
      <c r="Q247" s="3990"/>
      <c r="R247" s="3990"/>
      <c r="S247" s="3990">
        <f>T247+U247+V247</f>
        <v>8300</v>
      </c>
      <c r="T247" s="3990"/>
      <c r="U247" s="3990"/>
      <c r="V247" s="3990">
        <v>8300</v>
      </c>
    </row>
    <row r="248" spans="1:22" s="1577" customFormat="1">
      <c r="A248" s="4009" t="s">
        <v>20</v>
      </c>
      <c r="B248" s="4010" t="s">
        <v>3409</v>
      </c>
      <c r="C248" s="4035"/>
      <c r="D248" s="4035"/>
      <c r="E248" s="4035"/>
      <c r="F248" s="4035"/>
      <c r="G248" s="4027">
        <f t="shared" ref="G248:V250" si="113">G249</f>
        <v>72905</v>
      </c>
      <c r="H248" s="4027">
        <f t="shared" si="113"/>
        <v>0</v>
      </c>
      <c r="I248" s="4027">
        <f t="shared" si="113"/>
        <v>50000</v>
      </c>
      <c r="J248" s="4027">
        <f t="shared" si="113"/>
        <v>22905</v>
      </c>
      <c r="K248" s="4027">
        <f t="shared" si="113"/>
        <v>14585</v>
      </c>
      <c r="L248" s="4027">
        <f t="shared" si="113"/>
        <v>0</v>
      </c>
      <c r="M248" s="4027">
        <f t="shared" si="113"/>
        <v>11000</v>
      </c>
      <c r="N248" s="4027">
        <f t="shared" si="113"/>
        <v>3585</v>
      </c>
      <c r="O248" s="4027">
        <f t="shared" si="113"/>
        <v>14585</v>
      </c>
      <c r="P248" s="4027">
        <f t="shared" si="113"/>
        <v>0</v>
      </c>
      <c r="Q248" s="4027">
        <f t="shared" si="113"/>
        <v>11000</v>
      </c>
      <c r="R248" s="4027">
        <f t="shared" si="113"/>
        <v>3585</v>
      </c>
      <c r="S248" s="4027">
        <f t="shared" si="113"/>
        <v>33000</v>
      </c>
      <c r="T248" s="4027">
        <f t="shared" si="113"/>
        <v>0</v>
      </c>
      <c r="U248" s="4027">
        <f t="shared" si="113"/>
        <v>20000</v>
      </c>
      <c r="V248" s="4027">
        <f t="shared" si="113"/>
        <v>13000</v>
      </c>
    </row>
    <row r="249" spans="1:22" s="248" customFormat="1">
      <c r="A249" s="4009">
        <v>1</v>
      </c>
      <c r="B249" s="4010" t="s">
        <v>3122</v>
      </c>
      <c r="C249" s="4009"/>
      <c r="D249" s="4009"/>
      <c r="E249" s="4009"/>
      <c r="F249" s="4009"/>
      <c r="G249" s="4027">
        <f>G250</f>
        <v>72905</v>
      </c>
      <c r="H249" s="4027">
        <f t="shared" si="113"/>
        <v>0</v>
      </c>
      <c r="I249" s="4027">
        <f t="shared" si="113"/>
        <v>50000</v>
      </c>
      <c r="J249" s="4027">
        <f t="shared" si="113"/>
        <v>22905</v>
      </c>
      <c r="K249" s="4027">
        <f t="shared" si="113"/>
        <v>14585</v>
      </c>
      <c r="L249" s="4027">
        <f t="shared" si="113"/>
        <v>0</v>
      </c>
      <c r="M249" s="4027">
        <f t="shared" si="113"/>
        <v>11000</v>
      </c>
      <c r="N249" s="4027">
        <f t="shared" si="113"/>
        <v>3585</v>
      </c>
      <c r="O249" s="4027">
        <f t="shared" si="113"/>
        <v>14585</v>
      </c>
      <c r="P249" s="4027">
        <f t="shared" si="113"/>
        <v>0</v>
      </c>
      <c r="Q249" s="4027">
        <f t="shared" si="113"/>
        <v>11000</v>
      </c>
      <c r="R249" s="4027">
        <f t="shared" si="113"/>
        <v>3585</v>
      </c>
      <c r="S249" s="4027">
        <f t="shared" si="113"/>
        <v>33000</v>
      </c>
      <c r="T249" s="4027">
        <f t="shared" si="113"/>
        <v>0</v>
      </c>
      <c r="U249" s="4027">
        <f t="shared" si="113"/>
        <v>20000</v>
      </c>
      <c r="V249" s="4027">
        <f t="shared" si="113"/>
        <v>13000</v>
      </c>
    </row>
    <row r="250" spans="1:22" ht="31.2">
      <c r="A250" s="4009" t="s">
        <v>34</v>
      </c>
      <c r="B250" s="4028" t="s">
        <v>2871</v>
      </c>
      <c r="C250" s="4009"/>
      <c r="D250" s="4009"/>
      <c r="E250" s="4009"/>
      <c r="F250" s="4009"/>
      <c r="G250" s="4029">
        <f t="shared" ref="G250" si="114">G251</f>
        <v>72905</v>
      </c>
      <c r="H250" s="4029">
        <f t="shared" si="113"/>
        <v>0</v>
      </c>
      <c r="I250" s="4029">
        <f t="shared" si="113"/>
        <v>50000</v>
      </c>
      <c r="J250" s="4029">
        <f t="shared" si="113"/>
        <v>22905</v>
      </c>
      <c r="K250" s="4029">
        <f t="shared" si="113"/>
        <v>14585</v>
      </c>
      <c r="L250" s="4029">
        <f t="shared" si="113"/>
        <v>0</v>
      </c>
      <c r="M250" s="4029">
        <f t="shared" si="113"/>
        <v>11000</v>
      </c>
      <c r="N250" s="4029">
        <f t="shared" si="113"/>
        <v>3585</v>
      </c>
      <c r="O250" s="4029">
        <f t="shared" si="113"/>
        <v>14585</v>
      </c>
      <c r="P250" s="4029">
        <f t="shared" si="113"/>
        <v>0</v>
      </c>
      <c r="Q250" s="4029">
        <f t="shared" si="113"/>
        <v>11000</v>
      </c>
      <c r="R250" s="4029">
        <f t="shared" si="113"/>
        <v>3585</v>
      </c>
      <c r="S250" s="4029">
        <f t="shared" si="113"/>
        <v>33000</v>
      </c>
      <c r="T250" s="4029">
        <f t="shared" si="113"/>
        <v>0</v>
      </c>
      <c r="U250" s="4029">
        <f t="shared" si="113"/>
        <v>20000</v>
      </c>
      <c r="V250" s="4029">
        <f>V251</f>
        <v>13000</v>
      </c>
    </row>
    <row r="251" spans="1:22" s="4002" customFormat="1" ht="62.4">
      <c r="A251" s="4102">
        <v>1</v>
      </c>
      <c r="B251" s="4034" t="s">
        <v>3544</v>
      </c>
      <c r="C251" s="3987" t="s">
        <v>2885</v>
      </c>
      <c r="D251" s="4034"/>
      <c r="E251" s="4034" t="s">
        <v>3155</v>
      </c>
      <c r="F251" s="4034" t="s">
        <v>3545</v>
      </c>
      <c r="G251" s="3990">
        <f>H251+I251+J251</f>
        <v>72905</v>
      </c>
      <c r="H251" s="3990"/>
      <c r="I251" s="3990">
        <v>50000</v>
      </c>
      <c r="J251" s="3990">
        <v>22905</v>
      </c>
      <c r="K251" s="3990">
        <f>L251+M251+N251</f>
        <v>14585</v>
      </c>
      <c r="L251" s="3990"/>
      <c r="M251" s="3990">
        <v>11000</v>
      </c>
      <c r="N251" s="3990">
        <v>3585</v>
      </c>
      <c r="O251" s="3990">
        <f>P251+Q251+R251</f>
        <v>14585</v>
      </c>
      <c r="P251" s="3990"/>
      <c r="Q251" s="3990">
        <v>11000</v>
      </c>
      <c r="R251" s="3990">
        <v>3585</v>
      </c>
      <c r="S251" s="3990">
        <f>T251+U251+V251</f>
        <v>33000</v>
      </c>
      <c r="T251" s="3990"/>
      <c r="U251" s="3990">
        <v>20000</v>
      </c>
      <c r="V251" s="3990">
        <v>13000</v>
      </c>
    </row>
    <row r="252" spans="1:22" s="1577" customFormat="1">
      <c r="A252" s="4009" t="s">
        <v>49</v>
      </c>
      <c r="B252" s="4010" t="s">
        <v>2846</v>
      </c>
      <c r="C252" s="4035"/>
      <c r="D252" s="4035"/>
      <c r="E252" s="4035"/>
      <c r="F252" s="4035"/>
      <c r="G252" s="4027">
        <f t="shared" ref="G252:V253" si="115">G253</f>
        <v>15582.866</v>
      </c>
      <c r="H252" s="4027">
        <f t="shared" si="115"/>
        <v>0</v>
      </c>
      <c r="I252" s="4027">
        <f t="shared" si="115"/>
        <v>0</v>
      </c>
      <c r="J252" s="4027">
        <f t="shared" si="115"/>
        <v>15582.866</v>
      </c>
      <c r="K252" s="4027">
        <f t="shared" si="115"/>
        <v>0</v>
      </c>
      <c r="L252" s="4027">
        <f t="shared" si="115"/>
        <v>0</v>
      </c>
      <c r="M252" s="4027">
        <f t="shared" si="115"/>
        <v>0</v>
      </c>
      <c r="N252" s="4027">
        <f t="shared" si="115"/>
        <v>0</v>
      </c>
      <c r="O252" s="4027">
        <f t="shared" si="115"/>
        <v>0</v>
      </c>
      <c r="P252" s="4027">
        <f t="shared" si="115"/>
        <v>0</v>
      </c>
      <c r="Q252" s="4027">
        <f t="shared" si="115"/>
        <v>0</v>
      </c>
      <c r="R252" s="4027">
        <f t="shared" si="115"/>
        <v>0</v>
      </c>
      <c r="S252" s="4027">
        <f t="shared" si="115"/>
        <v>7800</v>
      </c>
      <c r="T252" s="4027">
        <f t="shared" si="115"/>
        <v>0</v>
      </c>
      <c r="U252" s="4027">
        <f t="shared" si="115"/>
        <v>0</v>
      </c>
      <c r="V252" s="4027">
        <f t="shared" si="115"/>
        <v>7800</v>
      </c>
    </row>
    <row r="253" spans="1:22" s="248" customFormat="1">
      <c r="A253" s="4009">
        <v>1</v>
      </c>
      <c r="B253" s="4010" t="s">
        <v>3122</v>
      </c>
      <c r="C253" s="4009"/>
      <c r="D253" s="4009"/>
      <c r="E253" s="4009"/>
      <c r="F253" s="4009"/>
      <c r="G253" s="4027">
        <f>G254</f>
        <v>15582.866</v>
      </c>
      <c r="H253" s="4027">
        <f t="shared" si="115"/>
        <v>0</v>
      </c>
      <c r="I253" s="4027">
        <f t="shared" si="115"/>
        <v>0</v>
      </c>
      <c r="J253" s="4027">
        <f t="shared" si="115"/>
        <v>15582.866</v>
      </c>
      <c r="K253" s="4027">
        <f t="shared" si="115"/>
        <v>0</v>
      </c>
      <c r="L253" s="4027">
        <f t="shared" si="115"/>
        <v>0</v>
      </c>
      <c r="M253" s="4027">
        <f t="shared" si="115"/>
        <v>0</v>
      </c>
      <c r="N253" s="4027">
        <f t="shared" si="115"/>
        <v>0</v>
      </c>
      <c r="O253" s="4027">
        <f t="shared" si="115"/>
        <v>0</v>
      </c>
      <c r="P253" s="4027">
        <f t="shared" si="115"/>
        <v>0</v>
      </c>
      <c r="Q253" s="4027">
        <f t="shared" si="115"/>
        <v>0</v>
      </c>
      <c r="R253" s="4027">
        <f t="shared" si="115"/>
        <v>0</v>
      </c>
      <c r="S253" s="4027">
        <f t="shared" si="115"/>
        <v>7800</v>
      </c>
      <c r="T253" s="4027">
        <f t="shared" si="115"/>
        <v>0</v>
      </c>
      <c r="U253" s="4027">
        <f t="shared" si="115"/>
        <v>0</v>
      </c>
      <c r="V253" s="4027">
        <f t="shared" si="115"/>
        <v>7800</v>
      </c>
    </row>
    <row r="254" spans="1:22" ht="31.2">
      <c r="A254" s="4009" t="s">
        <v>34</v>
      </c>
      <c r="B254" s="4028" t="s">
        <v>2871</v>
      </c>
      <c r="C254" s="4009"/>
      <c r="D254" s="4009"/>
      <c r="E254" s="4009"/>
      <c r="F254" s="4009"/>
      <c r="G254" s="4029">
        <f>SUM(G255:G256)</f>
        <v>15582.866</v>
      </c>
      <c r="H254" s="4029">
        <f t="shared" ref="H254:V254" si="116">SUM(H255:H256)</f>
        <v>0</v>
      </c>
      <c r="I254" s="4029">
        <f t="shared" si="116"/>
        <v>0</v>
      </c>
      <c r="J254" s="4029">
        <f t="shared" si="116"/>
        <v>15582.866</v>
      </c>
      <c r="K254" s="4029">
        <f t="shared" si="116"/>
        <v>0</v>
      </c>
      <c r="L254" s="4029">
        <f t="shared" si="116"/>
        <v>0</v>
      </c>
      <c r="M254" s="4029">
        <f t="shared" si="116"/>
        <v>0</v>
      </c>
      <c r="N254" s="4029">
        <f t="shared" si="116"/>
        <v>0</v>
      </c>
      <c r="O254" s="4029">
        <f t="shared" si="116"/>
        <v>0</v>
      </c>
      <c r="P254" s="4029">
        <f t="shared" si="116"/>
        <v>0</v>
      </c>
      <c r="Q254" s="4029">
        <f t="shared" si="116"/>
        <v>0</v>
      </c>
      <c r="R254" s="4029">
        <f t="shared" si="116"/>
        <v>0</v>
      </c>
      <c r="S254" s="4029">
        <f t="shared" si="116"/>
        <v>7800</v>
      </c>
      <c r="T254" s="4029">
        <f t="shared" si="116"/>
        <v>0</v>
      </c>
      <c r="U254" s="4029">
        <f t="shared" si="116"/>
        <v>0</v>
      </c>
      <c r="V254" s="4029">
        <f t="shared" si="116"/>
        <v>7800</v>
      </c>
    </row>
    <row r="255" spans="1:22" s="2137" customFormat="1" ht="27" customHeight="1">
      <c r="A255" s="4077">
        <v>1</v>
      </c>
      <c r="B255" s="4040" t="s">
        <v>3153</v>
      </c>
      <c r="C255" s="4043" t="s">
        <v>2913</v>
      </c>
      <c r="D255" s="4122" t="s">
        <v>3154</v>
      </c>
      <c r="E255" s="4041" t="s">
        <v>3155</v>
      </c>
      <c r="F255" s="4048" t="s">
        <v>3156</v>
      </c>
      <c r="G255" s="3990">
        <v>6889.6419999999998</v>
      </c>
      <c r="H255" s="4050"/>
      <c r="I255" s="4050"/>
      <c r="J255" s="3990">
        <v>6889.6419999999998</v>
      </c>
      <c r="K255" s="4123">
        <v>0</v>
      </c>
      <c r="L255" s="4050"/>
      <c r="M255" s="4050"/>
      <c r="N255" s="4123">
        <v>0</v>
      </c>
      <c r="O255" s="4123">
        <v>0</v>
      </c>
      <c r="P255" s="4050"/>
      <c r="Q255" s="4050"/>
      <c r="R255" s="4123">
        <v>0</v>
      </c>
      <c r="S255" s="3990">
        <v>3600</v>
      </c>
      <c r="T255" s="4050"/>
      <c r="U255" s="4050"/>
      <c r="V255" s="3990">
        <v>3600</v>
      </c>
    </row>
    <row r="256" spans="1:22" s="2137" customFormat="1" ht="28.5" customHeight="1">
      <c r="A256" s="4077">
        <v>2</v>
      </c>
      <c r="B256" s="4040" t="s">
        <v>3157</v>
      </c>
      <c r="C256" s="4043" t="s">
        <v>2913</v>
      </c>
      <c r="D256" s="4043"/>
      <c r="E256" s="4041" t="s">
        <v>3155</v>
      </c>
      <c r="F256" s="4048" t="s">
        <v>3158</v>
      </c>
      <c r="G256" s="3990">
        <v>8693.2240000000002</v>
      </c>
      <c r="H256" s="4050"/>
      <c r="I256" s="4050"/>
      <c r="J256" s="3990">
        <v>8693.2240000000002</v>
      </c>
      <c r="K256" s="4123">
        <v>0</v>
      </c>
      <c r="L256" s="4050"/>
      <c r="M256" s="4050"/>
      <c r="N256" s="4123">
        <v>0</v>
      </c>
      <c r="O256" s="4123">
        <v>0</v>
      </c>
      <c r="P256" s="4050"/>
      <c r="Q256" s="4050"/>
      <c r="R256" s="4123">
        <v>0</v>
      </c>
      <c r="S256" s="3990">
        <v>4200</v>
      </c>
      <c r="T256" s="4050"/>
      <c r="U256" s="4050"/>
      <c r="V256" s="3990">
        <v>4200</v>
      </c>
    </row>
    <row r="257" spans="1:22" s="1577" customFormat="1">
      <c r="A257" s="4009" t="s">
        <v>50</v>
      </c>
      <c r="B257" s="4010" t="s">
        <v>2848</v>
      </c>
      <c r="C257" s="4035"/>
      <c r="D257" s="4035"/>
      <c r="E257" s="4035"/>
      <c r="F257" s="4035"/>
      <c r="G257" s="4027">
        <f t="shared" ref="G257:V259" si="117">G258</f>
        <v>103847.496</v>
      </c>
      <c r="H257" s="4027">
        <f t="shared" si="117"/>
        <v>0</v>
      </c>
      <c r="I257" s="4027">
        <f t="shared" si="117"/>
        <v>55</v>
      </c>
      <c r="J257" s="4027">
        <f t="shared" si="117"/>
        <v>103792.496</v>
      </c>
      <c r="K257" s="4027">
        <f t="shared" si="117"/>
        <v>950</v>
      </c>
      <c r="L257" s="4027">
        <f t="shared" si="117"/>
        <v>0</v>
      </c>
      <c r="M257" s="4027">
        <f t="shared" si="117"/>
        <v>0</v>
      </c>
      <c r="N257" s="4027">
        <f t="shared" si="117"/>
        <v>950</v>
      </c>
      <c r="O257" s="4027">
        <f t="shared" si="117"/>
        <v>950</v>
      </c>
      <c r="P257" s="4027">
        <f t="shared" si="117"/>
        <v>0</v>
      </c>
      <c r="Q257" s="4027">
        <f t="shared" si="117"/>
        <v>0</v>
      </c>
      <c r="R257" s="4027">
        <f t="shared" si="117"/>
        <v>950</v>
      </c>
      <c r="S257" s="4027">
        <f t="shared" si="117"/>
        <v>13050</v>
      </c>
      <c r="T257" s="4027">
        <f t="shared" si="117"/>
        <v>0</v>
      </c>
      <c r="U257" s="4027">
        <f t="shared" si="117"/>
        <v>0</v>
      </c>
      <c r="V257" s="4027">
        <f>V258</f>
        <v>13050</v>
      </c>
    </row>
    <row r="258" spans="1:22" s="248" customFormat="1">
      <c r="A258" s="4009">
        <v>1</v>
      </c>
      <c r="B258" s="4010" t="s">
        <v>3122</v>
      </c>
      <c r="C258" s="4009"/>
      <c r="D258" s="4009"/>
      <c r="E258" s="4009"/>
      <c r="F258" s="4009"/>
      <c r="G258" s="4027">
        <f t="shared" si="117"/>
        <v>103847.496</v>
      </c>
      <c r="H258" s="4027">
        <f t="shared" si="117"/>
        <v>0</v>
      </c>
      <c r="I258" s="4027">
        <f t="shared" si="117"/>
        <v>55</v>
      </c>
      <c r="J258" s="4027">
        <f t="shared" si="117"/>
        <v>103792.496</v>
      </c>
      <c r="K258" s="4027">
        <f t="shared" si="117"/>
        <v>950</v>
      </c>
      <c r="L258" s="4027">
        <f t="shared" si="117"/>
        <v>0</v>
      </c>
      <c r="M258" s="4027">
        <f t="shared" si="117"/>
        <v>0</v>
      </c>
      <c r="N258" s="4027">
        <f t="shared" si="117"/>
        <v>950</v>
      </c>
      <c r="O258" s="4027">
        <f t="shared" si="117"/>
        <v>950</v>
      </c>
      <c r="P258" s="4027">
        <f t="shared" si="117"/>
        <v>0</v>
      </c>
      <c r="Q258" s="4027">
        <f t="shared" si="117"/>
        <v>0</v>
      </c>
      <c r="R258" s="4027">
        <f t="shared" si="117"/>
        <v>950</v>
      </c>
      <c r="S258" s="4027">
        <f t="shared" si="117"/>
        <v>13050</v>
      </c>
      <c r="T258" s="4027">
        <f t="shared" si="117"/>
        <v>0</v>
      </c>
      <c r="U258" s="4027">
        <f t="shared" si="117"/>
        <v>0</v>
      </c>
      <c r="V258" s="4027">
        <f t="shared" si="117"/>
        <v>13050</v>
      </c>
    </row>
    <row r="259" spans="1:22" ht="31.2">
      <c r="A259" s="4009" t="s">
        <v>34</v>
      </c>
      <c r="B259" s="4028" t="s">
        <v>2871</v>
      </c>
      <c r="C259" s="4009"/>
      <c r="D259" s="4009"/>
      <c r="E259" s="4009"/>
      <c r="F259" s="4009"/>
      <c r="G259" s="4029">
        <f>G260</f>
        <v>103847.496</v>
      </c>
      <c r="H259" s="4029">
        <f t="shared" si="117"/>
        <v>0</v>
      </c>
      <c r="I259" s="4029">
        <f t="shared" si="117"/>
        <v>55</v>
      </c>
      <c r="J259" s="4029">
        <f t="shared" si="117"/>
        <v>103792.496</v>
      </c>
      <c r="K259" s="4029">
        <f t="shared" si="117"/>
        <v>950</v>
      </c>
      <c r="L259" s="4029">
        <f t="shared" si="117"/>
        <v>0</v>
      </c>
      <c r="M259" s="4029">
        <f t="shared" si="117"/>
        <v>0</v>
      </c>
      <c r="N259" s="4029">
        <f t="shared" si="117"/>
        <v>950</v>
      </c>
      <c r="O259" s="4029">
        <f t="shared" si="117"/>
        <v>950</v>
      </c>
      <c r="P259" s="4029">
        <f t="shared" si="117"/>
        <v>0</v>
      </c>
      <c r="Q259" s="4029">
        <f t="shared" si="117"/>
        <v>0</v>
      </c>
      <c r="R259" s="4029">
        <f t="shared" si="117"/>
        <v>950</v>
      </c>
      <c r="S259" s="4029">
        <f t="shared" si="117"/>
        <v>13050</v>
      </c>
      <c r="T259" s="4029">
        <f t="shared" si="117"/>
        <v>0</v>
      </c>
      <c r="U259" s="4029">
        <f t="shared" si="117"/>
        <v>0</v>
      </c>
      <c r="V259" s="4029">
        <f t="shared" si="117"/>
        <v>13050</v>
      </c>
    </row>
    <row r="260" spans="1:22" ht="62.4">
      <c r="A260" s="4124">
        <v>1</v>
      </c>
      <c r="B260" s="4034" t="s">
        <v>3159</v>
      </c>
      <c r="C260" s="4125" t="s">
        <v>3160</v>
      </c>
      <c r="D260" s="3987"/>
      <c r="E260" s="3987" t="s">
        <v>2882</v>
      </c>
      <c r="F260" s="3987" t="s">
        <v>3161</v>
      </c>
      <c r="G260" s="3992">
        <v>103847.496</v>
      </c>
      <c r="H260" s="3992"/>
      <c r="I260" s="3992">
        <v>55</v>
      </c>
      <c r="J260" s="3992">
        <f>G260-I260</f>
        <v>103792.496</v>
      </c>
      <c r="K260" s="3992">
        <f>L260+M260+N260</f>
        <v>950</v>
      </c>
      <c r="L260" s="3992"/>
      <c r="M260" s="3992"/>
      <c r="N260" s="3992">
        <v>950</v>
      </c>
      <c r="O260" s="3992">
        <f>P260+Q260+R260</f>
        <v>950</v>
      </c>
      <c r="P260" s="3992"/>
      <c r="Q260" s="3992"/>
      <c r="R260" s="3992">
        <v>950</v>
      </c>
      <c r="S260" s="3992">
        <f>T260+U260+V260</f>
        <v>13050</v>
      </c>
      <c r="T260" s="3992"/>
      <c r="U260" s="4051"/>
      <c r="V260" s="3992">
        <v>13050</v>
      </c>
    </row>
    <row r="261" spans="1:22" s="1577" customFormat="1">
      <c r="A261" s="4009" t="s">
        <v>72</v>
      </c>
      <c r="B261" s="4010" t="s">
        <v>2851</v>
      </c>
      <c r="C261" s="4035"/>
      <c r="D261" s="4035"/>
      <c r="E261" s="4035"/>
      <c r="F261" s="4035"/>
      <c r="G261" s="4027">
        <f t="shared" ref="G261:V262" si="118">G262</f>
        <v>775431</v>
      </c>
      <c r="H261" s="4027">
        <f t="shared" si="118"/>
        <v>339124</v>
      </c>
      <c r="I261" s="4027">
        <f t="shared" si="118"/>
        <v>169562</v>
      </c>
      <c r="J261" s="4027">
        <f t="shared" si="118"/>
        <v>266745</v>
      </c>
      <c r="K261" s="4027">
        <f t="shared" si="118"/>
        <v>259763</v>
      </c>
      <c r="L261" s="4027">
        <f t="shared" si="118"/>
        <v>97424</v>
      </c>
      <c r="M261" s="4027">
        <f t="shared" si="118"/>
        <v>102781</v>
      </c>
      <c r="N261" s="4027">
        <f t="shared" si="118"/>
        <v>59558</v>
      </c>
      <c r="O261" s="4027">
        <f t="shared" si="118"/>
        <v>551034</v>
      </c>
      <c r="P261" s="4027">
        <f t="shared" si="118"/>
        <v>338434</v>
      </c>
      <c r="Q261" s="4027">
        <f t="shared" si="118"/>
        <v>152000</v>
      </c>
      <c r="R261" s="4027">
        <f t="shared" si="118"/>
        <v>60600</v>
      </c>
      <c r="S261" s="4027">
        <f t="shared" si="118"/>
        <v>146119</v>
      </c>
      <c r="T261" s="4027">
        <f t="shared" si="118"/>
        <v>85000</v>
      </c>
      <c r="U261" s="4027">
        <f t="shared" si="118"/>
        <v>49219</v>
      </c>
      <c r="V261" s="4027">
        <f>V262</f>
        <v>11900</v>
      </c>
    </row>
    <row r="262" spans="1:22" s="248" customFormat="1">
      <c r="A262" s="4009">
        <v>1</v>
      </c>
      <c r="B262" s="4010" t="s">
        <v>3122</v>
      </c>
      <c r="C262" s="4009"/>
      <c r="D262" s="4009"/>
      <c r="E262" s="4009"/>
      <c r="F262" s="4009"/>
      <c r="G262" s="4027">
        <f t="shared" si="118"/>
        <v>775431</v>
      </c>
      <c r="H262" s="4027">
        <f t="shared" si="118"/>
        <v>339124</v>
      </c>
      <c r="I262" s="4027">
        <f t="shared" si="118"/>
        <v>169562</v>
      </c>
      <c r="J262" s="4027">
        <f t="shared" si="118"/>
        <v>266745</v>
      </c>
      <c r="K262" s="4027">
        <f t="shared" si="118"/>
        <v>259763</v>
      </c>
      <c r="L262" s="4027">
        <f t="shared" si="118"/>
        <v>97424</v>
      </c>
      <c r="M262" s="4027">
        <f t="shared" si="118"/>
        <v>102781</v>
      </c>
      <c r="N262" s="4027">
        <f t="shared" si="118"/>
        <v>59558</v>
      </c>
      <c r="O262" s="4027">
        <f t="shared" si="118"/>
        <v>551034</v>
      </c>
      <c r="P262" s="4027">
        <f t="shared" si="118"/>
        <v>338434</v>
      </c>
      <c r="Q262" s="4027">
        <f t="shared" si="118"/>
        <v>152000</v>
      </c>
      <c r="R262" s="4027">
        <f t="shared" si="118"/>
        <v>60600</v>
      </c>
      <c r="S262" s="4027">
        <f t="shared" si="118"/>
        <v>146119</v>
      </c>
      <c r="T262" s="4027">
        <f t="shared" si="118"/>
        <v>85000</v>
      </c>
      <c r="U262" s="4027">
        <f t="shared" si="118"/>
        <v>49219</v>
      </c>
      <c r="V262" s="4027">
        <f t="shared" si="118"/>
        <v>11900</v>
      </c>
    </row>
    <row r="263" spans="1:22" ht="31.2">
      <c r="A263" s="4009" t="s">
        <v>34</v>
      </c>
      <c r="B263" s="4028" t="s">
        <v>2871</v>
      </c>
      <c r="C263" s="4009"/>
      <c r="D263" s="4009"/>
      <c r="E263" s="4009"/>
      <c r="F263" s="4009"/>
      <c r="G263" s="4029">
        <f>SUM(G264:G266)</f>
        <v>775431</v>
      </c>
      <c r="H263" s="4029">
        <f t="shared" ref="H263:V263" si="119">SUM(H264:H266)</f>
        <v>339124</v>
      </c>
      <c r="I263" s="4029">
        <f t="shared" si="119"/>
        <v>169562</v>
      </c>
      <c r="J263" s="4029">
        <f t="shared" si="119"/>
        <v>266745</v>
      </c>
      <c r="K263" s="4029">
        <f t="shared" si="119"/>
        <v>259763</v>
      </c>
      <c r="L263" s="4029">
        <f t="shared" si="119"/>
        <v>97424</v>
      </c>
      <c r="M263" s="4029">
        <f t="shared" si="119"/>
        <v>102781</v>
      </c>
      <c r="N263" s="4029">
        <f t="shared" si="119"/>
        <v>59558</v>
      </c>
      <c r="O263" s="4029">
        <f t="shared" si="119"/>
        <v>551034</v>
      </c>
      <c r="P263" s="4029">
        <f t="shared" si="119"/>
        <v>338434</v>
      </c>
      <c r="Q263" s="4029">
        <f t="shared" si="119"/>
        <v>152000</v>
      </c>
      <c r="R263" s="4029">
        <f t="shared" si="119"/>
        <v>60600</v>
      </c>
      <c r="S263" s="4029">
        <f t="shared" si="119"/>
        <v>146119</v>
      </c>
      <c r="T263" s="4029">
        <f t="shared" si="119"/>
        <v>85000</v>
      </c>
      <c r="U263" s="4029">
        <f t="shared" si="119"/>
        <v>49219</v>
      </c>
      <c r="V263" s="4029">
        <f t="shared" si="119"/>
        <v>11900</v>
      </c>
    </row>
    <row r="264" spans="1:22" s="4072" customFormat="1" ht="27" customHeight="1">
      <c r="A264" s="3987">
        <v>1</v>
      </c>
      <c r="B264" s="4066" t="s">
        <v>3162</v>
      </c>
      <c r="C264" s="4067" t="s">
        <v>3031</v>
      </c>
      <c r="D264" s="4067" t="s">
        <v>3163</v>
      </c>
      <c r="E264" s="4067" t="s">
        <v>3155</v>
      </c>
      <c r="F264" s="4067" t="s">
        <v>3164</v>
      </c>
      <c r="G264" s="4070">
        <v>14540</v>
      </c>
      <c r="H264" s="4071"/>
      <c r="I264" s="4071"/>
      <c r="J264" s="4070">
        <f t="shared" ref="J264:J265" si="120">G264</f>
        <v>14540</v>
      </c>
      <c r="K264" s="4070">
        <f t="shared" ref="K264:K265" si="121">SUM(L264:N264)</f>
        <v>10000</v>
      </c>
      <c r="L264" s="4071"/>
      <c r="M264" s="4071"/>
      <c r="N264" s="3990">
        <v>10000</v>
      </c>
      <c r="O264" s="4070">
        <f t="shared" ref="O264:O265" si="122">SUM(P264:R264)</f>
        <v>10000</v>
      </c>
      <c r="P264" s="4071"/>
      <c r="Q264" s="4071"/>
      <c r="R264" s="4070">
        <v>10000</v>
      </c>
      <c r="S264" s="3990">
        <f t="shared" ref="S264:S265" si="123">SUM(T264:V264)</f>
        <v>1500</v>
      </c>
      <c r="T264" s="4071"/>
      <c r="U264" s="4071"/>
      <c r="V264" s="4070">
        <v>1500</v>
      </c>
    </row>
    <row r="265" spans="1:22" s="4072" customFormat="1" ht="62.4">
      <c r="A265" s="3987">
        <v>2</v>
      </c>
      <c r="B265" s="4066" t="s">
        <v>3165</v>
      </c>
      <c r="C265" s="4067" t="s">
        <v>3031</v>
      </c>
      <c r="D265" s="4126"/>
      <c r="E265" s="4067" t="s">
        <v>1811</v>
      </c>
      <c r="F265" s="4069" t="s">
        <v>3166</v>
      </c>
      <c r="G265" s="4070">
        <v>82643</v>
      </c>
      <c r="H265" s="4071"/>
      <c r="I265" s="4071"/>
      <c r="J265" s="4070">
        <f t="shared" si="120"/>
        <v>82643</v>
      </c>
      <c r="K265" s="4070">
        <f t="shared" si="121"/>
        <v>600</v>
      </c>
      <c r="L265" s="4071"/>
      <c r="M265" s="4071"/>
      <c r="N265" s="3990">
        <v>600</v>
      </c>
      <c r="O265" s="4070">
        <f t="shared" si="122"/>
        <v>600</v>
      </c>
      <c r="P265" s="4071"/>
      <c r="Q265" s="4071"/>
      <c r="R265" s="4070">
        <v>600</v>
      </c>
      <c r="S265" s="3990">
        <f t="shared" si="123"/>
        <v>10400</v>
      </c>
      <c r="T265" s="4071"/>
      <c r="U265" s="4071"/>
      <c r="V265" s="4070">
        <v>10400</v>
      </c>
    </row>
    <row r="266" spans="1:22" s="4072" customFormat="1" ht="36" customHeight="1">
      <c r="A266" s="3987">
        <v>3</v>
      </c>
      <c r="B266" s="4066" t="s">
        <v>3167</v>
      </c>
      <c r="C266" s="4067" t="s">
        <v>3031</v>
      </c>
      <c r="D266" s="4067" t="s">
        <v>3168</v>
      </c>
      <c r="E266" s="4067" t="s">
        <v>3169</v>
      </c>
      <c r="F266" s="4069" t="s">
        <v>3170</v>
      </c>
      <c r="G266" s="4070">
        <f>H266+I266+J266</f>
        <v>678248</v>
      </c>
      <c r="H266" s="4070">
        <v>339124</v>
      </c>
      <c r="I266" s="4070">
        <v>169562</v>
      </c>
      <c r="J266" s="4070">
        <v>169562</v>
      </c>
      <c r="K266" s="4070">
        <f>L266+M266+N266</f>
        <v>249163</v>
      </c>
      <c r="L266" s="4070">
        <v>97424</v>
      </c>
      <c r="M266" s="4070">
        <v>102781</v>
      </c>
      <c r="N266" s="3990">
        <v>48958</v>
      </c>
      <c r="O266" s="4070">
        <f>P266+Q266+R266</f>
        <v>540434</v>
      </c>
      <c r="P266" s="4070">
        <v>338434</v>
      </c>
      <c r="Q266" s="4070">
        <v>152000</v>
      </c>
      <c r="R266" s="4070">
        <v>50000</v>
      </c>
      <c r="S266" s="3990">
        <f>T266+U266+V266</f>
        <v>134219</v>
      </c>
      <c r="T266" s="4070">
        <v>85000</v>
      </c>
      <c r="U266" s="4070">
        <v>49219</v>
      </c>
      <c r="V266" s="4070"/>
    </row>
    <row r="267" spans="1:22" s="1577" customFormat="1">
      <c r="A267" s="4009" t="s">
        <v>100</v>
      </c>
      <c r="B267" s="4010" t="s">
        <v>2852</v>
      </c>
      <c r="C267" s="4035"/>
      <c r="D267" s="4035"/>
      <c r="E267" s="4035"/>
      <c r="F267" s="4035"/>
      <c r="G267" s="4027">
        <f t="shared" ref="G267:V269" si="124">G268</f>
        <v>62509</v>
      </c>
      <c r="H267" s="4027">
        <f t="shared" si="124"/>
        <v>0</v>
      </c>
      <c r="I267" s="4027">
        <f t="shared" si="124"/>
        <v>0</v>
      </c>
      <c r="J267" s="4027">
        <f t="shared" si="124"/>
        <v>62509</v>
      </c>
      <c r="K267" s="4027">
        <f t="shared" si="124"/>
        <v>700</v>
      </c>
      <c r="L267" s="4027">
        <f t="shared" si="124"/>
        <v>0</v>
      </c>
      <c r="M267" s="4027">
        <f t="shared" si="124"/>
        <v>0</v>
      </c>
      <c r="N267" s="4027">
        <f t="shared" si="124"/>
        <v>700</v>
      </c>
      <c r="O267" s="4027">
        <f t="shared" si="124"/>
        <v>700</v>
      </c>
      <c r="P267" s="4027">
        <f t="shared" si="124"/>
        <v>0</v>
      </c>
      <c r="Q267" s="4027">
        <f t="shared" si="124"/>
        <v>0</v>
      </c>
      <c r="R267" s="4027">
        <f t="shared" si="124"/>
        <v>700</v>
      </c>
      <c r="S267" s="4027">
        <f t="shared" si="124"/>
        <v>7500</v>
      </c>
      <c r="T267" s="4027">
        <f t="shared" si="124"/>
        <v>0</v>
      </c>
      <c r="U267" s="4027">
        <f t="shared" si="124"/>
        <v>0</v>
      </c>
      <c r="V267" s="4027">
        <f>V268</f>
        <v>7500</v>
      </c>
    </row>
    <row r="268" spans="1:22" s="248" customFormat="1">
      <c r="A268" s="4009">
        <v>1</v>
      </c>
      <c r="B268" s="4010" t="s">
        <v>3122</v>
      </c>
      <c r="C268" s="4009"/>
      <c r="D268" s="4009"/>
      <c r="E268" s="4009"/>
      <c r="F268" s="4009"/>
      <c r="G268" s="4027">
        <f t="shared" si="124"/>
        <v>62509</v>
      </c>
      <c r="H268" s="4027">
        <f t="shared" si="124"/>
        <v>0</v>
      </c>
      <c r="I268" s="4027">
        <f t="shared" si="124"/>
        <v>0</v>
      </c>
      <c r="J268" s="4027">
        <f t="shared" si="124"/>
        <v>62509</v>
      </c>
      <c r="K268" s="4027">
        <f t="shared" si="124"/>
        <v>700</v>
      </c>
      <c r="L268" s="4027">
        <f t="shared" si="124"/>
        <v>0</v>
      </c>
      <c r="M268" s="4027">
        <f t="shared" si="124"/>
        <v>0</v>
      </c>
      <c r="N268" s="4027">
        <f t="shared" si="124"/>
        <v>700</v>
      </c>
      <c r="O268" s="4027">
        <f t="shared" si="124"/>
        <v>700</v>
      </c>
      <c r="P268" s="4027">
        <f t="shared" si="124"/>
        <v>0</v>
      </c>
      <c r="Q268" s="4027">
        <f t="shared" si="124"/>
        <v>0</v>
      </c>
      <c r="R268" s="4027">
        <f t="shared" si="124"/>
        <v>700</v>
      </c>
      <c r="S268" s="4027">
        <f t="shared" si="124"/>
        <v>7500</v>
      </c>
      <c r="T268" s="4027">
        <f t="shared" si="124"/>
        <v>0</v>
      </c>
      <c r="U268" s="4027">
        <f t="shared" si="124"/>
        <v>0</v>
      </c>
      <c r="V268" s="4027">
        <f t="shared" si="124"/>
        <v>7500</v>
      </c>
    </row>
    <row r="269" spans="1:22" ht="31.2">
      <c r="A269" s="4009" t="s">
        <v>34</v>
      </c>
      <c r="B269" s="4028" t="s">
        <v>2871</v>
      </c>
      <c r="C269" s="4009"/>
      <c r="D269" s="4009"/>
      <c r="E269" s="4009"/>
      <c r="F269" s="4009"/>
      <c r="G269" s="4029">
        <f>G270</f>
        <v>62509</v>
      </c>
      <c r="H269" s="4029">
        <f t="shared" si="124"/>
        <v>0</v>
      </c>
      <c r="I269" s="4029">
        <f t="shared" si="124"/>
        <v>0</v>
      </c>
      <c r="J269" s="4029">
        <f t="shared" si="124"/>
        <v>62509</v>
      </c>
      <c r="K269" s="4029">
        <f t="shared" si="124"/>
        <v>700</v>
      </c>
      <c r="L269" s="4029">
        <f t="shared" si="124"/>
        <v>0</v>
      </c>
      <c r="M269" s="4029">
        <f t="shared" si="124"/>
        <v>0</v>
      </c>
      <c r="N269" s="4029">
        <f t="shared" si="124"/>
        <v>700</v>
      </c>
      <c r="O269" s="4029">
        <f t="shared" si="124"/>
        <v>700</v>
      </c>
      <c r="P269" s="4029">
        <f t="shared" si="124"/>
        <v>0</v>
      </c>
      <c r="Q269" s="4029">
        <f t="shared" si="124"/>
        <v>0</v>
      </c>
      <c r="R269" s="4029">
        <f t="shared" si="124"/>
        <v>700</v>
      </c>
      <c r="S269" s="4029">
        <f t="shared" si="124"/>
        <v>7500</v>
      </c>
      <c r="T269" s="4029">
        <f t="shared" si="124"/>
        <v>0</v>
      </c>
      <c r="U269" s="4029">
        <f t="shared" si="124"/>
        <v>0</v>
      </c>
      <c r="V269" s="4029">
        <f t="shared" si="124"/>
        <v>7500</v>
      </c>
    </row>
    <row r="270" spans="1:22" ht="78">
      <c r="A270" s="4127">
        <v>1</v>
      </c>
      <c r="B270" s="4128" t="s">
        <v>3171</v>
      </c>
      <c r="C270" s="4041" t="s">
        <v>2885</v>
      </c>
      <c r="D270" s="4041" t="s">
        <v>3172</v>
      </c>
      <c r="E270" s="4041" t="s">
        <v>3058</v>
      </c>
      <c r="F270" s="4041" t="s">
        <v>3173</v>
      </c>
      <c r="G270" s="3990">
        <v>62509</v>
      </c>
      <c r="H270" s="3990"/>
      <c r="I270" s="3990"/>
      <c r="J270" s="3990">
        <f>G270</f>
        <v>62509</v>
      </c>
      <c r="K270" s="3990">
        <f>SUM(L270:N270)</f>
        <v>700</v>
      </c>
      <c r="L270" s="3990"/>
      <c r="M270" s="3990"/>
      <c r="N270" s="3990">
        <v>700</v>
      </c>
      <c r="O270" s="3990">
        <f>SUM(P270:R270)</f>
        <v>700</v>
      </c>
      <c r="P270" s="3992"/>
      <c r="Q270" s="3990"/>
      <c r="R270" s="3990">
        <v>700</v>
      </c>
      <c r="S270" s="3990">
        <f>SUM(T270:V270)</f>
        <v>7500</v>
      </c>
      <c r="T270" s="3990"/>
      <c r="U270" s="3990"/>
      <c r="V270" s="3990">
        <f>8200-700</f>
        <v>7500</v>
      </c>
    </row>
    <row r="271" spans="1:22">
      <c r="A271" s="4129" t="s">
        <v>151</v>
      </c>
      <c r="B271" s="4130" t="s">
        <v>3174</v>
      </c>
      <c r="C271" s="4129"/>
      <c r="D271" s="4129"/>
      <c r="E271" s="4129"/>
      <c r="F271" s="4129"/>
      <c r="G271" s="4131">
        <f t="shared" ref="G271:U271" si="125">G272+G274</f>
        <v>46851</v>
      </c>
      <c r="H271" s="4131">
        <f t="shared" si="125"/>
        <v>0</v>
      </c>
      <c r="I271" s="4131">
        <f t="shared" si="125"/>
        <v>0</v>
      </c>
      <c r="J271" s="4131">
        <f t="shared" si="125"/>
        <v>46851</v>
      </c>
      <c r="K271" s="4131">
        <f t="shared" si="125"/>
        <v>1529</v>
      </c>
      <c r="L271" s="4131">
        <f t="shared" si="125"/>
        <v>0</v>
      </c>
      <c r="M271" s="4131">
        <f t="shared" si="125"/>
        <v>0</v>
      </c>
      <c r="N271" s="4029">
        <f t="shared" si="125"/>
        <v>1529</v>
      </c>
      <c r="O271" s="4131">
        <f t="shared" si="125"/>
        <v>1530</v>
      </c>
      <c r="P271" s="4131">
        <f t="shared" si="125"/>
        <v>0</v>
      </c>
      <c r="Q271" s="4131">
        <f t="shared" si="125"/>
        <v>0</v>
      </c>
      <c r="R271" s="4131">
        <f t="shared" si="125"/>
        <v>1530</v>
      </c>
      <c r="S271" s="4029">
        <f t="shared" si="125"/>
        <v>10270</v>
      </c>
      <c r="T271" s="4131">
        <f t="shared" si="125"/>
        <v>0</v>
      </c>
      <c r="U271" s="4131">
        <f t="shared" si="125"/>
        <v>0</v>
      </c>
      <c r="V271" s="4131">
        <f>V272+V274</f>
        <v>10270</v>
      </c>
    </row>
    <row r="272" spans="1:22">
      <c r="A272" s="4129">
        <v>1</v>
      </c>
      <c r="B272" s="4130" t="s">
        <v>3119</v>
      </c>
      <c r="C272" s="4129"/>
      <c r="D272" s="4129"/>
      <c r="E272" s="4129"/>
      <c r="F272" s="4129"/>
      <c r="G272" s="4059">
        <f t="shared" ref="G272:U272" si="126">G273</f>
        <v>5000</v>
      </c>
      <c r="H272" s="4059">
        <f t="shared" si="126"/>
        <v>0</v>
      </c>
      <c r="I272" s="4059">
        <f t="shared" si="126"/>
        <v>0</v>
      </c>
      <c r="J272" s="4059">
        <f t="shared" si="126"/>
        <v>5000</v>
      </c>
      <c r="K272" s="4059">
        <f t="shared" si="126"/>
        <v>1069</v>
      </c>
      <c r="L272" s="4059">
        <f t="shared" si="126"/>
        <v>0</v>
      </c>
      <c r="M272" s="4059">
        <f t="shared" si="126"/>
        <v>0</v>
      </c>
      <c r="N272" s="3989">
        <f t="shared" si="126"/>
        <v>1069</v>
      </c>
      <c r="O272" s="4059">
        <f t="shared" si="126"/>
        <v>1070</v>
      </c>
      <c r="P272" s="4059">
        <f t="shared" si="126"/>
        <v>0</v>
      </c>
      <c r="Q272" s="4059">
        <f t="shared" si="126"/>
        <v>0</v>
      </c>
      <c r="R272" s="4059">
        <f t="shared" si="126"/>
        <v>1070</v>
      </c>
      <c r="S272" s="3989">
        <f t="shared" si="126"/>
        <v>3930</v>
      </c>
      <c r="T272" s="4059">
        <f t="shared" si="126"/>
        <v>0</v>
      </c>
      <c r="U272" s="4059">
        <f t="shared" si="126"/>
        <v>0</v>
      </c>
      <c r="V272" s="4059">
        <f>V273</f>
        <v>3930</v>
      </c>
    </row>
    <row r="273" spans="1:22" ht="62.4">
      <c r="A273" s="4127">
        <v>1</v>
      </c>
      <c r="B273" s="4097" t="s">
        <v>3175</v>
      </c>
      <c r="C273" s="4047" t="s">
        <v>3110</v>
      </c>
      <c r="D273" s="4132"/>
      <c r="E273" s="4132"/>
      <c r="F273" s="4132"/>
      <c r="G273" s="4057">
        <f>SUM(H273:J273)</f>
        <v>5000</v>
      </c>
      <c r="H273" s="3992"/>
      <c r="I273" s="4133"/>
      <c r="J273" s="4057">
        <v>5000</v>
      </c>
      <c r="K273" s="4058">
        <f t="shared" ref="K273" si="127">SUM(L273:N273)</f>
        <v>1069</v>
      </c>
      <c r="L273" s="4058"/>
      <c r="M273" s="4058"/>
      <c r="N273" s="3990">
        <v>1069</v>
      </c>
      <c r="O273" s="4058">
        <f>SUM(P273:R273)</f>
        <v>1070</v>
      </c>
      <c r="P273" s="4058"/>
      <c r="Q273" s="4058"/>
      <c r="R273" s="4058">
        <v>1070</v>
      </c>
      <c r="S273" s="3990">
        <f>SUM(T273:V273)</f>
        <v>3930</v>
      </c>
      <c r="T273" s="4058"/>
      <c r="U273" s="4058"/>
      <c r="V273" s="4058">
        <v>3930</v>
      </c>
    </row>
    <row r="274" spans="1:22" s="248" customFormat="1">
      <c r="A274" s="4009">
        <v>2</v>
      </c>
      <c r="B274" s="4010" t="s">
        <v>3122</v>
      </c>
      <c r="C274" s="4009"/>
      <c r="D274" s="4009"/>
      <c r="E274" s="4009"/>
      <c r="F274" s="4009"/>
      <c r="G274" s="4027">
        <f t="shared" ref="G274:V275" si="128">G275</f>
        <v>41851</v>
      </c>
      <c r="H274" s="4027">
        <f t="shared" si="128"/>
        <v>0</v>
      </c>
      <c r="I274" s="4027">
        <f t="shared" si="128"/>
        <v>0</v>
      </c>
      <c r="J274" s="4027">
        <f t="shared" si="128"/>
        <v>41851</v>
      </c>
      <c r="K274" s="4027">
        <f t="shared" si="128"/>
        <v>460</v>
      </c>
      <c r="L274" s="4027">
        <f t="shared" si="128"/>
        <v>0</v>
      </c>
      <c r="M274" s="4027">
        <f t="shared" si="128"/>
        <v>0</v>
      </c>
      <c r="N274" s="4027">
        <f t="shared" si="128"/>
        <v>460</v>
      </c>
      <c r="O274" s="4027">
        <f t="shared" si="128"/>
        <v>460</v>
      </c>
      <c r="P274" s="4027">
        <f t="shared" si="128"/>
        <v>0</v>
      </c>
      <c r="Q274" s="4027">
        <f t="shared" si="128"/>
        <v>0</v>
      </c>
      <c r="R274" s="4027">
        <f t="shared" si="128"/>
        <v>460</v>
      </c>
      <c r="S274" s="4027">
        <f t="shared" si="128"/>
        <v>6340</v>
      </c>
      <c r="T274" s="4027">
        <f t="shared" si="128"/>
        <v>0</v>
      </c>
      <c r="U274" s="4027">
        <f t="shared" si="128"/>
        <v>0</v>
      </c>
      <c r="V274" s="4027">
        <f t="shared" si="128"/>
        <v>6340</v>
      </c>
    </row>
    <row r="275" spans="1:22" ht="31.2">
      <c r="A275" s="4009" t="s">
        <v>34</v>
      </c>
      <c r="B275" s="4028" t="s">
        <v>2871</v>
      </c>
      <c r="C275" s="4009"/>
      <c r="D275" s="4009"/>
      <c r="E275" s="4009"/>
      <c r="F275" s="4009"/>
      <c r="G275" s="4029">
        <f>G276</f>
        <v>41851</v>
      </c>
      <c r="H275" s="4029">
        <f t="shared" si="128"/>
        <v>0</v>
      </c>
      <c r="I275" s="4029">
        <f t="shared" si="128"/>
        <v>0</v>
      </c>
      <c r="J275" s="4029">
        <f t="shared" si="128"/>
        <v>41851</v>
      </c>
      <c r="K275" s="4029">
        <f t="shared" si="128"/>
        <v>460</v>
      </c>
      <c r="L275" s="4029">
        <f t="shared" si="128"/>
        <v>0</v>
      </c>
      <c r="M275" s="4029">
        <f t="shared" si="128"/>
        <v>0</v>
      </c>
      <c r="N275" s="4029">
        <f t="shared" si="128"/>
        <v>460</v>
      </c>
      <c r="O275" s="4029">
        <f t="shared" si="128"/>
        <v>460</v>
      </c>
      <c r="P275" s="4029">
        <f t="shared" si="128"/>
        <v>0</v>
      </c>
      <c r="Q275" s="4029">
        <f t="shared" si="128"/>
        <v>0</v>
      </c>
      <c r="R275" s="4029">
        <f t="shared" si="128"/>
        <v>460</v>
      </c>
      <c r="S275" s="4029">
        <f t="shared" si="128"/>
        <v>6340</v>
      </c>
      <c r="T275" s="4029">
        <f t="shared" si="128"/>
        <v>0</v>
      </c>
      <c r="U275" s="4029">
        <f t="shared" si="128"/>
        <v>0</v>
      </c>
      <c r="V275" s="4029">
        <f t="shared" si="128"/>
        <v>6340</v>
      </c>
    </row>
    <row r="276" spans="1:22" ht="62.4">
      <c r="A276" s="4127">
        <v>1</v>
      </c>
      <c r="B276" s="4128" t="s">
        <v>3546</v>
      </c>
      <c r="C276" s="4047" t="s">
        <v>3110</v>
      </c>
      <c r="D276" s="4041"/>
      <c r="E276" s="4041" t="s">
        <v>3058</v>
      </c>
      <c r="F276" s="4041" t="s">
        <v>3173</v>
      </c>
      <c r="G276" s="3990">
        <f>H276+I276+J276</f>
        <v>41851</v>
      </c>
      <c r="H276" s="3990"/>
      <c r="I276" s="3990"/>
      <c r="J276" s="3990">
        <v>41851</v>
      </c>
      <c r="K276" s="3990">
        <f>SUM(L276:N276)</f>
        <v>460</v>
      </c>
      <c r="L276" s="3990"/>
      <c r="M276" s="3990"/>
      <c r="N276" s="3990">
        <v>460</v>
      </c>
      <c r="O276" s="3990">
        <f>SUM(P276:R276)</f>
        <v>460</v>
      </c>
      <c r="P276" s="3992"/>
      <c r="Q276" s="3990"/>
      <c r="R276" s="3990">
        <v>460</v>
      </c>
      <c r="S276" s="3990">
        <f>SUM(T276:V276)</f>
        <v>6340</v>
      </c>
      <c r="T276" s="3990"/>
      <c r="U276" s="3990"/>
      <c r="V276" s="3990">
        <v>6340</v>
      </c>
    </row>
    <row r="277" spans="1:22" s="1577" customFormat="1">
      <c r="A277" s="4009" t="s">
        <v>229</v>
      </c>
      <c r="B277" s="4010" t="s">
        <v>3414</v>
      </c>
      <c r="C277" s="4035"/>
      <c r="D277" s="4035"/>
      <c r="E277" s="4035"/>
      <c r="F277" s="4035"/>
      <c r="G277" s="4027">
        <f t="shared" ref="G277:V283" si="129">G278</f>
        <v>79505.194000000003</v>
      </c>
      <c r="H277" s="4027">
        <f t="shared" si="129"/>
        <v>0</v>
      </c>
      <c r="I277" s="4027">
        <f t="shared" si="129"/>
        <v>68505.194000000003</v>
      </c>
      <c r="J277" s="4027">
        <f t="shared" si="129"/>
        <v>11000</v>
      </c>
      <c r="K277" s="4027">
        <f t="shared" si="129"/>
        <v>36490.830999999998</v>
      </c>
      <c r="L277" s="4027">
        <f t="shared" si="129"/>
        <v>0</v>
      </c>
      <c r="M277" s="4027">
        <f t="shared" si="129"/>
        <v>36490.830999999998</v>
      </c>
      <c r="N277" s="4027">
        <f t="shared" si="129"/>
        <v>0</v>
      </c>
      <c r="O277" s="4027">
        <f t="shared" si="129"/>
        <v>35000</v>
      </c>
      <c r="P277" s="4027">
        <f t="shared" si="129"/>
        <v>0</v>
      </c>
      <c r="Q277" s="4027">
        <f t="shared" si="129"/>
        <v>35000</v>
      </c>
      <c r="R277" s="4027">
        <f t="shared" si="129"/>
        <v>0</v>
      </c>
      <c r="S277" s="4027">
        <f t="shared" si="129"/>
        <v>15000</v>
      </c>
      <c r="T277" s="4027">
        <f t="shared" si="129"/>
        <v>0</v>
      </c>
      <c r="U277" s="4027">
        <f t="shared" si="129"/>
        <v>0</v>
      </c>
      <c r="V277" s="4027">
        <f>V278</f>
        <v>15000</v>
      </c>
    </row>
    <row r="278" spans="1:22" s="248" customFormat="1">
      <c r="A278" s="4009">
        <v>1</v>
      </c>
      <c r="B278" s="4010" t="s">
        <v>3122</v>
      </c>
      <c r="C278" s="4009"/>
      <c r="D278" s="4009"/>
      <c r="E278" s="4009"/>
      <c r="F278" s="4009"/>
      <c r="G278" s="4027">
        <f t="shared" si="129"/>
        <v>79505.194000000003</v>
      </c>
      <c r="H278" s="4027">
        <f t="shared" si="129"/>
        <v>0</v>
      </c>
      <c r="I278" s="4027">
        <f t="shared" si="129"/>
        <v>68505.194000000003</v>
      </c>
      <c r="J278" s="4027">
        <f t="shared" si="129"/>
        <v>11000</v>
      </c>
      <c r="K278" s="4027">
        <f t="shared" si="129"/>
        <v>36490.830999999998</v>
      </c>
      <c r="L278" s="4027">
        <f t="shared" si="129"/>
        <v>0</v>
      </c>
      <c r="M278" s="4027">
        <f t="shared" si="129"/>
        <v>36490.830999999998</v>
      </c>
      <c r="N278" s="4027">
        <f t="shared" si="129"/>
        <v>0</v>
      </c>
      <c r="O278" s="4027">
        <f t="shared" si="129"/>
        <v>35000</v>
      </c>
      <c r="P278" s="4027">
        <f t="shared" si="129"/>
        <v>0</v>
      </c>
      <c r="Q278" s="4027">
        <f t="shared" si="129"/>
        <v>35000</v>
      </c>
      <c r="R278" s="4027">
        <f t="shared" si="129"/>
        <v>0</v>
      </c>
      <c r="S278" s="4027">
        <f t="shared" si="129"/>
        <v>15000</v>
      </c>
      <c r="T278" s="4027">
        <f t="shared" si="129"/>
        <v>0</v>
      </c>
      <c r="U278" s="4027">
        <f t="shared" si="129"/>
        <v>0</v>
      </c>
      <c r="V278" s="4027">
        <f t="shared" si="129"/>
        <v>15000</v>
      </c>
    </row>
    <row r="279" spans="1:22" ht="31.2">
      <c r="A279" s="4009" t="s">
        <v>34</v>
      </c>
      <c r="B279" s="4028" t="s">
        <v>2871</v>
      </c>
      <c r="C279" s="4009"/>
      <c r="D279" s="4009"/>
      <c r="E279" s="4009"/>
      <c r="F279" s="4009"/>
      <c r="G279" s="4029">
        <f>G280</f>
        <v>79505.194000000003</v>
      </c>
      <c r="H279" s="4029">
        <f t="shared" si="129"/>
        <v>0</v>
      </c>
      <c r="I279" s="4029">
        <f t="shared" si="129"/>
        <v>68505.194000000003</v>
      </c>
      <c r="J279" s="4029">
        <f t="shared" si="129"/>
        <v>11000</v>
      </c>
      <c r="K279" s="4029">
        <f t="shared" si="129"/>
        <v>36490.830999999998</v>
      </c>
      <c r="L279" s="4029">
        <f t="shared" si="129"/>
        <v>0</v>
      </c>
      <c r="M279" s="4029">
        <f t="shared" si="129"/>
        <v>36490.830999999998</v>
      </c>
      <c r="N279" s="4029">
        <f t="shared" si="129"/>
        <v>0</v>
      </c>
      <c r="O279" s="4029">
        <f t="shared" si="129"/>
        <v>35000</v>
      </c>
      <c r="P279" s="4029">
        <f t="shared" si="129"/>
        <v>0</v>
      </c>
      <c r="Q279" s="4029">
        <f t="shared" si="129"/>
        <v>35000</v>
      </c>
      <c r="R279" s="4029">
        <f t="shared" si="129"/>
        <v>0</v>
      </c>
      <c r="S279" s="4029">
        <f t="shared" si="129"/>
        <v>15000</v>
      </c>
      <c r="T279" s="4029">
        <f t="shared" si="129"/>
        <v>0</v>
      </c>
      <c r="U279" s="4029">
        <f t="shared" si="129"/>
        <v>0</v>
      </c>
      <c r="V279" s="4029">
        <f t="shared" si="129"/>
        <v>15000</v>
      </c>
    </row>
    <row r="280" spans="1:22" s="3999" customFormat="1" ht="39.75" customHeight="1">
      <c r="A280" s="3987">
        <v>1</v>
      </c>
      <c r="B280" s="4099" t="s">
        <v>3547</v>
      </c>
      <c r="C280" s="4041" t="s">
        <v>3548</v>
      </c>
      <c r="D280" s="3987"/>
      <c r="E280" s="3987" t="s">
        <v>2920</v>
      </c>
      <c r="F280" s="4055" t="s">
        <v>3549</v>
      </c>
      <c r="G280" s="4051">
        <v>79505.194000000003</v>
      </c>
      <c r="H280" s="4051">
        <v>0</v>
      </c>
      <c r="I280" s="4051">
        <v>68505.194000000003</v>
      </c>
      <c r="J280" s="4051">
        <v>11000</v>
      </c>
      <c r="K280" s="4051">
        <v>36490.830999999998</v>
      </c>
      <c r="L280" s="4051">
        <v>0</v>
      </c>
      <c r="M280" s="4051">
        <v>36490.830999999998</v>
      </c>
      <c r="N280" s="4051">
        <v>0</v>
      </c>
      <c r="O280" s="4051">
        <v>35000</v>
      </c>
      <c r="P280" s="4051"/>
      <c r="Q280" s="4051">
        <v>35000</v>
      </c>
      <c r="R280" s="4051">
        <v>0</v>
      </c>
      <c r="S280" s="4051">
        <v>15000</v>
      </c>
      <c r="T280" s="4051">
        <v>0</v>
      </c>
      <c r="U280" s="4051">
        <v>0</v>
      </c>
      <c r="V280" s="4051">
        <v>15000</v>
      </c>
    </row>
    <row r="281" spans="1:22" s="1577" customFormat="1" ht="31.2">
      <c r="A281" s="4009" t="s">
        <v>2211</v>
      </c>
      <c r="B281" s="4010" t="s">
        <v>3407</v>
      </c>
      <c r="C281" s="4035"/>
      <c r="D281" s="4035"/>
      <c r="E281" s="4035"/>
      <c r="F281" s="4035"/>
      <c r="G281" s="4027">
        <f t="shared" si="129"/>
        <v>973404</v>
      </c>
      <c r="H281" s="4027">
        <f t="shared" si="129"/>
        <v>0</v>
      </c>
      <c r="I281" s="4027">
        <f t="shared" si="129"/>
        <v>865000</v>
      </c>
      <c r="J281" s="4027">
        <f t="shared" si="129"/>
        <v>108404</v>
      </c>
      <c r="K281" s="4027">
        <f t="shared" si="129"/>
        <v>392283</v>
      </c>
      <c r="L281" s="4027">
        <f t="shared" si="129"/>
        <v>0</v>
      </c>
      <c r="M281" s="4027">
        <f t="shared" si="129"/>
        <v>392283</v>
      </c>
      <c r="N281" s="4027">
        <f t="shared" si="129"/>
        <v>0</v>
      </c>
      <c r="O281" s="4027">
        <f t="shared" si="129"/>
        <v>392283</v>
      </c>
      <c r="P281" s="4027">
        <f t="shared" si="129"/>
        <v>0</v>
      </c>
      <c r="Q281" s="4027">
        <f t="shared" si="129"/>
        <v>392283</v>
      </c>
      <c r="R281" s="4027">
        <f t="shared" si="129"/>
        <v>0</v>
      </c>
      <c r="S281" s="4027">
        <f t="shared" si="129"/>
        <v>157859</v>
      </c>
      <c r="T281" s="4027">
        <f t="shared" si="129"/>
        <v>0</v>
      </c>
      <c r="U281" s="4027">
        <f t="shared" si="129"/>
        <v>120459</v>
      </c>
      <c r="V281" s="4027">
        <f>V282</f>
        <v>37400</v>
      </c>
    </row>
    <row r="282" spans="1:22" s="248" customFormat="1">
      <c r="A282" s="4009">
        <v>1</v>
      </c>
      <c r="B282" s="4010" t="s">
        <v>3122</v>
      </c>
      <c r="C282" s="4009"/>
      <c r="D282" s="4009"/>
      <c r="E282" s="4009"/>
      <c r="F282" s="4009"/>
      <c r="G282" s="4027">
        <f>G283+G285</f>
        <v>973404</v>
      </c>
      <c r="H282" s="4027">
        <f t="shared" ref="H282:V282" si="130">H283+H285</f>
        <v>0</v>
      </c>
      <c r="I282" s="4027">
        <f t="shared" si="130"/>
        <v>865000</v>
      </c>
      <c r="J282" s="4027">
        <f t="shared" si="130"/>
        <v>108404</v>
      </c>
      <c r="K282" s="4027">
        <f t="shared" si="130"/>
        <v>392283</v>
      </c>
      <c r="L282" s="4027">
        <f t="shared" si="130"/>
        <v>0</v>
      </c>
      <c r="M282" s="4027">
        <f t="shared" si="130"/>
        <v>392283</v>
      </c>
      <c r="N282" s="4027">
        <f t="shared" si="130"/>
        <v>0</v>
      </c>
      <c r="O282" s="4027">
        <f t="shared" si="130"/>
        <v>392283</v>
      </c>
      <c r="P282" s="4027">
        <f t="shared" si="130"/>
        <v>0</v>
      </c>
      <c r="Q282" s="4027">
        <f t="shared" si="130"/>
        <v>392283</v>
      </c>
      <c r="R282" s="4027">
        <f t="shared" si="130"/>
        <v>0</v>
      </c>
      <c r="S282" s="4027">
        <f t="shared" si="130"/>
        <v>157859</v>
      </c>
      <c r="T282" s="4027">
        <f t="shared" si="130"/>
        <v>0</v>
      </c>
      <c r="U282" s="4027">
        <f t="shared" si="130"/>
        <v>120459</v>
      </c>
      <c r="V282" s="4027">
        <f t="shared" si="130"/>
        <v>37400</v>
      </c>
    </row>
    <row r="283" spans="1:22" ht="46.8">
      <c r="A283" s="4009" t="s">
        <v>34</v>
      </c>
      <c r="B283" s="4028" t="s">
        <v>3266</v>
      </c>
      <c r="C283" s="4009"/>
      <c r="D283" s="4009"/>
      <c r="E283" s="4009"/>
      <c r="F283" s="4009"/>
      <c r="G283" s="4029">
        <f>G284</f>
        <v>300000</v>
      </c>
      <c r="H283" s="4029">
        <f t="shared" si="129"/>
        <v>0</v>
      </c>
      <c r="I283" s="4029">
        <f t="shared" si="129"/>
        <v>300000</v>
      </c>
      <c r="J283" s="4029">
        <f t="shared" si="129"/>
        <v>0</v>
      </c>
      <c r="K283" s="4029">
        <f t="shared" si="129"/>
        <v>199541</v>
      </c>
      <c r="L283" s="4029">
        <f t="shared" si="129"/>
        <v>0</v>
      </c>
      <c r="M283" s="4029">
        <f t="shared" si="129"/>
        <v>199541</v>
      </c>
      <c r="N283" s="4029">
        <f t="shared" si="129"/>
        <v>0</v>
      </c>
      <c r="O283" s="4029">
        <f t="shared" si="129"/>
        <v>199541</v>
      </c>
      <c r="P283" s="4029">
        <f t="shared" si="129"/>
        <v>0</v>
      </c>
      <c r="Q283" s="4029">
        <f t="shared" si="129"/>
        <v>199541</v>
      </c>
      <c r="R283" s="4029">
        <f t="shared" si="129"/>
        <v>0</v>
      </c>
      <c r="S283" s="4029">
        <f t="shared" si="129"/>
        <v>100459</v>
      </c>
      <c r="T283" s="4029">
        <f t="shared" si="129"/>
        <v>0</v>
      </c>
      <c r="U283" s="4029">
        <f t="shared" si="129"/>
        <v>100459</v>
      </c>
      <c r="V283" s="4029">
        <f t="shared" si="129"/>
        <v>0</v>
      </c>
    </row>
    <row r="284" spans="1:22" s="3999" customFormat="1" ht="109.2">
      <c r="A284" s="3987">
        <v>1</v>
      </c>
      <c r="B284" s="4099" t="s">
        <v>3550</v>
      </c>
      <c r="C284" s="4041" t="s">
        <v>2900</v>
      </c>
      <c r="D284" s="3987"/>
      <c r="E284" s="3987" t="s">
        <v>2887</v>
      </c>
      <c r="F284" s="4055" t="s">
        <v>3551</v>
      </c>
      <c r="G284" s="4051">
        <f>H284+I284+J284</f>
        <v>300000</v>
      </c>
      <c r="H284" s="4051"/>
      <c r="I284" s="4051">
        <v>300000</v>
      </c>
      <c r="J284" s="4051"/>
      <c r="K284" s="4051">
        <f>L284+M284+N284</f>
        <v>199541</v>
      </c>
      <c r="L284" s="4051">
        <v>0</v>
      </c>
      <c r="M284" s="4051">
        <v>199541</v>
      </c>
      <c r="N284" s="4051">
        <v>0</v>
      </c>
      <c r="O284" s="4051">
        <f>P284+Q284+R284</f>
        <v>199541</v>
      </c>
      <c r="P284" s="4051"/>
      <c r="Q284" s="4051">
        <v>199541</v>
      </c>
      <c r="R284" s="4051">
        <v>0</v>
      </c>
      <c r="S284" s="4051">
        <f>T284+U284+V284</f>
        <v>100459</v>
      </c>
      <c r="T284" s="4051">
        <v>0</v>
      </c>
      <c r="U284" s="4051">
        <v>100459</v>
      </c>
      <c r="V284" s="4051"/>
    </row>
    <row r="285" spans="1:22" s="4136" customFormat="1" ht="31.2">
      <c r="A285" s="4101" t="s">
        <v>35</v>
      </c>
      <c r="B285" s="4028" t="s">
        <v>2871</v>
      </c>
      <c r="C285" s="4134"/>
      <c r="D285" s="4101"/>
      <c r="E285" s="4101"/>
      <c r="F285" s="4135"/>
      <c r="G285" s="4056">
        <f t="shared" ref="G285:U285" si="131">SUM(G286:G287)</f>
        <v>673404</v>
      </c>
      <c r="H285" s="4056">
        <f t="shared" si="131"/>
        <v>0</v>
      </c>
      <c r="I285" s="4056">
        <f t="shared" si="131"/>
        <v>565000</v>
      </c>
      <c r="J285" s="4056">
        <f t="shared" si="131"/>
        <v>108404</v>
      </c>
      <c r="K285" s="4056">
        <f t="shared" si="131"/>
        <v>192742</v>
      </c>
      <c r="L285" s="4056">
        <f t="shared" si="131"/>
        <v>0</v>
      </c>
      <c r="M285" s="4056">
        <f t="shared" si="131"/>
        <v>192742</v>
      </c>
      <c r="N285" s="4056">
        <f t="shared" si="131"/>
        <v>0</v>
      </c>
      <c r="O285" s="4056">
        <f t="shared" si="131"/>
        <v>192742</v>
      </c>
      <c r="P285" s="4056">
        <f t="shared" si="131"/>
        <v>0</v>
      </c>
      <c r="Q285" s="4056">
        <f t="shared" si="131"/>
        <v>192742</v>
      </c>
      <c r="R285" s="4056">
        <f t="shared" si="131"/>
        <v>0</v>
      </c>
      <c r="S285" s="4056">
        <f t="shared" si="131"/>
        <v>57400</v>
      </c>
      <c r="T285" s="4056">
        <f t="shared" si="131"/>
        <v>0</v>
      </c>
      <c r="U285" s="4056">
        <f t="shared" si="131"/>
        <v>20000</v>
      </c>
      <c r="V285" s="4056">
        <f>SUM(V286:V287)</f>
        <v>37400</v>
      </c>
    </row>
    <row r="286" spans="1:22" s="3999" customFormat="1" ht="45" customHeight="1">
      <c r="A286" s="3987">
        <v>1</v>
      </c>
      <c r="B286" s="4099" t="s">
        <v>3552</v>
      </c>
      <c r="C286" s="4041" t="s">
        <v>3110</v>
      </c>
      <c r="D286" s="3987"/>
      <c r="E286" s="3987" t="s">
        <v>2887</v>
      </c>
      <c r="F286" s="4055" t="s">
        <v>3553</v>
      </c>
      <c r="G286" s="4051">
        <f>H286+I286+J286</f>
        <v>287404</v>
      </c>
      <c r="H286" s="4051"/>
      <c r="I286" s="4051">
        <v>250000</v>
      </c>
      <c r="J286" s="4051">
        <v>37404</v>
      </c>
      <c r="K286" s="4051">
        <f>L286+M286+N286</f>
        <v>192742</v>
      </c>
      <c r="L286" s="4051"/>
      <c r="M286" s="4051">
        <v>192742</v>
      </c>
      <c r="N286" s="4051"/>
      <c r="O286" s="4051">
        <f>P286+Q286+R286</f>
        <v>192742</v>
      </c>
      <c r="P286" s="4051"/>
      <c r="Q286" s="4051">
        <v>192742</v>
      </c>
      <c r="R286" s="4051"/>
      <c r="S286" s="4051">
        <f>T286+U286+V286</f>
        <v>25400</v>
      </c>
      <c r="T286" s="4051"/>
      <c r="U286" s="4051">
        <v>20000</v>
      </c>
      <c r="V286" s="4051">
        <v>5400</v>
      </c>
    </row>
    <row r="287" spans="1:22" s="3999" customFormat="1" ht="45" customHeight="1">
      <c r="A287" s="3987">
        <v>2</v>
      </c>
      <c r="B287" s="4099" t="s">
        <v>3554</v>
      </c>
      <c r="C287" s="4041" t="s">
        <v>3105</v>
      </c>
      <c r="D287" s="3987"/>
      <c r="E287" s="3987" t="s">
        <v>2882</v>
      </c>
      <c r="F287" s="4055" t="s">
        <v>3555</v>
      </c>
      <c r="G287" s="4051">
        <f>H287+I287+J287</f>
        <v>386000</v>
      </c>
      <c r="H287" s="4051"/>
      <c r="I287" s="4051">
        <v>315000</v>
      </c>
      <c r="J287" s="4051">
        <v>71000</v>
      </c>
      <c r="K287" s="4051"/>
      <c r="L287" s="4051"/>
      <c r="M287" s="4051"/>
      <c r="N287" s="4051"/>
      <c r="O287" s="4051"/>
      <c r="P287" s="4051"/>
      <c r="Q287" s="4051"/>
      <c r="R287" s="4051"/>
      <c r="S287" s="4051">
        <f>T287+U287+V287</f>
        <v>32000</v>
      </c>
      <c r="T287" s="4051"/>
      <c r="U287" s="4051"/>
      <c r="V287" s="4051">
        <v>32000</v>
      </c>
    </row>
    <row r="288" spans="1:22" s="248" customFormat="1" ht="46.8">
      <c r="A288" s="4009" t="s">
        <v>3556</v>
      </c>
      <c r="B288" s="4010" t="s">
        <v>3176</v>
      </c>
      <c r="C288" s="4009"/>
      <c r="D288" s="4009"/>
      <c r="E288" s="4009"/>
      <c r="F288" s="4009"/>
      <c r="G288" s="4027">
        <f t="shared" ref="G288:U288" si="132">G289+G295+G305+G326+G338+G343+G352+G361</f>
        <v>429232.28599999996</v>
      </c>
      <c r="H288" s="4027">
        <f t="shared" si="132"/>
        <v>0</v>
      </c>
      <c r="I288" s="4027">
        <f t="shared" si="132"/>
        <v>243981</v>
      </c>
      <c r="J288" s="4027">
        <f t="shared" si="132"/>
        <v>152116.35200000001</v>
      </c>
      <c r="K288" s="4027">
        <f t="shared" si="132"/>
        <v>56531</v>
      </c>
      <c r="L288" s="4027">
        <f t="shared" si="132"/>
        <v>0</v>
      </c>
      <c r="M288" s="4027">
        <f t="shared" si="132"/>
        <v>56531</v>
      </c>
      <c r="N288" s="4027">
        <f t="shared" si="132"/>
        <v>0</v>
      </c>
      <c r="O288" s="4027">
        <f t="shared" si="132"/>
        <v>56531</v>
      </c>
      <c r="P288" s="4027">
        <f t="shared" si="132"/>
        <v>0</v>
      </c>
      <c r="Q288" s="4027">
        <f t="shared" si="132"/>
        <v>56531</v>
      </c>
      <c r="R288" s="4027">
        <f t="shared" si="132"/>
        <v>0</v>
      </c>
      <c r="S288" s="4027">
        <f t="shared" si="132"/>
        <v>127705</v>
      </c>
      <c r="T288" s="4027">
        <f t="shared" si="132"/>
        <v>0</v>
      </c>
      <c r="U288" s="4027">
        <f t="shared" si="132"/>
        <v>127705</v>
      </c>
      <c r="V288" s="4027">
        <f>V289+V295+V305+V326+V338+V343+V352+V361</f>
        <v>0</v>
      </c>
    </row>
    <row r="289" spans="1:22" s="1577" customFormat="1">
      <c r="A289" s="4009" t="s">
        <v>9</v>
      </c>
      <c r="B289" s="4010" t="s">
        <v>2846</v>
      </c>
      <c r="C289" s="4035"/>
      <c r="D289" s="4035"/>
      <c r="E289" s="4035"/>
      <c r="F289" s="4035"/>
      <c r="G289" s="4027">
        <f t="shared" ref="G289:U290" si="133">G290</f>
        <v>11576</v>
      </c>
      <c r="H289" s="4027">
        <f t="shared" si="133"/>
        <v>0</v>
      </c>
      <c r="I289" s="4027">
        <f t="shared" si="133"/>
        <v>9662</v>
      </c>
      <c r="J289" s="4027">
        <f t="shared" si="133"/>
        <v>0</v>
      </c>
      <c r="K289" s="4027">
        <f t="shared" si="133"/>
        <v>5876</v>
      </c>
      <c r="L289" s="4027">
        <f t="shared" si="133"/>
        <v>0</v>
      </c>
      <c r="M289" s="4027">
        <f t="shared" si="133"/>
        <v>5876</v>
      </c>
      <c r="N289" s="4027">
        <f t="shared" si="133"/>
        <v>0</v>
      </c>
      <c r="O289" s="4027">
        <f t="shared" si="133"/>
        <v>5876</v>
      </c>
      <c r="P289" s="4027">
        <f t="shared" si="133"/>
        <v>0</v>
      </c>
      <c r="Q289" s="4027">
        <f t="shared" si="133"/>
        <v>5876</v>
      </c>
      <c r="R289" s="4027">
        <f t="shared" si="133"/>
        <v>0</v>
      </c>
      <c r="S289" s="4027">
        <f t="shared" si="133"/>
        <v>3786</v>
      </c>
      <c r="T289" s="4027">
        <f t="shared" si="133"/>
        <v>0</v>
      </c>
      <c r="U289" s="4027">
        <f t="shared" si="133"/>
        <v>3786</v>
      </c>
      <c r="V289" s="4027">
        <f>V290</f>
        <v>0</v>
      </c>
    </row>
    <row r="290" spans="1:22" s="248" customFormat="1">
      <c r="A290" s="4009">
        <v>1</v>
      </c>
      <c r="B290" s="4010" t="s">
        <v>3122</v>
      </c>
      <c r="C290" s="4009"/>
      <c r="D290" s="4009"/>
      <c r="E290" s="4009"/>
      <c r="F290" s="4009"/>
      <c r="G290" s="4027">
        <f t="shared" si="133"/>
        <v>11576</v>
      </c>
      <c r="H290" s="4027">
        <f t="shared" si="133"/>
        <v>0</v>
      </c>
      <c r="I290" s="4027">
        <f t="shared" si="133"/>
        <v>9662</v>
      </c>
      <c r="J290" s="4027">
        <f t="shared" si="133"/>
        <v>0</v>
      </c>
      <c r="K290" s="4027">
        <f t="shared" si="133"/>
        <v>5876</v>
      </c>
      <c r="L290" s="4027">
        <f t="shared" si="133"/>
        <v>0</v>
      </c>
      <c r="M290" s="4027">
        <f t="shared" si="133"/>
        <v>5876</v>
      </c>
      <c r="N290" s="4027">
        <f t="shared" si="133"/>
        <v>0</v>
      </c>
      <c r="O290" s="4027">
        <f t="shared" si="133"/>
        <v>5876</v>
      </c>
      <c r="P290" s="4027">
        <f t="shared" si="133"/>
        <v>0</v>
      </c>
      <c r="Q290" s="4027">
        <f t="shared" si="133"/>
        <v>5876</v>
      </c>
      <c r="R290" s="4027">
        <f t="shared" si="133"/>
        <v>0</v>
      </c>
      <c r="S290" s="4027">
        <f t="shared" si="133"/>
        <v>3786</v>
      </c>
      <c r="T290" s="4027">
        <f t="shared" si="133"/>
        <v>0</v>
      </c>
      <c r="U290" s="4027">
        <f t="shared" si="133"/>
        <v>3786</v>
      </c>
      <c r="V290" s="4027">
        <f>V291</f>
        <v>0</v>
      </c>
    </row>
    <row r="291" spans="1:22" ht="31.2">
      <c r="A291" s="4009" t="s">
        <v>34</v>
      </c>
      <c r="B291" s="4028" t="s">
        <v>2871</v>
      </c>
      <c r="C291" s="4009"/>
      <c r="D291" s="4009"/>
      <c r="E291" s="4009"/>
      <c r="F291" s="4009"/>
      <c r="G291" s="4029">
        <f t="shared" ref="G291:U291" si="134">SUM(G292:G294)</f>
        <v>11576</v>
      </c>
      <c r="H291" s="4029">
        <f t="shared" si="134"/>
        <v>0</v>
      </c>
      <c r="I291" s="4029">
        <f t="shared" si="134"/>
        <v>9662</v>
      </c>
      <c r="J291" s="4029">
        <f t="shared" si="134"/>
        <v>0</v>
      </c>
      <c r="K291" s="4029">
        <f t="shared" si="134"/>
        <v>5876</v>
      </c>
      <c r="L291" s="4029">
        <f t="shared" si="134"/>
        <v>0</v>
      </c>
      <c r="M291" s="4029">
        <f t="shared" si="134"/>
        <v>5876</v>
      </c>
      <c r="N291" s="4029">
        <f t="shared" si="134"/>
        <v>0</v>
      </c>
      <c r="O291" s="4029">
        <f t="shared" si="134"/>
        <v>5876</v>
      </c>
      <c r="P291" s="4029">
        <f t="shared" si="134"/>
        <v>0</v>
      </c>
      <c r="Q291" s="4029">
        <f t="shared" si="134"/>
        <v>5876</v>
      </c>
      <c r="R291" s="4029">
        <f t="shared" si="134"/>
        <v>0</v>
      </c>
      <c r="S291" s="4029">
        <f t="shared" si="134"/>
        <v>3786</v>
      </c>
      <c r="T291" s="4029">
        <f t="shared" si="134"/>
        <v>0</v>
      </c>
      <c r="U291" s="4029">
        <f t="shared" si="134"/>
        <v>3786</v>
      </c>
      <c r="V291" s="4029">
        <f>SUM(V292:V294)</f>
        <v>0</v>
      </c>
    </row>
    <row r="292" spans="1:22" s="2137" customFormat="1" ht="38.25" customHeight="1">
      <c r="A292" s="4137">
        <v>1</v>
      </c>
      <c r="B292" s="4138" t="s">
        <v>3177</v>
      </c>
      <c r="C292" s="4139" t="s">
        <v>3178</v>
      </c>
      <c r="D292" s="4140" t="s">
        <v>3179</v>
      </c>
      <c r="E292" s="4141" t="s">
        <v>2892</v>
      </c>
      <c r="F292" s="4064" t="s">
        <v>3180</v>
      </c>
      <c r="G292" s="4142">
        <v>5544</v>
      </c>
      <c r="H292" s="4050"/>
      <c r="I292" s="4142">
        <f>3731+290</f>
        <v>4021</v>
      </c>
      <c r="J292" s="4050"/>
      <c r="K292" s="4142">
        <v>2563</v>
      </c>
      <c r="L292" s="4050"/>
      <c r="M292" s="4142">
        <v>2563</v>
      </c>
      <c r="N292" s="4050"/>
      <c r="O292" s="4142">
        <v>2563</v>
      </c>
      <c r="P292" s="4050"/>
      <c r="Q292" s="4142">
        <v>2563</v>
      </c>
      <c r="R292" s="4050"/>
      <c r="S292" s="4143">
        <v>1458</v>
      </c>
      <c r="T292" s="4050"/>
      <c r="U292" s="4143">
        <v>1458</v>
      </c>
      <c r="V292" s="4050"/>
    </row>
    <row r="293" spans="1:22" s="2137" customFormat="1" ht="38.25" customHeight="1">
      <c r="A293" s="4137">
        <v>2</v>
      </c>
      <c r="B293" s="4138" t="s">
        <v>3181</v>
      </c>
      <c r="C293" s="4139" t="s">
        <v>3182</v>
      </c>
      <c r="D293" s="4140" t="s">
        <v>3183</v>
      </c>
      <c r="E293" s="4141" t="s">
        <v>2892</v>
      </c>
      <c r="F293" s="4064" t="s">
        <v>3184</v>
      </c>
      <c r="G293" s="4142">
        <v>4250</v>
      </c>
      <c r="H293" s="4050"/>
      <c r="I293" s="4142">
        <f>3731+290</f>
        <v>4021</v>
      </c>
      <c r="J293" s="4050"/>
      <c r="K293" s="4142">
        <v>3313</v>
      </c>
      <c r="L293" s="4050"/>
      <c r="M293" s="4142">
        <v>3313</v>
      </c>
      <c r="N293" s="4050"/>
      <c r="O293" s="4142">
        <v>3313</v>
      </c>
      <c r="P293" s="4050"/>
      <c r="Q293" s="4142">
        <v>3313</v>
      </c>
      <c r="R293" s="4050"/>
      <c r="S293" s="4143">
        <v>708</v>
      </c>
      <c r="T293" s="4050"/>
      <c r="U293" s="4143">
        <v>708</v>
      </c>
      <c r="V293" s="4050"/>
    </row>
    <row r="294" spans="1:22" s="2137" customFormat="1" ht="46.8">
      <c r="A294" s="4137">
        <v>3</v>
      </c>
      <c r="B294" s="4138" t="s">
        <v>3185</v>
      </c>
      <c r="C294" s="4139" t="s">
        <v>3186</v>
      </c>
      <c r="D294" s="4140" t="s">
        <v>3187</v>
      </c>
      <c r="E294" s="4141" t="s">
        <v>3092</v>
      </c>
      <c r="F294" s="4048" t="s">
        <v>3188</v>
      </c>
      <c r="G294" s="4142">
        <v>1782</v>
      </c>
      <c r="H294" s="4050"/>
      <c r="I294" s="4142">
        <v>1620</v>
      </c>
      <c r="J294" s="4050"/>
      <c r="K294" s="4142">
        <v>0</v>
      </c>
      <c r="L294" s="4050"/>
      <c r="M294" s="4142">
        <v>0</v>
      </c>
      <c r="N294" s="4050"/>
      <c r="O294" s="4142">
        <v>0</v>
      </c>
      <c r="P294" s="4050"/>
      <c r="Q294" s="4142">
        <v>0</v>
      </c>
      <c r="R294" s="4050"/>
      <c r="S294" s="4143">
        <v>1620</v>
      </c>
      <c r="T294" s="4050"/>
      <c r="U294" s="4143">
        <v>1620</v>
      </c>
      <c r="V294" s="4050"/>
    </row>
    <row r="295" spans="1:22" s="1577" customFormat="1">
      <c r="A295" s="4009" t="s">
        <v>20</v>
      </c>
      <c r="B295" s="4010" t="s">
        <v>2848</v>
      </c>
      <c r="C295" s="4035"/>
      <c r="D295" s="4035"/>
      <c r="E295" s="4035"/>
      <c r="F295" s="4035"/>
      <c r="G295" s="4027">
        <f t="shared" ref="G295:V296" si="135">G296</f>
        <v>22333.933999999997</v>
      </c>
      <c r="H295" s="4027">
        <f t="shared" si="135"/>
        <v>0</v>
      </c>
      <c r="I295" s="4027">
        <f t="shared" si="135"/>
        <v>20613</v>
      </c>
      <c r="J295" s="4027">
        <f t="shared" si="135"/>
        <v>0</v>
      </c>
      <c r="K295" s="4027">
        <f t="shared" si="135"/>
        <v>0</v>
      </c>
      <c r="L295" s="4027">
        <f t="shared" si="135"/>
        <v>0</v>
      </c>
      <c r="M295" s="4027">
        <f t="shared" si="135"/>
        <v>0</v>
      </c>
      <c r="N295" s="4027">
        <f t="shared" si="135"/>
        <v>0</v>
      </c>
      <c r="O295" s="4027">
        <f t="shared" si="135"/>
        <v>0</v>
      </c>
      <c r="P295" s="4027">
        <f t="shared" si="135"/>
        <v>0</v>
      </c>
      <c r="Q295" s="4027">
        <f t="shared" si="135"/>
        <v>0</v>
      </c>
      <c r="R295" s="4027">
        <f t="shared" si="135"/>
        <v>0</v>
      </c>
      <c r="S295" s="4027">
        <f t="shared" si="135"/>
        <v>20613</v>
      </c>
      <c r="T295" s="4027">
        <f t="shared" si="135"/>
        <v>0</v>
      </c>
      <c r="U295" s="4027">
        <f t="shared" si="135"/>
        <v>20613</v>
      </c>
      <c r="V295" s="4027">
        <f>V296</f>
        <v>0</v>
      </c>
    </row>
    <row r="296" spans="1:22" s="248" customFormat="1">
      <c r="A296" s="4009">
        <v>1</v>
      </c>
      <c r="B296" s="4010" t="s">
        <v>3122</v>
      </c>
      <c r="C296" s="4009"/>
      <c r="D296" s="4009"/>
      <c r="E296" s="4009"/>
      <c r="F296" s="4009"/>
      <c r="G296" s="4027">
        <f t="shared" si="135"/>
        <v>22333.933999999997</v>
      </c>
      <c r="H296" s="4027">
        <f t="shared" si="135"/>
        <v>0</v>
      </c>
      <c r="I296" s="4027">
        <f t="shared" si="135"/>
        <v>20613</v>
      </c>
      <c r="J296" s="4027">
        <f t="shared" si="135"/>
        <v>0</v>
      </c>
      <c r="K296" s="4027">
        <f t="shared" si="135"/>
        <v>0</v>
      </c>
      <c r="L296" s="4027">
        <f t="shared" si="135"/>
        <v>0</v>
      </c>
      <c r="M296" s="4027">
        <f t="shared" si="135"/>
        <v>0</v>
      </c>
      <c r="N296" s="4027">
        <f t="shared" si="135"/>
        <v>0</v>
      </c>
      <c r="O296" s="4027">
        <f t="shared" si="135"/>
        <v>0</v>
      </c>
      <c r="P296" s="4027">
        <f t="shared" si="135"/>
        <v>0</v>
      </c>
      <c r="Q296" s="4027">
        <f t="shared" si="135"/>
        <v>0</v>
      </c>
      <c r="R296" s="4027">
        <f t="shared" si="135"/>
        <v>0</v>
      </c>
      <c r="S296" s="4027">
        <f t="shared" si="135"/>
        <v>20613</v>
      </c>
      <c r="T296" s="4027">
        <f t="shared" si="135"/>
        <v>0</v>
      </c>
      <c r="U296" s="4027">
        <f t="shared" si="135"/>
        <v>20613</v>
      </c>
      <c r="V296" s="4027">
        <f t="shared" si="135"/>
        <v>0</v>
      </c>
    </row>
    <row r="297" spans="1:22" ht="31.2">
      <c r="A297" s="4009" t="s">
        <v>34</v>
      </c>
      <c r="B297" s="4028" t="s">
        <v>2871</v>
      </c>
      <c r="C297" s="4009"/>
      <c r="D297" s="4009"/>
      <c r="E297" s="4009"/>
      <c r="F297" s="4009"/>
      <c r="G297" s="4029">
        <f>SUM(G298:G304)</f>
        <v>22333.933999999997</v>
      </c>
      <c r="H297" s="4029">
        <f t="shared" ref="H297:V297" si="136">SUM(H298:H304)</f>
        <v>0</v>
      </c>
      <c r="I297" s="4029">
        <f t="shared" si="136"/>
        <v>20613</v>
      </c>
      <c r="J297" s="4029">
        <f t="shared" si="136"/>
        <v>0</v>
      </c>
      <c r="K297" s="4029">
        <f t="shared" si="136"/>
        <v>0</v>
      </c>
      <c r="L297" s="4029">
        <f t="shared" si="136"/>
        <v>0</v>
      </c>
      <c r="M297" s="4029">
        <f t="shared" si="136"/>
        <v>0</v>
      </c>
      <c r="N297" s="4029">
        <f t="shared" si="136"/>
        <v>0</v>
      </c>
      <c r="O297" s="4029">
        <f t="shared" si="136"/>
        <v>0</v>
      </c>
      <c r="P297" s="4029">
        <f t="shared" si="136"/>
        <v>0</v>
      </c>
      <c r="Q297" s="4029">
        <f t="shared" si="136"/>
        <v>0</v>
      </c>
      <c r="R297" s="4029">
        <f t="shared" si="136"/>
        <v>0</v>
      </c>
      <c r="S297" s="4029">
        <f t="shared" si="136"/>
        <v>20613</v>
      </c>
      <c r="T297" s="4029">
        <f t="shared" si="136"/>
        <v>0</v>
      </c>
      <c r="U297" s="4029">
        <f t="shared" si="136"/>
        <v>20613</v>
      </c>
      <c r="V297" s="4029">
        <f t="shared" si="136"/>
        <v>0</v>
      </c>
    </row>
    <row r="298" spans="1:22" s="3997" customFormat="1" ht="34.5" customHeight="1">
      <c r="A298" s="4125">
        <v>1</v>
      </c>
      <c r="B298" s="4144" t="s">
        <v>3189</v>
      </c>
      <c r="C298" s="4124" t="s">
        <v>3190</v>
      </c>
      <c r="D298" s="4145" t="s">
        <v>3191</v>
      </c>
      <c r="E298" s="3987" t="s">
        <v>3092</v>
      </c>
      <c r="F298" s="3987" t="s">
        <v>3192</v>
      </c>
      <c r="G298" s="4146">
        <v>3134</v>
      </c>
      <c r="H298" s="4051"/>
      <c r="I298" s="4051">
        <v>2934</v>
      </c>
      <c r="J298" s="4051"/>
      <c r="K298" s="4146"/>
      <c r="L298" s="4147"/>
      <c r="M298" s="3992"/>
      <c r="N298" s="4051">
        <f t="shared" ref="N298:N304" si="137">K298-M298</f>
        <v>0</v>
      </c>
      <c r="O298" s="4051">
        <f t="shared" ref="O298:O304" si="138">P298+Q298+R298</f>
        <v>0</v>
      </c>
      <c r="P298" s="4147"/>
      <c r="Q298" s="3992"/>
      <c r="R298" s="4147"/>
      <c r="S298" s="4051">
        <f t="shared" ref="S298:S304" si="139">T298+U298+V298</f>
        <v>2934</v>
      </c>
      <c r="T298" s="4147"/>
      <c r="U298" s="4051">
        <v>2934</v>
      </c>
      <c r="V298" s="4051"/>
    </row>
    <row r="299" spans="1:22" s="3997" customFormat="1" ht="34.5" customHeight="1">
      <c r="A299" s="4125">
        <v>2</v>
      </c>
      <c r="B299" s="3988" t="s">
        <v>3193</v>
      </c>
      <c r="C299" s="4124" t="s">
        <v>3194</v>
      </c>
      <c r="D299" s="4125" t="s">
        <v>3195</v>
      </c>
      <c r="E299" s="3987" t="s">
        <v>3092</v>
      </c>
      <c r="F299" s="3987" t="s">
        <v>3196</v>
      </c>
      <c r="G299" s="4146">
        <v>5661</v>
      </c>
      <c r="H299" s="4051"/>
      <c r="I299" s="4051">
        <v>5461</v>
      </c>
      <c r="J299" s="4051"/>
      <c r="K299" s="4146"/>
      <c r="L299" s="4147"/>
      <c r="M299" s="3992"/>
      <c r="N299" s="4147">
        <f t="shared" si="137"/>
        <v>0</v>
      </c>
      <c r="O299" s="4051">
        <f t="shared" si="138"/>
        <v>0</v>
      </c>
      <c r="P299" s="4147"/>
      <c r="Q299" s="3992"/>
      <c r="R299" s="4147"/>
      <c r="S299" s="4051">
        <f t="shared" si="139"/>
        <v>5461</v>
      </c>
      <c r="T299" s="4147"/>
      <c r="U299" s="4051">
        <v>5461</v>
      </c>
      <c r="V299" s="4051"/>
    </row>
    <row r="300" spans="1:22" s="3997" customFormat="1" ht="34.5" customHeight="1">
      <c r="A300" s="3987">
        <v>3</v>
      </c>
      <c r="B300" s="3988" t="s">
        <v>3197</v>
      </c>
      <c r="C300" s="3987" t="s">
        <v>3198</v>
      </c>
      <c r="D300" s="3987" t="s">
        <v>3199</v>
      </c>
      <c r="E300" s="3987" t="s">
        <v>3092</v>
      </c>
      <c r="F300" s="3987" t="s">
        <v>3200</v>
      </c>
      <c r="G300" s="4146">
        <v>4684</v>
      </c>
      <c r="H300" s="4051"/>
      <c r="I300" s="4051">
        <v>4484</v>
      </c>
      <c r="J300" s="4051"/>
      <c r="K300" s="4146"/>
      <c r="L300" s="4147"/>
      <c r="M300" s="3992"/>
      <c r="N300" s="4147">
        <f t="shared" si="137"/>
        <v>0</v>
      </c>
      <c r="O300" s="4051">
        <f t="shared" si="138"/>
        <v>0</v>
      </c>
      <c r="P300" s="4147"/>
      <c r="Q300" s="3992"/>
      <c r="R300" s="4147"/>
      <c r="S300" s="4051">
        <f t="shared" si="139"/>
        <v>4484</v>
      </c>
      <c r="T300" s="4147"/>
      <c r="U300" s="4051">
        <v>4484</v>
      </c>
      <c r="V300" s="4051"/>
    </row>
    <row r="301" spans="1:22" s="3997" customFormat="1" ht="34.5" customHeight="1">
      <c r="A301" s="4124">
        <v>4</v>
      </c>
      <c r="B301" s="4034" t="s">
        <v>3201</v>
      </c>
      <c r="C301" s="4148" t="s">
        <v>3202</v>
      </c>
      <c r="D301" s="3987" t="s">
        <v>3203</v>
      </c>
      <c r="E301" s="4148" t="s">
        <v>3092</v>
      </c>
      <c r="F301" s="4149" t="s">
        <v>3204</v>
      </c>
      <c r="G301" s="4146">
        <v>1558</v>
      </c>
      <c r="H301" s="4051"/>
      <c r="I301" s="4051">
        <v>1358</v>
      </c>
      <c r="J301" s="4051"/>
      <c r="K301" s="4146"/>
      <c r="L301" s="4147"/>
      <c r="M301" s="3992"/>
      <c r="N301" s="4147">
        <f t="shared" si="137"/>
        <v>0</v>
      </c>
      <c r="O301" s="4051">
        <f t="shared" si="138"/>
        <v>0</v>
      </c>
      <c r="P301" s="4147"/>
      <c r="Q301" s="3992"/>
      <c r="R301" s="4147"/>
      <c r="S301" s="4051">
        <f t="shared" si="139"/>
        <v>1358</v>
      </c>
      <c r="T301" s="4147"/>
      <c r="U301" s="4051">
        <v>1358</v>
      </c>
      <c r="V301" s="4051"/>
    </row>
    <row r="302" spans="1:22" s="3997" customFormat="1" ht="34.5" customHeight="1">
      <c r="A302" s="4124">
        <v>5</v>
      </c>
      <c r="B302" s="3988" t="s">
        <v>3205</v>
      </c>
      <c r="C302" s="4125" t="s">
        <v>3206</v>
      </c>
      <c r="D302" s="4125" t="s">
        <v>3207</v>
      </c>
      <c r="E302" s="3987" t="s">
        <v>3092</v>
      </c>
      <c r="F302" s="3987" t="s">
        <v>3208</v>
      </c>
      <c r="G302" s="4146">
        <v>3068.5650000000001</v>
      </c>
      <c r="H302" s="4051"/>
      <c r="I302" s="4051">
        <v>2558</v>
      </c>
      <c r="J302" s="4051"/>
      <c r="K302" s="4146"/>
      <c r="L302" s="4147"/>
      <c r="M302" s="3992"/>
      <c r="N302" s="4147">
        <f t="shared" si="137"/>
        <v>0</v>
      </c>
      <c r="O302" s="4051">
        <f t="shared" si="138"/>
        <v>0</v>
      </c>
      <c r="P302" s="4147"/>
      <c r="Q302" s="3992"/>
      <c r="R302" s="4147"/>
      <c r="S302" s="4051">
        <f t="shared" si="139"/>
        <v>2558</v>
      </c>
      <c r="T302" s="4147"/>
      <c r="U302" s="4051">
        <v>2558</v>
      </c>
      <c r="V302" s="4051"/>
    </row>
    <row r="303" spans="1:22" ht="34.5" customHeight="1">
      <c r="A303" s="3987">
        <v>6</v>
      </c>
      <c r="B303" s="4034" t="s">
        <v>3209</v>
      </c>
      <c r="C303" s="3987" t="s">
        <v>3210</v>
      </c>
      <c r="D303" s="3987" t="s">
        <v>3211</v>
      </c>
      <c r="E303" s="3987" t="s">
        <v>3092</v>
      </c>
      <c r="F303" s="3987" t="s">
        <v>3212</v>
      </c>
      <c r="G303" s="4146">
        <v>2378</v>
      </c>
      <c r="H303" s="3992"/>
      <c r="I303" s="4051">
        <v>2178</v>
      </c>
      <c r="J303" s="3992"/>
      <c r="K303" s="4146"/>
      <c r="L303" s="3992"/>
      <c r="M303" s="3992"/>
      <c r="N303" s="4147">
        <f t="shared" si="137"/>
        <v>0</v>
      </c>
      <c r="O303" s="4051">
        <f t="shared" si="138"/>
        <v>0</v>
      </c>
      <c r="P303" s="3992"/>
      <c r="Q303" s="3992"/>
      <c r="R303" s="3992"/>
      <c r="S303" s="4051">
        <f t="shared" si="139"/>
        <v>2178</v>
      </c>
      <c r="T303" s="3992"/>
      <c r="U303" s="4051">
        <v>2178</v>
      </c>
      <c r="V303" s="3992"/>
    </row>
    <row r="304" spans="1:22" ht="34.5" customHeight="1">
      <c r="A304" s="4124">
        <v>7</v>
      </c>
      <c r="B304" s="4034" t="s">
        <v>3213</v>
      </c>
      <c r="C304" s="4125" t="s">
        <v>3214</v>
      </c>
      <c r="D304" s="3987" t="s">
        <v>3215</v>
      </c>
      <c r="E304" s="3987" t="s">
        <v>3092</v>
      </c>
      <c r="F304" s="3987" t="s">
        <v>3216</v>
      </c>
      <c r="G304" s="4146">
        <v>1850.3689999999999</v>
      </c>
      <c r="H304" s="3992"/>
      <c r="I304" s="4051">
        <v>1640</v>
      </c>
      <c r="J304" s="3992"/>
      <c r="K304" s="4146"/>
      <c r="L304" s="3992"/>
      <c r="M304" s="3992"/>
      <c r="N304" s="4147">
        <f t="shared" si="137"/>
        <v>0</v>
      </c>
      <c r="O304" s="4051">
        <f t="shared" si="138"/>
        <v>0</v>
      </c>
      <c r="P304" s="3992"/>
      <c r="Q304" s="3992"/>
      <c r="R304" s="3992"/>
      <c r="S304" s="4051">
        <f t="shared" si="139"/>
        <v>1640</v>
      </c>
      <c r="T304" s="3992"/>
      <c r="U304" s="4051">
        <v>1640</v>
      </c>
      <c r="V304" s="3992"/>
    </row>
    <row r="305" spans="1:22" s="1577" customFormat="1">
      <c r="A305" s="4009" t="s">
        <v>49</v>
      </c>
      <c r="B305" s="4010" t="s">
        <v>2851</v>
      </c>
      <c r="C305" s="4035"/>
      <c r="D305" s="4035"/>
      <c r="E305" s="4035"/>
      <c r="F305" s="4035"/>
      <c r="G305" s="4027">
        <f t="shared" ref="G305:V306" si="140">G306</f>
        <v>215347.6</v>
      </c>
      <c r="H305" s="4027">
        <f t="shared" si="140"/>
        <v>0</v>
      </c>
      <c r="I305" s="4027">
        <f t="shared" si="140"/>
        <v>108058</v>
      </c>
      <c r="J305" s="4027">
        <f t="shared" si="140"/>
        <v>107289.60000000001</v>
      </c>
      <c r="K305" s="4027">
        <f t="shared" si="140"/>
        <v>22050</v>
      </c>
      <c r="L305" s="4027">
        <f t="shared" si="140"/>
        <v>0</v>
      </c>
      <c r="M305" s="4027">
        <f t="shared" si="140"/>
        <v>22050</v>
      </c>
      <c r="N305" s="4027">
        <f t="shared" si="140"/>
        <v>0</v>
      </c>
      <c r="O305" s="4027">
        <f t="shared" si="140"/>
        <v>22050</v>
      </c>
      <c r="P305" s="4027">
        <f t="shared" si="140"/>
        <v>0</v>
      </c>
      <c r="Q305" s="4027">
        <f t="shared" si="140"/>
        <v>22050</v>
      </c>
      <c r="R305" s="4027">
        <f t="shared" si="140"/>
        <v>0</v>
      </c>
      <c r="S305" s="4027">
        <f t="shared" si="140"/>
        <v>41979</v>
      </c>
      <c r="T305" s="4027">
        <f t="shared" si="140"/>
        <v>0</v>
      </c>
      <c r="U305" s="4027">
        <f t="shared" si="140"/>
        <v>41979</v>
      </c>
      <c r="V305" s="4027">
        <f>V306</f>
        <v>0</v>
      </c>
    </row>
    <row r="306" spans="1:22" s="248" customFormat="1">
      <c r="A306" s="4009">
        <v>1</v>
      </c>
      <c r="B306" s="4010" t="s">
        <v>3122</v>
      </c>
      <c r="C306" s="4009"/>
      <c r="D306" s="4009"/>
      <c r="E306" s="4009"/>
      <c r="F306" s="4009"/>
      <c r="G306" s="4027">
        <f t="shared" si="140"/>
        <v>215347.6</v>
      </c>
      <c r="H306" s="4027">
        <f t="shared" si="140"/>
        <v>0</v>
      </c>
      <c r="I306" s="4027">
        <f t="shared" si="140"/>
        <v>108058</v>
      </c>
      <c r="J306" s="4027">
        <f t="shared" si="140"/>
        <v>107289.60000000001</v>
      </c>
      <c r="K306" s="4027">
        <f t="shared" si="140"/>
        <v>22050</v>
      </c>
      <c r="L306" s="4027">
        <f t="shared" si="140"/>
        <v>0</v>
      </c>
      <c r="M306" s="4027">
        <f t="shared" si="140"/>
        <v>22050</v>
      </c>
      <c r="N306" s="4027">
        <f t="shared" si="140"/>
        <v>0</v>
      </c>
      <c r="O306" s="4027">
        <f t="shared" si="140"/>
        <v>22050</v>
      </c>
      <c r="P306" s="4027">
        <f t="shared" si="140"/>
        <v>0</v>
      </c>
      <c r="Q306" s="4027">
        <f t="shared" si="140"/>
        <v>22050</v>
      </c>
      <c r="R306" s="4027">
        <f t="shared" si="140"/>
        <v>0</v>
      </c>
      <c r="S306" s="4027">
        <f t="shared" si="140"/>
        <v>41979</v>
      </c>
      <c r="T306" s="4027">
        <f t="shared" si="140"/>
        <v>0</v>
      </c>
      <c r="U306" s="4027">
        <f t="shared" si="140"/>
        <v>41979</v>
      </c>
      <c r="V306" s="4027">
        <f t="shared" si="140"/>
        <v>0</v>
      </c>
    </row>
    <row r="307" spans="1:22" ht="31.2">
      <c r="A307" s="4009" t="s">
        <v>34</v>
      </c>
      <c r="B307" s="4028" t="s">
        <v>2871</v>
      </c>
      <c r="C307" s="4009"/>
      <c r="D307" s="4009"/>
      <c r="E307" s="4009"/>
      <c r="F307" s="4009"/>
      <c r="G307" s="4029">
        <f>SUM(G308:G325)</f>
        <v>215347.6</v>
      </c>
      <c r="H307" s="4029">
        <f t="shared" ref="H307:V307" si="141">SUM(H308:H325)</f>
        <v>0</v>
      </c>
      <c r="I307" s="4029">
        <f t="shared" si="141"/>
        <v>108058</v>
      </c>
      <c r="J307" s="4029">
        <f t="shared" si="141"/>
        <v>107289.60000000001</v>
      </c>
      <c r="K307" s="4029">
        <f t="shared" si="141"/>
        <v>22050</v>
      </c>
      <c r="L307" s="4029">
        <f t="shared" si="141"/>
        <v>0</v>
      </c>
      <c r="M307" s="4029">
        <f t="shared" si="141"/>
        <v>22050</v>
      </c>
      <c r="N307" s="4029">
        <f t="shared" si="141"/>
        <v>0</v>
      </c>
      <c r="O307" s="4029">
        <f t="shared" si="141"/>
        <v>22050</v>
      </c>
      <c r="P307" s="4029">
        <f t="shared" si="141"/>
        <v>0</v>
      </c>
      <c r="Q307" s="4029">
        <f t="shared" si="141"/>
        <v>22050</v>
      </c>
      <c r="R307" s="4029">
        <f t="shared" si="141"/>
        <v>0</v>
      </c>
      <c r="S307" s="4029">
        <f t="shared" si="141"/>
        <v>41979</v>
      </c>
      <c r="T307" s="4029">
        <f t="shared" si="141"/>
        <v>0</v>
      </c>
      <c r="U307" s="4029">
        <f t="shared" si="141"/>
        <v>41979</v>
      </c>
      <c r="V307" s="4029">
        <f t="shared" si="141"/>
        <v>0</v>
      </c>
    </row>
    <row r="308" spans="1:22" s="4072" customFormat="1" ht="124.8">
      <c r="A308" s="3987">
        <v>1</v>
      </c>
      <c r="B308" s="4066" t="s">
        <v>3217</v>
      </c>
      <c r="C308" s="4067" t="s">
        <v>3218</v>
      </c>
      <c r="D308" s="4067" t="s">
        <v>3219</v>
      </c>
      <c r="E308" s="4067" t="s">
        <v>2892</v>
      </c>
      <c r="F308" s="4069" t="s">
        <v>3220</v>
      </c>
      <c r="G308" s="4070">
        <v>106949.6</v>
      </c>
      <c r="H308" s="4071"/>
      <c r="I308" s="4070">
        <v>53859</v>
      </c>
      <c r="J308" s="4070">
        <f>G308-I308</f>
        <v>53090.600000000006</v>
      </c>
      <c r="K308" s="4070">
        <f>SUM(L308:N308)</f>
        <v>9830</v>
      </c>
      <c r="L308" s="4071"/>
      <c r="M308" s="4070">
        <v>9830</v>
      </c>
      <c r="N308" s="4073"/>
      <c r="O308" s="4070">
        <f>SUM(P308:R308)</f>
        <v>9830</v>
      </c>
      <c r="P308" s="4071"/>
      <c r="Q308" s="4070">
        <v>9830</v>
      </c>
      <c r="R308" s="4071"/>
      <c r="S308" s="3990">
        <f>SUM(T308:V308)</f>
        <v>10000</v>
      </c>
      <c r="T308" s="4071"/>
      <c r="U308" s="4070">
        <v>10000</v>
      </c>
      <c r="V308" s="4071"/>
    </row>
    <row r="309" spans="1:22" s="4072" customFormat="1" ht="62.4">
      <c r="A309" s="3987">
        <v>2</v>
      </c>
      <c r="B309" s="4066" t="s">
        <v>3221</v>
      </c>
      <c r="C309" s="4067" t="s">
        <v>3222</v>
      </c>
      <c r="D309" s="4067" t="s">
        <v>3223</v>
      </c>
      <c r="E309" s="4067" t="s">
        <v>3058</v>
      </c>
      <c r="F309" s="4069" t="s">
        <v>3224</v>
      </c>
      <c r="G309" s="4070">
        <v>40000</v>
      </c>
      <c r="H309" s="4071"/>
      <c r="I309" s="4070">
        <v>20000</v>
      </c>
      <c r="J309" s="4070">
        <f>G309-I309</f>
        <v>20000</v>
      </c>
      <c r="K309" s="4070">
        <f>SUM(L309:N309)</f>
        <v>0</v>
      </c>
      <c r="L309" s="4071"/>
      <c r="M309" s="4071"/>
      <c r="N309" s="4073"/>
      <c r="O309" s="4070">
        <f>SUM(P309:R309)</f>
        <v>0</v>
      </c>
      <c r="P309" s="4071"/>
      <c r="Q309" s="4071"/>
      <c r="R309" s="4071"/>
      <c r="S309" s="3990">
        <f>SUM(T309:V309)</f>
        <v>10000</v>
      </c>
      <c r="T309" s="4071"/>
      <c r="U309" s="4070">
        <v>10000</v>
      </c>
      <c r="V309" s="4071"/>
    </row>
    <row r="310" spans="1:22" s="4072" customFormat="1" ht="47.25" customHeight="1">
      <c r="A310" s="3987">
        <v>3</v>
      </c>
      <c r="B310" s="4066" t="s">
        <v>3225</v>
      </c>
      <c r="C310" s="4067" t="s">
        <v>3226</v>
      </c>
      <c r="D310" s="4067" t="s">
        <v>3227</v>
      </c>
      <c r="E310" s="4067" t="s">
        <v>3058</v>
      </c>
      <c r="F310" s="4069" t="s">
        <v>3228</v>
      </c>
      <c r="G310" s="4070">
        <v>5610</v>
      </c>
      <c r="H310" s="4071"/>
      <c r="I310" s="4070">
        <v>2805</v>
      </c>
      <c r="J310" s="4070">
        <f>G310-I310</f>
        <v>2805</v>
      </c>
      <c r="K310" s="4070">
        <f>SUM(L310:N310)</f>
        <v>0</v>
      </c>
      <c r="L310" s="4071"/>
      <c r="M310" s="4071"/>
      <c r="N310" s="4073"/>
      <c r="O310" s="4070">
        <f>SUM(P310:R310)</f>
        <v>0</v>
      </c>
      <c r="P310" s="4071"/>
      <c r="Q310" s="4071"/>
      <c r="R310" s="4071"/>
      <c r="S310" s="3990">
        <f>SUM(T310:V310)</f>
        <v>2805</v>
      </c>
      <c r="T310" s="4071"/>
      <c r="U310" s="4070">
        <v>2805</v>
      </c>
      <c r="V310" s="4071"/>
    </row>
    <row r="311" spans="1:22" s="4072" customFormat="1" ht="47.25" customHeight="1">
      <c r="A311" s="3987">
        <v>4</v>
      </c>
      <c r="B311" s="4066" t="s">
        <v>3229</v>
      </c>
      <c r="C311" s="4067" t="s">
        <v>3230</v>
      </c>
      <c r="D311" s="4067" t="s">
        <v>3227</v>
      </c>
      <c r="E311" s="4067" t="s">
        <v>3058</v>
      </c>
      <c r="F311" s="4069" t="s">
        <v>3231</v>
      </c>
      <c r="G311" s="4070">
        <v>6000</v>
      </c>
      <c r="H311" s="4071"/>
      <c r="I311" s="4070">
        <v>3000</v>
      </c>
      <c r="J311" s="4070">
        <f>G311-I311</f>
        <v>3000</v>
      </c>
      <c r="K311" s="4070">
        <f>SUM(L311:N311)</f>
        <v>0</v>
      </c>
      <c r="L311" s="4071"/>
      <c r="M311" s="4071"/>
      <c r="N311" s="4073"/>
      <c r="O311" s="4070">
        <f>SUM(P311:R311)</f>
        <v>0</v>
      </c>
      <c r="P311" s="4071"/>
      <c r="Q311" s="4071"/>
      <c r="R311" s="4071"/>
      <c r="S311" s="3990">
        <f>SUM(T311:V311)</f>
        <v>3000</v>
      </c>
      <c r="T311" s="4071"/>
      <c r="U311" s="4070">
        <v>3000</v>
      </c>
      <c r="V311" s="4071"/>
    </row>
    <row r="312" spans="1:22" s="4072" customFormat="1" ht="47.25" customHeight="1">
      <c r="A312" s="3987">
        <v>5</v>
      </c>
      <c r="B312" s="4066" t="s">
        <v>3557</v>
      </c>
      <c r="C312" s="4067" t="s">
        <v>3558</v>
      </c>
      <c r="D312" s="4067" t="s">
        <v>3559</v>
      </c>
      <c r="E312" s="4067" t="s">
        <v>2892</v>
      </c>
      <c r="F312" s="4069" t="s">
        <v>3560</v>
      </c>
      <c r="G312" s="4070">
        <v>7952</v>
      </c>
      <c r="H312" s="4071"/>
      <c r="I312" s="4070">
        <v>3976</v>
      </c>
      <c r="J312" s="4070">
        <f t="shared" ref="J312:J325" si="142">G312-I312</f>
        <v>3976</v>
      </c>
      <c r="K312" s="4070">
        <v>2648</v>
      </c>
      <c r="L312" s="4071"/>
      <c r="M312" s="4070">
        <v>2648</v>
      </c>
      <c r="N312" s="4073"/>
      <c r="O312" s="4070">
        <v>2648</v>
      </c>
      <c r="P312" s="4071"/>
      <c r="Q312" s="4070">
        <v>2648</v>
      </c>
      <c r="R312" s="4071"/>
      <c r="S312" s="3990">
        <f t="shared" ref="S312:S325" si="143">SUM(T312:V312)</f>
        <v>1328</v>
      </c>
      <c r="T312" s="4071"/>
      <c r="U312" s="4070">
        <v>1328</v>
      </c>
      <c r="V312" s="4070"/>
    </row>
    <row r="313" spans="1:22" s="4072" customFormat="1" ht="47.25" customHeight="1">
      <c r="A313" s="3987">
        <v>6</v>
      </c>
      <c r="B313" s="4066" t="s">
        <v>3561</v>
      </c>
      <c r="C313" s="4067" t="s">
        <v>3558</v>
      </c>
      <c r="D313" s="4067" t="s">
        <v>3562</v>
      </c>
      <c r="E313" s="4067" t="s">
        <v>2892</v>
      </c>
      <c r="F313" s="4069" t="s">
        <v>3563</v>
      </c>
      <c r="G313" s="4070">
        <v>6000</v>
      </c>
      <c r="H313" s="4071"/>
      <c r="I313" s="4070">
        <v>3000</v>
      </c>
      <c r="J313" s="4070">
        <f t="shared" si="142"/>
        <v>3000</v>
      </c>
      <c r="K313" s="4070">
        <v>2474</v>
      </c>
      <c r="L313" s="4071"/>
      <c r="M313" s="4070">
        <v>2474</v>
      </c>
      <c r="N313" s="4073"/>
      <c r="O313" s="4070">
        <v>2474</v>
      </c>
      <c r="P313" s="4071"/>
      <c r="Q313" s="4070">
        <v>2474</v>
      </c>
      <c r="R313" s="4071"/>
      <c r="S313" s="3990">
        <f t="shared" si="143"/>
        <v>526</v>
      </c>
      <c r="T313" s="4071"/>
      <c r="U313" s="4070">
        <v>526</v>
      </c>
      <c r="V313" s="4070"/>
    </row>
    <row r="314" spans="1:22" s="4072" customFormat="1" ht="47.25" customHeight="1">
      <c r="A314" s="3987">
        <v>7</v>
      </c>
      <c r="B314" s="4066" t="s">
        <v>3564</v>
      </c>
      <c r="C314" s="4067" t="s">
        <v>3558</v>
      </c>
      <c r="D314" s="4067" t="s">
        <v>3565</v>
      </c>
      <c r="E314" s="4067" t="s">
        <v>3155</v>
      </c>
      <c r="F314" s="4069" t="s">
        <v>3566</v>
      </c>
      <c r="G314" s="4070">
        <v>2260</v>
      </c>
      <c r="H314" s="4071"/>
      <c r="I314" s="4070">
        <v>1130</v>
      </c>
      <c r="J314" s="4070">
        <f t="shared" si="142"/>
        <v>1130</v>
      </c>
      <c r="K314" s="4070">
        <v>0</v>
      </c>
      <c r="L314" s="4071"/>
      <c r="M314" s="4070">
        <v>0</v>
      </c>
      <c r="N314" s="4073"/>
      <c r="O314" s="4070">
        <v>0</v>
      </c>
      <c r="P314" s="4071"/>
      <c r="Q314" s="4070">
        <v>0</v>
      </c>
      <c r="R314" s="4071"/>
      <c r="S314" s="3990">
        <f t="shared" si="143"/>
        <v>1130</v>
      </c>
      <c r="T314" s="4071"/>
      <c r="U314" s="4070">
        <v>1130</v>
      </c>
      <c r="V314" s="4070"/>
    </row>
    <row r="315" spans="1:22" s="4072" customFormat="1" ht="42" customHeight="1">
      <c r="A315" s="3987">
        <v>8</v>
      </c>
      <c r="B315" s="4066" t="s">
        <v>3567</v>
      </c>
      <c r="C315" s="4067" t="s">
        <v>3558</v>
      </c>
      <c r="D315" s="4067" t="s">
        <v>3568</v>
      </c>
      <c r="E315" s="4067" t="s">
        <v>3092</v>
      </c>
      <c r="F315" s="4069" t="s">
        <v>3569</v>
      </c>
      <c r="G315" s="4070">
        <v>2640</v>
      </c>
      <c r="H315" s="4071"/>
      <c r="I315" s="4070">
        <v>1320</v>
      </c>
      <c r="J315" s="4070">
        <f t="shared" si="142"/>
        <v>1320</v>
      </c>
      <c r="K315" s="4070">
        <v>0</v>
      </c>
      <c r="L315" s="4071"/>
      <c r="M315" s="4070">
        <v>0</v>
      </c>
      <c r="N315" s="4073"/>
      <c r="O315" s="4070">
        <v>0</v>
      </c>
      <c r="P315" s="4071"/>
      <c r="Q315" s="4070">
        <v>0</v>
      </c>
      <c r="R315" s="4071"/>
      <c r="S315" s="3990">
        <f t="shared" si="143"/>
        <v>1320</v>
      </c>
      <c r="T315" s="4071"/>
      <c r="U315" s="4070">
        <v>1320</v>
      </c>
      <c r="V315" s="4070"/>
    </row>
    <row r="316" spans="1:22" s="4072" customFormat="1" ht="42" customHeight="1">
      <c r="A316" s="3987">
        <v>9</v>
      </c>
      <c r="B316" s="4066" t="s">
        <v>3570</v>
      </c>
      <c r="C316" s="4067" t="s">
        <v>3558</v>
      </c>
      <c r="D316" s="4067" t="s">
        <v>3571</v>
      </c>
      <c r="E316" s="4067" t="s">
        <v>3058</v>
      </c>
      <c r="F316" s="4069" t="s">
        <v>3572</v>
      </c>
      <c r="G316" s="4070">
        <v>1742</v>
      </c>
      <c r="H316" s="4071"/>
      <c r="I316" s="4070">
        <v>871</v>
      </c>
      <c r="J316" s="4070">
        <f t="shared" si="142"/>
        <v>871</v>
      </c>
      <c r="K316" s="4070">
        <v>0</v>
      </c>
      <c r="L316" s="4071"/>
      <c r="M316" s="4070">
        <v>0</v>
      </c>
      <c r="N316" s="4073"/>
      <c r="O316" s="4070">
        <v>0</v>
      </c>
      <c r="P316" s="4071"/>
      <c r="Q316" s="4070">
        <v>0</v>
      </c>
      <c r="R316" s="4071"/>
      <c r="S316" s="3990">
        <f t="shared" si="143"/>
        <v>871</v>
      </c>
      <c r="T316" s="4071"/>
      <c r="U316" s="4070">
        <v>871</v>
      </c>
      <c r="V316" s="4070"/>
    </row>
    <row r="317" spans="1:22" s="4072" customFormat="1" ht="42" customHeight="1">
      <c r="A317" s="3987">
        <v>10</v>
      </c>
      <c r="B317" s="4066" t="s">
        <v>3573</v>
      </c>
      <c r="C317" s="4067" t="s">
        <v>2940</v>
      </c>
      <c r="D317" s="4067" t="s">
        <v>3574</v>
      </c>
      <c r="E317" s="4067" t="s">
        <v>2892</v>
      </c>
      <c r="F317" s="4069" t="s">
        <v>3575</v>
      </c>
      <c r="G317" s="4070">
        <v>7678</v>
      </c>
      <c r="H317" s="4071"/>
      <c r="I317" s="4070">
        <v>3839</v>
      </c>
      <c r="J317" s="4070">
        <f t="shared" si="142"/>
        <v>3839</v>
      </c>
      <c r="K317" s="4070">
        <v>2474</v>
      </c>
      <c r="L317" s="4071"/>
      <c r="M317" s="4070">
        <v>2474</v>
      </c>
      <c r="N317" s="4073"/>
      <c r="O317" s="4070">
        <v>2474</v>
      </c>
      <c r="P317" s="4071"/>
      <c r="Q317" s="4070">
        <v>2474</v>
      </c>
      <c r="R317" s="4071"/>
      <c r="S317" s="3990">
        <f t="shared" si="143"/>
        <v>1365</v>
      </c>
      <c r="T317" s="4071"/>
      <c r="U317" s="4070">
        <v>1365</v>
      </c>
      <c r="V317" s="4070"/>
    </row>
    <row r="318" spans="1:22" s="4072" customFormat="1" ht="42" customHeight="1">
      <c r="A318" s="3987">
        <v>11</v>
      </c>
      <c r="B318" s="4066" t="s">
        <v>3576</v>
      </c>
      <c r="C318" s="4067" t="s">
        <v>2940</v>
      </c>
      <c r="D318" s="4067" t="s">
        <v>3577</v>
      </c>
      <c r="E318" s="4067" t="s">
        <v>3092</v>
      </c>
      <c r="F318" s="4069" t="s">
        <v>3578</v>
      </c>
      <c r="G318" s="4070">
        <v>6176</v>
      </c>
      <c r="H318" s="4071"/>
      <c r="I318" s="4070">
        <v>3088</v>
      </c>
      <c r="J318" s="4070">
        <f t="shared" si="142"/>
        <v>3088</v>
      </c>
      <c r="K318" s="4070">
        <v>0</v>
      </c>
      <c r="L318" s="4071"/>
      <c r="M318" s="4070">
        <v>0</v>
      </c>
      <c r="N318" s="4073"/>
      <c r="O318" s="4070">
        <v>0</v>
      </c>
      <c r="P318" s="4071"/>
      <c r="Q318" s="4070">
        <v>0</v>
      </c>
      <c r="R318" s="4071"/>
      <c r="S318" s="3990">
        <f t="shared" si="143"/>
        <v>3088</v>
      </c>
      <c r="T318" s="4071"/>
      <c r="U318" s="4070">
        <v>3088</v>
      </c>
      <c r="V318" s="4070"/>
    </row>
    <row r="319" spans="1:22" s="4072" customFormat="1" ht="62.4">
      <c r="A319" s="3987">
        <v>12</v>
      </c>
      <c r="B319" s="4066" t="s">
        <v>3579</v>
      </c>
      <c r="C319" s="4067" t="s">
        <v>2940</v>
      </c>
      <c r="D319" s="4067" t="s">
        <v>3571</v>
      </c>
      <c r="E319" s="4067" t="s">
        <v>3058</v>
      </c>
      <c r="F319" s="4069" t="s">
        <v>3580</v>
      </c>
      <c r="G319" s="4070">
        <v>1740</v>
      </c>
      <c r="H319" s="4071"/>
      <c r="I319" s="4070">
        <v>870</v>
      </c>
      <c r="J319" s="4070">
        <f t="shared" si="142"/>
        <v>870</v>
      </c>
      <c r="K319" s="4070">
        <v>0</v>
      </c>
      <c r="L319" s="4071"/>
      <c r="M319" s="4070">
        <v>0</v>
      </c>
      <c r="N319" s="4073"/>
      <c r="O319" s="4070">
        <v>0</v>
      </c>
      <c r="P319" s="4071"/>
      <c r="Q319" s="4070">
        <v>0</v>
      </c>
      <c r="R319" s="4071"/>
      <c r="S319" s="3990">
        <f t="shared" si="143"/>
        <v>870</v>
      </c>
      <c r="T319" s="4071"/>
      <c r="U319" s="4070">
        <v>870</v>
      </c>
      <c r="V319" s="4070"/>
    </row>
    <row r="320" spans="1:22" s="4072" customFormat="1" ht="62.4">
      <c r="A320" s="3987">
        <v>13</v>
      </c>
      <c r="B320" s="4066" t="s">
        <v>3581</v>
      </c>
      <c r="C320" s="4067" t="s">
        <v>3582</v>
      </c>
      <c r="D320" s="4067" t="s">
        <v>3583</v>
      </c>
      <c r="E320" s="4067" t="s">
        <v>2892</v>
      </c>
      <c r="F320" s="4069" t="s">
        <v>3584</v>
      </c>
      <c r="G320" s="4070">
        <v>6400</v>
      </c>
      <c r="H320" s="4071"/>
      <c r="I320" s="4070">
        <v>3200</v>
      </c>
      <c r="J320" s="4070">
        <f t="shared" si="142"/>
        <v>3200</v>
      </c>
      <c r="K320" s="4070">
        <v>2350</v>
      </c>
      <c r="L320" s="4071"/>
      <c r="M320" s="4070">
        <v>2350</v>
      </c>
      <c r="N320" s="4073"/>
      <c r="O320" s="4070">
        <v>2350</v>
      </c>
      <c r="P320" s="4071"/>
      <c r="Q320" s="4070">
        <v>2350</v>
      </c>
      <c r="R320" s="4071"/>
      <c r="S320" s="3990">
        <f t="shared" si="143"/>
        <v>850</v>
      </c>
      <c r="T320" s="4071"/>
      <c r="U320" s="4070">
        <v>850</v>
      </c>
      <c r="V320" s="4070"/>
    </row>
    <row r="321" spans="1:22" s="4072" customFormat="1" ht="50.25" customHeight="1">
      <c r="A321" s="3987">
        <v>14</v>
      </c>
      <c r="B321" s="4066" t="s">
        <v>3585</v>
      </c>
      <c r="C321" s="4067" t="s">
        <v>3582</v>
      </c>
      <c r="D321" s="4067" t="s">
        <v>3583</v>
      </c>
      <c r="E321" s="4067" t="s">
        <v>2892</v>
      </c>
      <c r="F321" s="4069" t="s">
        <v>3586</v>
      </c>
      <c r="G321" s="4070">
        <v>7738</v>
      </c>
      <c r="H321" s="4071"/>
      <c r="I321" s="4070">
        <v>3869</v>
      </c>
      <c r="J321" s="4070">
        <f t="shared" si="142"/>
        <v>3869</v>
      </c>
      <c r="K321" s="4070">
        <v>2274</v>
      </c>
      <c r="L321" s="4071"/>
      <c r="M321" s="4070">
        <v>2274</v>
      </c>
      <c r="N321" s="4073"/>
      <c r="O321" s="4070">
        <v>2274</v>
      </c>
      <c r="P321" s="4071"/>
      <c r="Q321" s="4070">
        <v>2274</v>
      </c>
      <c r="R321" s="4071"/>
      <c r="S321" s="3990">
        <f t="shared" si="143"/>
        <v>1595</v>
      </c>
      <c r="T321" s="4071"/>
      <c r="U321" s="4070">
        <v>1595</v>
      </c>
      <c r="V321" s="4070"/>
    </row>
    <row r="322" spans="1:22" s="4072" customFormat="1" ht="62.4">
      <c r="A322" s="3987">
        <v>15</v>
      </c>
      <c r="B322" s="4066" t="s">
        <v>3587</v>
      </c>
      <c r="C322" s="4067" t="s">
        <v>3582</v>
      </c>
      <c r="D322" s="4067" t="s">
        <v>3588</v>
      </c>
      <c r="E322" s="4067" t="s">
        <v>3155</v>
      </c>
      <c r="F322" s="4069" t="s">
        <v>3589</v>
      </c>
      <c r="G322" s="4070">
        <v>1560</v>
      </c>
      <c r="H322" s="4071"/>
      <c r="I322" s="4070">
        <v>780</v>
      </c>
      <c r="J322" s="4070">
        <f t="shared" si="142"/>
        <v>780</v>
      </c>
      <c r="K322" s="4070">
        <v>0</v>
      </c>
      <c r="L322" s="4071"/>
      <c r="M322" s="4070">
        <v>0</v>
      </c>
      <c r="N322" s="4073"/>
      <c r="O322" s="4070">
        <v>0</v>
      </c>
      <c r="P322" s="4071"/>
      <c r="Q322" s="4070">
        <v>0</v>
      </c>
      <c r="R322" s="4071"/>
      <c r="S322" s="3990">
        <f t="shared" si="143"/>
        <v>780</v>
      </c>
      <c r="T322" s="4071"/>
      <c r="U322" s="4070">
        <v>780</v>
      </c>
      <c r="V322" s="4070"/>
    </row>
    <row r="323" spans="1:22" s="4072" customFormat="1" ht="62.4">
      <c r="A323" s="3987">
        <v>16</v>
      </c>
      <c r="B323" s="4066" t="s">
        <v>3590</v>
      </c>
      <c r="C323" s="4067" t="s">
        <v>3582</v>
      </c>
      <c r="D323" s="4067" t="s">
        <v>3588</v>
      </c>
      <c r="E323" s="4067" t="s">
        <v>3155</v>
      </c>
      <c r="F323" s="4069" t="s">
        <v>3591</v>
      </c>
      <c r="G323" s="4070">
        <v>1560</v>
      </c>
      <c r="H323" s="4071"/>
      <c r="I323" s="4070">
        <v>780</v>
      </c>
      <c r="J323" s="4070">
        <f t="shared" si="142"/>
        <v>780</v>
      </c>
      <c r="K323" s="4070">
        <v>0</v>
      </c>
      <c r="L323" s="4071"/>
      <c r="M323" s="4070">
        <v>0</v>
      </c>
      <c r="N323" s="4073"/>
      <c r="O323" s="4070">
        <v>0</v>
      </c>
      <c r="P323" s="4071"/>
      <c r="Q323" s="4070">
        <v>0</v>
      </c>
      <c r="R323" s="4071"/>
      <c r="S323" s="3990">
        <f t="shared" si="143"/>
        <v>780</v>
      </c>
      <c r="T323" s="4071"/>
      <c r="U323" s="4070">
        <v>780</v>
      </c>
      <c r="V323" s="4070"/>
    </row>
    <row r="324" spans="1:22" s="4072" customFormat="1" ht="46.8">
      <c r="A324" s="3987">
        <v>17</v>
      </c>
      <c r="B324" s="4066" t="s">
        <v>3592</v>
      </c>
      <c r="C324" s="4067" t="s">
        <v>3582</v>
      </c>
      <c r="D324" s="4067" t="s">
        <v>3593</v>
      </c>
      <c r="E324" s="4067" t="s">
        <v>3092</v>
      </c>
      <c r="F324" s="4069" t="s">
        <v>3594</v>
      </c>
      <c r="G324" s="4070">
        <v>1600</v>
      </c>
      <c r="H324" s="4071"/>
      <c r="I324" s="4070">
        <v>800</v>
      </c>
      <c r="J324" s="4070">
        <f t="shared" si="142"/>
        <v>800</v>
      </c>
      <c r="K324" s="4070">
        <v>0</v>
      </c>
      <c r="L324" s="4071"/>
      <c r="M324" s="4070">
        <v>0</v>
      </c>
      <c r="N324" s="4073"/>
      <c r="O324" s="4070">
        <v>0</v>
      </c>
      <c r="P324" s="4071"/>
      <c r="Q324" s="4070">
        <v>0</v>
      </c>
      <c r="R324" s="4071"/>
      <c r="S324" s="3990">
        <f t="shared" si="143"/>
        <v>800</v>
      </c>
      <c r="T324" s="4071"/>
      <c r="U324" s="4070">
        <v>800</v>
      </c>
      <c r="V324" s="4070"/>
    </row>
    <row r="325" spans="1:22" s="4072" customFormat="1" ht="46.8">
      <c r="A325" s="3987">
        <v>18</v>
      </c>
      <c r="B325" s="4066" t="s">
        <v>3592</v>
      </c>
      <c r="C325" s="4067" t="s">
        <v>3582</v>
      </c>
      <c r="D325" s="4067" t="s">
        <v>3595</v>
      </c>
      <c r="E325" s="4067" t="s">
        <v>3058</v>
      </c>
      <c r="F325" s="4069" t="s">
        <v>3596</v>
      </c>
      <c r="G325" s="4070">
        <v>1742</v>
      </c>
      <c r="H325" s="4071"/>
      <c r="I325" s="4070">
        <v>871</v>
      </c>
      <c r="J325" s="4070">
        <f t="shared" si="142"/>
        <v>871</v>
      </c>
      <c r="K325" s="4070">
        <v>0</v>
      </c>
      <c r="L325" s="4071"/>
      <c r="M325" s="4070">
        <v>0</v>
      </c>
      <c r="N325" s="4073"/>
      <c r="O325" s="4070">
        <v>0</v>
      </c>
      <c r="P325" s="4071"/>
      <c r="Q325" s="4070">
        <v>0</v>
      </c>
      <c r="R325" s="4071"/>
      <c r="S325" s="3990">
        <f t="shared" si="143"/>
        <v>871</v>
      </c>
      <c r="T325" s="4071"/>
      <c r="U325" s="4070">
        <v>871</v>
      </c>
      <c r="V325" s="4070"/>
    </row>
    <row r="326" spans="1:22" s="1577" customFormat="1">
      <c r="A326" s="4009" t="s">
        <v>50</v>
      </c>
      <c r="B326" s="4010" t="s">
        <v>2852</v>
      </c>
      <c r="C326" s="4035"/>
      <c r="D326" s="4035"/>
      <c r="E326" s="4035"/>
      <c r="F326" s="4035"/>
      <c r="G326" s="4027">
        <f t="shared" ref="G326:V327" si="144">G327</f>
        <v>103803</v>
      </c>
      <c r="H326" s="4027">
        <f t="shared" si="144"/>
        <v>0</v>
      </c>
      <c r="I326" s="4027">
        <f t="shared" si="144"/>
        <v>74953</v>
      </c>
      <c r="J326" s="4027">
        <f t="shared" si="144"/>
        <v>0</v>
      </c>
      <c r="K326" s="4027">
        <f t="shared" si="144"/>
        <v>24875</v>
      </c>
      <c r="L326" s="4027">
        <f t="shared" si="144"/>
        <v>0</v>
      </c>
      <c r="M326" s="4027">
        <f t="shared" si="144"/>
        <v>24875</v>
      </c>
      <c r="N326" s="4027">
        <f t="shared" si="144"/>
        <v>0</v>
      </c>
      <c r="O326" s="4027">
        <f t="shared" si="144"/>
        <v>24875</v>
      </c>
      <c r="P326" s="4027">
        <f t="shared" si="144"/>
        <v>0</v>
      </c>
      <c r="Q326" s="4027">
        <f t="shared" si="144"/>
        <v>24875</v>
      </c>
      <c r="R326" s="4027">
        <f t="shared" si="144"/>
        <v>0</v>
      </c>
      <c r="S326" s="4027">
        <f t="shared" si="144"/>
        <v>35246</v>
      </c>
      <c r="T326" s="4027">
        <f t="shared" si="144"/>
        <v>0</v>
      </c>
      <c r="U326" s="4027">
        <f t="shared" si="144"/>
        <v>35246</v>
      </c>
      <c r="V326" s="4027">
        <f>V327</f>
        <v>0</v>
      </c>
    </row>
    <row r="327" spans="1:22" s="248" customFormat="1">
      <c r="A327" s="4009">
        <v>1</v>
      </c>
      <c r="B327" s="4010" t="s">
        <v>3122</v>
      </c>
      <c r="C327" s="4009"/>
      <c r="D327" s="4009"/>
      <c r="E327" s="4009"/>
      <c r="F327" s="4009"/>
      <c r="G327" s="4027">
        <f t="shared" si="144"/>
        <v>103803</v>
      </c>
      <c r="H327" s="4027">
        <f t="shared" si="144"/>
        <v>0</v>
      </c>
      <c r="I327" s="4027">
        <f t="shared" si="144"/>
        <v>74953</v>
      </c>
      <c r="J327" s="4027">
        <f t="shared" si="144"/>
        <v>0</v>
      </c>
      <c r="K327" s="4027">
        <f t="shared" si="144"/>
        <v>24875</v>
      </c>
      <c r="L327" s="4027">
        <f t="shared" si="144"/>
        <v>0</v>
      </c>
      <c r="M327" s="4027">
        <f t="shared" si="144"/>
        <v>24875</v>
      </c>
      <c r="N327" s="4027">
        <f t="shared" si="144"/>
        <v>0</v>
      </c>
      <c r="O327" s="4027">
        <f t="shared" si="144"/>
        <v>24875</v>
      </c>
      <c r="P327" s="4027">
        <f t="shared" si="144"/>
        <v>0</v>
      </c>
      <c r="Q327" s="4027">
        <f t="shared" si="144"/>
        <v>24875</v>
      </c>
      <c r="R327" s="4027">
        <f t="shared" si="144"/>
        <v>0</v>
      </c>
      <c r="S327" s="4027">
        <f t="shared" si="144"/>
        <v>35246</v>
      </c>
      <c r="T327" s="4027">
        <f t="shared" si="144"/>
        <v>0</v>
      </c>
      <c r="U327" s="4027">
        <f t="shared" si="144"/>
        <v>35246</v>
      </c>
      <c r="V327" s="4027">
        <f t="shared" si="144"/>
        <v>0</v>
      </c>
    </row>
    <row r="328" spans="1:22" ht="31.2">
      <c r="A328" s="4009" t="s">
        <v>34</v>
      </c>
      <c r="B328" s="4028" t="s">
        <v>2871</v>
      </c>
      <c r="C328" s="4009"/>
      <c r="D328" s="4009"/>
      <c r="E328" s="4009"/>
      <c r="F328" s="4009"/>
      <c r="G328" s="4029">
        <f>SUM(G329:G337)</f>
        <v>103803</v>
      </c>
      <c r="H328" s="4029">
        <f t="shared" ref="H328:V328" si="145">SUM(H329:H337)</f>
        <v>0</v>
      </c>
      <c r="I328" s="4029">
        <f t="shared" si="145"/>
        <v>74953</v>
      </c>
      <c r="J328" s="4029">
        <f t="shared" si="145"/>
        <v>0</v>
      </c>
      <c r="K328" s="4029">
        <f t="shared" si="145"/>
        <v>24875</v>
      </c>
      <c r="L328" s="4029">
        <f t="shared" si="145"/>
        <v>0</v>
      </c>
      <c r="M328" s="4029">
        <f t="shared" si="145"/>
        <v>24875</v>
      </c>
      <c r="N328" s="4029">
        <f t="shared" si="145"/>
        <v>0</v>
      </c>
      <c r="O328" s="4029">
        <f t="shared" si="145"/>
        <v>24875</v>
      </c>
      <c r="P328" s="4029">
        <f t="shared" si="145"/>
        <v>0</v>
      </c>
      <c r="Q328" s="4029">
        <f t="shared" si="145"/>
        <v>24875</v>
      </c>
      <c r="R328" s="4029">
        <f t="shared" si="145"/>
        <v>0</v>
      </c>
      <c r="S328" s="4029">
        <f t="shared" si="145"/>
        <v>35246</v>
      </c>
      <c r="T328" s="4029">
        <f t="shared" si="145"/>
        <v>0</v>
      </c>
      <c r="U328" s="4029">
        <f t="shared" si="145"/>
        <v>35246</v>
      </c>
      <c r="V328" s="4029">
        <f t="shared" si="145"/>
        <v>0</v>
      </c>
    </row>
    <row r="329" spans="1:22" ht="63" customHeight="1">
      <c r="A329" s="4127">
        <v>1</v>
      </c>
      <c r="B329" s="4150" t="s">
        <v>3232</v>
      </c>
      <c r="C329" s="4047" t="s">
        <v>3233</v>
      </c>
      <c r="D329" s="4047" t="s">
        <v>3234</v>
      </c>
      <c r="E329" s="4047" t="s">
        <v>2892</v>
      </c>
      <c r="F329" s="4151" t="s">
        <v>3235</v>
      </c>
      <c r="G329" s="4118">
        <v>20109</v>
      </c>
      <c r="H329" s="4118"/>
      <c r="I329" s="4118">
        <v>15859</v>
      </c>
      <c r="J329" s="4118"/>
      <c r="K329" s="4118">
        <f>SUM(L329:N329)</f>
        <v>3600</v>
      </c>
      <c r="L329" s="4118"/>
      <c r="M329" s="4118">
        <v>3600</v>
      </c>
      <c r="N329" s="3992"/>
      <c r="O329" s="4118">
        <f>SUM(P329:R329)</f>
        <v>3600</v>
      </c>
      <c r="P329" s="4118"/>
      <c r="Q329" s="4118">
        <v>3600</v>
      </c>
      <c r="R329" s="4118"/>
      <c r="S329" s="3992">
        <f>SUM(T329:V329)</f>
        <v>8000</v>
      </c>
      <c r="T329" s="4118"/>
      <c r="U329" s="4118">
        <v>8000</v>
      </c>
      <c r="V329" s="4118"/>
    </row>
    <row r="330" spans="1:22" ht="63" customHeight="1">
      <c r="A330" s="4127">
        <v>2</v>
      </c>
      <c r="B330" s="4150" t="s">
        <v>3236</v>
      </c>
      <c r="C330" s="4047" t="s">
        <v>3237</v>
      </c>
      <c r="D330" s="4047" t="s">
        <v>3238</v>
      </c>
      <c r="E330" s="4047" t="s">
        <v>3092</v>
      </c>
      <c r="F330" s="4151" t="s">
        <v>3239</v>
      </c>
      <c r="G330" s="4118">
        <v>22862</v>
      </c>
      <c r="H330" s="4118"/>
      <c r="I330" s="4118">
        <v>16200</v>
      </c>
      <c r="J330" s="4118"/>
      <c r="K330" s="4118">
        <f t="shared" ref="K330:K331" si="146">SUM(L330:N330)</f>
        <v>3600</v>
      </c>
      <c r="L330" s="4118"/>
      <c r="M330" s="4118">
        <v>3600</v>
      </c>
      <c r="N330" s="3992"/>
      <c r="O330" s="4118">
        <f t="shared" ref="O330:O331" si="147">SUM(P330:R330)</f>
        <v>3600</v>
      </c>
      <c r="P330" s="4118"/>
      <c r="Q330" s="4118">
        <v>3600</v>
      </c>
      <c r="R330" s="4118"/>
      <c r="S330" s="3992">
        <f t="shared" ref="S330:S331" si="148">SUM(T330:V330)</f>
        <v>7427</v>
      </c>
      <c r="T330" s="4118"/>
      <c r="U330" s="4118">
        <v>7427</v>
      </c>
      <c r="V330" s="4118"/>
    </row>
    <row r="331" spans="1:22" ht="63" customHeight="1">
      <c r="A331" s="4127">
        <v>3</v>
      </c>
      <c r="B331" s="4150" t="s">
        <v>3240</v>
      </c>
      <c r="C331" s="4047" t="s">
        <v>3241</v>
      </c>
      <c r="D331" s="4047" t="s">
        <v>3242</v>
      </c>
      <c r="E331" s="4047" t="s">
        <v>3092</v>
      </c>
      <c r="F331" s="4151" t="s">
        <v>3243</v>
      </c>
      <c r="G331" s="4118">
        <v>27809</v>
      </c>
      <c r="H331" s="4118"/>
      <c r="I331" s="4118">
        <v>18000</v>
      </c>
      <c r="J331" s="4118"/>
      <c r="K331" s="4118">
        <f t="shared" si="146"/>
        <v>3600</v>
      </c>
      <c r="L331" s="4118"/>
      <c r="M331" s="4118">
        <v>3600</v>
      </c>
      <c r="N331" s="3992"/>
      <c r="O331" s="4118">
        <f t="shared" si="147"/>
        <v>3600</v>
      </c>
      <c r="P331" s="4118"/>
      <c r="Q331" s="4118">
        <v>3600</v>
      </c>
      <c r="R331" s="4118"/>
      <c r="S331" s="3992">
        <f t="shared" si="148"/>
        <v>9000</v>
      </c>
      <c r="T331" s="4118"/>
      <c r="U331" s="4118">
        <v>9000</v>
      </c>
      <c r="V331" s="4118"/>
    </row>
    <row r="332" spans="1:22" ht="24" customHeight="1">
      <c r="A332" s="4127">
        <v>4</v>
      </c>
      <c r="B332" s="4109" t="s">
        <v>3244</v>
      </c>
      <c r="C332" s="4152" t="s">
        <v>3245</v>
      </c>
      <c r="D332" s="4047" t="s">
        <v>3246</v>
      </c>
      <c r="E332" s="4047" t="s">
        <v>3092</v>
      </c>
      <c r="F332" s="4047" t="s">
        <v>3247</v>
      </c>
      <c r="G332" s="4118">
        <v>3872</v>
      </c>
      <c r="H332" s="4118"/>
      <c r="I332" s="4118">
        <v>2310</v>
      </c>
      <c r="J332" s="4118"/>
      <c r="K332" s="4118"/>
      <c r="L332" s="4118"/>
      <c r="M332" s="4118"/>
      <c r="N332" s="3992"/>
      <c r="O332" s="4118"/>
      <c r="P332" s="4118"/>
      <c r="Q332" s="4118"/>
      <c r="R332" s="4118"/>
      <c r="S332" s="3992">
        <f t="shared" ref="S332:S333" si="149">U332</f>
        <v>2310</v>
      </c>
      <c r="T332" s="4118"/>
      <c r="U332" s="4118">
        <v>2310</v>
      </c>
      <c r="V332" s="4118"/>
    </row>
    <row r="333" spans="1:22" ht="24" customHeight="1">
      <c r="A333" s="4127">
        <v>5</v>
      </c>
      <c r="B333" s="4109" t="s">
        <v>3248</v>
      </c>
      <c r="C333" s="4152" t="s">
        <v>3245</v>
      </c>
      <c r="D333" s="4047" t="s">
        <v>3249</v>
      </c>
      <c r="E333" s="4047" t="s">
        <v>3092</v>
      </c>
      <c r="F333" s="4047" t="s">
        <v>3250</v>
      </c>
      <c r="G333" s="4118">
        <v>6364</v>
      </c>
      <c r="H333" s="4118"/>
      <c r="I333" s="4118">
        <v>3814</v>
      </c>
      <c r="J333" s="4118"/>
      <c r="K333" s="4118">
        <v>0</v>
      </c>
      <c r="L333" s="4118"/>
      <c r="M333" s="4118">
        <v>0</v>
      </c>
      <c r="N333" s="3992"/>
      <c r="O333" s="4118"/>
      <c r="P333" s="4118"/>
      <c r="Q333" s="4118"/>
      <c r="R333" s="4118"/>
      <c r="S333" s="3992">
        <f t="shared" si="149"/>
        <v>3814</v>
      </c>
      <c r="T333" s="4118"/>
      <c r="U333" s="4118">
        <v>3814</v>
      </c>
      <c r="V333" s="4118"/>
    </row>
    <row r="334" spans="1:22" ht="62.4">
      <c r="A334" s="4127">
        <v>6</v>
      </c>
      <c r="B334" s="4109" t="s">
        <v>3251</v>
      </c>
      <c r="C334" s="4047" t="s">
        <v>3252</v>
      </c>
      <c r="D334" s="4047" t="s">
        <v>3253</v>
      </c>
      <c r="E334" s="4047" t="s">
        <v>2892</v>
      </c>
      <c r="F334" s="4047" t="s">
        <v>3254</v>
      </c>
      <c r="G334" s="4118">
        <v>6186</v>
      </c>
      <c r="H334" s="4118"/>
      <c r="I334" s="4118">
        <v>5251</v>
      </c>
      <c r="J334" s="4118"/>
      <c r="K334" s="4118">
        <v>4661</v>
      </c>
      <c r="L334" s="4118"/>
      <c r="M334" s="4118">
        <f>K334</f>
        <v>4661</v>
      </c>
      <c r="N334" s="3992"/>
      <c r="O334" s="4118">
        <v>4661</v>
      </c>
      <c r="P334" s="4118"/>
      <c r="Q334" s="4118">
        <v>4661</v>
      </c>
      <c r="R334" s="4118"/>
      <c r="S334" s="3992">
        <v>590</v>
      </c>
      <c r="T334" s="4118"/>
      <c r="U334" s="4118">
        <v>590</v>
      </c>
      <c r="V334" s="4118"/>
    </row>
    <row r="335" spans="1:22" ht="78">
      <c r="A335" s="4127">
        <v>7</v>
      </c>
      <c r="B335" s="4109" t="s">
        <v>3255</v>
      </c>
      <c r="C335" s="4047" t="s">
        <v>3252</v>
      </c>
      <c r="D335" s="4047" t="s">
        <v>3256</v>
      </c>
      <c r="E335" s="4047" t="s">
        <v>2892</v>
      </c>
      <c r="F335" s="4047" t="s">
        <v>3257</v>
      </c>
      <c r="G335" s="4118">
        <v>6810</v>
      </c>
      <c r="H335" s="4118"/>
      <c r="I335" s="4118">
        <v>5047</v>
      </c>
      <c r="J335" s="4118"/>
      <c r="K335" s="4118">
        <f>M335</f>
        <v>4767</v>
      </c>
      <c r="L335" s="4118"/>
      <c r="M335" s="4118">
        <v>4767</v>
      </c>
      <c r="N335" s="3992"/>
      <c r="O335" s="4118">
        <f>Q335</f>
        <v>4767</v>
      </c>
      <c r="P335" s="4118"/>
      <c r="Q335" s="4118">
        <f>K335</f>
        <v>4767</v>
      </c>
      <c r="R335" s="4118"/>
      <c r="S335" s="3992">
        <f>U335</f>
        <v>280</v>
      </c>
      <c r="T335" s="4118"/>
      <c r="U335" s="4118">
        <v>280</v>
      </c>
      <c r="V335" s="4118"/>
    </row>
    <row r="336" spans="1:22" ht="19.5" customHeight="1">
      <c r="A336" s="4127">
        <v>8</v>
      </c>
      <c r="B336" s="4109" t="s">
        <v>3258</v>
      </c>
      <c r="C336" s="4047" t="s">
        <v>3259</v>
      </c>
      <c r="D336" s="4047" t="s">
        <v>3246</v>
      </c>
      <c r="E336" s="4047" t="s">
        <v>3155</v>
      </c>
      <c r="F336" s="4047" t="s">
        <v>3260</v>
      </c>
      <c r="G336" s="4118">
        <v>3743</v>
      </c>
      <c r="H336" s="4118"/>
      <c r="I336" s="4118">
        <v>2954</v>
      </c>
      <c r="J336" s="4118"/>
      <c r="K336" s="4118"/>
      <c r="L336" s="4118"/>
      <c r="M336" s="4118"/>
      <c r="N336" s="3992"/>
      <c r="O336" s="4118"/>
      <c r="P336" s="4118"/>
      <c r="Q336" s="4118"/>
      <c r="R336" s="4118"/>
      <c r="S336" s="3992">
        <f>U336</f>
        <v>2954</v>
      </c>
      <c r="T336" s="4118"/>
      <c r="U336" s="4118">
        <f>I336</f>
        <v>2954</v>
      </c>
      <c r="V336" s="4118"/>
    </row>
    <row r="337" spans="1:22" ht="62.4">
      <c r="A337" s="4127">
        <v>9</v>
      </c>
      <c r="B337" s="4109" t="s">
        <v>3261</v>
      </c>
      <c r="C337" s="4047" t="s">
        <v>3262</v>
      </c>
      <c r="D337" s="4047" t="s">
        <v>3263</v>
      </c>
      <c r="E337" s="4047" t="s">
        <v>2892</v>
      </c>
      <c r="F337" s="4047" t="s">
        <v>3264</v>
      </c>
      <c r="G337" s="4118">
        <v>6048</v>
      </c>
      <c r="H337" s="4118"/>
      <c r="I337" s="4118">
        <v>5518</v>
      </c>
      <c r="J337" s="4118"/>
      <c r="K337" s="4118">
        <v>4647</v>
      </c>
      <c r="L337" s="4118"/>
      <c r="M337" s="4118">
        <v>4647</v>
      </c>
      <c r="N337" s="3992"/>
      <c r="O337" s="4118">
        <v>4647</v>
      </c>
      <c r="P337" s="4118"/>
      <c r="Q337" s="4118">
        <v>4647</v>
      </c>
      <c r="R337" s="4118"/>
      <c r="S337" s="3992">
        <f>U337</f>
        <v>871</v>
      </c>
      <c r="T337" s="4118"/>
      <c r="U337" s="4118">
        <v>871</v>
      </c>
      <c r="V337" s="4118"/>
    </row>
    <row r="338" spans="1:22" s="1577" customFormat="1">
      <c r="A338" s="4009" t="s">
        <v>72</v>
      </c>
      <c r="B338" s="4010" t="s">
        <v>3413</v>
      </c>
      <c r="C338" s="4035"/>
      <c r="D338" s="4035"/>
      <c r="E338" s="4035"/>
      <c r="F338" s="4035"/>
      <c r="G338" s="4027">
        <f t="shared" ref="G338:V339" si="150">G339</f>
        <v>5166</v>
      </c>
      <c r="H338" s="4027">
        <f t="shared" si="150"/>
        <v>0</v>
      </c>
      <c r="I338" s="4027">
        <f t="shared" si="150"/>
        <v>0</v>
      </c>
      <c r="J338" s="4027">
        <f t="shared" si="150"/>
        <v>5166</v>
      </c>
      <c r="K338" s="4027">
        <f t="shared" si="150"/>
        <v>0</v>
      </c>
      <c r="L338" s="4027">
        <f t="shared" si="150"/>
        <v>0</v>
      </c>
      <c r="M338" s="4027">
        <f t="shared" si="150"/>
        <v>0</v>
      </c>
      <c r="N338" s="4027">
        <f t="shared" si="150"/>
        <v>0</v>
      </c>
      <c r="O338" s="4027">
        <f t="shared" si="150"/>
        <v>0</v>
      </c>
      <c r="P338" s="4027">
        <f t="shared" si="150"/>
        <v>0</v>
      </c>
      <c r="Q338" s="4027">
        <f t="shared" si="150"/>
        <v>0</v>
      </c>
      <c r="R338" s="4027">
        <f t="shared" si="150"/>
        <v>0</v>
      </c>
      <c r="S338" s="4027">
        <f t="shared" si="150"/>
        <v>5116</v>
      </c>
      <c r="T338" s="4027">
        <f t="shared" si="150"/>
        <v>0</v>
      </c>
      <c r="U338" s="4027">
        <f t="shared" si="150"/>
        <v>5116</v>
      </c>
      <c r="V338" s="4027">
        <f>V339</f>
        <v>0</v>
      </c>
    </row>
    <row r="339" spans="1:22" s="248" customFormat="1">
      <c r="A339" s="4009">
        <v>1</v>
      </c>
      <c r="B339" s="4010" t="s">
        <v>3122</v>
      </c>
      <c r="C339" s="4009"/>
      <c r="D339" s="4009"/>
      <c r="E339" s="4009"/>
      <c r="F339" s="4009"/>
      <c r="G339" s="4027">
        <f t="shared" si="150"/>
        <v>5166</v>
      </c>
      <c r="H339" s="4027">
        <f t="shared" si="150"/>
        <v>0</v>
      </c>
      <c r="I339" s="4027">
        <f t="shared" si="150"/>
        <v>0</v>
      </c>
      <c r="J339" s="4027">
        <f t="shared" si="150"/>
        <v>5166</v>
      </c>
      <c r="K339" s="4027">
        <f t="shared" si="150"/>
        <v>0</v>
      </c>
      <c r="L339" s="4027">
        <f t="shared" si="150"/>
        <v>0</v>
      </c>
      <c r="M339" s="4027">
        <f t="shared" si="150"/>
        <v>0</v>
      </c>
      <c r="N339" s="4027">
        <f t="shared" si="150"/>
        <v>0</v>
      </c>
      <c r="O339" s="4027">
        <f t="shared" si="150"/>
        <v>0</v>
      </c>
      <c r="P339" s="4027">
        <f t="shared" si="150"/>
        <v>0</v>
      </c>
      <c r="Q339" s="4027">
        <f t="shared" si="150"/>
        <v>0</v>
      </c>
      <c r="R339" s="4027">
        <f t="shared" si="150"/>
        <v>0</v>
      </c>
      <c r="S339" s="4027">
        <f t="shared" si="150"/>
        <v>5116</v>
      </c>
      <c r="T339" s="4027">
        <f t="shared" si="150"/>
        <v>0</v>
      </c>
      <c r="U339" s="4027">
        <f t="shared" si="150"/>
        <v>5116</v>
      </c>
      <c r="V339" s="4027">
        <f t="shared" si="150"/>
        <v>0</v>
      </c>
    </row>
    <row r="340" spans="1:22" ht="31.2">
      <c r="A340" s="4009" t="s">
        <v>34</v>
      </c>
      <c r="B340" s="4028" t="s">
        <v>2871</v>
      </c>
      <c r="C340" s="4009"/>
      <c r="D340" s="4009"/>
      <c r="E340" s="4009"/>
      <c r="F340" s="4009"/>
      <c r="G340" s="4029">
        <f t="shared" ref="G340:U340" si="151">SUM(G341:G342)</f>
        <v>5166</v>
      </c>
      <c r="H340" s="4029">
        <f t="shared" si="151"/>
        <v>0</v>
      </c>
      <c r="I340" s="4029">
        <f t="shared" si="151"/>
        <v>0</v>
      </c>
      <c r="J340" s="4029">
        <f t="shared" si="151"/>
        <v>5166</v>
      </c>
      <c r="K340" s="4029">
        <f t="shared" si="151"/>
        <v>0</v>
      </c>
      <c r="L340" s="4029">
        <f t="shared" si="151"/>
        <v>0</v>
      </c>
      <c r="M340" s="4029">
        <f t="shared" si="151"/>
        <v>0</v>
      </c>
      <c r="N340" s="4029">
        <f t="shared" si="151"/>
        <v>0</v>
      </c>
      <c r="O340" s="4029">
        <f t="shared" si="151"/>
        <v>0</v>
      </c>
      <c r="P340" s="4029">
        <f t="shared" si="151"/>
        <v>0</v>
      </c>
      <c r="Q340" s="4029">
        <f t="shared" si="151"/>
        <v>0</v>
      </c>
      <c r="R340" s="4029">
        <f t="shared" si="151"/>
        <v>0</v>
      </c>
      <c r="S340" s="4029">
        <f t="shared" si="151"/>
        <v>5116</v>
      </c>
      <c r="T340" s="4029">
        <f t="shared" si="151"/>
        <v>0</v>
      </c>
      <c r="U340" s="4029">
        <f t="shared" si="151"/>
        <v>5116</v>
      </c>
      <c r="V340" s="4029">
        <f>SUM(V341:V342)</f>
        <v>0</v>
      </c>
    </row>
    <row r="341" spans="1:22" ht="46.8">
      <c r="A341" s="4047">
        <v>1</v>
      </c>
      <c r="B341" s="4097" t="s">
        <v>3597</v>
      </c>
      <c r="C341" s="4047" t="s">
        <v>3598</v>
      </c>
      <c r="D341" s="4047" t="s">
        <v>3599</v>
      </c>
      <c r="E341" s="4047" t="s">
        <v>3092</v>
      </c>
      <c r="F341" s="4047" t="s">
        <v>3600</v>
      </c>
      <c r="G341" s="4098">
        <f t="shared" ref="G341:G342" si="152">SUM(H341:J341)</f>
        <v>2583</v>
      </c>
      <c r="H341" s="4058"/>
      <c r="I341" s="4098"/>
      <c r="J341" s="4098">
        <v>2583</v>
      </c>
      <c r="K341" s="4058"/>
      <c r="L341" s="4058"/>
      <c r="M341" s="4058"/>
      <c r="N341" s="3990"/>
      <c r="O341" s="4098">
        <f t="shared" ref="O341:O342" si="153">SUM(P341:R341)</f>
        <v>0</v>
      </c>
      <c r="P341" s="4058"/>
      <c r="Q341" s="4058"/>
      <c r="R341" s="4098"/>
      <c r="S341" s="4051">
        <f t="shared" ref="S341:S342" si="154">SUM(T341:V341)</f>
        <v>2558</v>
      </c>
      <c r="T341" s="4058"/>
      <c r="U341" s="4098">
        <v>2558</v>
      </c>
      <c r="V341" s="4058"/>
    </row>
    <row r="342" spans="1:22" ht="31.2">
      <c r="A342" s="4047">
        <v>2</v>
      </c>
      <c r="B342" s="4097" t="s">
        <v>3601</v>
      </c>
      <c r="C342" s="4047" t="s">
        <v>2905</v>
      </c>
      <c r="D342" s="4047" t="s">
        <v>3602</v>
      </c>
      <c r="E342" s="4047" t="s">
        <v>3092</v>
      </c>
      <c r="F342" s="4047" t="s">
        <v>3603</v>
      </c>
      <c r="G342" s="4098">
        <f t="shared" si="152"/>
        <v>2583</v>
      </c>
      <c r="H342" s="4058"/>
      <c r="I342" s="4098"/>
      <c r="J342" s="4098">
        <v>2583</v>
      </c>
      <c r="K342" s="4058"/>
      <c r="L342" s="4058"/>
      <c r="M342" s="4058"/>
      <c r="N342" s="3990"/>
      <c r="O342" s="4098">
        <f t="shared" si="153"/>
        <v>0</v>
      </c>
      <c r="P342" s="4058"/>
      <c r="Q342" s="4058"/>
      <c r="R342" s="4098"/>
      <c r="S342" s="4051">
        <f t="shared" si="154"/>
        <v>2558</v>
      </c>
      <c r="T342" s="4058"/>
      <c r="U342" s="4098">
        <v>2558</v>
      </c>
      <c r="V342" s="4058"/>
    </row>
    <row r="343" spans="1:22" s="1577" customFormat="1">
      <c r="A343" s="4009" t="s">
        <v>100</v>
      </c>
      <c r="B343" s="4010" t="s">
        <v>3414</v>
      </c>
      <c r="C343" s="4035"/>
      <c r="D343" s="4035"/>
      <c r="E343" s="4035"/>
      <c r="F343" s="4035"/>
      <c r="G343" s="4027">
        <f t="shared" ref="G343:V344" si="155">G344</f>
        <v>23307</v>
      </c>
      <c r="H343" s="4027">
        <f t="shared" si="155"/>
        <v>0</v>
      </c>
      <c r="I343" s="4027">
        <f t="shared" si="155"/>
        <v>7871</v>
      </c>
      <c r="J343" s="4027">
        <f t="shared" si="155"/>
        <v>14786</v>
      </c>
      <c r="K343" s="4027">
        <f t="shared" si="155"/>
        <v>0</v>
      </c>
      <c r="L343" s="4027">
        <f t="shared" si="155"/>
        <v>0</v>
      </c>
      <c r="M343" s="4027">
        <f t="shared" si="155"/>
        <v>0</v>
      </c>
      <c r="N343" s="4027">
        <f t="shared" si="155"/>
        <v>0</v>
      </c>
      <c r="O343" s="4027">
        <f t="shared" si="155"/>
        <v>0</v>
      </c>
      <c r="P343" s="4027">
        <f t="shared" si="155"/>
        <v>0</v>
      </c>
      <c r="Q343" s="4027">
        <f t="shared" si="155"/>
        <v>0</v>
      </c>
      <c r="R343" s="4027">
        <f t="shared" si="155"/>
        <v>0</v>
      </c>
      <c r="S343" s="4027">
        <f t="shared" si="155"/>
        <v>7871</v>
      </c>
      <c r="T343" s="4027">
        <f t="shared" si="155"/>
        <v>0</v>
      </c>
      <c r="U343" s="4027">
        <f t="shared" si="155"/>
        <v>7871</v>
      </c>
      <c r="V343" s="4027">
        <f>V344</f>
        <v>0</v>
      </c>
    </row>
    <row r="344" spans="1:22" s="248" customFormat="1">
      <c r="A344" s="4009">
        <v>1</v>
      </c>
      <c r="B344" s="4010" t="s">
        <v>3122</v>
      </c>
      <c r="C344" s="4009"/>
      <c r="D344" s="4009"/>
      <c r="E344" s="4009"/>
      <c r="F344" s="4009"/>
      <c r="G344" s="4027">
        <f t="shared" si="155"/>
        <v>23307</v>
      </c>
      <c r="H344" s="4027">
        <f t="shared" si="155"/>
        <v>0</v>
      </c>
      <c r="I344" s="4027">
        <f t="shared" si="155"/>
        <v>7871</v>
      </c>
      <c r="J344" s="4027">
        <f t="shared" si="155"/>
        <v>14786</v>
      </c>
      <c r="K344" s="4027">
        <f t="shared" si="155"/>
        <v>0</v>
      </c>
      <c r="L344" s="4027">
        <f t="shared" si="155"/>
        <v>0</v>
      </c>
      <c r="M344" s="4027">
        <f t="shared" si="155"/>
        <v>0</v>
      </c>
      <c r="N344" s="4027">
        <f t="shared" si="155"/>
        <v>0</v>
      </c>
      <c r="O344" s="4027">
        <f t="shared" si="155"/>
        <v>0</v>
      </c>
      <c r="P344" s="4027">
        <f t="shared" si="155"/>
        <v>0</v>
      </c>
      <c r="Q344" s="4027">
        <f t="shared" si="155"/>
        <v>0</v>
      </c>
      <c r="R344" s="4027">
        <f t="shared" si="155"/>
        <v>0</v>
      </c>
      <c r="S344" s="4027">
        <f t="shared" si="155"/>
        <v>7871</v>
      </c>
      <c r="T344" s="4027">
        <f t="shared" si="155"/>
        <v>0</v>
      </c>
      <c r="U344" s="4027">
        <f t="shared" si="155"/>
        <v>7871</v>
      </c>
      <c r="V344" s="4027">
        <f t="shared" si="155"/>
        <v>0</v>
      </c>
    </row>
    <row r="345" spans="1:22" ht="31.2">
      <c r="A345" s="4009" t="s">
        <v>34</v>
      </c>
      <c r="B345" s="4028" t="s">
        <v>2871</v>
      </c>
      <c r="C345" s="4009"/>
      <c r="D345" s="4009"/>
      <c r="E345" s="4009"/>
      <c r="F345" s="4009"/>
      <c r="G345" s="4029">
        <f>SUM(G346:G351)</f>
        <v>23307</v>
      </c>
      <c r="H345" s="4029">
        <f t="shared" ref="H345:V345" si="156">SUM(H346:H351)</f>
        <v>0</v>
      </c>
      <c r="I345" s="4029">
        <f t="shared" si="156"/>
        <v>7871</v>
      </c>
      <c r="J345" s="4029">
        <f t="shared" si="156"/>
        <v>14786</v>
      </c>
      <c r="K345" s="4029">
        <f t="shared" si="156"/>
        <v>0</v>
      </c>
      <c r="L345" s="4029">
        <f t="shared" si="156"/>
        <v>0</v>
      </c>
      <c r="M345" s="4029">
        <f t="shared" si="156"/>
        <v>0</v>
      </c>
      <c r="N345" s="4029">
        <f t="shared" si="156"/>
        <v>0</v>
      </c>
      <c r="O345" s="4029">
        <f t="shared" si="156"/>
        <v>0</v>
      </c>
      <c r="P345" s="4029">
        <f t="shared" si="156"/>
        <v>0</v>
      </c>
      <c r="Q345" s="4029">
        <f t="shared" si="156"/>
        <v>0</v>
      </c>
      <c r="R345" s="4029">
        <f t="shared" si="156"/>
        <v>0</v>
      </c>
      <c r="S345" s="4029">
        <f t="shared" si="156"/>
        <v>7871</v>
      </c>
      <c r="T345" s="4029">
        <f t="shared" si="156"/>
        <v>0</v>
      </c>
      <c r="U345" s="4029">
        <f t="shared" si="156"/>
        <v>7871</v>
      </c>
      <c r="V345" s="4029">
        <f t="shared" si="156"/>
        <v>0</v>
      </c>
    </row>
    <row r="346" spans="1:22" s="3999" customFormat="1" ht="38.25" customHeight="1">
      <c r="A346" s="3987">
        <v>1</v>
      </c>
      <c r="B346" s="4034" t="s">
        <v>3604</v>
      </c>
      <c r="C346" s="4064" t="s">
        <v>3605</v>
      </c>
      <c r="D346" s="3987" t="s">
        <v>3606</v>
      </c>
      <c r="E346" s="3987" t="s">
        <v>3092</v>
      </c>
      <c r="F346" s="3987" t="s">
        <v>3607</v>
      </c>
      <c r="G346" s="4051">
        <v>4298</v>
      </c>
      <c r="H346" s="3990"/>
      <c r="I346" s="4051">
        <v>2471</v>
      </c>
      <c r="J346" s="4051">
        <v>1709</v>
      </c>
      <c r="K346" s="4051"/>
      <c r="L346" s="4051"/>
      <c r="M346" s="4051"/>
      <c r="N346" s="4051"/>
      <c r="O346" s="4051"/>
      <c r="P346" s="4051"/>
      <c r="Q346" s="4051"/>
      <c r="R346" s="4051"/>
      <c r="S346" s="4051">
        <f>T346+U346+V346</f>
        <v>2471</v>
      </c>
      <c r="T346" s="4051"/>
      <c r="U346" s="4051">
        <v>2471</v>
      </c>
      <c r="V346" s="4051"/>
    </row>
    <row r="347" spans="1:22" s="3999" customFormat="1" ht="38.25" customHeight="1">
      <c r="A347" s="3987">
        <v>2</v>
      </c>
      <c r="B347" s="4034" t="s">
        <v>3608</v>
      </c>
      <c r="C347" s="4153" t="s">
        <v>3609</v>
      </c>
      <c r="D347" s="3987" t="s">
        <v>3610</v>
      </c>
      <c r="E347" s="3987" t="s">
        <v>3092</v>
      </c>
      <c r="F347" s="3987" t="s">
        <v>3611</v>
      </c>
      <c r="G347" s="4051">
        <v>7040</v>
      </c>
      <c r="H347" s="3990"/>
      <c r="I347" s="4051">
        <v>1720</v>
      </c>
      <c r="J347" s="4051">
        <v>5333</v>
      </c>
      <c r="K347" s="4051"/>
      <c r="L347" s="4051"/>
      <c r="M347" s="4051"/>
      <c r="N347" s="4051"/>
      <c r="O347" s="4051"/>
      <c r="P347" s="4051"/>
      <c r="Q347" s="4051"/>
      <c r="R347" s="4051"/>
      <c r="S347" s="4051">
        <f t="shared" ref="S347:S351" si="157">T347+U347+V347</f>
        <v>1720</v>
      </c>
      <c r="T347" s="4051"/>
      <c r="U347" s="4051">
        <v>1720</v>
      </c>
      <c r="V347" s="4051"/>
    </row>
    <row r="348" spans="1:22" s="3999" customFormat="1" ht="46.8">
      <c r="A348" s="3987">
        <v>3</v>
      </c>
      <c r="B348" s="4034" t="s">
        <v>3612</v>
      </c>
      <c r="C348" s="4154" t="s">
        <v>3613</v>
      </c>
      <c r="D348" s="3987" t="s">
        <v>3614</v>
      </c>
      <c r="E348" s="3987" t="s">
        <v>3155</v>
      </c>
      <c r="F348" s="3987" t="s">
        <v>3615</v>
      </c>
      <c r="G348" s="4051">
        <v>2526</v>
      </c>
      <c r="H348" s="3990"/>
      <c r="I348" s="4051">
        <v>1330</v>
      </c>
      <c r="J348" s="4051">
        <v>1071</v>
      </c>
      <c r="K348" s="4051"/>
      <c r="L348" s="4051"/>
      <c r="M348" s="4051"/>
      <c r="N348" s="4051"/>
      <c r="O348" s="4051"/>
      <c r="P348" s="4051"/>
      <c r="Q348" s="4051"/>
      <c r="R348" s="4051"/>
      <c r="S348" s="4051">
        <f t="shared" si="157"/>
        <v>1330</v>
      </c>
      <c r="T348" s="4051"/>
      <c r="U348" s="4051">
        <v>1330</v>
      </c>
      <c r="V348" s="4051"/>
    </row>
    <row r="349" spans="1:22" s="3999" customFormat="1" ht="62.4">
      <c r="A349" s="3987">
        <v>4</v>
      </c>
      <c r="B349" s="4034" t="s">
        <v>3616</v>
      </c>
      <c r="C349" s="4154" t="s">
        <v>3613</v>
      </c>
      <c r="D349" s="3987" t="s">
        <v>3617</v>
      </c>
      <c r="E349" s="3987" t="s">
        <v>3092</v>
      </c>
      <c r="F349" s="3987" t="s">
        <v>3618</v>
      </c>
      <c r="G349" s="4051">
        <v>4161</v>
      </c>
      <c r="H349" s="3990"/>
      <c r="I349" s="4051">
        <v>1229</v>
      </c>
      <c r="J349" s="4051">
        <v>2747</v>
      </c>
      <c r="K349" s="4051"/>
      <c r="L349" s="4051"/>
      <c r="M349" s="4051"/>
      <c r="N349" s="4051"/>
      <c r="O349" s="4051"/>
      <c r="P349" s="4051"/>
      <c r="Q349" s="4051"/>
      <c r="R349" s="4051"/>
      <c r="S349" s="4051">
        <f t="shared" si="157"/>
        <v>1229</v>
      </c>
      <c r="T349" s="4051"/>
      <c r="U349" s="4051">
        <v>1229</v>
      </c>
      <c r="V349" s="4051"/>
    </row>
    <row r="350" spans="1:22" s="3999" customFormat="1" ht="39" customHeight="1">
      <c r="A350" s="3987">
        <v>5</v>
      </c>
      <c r="B350" s="4034" t="s">
        <v>3619</v>
      </c>
      <c r="C350" s="4064" t="s">
        <v>3620</v>
      </c>
      <c r="D350" s="3987" t="s">
        <v>3621</v>
      </c>
      <c r="E350" s="3987" t="s">
        <v>3155</v>
      </c>
      <c r="F350" s="3987" t="s">
        <v>3622</v>
      </c>
      <c r="G350" s="4051">
        <v>3296</v>
      </c>
      <c r="H350" s="3990"/>
      <c r="I350" s="4051">
        <v>821</v>
      </c>
      <c r="J350" s="4051">
        <v>2350</v>
      </c>
      <c r="K350" s="4051"/>
      <c r="L350" s="4051"/>
      <c r="M350" s="4051"/>
      <c r="N350" s="4051"/>
      <c r="O350" s="4051"/>
      <c r="P350" s="4051"/>
      <c r="Q350" s="4051"/>
      <c r="R350" s="4051"/>
      <c r="S350" s="4051">
        <f t="shared" si="157"/>
        <v>821</v>
      </c>
      <c r="T350" s="4051"/>
      <c r="U350" s="4051">
        <v>821</v>
      </c>
      <c r="V350" s="4051"/>
    </row>
    <row r="351" spans="1:22" s="3999" customFormat="1" ht="21.75" customHeight="1">
      <c r="A351" s="3987">
        <v>6</v>
      </c>
      <c r="B351" s="4034" t="s">
        <v>3623</v>
      </c>
      <c r="C351" s="4064" t="s">
        <v>3620</v>
      </c>
      <c r="D351" s="3987" t="s">
        <v>3624</v>
      </c>
      <c r="E351" s="3987" t="s">
        <v>3155</v>
      </c>
      <c r="F351" s="3987" t="s">
        <v>3625</v>
      </c>
      <c r="G351" s="4051">
        <v>1986</v>
      </c>
      <c r="H351" s="3990"/>
      <c r="I351" s="4051">
        <v>300</v>
      </c>
      <c r="J351" s="4051">
        <v>1576</v>
      </c>
      <c r="K351" s="4051"/>
      <c r="L351" s="4051"/>
      <c r="M351" s="4051"/>
      <c r="N351" s="4051"/>
      <c r="O351" s="4051"/>
      <c r="P351" s="4051"/>
      <c r="Q351" s="4051"/>
      <c r="R351" s="4051"/>
      <c r="S351" s="4051">
        <f t="shared" si="157"/>
        <v>300</v>
      </c>
      <c r="T351" s="4051"/>
      <c r="U351" s="4051">
        <v>300</v>
      </c>
      <c r="V351" s="4051"/>
    </row>
    <row r="352" spans="1:22" s="1577" customFormat="1">
      <c r="A352" s="4009" t="s">
        <v>151</v>
      </c>
      <c r="B352" s="4010" t="s">
        <v>3415</v>
      </c>
      <c r="C352" s="4035"/>
      <c r="D352" s="4035"/>
      <c r="E352" s="4035"/>
      <c r="F352" s="4035"/>
      <c r="G352" s="4027">
        <f t="shared" ref="G352:V353" si="158">G353</f>
        <v>42963</v>
      </c>
      <c r="H352" s="4027">
        <f t="shared" si="158"/>
        <v>0</v>
      </c>
      <c r="I352" s="4027">
        <f t="shared" si="158"/>
        <v>18804</v>
      </c>
      <c r="J352" s="4027">
        <f t="shared" si="158"/>
        <v>24159</v>
      </c>
      <c r="K352" s="4027">
        <f t="shared" si="158"/>
        <v>0</v>
      </c>
      <c r="L352" s="4027">
        <f t="shared" si="158"/>
        <v>0</v>
      </c>
      <c r="M352" s="4027">
        <f t="shared" si="158"/>
        <v>0</v>
      </c>
      <c r="N352" s="4027">
        <f t="shared" si="158"/>
        <v>0</v>
      </c>
      <c r="O352" s="4027">
        <f t="shared" si="158"/>
        <v>0</v>
      </c>
      <c r="P352" s="4027">
        <f t="shared" si="158"/>
        <v>0</v>
      </c>
      <c r="Q352" s="4027">
        <f t="shared" si="158"/>
        <v>0</v>
      </c>
      <c r="R352" s="4027">
        <f t="shared" si="158"/>
        <v>0</v>
      </c>
      <c r="S352" s="4027">
        <f t="shared" si="158"/>
        <v>12804</v>
      </c>
      <c r="T352" s="4027">
        <f t="shared" si="158"/>
        <v>0</v>
      </c>
      <c r="U352" s="4027">
        <f t="shared" si="158"/>
        <v>12804</v>
      </c>
      <c r="V352" s="4027">
        <f>V353</f>
        <v>0</v>
      </c>
    </row>
    <row r="353" spans="1:22" s="248" customFormat="1">
      <c r="A353" s="4009">
        <v>1</v>
      </c>
      <c r="B353" s="4010" t="s">
        <v>3122</v>
      </c>
      <c r="C353" s="4009"/>
      <c r="D353" s="4009"/>
      <c r="E353" s="4009"/>
      <c r="F353" s="4009"/>
      <c r="G353" s="4027">
        <f t="shared" si="158"/>
        <v>42963</v>
      </c>
      <c r="H353" s="4027">
        <f t="shared" si="158"/>
        <v>0</v>
      </c>
      <c r="I353" s="4027">
        <f t="shared" si="158"/>
        <v>18804</v>
      </c>
      <c r="J353" s="4027">
        <f t="shared" si="158"/>
        <v>24159</v>
      </c>
      <c r="K353" s="4027">
        <f t="shared" si="158"/>
        <v>0</v>
      </c>
      <c r="L353" s="4027">
        <f t="shared" si="158"/>
        <v>0</v>
      </c>
      <c r="M353" s="4027">
        <f t="shared" si="158"/>
        <v>0</v>
      </c>
      <c r="N353" s="4027">
        <f t="shared" si="158"/>
        <v>0</v>
      </c>
      <c r="O353" s="4027">
        <f t="shared" si="158"/>
        <v>0</v>
      </c>
      <c r="P353" s="4027">
        <f t="shared" si="158"/>
        <v>0</v>
      </c>
      <c r="Q353" s="4027">
        <f t="shared" si="158"/>
        <v>0</v>
      </c>
      <c r="R353" s="4027">
        <f t="shared" si="158"/>
        <v>0</v>
      </c>
      <c r="S353" s="4027">
        <f t="shared" si="158"/>
        <v>12804</v>
      </c>
      <c r="T353" s="4027">
        <f t="shared" si="158"/>
        <v>0</v>
      </c>
      <c r="U353" s="4027">
        <f t="shared" si="158"/>
        <v>12804</v>
      </c>
      <c r="V353" s="4027">
        <f t="shared" si="158"/>
        <v>0</v>
      </c>
    </row>
    <row r="354" spans="1:22" ht="31.2">
      <c r="A354" s="4009" t="s">
        <v>34</v>
      </c>
      <c r="B354" s="4028" t="s">
        <v>2871</v>
      </c>
      <c r="C354" s="4009"/>
      <c r="D354" s="4009"/>
      <c r="E354" s="4009"/>
      <c r="F354" s="4009"/>
      <c r="G354" s="4029">
        <f>SUM(G355:G360)</f>
        <v>42963</v>
      </c>
      <c r="H354" s="4029">
        <f t="shared" ref="H354:V354" si="159">SUM(H355:H360)</f>
        <v>0</v>
      </c>
      <c r="I354" s="4029">
        <f t="shared" si="159"/>
        <v>18804</v>
      </c>
      <c r="J354" s="4029">
        <f t="shared" si="159"/>
        <v>24159</v>
      </c>
      <c r="K354" s="4029">
        <f t="shared" si="159"/>
        <v>0</v>
      </c>
      <c r="L354" s="4029">
        <f t="shared" si="159"/>
        <v>0</v>
      </c>
      <c r="M354" s="4029">
        <f t="shared" si="159"/>
        <v>0</v>
      </c>
      <c r="N354" s="4029">
        <f t="shared" si="159"/>
        <v>0</v>
      </c>
      <c r="O354" s="4029">
        <f t="shared" si="159"/>
        <v>0</v>
      </c>
      <c r="P354" s="4029">
        <f t="shared" si="159"/>
        <v>0</v>
      </c>
      <c r="Q354" s="4029">
        <f t="shared" si="159"/>
        <v>0</v>
      </c>
      <c r="R354" s="4029">
        <f t="shared" si="159"/>
        <v>0</v>
      </c>
      <c r="S354" s="4029">
        <f t="shared" si="159"/>
        <v>12804</v>
      </c>
      <c r="T354" s="4029">
        <f t="shared" si="159"/>
        <v>0</v>
      </c>
      <c r="U354" s="4029">
        <f t="shared" si="159"/>
        <v>12804</v>
      </c>
      <c r="V354" s="4029">
        <f t="shared" si="159"/>
        <v>0</v>
      </c>
    </row>
    <row r="355" spans="1:22" s="1557" customFormat="1" ht="31.2">
      <c r="A355" s="3987">
        <v>1</v>
      </c>
      <c r="B355" s="4155" t="s">
        <v>3626</v>
      </c>
      <c r="C355" s="3987" t="s">
        <v>3115</v>
      </c>
      <c r="D355" s="3987"/>
      <c r="E355" s="4041" t="s">
        <v>3627</v>
      </c>
      <c r="F355" s="4156" t="s">
        <v>3628</v>
      </c>
      <c r="G355" s="3990">
        <v>580</v>
      </c>
      <c r="H355" s="3990"/>
      <c r="I355" s="3990">
        <v>290</v>
      </c>
      <c r="J355" s="3990">
        <f t="shared" ref="J355:J360" si="160">G355-I355</f>
        <v>290</v>
      </c>
      <c r="K355" s="3990"/>
      <c r="L355" s="3990"/>
      <c r="M355" s="3990"/>
      <c r="N355" s="3990"/>
      <c r="O355" s="3990"/>
      <c r="P355" s="3990"/>
      <c r="Q355" s="3990"/>
      <c r="R355" s="3990"/>
      <c r="S355" s="3990">
        <f>T355+U355+V355</f>
        <v>290</v>
      </c>
      <c r="T355" s="3990"/>
      <c r="U355" s="3990">
        <v>290</v>
      </c>
      <c r="V355" s="3990"/>
    </row>
    <row r="356" spans="1:22" s="1557" customFormat="1" ht="31.2">
      <c r="A356" s="4127">
        <v>2</v>
      </c>
      <c r="B356" s="4155" t="s">
        <v>3629</v>
      </c>
      <c r="C356" s="3987" t="s">
        <v>3115</v>
      </c>
      <c r="D356" s="4157"/>
      <c r="E356" s="4041" t="s">
        <v>3627</v>
      </c>
      <c r="F356" s="4156" t="s">
        <v>3630</v>
      </c>
      <c r="G356" s="3992">
        <v>4351</v>
      </c>
      <c r="H356" s="3992"/>
      <c r="I356" s="3992">
        <v>291</v>
      </c>
      <c r="J356" s="4158">
        <f t="shared" si="160"/>
        <v>4060</v>
      </c>
      <c r="K356" s="4158"/>
      <c r="L356" s="4158"/>
      <c r="M356" s="4158"/>
      <c r="N356" s="4158"/>
      <c r="O356" s="4158"/>
      <c r="P356" s="4158"/>
      <c r="Q356" s="4158"/>
      <c r="R356" s="4158"/>
      <c r="S356" s="4158">
        <f>U356+V356</f>
        <v>291</v>
      </c>
      <c r="T356" s="4158"/>
      <c r="U356" s="4158">
        <v>291</v>
      </c>
      <c r="V356" s="4158"/>
    </row>
    <row r="357" spans="1:22" s="4159" customFormat="1" ht="31.2">
      <c r="A357" s="4127">
        <v>3</v>
      </c>
      <c r="B357" s="4156" t="s">
        <v>3631</v>
      </c>
      <c r="C357" s="3987" t="s">
        <v>3115</v>
      </c>
      <c r="D357" s="4127"/>
      <c r="E357" s="4041" t="s">
        <v>3627</v>
      </c>
      <c r="F357" s="4156" t="s">
        <v>3632</v>
      </c>
      <c r="G357" s="3992">
        <v>2500</v>
      </c>
      <c r="H357" s="3992"/>
      <c r="I357" s="4158">
        <v>1643</v>
      </c>
      <c r="J357" s="4158">
        <f t="shared" si="160"/>
        <v>857</v>
      </c>
      <c r="K357" s="4158"/>
      <c r="L357" s="4158"/>
      <c r="M357" s="4158"/>
      <c r="N357" s="4158"/>
      <c r="O357" s="4158"/>
      <c r="P357" s="4158"/>
      <c r="Q357" s="4158"/>
      <c r="R357" s="4158"/>
      <c r="S357" s="4158">
        <f t="shared" ref="S357:S360" si="161">U357+V357</f>
        <v>643</v>
      </c>
      <c r="T357" s="4158"/>
      <c r="U357" s="4158">
        <v>643</v>
      </c>
      <c r="V357" s="4158"/>
    </row>
    <row r="358" spans="1:22" s="1557" customFormat="1" ht="31.2">
      <c r="A358" s="4127">
        <v>4</v>
      </c>
      <c r="B358" s="4160" t="s">
        <v>3633</v>
      </c>
      <c r="C358" s="3987" t="s">
        <v>3115</v>
      </c>
      <c r="D358" s="4157"/>
      <c r="E358" s="4041" t="s">
        <v>3627</v>
      </c>
      <c r="F358" s="4156" t="s">
        <v>3634</v>
      </c>
      <c r="G358" s="3992">
        <v>3800</v>
      </c>
      <c r="H358" s="3992"/>
      <c r="I358" s="4158">
        <v>1290</v>
      </c>
      <c r="J358" s="4158">
        <f t="shared" si="160"/>
        <v>2510</v>
      </c>
      <c r="K358" s="4158"/>
      <c r="L358" s="4158"/>
      <c r="M358" s="4158"/>
      <c r="N358" s="4158"/>
      <c r="O358" s="4158"/>
      <c r="P358" s="4158"/>
      <c r="Q358" s="4158"/>
      <c r="R358" s="4158"/>
      <c r="S358" s="4158">
        <f t="shared" si="161"/>
        <v>1290</v>
      </c>
      <c r="T358" s="4158"/>
      <c r="U358" s="4158">
        <v>1290</v>
      </c>
      <c r="V358" s="4158"/>
    </row>
    <row r="359" spans="1:22" s="1557" customFormat="1" ht="31.2">
      <c r="A359" s="4127">
        <v>5</v>
      </c>
      <c r="B359" s="4160" t="s">
        <v>3635</v>
      </c>
      <c r="C359" s="3987" t="s">
        <v>3115</v>
      </c>
      <c r="D359" s="4157"/>
      <c r="E359" s="4041" t="s">
        <v>3627</v>
      </c>
      <c r="F359" s="4156" t="s">
        <v>3636</v>
      </c>
      <c r="G359" s="3992">
        <v>590</v>
      </c>
      <c r="H359" s="3992"/>
      <c r="I359" s="3992">
        <v>290</v>
      </c>
      <c r="J359" s="4158">
        <f t="shared" si="160"/>
        <v>300</v>
      </c>
      <c r="K359" s="4158"/>
      <c r="L359" s="4158"/>
      <c r="M359" s="4158"/>
      <c r="N359" s="4158"/>
      <c r="O359" s="4158"/>
      <c r="P359" s="4158"/>
      <c r="Q359" s="4158"/>
      <c r="R359" s="4158"/>
      <c r="S359" s="4158">
        <f t="shared" si="161"/>
        <v>290</v>
      </c>
      <c r="T359" s="4158"/>
      <c r="U359" s="4158">
        <v>290</v>
      </c>
      <c r="V359" s="4158"/>
    </row>
    <row r="360" spans="1:22" s="1557" customFormat="1" ht="62.4">
      <c r="A360" s="4127">
        <v>6</v>
      </c>
      <c r="B360" s="4160" t="s">
        <v>3637</v>
      </c>
      <c r="C360" s="3987" t="s">
        <v>3115</v>
      </c>
      <c r="D360" s="4157"/>
      <c r="E360" s="4041" t="s">
        <v>3627</v>
      </c>
      <c r="F360" s="3987" t="s">
        <v>3638</v>
      </c>
      <c r="G360" s="3992">
        <v>31142</v>
      </c>
      <c r="H360" s="3992"/>
      <c r="I360" s="4158">
        <v>15000</v>
      </c>
      <c r="J360" s="4158">
        <f t="shared" si="160"/>
        <v>16142</v>
      </c>
      <c r="K360" s="4158"/>
      <c r="L360" s="4158"/>
      <c r="M360" s="4158"/>
      <c r="N360" s="4158"/>
      <c r="O360" s="4158"/>
      <c r="P360" s="4158"/>
      <c r="Q360" s="4158"/>
      <c r="R360" s="4158"/>
      <c r="S360" s="4158">
        <f t="shared" si="161"/>
        <v>10000</v>
      </c>
      <c r="T360" s="4158"/>
      <c r="U360" s="4033">
        <v>10000</v>
      </c>
      <c r="V360" s="4158"/>
    </row>
    <row r="361" spans="1:22" s="1577" customFormat="1">
      <c r="A361" s="4009" t="s">
        <v>229</v>
      </c>
      <c r="B361" s="4010" t="s">
        <v>2847</v>
      </c>
      <c r="C361" s="4035"/>
      <c r="D361" s="4035"/>
      <c r="E361" s="4035"/>
      <c r="F361" s="4035"/>
      <c r="G361" s="4027">
        <f t="shared" ref="G361:V363" si="162">G362</f>
        <v>4735.7520000000004</v>
      </c>
      <c r="H361" s="4027">
        <f t="shared" si="162"/>
        <v>0</v>
      </c>
      <c r="I361" s="4027">
        <f t="shared" si="162"/>
        <v>4020</v>
      </c>
      <c r="J361" s="4027">
        <f t="shared" si="162"/>
        <v>715.75200000000041</v>
      </c>
      <c r="K361" s="4027">
        <f t="shared" si="162"/>
        <v>3730</v>
      </c>
      <c r="L361" s="4027">
        <f t="shared" si="162"/>
        <v>0</v>
      </c>
      <c r="M361" s="4027">
        <f t="shared" si="162"/>
        <v>3730</v>
      </c>
      <c r="N361" s="4027">
        <f t="shared" si="162"/>
        <v>0</v>
      </c>
      <c r="O361" s="4027">
        <f t="shared" si="162"/>
        <v>3730</v>
      </c>
      <c r="P361" s="4027">
        <f t="shared" si="162"/>
        <v>0</v>
      </c>
      <c r="Q361" s="4027">
        <f t="shared" si="162"/>
        <v>3730</v>
      </c>
      <c r="R361" s="4027">
        <f t="shared" si="162"/>
        <v>0</v>
      </c>
      <c r="S361" s="4027">
        <f t="shared" si="162"/>
        <v>290</v>
      </c>
      <c r="T361" s="4027">
        <f t="shared" si="162"/>
        <v>0</v>
      </c>
      <c r="U361" s="4027">
        <f t="shared" si="162"/>
        <v>290</v>
      </c>
      <c r="V361" s="4027">
        <f>V362</f>
        <v>0</v>
      </c>
    </row>
    <row r="362" spans="1:22" s="248" customFormat="1">
      <c r="A362" s="4009">
        <v>1</v>
      </c>
      <c r="B362" s="4010" t="s">
        <v>3122</v>
      </c>
      <c r="C362" s="4009"/>
      <c r="D362" s="4009"/>
      <c r="E362" s="4009"/>
      <c r="F362" s="4009"/>
      <c r="G362" s="4027">
        <f t="shared" si="162"/>
        <v>4735.7520000000004</v>
      </c>
      <c r="H362" s="4027">
        <f t="shared" si="162"/>
        <v>0</v>
      </c>
      <c r="I362" s="4027">
        <f t="shared" si="162"/>
        <v>4020</v>
      </c>
      <c r="J362" s="4027">
        <f t="shared" si="162"/>
        <v>715.75200000000041</v>
      </c>
      <c r="K362" s="4027">
        <f t="shared" si="162"/>
        <v>3730</v>
      </c>
      <c r="L362" s="4027">
        <f t="shared" si="162"/>
        <v>0</v>
      </c>
      <c r="M362" s="4027">
        <f t="shared" si="162"/>
        <v>3730</v>
      </c>
      <c r="N362" s="4027">
        <f t="shared" si="162"/>
        <v>0</v>
      </c>
      <c r="O362" s="4027">
        <f t="shared" si="162"/>
        <v>3730</v>
      </c>
      <c r="P362" s="4027">
        <f t="shared" si="162"/>
        <v>0</v>
      </c>
      <c r="Q362" s="4027">
        <f t="shared" si="162"/>
        <v>3730</v>
      </c>
      <c r="R362" s="4027">
        <f t="shared" si="162"/>
        <v>0</v>
      </c>
      <c r="S362" s="4027">
        <f t="shared" si="162"/>
        <v>290</v>
      </c>
      <c r="T362" s="4027">
        <f t="shared" si="162"/>
        <v>0</v>
      </c>
      <c r="U362" s="4027">
        <f t="shared" si="162"/>
        <v>290</v>
      </c>
      <c r="V362" s="4027">
        <f t="shared" si="162"/>
        <v>0</v>
      </c>
    </row>
    <row r="363" spans="1:22" ht="31.2">
      <c r="A363" s="4009" t="s">
        <v>34</v>
      </c>
      <c r="B363" s="4028" t="s">
        <v>2871</v>
      </c>
      <c r="C363" s="4009"/>
      <c r="D363" s="4009"/>
      <c r="E363" s="4009"/>
      <c r="F363" s="4009"/>
      <c r="G363" s="4029">
        <f t="shared" si="162"/>
        <v>4735.7520000000004</v>
      </c>
      <c r="H363" s="4029">
        <f t="shared" si="162"/>
        <v>0</v>
      </c>
      <c r="I363" s="4029">
        <f t="shared" si="162"/>
        <v>4020</v>
      </c>
      <c r="J363" s="4029">
        <f t="shared" si="162"/>
        <v>715.75200000000041</v>
      </c>
      <c r="K363" s="4029">
        <f t="shared" si="162"/>
        <v>3730</v>
      </c>
      <c r="L363" s="4029">
        <f t="shared" si="162"/>
        <v>0</v>
      </c>
      <c r="M363" s="4029">
        <f t="shared" si="162"/>
        <v>3730</v>
      </c>
      <c r="N363" s="4029">
        <f t="shared" si="162"/>
        <v>0</v>
      </c>
      <c r="O363" s="4029">
        <f t="shared" si="162"/>
        <v>3730</v>
      </c>
      <c r="P363" s="4029">
        <f t="shared" si="162"/>
        <v>0</v>
      </c>
      <c r="Q363" s="4029">
        <f t="shared" si="162"/>
        <v>3730</v>
      </c>
      <c r="R363" s="4029">
        <f t="shared" si="162"/>
        <v>0</v>
      </c>
      <c r="S363" s="4029">
        <f t="shared" si="162"/>
        <v>290</v>
      </c>
      <c r="T363" s="4029">
        <f t="shared" si="162"/>
        <v>0</v>
      </c>
      <c r="U363" s="4029">
        <f t="shared" si="162"/>
        <v>290</v>
      </c>
      <c r="V363" s="4029">
        <f>V364</f>
        <v>0</v>
      </c>
    </row>
    <row r="364" spans="1:22" s="1557" customFormat="1" ht="31.2">
      <c r="A364" s="4127">
        <v>1</v>
      </c>
      <c r="B364" s="4160" t="s">
        <v>3639</v>
      </c>
      <c r="C364" s="3987" t="s">
        <v>2891</v>
      </c>
      <c r="D364" s="4157"/>
      <c r="E364" s="4041" t="s">
        <v>3309</v>
      </c>
      <c r="F364" s="3987" t="s">
        <v>3640</v>
      </c>
      <c r="G364" s="3992">
        <v>4735.7520000000004</v>
      </c>
      <c r="H364" s="3992"/>
      <c r="I364" s="4158">
        <v>4020</v>
      </c>
      <c r="J364" s="4158">
        <f t="shared" ref="J364" si="163">G364-I364</f>
        <v>715.75200000000041</v>
      </c>
      <c r="K364" s="4158">
        <f>L364+M364+N364</f>
        <v>3730</v>
      </c>
      <c r="L364" s="4158"/>
      <c r="M364" s="4158">
        <v>3730</v>
      </c>
      <c r="N364" s="4158"/>
      <c r="O364" s="4158">
        <f>P364+Q364+R364</f>
        <v>3730</v>
      </c>
      <c r="P364" s="4158"/>
      <c r="Q364" s="4158">
        <v>3730</v>
      </c>
      <c r="R364" s="4158"/>
      <c r="S364" s="4158">
        <f>T364+U364+V364</f>
        <v>290</v>
      </c>
      <c r="T364" s="4158"/>
      <c r="U364" s="4033">
        <v>290</v>
      </c>
      <c r="V364" s="4158"/>
    </row>
    <row r="365" spans="1:22" s="248" customFormat="1">
      <c r="A365" s="4009" t="s">
        <v>3641</v>
      </c>
      <c r="B365" s="4010" t="s">
        <v>3265</v>
      </c>
      <c r="C365" s="4009"/>
      <c r="D365" s="4009"/>
      <c r="E365" s="4009"/>
      <c r="F365" s="4009"/>
      <c r="G365" s="4027">
        <f t="shared" ref="G365:V365" si="164">G366+G370+G381+G387+G392+G398</f>
        <v>8408357.4910000023</v>
      </c>
      <c r="H365" s="4027">
        <f t="shared" si="164"/>
        <v>0</v>
      </c>
      <c r="I365" s="4027">
        <f t="shared" si="164"/>
        <v>6164200</v>
      </c>
      <c r="J365" s="4027">
        <f t="shared" si="164"/>
        <v>2238210.855</v>
      </c>
      <c r="K365" s="4027">
        <f t="shared" si="164"/>
        <v>2672935.5021437001</v>
      </c>
      <c r="L365" s="4027">
        <f t="shared" si="164"/>
        <v>0</v>
      </c>
      <c r="M365" s="4027">
        <f t="shared" si="164"/>
        <v>1913581.3211436998</v>
      </c>
      <c r="N365" s="4027">
        <f t="shared" si="164"/>
        <v>759354.1810000001</v>
      </c>
      <c r="O365" s="4027">
        <f t="shared" si="164"/>
        <v>2932700</v>
      </c>
      <c r="P365" s="4027">
        <f t="shared" si="164"/>
        <v>0</v>
      </c>
      <c r="Q365" s="4027">
        <f t="shared" si="164"/>
        <v>2137824</v>
      </c>
      <c r="R365" s="4027">
        <f t="shared" si="164"/>
        <v>794876</v>
      </c>
      <c r="S365" s="4027">
        <f t="shared" si="164"/>
        <v>1818314</v>
      </c>
      <c r="T365" s="4027">
        <f t="shared" si="164"/>
        <v>0</v>
      </c>
      <c r="U365" s="4027">
        <f t="shared" si="164"/>
        <v>1386892</v>
      </c>
      <c r="V365" s="4027">
        <f t="shared" si="164"/>
        <v>431422</v>
      </c>
    </row>
    <row r="366" spans="1:22" s="248" customFormat="1">
      <c r="A366" s="4009" t="s">
        <v>9</v>
      </c>
      <c r="B366" s="4010" t="s">
        <v>2854</v>
      </c>
      <c r="C366" s="4009"/>
      <c r="D366" s="4009"/>
      <c r="E366" s="4009"/>
      <c r="F366" s="4009"/>
      <c r="G366" s="4027">
        <f>G367</f>
        <v>2179790</v>
      </c>
      <c r="H366" s="4027">
        <f t="shared" ref="H366:V368" si="165">H367</f>
        <v>0</v>
      </c>
      <c r="I366" s="4027">
        <f t="shared" si="165"/>
        <v>1200000</v>
      </c>
      <c r="J366" s="4027">
        <f t="shared" si="165"/>
        <v>979790</v>
      </c>
      <c r="K366" s="4027">
        <f t="shared" si="165"/>
        <v>765857</v>
      </c>
      <c r="L366" s="4027">
        <f t="shared" si="165"/>
        <v>0</v>
      </c>
      <c r="M366" s="4027">
        <f t="shared" si="165"/>
        <v>411000</v>
      </c>
      <c r="N366" s="4027">
        <f t="shared" si="165"/>
        <v>354857</v>
      </c>
      <c r="O366" s="4027">
        <f t="shared" si="165"/>
        <v>908533</v>
      </c>
      <c r="P366" s="4027">
        <f t="shared" si="165"/>
        <v>0</v>
      </c>
      <c r="Q366" s="4027">
        <f t="shared" si="165"/>
        <v>550000</v>
      </c>
      <c r="R366" s="4027">
        <f t="shared" si="165"/>
        <v>358533</v>
      </c>
      <c r="S366" s="4027">
        <f t="shared" si="165"/>
        <v>359796</v>
      </c>
      <c r="T366" s="4027">
        <f t="shared" si="165"/>
        <v>0</v>
      </c>
      <c r="U366" s="4027">
        <f t="shared" si="165"/>
        <v>156500</v>
      </c>
      <c r="V366" s="4027">
        <f t="shared" si="165"/>
        <v>203296</v>
      </c>
    </row>
    <row r="367" spans="1:22" s="4000" customFormat="1">
      <c r="A367" s="4101">
        <v>1</v>
      </c>
      <c r="B367" s="4119" t="s">
        <v>3122</v>
      </c>
      <c r="C367" s="4161"/>
      <c r="D367" s="4161"/>
      <c r="E367" s="4161"/>
      <c r="F367" s="4161"/>
      <c r="G367" s="4162">
        <f t="shared" ref="G367" si="166">G368</f>
        <v>2179790</v>
      </c>
      <c r="H367" s="4162">
        <f t="shared" si="165"/>
        <v>0</v>
      </c>
      <c r="I367" s="4162">
        <f t="shared" si="165"/>
        <v>1200000</v>
      </c>
      <c r="J367" s="4162">
        <f t="shared" si="165"/>
        <v>979790</v>
      </c>
      <c r="K367" s="4162">
        <f t="shared" si="165"/>
        <v>765857</v>
      </c>
      <c r="L367" s="4162">
        <f t="shared" si="165"/>
        <v>0</v>
      </c>
      <c r="M367" s="4162">
        <f t="shared" si="165"/>
        <v>411000</v>
      </c>
      <c r="N367" s="4163">
        <f t="shared" si="165"/>
        <v>354857</v>
      </c>
      <c r="O367" s="4162">
        <f t="shared" si="165"/>
        <v>908533</v>
      </c>
      <c r="P367" s="4162">
        <f t="shared" si="165"/>
        <v>0</v>
      </c>
      <c r="Q367" s="4162">
        <f t="shared" si="165"/>
        <v>550000</v>
      </c>
      <c r="R367" s="4162">
        <f t="shared" si="165"/>
        <v>358533</v>
      </c>
      <c r="S367" s="4163">
        <f t="shared" si="165"/>
        <v>359796</v>
      </c>
      <c r="T367" s="4162">
        <f t="shared" si="165"/>
        <v>0</v>
      </c>
      <c r="U367" s="4162">
        <f t="shared" si="165"/>
        <v>156500</v>
      </c>
      <c r="V367" s="4162">
        <f>V368</f>
        <v>203296</v>
      </c>
    </row>
    <row r="368" spans="1:22" s="4000" customFormat="1" ht="46.8">
      <c r="A368" s="4101" t="s">
        <v>34</v>
      </c>
      <c r="B368" s="4119" t="s">
        <v>3266</v>
      </c>
      <c r="C368" s="4161"/>
      <c r="D368" s="4161"/>
      <c r="E368" s="4161"/>
      <c r="F368" s="4161"/>
      <c r="G368" s="4162">
        <f>G369</f>
        <v>2179790</v>
      </c>
      <c r="H368" s="4162">
        <f t="shared" si="165"/>
        <v>0</v>
      </c>
      <c r="I368" s="4162">
        <f t="shared" si="165"/>
        <v>1200000</v>
      </c>
      <c r="J368" s="4162">
        <f t="shared" si="165"/>
        <v>979790</v>
      </c>
      <c r="K368" s="4162">
        <f t="shared" si="165"/>
        <v>765857</v>
      </c>
      <c r="L368" s="4162">
        <f t="shared" si="165"/>
        <v>0</v>
      </c>
      <c r="M368" s="4162">
        <f t="shared" si="165"/>
        <v>411000</v>
      </c>
      <c r="N368" s="4163">
        <f t="shared" si="165"/>
        <v>354857</v>
      </c>
      <c r="O368" s="4162">
        <f t="shared" si="165"/>
        <v>908533</v>
      </c>
      <c r="P368" s="4162">
        <f t="shared" si="165"/>
        <v>0</v>
      </c>
      <c r="Q368" s="4162">
        <f t="shared" si="165"/>
        <v>550000</v>
      </c>
      <c r="R368" s="4162">
        <f t="shared" si="165"/>
        <v>358533</v>
      </c>
      <c r="S368" s="4163">
        <f t="shared" si="165"/>
        <v>359796</v>
      </c>
      <c r="T368" s="4162">
        <f t="shared" si="165"/>
        <v>0</v>
      </c>
      <c r="U368" s="4162">
        <f t="shared" si="165"/>
        <v>156500</v>
      </c>
      <c r="V368" s="4162">
        <f t="shared" si="165"/>
        <v>203296</v>
      </c>
    </row>
    <row r="369" spans="1:22" s="4001" customFormat="1" ht="31.5" customHeight="1">
      <c r="A369" s="3987">
        <v>1</v>
      </c>
      <c r="B369" s="4034" t="s">
        <v>3267</v>
      </c>
      <c r="C369" s="4047" t="s">
        <v>3268</v>
      </c>
      <c r="D369" s="4047" t="s">
        <v>3269</v>
      </c>
      <c r="E369" s="4047" t="s">
        <v>3270</v>
      </c>
      <c r="F369" s="4047" t="s">
        <v>3271</v>
      </c>
      <c r="G369" s="4058">
        <f>+H369+I369+J369</f>
        <v>2179790</v>
      </c>
      <c r="H369" s="4058"/>
      <c r="I369" s="4058">
        <v>1200000</v>
      </c>
      <c r="J369" s="4058">
        <v>979790</v>
      </c>
      <c r="K369" s="4058">
        <f>+L369+M369+N369</f>
        <v>765857</v>
      </c>
      <c r="L369" s="4058"/>
      <c r="M369" s="4058">
        <v>411000</v>
      </c>
      <c r="N369" s="3990">
        <f>335074+19783</f>
        <v>354857</v>
      </c>
      <c r="O369" s="4058">
        <f>+P369+Q369+R369</f>
        <v>908533</v>
      </c>
      <c r="P369" s="4058"/>
      <c r="Q369" s="4058">
        <f>150000+150000+250000</f>
        <v>550000</v>
      </c>
      <c r="R369" s="4058">
        <f>908533-Q369</f>
        <v>358533</v>
      </c>
      <c r="S369" s="3990">
        <v>359796</v>
      </c>
      <c r="T369" s="4058"/>
      <c r="U369" s="4058">
        <v>156500</v>
      </c>
      <c r="V369" s="4058">
        <v>203296</v>
      </c>
    </row>
    <row r="370" spans="1:22" s="248" customFormat="1" ht="31.2">
      <c r="A370" s="4009" t="s">
        <v>20</v>
      </c>
      <c r="B370" s="4010" t="s">
        <v>2843</v>
      </c>
      <c r="C370" s="4009"/>
      <c r="D370" s="4009"/>
      <c r="E370" s="4009"/>
      <c r="F370" s="4009"/>
      <c r="G370" s="4027">
        <f>G371</f>
        <v>5782242.6550000012</v>
      </c>
      <c r="H370" s="4027">
        <f t="shared" ref="H370:V370" si="167">H371</f>
        <v>0</v>
      </c>
      <c r="I370" s="4027">
        <f t="shared" si="167"/>
        <v>4964200</v>
      </c>
      <c r="J370" s="4027">
        <f t="shared" si="167"/>
        <v>818042.65500000003</v>
      </c>
      <c r="K370" s="4027">
        <f t="shared" si="167"/>
        <v>1818284.7621436999</v>
      </c>
      <c r="L370" s="4027">
        <f t="shared" si="167"/>
        <v>0</v>
      </c>
      <c r="M370" s="4027">
        <f t="shared" si="167"/>
        <v>1502581.3211436998</v>
      </c>
      <c r="N370" s="4027">
        <f t="shared" si="167"/>
        <v>315703.44100000005</v>
      </c>
      <c r="O370" s="4027">
        <f t="shared" si="167"/>
        <v>1907101</v>
      </c>
      <c r="P370" s="4027">
        <f t="shared" si="167"/>
        <v>0</v>
      </c>
      <c r="Q370" s="4027">
        <f t="shared" si="167"/>
        <v>1587824</v>
      </c>
      <c r="R370" s="4027">
        <f t="shared" si="167"/>
        <v>319277</v>
      </c>
      <c r="S370" s="4027">
        <f t="shared" si="167"/>
        <v>1368219</v>
      </c>
      <c r="T370" s="4027">
        <f t="shared" si="167"/>
        <v>0</v>
      </c>
      <c r="U370" s="4027">
        <f t="shared" si="167"/>
        <v>1230392</v>
      </c>
      <c r="V370" s="4027">
        <f t="shared" si="167"/>
        <v>137827</v>
      </c>
    </row>
    <row r="371" spans="1:22" s="4000" customFormat="1">
      <c r="A371" s="4101">
        <v>1</v>
      </c>
      <c r="B371" s="4119" t="s">
        <v>3122</v>
      </c>
      <c r="C371" s="4161"/>
      <c r="D371" s="4161"/>
      <c r="E371" s="4161"/>
      <c r="F371" s="4161"/>
      <c r="G371" s="4162">
        <f t="shared" ref="G371:V371" si="168">G372+G374</f>
        <v>5782242.6550000012</v>
      </c>
      <c r="H371" s="4162">
        <f t="shared" si="168"/>
        <v>0</v>
      </c>
      <c r="I371" s="4162">
        <f t="shared" si="168"/>
        <v>4964200</v>
      </c>
      <c r="J371" s="4162">
        <f t="shared" si="168"/>
        <v>818042.65500000003</v>
      </c>
      <c r="K371" s="4162">
        <f t="shared" si="168"/>
        <v>1818284.7621436999</v>
      </c>
      <c r="L371" s="4162">
        <f t="shared" si="168"/>
        <v>0</v>
      </c>
      <c r="M371" s="4162">
        <f t="shared" si="168"/>
        <v>1502581.3211436998</v>
      </c>
      <c r="N371" s="4163">
        <f t="shared" si="168"/>
        <v>315703.44100000005</v>
      </c>
      <c r="O371" s="4162">
        <f t="shared" si="168"/>
        <v>1907101</v>
      </c>
      <c r="P371" s="4162">
        <f t="shared" si="168"/>
        <v>0</v>
      </c>
      <c r="Q371" s="4162">
        <f t="shared" si="168"/>
        <v>1587824</v>
      </c>
      <c r="R371" s="4162">
        <f t="shared" si="168"/>
        <v>319277</v>
      </c>
      <c r="S371" s="4163">
        <f t="shared" si="168"/>
        <v>1368219</v>
      </c>
      <c r="T371" s="4162">
        <f t="shared" si="168"/>
        <v>0</v>
      </c>
      <c r="U371" s="4162">
        <f t="shared" si="168"/>
        <v>1230392</v>
      </c>
      <c r="V371" s="4162">
        <f t="shared" si="168"/>
        <v>137827</v>
      </c>
    </row>
    <row r="372" spans="1:22" s="4000" customFormat="1" ht="46.8">
      <c r="A372" s="4101" t="s">
        <v>34</v>
      </c>
      <c r="B372" s="4119" t="s">
        <v>3266</v>
      </c>
      <c r="C372" s="4161"/>
      <c r="D372" s="4161"/>
      <c r="E372" s="4161"/>
      <c r="F372" s="4161"/>
      <c r="G372" s="4162">
        <f>G373</f>
        <v>328156.66700000002</v>
      </c>
      <c r="H372" s="4162">
        <f t="shared" ref="H372:V372" si="169">H373</f>
        <v>0</v>
      </c>
      <c r="I372" s="4162">
        <f t="shared" si="169"/>
        <v>0</v>
      </c>
      <c r="J372" s="4162">
        <f t="shared" si="169"/>
        <v>328156.66700000002</v>
      </c>
      <c r="K372" s="4162">
        <f t="shared" si="169"/>
        <v>299855.13700000005</v>
      </c>
      <c r="L372" s="4162">
        <f t="shared" si="169"/>
        <v>0</v>
      </c>
      <c r="M372" s="4162">
        <f t="shared" si="169"/>
        <v>0</v>
      </c>
      <c r="N372" s="4163">
        <f t="shared" si="169"/>
        <v>299855.13700000005</v>
      </c>
      <c r="O372" s="4162">
        <f t="shared" si="169"/>
        <v>289057</v>
      </c>
      <c r="P372" s="4162">
        <f t="shared" si="169"/>
        <v>0</v>
      </c>
      <c r="Q372" s="4162">
        <f t="shared" si="169"/>
        <v>0</v>
      </c>
      <c r="R372" s="4162">
        <f t="shared" si="169"/>
        <v>289057</v>
      </c>
      <c r="S372" s="4163">
        <f t="shared" si="169"/>
        <v>13319</v>
      </c>
      <c r="T372" s="4162">
        <f t="shared" si="169"/>
        <v>0</v>
      </c>
      <c r="U372" s="4162">
        <f t="shared" si="169"/>
        <v>0</v>
      </c>
      <c r="V372" s="4162">
        <f t="shared" si="169"/>
        <v>13319</v>
      </c>
    </row>
    <row r="373" spans="1:22" s="4002" customFormat="1" ht="39.75" customHeight="1">
      <c r="A373" s="3987">
        <v>1</v>
      </c>
      <c r="B373" s="4034" t="s">
        <v>3272</v>
      </c>
      <c r="C373" s="4047" t="s">
        <v>3273</v>
      </c>
      <c r="D373" s="4047" t="s">
        <v>3274</v>
      </c>
      <c r="E373" s="4102" t="s">
        <v>2920</v>
      </c>
      <c r="F373" s="4047" t="s">
        <v>3275</v>
      </c>
      <c r="G373" s="4164">
        <v>328156.66700000002</v>
      </c>
      <c r="H373" s="4164"/>
      <c r="I373" s="4164"/>
      <c r="J373" s="4164">
        <v>328156.66700000002</v>
      </c>
      <c r="K373" s="4164">
        <v>299855.13700000005</v>
      </c>
      <c r="L373" s="4164"/>
      <c r="M373" s="4164"/>
      <c r="N373" s="4165">
        <v>299855.13700000005</v>
      </c>
      <c r="O373" s="4164">
        <v>289057</v>
      </c>
      <c r="P373" s="4164"/>
      <c r="Q373" s="4164"/>
      <c r="R373" s="4164">
        <v>289057</v>
      </c>
      <c r="S373" s="4165">
        <v>13319</v>
      </c>
      <c r="T373" s="4164"/>
      <c r="U373" s="4164"/>
      <c r="V373" s="4164">
        <v>13319</v>
      </c>
    </row>
    <row r="374" spans="1:22" s="4000" customFormat="1" ht="31.2">
      <c r="A374" s="4101" t="s">
        <v>35</v>
      </c>
      <c r="B374" s="4119" t="s">
        <v>2871</v>
      </c>
      <c r="C374" s="4161"/>
      <c r="D374" s="4161"/>
      <c r="E374" s="4161"/>
      <c r="F374" s="4161"/>
      <c r="G374" s="4162">
        <f t="shared" ref="G374:V374" si="170">G375+G376+G377+G378+G379+G380</f>
        <v>5454085.9880000008</v>
      </c>
      <c r="H374" s="4162">
        <f t="shared" si="170"/>
        <v>0</v>
      </c>
      <c r="I374" s="4162">
        <f t="shared" si="170"/>
        <v>4964200</v>
      </c>
      <c r="J374" s="4162">
        <f t="shared" si="170"/>
        <v>489885.98800000001</v>
      </c>
      <c r="K374" s="4162">
        <f t="shared" si="170"/>
        <v>1518429.6251436998</v>
      </c>
      <c r="L374" s="4162">
        <f t="shared" si="170"/>
        <v>0</v>
      </c>
      <c r="M374" s="4162">
        <f t="shared" si="170"/>
        <v>1502581.3211436998</v>
      </c>
      <c r="N374" s="4163">
        <f t="shared" si="170"/>
        <v>15848.304</v>
      </c>
      <c r="O374" s="4162">
        <f t="shared" si="170"/>
        <v>1618044</v>
      </c>
      <c r="P374" s="4162">
        <f t="shared" si="170"/>
        <v>0</v>
      </c>
      <c r="Q374" s="4162">
        <f t="shared" si="170"/>
        <v>1587824</v>
      </c>
      <c r="R374" s="4162">
        <f t="shared" si="170"/>
        <v>30220</v>
      </c>
      <c r="S374" s="4163">
        <f t="shared" si="170"/>
        <v>1354900</v>
      </c>
      <c r="T374" s="4162">
        <f t="shared" si="170"/>
        <v>0</v>
      </c>
      <c r="U374" s="4162">
        <f t="shared" si="170"/>
        <v>1230392</v>
      </c>
      <c r="V374" s="4162">
        <f t="shared" si="170"/>
        <v>124508</v>
      </c>
    </row>
    <row r="375" spans="1:22" s="4002" customFormat="1" ht="62.4">
      <c r="A375" s="3987">
        <v>1</v>
      </c>
      <c r="B375" s="4034" t="s">
        <v>3276</v>
      </c>
      <c r="C375" s="4047" t="s">
        <v>3105</v>
      </c>
      <c r="D375" s="4047" t="s">
        <v>3277</v>
      </c>
      <c r="E375" s="4047" t="s">
        <v>3278</v>
      </c>
      <c r="F375" s="4047" t="s">
        <v>3279</v>
      </c>
      <c r="G375" s="4164">
        <v>3640000</v>
      </c>
      <c r="H375" s="4164"/>
      <c r="I375" s="4164">
        <v>3640000</v>
      </c>
      <c r="J375" s="4164"/>
      <c r="K375" s="4164">
        <v>825622.02300000004</v>
      </c>
      <c r="L375" s="4164"/>
      <c r="M375" s="4164">
        <v>825622.02300000004</v>
      </c>
      <c r="N375" s="4165"/>
      <c r="O375" s="4164">
        <v>890755</v>
      </c>
      <c r="P375" s="4164"/>
      <c r="Q375" s="4164">
        <v>890755</v>
      </c>
      <c r="R375" s="4164"/>
      <c r="S375" s="4165">
        <v>882000</v>
      </c>
      <c r="T375" s="4164"/>
      <c r="U375" s="4164">
        <v>882000</v>
      </c>
      <c r="V375" s="4164"/>
    </row>
    <row r="376" spans="1:22" s="4002" customFormat="1" ht="46.5" customHeight="1">
      <c r="A376" s="3987">
        <v>2</v>
      </c>
      <c r="B376" s="4034" t="s">
        <v>3280</v>
      </c>
      <c r="C376" s="4047" t="s">
        <v>3281</v>
      </c>
      <c r="D376" s="4047" t="s">
        <v>3282</v>
      </c>
      <c r="E376" s="4047" t="s">
        <v>2887</v>
      </c>
      <c r="F376" s="4047" t="s">
        <v>3283</v>
      </c>
      <c r="G376" s="4164">
        <v>991810.06900000002</v>
      </c>
      <c r="H376" s="4164"/>
      <c r="I376" s="4164">
        <v>880000</v>
      </c>
      <c r="J376" s="4164">
        <v>111810.06900000002</v>
      </c>
      <c r="K376" s="4164">
        <v>430396.98800000001</v>
      </c>
      <c r="L376" s="4164"/>
      <c r="M376" s="4164">
        <v>426686.98800000001</v>
      </c>
      <c r="N376" s="4165">
        <v>3710</v>
      </c>
      <c r="O376" s="4164">
        <v>451779</v>
      </c>
      <c r="P376" s="4164"/>
      <c r="Q376" s="4164">
        <v>448069</v>
      </c>
      <c r="R376" s="4164">
        <v>3710</v>
      </c>
      <c r="S376" s="4165">
        <v>230000</v>
      </c>
      <c r="T376" s="4164"/>
      <c r="U376" s="4164">
        <v>230000</v>
      </c>
      <c r="V376" s="4164"/>
    </row>
    <row r="377" spans="1:22" s="4002" customFormat="1" ht="46.5" customHeight="1">
      <c r="A377" s="3987">
        <v>3</v>
      </c>
      <c r="B377" s="4034" t="s">
        <v>3284</v>
      </c>
      <c r="C377" s="4047" t="s">
        <v>3285</v>
      </c>
      <c r="D377" s="4047" t="s">
        <v>3286</v>
      </c>
      <c r="E377" s="4047" t="s">
        <v>2892</v>
      </c>
      <c r="F377" s="4047" t="s">
        <v>3287</v>
      </c>
      <c r="G377" s="4164">
        <v>341610</v>
      </c>
      <c r="H377" s="4164"/>
      <c r="I377" s="4164">
        <v>294200</v>
      </c>
      <c r="J377" s="4164">
        <v>47410</v>
      </c>
      <c r="K377" s="4164">
        <v>170579.94700000001</v>
      </c>
      <c r="L377" s="4164"/>
      <c r="M377" s="4164">
        <v>166369.94700000001</v>
      </c>
      <c r="N377" s="4165">
        <v>4210</v>
      </c>
      <c r="O377" s="4164">
        <v>181210</v>
      </c>
      <c r="P377" s="4164"/>
      <c r="Q377" s="4164">
        <v>177000</v>
      </c>
      <c r="R377" s="4164">
        <v>4210</v>
      </c>
      <c r="S377" s="4165">
        <v>64800</v>
      </c>
      <c r="T377" s="4164">
        <v>0</v>
      </c>
      <c r="U377" s="4164">
        <v>52392</v>
      </c>
      <c r="V377" s="4164">
        <v>12408</v>
      </c>
    </row>
    <row r="378" spans="1:22" s="4002" customFormat="1" ht="62.4">
      <c r="A378" s="3987">
        <v>4</v>
      </c>
      <c r="B378" s="4034" t="s">
        <v>3288</v>
      </c>
      <c r="C378" s="4047" t="s">
        <v>2885</v>
      </c>
      <c r="D378" s="4047" t="s">
        <v>3289</v>
      </c>
      <c r="E378" s="4047" t="s">
        <v>2892</v>
      </c>
      <c r="F378" s="4047" t="s">
        <v>3290</v>
      </c>
      <c r="G378" s="4164">
        <v>165402.51300000001</v>
      </c>
      <c r="H378" s="4164"/>
      <c r="I378" s="4164">
        <v>150000</v>
      </c>
      <c r="J378" s="4164">
        <v>15402.513000000006</v>
      </c>
      <c r="K378" s="4164">
        <v>83902.3631437</v>
      </c>
      <c r="L378" s="4164"/>
      <c r="M378" s="4164">
        <v>83902.3631437</v>
      </c>
      <c r="N378" s="4165"/>
      <c r="O378" s="4164">
        <v>72000</v>
      </c>
      <c r="P378" s="4164"/>
      <c r="Q378" s="4164">
        <v>72000</v>
      </c>
      <c r="R378" s="4164"/>
      <c r="S378" s="4165">
        <v>66000</v>
      </c>
      <c r="T378" s="4164"/>
      <c r="U378" s="4164">
        <v>66000</v>
      </c>
      <c r="V378" s="4164"/>
    </row>
    <row r="379" spans="1:22" s="4002" customFormat="1" ht="62.4">
      <c r="A379" s="3987">
        <v>5</v>
      </c>
      <c r="B379" s="4034" t="s">
        <v>3291</v>
      </c>
      <c r="C379" s="4047" t="s">
        <v>3031</v>
      </c>
      <c r="D379" s="4047" t="s">
        <v>3292</v>
      </c>
      <c r="E379" s="4047" t="s">
        <v>3058</v>
      </c>
      <c r="F379" s="4047" t="s">
        <v>3293</v>
      </c>
      <c r="G379" s="4164">
        <v>199552.42600000001</v>
      </c>
      <c r="H379" s="4164"/>
      <c r="I379" s="4164"/>
      <c r="J379" s="4164">
        <v>199552.42600000001</v>
      </c>
      <c r="K379" s="4164">
        <v>4763.1000000000004</v>
      </c>
      <c r="L379" s="4164"/>
      <c r="M379" s="4164"/>
      <c r="N379" s="4165">
        <v>4763.1000000000004</v>
      </c>
      <c r="O379" s="4164">
        <v>4600</v>
      </c>
      <c r="P379" s="4164"/>
      <c r="Q379" s="4164"/>
      <c r="R379" s="4164">
        <v>4600</v>
      </c>
      <c r="S379" s="4165">
        <v>40000</v>
      </c>
      <c r="T379" s="4164"/>
      <c r="U379" s="4164"/>
      <c r="V379" s="4164">
        <v>40000</v>
      </c>
    </row>
    <row r="380" spans="1:22" s="4002" customFormat="1" ht="51" customHeight="1">
      <c r="A380" s="3987">
        <v>6</v>
      </c>
      <c r="B380" s="4034" t="s">
        <v>3294</v>
      </c>
      <c r="C380" s="4047" t="s">
        <v>2885</v>
      </c>
      <c r="D380" s="4047" t="s">
        <v>3295</v>
      </c>
      <c r="E380" s="4047" t="s">
        <v>2892</v>
      </c>
      <c r="F380" s="4047" t="s">
        <v>3296</v>
      </c>
      <c r="G380" s="4164">
        <v>115710.98</v>
      </c>
      <c r="H380" s="4164"/>
      <c r="I380" s="4164"/>
      <c r="J380" s="4164">
        <v>115710.98</v>
      </c>
      <c r="K380" s="4164">
        <v>3165.2039999999993</v>
      </c>
      <c r="L380" s="4164"/>
      <c r="M380" s="4164"/>
      <c r="N380" s="4165">
        <v>3165.2039999999993</v>
      </c>
      <c r="O380" s="4164">
        <v>17700</v>
      </c>
      <c r="P380" s="4164"/>
      <c r="Q380" s="4164"/>
      <c r="R380" s="4164">
        <v>17700</v>
      </c>
      <c r="S380" s="4165">
        <v>72100</v>
      </c>
      <c r="T380" s="4164"/>
      <c r="U380" s="4164"/>
      <c r="V380" s="4164">
        <v>72100</v>
      </c>
    </row>
    <row r="381" spans="1:22" s="1577" customFormat="1">
      <c r="A381" s="4009" t="s">
        <v>49</v>
      </c>
      <c r="B381" s="4010" t="s">
        <v>2846</v>
      </c>
      <c r="C381" s="4035"/>
      <c r="D381" s="4035"/>
      <c r="E381" s="4035"/>
      <c r="F381" s="4035"/>
      <c r="G381" s="4027">
        <f t="shared" ref="G381:V382" si="171">G382</f>
        <v>102400.7</v>
      </c>
      <c r="H381" s="4027">
        <f t="shared" si="171"/>
        <v>0</v>
      </c>
      <c r="I381" s="4027">
        <f t="shared" si="171"/>
        <v>0</v>
      </c>
      <c r="J381" s="4027">
        <f t="shared" si="171"/>
        <v>102400.7</v>
      </c>
      <c r="K381" s="4027">
        <f t="shared" si="171"/>
        <v>13500</v>
      </c>
      <c r="L381" s="4027">
        <f t="shared" si="171"/>
        <v>0</v>
      </c>
      <c r="M381" s="4027">
        <f t="shared" si="171"/>
        <v>0</v>
      </c>
      <c r="N381" s="4027">
        <f t="shared" si="171"/>
        <v>13500</v>
      </c>
      <c r="O381" s="4027">
        <f t="shared" si="171"/>
        <v>13500</v>
      </c>
      <c r="P381" s="4027">
        <f t="shared" si="171"/>
        <v>0</v>
      </c>
      <c r="Q381" s="4027">
        <f t="shared" si="171"/>
        <v>0</v>
      </c>
      <c r="R381" s="4027">
        <f t="shared" si="171"/>
        <v>13500</v>
      </c>
      <c r="S381" s="4027">
        <f t="shared" si="171"/>
        <v>22620</v>
      </c>
      <c r="T381" s="4027">
        <f t="shared" si="171"/>
        <v>0</v>
      </c>
      <c r="U381" s="4027">
        <f t="shared" si="171"/>
        <v>0</v>
      </c>
      <c r="V381" s="4027">
        <f>V382</f>
        <v>22620</v>
      </c>
    </row>
    <row r="382" spans="1:22" s="248" customFormat="1">
      <c r="A382" s="4009">
        <v>1</v>
      </c>
      <c r="B382" s="4010" t="s">
        <v>3122</v>
      </c>
      <c r="C382" s="4009"/>
      <c r="D382" s="4009"/>
      <c r="E382" s="4009"/>
      <c r="F382" s="4009"/>
      <c r="G382" s="4027">
        <f t="shared" si="171"/>
        <v>102400.7</v>
      </c>
      <c r="H382" s="4027">
        <f t="shared" si="171"/>
        <v>0</v>
      </c>
      <c r="I382" s="4027">
        <f t="shared" si="171"/>
        <v>0</v>
      </c>
      <c r="J382" s="4027">
        <f t="shared" si="171"/>
        <v>102400.7</v>
      </c>
      <c r="K382" s="4027">
        <f t="shared" si="171"/>
        <v>13500</v>
      </c>
      <c r="L382" s="4027">
        <f t="shared" si="171"/>
        <v>0</v>
      </c>
      <c r="M382" s="4027">
        <f t="shared" si="171"/>
        <v>0</v>
      </c>
      <c r="N382" s="4027">
        <f t="shared" si="171"/>
        <v>13500</v>
      </c>
      <c r="O382" s="4027">
        <f t="shared" si="171"/>
        <v>13500</v>
      </c>
      <c r="P382" s="4027">
        <f t="shared" si="171"/>
        <v>0</v>
      </c>
      <c r="Q382" s="4027">
        <f t="shared" si="171"/>
        <v>0</v>
      </c>
      <c r="R382" s="4027">
        <f t="shared" si="171"/>
        <v>13500</v>
      </c>
      <c r="S382" s="4027">
        <f t="shared" si="171"/>
        <v>22620</v>
      </c>
      <c r="T382" s="4027">
        <f t="shared" si="171"/>
        <v>0</v>
      </c>
      <c r="U382" s="4027">
        <f t="shared" si="171"/>
        <v>0</v>
      </c>
      <c r="V382" s="4027">
        <f t="shared" si="171"/>
        <v>22620</v>
      </c>
    </row>
    <row r="383" spans="1:22" ht="31.2">
      <c r="A383" s="4009" t="s">
        <v>34</v>
      </c>
      <c r="B383" s="4028" t="s">
        <v>2871</v>
      </c>
      <c r="C383" s="4009"/>
      <c r="D383" s="4009"/>
      <c r="E383" s="4009"/>
      <c r="F383" s="4009"/>
      <c r="G383" s="4029">
        <f t="shared" ref="G383:U383" si="172">SUM(G384:G386)</f>
        <v>102400.7</v>
      </c>
      <c r="H383" s="4029">
        <f t="shared" si="172"/>
        <v>0</v>
      </c>
      <c r="I383" s="4029">
        <f t="shared" si="172"/>
        <v>0</v>
      </c>
      <c r="J383" s="4029">
        <f t="shared" si="172"/>
        <v>102400.7</v>
      </c>
      <c r="K383" s="4029">
        <f t="shared" si="172"/>
        <v>13500</v>
      </c>
      <c r="L383" s="4029">
        <f t="shared" si="172"/>
        <v>0</v>
      </c>
      <c r="M383" s="4029">
        <f t="shared" si="172"/>
        <v>0</v>
      </c>
      <c r="N383" s="4029">
        <f t="shared" si="172"/>
        <v>13500</v>
      </c>
      <c r="O383" s="4029">
        <f t="shared" si="172"/>
        <v>13500</v>
      </c>
      <c r="P383" s="4029">
        <f t="shared" si="172"/>
        <v>0</v>
      </c>
      <c r="Q383" s="4029">
        <f t="shared" si="172"/>
        <v>0</v>
      </c>
      <c r="R383" s="4029">
        <f t="shared" si="172"/>
        <v>13500</v>
      </c>
      <c r="S383" s="4029">
        <f t="shared" si="172"/>
        <v>22620</v>
      </c>
      <c r="T383" s="4029">
        <f t="shared" si="172"/>
        <v>0</v>
      </c>
      <c r="U383" s="4029">
        <f t="shared" si="172"/>
        <v>0</v>
      </c>
      <c r="V383" s="4029">
        <f>SUM(V384:V386)</f>
        <v>22620</v>
      </c>
    </row>
    <row r="384" spans="1:22" s="2137" customFormat="1" ht="42" customHeight="1">
      <c r="A384" s="4041">
        <v>1</v>
      </c>
      <c r="B384" s="4040" t="s">
        <v>3297</v>
      </c>
      <c r="C384" s="4043" t="s">
        <v>3298</v>
      </c>
      <c r="D384" s="3987" t="s">
        <v>3299</v>
      </c>
      <c r="E384" s="4041" t="s">
        <v>2915</v>
      </c>
      <c r="F384" s="4048" t="s">
        <v>3300</v>
      </c>
      <c r="G384" s="3990">
        <v>20690</v>
      </c>
      <c r="H384" s="4050"/>
      <c r="I384" s="4050"/>
      <c r="J384" s="3990">
        <v>20690</v>
      </c>
      <c r="K384" s="4123">
        <v>13500</v>
      </c>
      <c r="L384" s="4050"/>
      <c r="M384" s="4050"/>
      <c r="N384" s="4123">
        <v>13500</v>
      </c>
      <c r="O384" s="4123">
        <v>13500</v>
      </c>
      <c r="P384" s="4050"/>
      <c r="Q384" s="4050"/>
      <c r="R384" s="4123">
        <v>13500</v>
      </c>
      <c r="S384" s="3990">
        <v>3500</v>
      </c>
      <c r="T384" s="4050"/>
      <c r="U384" s="4050"/>
      <c r="V384" s="3990">
        <v>3500</v>
      </c>
    </row>
    <row r="385" spans="1:22" s="2137" customFormat="1" ht="42" customHeight="1">
      <c r="A385" s="4041">
        <v>2</v>
      </c>
      <c r="B385" s="4040" t="s">
        <v>3301</v>
      </c>
      <c r="C385" s="4043" t="s">
        <v>3298</v>
      </c>
      <c r="D385" s="4122" t="s">
        <v>3302</v>
      </c>
      <c r="E385" s="4041" t="s">
        <v>2920</v>
      </c>
      <c r="F385" s="4048" t="s">
        <v>3303</v>
      </c>
      <c r="G385" s="3990">
        <v>58831</v>
      </c>
      <c r="H385" s="4050"/>
      <c r="I385" s="4050"/>
      <c r="J385" s="3990">
        <v>58831</v>
      </c>
      <c r="K385" s="4123">
        <v>0</v>
      </c>
      <c r="L385" s="4050"/>
      <c r="M385" s="4050"/>
      <c r="N385" s="4123">
        <v>0</v>
      </c>
      <c r="O385" s="4123">
        <v>0</v>
      </c>
      <c r="P385" s="4050"/>
      <c r="Q385" s="4050"/>
      <c r="R385" s="4123">
        <v>0</v>
      </c>
      <c r="S385" s="3990">
        <v>10300</v>
      </c>
      <c r="T385" s="4050"/>
      <c r="U385" s="4050"/>
      <c r="V385" s="3990">
        <v>10300</v>
      </c>
    </row>
    <row r="386" spans="1:22" s="2137" customFormat="1" ht="32.25" customHeight="1">
      <c r="A386" s="4041">
        <v>3</v>
      </c>
      <c r="B386" s="4040" t="s">
        <v>3304</v>
      </c>
      <c r="C386" s="4043" t="s">
        <v>2929</v>
      </c>
      <c r="D386" s="3987" t="s">
        <v>3305</v>
      </c>
      <c r="E386" s="4041" t="s">
        <v>3092</v>
      </c>
      <c r="F386" s="4048" t="s">
        <v>3306</v>
      </c>
      <c r="G386" s="3990">
        <v>22879.7</v>
      </c>
      <c r="H386" s="4050"/>
      <c r="I386" s="4050"/>
      <c r="J386" s="3990">
        <v>22879.7</v>
      </c>
      <c r="K386" s="4123">
        <v>0</v>
      </c>
      <c r="L386" s="4050"/>
      <c r="M386" s="4050"/>
      <c r="N386" s="4123">
        <v>0</v>
      </c>
      <c r="O386" s="4123">
        <v>0</v>
      </c>
      <c r="P386" s="4050"/>
      <c r="Q386" s="4050"/>
      <c r="R386" s="4123">
        <v>0</v>
      </c>
      <c r="S386" s="3990">
        <v>8820</v>
      </c>
      <c r="T386" s="4050"/>
      <c r="U386" s="4050"/>
      <c r="V386" s="3990">
        <v>8820</v>
      </c>
    </row>
    <row r="387" spans="1:22" s="1577" customFormat="1">
      <c r="A387" s="4009" t="s">
        <v>50</v>
      </c>
      <c r="B387" s="4010" t="s">
        <v>2848</v>
      </c>
      <c r="C387" s="4035"/>
      <c r="D387" s="4035"/>
      <c r="E387" s="4035"/>
      <c r="F387" s="4035"/>
      <c r="G387" s="4027">
        <f t="shared" ref="G387:V388" si="173">G388</f>
        <v>133466.37299999999</v>
      </c>
      <c r="H387" s="4027">
        <f t="shared" si="173"/>
        <v>0</v>
      </c>
      <c r="I387" s="4027">
        <f t="shared" si="173"/>
        <v>0</v>
      </c>
      <c r="J387" s="4027">
        <f t="shared" si="173"/>
        <v>133466.37299999999</v>
      </c>
      <c r="K387" s="4027">
        <f t="shared" si="173"/>
        <v>22507.739999999998</v>
      </c>
      <c r="L387" s="4027">
        <f t="shared" si="173"/>
        <v>0</v>
      </c>
      <c r="M387" s="4027">
        <f t="shared" si="173"/>
        <v>0</v>
      </c>
      <c r="N387" s="4027">
        <f t="shared" si="173"/>
        <v>22507.739999999998</v>
      </c>
      <c r="O387" s="4027">
        <f t="shared" si="173"/>
        <v>47630</v>
      </c>
      <c r="P387" s="4027">
        <f t="shared" si="173"/>
        <v>0</v>
      </c>
      <c r="Q387" s="4027">
        <f t="shared" si="173"/>
        <v>0</v>
      </c>
      <c r="R387" s="4027">
        <f t="shared" si="173"/>
        <v>47630</v>
      </c>
      <c r="S387" s="4027">
        <f t="shared" si="173"/>
        <v>9370</v>
      </c>
      <c r="T387" s="4027">
        <f t="shared" si="173"/>
        <v>0</v>
      </c>
      <c r="U387" s="4027">
        <f t="shared" si="173"/>
        <v>0</v>
      </c>
      <c r="V387" s="4027">
        <f>V388</f>
        <v>9370</v>
      </c>
    </row>
    <row r="388" spans="1:22" s="248" customFormat="1">
      <c r="A388" s="4009">
        <v>1</v>
      </c>
      <c r="B388" s="4010" t="s">
        <v>3122</v>
      </c>
      <c r="C388" s="4009"/>
      <c r="D388" s="4009"/>
      <c r="E388" s="4009"/>
      <c r="F388" s="4009"/>
      <c r="G388" s="4027">
        <f t="shared" si="173"/>
        <v>133466.37299999999</v>
      </c>
      <c r="H388" s="4027">
        <f t="shared" si="173"/>
        <v>0</v>
      </c>
      <c r="I388" s="4027">
        <f t="shared" si="173"/>
        <v>0</v>
      </c>
      <c r="J388" s="4027">
        <f t="shared" si="173"/>
        <v>133466.37299999999</v>
      </c>
      <c r="K388" s="4027">
        <f t="shared" si="173"/>
        <v>22507.739999999998</v>
      </c>
      <c r="L388" s="4027">
        <f t="shared" si="173"/>
        <v>0</v>
      </c>
      <c r="M388" s="4027">
        <f t="shared" si="173"/>
        <v>0</v>
      </c>
      <c r="N388" s="4027">
        <f t="shared" si="173"/>
        <v>22507.739999999998</v>
      </c>
      <c r="O388" s="4027">
        <f t="shared" si="173"/>
        <v>47630</v>
      </c>
      <c r="P388" s="4027">
        <f t="shared" si="173"/>
        <v>0</v>
      </c>
      <c r="Q388" s="4027">
        <f t="shared" si="173"/>
        <v>0</v>
      </c>
      <c r="R388" s="4027">
        <f t="shared" si="173"/>
        <v>47630</v>
      </c>
      <c r="S388" s="4027">
        <f t="shared" si="173"/>
        <v>9370</v>
      </c>
      <c r="T388" s="4027">
        <f t="shared" si="173"/>
        <v>0</v>
      </c>
      <c r="U388" s="4027">
        <f t="shared" si="173"/>
        <v>0</v>
      </c>
      <c r="V388" s="4027">
        <f t="shared" si="173"/>
        <v>9370</v>
      </c>
    </row>
    <row r="389" spans="1:22" ht="31.2">
      <c r="A389" s="4009" t="s">
        <v>34</v>
      </c>
      <c r="B389" s="4028" t="s">
        <v>2871</v>
      </c>
      <c r="C389" s="4009"/>
      <c r="D389" s="4009"/>
      <c r="E389" s="4009"/>
      <c r="F389" s="4009"/>
      <c r="G389" s="4029">
        <f>SUM(G390:G391)</f>
        <v>133466.37299999999</v>
      </c>
      <c r="H389" s="4029">
        <f t="shared" ref="H389:V389" si="174">SUM(H390:H391)</f>
        <v>0</v>
      </c>
      <c r="I389" s="4029">
        <f t="shared" si="174"/>
        <v>0</v>
      </c>
      <c r="J389" s="4029">
        <f t="shared" si="174"/>
        <v>133466.37299999999</v>
      </c>
      <c r="K389" s="4029">
        <f t="shared" si="174"/>
        <v>22507.739999999998</v>
      </c>
      <c r="L389" s="4029">
        <f t="shared" si="174"/>
        <v>0</v>
      </c>
      <c r="M389" s="4029">
        <f t="shared" si="174"/>
        <v>0</v>
      </c>
      <c r="N389" s="4029">
        <f t="shared" si="174"/>
        <v>22507.739999999998</v>
      </c>
      <c r="O389" s="4029">
        <f t="shared" si="174"/>
        <v>47630</v>
      </c>
      <c r="P389" s="4029">
        <f t="shared" si="174"/>
        <v>0</v>
      </c>
      <c r="Q389" s="4029">
        <f t="shared" si="174"/>
        <v>0</v>
      </c>
      <c r="R389" s="4029">
        <f t="shared" si="174"/>
        <v>47630</v>
      </c>
      <c r="S389" s="4029">
        <f t="shared" si="174"/>
        <v>9370</v>
      </c>
      <c r="T389" s="4029">
        <f t="shared" si="174"/>
        <v>0</v>
      </c>
      <c r="U389" s="4029">
        <f t="shared" si="174"/>
        <v>0</v>
      </c>
      <c r="V389" s="4029">
        <f t="shared" si="174"/>
        <v>9370</v>
      </c>
    </row>
    <row r="390" spans="1:22" s="3997" customFormat="1" ht="26.25" customHeight="1">
      <c r="A390" s="4036">
        <v>1</v>
      </c>
      <c r="B390" s="4053" t="s">
        <v>3307</v>
      </c>
      <c r="C390" s="4166" t="s">
        <v>2970</v>
      </c>
      <c r="D390" s="3987" t="s">
        <v>3308</v>
      </c>
      <c r="E390" s="4055" t="s">
        <v>3309</v>
      </c>
      <c r="F390" s="4041" t="s">
        <v>3310</v>
      </c>
      <c r="G390" s="4070">
        <v>53942.923999999999</v>
      </c>
      <c r="H390" s="4070"/>
      <c r="I390" s="4070"/>
      <c r="J390" s="4070">
        <v>53942.923999999999</v>
      </c>
      <c r="K390" s="4070">
        <f>L390+M390+N390</f>
        <v>16682.337</v>
      </c>
      <c r="L390" s="4070"/>
      <c r="M390" s="4070"/>
      <c r="N390" s="3990">
        <v>16682.337</v>
      </c>
      <c r="O390" s="4070">
        <f>P390+Q390+R390</f>
        <v>23000</v>
      </c>
      <c r="P390" s="4070"/>
      <c r="Q390" s="4070"/>
      <c r="R390" s="4070">
        <v>23000</v>
      </c>
      <c r="S390" s="3990">
        <f>T390+U390+V390</f>
        <v>7000</v>
      </c>
      <c r="T390" s="4070"/>
      <c r="U390" s="4070"/>
      <c r="V390" s="4070">
        <v>7000</v>
      </c>
    </row>
    <row r="391" spans="1:22" s="3997" customFormat="1" ht="26.25" customHeight="1">
      <c r="A391" s="4036">
        <v>2</v>
      </c>
      <c r="B391" s="4167" t="s">
        <v>3311</v>
      </c>
      <c r="C391" s="4166" t="s">
        <v>3312</v>
      </c>
      <c r="D391" s="3987" t="s">
        <v>3308</v>
      </c>
      <c r="E391" s="4055" t="s">
        <v>3155</v>
      </c>
      <c r="F391" s="4041" t="s">
        <v>3313</v>
      </c>
      <c r="G391" s="4070">
        <v>79523.448999999993</v>
      </c>
      <c r="H391" s="4070"/>
      <c r="I391" s="4070"/>
      <c r="J391" s="4070">
        <v>79523.448999999993</v>
      </c>
      <c r="K391" s="4070">
        <f>L391+M391+N391</f>
        <v>5825.4030000000002</v>
      </c>
      <c r="L391" s="4070"/>
      <c r="M391" s="4070"/>
      <c r="N391" s="3990">
        <v>5825.4030000000002</v>
      </c>
      <c r="O391" s="4070">
        <f>P391+Q391+R391</f>
        <v>24630</v>
      </c>
      <c r="P391" s="4070"/>
      <c r="Q391" s="4070"/>
      <c r="R391" s="4070">
        <v>24630</v>
      </c>
      <c r="S391" s="3990">
        <f>T391+U391+V391</f>
        <v>2370</v>
      </c>
      <c r="T391" s="4070"/>
      <c r="U391" s="4070"/>
      <c r="V391" s="4070">
        <v>2370</v>
      </c>
    </row>
    <row r="392" spans="1:22" s="1577" customFormat="1">
      <c r="A392" s="4009" t="s">
        <v>72</v>
      </c>
      <c r="B392" s="4010" t="s">
        <v>2851</v>
      </c>
      <c r="C392" s="4035"/>
      <c r="D392" s="4035"/>
      <c r="E392" s="4035"/>
      <c r="F392" s="4035"/>
      <c r="G392" s="4027">
        <f t="shared" ref="G392:V393" si="175">G393</f>
        <v>173383.12700000001</v>
      </c>
      <c r="H392" s="4027">
        <f t="shared" si="175"/>
        <v>0</v>
      </c>
      <c r="I392" s="4027">
        <f t="shared" si="175"/>
        <v>0</v>
      </c>
      <c r="J392" s="4027">
        <f t="shared" si="175"/>
        <v>173383.12700000001</v>
      </c>
      <c r="K392" s="4027">
        <f t="shared" si="175"/>
        <v>49786</v>
      </c>
      <c r="L392" s="4027">
        <f t="shared" si="175"/>
        <v>0</v>
      </c>
      <c r="M392" s="4027">
        <f t="shared" si="175"/>
        <v>0</v>
      </c>
      <c r="N392" s="4027">
        <f t="shared" si="175"/>
        <v>49786</v>
      </c>
      <c r="O392" s="4027">
        <f t="shared" si="175"/>
        <v>52936</v>
      </c>
      <c r="P392" s="4027">
        <f t="shared" si="175"/>
        <v>0</v>
      </c>
      <c r="Q392" s="4027">
        <f t="shared" si="175"/>
        <v>0</v>
      </c>
      <c r="R392" s="4027">
        <f t="shared" si="175"/>
        <v>52936</v>
      </c>
      <c r="S392" s="4027">
        <f t="shared" si="175"/>
        <v>37064</v>
      </c>
      <c r="T392" s="4027">
        <f t="shared" si="175"/>
        <v>0</v>
      </c>
      <c r="U392" s="4027">
        <f t="shared" si="175"/>
        <v>0</v>
      </c>
      <c r="V392" s="4027">
        <f>V393</f>
        <v>37064</v>
      </c>
    </row>
    <row r="393" spans="1:22" s="248" customFormat="1">
      <c r="A393" s="4009">
        <v>1</v>
      </c>
      <c r="B393" s="4010" t="s">
        <v>3122</v>
      </c>
      <c r="C393" s="4009"/>
      <c r="D393" s="4009"/>
      <c r="E393" s="4009"/>
      <c r="F393" s="4009"/>
      <c r="G393" s="4027">
        <f t="shared" si="175"/>
        <v>173383.12700000001</v>
      </c>
      <c r="H393" s="4027">
        <f t="shared" si="175"/>
        <v>0</v>
      </c>
      <c r="I393" s="4027">
        <f t="shared" si="175"/>
        <v>0</v>
      </c>
      <c r="J393" s="4027">
        <f t="shared" si="175"/>
        <v>173383.12700000001</v>
      </c>
      <c r="K393" s="4027">
        <f t="shared" si="175"/>
        <v>49786</v>
      </c>
      <c r="L393" s="4027">
        <f t="shared" si="175"/>
        <v>0</v>
      </c>
      <c r="M393" s="4027">
        <f t="shared" si="175"/>
        <v>0</v>
      </c>
      <c r="N393" s="4027">
        <f t="shared" si="175"/>
        <v>49786</v>
      </c>
      <c r="O393" s="4027">
        <f t="shared" si="175"/>
        <v>52936</v>
      </c>
      <c r="P393" s="4027">
        <f t="shared" si="175"/>
        <v>0</v>
      </c>
      <c r="Q393" s="4027">
        <f t="shared" si="175"/>
        <v>0</v>
      </c>
      <c r="R393" s="4027">
        <f t="shared" si="175"/>
        <v>52936</v>
      </c>
      <c r="S393" s="4027">
        <f t="shared" si="175"/>
        <v>37064</v>
      </c>
      <c r="T393" s="4027">
        <f t="shared" si="175"/>
        <v>0</v>
      </c>
      <c r="U393" s="4027">
        <f t="shared" si="175"/>
        <v>0</v>
      </c>
      <c r="V393" s="4027">
        <f t="shared" si="175"/>
        <v>37064</v>
      </c>
    </row>
    <row r="394" spans="1:22" ht="31.2">
      <c r="A394" s="4009" t="s">
        <v>34</v>
      </c>
      <c r="B394" s="4028" t="s">
        <v>2871</v>
      </c>
      <c r="C394" s="4009"/>
      <c r="D394" s="4009"/>
      <c r="E394" s="4009"/>
      <c r="F394" s="4009"/>
      <c r="G394" s="4029">
        <f>SUM(G395:G397)</f>
        <v>173383.12700000001</v>
      </c>
      <c r="H394" s="4029">
        <f t="shared" ref="H394:V394" si="176">SUM(H395:H397)</f>
        <v>0</v>
      </c>
      <c r="I394" s="4029">
        <f t="shared" si="176"/>
        <v>0</v>
      </c>
      <c r="J394" s="4029">
        <f t="shared" si="176"/>
        <v>173383.12700000001</v>
      </c>
      <c r="K394" s="4029">
        <f t="shared" si="176"/>
        <v>49786</v>
      </c>
      <c r="L394" s="4029">
        <f t="shared" si="176"/>
        <v>0</v>
      </c>
      <c r="M394" s="4029">
        <f t="shared" si="176"/>
        <v>0</v>
      </c>
      <c r="N394" s="4029">
        <f t="shared" si="176"/>
        <v>49786</v>
      </c>
      <c r="O394" s="4029">
        <f t="shared" si="176"/>
        <v>52936</v>
      </c>
      <c r="P394" s="4029">
        <f t="shared" si="176"/>
        <v>0</v>
      </c>
      <c r="Q394" s="4029">
        <f t="shared" si="176"/>
        <v>0</v>
      </c>
      <c r="R394" s="4029">
        <f t="shared" si="176"/>
        <v>52936</v>
      </c>
      <c r="S394" s="4029">
        <f t="shared" si="176"/>
        <v>37064</v>
      </c>
      <c r="T394" s="4029">
        <f t="shared" si="176"/>
        <v>0</v>
      </c>
      <c r="U394" s="4029">
        <f t="shared" si="176"/>
        <v>0</v>
      </c>
      <c r="V394" s="4029">
        <f t="shared" si="176"/>
        <v>37064</v>
      </c>
    </row>
    <row r="395" spans="1:22" s="4072" customFormat="1" ht="30" customHeight="1">
      <c r="A395" s="3987">
        <v>1</v>
      </c>
      <c r="B395" s="4066" t="s">
        <v>3321</v>
      </c>
      <c r="C395" s="4067" t="s">
        <v>3031</v>
      </c>
      <c r="D395" s="4067" t="s">
        <v>3322</v>
      </c>
      <c r="E395" s="4067" t="s">
        <v>2887</v>
      </c>
      <c r="F395" s="4067" t="s">
        <v>3323</v>
      </c>
      <c r="G395" s="4070">
        <v>23760.127</v>
      </c>
      <c r="H395" s="4071"/>
      <c r="I395" s="4071"/>
      <c r="J395" s="4070">
        <f t="shared" ref="J395:J397" si="177">G395</f>
        <v>23760.127</v>
      </c>
      <c r="K395" s="4070">
        <f t="shared" ref="K395:K397" si="178">SUM(L395:N395)</f>
        <v>10520</v>
      </c>
      <c r="L395" s="4071"/>
      <c r="M395" s="4071"/>
      <c r="N395" s="3990">
        <v>10520</v>
      </c>
      <c r="O395" s="4070">
        <f t="shared" ref="O395:O397" si="179">SUM(P395:R395)</f>
        <v>13670</v>
      </c>
      <c r="P395" s="4071"/>
      <c r="Q395" s="4071"/>
      <c r="R395" s="4070">
        <v>13670</v>
      </c>
      <c r="S395" s="3990">
        <f t="shared" ref="S395:S397" si="180">SUM(T395:V395)</f>
        <v>2000</v>
      </c>
      <c r="T395" s="4071"/>
      <c r="U395" s="4071"/>
      <c r="V395" s="4070">
        <v>2000</v>
      </c>
    </row>
    <row r="396" spans="1:22" s="4072" customFormat="1" ht="30" customHeight="1">
      <c r="A396" s="3987">
        <v>2</v>
      </c>
      <c r="B396" s="4066" t="s">
        <v>3324</v>
      </c>
      <c r="C396" s="4067" t="s">
        <v>3031</v>
      </c>
      <c r="D396" s="4067" t="s">
        <v>3322</v>
      </c>
      <c r="E396" s="4067" t="s">
        <v>2887</v>
      </c>
      <c r="F396" s="4067" t="s">
        <v>3325</v>
      </c>
      <c r="G396" s="4070">
        <v>14951</v>
      </c>
      <c r="H396" s="4071"/>
      <c r="I396" s="4071"/>
      <c r="J396" s="4070">
        <f t="shared" si="177"/>
        <v>14951</v>
      </c>
      <c r="K396" s="4070">
        <f t="shared" si="178"/>
        <v>8050</v>
      </c>
      <c r="L396" s="4071"/>
      <c r="M396" s="4071"/>
      <c r="N396" s="3990">
        <v>8050</v>
      </c>
      <c r="O396" s="4070">
        <f t="shared" si="179"/>
        <v>8050</v>
      </c>
      <c r="P396" s="4071"/>
      <c r="Q396" s="4071"/>
      <c r="R396" s="4070">
        <v>8050</v>
      </c>
      <c r="S396" s="3990">
        <f t="shared" si="180"/>
        <v>2700</v>
      </c>
      <c r="T396" s="4071"/>
      <c r="U396" s="4071"/>
      <c r="V396" s="4070">
        <v>2700</v>
      </c>
    </row>
    <row r="397" spans="1:22" s="4072" customFormat="1" ht="30" customHeight="1">
      <c r="A397" s="3987">
        <v>3</v>
      </c>
      <c r="B397" s="4066" t="s">
        <v>3326</v>
      </c>
      <c r="C397" s="4067" t="s">
        <v>3031</v>
      </c>
      <c r="D397" s="4067" t="s">
        <v>3327</v>
      </c>
      <c r="E397" s="4067" t="s">
        <v>2892</v>
      </c>
      <c r="F397" s="4067" t="s">
        <v>3328</v>
      </c>
      <c r="G397" s="4070">
        <v>134672</v>
      </c>
      <c r="H397" s="4071"/>
      <c r="I397" s="4071"/>
      <c r="J397" s="4070">
        <f t="shared" si="177"/>
        <v>134672</v>
      </c>
      <c r="K397" s="4070">
        <f t="shared" si="178"/>
        <v>31216</v>
      </c>
      <c r="L397" s="4071"/>
      <c r="M397" s="4071"/>
      <c r="N397" s="3990">
        <v>31216</v>
      </c>
      <c r="O397" s="4070">
        <f t="shared" si="179"/>
        <v>31216</v>
      </c>
      <c r="P397" s="4071"/>
      <c r="Q397" s="4071"/>
      <c r="R397" s="4070">
        <v>31216</v>
      </c>
      <c r="S397" s="3990">
        <f t="shared" si="180"/>
        <v>32364</v>
      </c>
      <c r="T397" s="4071"/>
      <c r="U397" s="4071"/>
      <c r="V397" s="4070">
        <v>32364</v>
      </c>
    </row>
    <row r="398" spans="1:22" s="1577" customFormat="1">
      <c r="A398" s="4009" t="s">
        <v>100</v>
      </c>
      <c r="B398" s="4010" t="s">
        <v>2852</v>
      </c>
      <c r="C398" s="4035"/>
      <c r="D398" s="4035"/>
      <c r="E398" s="4035"/>
      <c r="F398" s="4035"/>
      <c r="G398" s="4027">
        <f t="shared" ref="G398:V399" si="181">G399</f>
        <v>37074.635999999999</v>
      </c>
      <c r="H398" s="4027">
        <f t="shared" si="181"/>
        <v>0</v>
      </c>
      <c r="I398" s="4027">
        <f t="shared" si="181"/>
        <v>0</v>
      </c>
      <c r="J398" s="4027">
        <f t="shared" si="181"/>
        <v>31128</v>
      </c>
      <c r="K398" s="4027">
        <f t="shared" si="181"/>
        <v>3000</v>
      </c>
      <c r="L398" s="4027">
        <f t="shared" si="181"/>
        <v>0</v>
      </c>
      <c r="M398" s="4027">
        <f t="shared" si="181"/>
        <v>0</v>
      </c>
      <c r="N398" s="4027">
        <f t="shared" si="181"/>
        <v>3000</v>
      </c>
      <c r="O398" s="4027">
        <f t="shared" si="181"/>
        <v>3000</v>
      </c>
      <c r="P398" s="4027">
        <f t="shared" si="181"/>
        <v>0</v>
      </c>
      <c r="Q398" s="4027">
        <f t="shared" si="181"/>
        <v>0</v>
      </c>
      <c r="R398" s="4027">
        <f t="shared" si="181"/>
        <v>3000</v>
      </c>
      <c r="S398" s="4027">
        <f t="shared" si="181"/>
        <v>21245</v>
      </c>
      <c r="T398" s="4027">
        <f t="shared" si="181"/>
        <v>0</v>
      </c>
      <c r="U398" s="4027">
        <f t="shared" si="181"/>
        <v>0</v>
      </c>
      <c r="V398" s="4027">
        <f>V399</f>
        <v>21245</v>
      </c>
    </row>
    <row r="399" spans="1:22" s="248" customFormat="1">
      <c r="A399" s="4009">
        <v>1</v>
      </c>
      <c r="B399" s="4010" t="s">
        <v>3122</v>
      </c>
      <c r="C399" s="4009"/>
      <c r="D399" s="4009"/>
      <c r="E399" s="4009"/>
      <c r="F399" s="4009"/>
      <c r="G399" s="4027">
        <f t="shared" si="181"/>
        <v>37074.635999999999</v>
      </c>
      <c r="H399" s="4027">
        <f t="shared" si="181"/>
        <v>0</v>
      </c>
      <c r="I399" s="4027">
        <f t="shared" si="181"/>
        <v>0</v>
      </c>
      <c r="J399" s="4027">
        <f t="shared" si="181"/>
        <v>31128</v>
      </c>
      <c r="K399" s="4027">
        <f t="shared" si="181"/>
        <v>3000</v>
      </c>
      <c r="L399" s="4027">
        <f t="shared" si="181"/>
        <v>0</v>
      </c>
      <c r="M399" s="4027">
        <f t="shared" si="181"/>
        <v>0</v>
      </c>
      <c r="N399" s="4027">
        <f t="shared" si="181"/>
        <v>3000</v>
      </c>
      <c r="O399" s="4027">
        <f t="shared" si="181"/>
        <v>3000</v>
      </c>
      <c r="P399" s="4027">
        <f t="shared" si="181"/>
        <v>0</v>
      </c>
      <c r="Q399" s="4027">
        <f t="shared" si="181"/>
        <v>0</v>
      </c>
      <c r="R399" s="4027">
        <f t="shared" si="181"/>
        <v>3000</v>
      </c>
      <c r="S399" s="4027">
        <f t="shared" si="181"/>
        <v>21245</v>
      </c>
      <c r="T399" s="4027">
        <f t="shared" si="181"/>
        <v>0</v>
      </c>
      <c r="U399" s="4027">
        <f t="shared" si="181"/>
        <v>0</v>
      </c>
      <c r="V399" s="4027">
        <f t="shared" si="181"/>
        <v>21245</v>
      </c>
    </row>
    <row r="400" spans="1:22" ht="31.2">
      <c r="A400" s="4009" t="s">
        <v>34</v>
      </c>
      <c r="B400" s="4028" t="s">
        <v>2871</v>
      </c>
      <c r="C400" s="4009"/>
      <c r="D400" s="4009"/>
      <c r="E400" s="4009"/>
      <c r="F400" s="4009"/>
      <c r="G400" s="4029">
        <f>SUM(G401:G402)</f>
        <v>37074.635999999999</v>
      </c>
      <c r="H400" s="4029">
        <f t="shared" ref="H400:V400" si="182">SUM(H401:H402)</f>
        <v>0</v>
      </c>
      <c r="I400" s="4029">
        <f t="shared" si="182"/>
        <v>0</v>
      </c>
      <c r="J400" s="4029">
        <f t="shared" si="182"/>
        <v>31128</v>
      </c>
      <c r="K400" s="4029">
        <f t="shared" si="182"/>
        <v>3000</v>
      </c>
      <c r="L400" s="4029">
        <f t="shared" si="182"/>
        <v>0</v>
      </c>
      <c r="M400" s="4029">
        <f t="shared" si="182"/>
        <v>0</v>
      </c>
      <c r="N400" s="4029">
        <f t="shared" si="182"/>
        <v>3000</v>
      </c>
      <c r="O400" s="4029">
        <f t="shared" si="182"/>
        <v>3000</v>
      </c>
      <c r="P400" s="4029">
        <f t="shared" si="182"/>
        <v>0</v>
      </c>
      <c r="Q400" s="4029">
        <f t="shared" si="182"/>
        <v>0</v>
      </c>
      <c r="R400" s="4029">
        <f t="shared" si="182"/>
        <v>3000</v>
      </c>
      <c r="S400" s="4029">
        <f t="shared" si="182"/>
        <v>21245</v>
      </c>
      <c r="T400" s="4029">
        <f t="shared" si="182"/>
        <v>0</v>
      </c>
      <c r="U400" s="4029">
        <f t="shared" si="182"/>
        <v>0</v>
      </c>
      <c r="V400" s="4029">
        <f t="shared" si="182"/>
        <v>21245</v>
      </c>
    </row>
    <row r="401" spans="1:22" ht="36.75" customHeight="1">
      <c r="A401" s="4127">
        <v>1</v>
      </c>
      <c r="B401" s="4040" t="s">
        <v>3329</v>
      </c>
      <c r="C401" s="4115" t="s">
        <v>3330</v>
      </c>
      <c r="D401" s="4047" t="s">
        <v>3331</v>
      </c>
      <c r="E401" s="4115" t="s">
        <v>3092</v>
      </c>
      <c r="F401" s="4047" t="s">
        <v>3332</v>
      </c>
      <c r="G401" s="4118">
        <v>26922.523000000001</v>
      </c>
      <c r="H401" s="4118"/>
      <c r="I401" s="4118"/>
      <c r="J401" s="4118">
        <v>23128</v>
      </c>
      <c r="K401" s="4118">
        <f>SUM(L401:N401)</f>
        <v>3000</v>
      </c>
      <c r="L401" s="4118"/>
      <c r="M401" s="4118"/>
      <c r="N401" s="3992">
        <v>3000</v>
      </c>
      <c r="O401" s="4118">
        <f>SUM(P401:R401)</f>
        <v>3000</v>
      </c>
      <c r="P401" s="4118"/>
      <c r="Q401" s="4118"/>
      <c r="R401" s="4118">
        <v>3000</v>
      </c>
      <c r="S401" s="3992">
        <f>SUM(T401:V401)</f>
        <v>13245</v>
      </c>
      <c r="T401" s="4118"/>
      <c r="U401" s="4118"/>
      <c r="V401" s="4118">
        <v>13245</v>
      </c>
    </row>
    <row r="402" spans="1:22" ht="62.4">
      <c r="A402" s="4127">
        <v>2</v>
      </c>
      <c r="B402" s="4040" t="s">
        <v>3333</v>
      </c>
      <c r="C402" s="4115" t="s">
        <v>3334</v>
      </c>
      <c r="D402" s="4047" t="s">
        <v>3335</v>
      </c>
      <c r="E402" s="4115" t="s">
        <v>3155</v>
      </c>
      <c r="F402" s="4047" t="s">
        <v>3336</v>
      </c>
      <c r="G402" s="4118">
        <v>10152.112999999999</v>
      </c>
      <c r="H402" s="4118"/>
      <c r="I402" s="4118"/>
      <c r="J402" s="4118">
        <v>8000</v>
      </c>
      <c r="K402" s="4118">
        <f>SUM(L402:N402)</f>
        <v>0</v>
      </c>
      <c r="L402" s="4118"/>
      <c r="M402" s="4118"/>
      <c r="N402" s="3992">
        <v>0</v>
      </c>
      <c r="O402" s="4118">
        <f>SUM(P402:R402)</f>
        <v>0</v>
      </c>
      <c r="P402" s="4118"/>
      <c r="Q402" s="4118"/>
      <c r="R402" s="4118">
        <v>0</v>
      </c>
      <c r="S402" s="3992">
        <f>SUM(T402:V402)</f>
        <v>8000</v>
      </c>
      <c r="T402" s="4118"/>
      <c r="U402" s="4118"/>
      <c r="V402" s="4118">
        <v>8000</v>
      </c>
    </row>
    <row r="403" spans="1:22" s="248" customFormat="1">
      <c r="A403" s="4009" t="s">
        <v>3642</v>
      </c>
      <c r="B403" s="4010" t="s">
        <v>3337</v>
      </c>
      <c r="C403" s="4009"/>
      <c r="D403" s="4009"/>
      <c r="E403" s="4009"/>
      <c r="F403" s="4009"/>
      <c r="G403" s="4027">
        <f t="shared" ref="G403:V403" si="183">G404+G409</f>
        <v>1094602.2620000001</v>
      </c>
      <c r="H403" s="4027">
        <f t="shared" si="183"/>
        <v>0</v>
      </c>
      <c r="I403" s="4027">
        <f t="shared" si="183"/>
        <v>600000</v>
      </c>
      <c r="J403" s="4027">
        <f t="shared" si="183"/>
        <v>494602.26199999999</v>
      </c>
      <c r="K403" s="4027">
        <f t="shared" si="183"/>
        <v>271665</v>
      </c>
      <c r="L403" s="4027">
        <f t="shared" si="183"/>
        <v>0</v>
      </c>
      <c r="M403" s="4027">
        <f t="shared" si="183"/>
        <v>100000</v>
      </c>
      <c r="N403" s="4027">
        <f t="shared" si="183"/>
        <v>171665</v>
      </c>
      <c r="O403" s="4027">
        <f t="shared" si="183"/>
        <v>271665</v>
      </c>
      <c r="P403" s="4027">
        <f t="shared" si="183"/>
        <v>0</v>
      </c>
      <c r="Q403" s="4027">
        <f t="shared" si="183"/>
        <v>100000</v>
      </c>
      <c r="R403" s="4027">
        <f t="shared" si="183"/>
        <v>171665</v>
      </c>
      <c r="S403" s="4027">
        <f t="shared" si="183"/>
        <v>193835</v>
      </c>
      <c r="T403" s="4027">
        <f t="shared" si="183"/>
        <v>0</v>
      </c>
      <c r="U403" s="4027">
        <f t="shared" si="183"/>
        <v>20000</v>
      </c>
      <c r="V403" s="4027">
        <f t="shared" si="183"/>
        <v>173835</v>
      </c>
    </row>
    <row r="404" spans="1:22" s="812" customFormat="1" ht="31.2">
      <c r="A404" s="4101" t="s">
        <v>9</v>
      </c>
      <c r="B404" s="4106" t="s">
        <v>2844</v>
      </c>
      <c r="C404" s="4107"/>
      <c r="D404" s="4107"/>
      <c r="E404" s="4107"/>
      <c r="F404" s="4107"/>
      <c r="G404" s="3989">
        <f>G405</f>
        <v>877624</v>
      </c>
      <c r="H404" s="3989">
        <f t="shared" ref="H404:V404" si="184">H405</f>
        <v>0</v>
      </c>
      <c r="I404" s="3989">
        <f t="shared" si="184"/>
        <v>600000</v>
      </c>
      <c r="J404" s="3989">
        <f t="shared" si="184"/>
        <v>277624</v>
      </c>
      <c r="K404" s="3989">
        <f t="shared" si="184"/>
        <v>105000</v>
      </c>
      <c r="L404" s="3989">
        <f t="shared" si="184"/>
        <v>0</v>
      </c>
      <c r="M404" s="3989">
        <f t="shared" si="184"/>
        <v>100000</v>
      </c>
      <c r="N404" s="3989">
        <f t="shared" si="184"/>
        <v>5000</v>
      </c>
      <c r="O404" s="3989">
        <f t="shared" si="184"/>
        <v>105000</v>
      </c>
      <c r="P404" s="3989">
        <f t="shared" si="184"/>
        <v>0</v>
      </c>
      <c r="Q404" s="3989">
        <f t="shared" si="184"/>
        <v>100000</v>
      </c>
      <c r="R404" s="3989">
        <f t="shared" si="184"/>
        <v>5000</v>
      </c>
      <c r="S404" s="3989">
        <f t="shared" si="184"/>
        <v>147000</v>
      </c>
      <c r="T404" s="3989">
        <f t="shared" si="184"/>
        <v>0</v>
      </c>
      <c r="U404" s="3989">
        <f t="shared" si="184"/>
        <v>20000</v>
      </c>
      <c r="V404" s="3989">
        <f t="shared" si="184"/>
        <v>127000</v>
      </c>
    </row>
    <row r="405" spans="1:22" s="812" customFormat="1">
      <c r="A405" s="4101">
        <v>1</v>
      </c>
      <c r="B405" s="4106" t="s">
        <v>3122</v>
      </c>
      <c r="C405" s="4107"/>
      <c r="D405" s="4107"/>
      <c r="E405" s="4107"/>
      <c r="F405" s="4107"/>
      <c r="G405" s="3989">
        <f t="shared" ref="G405:U405" si="185">G406</f>
        <v>877624</v>
      </c>
      <c r="H405" s="3989">
        <f t="shared" si="185"/>
        <v>0</v>
      </c>
      <c r="I405" s="3989">
        <f t="shared" si="185"/>
        <v>600000</v>
      </c>
      <c r="J405" s="3989">
        <f t="shared" si="185"/>
        <v>277624</v>
      </c>
      <c r="K405" s="3989">
        <f t="shared" si="185"/>
        <v>105000</v>
      </c>
      <c r="L405" s="3989">
        <f t="shared" si="185"/>
        <v>0</v>
      </c>
      <c r="M405" s="3989">
        <f t="shared" si="185"/>
        <v>100000</v>
      </c>
      <c r="N405" s="3989">
        <f t="shared" si="185"/>
        <v>5000</v>
      </c>
      <c r="O405" s="3989">
        <f t="shared" si="185"/>
        <v>105000</v>
      </c>
      <c r="P405" s="3989">
        <f t="shared" si="185"/>
        <v>0</v>
      </c>
      <c r="Q405" s="3989">
        <f t="shared" si="185"/>
        <v>100000</v>
      </c>
      <c r="R405" s="3989">
        <f t="shared" si="185"/>
        <v>5000</v>
      </c>
      <c r="S405" s="3989">
        <f t="shared" si="185"/>
        <v>147000</v>
      </c>
      <c r="T405" s="3989">
        <f t="shared" si="185"/>
        <v>0</v>
      </c>
      <c r="U405" s="3989">
        <f t="shared" si="185"/>
        <v>20000</v>
      </c>
      <c r="V405" s="3989">
        <f>V406</f>
        <v>127000</v>
      </c>
    </row>
    <row r="406" spans="1:22" s="812" customFormat="1" ht="31.2">
      <c r="A406" s="4101" t="s">
        <v>34</v>
      </c>
      <c r="B406" s="4106" t="s">
        <v>2871</v>
      </c>
      <c r="C406" s="4107"/>
      <c r="D406" s="4107"/>
      <c r="E406" s="4107"/>
      <c r="F406" s="4107"/>
      <c r="G406" s="3989">
        <f t="shared" ref="G406:U406" si="186">SUM(G407:G408)</f>
        <v>877624</v>
      </c>
      <c r="H406" s="3989">
        <f t="shared" si="186"/>
        <v>0</v>
      </c>
      <c r="I406" s="3989">
        <f t="shared" si="186"/>
        <v>600000</v>
      </c>
      <c r="J406" s="3989">
        <f t="shared" si="186"/>
        <v>277624</v>
      </c>
      <c r="K406" s="3989">
        <f t="shared" si="186"/>
        <v>105000</v>
      </c>
      <c r="L406" s="3989">
        <f t="shared" si="186"/>
        <v>0</v>
      </c>
      <c r="M406" s="3989">
        <f t="shared" si="186"/>
        <v>100000</v>
      </c>
      <c r="N406" s="3989">
        <f t="shared" si="186"/>
        <v>5000</v>
      </c>
      <c r="O406" s="3989">
        <f t="shared" si="186"/>
        <v>105000</v>
      </c>
      <c r="P406" s="3989">
        <f t="shared" si="186"/>
        <v>0</v>
      </c>
      <c r="Q406" s="3989">
        <f t="shared" si="186"/>
        <v>100000</v>
      </c>
      <c r="R406" s="3989">
        <f t="shared" si="186"/>
        <v>5000</v>
      </c>
      <c r="S406" s="3989">
        <f t="shared" si="186"/>
        <v>147000</v>
      </c>
      <c r="T406" s="3989">
        <f t="shared" si="186"/>
        <v>0</v>
      </c>
      <c r="U406" s="3989">
        <f t="shared" si="186"/>
        <v>20000</v>
      </c>
      <c r="V406" s="3989">
        <f>SUM(V407:V408)</f>
        <v>127000</v>
      </c>
    </row>
    <row r="407" spans="1:22" ht="31.2">
      <c r="A407" s="3987">
        <v>1</v>
      </c>
      <c r="B407" s="3988" t="s">
        <v>3340</v>
      </c>
      <c r="C407" s="3987" t="s">
        <v>3341</v>
      </c>
      <c r="D407" s="3987" t="s">
        <v>3342</v>
      </c>
      <c r="E407" s="3987" t="s">
        <v>3092</v>
      </c>
      <c r="F407" s="3987" t="s">
        <v>3343</v>
      </c>
      <c r="G407" s="4051">
        <f>SUM(H407:J407)</f>
        <v>393116</v>
      </c>
      <c r="H407" s="3990"/>
      <c r="I407" s="4051">
        <v>200000</v>
      </c>
      <c r="J407" s="4051">
        <v>193116</v>
      </c>
      <c r="K407" s="3990">
        <f>SUM(L407:N407)</f>
        <v>104000</v>
      </c>
      <c r="L407" s="3990"/>
      <c r="M407" s="3990">
        <v>100000</v>
      </c>
      <c r="N407" s="3990">
        <v>4000</v>
      </c>
      <c r="O407" s="3990">
        <f>SUM(P407:R407)</f>
        <v>104000</v>
      </c>
      <c r="P407" s="3990"/>
      <c r="Q407" s="3990">
        <v>100000</v>
      </c>
      <c r="R407" s="3990">
        <v>4000</v>
      </c>
      <c r="S407" s="3990">
        <f>SUM(T407:V407)</f>
        <v>77000</v>
      </c>
      <c r="T407" s="3990"/>
      <c r="U407" s="3990">
        <v>20000</v>
      </c>
      <c r="V407" s="3990">
        <v>57000</v>
      </c>
    </row>
    <row r="408" spans="1:22" s="4003" customFormat="1" ht="62.4">
      <c r="A408" s="4030">
        <v>2</v>
      </c>
      <c r="B408" s="4168" t="s">
        <v>3338</v>
      </c>
      <c r="C408" s="4030" t="s">
        <v>3273</v>
      </c>
      <c r="D408" s="4030"/>
      <c r="E408" s="4030" t="s">
        <v>3339</v>
      </c>
      <c r="F408" s="4030"/>
      <c r="G408" s="4169">
        <f>H408+I408+J408</f>
        <v>484508</v>
      </c>
      <c r="H408" s="4113"/>
      <c r="I408" s="4169">
        <v>400000</v>
      </c>
      <c r="J408" s="4113">
        <v>84508</v>
      </c>
      <c r="K408" s="4113">
        <f>SUM(L408:N408)</f>
        <v>1000</v>
      </c>
      <c r="L408" s="4113"/>
      <c r="M408" s="4113"/>
      <c r="N408" s="3990">
        <v>1000</v>
      </c>
      <c r="O408" s="4113">
        <f>SUM(P408:R408)</f>
        <v>1000</v>
      </c>
      <c r="P408" s="4113"/>
      <c r="Q408" s="4113"/>
      <c r="R408" s="4113">
        <v>1000</v>
      </c>
      <c r="S408" s="3990">
        <f>SUM(T408:V408)</f>
        <v>70000</v>
      </c>
      <c r="T408" s="4113"/>
      <c r="U408" s="4113"/>
      <c r="V408" s="4113">
        <v>70000</v>
      </c>
    </row>
    <row r="409" spans="1:22" s="1577" customFormat="1" ht="31.2">
      <c r="A409" s="4009" t="s">
        <v>20</v>
      </c>
      <c r="B409" s="4010" t="s">
        <v>3410</v>
      </c>
      <c r="C409" s="4035"/>
      <c r="D409" s="4035"/>
      <c r="E409" s="4035"/>
      <c r="F409" s="4035"/>
      <c r="G409" s="4027">
        <f t="shared" ref="G409:V411" si="187">G410</f>
        <v>216978.26199999999</v>
      </c>
      <c r="H409" s="4027">
        <f t="shared" si="187"/>
        <v>0</v>
      </c>
      <c r="I409" s="4027">
        <f t="shared" si="187"/>
        <v>0</v>
      </c>
      <c r="J409" s="4027">
        <f t="shared" si="187"/>
        <v>216978.26199999999</v>
      </c>
      <c r="K409" s="4027">
        <f t="shared" si="187"/>
        <v>166665</v>
      </c>
      <c r="L409" s="4027">
        <f t="shared" si="187"/>
        <v>0</v>
      </c>
      <c r="M409" s="4027">
        <f t="shared" si="187"/>
        <v>0</v>
      </c>
      <c r="N409" s="4027">
        <f t="shared" si="187"/>
        <v>166665</v>
      </c>
      <c r="O409" s="4027">
        <f t="shared" si="187"/>
        <v>166665</v>
      </c>
      <c r="P409" s="4027">
        <f t="shared" si="187"/>
        <v>0</v>
      </c>
      <c r="Q409" s="4027">
        <f t="shared" si="187"/>
        <v>0</v>
      </c>
      <c r="R409" s="4027">
        <f t="shared" si="187"/>
        <v>166665</v>
      </c>
      <c r="S409" s="4027">
        <f t="shared" si="187"/>
        <v>46835</v>
      </c>
      <c r="T409" s="4027">
        <f t="shared" si="187"/>
        <v>0</v>
      </c>
      <c r="U409" s="4027">
        <f t="shared" si="187"/>
        <v>0</v>
      </c>
      <c r="V409" s="4027">
        <f t="shared" si="187"/>
        <v>46835</v>
      </c>
    </row>
    <row r="410" spans="1:22" s="248" customFormat="1">
      <c r="A410" s="4009">
        <v>1</v>
      </c>
      <c r="B410" s="4010" t="s">
        <v>3122</v>
      </c>
      <c r="C410" s="4009"/>
      <c r="D410" s="4009"/>
      <c r="E410" s="4009"/>
      <c r="F410" s="4009"/>
      <c r="G410" s="4027">
        <f>G411</f>
        <v>216978.26199999999</v>
      </c>
      <c r="H410" s="4027">
        <f t="shared" si="187"/>
        <v>0</v>
      </c>
      <c r="I410" s="4027">
        <f t="shared" si="187"/>
        <v>0</v>
      </c>
      <c r="J410" s="4027">
        <f t="shared" si="187"/>
        <v>216978.26199999999</v>
      </c>
      <c r="K410" s="4027">
        <f t="shared" si="187"/>
        <v>166665</v>
      </c>
      <c r="L410" s="4027">
        <f t="shared" si="187"/>
        <v>0</v>
      </c>
      <c r="M410" s="4027">
        <f t="shared" si="187"/>
        <v>0</v>
      </c>
      <c r="N410" s="4027">
        <f t="shared" si="187"/>
        <v>166665</v>
      </c>
      <c r="O410" s="4027">
        <f t="shared" si="187"/>
        <v>166665</v>
      </c>
      <c r="P410" s="4027">
        <f t="shared" si="187"/>
        <v>0</v>
      </c>
      <c r="Q410" s="4027">
        <f t="shared" si="187"/>
        <v>0</v>
      </c>
      <c r="R410" s="4027">
        <f t="shared" si="187"/>
        <v>166665</v>
      </c>
      <c r="S410" s="4027">
        <f t="shared" si="187"/>
        <v>46835</v>
      </c>
      <c r="T410" s="4027">
        <f t="shared" si="187"/>
        <v>0</v>
      </c>
      <c r="U410" s="4027">
        <f t="shared" si="187"/>
        <v>0</v>
      </c>
      <c r="V410" s="4027">
        <f t="shared" si="187"/>
        <v>46835</v>
      </c>
    </row>
    <row r="411" spans="1:22" ht="31.2">
      <c r="A411" s="4009" t="s">
        <v>34</v>
      </c>
      <c r="B411" s="4028" t="s">
        <v>2871</v>
      </c>
      <c r="C411" s="4009"/>
      <c r="D411" s="4009"/>
      <c r="E411" s="4009"/>
      <c r="F411" s="4009"/>
      <c r="G411" s="4029">
        <f t="shared" ref="G411" si="188">G412</f>
        <v>216978.26199999999</v>
      </c>
      <c r="H411" s="4029">
        <f t="shared" si="187"/>
        <v>0</v>
      </c>
      <c r="I411" s="4029">
        <f t="shared" si="187"/>
        <v>0</v>
      </c>
      <c r="J411" s="4029">
        <f t="shared" si="187"/>
        <v>216978.26199999999</v>
      </c>
      <c r="K411" s="4029">
        <f t="shared" si="187"/>
        <v>166665</v>
      </c>
      <c r="L411" s="4029">
        <f t="shared" si="187"/>
        <v>0</v>
      </c>
      <c r="M411" s="4029">
        <f t="shared" si="187"/>
        <v>0</v>
      </c>
      <c r="N411" s="4029">
        <f t="shared" si="187"/>
        <v>166665</v>
      </c>
      <c r="O411" s="4029">
        <f t="shared" si="187"/>
        <v>166665</v>
      </c>
      <c r="P411" s="4029">
        <f t="shared" si="187"/>
        <v>0</v>
      </c>
      <c r="Q411" s="4029">
        <f t="shared" si="187"/>
        <v>0</v>
      </c>
      <c r="R411" s="4029">
        <f t="shared" si="187"/>
        <v>166665</v>
      </c>
      <c r="S411" s="4029">
        <f t="shared" si="187"/>
        <v>46835</v>
      </c>
      <c r="T411" s="4029">
        <f t="shared" si="187"/>
        <v>0</v>
      </c>
      <c r="U411" s="4029">
        <f t="shared" si="187"/>
        <v>0</v>
      </c>
      <c r="V411" s="4029">
        <f>V412</f>
        <v>46835</v>
      </c>
    </row>
    <row r="412" spans="1:22" s="1557" customFormat="1" ht="33" customHeight="1">
      <c r="A412" s="3987">
        <v>1</v>
      </c>
      <c r="B412" s="4034" t="s">
        <v>3643</v>
      </c>
      <c r="C412" s="3987" t="s">
        <v>3105</v>
      </c>
      <c r="D412" s="3987" t="s">
        <v>3644</v>
      </c>
      <c r="E412" s="3987" t="s">
        <v>2892</v>
      </c>
      <c r="F412" s="3987" t="s">
        <v>3645</v>
      </c>
      <c r="G412" s="3990">
        <f>H412+I412+J412</f>
        <v>216978.26199999999</v>
      </c>
      <c r="H412" s="3990"/>
      <c r="I412" s="3990"/>
      <c r="J412" s="3990">
        <v>216978.26199999999</v>
      </c>
      <c r="K412" s="3990">
        <f>L412+M412+N412</f>
        <v>166665</v>
      </c>
      <c r="L412" s="3990"/>
      <c r="M412" s="3990"/>
      <c r="N412" s="3990">
        <v>166665</v>
      </c>
      <c r="O412" s="3990">
        <f>P412+Q412+R412</f>
        <v>166665</v>
      </c>
      <c r="P412" s="3990"/>
      <c r="Q412" s="3990"/>
      <c r="R412" s="3990">
        <v>166665</v>
      </c>
      <c r="S412" s="3990">
        <f>T412+U412+V412</f>
        <v>46835</v>
      </c>
      <c r="T412" s="3990"/>
      <c r="U412" s="3990"/>
      <c r="V412" s="3990">
        <v>46835</v>
      </c>
    </row>
    <row r="413" spans="1:22" s="248" customFormat="1">
      <c r="A413" s="4009" t="s">
        <v>3646</v>
      </c>
      <c r="B413" s="4010" t="s">
        <v>3344</v>
      </c>
      <c r="C413" s="4009"/>
      <c r="D413" s="4009"/>
      <c r="E413" s="4009"/>
      <c r="F413" s="4009"/>
      <c r="G413" s="4027">
        <f t="shared" ref="G413:R413" si="189">G414+G418</f>
        <v>49399</v>
      </c>
      <c r="H413" s="4027">
        <f t="shared" si="189"/>
        <v>0</v>
      </c>
      <c r="I413" s="4027">
        <f t="shared" si="189"/>
        <v>0</v>
      </c>
      <c r="J413" s="4027">
        <f t="shared" si="189"/>
        <v>49399</v>
      </c>
      <c r="K413" s="4027">
        <f t="shared" si="189"/>
        <v>399</v>
      </c>
      <c r="L413" s="4027">
        <f t="shared" si="189"/>
        <v>0</v>
      </c>
      <c r="M413" s="4027">
        <f t="shared" si="189"/>
        <v>0</v>
      </c>
      <c r="N413" s="4027">
        <f t="shared" si="189"/>
        <v>399</v>
      </c>
      <c r="O413" s="4027">
        <f t="shared" si="189"/>
        <v>781</v>
      </c>
      <c r="P413" s="4027">
        <f t="shared" si="189"/>
        <v>0</v>
      </c>
      <c r="Q413" s="4027">
        <f t="shared" si="189"/>
        <v>0</v>
      </c>
      <c r="R413" s="4027">
        <f t="shared" si="189"/>
        <v>781</v>
      </c>
      <c r="S413" s="4027">
        <f>S414+S418</f>
        <v>24000</v>
      </c>
      <c r="T413" s="4027">
        <f t="shared" ref="T413:V413" si="190">T414+T418</f>
        <v>0</v>
      </c>
      <c r="U413" s="4027">
        <f t="shared" si="190"/>
        <v>0</v>
      </c>
      <c r="V413" s="4027">
        <f t="shared" si="190"/>
        <v>24000</v>
      </c>
    </row>
    <row r="414" spans="1:22" s="1577" customFormat="1">
      <c r="A414" s="4009" t="s">
        <v>9</v>
      </c>
      <c r="B414" s="4010" t="s">
        <v>1450</v>
      </c>
      <c r="C414" s="4035"/>
      <c r="D414" s="4035"/>
      <c r="E414" s="4035"/>
      <c r="F414" s="4035"/>
      <c r="G414" s="4027">
        <f t="shared" ref="G414:V416" si="191">G415</f>
        <v>29150</v>
      </c>
      <c r="H414" s="4027">
        <f t="shared" si="191"/>
        <v>0</v>
      </c>
      <c r="I414" s="4027">
        <f t="shared" si="191"/>
        <v>0</v>
      </c>
      <c r="J414" s="4027">
        <f t="shared" si="191"/>
        <v>29150</v>
      </c>
      <c r="K414" s="4027">
        <f t="shared" si="191"/>
        <v>399</v>
      </c>
      <c r="L414" s="4027">
        <f t="shared" si="191"/>
        <v>0</v>
      </c>
      <c r="M414" s="4027">
        <f t="shared" si="191"/>
        <v>0</v>
      </c>
      <c r="N414" s="4027">
        <f t="shared" si="191"/>
        <v>399</v>
      </c>
      <c r="O414" s="4027">
        <f t="shared" si="191"/>
        <v>581</v>
      </c>
      <c r="P414" s="4027">
        <f t="shared" si="191"/>
        <v>0</v>
      </c>
      <c r="Q414" s="4027">
        <f t="shared" si="191"/>
        <v>0</v>
      </c>
      <c r="R414" s="4027">
        <f t="shared" si="191"/>
        <v>581</v>
      </c>
      <c r="S414" s="4027">
        <f t="shared" si="191"/>
        <v>16000</v>
      </c>
      <c r="T414" s="4027">
        <f t="shared" si="191"/>
        <v>0</v>
      </c>
      <c r="U414" s="4027">
        <f t="shared" si="191"/>
        <v>0</v>
      </c>
      <c r="V414" s="4027">
        <f t="shared" si="191"/>
        <v>16000</v>
      </c>
    </row>
    <row r="415" spans="1:22" s="248" customFormat="1">
      <c r="A415" s="4009">
        <v>1</v>
      </c>
      <c r="B415" s="4010" t="s">
        <v>3122</v>
      </c>
      <c r="C415" s="4009"/>
      <c r="D415" s="4009"/>
      <c r="E415" s="4009"/>
      <c r="F415" s="4009"/>
      <c r="G415" s="4027">
        <f>G416</f>
        <v>29150</v>
      </c>
      <c r="H415" s="4027">
        <f t="shared" si="191"/>
        <v>0</v>
      </c>
      <c r="I415" s="4027">
        <f t="shared" si="191"/>
        <v>0</v>
      </c>
      <c r="J415" s="4027">
        <f t="shared" si="191"/>
        <v>29150</v>
      </c>
      <c r="K415" s="4027">
        <f t="shared" si="191"/>
        <v>399</v>
      </c>
      <c r="L415" s="4027">
        <f t="shared" si="191"/>
        <v>0</v>
      </c>
      <c r="M415" s="4027">
        <f t="shared" si="191"/>
        <v>0</v>
      </c>
      <c r="N415" s="4027">
        <f t="shared" si="191"/>
        <v>399</v>
      </c>
      <c r="O415" s="4027">
        <f t="shared" si="191"/>
        <v>581</v>
      </c>
      <c r="P415" s="4027">
        <f t="shared" si="191"/>
        <v>0</v>
      </c>
      <c r="Q415" s="4027">
        <f t="shared" si="191"/>
        <v>0</v>
      </c>
      <c r="R415" s="4027">
        <f t="shared" si="191"/>
        <v>581</v>
      </c>
      <c r="S415" s="4027">
        <f t="shared" si="191"/>
        <v>16000</v>
      </c>
      <c r="T415" s="4027">
        <f t="shared" si="191"/>
        <v>0</v>
      </c>
      <c r="U415" s="4027">
        <f t="shared" si="191"/>
        <v>0</v>
      </c>
      <c r="V415" s="4027">
        <f t="shared" si="191"/>
        <v>16000</v>
      </c>
    </row>
    <row r="416" spans="1:22" ht="31.2">
      <c r="A416" s="4009" t="s">
        <v>34</v>
      </c>
      <c r="B416" s="4028" t="s">
        <v>2871</v>
      </c>
      <c r="C416" s="4009"/>
      <c r="D416" s="4009"/>
      <c r="E416" s="4009"/>
      <c r="F416" s="4009"/>
      <c r="G416" s="4029">
        <f>G417</f>
        <v>29150</v>
      </c>
      <c r="H416" s="4029">
        <f t="shared" si="191"/>
        <v>0</v>
      </c>
      <c r="I416" s="4029">
        <f t="shared" si="191"/>
        <v>0</v>
      </c>
      <c r="J416" s="4029">
        <f t="shared" si="191"/>
        <v>29150</v>
      </c>
      <c r="K416" s="4029">
        <f t="shared" si="191"/>
        <v>399</v>
      </c>
      <c r="L416" s="4029">
        <f t="shared" si="191"/>
        <v>0</v>
      </c>
      <c r="M416" s="4029">
        <f t="shared" si="191"/>
        <v>0</v>
      </c>
      <c r="N416" s="4029">
        <f t="shared" si="191"/>
        <v>399</v>
      </c>
      <c r="O416" s="4029">
        <f t="shared" si="191"/>
        <v>581</v>
      </c>
      <c r="P416" s="4029">
        <f t="shared" si="191"/>
        <v>0</v>
      </c>
      <c r="Q416" s="4029">
        <f t="shared" si="191"/>
        <v>0</v>
      </c>
      <c r="R416" s="4029">
        <f t="shared" si="191"/>
        <v>581</v>
      </c>
      <c r="S416" s="4029">
        <f t="shared" si="191"/>
        <v>16000</v>
      </c>
      <c r="T416" s="4029">
        <f t="shared" si="191"/>
        <v>0</v>
      </c>
      <c r="U416" s="4029">
        <f t="shared" si="191"/>
        <v>0</v>
      </c>
      <c r="V416" s="4029">
        <f t="shared" si="191"/>
        <v>16000</v>
      </c>
    </row>
    <row r="417" spans="1:22" s="1557" customFormat="1" ht="39.75" customHeight="1">
      <c r="A417" s="3987">
        <v>1</v>
      </c>
      <c r="B417" s="4034" t="s">
        <v>3345</v>
      </c>
      <c r="C417" s="3987" t="s">
        <v>3346</v>
      </c>
      <c r="D417" s="3987"/>
      <c r="E417" s="3987" t="s">
        <v>2892</v>
      </c>
      <c r="F417" s="3987" t="s">
        <v>3347</v>
      </c>
      <c r="G417" s="3990">
        <f>H417+I417+J417</f>
        <v>29150</v>
      </c>
      <c r="H417" s="3990"/>
      <c r="I417" s="3990"/>
      <c r="J417" s="3990">
        <v>29150</v>
      </c>
      <c r="K417" s="3990">
        <f>L417+M417+N417</f>
        <v>399</v>
      </c>
      <c r="L417" s="3990"/>
      <c r="M417" s="3990"/>
      <c r="N417" s="3990">
        <v>399</v>
      </c>
      <c r="O417" s="3990">
        <f>P417+Q417+R417</f>
        <v>581</v>
      </c>
      <c r="P417" s="3990"/>
      <c r="Q417" s="3990"/>
      <c r="R417" s="3990">
        <v>581</v>
      </c>
      <c r="S417" s="3990">
        <f>T417+U417+V417</f>
        <v>16000</v>
      </c>
      <c r="T417" s="3990"/>
      <c r="U417" s="3990"/>
      <c r="V417" s="3990">
        <v>16000</v>
      </c>
    </row>
    <row r="418" spans="1:22" s="1577" customFormat="1" ht="31.2">
      <c r="A418" s="4009" t="s">
        <v>20</v>
      </c>
      <c r="B418" s="4010" t="s">
        <v>2853</v>
      </c>
      <c r="C418" s="4035"/>
      <c r="D418" s="4035"/>
      <c r="E418" s="4035"/>
      <c r="F418" s="4035"/>
      <c r="G418" s="4027">
        <f t="shared" ref="G418:V420" si="192">G419</f>
        <v>20249</v>
      </c>
      <c r="H418" s="4027">
        <f t="shared" si="192"/>
        <v>0</v>
      </c>
      <c r="I418" s="4027">
        <f t="shared" si="192"/>
        <v>0</v>
      </c>
      <c r="J418" s="4027">
        <f t="shared" si="192"/>
        <v>20249</v>
      </c>
      <c r="K418" s="4027">
        <f t="shared" si="192"/>
        <v>0</v>
      </c>
      <c r="L418" s="4027">
        <f t="shared" si="192"/>
        <v>0</v>
      </c>
      <c r="M418" s="4027">
        <f t="shared" si="192"/>
        <v>0</v>
      </c>
      <c r="N418" s="4027">
        <f t="shared" si="192"/>
        <v>0</v>
      </c>
      <c r="O418" s="4027">
        <f t="shared" si="192"/>
        <v>200</v>
      </c>
      <c r="P418" s="4027">
        <f t="shared" si="192"/>
        <v>0</v>
      </c>
      <c r="Q418" s="4027">
        <f t="shared" si="192"/>
        <v>0</v>
      </c>
      <c r="R418" s="4027">
        <f t="shared" si="192"/>
        <v>200</v>
      </c>
      <c r="S418" s="4027">
        <f t="shared" si="192"/>
        <v>8000</v>
      </c>
      <c r="T418" s="4027">
        <f t="shared" si="192"/>
        <v>0</v>
      </c>
      <c r="U418" s="4027">
        <f t="shared" si="192"/>
        <v>0</v>
      </c>
      <c r="V418" s="4027">
        <f t="shared" si="192"/>
        <v>8000</v>
      </c>
    </row>
    <row r="419" spans="1:22" s="248" customFormat="1">
      <c r="A419" s="4009">
        <v>1</v>
      </c>
      <c r="B419" s="4010" t="s">
        <v>3122</v>
      </c>
      <c r="C419" s="4009"/>
      <c r="D419" s="4009"/>
      <c r="E419" s="4009"/>
      <c r="F419" s="4009"/>
      <c r="G419" s="4027">
        <f>G420</f>
        <v>20249</v>
      </c>
      <c r="H419" s="4027">
        <f t="shared" si="192"/>
        <v>0</v>
      </c>
      <c r="I419" s="4027">
        <f t="shared" si="192"/>
        <v>0</v>
      </c>
      <c r="J419" s="4027">
        <f t="shared" si="192"/>
        <v>20249</v>
      </c>
      <c r="K419" s="4027">
        <f t="shared" si="192"/>
        <v>0</v>
      </c>
      <c r="L419" s="4027">
        <f t="shared" si="192"/>
        <v>0</v>
      </c>
      <c r="M419" s="4027">
        <f t="shared" si="192"/>
        <v>0</v>
      </c>
      <c r="N419" s="4027">
        <f t="shared" si="192"/>
        <v>0</v>
      </c>
      <c r="O419" s="4027">
        <f t="shared" si="192"/>
        <v>200</v>
      </c>
      <c r="P419" s="4027">
        <f t="shared" si="192"/>
        <v>0</v>
      </c>
      <c r="Q419" s="4027">
        <f t="shared" si="192"/>
        <v>0</v>
      </c>
      <c r="R419" s="4027">
        <f t="shared" si="192"/>
        <v>200</v>
      </c>
      <c r="S419" s="4027">
        <f t="shared" si="192"/>
        <v>8000</v>
      </c>
      <c r="T419" s="4027">
        <f t="shared" si="192"/>
        <v>0</v>
      </c>
      <c r="U419" s="4027">
        <f t="shared" si="192"/>
        <v>0</v>
      </c>
      <c r="V419" s="4027">
        <f t="shared" si="192"/>
        <v>8000</v>
      </c>
    </row>
    <row r="420" spans="1:22" ht="31.2">
      <c r="A420" s="4009" t="s">
        <v>34</v>
      </c>
      <c r="B420" s="4028" t="s">
        <v>2871</v>
      </c>
      <c r="C420" s="4009"/>
      <c r="D420" s="4009"/>
      <c r="E420" s="4009"/>
      <c r="F420" s="4009"/>
      <c r="G420" s="4029">
        <f>G421</f>
        <v>20249</v>
      </c>
      <c r="H420" s="4029">
        <f t="shared" si="192"/>
        <v>0</v>
      </c>
      <c r="I420" s="4029">
        <f t="shared" si="192"/>
        <v>0</v>
      </c>
      <c r="J420" s="4029">
        <f t="shared" si="192"/>
        <v>20249</v>
      </c>
      <c r="K420" s="4029">
        <f t="shared" si="192"/>
        <v>0</v>
      </c>
      <c r="L420" s="4029">
        <f t="shared" si="192"/>
        <v>0</v>
      </c>
      <c r="M420" s="4029">
        <f t="shared" si="192"/>
        <v>0</v>
      </c>
      <c r="N420" s="4029">
        <f t="shared" si="192"/>
        <v>0</v>
      </c>
      <c r="O420" s="4029">
        <f t="shared" si="192"/>
        <v>200</v>
      </c>
      <c r="P420" s="4029">
        <f t="shared" si="192"/>
        <v>0</v>
      </c>
      <c r="Q420" s="4029">
        <f t="shared" si="192"/>
        <v>0</v>
      </c>
      <c r="R420" s="4029">
        <f t="shared" si="192"/>
        <v>200</v>
      </c>
      <c r="S420" s="4029">
        <f t="shared" si="192"/>
        <v>8000</v>
      </c>
      <c r="T420" s="4029">
        <f t="shared" si="192"/>
        <v>0</v>
      </c>
      <c r="U420" s="4029">
        <f t="shared" si="192"/>
        <v>0</v>
      </c>
      <c r="V420" s="4029">
        <f t="shared" si="192"/>
        <v>8000</v>
      </c>
    </row>
    <row r="421" spans="1:22" s="4004" customFormat="1" ht="31.2">
      <c r="A421" s="4030">
        <v>1</v>
      </c>
      <c r="B421" s="4031" t="s">
        <v>3348</v>
      </c>
      <c r="C421" s="4030" t="s">
        <v>3346</v>
      </c>
      <c r="D421" s="4030"/>
      <c r="E421" s="4030" t="s">
        <v>3058</v>
      </c>
      <c r="F421" s="4030"/>
      <c r="G421" s="4113">
        <f>H421+I421+J421</f>
        <v>20249</v>
      </c>
      <c r="H421" s="4113"/>
      <c r="I421" s="4113"/>
      <c r="J421" s="4113">
        <v>20249</v>
      </c>
      <c r="K421" s="4113"/>
      <c r="L421" s="4113"/>
      <c r="M421" s="4113"/>
      <c r="N421" s="3990"/>
      <c r="O421" s="4113">
        <f>P421+Q421+R421</f>
        <v>200</v>
      </c>
      <c r="P421" s="4113"/>
      <c r="Q421" s="4113"/>
      <c r="R421" s="4113">
        <v>200</v>
      </c>
      <c r="S421" s="3990">
        <f>T421+U421+V421</f>
        <v>8000</v>
      </c>
      <c r="T421" s="4113"/>
      <c r="U421" s="4113"/>
      <c r="V421" s="4113">
        <v>8000</v>
      </c>
    </row>
    <row r="422" spans="1:22" s="248" customFormat="1" ht="46.8">
      <c r="A422" s="4009" t="s">
        <v>3647</v>
      </c>
      <c r="B422" s="4010" t="s">
        <v>3349</v>
      </c>
      <c r="C422" s="4009"/>
      <c r="D422" s="4009"/>
      <c r="E422" s="4009"/>
      <c r="F422" s="4009"/>
      <c r="G422" s="4027">
        <f>G423+G428+G432+G437+G441+G446+G453+G460+G464+G475+G480+G486</f>
        <v>3404487.4359999998</v>
      </c>
      <c r="H422" s="4027">
        <f t="shared" ref="H422:V422" si="193">H423+H428+H432+H437+H441+H446+H453+H460+H464+H475+H480+H486</f>
        <v>0</v>
      </c>
      <c r="I422" s="4027">
        <f t="shared" si="193"/>
        <v>0</v>
      </c>
      <c r="J422" s="4027">
        <f t="shared" si="193"/>
        <v>3348466.1209999998</v>
      </c>
      <c r="K422" s="4027">
        <f t="shared" si="193"/>
        <v>425504.56099999999</v>
      </c>
      <c r="L422" s="4027">
        <f t="shared" si="193"/>
        <v>0</v>
      </c>
      <c r="M422" s="4027">
        <f t="shared" si="193"/>
        <v>0</v>
      </c>
      <c r="N422" s="4027">
        <f t="shared" si="193"/>
        <v>425504.56099999999</v>
      </c>
      <c r="O422" s="4027">
        <f t="shared" si="193"/>
        <v>525344</v>
      </c>
      <c r="P422" s="4027">
        <f t="shared" si="193"/>
        <v>0</v>
      </c>
      <c r="Q422" s="4027">
        <f t="shared" si="193"/>
        <v>0</v>
      </c>
      <c r="R422" s="4027">
        <f t="shared" si="193"/>
        <v>525344</v>
      </c>
      <c r="S422" s="4027">
        <f t="shared" si="193"/>
        <v>992607</v>
      </c>
      <c r="T422" s="4027">
        <f t="shared" si="193"/>
        <v>0</v>
      </c>
      <c r="U422" s="4027">
        <f t="shared" si="193"/>
        <v>0</v>
      </c>
      <c r="V422" s="4027">
        <f t="shared" si="193"/>
        <v>992607</v>
      </c>
    </row>
    <row r="423" spans="1:22" s="1577" customFormat="1">
      <c r="A423" s="4009" t="s">
        <v>9</v>
      </c>
      <c r="B423" s="4010" t="s">
        <v>2846</v>
      </c>
      <c r="C423" s="4035"/>
      <c r="D423" s="4035"/>
      <c r="E423" s="4035"/>
      <c r="F423" s="4035"/>
      <c r="G423" s="4027">
        <f t="shared" ref="G423:V424" si="194">G424</f>
        <v>114867.09599999999</v>
      </c>
      <c r="H423" s="4027">
        <f t="shared" si="194"/>
        <v>0</v>
      </c>
      <c r="I423" s="4027">
        <f t="shared" si="194"/>
        <v>0</v>
      </c>
      <c r="J423" s="4027">
        <f t="shared" si="194"/>
        <v>114867.09599999999</v>
      </c>
      <c r="K423" s="4027">
        <f t="shared" si="194"/>
        <v>24194</v>
      </c>
      <c r="L423" s="4027">
        <f t="shared" si="194"/>
        <v>0</v>
      </c>
      <c r="M423" s="4027">
        <f t="shared" si="194"/>
        <v>0</v>
      </c>
      <c r="N423" s="4027">
        <f t="shared" si="194"/>
        <v>24194</v>
      </c>
      <c r="O423" s="4027">
        <f t="shared" si="194"/>
        <v>24194</v>
      </c>
      <c r="P423" s="4027">
        <f t="shared" si="194"/>
        <v>0</v>
      </c>
      <c r="Q423" s="4027">
        <f t="shared" si="194"/>
        <v>0</v>
      </c>
      <c r="R423" s="4027">
        <f t="shared" si="194"/>
        <v>24194</v>
      </c>
      <c r="S423" s="4027">
        <f t="shared" si="194"/>
        <v>11300</v>
      </c>
      <c r="T423" s="4027">
        <f t="shared" si="194"/>
        <v>0</v>
      </c>
      <c r="U423" s="4027">
        <f t="shared" si="194"/>
        <v>0</v>
      </c>
      <c r="V423" s="4027">
        <f>V424</f>
        <v>11300</v>
      </c>
    </row>
    <row r="424" spans="1:22" s="248" customFormat="1">
      <c r="A424" s="4009">
        <v>1</v>
      </c>
      <c r="B424" s="4010" t="s">
        <v>3122</v>
      </c>
      <c r="C424" s="4009"/>
      <c r="D424" s="4009"/>
      <c r="E424" s="4009"/>
      <c r="F424" s="4009"/>
      <c r="G424" s="4027">
        <f t="shared" si="194"/>
        <v>114867.09599999999</v>
      </c>
      <c r="H424" s="4027">
        <f t="shared" si="194"/>
        <v>0</v>
      </c>
      <c r="I424" s="4027">
        <f t="shared" si="194"/>
        <v>0</v>
      </c>
      <c r="J424" s="4027">
        <f t="shared" si="194"/>
        <v>114867.09599999999</v>
      </c>
      <c r="K424" s="4027">
        <f t="shared" si="194"/>
        <v>24194</v>
      </c>
      <c r="L424" s="4027">
        <f t="shared" si="194"/>
        <v>0</v>
      </c>
      <c r="M424" s="4027">
        <f t="shared" si="194"/>
        <v>0</v>
      </c>
      <c r="N424" s="4027">
        <f t="shared" si="194"/>
        <v>24194</v>
      </c>
      <c r="O424" s="4027">
        <f t="shared" si="194"/>
        <v>24194</v>
      </c>
      <c r="P424" s="4027">
        <f t="shared" si="194"/>
        <v>0</v>
      </c>
      <c r="Q424" s="4027">
        <f t="shared" si="194"/>
        <v>0</v>
      </c>
      <c r="R424" s="4027">
        <f t="shared" si="194"/>
        <v>24194</v>
      </c>
      <c r="S424" s="4027">
        <f t="shared" si="194"/>
        <v>11300</v>
      </c>
      <c r="T424" s="4027">
        <f t="shared" si="194"/>
        <v>0</v>
      </c>
      <c r="U424" s="4027">
        <f t="shared" si="194"/>
        <v>0</v>
      </c>
      <c r="V424" s="4027">
        <f t="shared" si="194"/>
        <v>11300</v>
      </c>
    </row>
    <row r="425" spans="1:22" ht="31.2">
      <c r="A425" s="4009" t="s">
        <v>34</v>
      </c>
      <c r="B425" s="4028" t="s">
        <v>2871</v>
      </c>
      <c r="C425" s="4009"/>
      <c r="D425" s="4009"/>
      <c r="E425" s="4009"/>
      <c r="F425" s="4009"/>
      <c r="G425" s="4029">
        <f t="shared" ref="G425:U425" si="195">SUM(G426:G427)</f>
        <v>114867.09599999999</v>
      </c>
      <c r="H425" s="4029">
        <f t="shared" si="195"/>
        <v>0</v>
      </c>
      <c r="I425" s="4029">
        <f t="shared" si="195"/>
        <v>0</v>
      </c>
      <c r="J425" s="4029">
        <f t="shared" si="195"/>
        <v>114867.09599999999</v>
      </c>
      <c r="K425" s="4029">
        <f t="shared" si="195"/>
        <v>24194</v>
      </c>
      <c r="L425" s="4029">
        <f t="shared" si="195"/>
        <v>0</v>
      </c>
      <c r="M425" s="4029">
        <f t="shared" si="195"/>
        <v>0</v>
      </c>
      <c r="N425" s="4029">
        <f t="shared" si="195"/>
        <v>24194</v>
      </c>
      <c r="O425" s="4029">
        <f t="shared" si="195"/>
        <v>24194</v>
      </c>
      <c r="P425" s="4029">
        <f t="shared" si="195"/>
        <v>0</v>
      </c>
      <c r="Q425" s="4029">
        <f t="shared" si="195"/>
        <v>0</v>
      </c>
      <c r="R425" s="4029">
        <f t="shared" si="195"/>
        <v>24194</v>
      </c>
      <c r="S425" s="4029">
        <f t="shared" si="195"/>
        <v>11300</v>
      </c>
      <c r="T425" s="4029">
        <f t="shared" si="195"/>
        <v>0</v>
      </c>
      <c r="U425" s="4029">
        <f t="shared" si="195"/>
        <v>0</v>
      </c>
      <c r="V425" s="4029">
        <f>SUM(V426:V427)</f>
        <v>11300</v>
      </c>
    </row>
    <row r="426" spans="1:22" s="2137" customFormat="1" ht="36.75" customHeight="1">
      <c r="A426" s="4041">
        <v>1</v>
      </c>
      <c r="B426" s="3988" t="s">
        <v>3350</v>
      </c>
      <c r="C426" s="4043" t="s">
        <v>3351</v>
      </c>
      <c r="D426" s="3987" t="s">
        <v>3352</v>
      </c>
      <c r="E426" s="4141" t="s">
        <v>2892</v>
      </c>
      <c r="F426" s="4048" t="s">
        <v>3353</v>
      </c>
      <c r="G426" s="4170">
        <v>64336.159</v>
      </c>
      <c r="H426" s="4050"/>
      <c r="I426" s="4050"/>
      <c r="J426" s="4170">
        <v>64336.159</v>
      </c>
      <c r="K426" s="4123">
        <v>24194</v>
      </c>
      <c r="L426" s="4050"/>
      <c r="M426" s="4050"/>
      <c r="N426" s="4123">
        <v>24194</v>
      </c>
      <c r="O426" s="4123">
        <v>24194</v>
      </c>
      <c r="P426" s="4050"/>
      <c r="Q426" s="4050"/>
      <c r="R426" s="4123">
        <v>24194</v>
      </c>
      <c r="S426" s="3990">
        <v>7300</v>
      </c>
      <c r="T426" s="4050"/>
      <c r="U426" s="4050"/>
      <c r="V426" s="3990">
        <v>7300</v>
      </c>
    </row>
    <row r="427" spans="1:22" s="2137" customFormat="1" ht="36.75" customHeight="1">
      <c r="A427" s="4041">
        <v>2</v>
      </c>
      <c r="B427" s="3988" t="s">
        <v>3354</v>
      </c>
      <c r="C427" s="4043" t="s">
        <v>3351</v>
      </c>
      <c r="D427" s="4171" t="s">
        <v>3355</v>
      </c>
      <c r="E427" s="4041" t="s">
        <v>3092</v>
      </c>
      <c r="F427" s="4172" t="s">
        <v>3356</v>
      </c>
      <c r="G427" s="4173">
        <v>50530.936999999998</v>
      </c>
      <c r="H427" s="4050"/>
      <c r="I427" s="4050"/>
      <c r="J427" s="4173">
        <v>50530.936999999998</v>
      </c>
      <c r="K427" s="4123">
        <v>0</v>
      </c>
      <c r="L427" s="4050"/>
      <c r="M427" s="4050"/>
      <c r="N427" s="4123">
        <v>0</v>
      </c>
      <c r="O427" s="4123">
        <v>0</v>
      </c>
      <c r="P427" s="4050"/>
      <c r="Q427" s="4050"/>
      <c r="R427" s="4123">
        <v>0</v>
      </c>
      <c r="S427" s="3990">
        <v>4000</v>
      </c>
      <c r="T427" s="4050"/>
      <c r="U427" s="4050"/>
      <c r="V427" s="3990">
        <v>4000</v>
      </c>
    </row>
    <row r="428" spans="1:22" s="1577" customFormat="1">
      <c r="A428" s="4009" t="s">
        <v>20</v>
      </c>
      <c r="B428" s="4010" t="s">
        <v>2847</v>
      </c>
      <c r="C428" s="4035"/>
      <c r="D428" s="4035"/>
      <c r="E428" s="4035"/>
      <c r="F428" s="4035"/>
      <c r="G428" s="4027">
        <f t="shared" ref="G428:V430" si="196">G429</f>
        <v>230022</v>
      </c>
      <c r="H428" s="4027">
        <f t="shared" si="196"/>
        <v>0</v>
      </c>
      <c r="I428" s="4027">
        <f t="shared" si="196"/>
        <v>0</v>
      </c>
      <c r="J428" s="4027">
        <f t="shared" si="196"/>
        <v>230022</v>
      </c>
      <c r="K428" s="4027">
        <f t="shared" si="196"/>
        <v>0</v>
      </c>
      <c r="L428" s="4027">
        <f t="shared" si="196"/>
        <v>0</v>
      </c>
      <c r="M428" s="4027">
        <f t="shared" si="196"/>
        <v>0</v>
      </c>
      <c r="N428" s="4027">
        <f t="shared" si="196"/>
        <v>0</v>
      </c>
      <c r="O428" s="4027">
        <f t="shared" si="196"/>
        <v>33015</v>
      </c>
      <c r="P428" s="4027">
        <f t="shared" si="196"/>
        <v>0</v>
      </c>
      <c r="Q428" s="4027">
        <f t="shared" si="196"/>
        <v>0</v>
      </c>
      <c r="R428" s="4027">
        <f t="shared" si="196"/>
        <v>33015</v>
      </c>
      <c r="S428" s="4027">
        <f t="shared" si="196"/>
        <v>33000</v>
      </c>
      <c r="T428" s="4027">
        <f t="shared" si="196"/>
        <v>0</v>
      </c>
      <c r="U428" s="4027">
        <f t="shared" si="196"/>
        <v>0</v>
      </c>
      <c r="V428" s="4027">
        <f>V429</f>
        <v>33000</v>
      </c>
    </row>
    <row r="429" spans="1:22" s="248" customFormat="1">
      <c r="A429" s="4009">
        <v>1</v>
      </c>
      <c r="B429" s="4010" t="s">
        <v>3122</v>
      </c>
      <c r="C429" s="4009"/>
      <c r="D429" s="4009"/>
      <c r="E429" s="4009"/>
      <c r="F429" s="4009"/>
      <c r="G429" s="4027">
        <f t="shared" si="196"/>
        <v>230022</v>
      </c>
      <c r="H429" s="4027">
        <f t="shared" si="196"/>
        <v>0</v>
      </c>
      <c r="I429" s="4027">
        <f t="shared" si="196"/>
        <v>0</v>
      </c>
      <c r="J429" s="4027">
        <f t="shared" si="196"/>
        <v>230022</v>
      </c>
      <c r="K429" s="4027">
        <f t="shared" si="196"/>
        <v>0</v>
      </c>
      <c r="L429" s="4027">
        <f t="shared" si="196"/>
        <v>0</v>
      </c>
      <c r="M429" s="4027">
        <f t="shared" si="196"/>
        <v>0</v>
      </c>
      <c r="N429" s="4027">
        <f t="shared" si="196"/>
        <v>0</v>
      </c>
      <c r="O429" s="4027">
        <f t="shared" si="196"/>
        <v>33015</v>
      </c>
      <c r="P429" s="4027">
        <f t="shared" si="196"/>
        <v>0</v>
      </c>
      <c r="Q429" s="4027">
        <f t="shared" si="196"/>
        <v>0</v>
      </c>
      <c r="R429" s="4027">
        <f t="shared" si="196"/>
        <v>33015</v>
      </c>
      <c r="S429" s="4027">
        <f t="shared" si="196"/>
        <v>33000</v>
      </c>
      <c r="T429" s="4027">
        <f t="shared" si="196"/>
        <v>0</v>
      </c>
      <c r="U429" s="4027">
        <f t="shared" si="196"/>
        <v>0</v>
      </c>
      <c r="V429" s="4027">
        <f t="shared" si="196"/>
        <v>33000</v>
      </c>
    </row>
    <row r="430" spans="1:22" ht="31.2">
      <c r="A430" s="4009" t="s">
        <v>34</v>
      </c>
      <c r="B430" s="4028" t="s">
        <v>2871</v>
      </c>
      <c r="C430" s="4009"/>
      <c r="D430" s="4009"/>
      <c r="E430" s="4009"/>
      <c r="F430" s="4009"/>
      <c r="G430" s="4029">
        <f>G431</f>
        <v>230022</v>
      </c>
      <c r="H430" s="4029">
        <f t="shared" si="196"/>
        <v>0</v>
      </c>
      <c r="I430" s="4029">
        <f t="shared" si="196"/>
        <v>0</v>
      </c>
      <c r="J430" s="4029">
        <f t="shared" si="196"/>
        <v>230022</v>
      </c>
      <c r="K430" s="4029">
        <f t="shared" si="196"/>
        <v>0</v>
      </c>
      <c r="L430" s="4029">
        <f t="shared" si="196"/>
        <v>0</v>
      </c>
      <c r="M430" s="4029">
        <f t="shared" si="196"/>
        <v>0</v>
      </c>
      <c r="N430" s="4029">
        <f t="shared" si="196"/>
        <v>0</v>
      </c>
      <c r="O430" s="4029">
        <f t="shared" si="196"/>
        <v>33015</v>
      </c>
      <c r="P430" s="4029">
        <f t="shared" si="196"/>
        <v>0</v>
      </c>
      <c r="Q430" s="4029">
        <f t="shared" si="196"/>
        <v>0</v>
      </c>
      <c r="R430" s="4029">
        <f t="shared" si="196"/>
        <v>33015</v>
      </c>
      <c r="S430" s="4029">
        <f t="shared" si="196"/>
        <v>33000</v>
      </c>
      <c r="T430" s="4029">
        <f t="shared" si="196"/>
        <v>0</v>
      </c>
      <c r="U430" s="4029">
        <f t="shared" si="196"/>
        <v>0</v>
      </c>
      <c r="V430" s="4029">
        <f t="shared" si="196"/>
        <v>33000</v>
      </c>
    </row>
    <row r="431" spans="1:22" ht="46.8">
      <c r="A431" s="3987">
        <v>1</v>
      </c>
      <c r="B431" s="4034" t="s">
        <v>3357</v>
      </c>
      <c r="C431" s="3987" t="s">
        <v>3358</v>
      </c>
      <c r="D431" s="3987" t="s">
        <v>3359</v>
      </c>
      <c r="E431" s="3987" t="s">
        <v>3092</v>
      </c>
      <c r="F431" s="3987" t="s">
        <v>3360</v>
      </c>
      <c r="G431" s="3990">
        <v>230022</v>
      </c>
      <c r="H431" s="3990"/>
      <c r="I431" s="3990"/>
      <c r="J431" s="3990">
        <v>230022</v>
      </c>
      <c r="K431" s="3990">
        <f t="shared" ref="K431" si="197">L431+M431+N431</f>
        <v>0</v>
      </c>
      <c r="L431" s="3990"/>
      <c r="M431" s="3990"/>
      <c r="N431" s="3990">
        <v>0</v>
      </c>
      <c r="O431" s="3990">
        <v>33015</v>
      </c>
      <c r="P431" s="3990"/>
      <c r="Q431" s="3990"/>
      <c r="R431" s="3990">
        <v>33015</v>
      </c>
      <c r="S431" s="3990">
        <f>T431+U431+V431</f>
        <v>33000</v>
      </c>
      <c r="T431" s="3990"/>
      <c r="U431" s="3990"/>
      <c r="V431" s="3990">
        <v>33000</v>
      </c>
    </row>
    <row r="432" spans="1:22" s="1577" customFormat="1">
      <c r="A432" s="4009" t="s">
        <v>49</v>
      </c>
      <c r="B432" s="4010" t="s">
        <v>2849</v>
      </c>
      <c r="C432" s="4035"/>
      <c r="D432" s="4035"/>
      <c r="E432" s="4035"/>
      <c r="F432" s="4035"/>
      <c r="G432" s="4027">
        <f t="shared" ref="G432:V433" si="198">G433</f>
        <v>66539.217000000004</v>
      </c>
      <c r="H432" s="4027">
        <f t="shared" si="198"/>
        <v>0</v>
      </c>
      <c r="I432" s="4027">
        <f t="shared" si="198"/>
        <v>0</v>
      </c>
      <c r="J432" s="4027">
        <f t="shared" si="198"/>
        <v>47600</v>
      </c>
      <c r="K432" s="4027">
        <f t="shared" si="198"/>
        <v>19170</v>
      </c>
      <c r="L432" s="4027">
        <f t="shared" si="198"/>
        <v>0</v>
      </c>
      <c r="M432" s="4027">
        <f t="shared" si="198"/>
        <v>0</v>
      </c>
      <c r="N432" s="4027">
        <f t="shared" si="198"/>
        <v>19170</v>
      </c>
      <c r="O432" s="4027">
        <f t="shared" si="198"/>
        <v>19170</v>
      </c>
      <c r="P432" s="4027">
        <f t="shared" si="198"/>
        <v>0</v>
      </c>
      <c r="Q432" s="4027">
        <f t="shared" si="198"/>
        <v>0</v>
      </c>
      <c r="R432" s="4027">
        <f t="shared" si="198"/>
        <v>19170</v>
      </c>
      <c r="S432" s="4027">
        <f t="shared" si="198"/>
        <v>5330</v>
      </c>
      <c r="T432" s="4027">
        <f t="shared" si="198"/>
        <v>0</v>
      </c>
      <c r="U432" s="4027">
        <f t="shared" si="198"/>
        <v>0</v>
      </c>
      <c r="V432" s="4027">
        <f>V433</f>
        <v>5330</v>
      </c>
    </row>
    <row r="433" spans="1:22" s="248" customFormat="1">
      <c r="A433" s="4009">
        <v>1</v>
      </c>
      <c r="B433" s="4010" t="s">
        <v>3122</v>
      </c>
      <c r="C433" s="4009"/>
      <c r="D433" s="4009"/>
      <c r="E433" s="4009"/>
      <c r="F433" s="4009"/>
      <c r="G433" s="4027">
        <f t="shared" si="198"/>
        <v>66539.217000000004</v>
      </c>
      <c r="H433" s="4027">
        <f t="shared" si="198"/>
        <v>0</v>
      </c>
      <c r="I433" s="4027">
        <f t="shared" si="198"/>
        <v>0</v>
      </c>
      <c r="J433" s="4027">
        <f t="shared" si="198"/>
        <v>47600</v>
      </c>
      <c r="K433" s="4027">
        <f t="shared" si="198"/>
        <v>19170</v>
      </c>
      <c r="L433" s="4027">
        <f t="shared" si="198"/>
        <v>0</v>
      </c>
      <c r="M433" s="4027">
        <f t="shared" si="198"/>
        <v>0</v>
      </c>
      <c r="N433" s="4027">
        <f t="shared" si="198"/>
        <v>19170</v>
      </c>
      <c r="O433" s="4027">
        <f t="shared" si="198"/>
        <v>19170</v>
      </c>
      <c r="P433" s="4027">
        <f t="shared" si="198"/>
        <v>0</v>
      </c>
      <c r="Q433" s="4027">
        <f t="shared" si="198"/>
        <v>0</v>
      </c>
      <c r="R433" s="4027">
        <f t="shared" si="198"/>
        <v>19170</v>
      </c>
      <c r="S433" s="4027">
        <f t="shared" si="198"/>
        <v>5330</v>
      </c>
      <c r="T433" s="4027">
        <f t="shared" si="198"/>
        <v>0</v>
      </c>
      <c r="U433" s="4027">
        <f t="shared" si="198"/>
        <v>0</v>
      </c>
      <c r="V433" s="4027">
        <f t="shared" si="198"/>
        <v>5330</v>
      </c>
    </row>
    <row r="434" spans="1:22" ht="31.2">
      <c r="A434" s="4009" t="s">
        <v>34</v>
      </c>
      <c r="B434" s="4028" t="s">
        <v>2871</v>
      </c>
      <c r="C434" s="4009"/>
      <c r="D434" s="4009"/>
      <c r="E434" s="4009"/>
      <c r="F434" s="4009"/>
      <c r="G434" s="4029">
        <f>SUM(G435:G436)</f>
        <v>66539.217000000004</v>
      </c>
      <c r="H434" s="4029">
        <f t="shared" ref="H434:V434" si="199">SUM(H435:H436)</f>
        <v>0</v>
      </c>
      <c r="I434" s="4029">
        <f t="shared" si="199"/>
        <v>0</v>
      </c>
      <c r="J434" s="4029">
        <f t="shared" si="199"/>
        <v>47600</v>
      </c>
      <c r="K434" s="4029">
        <f t="shared" si="199"/>
        <v>19170</v>
      </c>
      <c r="L434" s="4029">
        <f t="shared" si="199"/>
        <v>0</v>
      </c>
      <c r="M434" s="4029">
        <f t="shared" si="199"/>
        <v>0</v>
      </c>
      <c r="N434" s="4029">
        <f t="shared" si="199"/>
        <v>19170</v>
      </c>
      <c r="O434" s="4029">
        <f t="shared" si="199"/>
        <v>19170</v>
      </c>
      <c r="P434" s="4029">
        <f t="shared" si="199"/>
        <v>0</v>
      </c>
      <c r="Q434" s="4029">
        <f t="shared" si="199"/>
        <v>0</v>
      </c>
      <c r="R434" s="4029">
        <f t="shared" si="199"/>
        <v>19170</v>
      </c>
      <c r="S434" s="4029">
        <f t="shared" si="199"/>
        <v>5330</v>
      </c>
      <c r="T434" s="4029">
        <f t="shared" si="199"/>
        <v>0</v>
      </c>
      <c r="U434" s="4029">
        <f t="shared" si="199"/>
        <v>0</v>
      </c>
      <c r="V434" s="4029">
        <f t="shared" si="199"/>
        <v>5330</v>
      </c>
    </row>
    <row r="435" spans="1:22" s="3999" customFormat="1" ht="43.5" customHeight="1">
      <c r="A435" s="4174">
        <v>1</v>
      </c>
      <c r="B435" s="4040" t="s">
        <v>3361</v>
      </c>
      <c r="C435" s="4047" t="s">
        <v>2982</v>
      </c>
      <c r="D435" s="4047" t="s">
        <v>3362</v>
      </c>
      <c r="E435" s="4047" t="s">
        <v>2887</v>
      </c>
      <c r="F435" s="4047" t="s">
        <v>3363</v>
      </c>
      <c r="G435" s="4057">
        <v>31857</v>
      </c>
      <c r="H435" s="4057"/>
      <c r="I435" s="4057"/>
      <c r="J435" s="4057">
        <v>28600</v>
      </c>
      <c r="K435" s="4057">
        <f>N435</f>
        <v>18670</v>
      </c>
      <c r="L435" s="4057"/>
      <c r="M435" s="4057"/>
      <c r="N435" s="4033">
        <v>18670</v>
      </c>
      <c r="O435" s="4057">
        <f>R435</f>
        <v>18670</v>
      </c>
      <c r="P435" s="4057"/>
      <c r="Q435" s="4057"/>
      <c r="R435" s="4057">
        <v>18670</v>
      </c>
      <c r="S435" s="4033">
        <f>V435</f>
        <v>1330</v>
      </c>
      <c r="T435" s="4057"/>
      <c r="U435" s="4057"/>
      <c r="V435" s="4057">
        <v>1330</v>
      </c>
    </row>
    <row r="436" spans="1:22" s="3999" customFormat="1" ht="38.25" customHeight="1">
      <c r="A436" s="4174">
        <v>2</v>
      </c>
      <c r="B436" s="4040" t="s">
        <v>3364</v>
      </c>
      <c r="C436" s="4047" t="s">
        <v>2982</v>
      </c>
      <c r="D436" s="4047" t="s">
        <v>3365</v>
      </c>
      <c r="E436" s="4047" t="s">
        <v>2892</v>
      </c>
      <c r="F436" s="4047" t="s">
        <v>3366</v>
      </c>
      <c r="G436" s="4057">
        <v>34682.216999999997</v>
      </c>
      <c r="H436" s="4057"/>
      <c r="I436" s="4057"/>
      <c r="J436" s="4057">
        <v>19000</v>
      </c>
      <c r="K436" s="4058">
        <f>N436</f>
        <v>500</v>
      </c>
      <c r="L436" s="4058"/>
      <c r="M436" s="4058"/>
      <c r="N436" s="4033">
        <v>500</v>
      </c>
      <c r="O436" s="4058">
        <f>R436</f>
        <v>500</v>
      </c>
      <c r="P436" s="4058"/>
      <c r="Q436" s="4058"/>
      <c r="R436" s="4057">
        <v>500</v>
      </c>
      <c r="S436" s="4033">
        <f>V436</f>
        <v>4000</v>
      </c>
      <c r="T436" s="4057"/>
      <c r="U436" s="4057"/>
      <c r="V436" s="4057">
        <v>4000</v>
      </c>
    </row>
    <row r="437" spans="1:22" s="1577" customFormat="1">
      <c r="A437" s="4009" t="s">
        <v>50</v>
      </c>
      <c r="B437" s="4010" t="s">
        <v>2850</v>
      </c>
      <c r="C437" s="4035"/>
      <c r="D437" s="4035"/>
      <c r="E437" s="4035"/>
      <c r="F437" s="4035"/>
      <c r="G437" s="4027">
        <f t="shared" ref="G437:V439" si="200">G438</f>
        <v>14302.601000000001</v>
      </c>
      <c r="H437" s="4027">
        <f t="shared" si="200"/>
        <v>0</v>
      </c>
      <c r="I437" s="4027">
        <f t="shared" si="200"/>
        <v>0</v>
      </c>
      <c r="J437" s="4027">
        <f t="shared" si="200"/>
        <v>0</v>
      </c>
      <c r="K437" s="4027">
        <f t="shared" si="200"/>
        <v>11298</v>
      </c>
      <c r="L437" s="4027">
        <f t="shared" si="200"/>
        <v>0</v>
      </c>
      <c r="M437" s="4027">
        <f t="shared" si="200"/>
        <v>0</v>
      </c>
      <c r="N437" s="4027">
        <f t="shared" si="200"/>
        <v>11298</v>
      </c>
      <c r="O437" s="4027">
        <f t="shared" si="200"/>
        <v>10000</v>
      </c>
      <c r="P437" s="4027">
        <f t="shared" si="200"/>
        <v>0</v>
      </c>
      <c r="Q437" s="4027">
        <f t="shared" si="200"/>
        <v>0</v>
      </c>
      <c r="R437" s="4027">
        <f t="shared" si="200"/>
        <v>10000</v>
      </c>
      <c r="S437" s="4027">
        <f t="shared" si="200"/>
        <v>2800</v>
      </c>
      <c r="T437" s="4027">
        <f t="shared" si="200"/>
        <v>0</v>
      </c>
      <c r="U437" s="4027">
        <f t="shared" si="200"/>
        <v>0</v>
      </c>
      <c r="V437" s="4027">
        <f>V438</f>
        <v>2800</v>
      </c>
    </row>
    <row r="438" spans="1:22" s="248" customFormat="1">
      <c r="A438" s="4009">
        <v>1</v>
      </c>
      <c r="B438" s="4010" t="s">
        <v>3122</v>
      </c>
      <c r="C438" s="4009"/>
      <c r="D438" s="4009"/>
      <c r="E438" s="4009"/>
      <c r="F438" s="4009"/>
      <c r="G438" s="4027">
        <f t="shared" si="200"/>
        <v>14302.601000000001</v>
      </c>
      <c r="H438" s="4027">
        <f t="shared" si="200"/>
        <v>0</v>
      </c>
      <c r="I438" s="4027">
        <f t="shared" si="200"/>
        <v>0</v>
      </c>
      <c r="J438" s="4027">
        <f t="shared" si="200"/>
        <v>0</v>
      </c>
      <c r="K438" s="4027">
        <f t="shared" si="200"/>
        <v>11298</v>
      </c>
      <c r="L438" s="4027">
        <f t="shared" si="200"/>
        <v>0</v>
      </c>
      <c r="M438" s="4027">
        <f t="shared" si="200"/>
        <v>0</v>
      </c>
      <c r="N438" s="4027">
        <f t="shared" si="200"/>
        <v>11298</v>
      </c>
      <c r="O438" s="4027">
        <f t="shared" si="200"/>
        <v>10000</v>
      </c>
      <c r="P438" s="4027">
        <f t="shared" si="200"/>
        <v>0</v>
      </c>
      <c r="Q438" s="4027">
        <f t="shared" si="200"/>
        <v>0</v>
      </c>
      <c r="R438" s="4027">
        <f t="shared" si="200"/>
        <v>10000</v>
      </c>
      <c r="S438" s="4027">
        <f t="shared" si="200"/>
        <v>2800</v>
      </c>
      <c r="T438" s="4027">
        <f t="shared" si="200"/>
        <v>0</v>
      </c>
      <c r="U438" s="4027">
        <f t="shared" si="200"/>
        <v>0</v>
      </c>
      <c r="V438" s="4027">
        <f t="shared" si="200"/>
        <v>2800</v>
      </c>
    </row>
    <row r="439" spans="1:22" ht="31.2">
      <c r="A439" s="4009" t="s">
        <v>34</v>
      </c>
      <c r="B439" s="4028" t="s">
        <v>2871</v>
      </c>
      <c r="C439" s="4009"/>
      <c r="D439" s="4009"/>
      <c r="E439" s="4009"/>
      <c r="F439" s="4009"/>
      <c r="G439" s="4029">
        <f>G440</f>
        <v>14302.601000000001</v>
      </c>
      <c r="H439" s="4029">
        <f t="shared" si="200"/>
        <v>0</v>
      </c>
      <c r="I439" s="4029">
        <f t="shared" si="200"/>
        <v>0</v>
      </c>
      <c r="J439" s="4029">
        <f t="shared" si="200"/>
        <v>0</v>
      </c>
      <c r="K439" s="4029">
        <f t="shared" si="200"/>
        <v>11298</v>
      </c>
      <c r="L439" s="4029">
        <f t="shared" si="200"/>
        <v>0</v>
      </c>
      <c r="M439" s="4029">
        <f t="shared" si="200"/>
        <v>0</v>
      </c>
      <c r="N439" s="4029">
        <f t="shared" si="200"/>
        <v>11298</v>
      </c>
      <c r="O439" s="4029">
        <f t="shared" si="200"/>
        <v>10000</v>
      </c>
      <c r="P439" s="4029">
        <f t="shared" si="200"/>
        <v>0</v>
      </c>
      <c r="Q439" s="4029">
        <f t="shared" si="200"/>
        <v>0</v>
      </c>
      <c r="R439" s="4029">
        <f t="shared" si="200"/>
        <v>10000</v>
      </c>
      <c r="S439" s="4029">
        <f t="shared" si="200"/>
        <v>2800</v>
      </c>
      <c r="T439" s="4029">
        <f t="shared" si="200"/>
        <v>0</v>
      </c>
      <c r="U439" s="4029">
        <f t="shared" si="200"/>
        <v>0</v>
      </c>
      <c r="V439" s="4029">
        <f t="shared" si="200"/>
        <v>2800</v>
      </c>
    </row>
    <row r="440" spans="1:22" s="4002" customFormat="1" ht="55.5" customHeight="1">
      <c r="A440" s="3987">
        <v>1</v>
      </c>
      <c r="B440" s="4175" t="s">
        <v>3367</v>
      </c>
      <c r="C440" s="3987" t="s">
        <v>3133</v>
      </c>
      <c r="D440" s="3987" t="s">
        <v>3368</v>
      </c>
      <c r="E440" s="4176" t="s">
        <v>3155</v>
      </c>
      <c r="F440" s="4177" t="s">
        <v>3369</v>
      </c>
      <c r="G440" s="4178">
        <v>14302.601000000001</v>
      </c>
      <c r="H440" s="4178"/>
      <c r="I440" s="4178"/>
      <c r="J440" s="4178"/>
      <c r="K440" s="4178">
        <f>N440</f>
        <v>11298</v>
      </c>
      <c r="L440" s="4178"/>
      <c r="M440" s="4178"/>
      <c r="N440" s="4178">
        <v>11298</v>
      </c>
      <c r="O440" s="4178">
        <v>10000</v>
      </c>
      <c r="P440" s="4178"/>
      <c r="Q440" s="4178"/>
      <c r="R440" s="4178">
        <v>10000</v>
      </c>
      <c r="S440" s="4178">
        <v>2800</v>
      </c>
      <c r="T440" s="4178"/>
      <c r="U440" s="4178"/>
      <c r="V440" s="4178">
        <v>2800</v>
      </c>
    </row>
    <row r="441" spans="1:22" s="1577" customFormat="1">
      <c r="A441" s="4009" t="s">
        <v>72</v>
      </c>
      <c r="B441" s="4010" t="s">
        <v>2851</v>
      </c>
      <c r="C441" s="4035"/>
      <c r="D441" s="4035"/>
      <c r="E441" s="4035"/>
      <c r="F441" s="4035"/>
      <c r="G441" s="4027">
        <f t="shared" ref="G441:V442" si="201">G442</f>
        <v>251757.935</v>
      </c>
      <c r="H441" s="4027">
        <f t="shared" si="201"/>
        <v>0</v>
      </c>
      <c r="I441" s="4027">
        <f t="shared" si="201"/>
        <v>0</v>
      </c>
      <c r="J441" s="4027">
        <f t="shared" si="201"/>
        <v>251757.935</v>
      </c>
      <c r="K441" s="4027">
        <f t="shared" si="201"/>
        <v>20000</v>
      </c>
      <c r="L441" s="4027">
        <f t="shared" si="201"/>
        <v>0</v>
      </c>
      <c r="M441" s="4027">
        <f t="shared" si="201"/>
        <v>0</v>
      </c>
      <c r="N441" s="4027">
        <f t="shared" si="201"/>
        <v>20000</v>
      </c>
      <c r="O441" s="4027">
        <f t="shared" si="201"/>
        <v>20000</v>
      </c>
      <c r="P441" s="4027">
        <f t="shared" si="201"/>
        <v>0</v>
      </c>
      <c r="Q441" s="4027">
        <f t="shared" si="201"/>
        <v>0</v>
      </c>
      <c r="R441" s="4027">
        <f t="shared" si="201"/>
        <v>20000</v>
      </c>
      <c r="S441" s="4027">
        <f t="shared" si="201"/>
        <v>14000</v>
      </c>
      <c r="T441" s="4027">
        <f t="shared" si="201"/>
        <v>0</v>
      </c>
      <c r="U441" s="4027">
        <f t="shared" si="201"/>
        <v>0</v>
      </c>
      <c r="V441" s="4027">
        <f>V442</f>
        <v>14000</v>
      </c>
    </row>
    <row r="442" spans="1:22" s="248" customFormat="1">
      <c r="A442" s="4009">
        <v>1</v>
      </c>
      <c r="B442" s="4010" t="s">
        <v>3122</v>
      </c>
      <c r="C442" s="4009"/>
      <c r="D442" s="4009"/>
      <c r="E442" s="4009"/>
      <c r="F442" s="4009"/>
      <c r="G442" s="4027">
        <f t="shared" si="201"/>
        <v>251757.935</v>
      </c>
      <c r="H442" s="4027">
        <f t="shared" si="201"/>
        <v>0</v>
      </c>
      <c r="I442" s="4027">
        <f t="shared" si="201"/>
        <v>0</v>
      </c>
      <c r="J442" s="4027">
        <f t="shared" si="201"/>
        <v>251757.935</v>
      </c>
      <c r="K442" s="4027">
        <f t="shared" si="201"/>
        <v>20000</v>
      </c>
      <c r="L442" s="4027">
        <f t="shared" si="201"/>
        <v>0</v>
      </c>
      <c r="M442" s="4027">
        <f t="shared" si="201"/>
        <v>0</v>
      </c>
      <c r="N442" s="4027">
        <f t="shared" si="201"/>
        <v>20000</v>
      </c>
      <c r="O442" s="4027">
        <f t="shared" si="201"/>
        <v>20000</v>
      </c>
      <c r="P442" s="4027">
        <f t="shared" si="201"/>
        <v>0</v>
      </c>
      <c r="Q442" s="4027">
        <f t="shared" si="201"/>
        <v>0</v>
      </c>
      <c r="R442" s="4027">
        <f t="shared" si="201"/>
        <v>20000</v>
      </c>
      <c r="S442" s="4027">
        <f t="shared" si="201"/>
        <v>14000</v>
      </c>
      <c r="T442" s="4027">
        <f t="shared" si="201"/>
        <v>0</v>
      </c>
      <c r="U442" s="4027">
        <f t="shared" si="201"/>
        <v>0</v>
      </c>
      <c r="V442" s="4027">
        <f t="shared" si="201"/>
        <v>14000</v>
      </c>
    </row>
    <row r="443" spans="1:22" ht="31.2">
      <c r="A443" s="4009" t="s">
        <v>34</v>
      </c>
      <c r="B443" s="4028" t="s">
        <v>2871</v>
      </c>
      <c r="C443" s="4009"/>
      <c r="D443" s="4009"/>
      <c r="E443" s="4009"/>
      <c r="F443" s="4009"/>
      <c r="G443" s="4029">
        <f>SUM(G444:G445)</f>
        <v>251757.935</v>
      </c>
      <c r="H443" s="4029">
        <f t="shared" ref="H443:V443" si="202">SUM(H444:H445)</f>
        <v>0</v>
      </c>
      <c r="I443" s="4029">
        <f t="shared" si="202"/>
        <v>0</v>
      </c>
      <c r="J443" s="4029">
        <f t="shared" si="202"/>
        <v>251757.935</v>
      </c>
      <c r="K443" s="4029">
        <f t="shared" si="202"/>
        <v>20000</v>
      </c>
      <c r="L443" s="4029">
        <f t="shared" si="202"/>
        <v>0</v>
      </c>
      <c r="M443" s="4029">
        <f t="shared" si="202"/>
        <v>0</v>
      </c>
      <c r="N443" s="4029">
        <f t="shared" si="202"/>
        <v>20000</v>
      </c>
      <c r="O443" s="4029">
        <f t="shared" si="202"/>
        <v>20000</v>
      </c>
      <c r="P443" s="4029">
        <f t="shared" si="202"/>
        <v>0</v>
      </c>
      <c r="Q443" s="4029">
        <f t="shared" si="202"/>
        <v>0</v>
      </c>
      <c r="R443" s="4029">
        <f t="shared" si="202"/>
        <v>20000</v>
      </c>
      <c r="S443" s="4029">
        <f t="shared" si="202"/>
        <v>14000</v>
      </c>
      <c r="T443" s="4029">
        <f t="shared" si="202"/>
        <v>0</v>
      </c>
      <c r="U443" s="4029">
        <f t="shared" si="202"/>
        <v>0</v>
      </c>
      <c r="V443" s="4029">
        <f t="shared" si="202"/>
        <v>14000</v>
      </c>
    </row>
    <row r="444" spans="1:22" s="4072" customFormat="1" ht="46.8">
      <c r="A444" s="3987">
        <v>1</v>
      </c>
      <c r="B444" s="4066" t="s">
        <v>3370</v>
      </c>
      <c r="C444" s="4067" t="s">
        <v>3031</v>
      </c>
      <c r="D444" s="4067" t="s">
        <v>3371</v>
      </c>
      <c r="E444" s="4067" t="s">
        <v>2887</v>
      </c>
      <c r="F444" s="4069" t="s">
        <v>3372</v>
      </c>
      <c r="G444" s="4070">
        <v>182903.72899999999</v>
      </c>
      <c r="H444" s="4071"/>
      <c r="I444" s="4071"/>
      <c r="J444" s="4070">
        <f t="shared" ref="J444:J445" si="203">G444</f>
        <v>182903.72899999999</v>
      </c>
      <c r="K444" s="4070">
        <f t="shared" ref="K444:K445" si="204">SUM(L444:N444)</f>
        <v>20000</v>
      </c>
      <c r="L444" s="4071"/>
      <c r="M444" s="4071"/>
      <c r="N444" s="3990">
        <v>20000</v>
      </c>
      <c r="O444" s="4070">
        <f t="shared" ref="O444:O445" si="205">SUM(P444:R444)</f>
        <v>20000</v>
      </c>
      <c r="P444" s="4071"/>
      <c r="Q444" s="4071"/>
      <c r="R444" s="4070">
        <v>20000</v>
      </c>
      <c r="S444" s="3990">
        <f t="shared" ref="S444:S445" si="206">SUM(T444:V444)</f>
        <v>10000</v>
      </c>
      <c r="T444" s="4071"/>
      <c r="U444" s="4071"/>
      <c r="V444" s="4070">
        <v>10000</v>
      </c>
    </row>
    <row r="445" spans="1:22" ht="38.25" customHeight="1">
      <c r="A445" s="3987">
        <v>2</v>
      </c>
      <c r="B445" s="4034" t="s">
        <v>3373</v>
      </c>
      <c r="C445" s="4179"/>
      <c r="D445" s="4067" t="s">
        <v>3374</v>
      </c>
      <c r="E445" s="4067" t="s">
        <v>2892</v>
      </c>
      <c r="F445" s="4067" t="s">
        <v>3375</v>
      </c>
      <c r="G445" s="4070">
        <v>68854.206000000006</v>
      </c>
      <c r="H445" s="4070"/>
      <c r="I445" s="4070"/>
      <c r="J445" s="4070">
        <f t="shared" si="203"/>
        <v>68854.206000000006</v>
      </c>
      <c r="K445" s="4070">
        <f t="shared" si="204"/>
        <v>0</v>
      </c>
      <c r="L445" s="4070"/>
      <c r="M445" s="4070"/>
      <c r="N445" s="3990">
        <v>0</v>
      </c>
      <c r="O445" s="4070">
        <f t="shared" si="205"/>
        <v>0</v>
      </c>
      <c r="P445" s="4070"/>
      <c r="Q445" s="4070"/>
      <c r="R445" s="4070">
        <v>0</v>
      </c>
      <c r="S445" s="3990">
        <f t="shared" si="206"/>
        <v>4000</v>
      </c>
      <c r="T445" s="4070"/>
      <c r="U445" s="4070"/>
      <c r="V445" s="4070">
        <v>4000</v>
      </c>
    </row>
    <row r="446" spans="1:22" s="1577" customFormat="1">
      <c r="A446" s="4009" t="s">
        <v>100</v>
      </c>
      <c r="B446" s="4010" t="s">
        <v>2852</v>
      </c>
      <c r="C446" s="4035"/>
      <c r="D446" s="4035"/>
      <c r="E446" s="4035"/>
      <c r="F446" s="4035"/>
      <c r="G446" s="4027">
        <f t="shared" ref="G446:V447" si="207">G447</f>
        <v>238879.45199999999</v>
      </c>
      <c r="H446" s="4027">
        <f t="shared" si="207"/>
        <v>0</v>
      </c>
      <c r="I446" s="4027">
        <f t="shared" si="207"/>
        <v>0</v>
      </c>
      <c r="J446" s="4027">
        <f t="shared" si="207"/>
        <v>216100</v>
      </c>
      <c r="K446" s="4027">
        <f t="shared" si="207"/>
        <v>52069.249000000003</v>
      </c>
      <c r="L446" s="4027">
        <f t="shared" si="207"/>
        <v>0</v>
      </c>
      <c r="M446" s="4027">
        <f t="shared" si="207"/>
        <v>0</v>
      </c>
      <c r="N446" s="4027">
        <f t="shared" si="207"/>
        <v>52069.249000000003</v>
      </c>
      <c r="O446" s="4027">
        <f t="shared" si="207"/>
        <v>53000</v>
      </c>
      <c r="P446" s="4027">
        <f t="shared" si="207"/>
        <v>0</v>
      </c>
      <c r="Q446" s="4027">
        <f t="shared" si="207"/>
        <v>0</v>
      </c>
      <c r="R446" s="4027">
        <f t="shared" si="207"/>
        <v>53000</v>
      </c>
      <c r="S446" s="4027">
        <f t="shared" si="207"/>
        <v>25866</v>
      </c>
      <c r="T446" s="4027">
        <f t="shared" si="207"/>
        <v>0</v>
      </c>
      <c r="U446" s="4027">
        <f t="shared" si="207"/>
        <v>0</v>
      </c>
      <c r="V446" s="4027">
        <f>V447</f>
        <v>25866</v>
      </c>
    </row>
    <row r="447" spans="1:22" s="248" customFormat="1">
      <c r="A447" s="4009">
        <v>1</v>
      </c>
      <c r="B447" s="4010" t="s">
        <v>3122</v>
      </c>
      <c r="C447" s="4009"/>
      <c r="D447" s="4009"/>
      <c r="E447" s="4009"/>
      <c r="F447" s="4009"/>
      <c r="G447" s="4027">
        <f t="shared" si="207"/>
        <v>238879.45199999999</v>
      </c>
      <c r="H447" s="4027">
        <f t="shared" si="207"/>
        <v>0</v>
      </c>
      <c r="I447" s="4027">
        <f t="shared" si="207"/>
        <v>0</v>
      </c>
      <c r="J447" s="4027">
        <f t="shared" si="207"/>
        <v>216100</v>
      </c>
      <c r="K447" s="4027">
        <f t="shared" si="207"/>
        <v>52069.249000000003</v>
      </c>
      <c r="L447" s="4027">
        <f t="shared" si="207"/>
        <v>0</v>
      </c>
      <c r="M447" s="4027">
        <f t="shared" si="207"/>
        <v>0</v>
      </c>
      <c r="N447" s="4027">
        <f t="shared" si="207"/>
        <v>52069.249000000003</v>
      </c>
      <c r="O447" s="4027">
        <f t="shared" si="207"/>
        <v>53000</v>
      </c>
      <c r="P447" s="4027">
        <f t="shared" si="207"/>
        <v>0</v>
      </c>
      <c r="Q447" s="4027">
        <f t="shared" si="207"/>
        <v>0</v>
      </c>
      <c r="R447" s="4027">
        <f t="shared" si="207"/>
        <v>53000</v>
      </c>
      <c r="S447" s="4027">
        <f t="shared" si="207"/>
        <v>25866</v>
      </c>
      <c r="T447" s="4027">
        <f t="shared" si="207"/>
        <v>0</v>
      </c>
      <c r="U447" s="4027">
        <f t="shared" si="207"/>
        <v>0</v>
      </c>
      <c r="V447" s="4027">
        <f t="shared" si="207"/>
        <v>25866</v>
      </c>
    </row>
    <row r="448" spans="1:22" ht="31.2">
      <c r="A448" s="4009" t="s">
        <v>34</v>
      </c>
      <c r="B448" s="4028" t="s">
        <v>2871</v>
      </c>
      <c r="C448" s="4009"/>
      <c r="D448" s="4009"/>
      <c r="E448" s="4009"/>
      <c r="F448" s="4009"/>
      <c r="G448" s="4029">
        <f>SUM(G449:G452)</f>
        <v>238879.45199999999</v>
      </c>
      <c r="H448" s="4029">
        <f t="shared" ref="H448:V448" si="208">SUM(H449:H452)</f>
        <v>0</v>
      </c>
      <c r="I448" s="4029">
        <f t="shared" si="208"/>
        <v>0</v>
      </c>
      <c r="J448" s="4029">
        <f t="shared" si="208"/>
        <v>216100</v>
      </c>
      <c r="K448" s="4029">
        <f t="shared" si="208"/>
        <v>52069.249000000003</v>
      </c>
      <c r="L448" s="4029">
        <f t="shared" si="208"/>
        <v>0</v>
      </c>
      <c r="M448" s="4029">
        <f t="shared" si="208"/>
        <v>0</v>
      </c>
      <c r="N448" s="4029">
        <f t="shared" si="208"/>
        <v>52069.249000000003</v>
      </c>
      <c r="O448" s="4029">
        <f t="shared" si="208"/>
        <v>53000</v>
      </c>
      <c r="P448" s="4029">
        <f t="shared" si="208"/>
        <v>0</v>
      </c>
      <c r="Q448" s="4029">
        <f t="shared" si="208"/>
        <v>0</v>
      </c>
      <c r="R448" s="4029">
        <f t="shared" si="208"/>
        <v>53000</v>
      </c>
      <c r="S448" s="4029">
        <f t="shared" si="208"/>
        <v>25866</v>
      </c>
      <c r="T448" s="4029">
        <f t="shared" si="208"/>
        <v>0</v>
      </c>
      <c r="U448" s="4029">
        <f t="shared" si="208"/>
        <v>0</v>
      </c>
      <c r="V448" s="4029">
        <f t="shared" si="208"/>
        <v>25866</v>
      </c>
    </row>
    <row r="449" spans="1:22" ht="78" customHeight="1">
      <c r="A449" s="4127">
        <v>1</v>
      </c>
      <c r="B449" s="3988" t="s">
        <v>3376</v>
      </c>
      <c r="C449" s="4115" t="s">
        <v>2885</v>
      </c>
      <c r="D449" s="4115" t="s">
        <v>3377</v>
      </c>
      <c r="E449" s="4115" t="s">
        <v>2887</v>
      </c>
      <c r="F449" s="4047" t="s">
        <v>3378</v>
      </c>
      <c r="G449" s="4118">
        <v>21388</v>
      </c>
      <c r="H449" s="4118"/>
      <c r="I449" s="4118"/>
      <c r="J449" s="4118">
        <v>20000</v>
      </c>
      <c r="K449" s="3992">
        <f>SUM(L449:N449)</f>
        <v>11500</v>
      </c>
      <c r="L449" s="3992"/>
      <c r="M449" s="3992"/>
      <c r="N449" s="3992">
        <v>11500</v>
      </c>
      <c r="O449" s="3992">
        <f>SUM(P449:R449)</f>
        <v>11500</v>
      </c>
      <c r="P449" s="3992"/>
      <c r="Q449" s="3992"/>
      <c r="R449" s="3992">
        <v>11500</v>
      </c>
      <c r="S449" s="3992">
        <f>T449+U449+V449</f>
        <v>3500</v>
      </c>
      <c r="T449" s="3992"/>
      <c r="U449" s="3992"/>
      <c r="V449" s="3992">
        <v>3500</v>
      </c>
    </row>
    <row r="450" spans="1:22" ht="72.75" customHeight="1">
      <c r="A450" s="4127">
        <v>2</v>
      </c>
      <c r="B450" s="3988" t="s">
        <v>3379</v>
      </c>
      <c r="C450" s="4115" t="s">
        <v>2885</v>
      </c>
      <c r="D450" s="4115" t="s">
        <v>3380</v>
      </c>
      <c r="E450" s="4115" t="s">
        <v>2887</v>
      </c>
      <c r="F450" s="4047" t="s">
        <v>3381</v>
      </c>
      <c r="G450" s="4118">
        <v>70335</v>
      </c>
      <c r="H450" s="4118"/>
      <c r="I450" s="4118"/>
      <c r="J450" s="4118">
        <v>63300</v>
      </c>
      <c r="K450" s="3992">
        <f t="shared" ref="K450:K451" si="209">L450+M450+N450</f>
        <v>27600</v>
      </c>
      <c r="L450" s="3992"/>
      <c r="M450" s="3992"/>
      <c r="N450" s="3992">
        <v>27600</v>
      </c>
      <c r="O450" s="3992">
        <f t="shared" ref="O450:O451" si="210">P450+Q450+R450</f>
        <v>27600</v>
      </c>
      <c r="P450" s="3992"/>
      <c r="Q450" s="3992"/>
      <c r="R450" s="3992">
        <v>27600</v>
      </c>
      <c r="S450" s="3992">
        <v>2400</v>
      </c>
      <c r="T450" s="3992"/>
      <c r="U450" s="3992"/>
      <c r="V450" s="3992">
        <v>2400</v>
      </c>
    </row>
    <row r="451" spans="1:22" ht="27.75" customHeight="1">
      <c r="A451" s="4127">
        <v>3</v>
      </c>
      <c r="B451" s="3988" t="s">
        <v>3382</v>
      </c>
      <c r="C451" s="4115" t="s">
        <v>2885</v>
      </c>
      <c r="D451" s="4115" t="s">
        <v>3383</v>
      </c>
      <c r="E451" s="4115" t="s">
        <v>2882</v>
      </c>
      <c r="F451" s="4047" t="s">
        <v>3384</v>
      </c>
      <c r="G451" s="4118">
        <v>71318.634999999995</v>
      </c>
      <c r="H451" s="4118"/>
      <c r="I451" s="4118"/>
      <c r="J451" s="4118">
        <v>64600</v>
      </c>
      <c r="K451" s="3992">
        <f t="shared" si="209"/>
        <v>12000</v>
      </c>
      <c r="L451" s="3992"/>
      <c r="M451" s="3992"/>
      <c r="N451" s="3992">
        <v>12000</v>
      </c>
      <c r="O451" s="3992">
        <f t="shared" si="210"/>
        <v>12000</v>
      </c>
      <c r="P451" s="3992"/>
      <c r="Q451" s="3992"/>
      <c r="R451" s="3992">
        <v>12000</v>
      </c>
      <c r="S451" s="3992">
        <f t="shared" ref="S451" si="211">T451+U451+V451</f>
        <v>11866</v>
      </c>
      <c r="T451" s="3992"/>
      <c r="U451" s="3992"/>
      <c r="V451" s="3992">
        <f>11866</f>
        <v>11866</v>
      </c>
    </row>
    <row r="452" spans="1:22" ht="38.25" customHeight="1">
      <c r="A452" s="4127">
        <v>4</v>
      </c>
      <c r="B452" s="3988" t="s">
        <v>3385</v>
      </c>
      <c r="C452" s="4115" t="s">
        <v>2885</v>
      </c>
      <c r="D452" s="4047" t="s">
        <v>3386</v>
      </c>
      <c r="E452" s="4115" t="s">
        <v>2892</v>
      </c>
      <c r="F452" s="4047" t="s">
        <v>3387</v>
      </c>
      <c r="G452" s="4118">
        <v>75837.816999999995</v>
      </c>
      <c r="H452" s="4118"/>
      <c r="I452" s="4118"/>
      <c r="J452" s="4118">
        <v>68200</v>
      </c>
      <c r="K452" s="4118">
        <f>N452</f>
        <v>969.24900000000002</v>
      </c>
      <c r="L452" s="4118"/>
      <c r="M452" s="4118"/>
      <c r="N452" s="3992">
        <v>969.24900000000002</v>
      </c>
      <c r="O452" s="4118">
        <f>R452</f>
        <v>1900</v>
      </c>
      <c r="P452" s="4118"/>
      <c r="Q452" s="4118"/>
      <c r="R452" s="4118">
        <v>1900</v>
      </c>
      <c r="S452" s="3992">
        <v>8100</v>
      </c>
      <c r="T452" s="4118"/>
      <c r="U452" s="4118"/>
      <c r="V452" s="4118">
        <v>8100</v>
      </c>
    </row>
    <row r="453" spans="1:22" s="1577" customFormat="1">
      <c r="A453" s="4009" t="s">
        <v>151</v>
      </c>
      <c r="B453" s="4010" t="s">
        <v>3174</v>
      </c>
      <c r="C453" s="4035"/>
      <c r="D453" s="4035"/>
      <c r="E453" s="4035"/>
      <c r="F453" s="4035"/>
      <c r="G453" s="4027">
        <f t="shared" ref="G453:V454" si="212">G454</f>
        <v>693955</v>
      </c>
      <c r="H453" s="4027">
        <f t="shared" si="212"/>
        <v>0</v>
      </c>
      <c r="I453" s="4027">
        <f t="shared" si="212"/>
        <v>0</v>
      </c>
      <c r="J453" s="4027">
        <f t="shared" si="212"/>
        <v>693955</v>
      </c>
      <c r="K453" s="4027">
        <f t="shared" si="212"/>
        <v>122000</v>
      </c>
      <c r="L453" s="4027">
        <f t="shared" si="212"/>
        <v>0</v>
      </c>
      <c r="M453" s="4027">
        <f t="shared" si="212"/>
        <v>0</v>
      </c>
      <c r="N453" s="4027">
        <f t="shared" si="212"/>
        <v>122000</v>
      </c>
      <c r="O453" s="4027">
        <f t="shared" si="212"/>
        <v>122000</v>
      </c>
      <c r="P453" s="4027">
        <f t="shared" si="212"/>
        <v>0</v>
      </c>
      <c r="Q453" s="4027">
        <f t="shared" si="212"/>
        <v>0</v>
      </c>
      <c r="R453" s="4027">
        <f t="shared" si="212"/>
        <v>122000</v>
      </c>
      <c r="S453" s="4027">
        <f t="shared" si="212"/>
        <v>360276</v>
      </c>
      <c r="T453" s="4027">
        <f t="shared" si="212"/>
        <v>0</v>
      </c>
      <c r="U453" s="4027">
        <f t="shared" si="212"/>
        <v>0</v>
      </c>
      <c r="V453" s="4027">
        <f>V454</f>
        <v>360276</v>
      </c>
    </row>
    <row r="454" spans="1:22" s="248" customFormat="1">
      <c r="A454" s="4009">
        <v>1</v>
      </c>
      <c r="B454" s="4010" t="s">
        <v>3122</v>
      </c>
      <c r="C454" s="4009"/>
      <c r="D454" s="4009"/>
      <c r="E454" s="4009"/>
      <c r="F454" s="4009"/>
      <c r="G454" s="4027">
        <f t="shared" si="212"/>
        <v>693955</v>
      </c>
      <c r="H454" s="4027">
        <f t="shared" si="212"/>
        <v>0</v>
      </c>
      <c r="I454" s="4027">
        <f t="shared" si="212"/>
        <v>0</v>
      </c>
      <c r="J454" s="4027">
        <f t="shared" si="212"/>
        <v>693955</v>
      </c>
      <c r="K454" s="4027">
        <f t="shared" si="212"/>
        <v>122000</v>
      </c>
      <c r="L454" s="4027">
        <f t="shared" si="212"/>
        <v>0</v>
      </c>
      <c r="M454" s="4027">
        <f t="shared" si="212"/>
        <v>0</v>
      </c>
      <c r="N454" s="4027">
        <f t="shared" si="212"/>
        <v>122000</v>
      </c>
      <c r="O454" s="4027">
        <f t="shared" si="212"/>
        <v>122000</v>
      </c>
      <c r="P454" s="4027">
        <f t="shared" si="212"/>
        <v>0</v>
      </c>
      <c r="Q454" s="4027">
        <f t="shared" si="212"/>
        <v>0</v>
      </c>
      <c r="R454" s="4027">
        <f t="shared" si="212"/>
        <v>122000</v>
      </c>
      <c r="S454" s="4027">
        <f t="shared" si="212"/>
        <v>360276</v>
      </c>
      <c r="T454" s="4027">
        <f t="shared" si="212"/>
        <v>0</v>
      </c>
      <c r="U454" s="4027">
        <f t="shared" si="212"/>
        <v>0</v>
      </c>
      <c r="V454" s="4027">
        <f t="shared" si="212"/>
        <v>360276</v>
      </c>
    </row>
    <row r="455" spans="1:22" ht="31.2">
      <c r="A455" s="4009" t="s">
        <v>34</v>
      </c>
      <c r="B455" s="4028" t="s">
        <v>2871</v>
      </c>
      <c r="C455" s="4009"/>
      <c r="D455" s="4009"/>
      <c r="E455" s="4009"/>
      <c r="F455" s="4009"/>
      <c r="G455" s="4029">
        <f>SUM(G456:G459)</f>
        <v>693955</v>
      </c>
      <c r="H455" s="4029">
        <f t="shared" ref="H455:V455" si="213">SUM(H456:H459)</f>
        <v>0</v>
      </c>
      <c r="I455" s="4029">
        <f t="shared" si="213"/>
        <v>0</v>
      </c>
      <c r="J455" s="4029">
        <f t="shared" si="213"/>
        <v>693955</v>
      </c>
      <c r="K455" s="4029">
        <f t="shared" si="213"/>
        <v>122000</v>
      </c>
      <c r="L455" s="4029">
        <f t="shared" si="213"/>
        <v>0</v>
      </c>
      <c r="M455" s="4029">
        <f t="shared" si="213"/>
        <v>0</v>
      </c>
      <c r="N455" s="4029">
        <f t="shared" si="213"/>
        <v>122000</v>
      </c>
      <c r="O455" s="4029">
        <f t="shared" si="213"/>
        <v>122000</v>
      </c>
      <c r="P455" s="4029">
        <f t="shared" si="213"/>
        <v>0</v>
      </c>
      <c r="Q455" s="4029">
        <f t="shared" si="213"/>
        <v>0</v>
      </c>
      <c r="R455" s="4029">
        <f t="shared" si="213"/>
        <v>122000</v>
      </c>
      <c r="S455" s="4029">
        <f t="shared" si="213"/>
        <v>360276</v>
      </c>
      <c r="T455" s="4029">
        <f t="shared" si="213"/>
        <v>0</v>
      </c>
      <c r="U455" s="4029">
        <f t="shared" si="213"/>
        <v>0</v>
      </c>
      <c r="V455" s="4029">
        <f t="shared" si="213"/>
        <v>360276</v>
      </c>
    </row>
    <row r="456" spans="1:22" ht="62.4">
      <c r="A456" s="4047">
        <v>1</v>
      </c>
      <c r="B456" s="4097" t="s">
        <v>3648</v>
      </c>
      <c r="C456" s="4047" t="s">
        <v>3110</v>
      </c>
      <c r="D456" s="4047"/>
      <c r="E456" s="4047" t="s">
        <v>3155</v>
      </c>
      <c r="F456" s="4047" t="s">
        <v>3649</v>
      </c>
      <c r="G456" s="4057">
        <f t="shared" ref="G456:G459" si="214">SUM(H456:J456)</f>
        <v>133577</v>
      </c>
      <c r="H456" s="3992"/>
      <c r="I456" s="4133"/>
      <c r="J456" s="4057">
        <v>133577</v>
      </c>
      <c r="K456" s="4057">
        <f t="shared" ref="K456:K459" si="215">SUM(L456:N456)</f>
        <v>25000</v>
      </c>
      <c r="L456" s="4058"/>
      <c r="M456" s="4058"/>
      <c r="N456" s="3990">
        <f t="shared" ref="N456:N459" si="216">R456</f>
        <v>25000</v>
      </c>
      <c r="O456" s="4057">
        <f t="shared" ref="O456:O459" si="217">SUM(P456:R456)</f>
        <v>25000</v>
      </c>
      <c r="P456" s="4058"/>
      <c r="Q456" s="4057"/>
      <c r="R456" s="4057">
        <v>25000</v>
      </c>
      <c r="S456" s="4033">
        <f t="shared" ref="S456:S459" si="218">SUM(T456:V456)</f>
        <v>75000</v>
      </c>
      <c r="T456" s="4058"/>
      <c r="U456" s="4058"/>
      <c r="V456" s="4057">
        <v>75000</v>
      </c>
    </row>
    <row r="457" spans="1:22" ht="54.75" customHeight="1">
      <c r="A457" s="4047">
        <v>2</v>
      </c>
      <c r="B457" s="4097" t="s">
        <v>3650</v>
      </c>
      <c r="C457" s="4047" t="s">
        <v>3110</v>
      </c>
      <c r="D457" s="4047"/>
      <c r="E457" s="4047" t="s">
        <v>2887</v>
      </c>
      <c r="F457" s="4047" t="s">
        <v>3651</v>
      </c>
      <c r="G457" s="4057">
        <f t="shared" si="214"/>
        <v>147165</v>
      </c>
      <c r="H457" s="3992"/>
      <c r="I457" s="4133"/>
      <c r="J457" s="4057">
        <v>147165</v>
      </c>
      <c r="K457" s="4057">
        <f t="shared" si="215"/>
        <v>95000</v>
      </c>
      <c r="L457" s="4058"/>
      <c r="M457" s="4058"/>
      <c r="N457" s="3990">
        <f t="shared" si="216"/>
        <v>95000</v>
      </c>
      <c r="O457" s="4057">
        <f t="shared" si="217"/>
        <v>95000</v>
      </c>
      <c r="P457" s="4058"/>
      <c r="Q457" s="4057"/>
      <c r="R457" s="4057">
        <v>95000</v>
      </c>
      <c r="S457" s="4033">
        <f t="shared" si="218"/>
        <v>33000</v>
      </c>
      <c r="T457" s="4058"/>
      <c r="U457" s="4058"/>
      <c r="V457" s="4057">
        <v>33000</v>
      </c>
    </row>
    <row r="458" spans="1:22" ht="78">
      <c r="A458" s="4047">
        <v>3</v>
      </c>
      <c r="B458" s="4097" t="s">
        <v>3652</v>
      </c>
      <c r="C458" s="4047" t="s">
        <v>3110</v>
      </c>
      <c r="D458" s="4047"/>
      <c r="E458" s="4047" t="s">
        <v>3092</v>
      </c>
      <c r="F458" s="4047" t="s">
        <v>3653</v>
      </c>
      <c r="G458" s="4057">
        <f t="shared" si="214"/>
        <v>217508</v>
      </c>
      <c r="H458" s="3992"/>
      <c r="I458" s="4133"/>
      <c r="J458" s="4057">
        <v>217508</v>
      </c>
      <c r="K458" s="4057">
        <f t="shared" si="215"/>
        <v>0</v>
      </c>
      <c r="L458" s="4058"/>
      <c r="M458" s="4058"/>
      <c r="N458" s="3990">
        <f t="shared" si="216"/>
        <v>0</v>
      </c>
      <c r="O458" s="4057">
        <f t="shared" si="217"/>
        <v>0</v>
      </c>
      <c r="P458" s="4058"/>
      <c r="Q458" s="4057"/>
      <c r="R458" s="4057"/>
      <c r="S458" s="4033">
        <f t="shared" si="218"/>
        <v>154276</v>
      </c>
      <c r="T458" s="4058"/>
      <c r="U458" s="4058"/>
      <c r="V458" s="4057">
        <v>154276</v>
      </c>
    </row>
    <row r="459" spans="1:22" ht="34.5" customHeight="1">
      <c r="A459" s="4047">
        <v>4</v>
      </c>
      <c r="B459" s="4097" t="s">
        <v>3654</v>
      </c>
      <c r="C459" s="4047" t="s">
        <v>3110</v>
      </c>
      <c r="D459" s="4047"/>
      <c r="E459" s="4047" t="s">
        <v>2887</v>
      </c>
      <c r="F459" s="4047" t="s">
        <v>3655</v>
      </c>
      <c r="G459" s="4057">
        <f t="shared" si="214"/>
        <v>195705</v>
      </c>
      <c r="H459" s="3992"/>
      <c r="I459" s="4133"/>
      <c r="J459" s="4057">
        <v>195705</v>
      </c>
      <c r="K459" s="4057">
        <f t="shared" si="215"/>
        <v>2000</v>
      </c>
      <c r="L459" s="4058"/>
      <c r="M459" s="4058"/>
      <c r="N459" s="3990">
        <f t="shared" si="216"/>
        <v>2000</v>
      </c>
      <c r="O459" s="4057">
        <f t="shared" si="217"/>
        <v>2000</v>
      </c>
      <c r="P459" s="4058"/>
      <c r="Q459" s="4057"/>
      <c r="R459" s="4057">
        <v>2000</v>
      </c>
      <c r="S459" s="4033">
        <f t="shared" si="218"/>
        <v>98000</v>
      </c>
      <c r="T459" s="4058"/>
      <c r="U459" s="4058"/>
      <c r="V459" s="4057">
        <v>98000</v>
      </c>
    </row>
    <row r="460" spans="1:22" s="1577" customFormat="1">
      <c r="A460" s="4009" t="s">
        <v>229</v>
      </c>
      <c r="B460" s="4010" t="s">
        <v>3412</v>
      </c>
      <c r="C460" s="4035"/>
      <c r="D460" s="4035"/>
      <c r="E460" s="4035"/>
      <c r="F460" s="4035"/>
      <c r="G460" s="4027">
        <f t="shared" ref="G460:V462" si="219">G461</f>
        <v>225670.99100000001</v>
      </c>
      <c r="H460" s="4027">
        <f t="shared" si="219"/>
        <v>0</v>
      </c>
      <c r="I460" s="4027">
        <f t="shared" si="219"/>
        <v>0</v>
      </c>
      <c r="J460" s="4027">
        <f t="shared" si="219"/>
        <v>225670.99100000001</v>
      </c>
      <c r="K460" s="4027">
        <f t="shared" si="219"/>
        <v>1278</v>
      </c>
      <c r="L460" s="4027">
        <f t="shared" si="219"/>
        <v>0</v>
      </c>
      <c r="M460" s="4027">
        <f t="shared" si="219"/>
        <v>0</v>
      </c>
      <c r="N460" s="4027">
        <f t="shared" si="219"/>
        <v>1278</v>
      </c>
      <c r="O460" s="4027">
        <f t="shared" si="219"/>
        <v>1278</v>
      </c>
      <c r="P460" s="4027">
        <f t="shared" si="219"/>
        <v>0</v>
      </c>
      <c r="Q460" s="4027">
        <f t="shared" si="219"/>
        <v>0</v>
      </c>
      <c r="R460" s="4027">
        <f t="shared" si="219"/>
        <v>1278</v>
      </c>
      <c r="S460" s="4027">
        <f t="shared" si="219"/>
        <v>148722</v>
      </c>
      <c r="T460" s="4027">
        <f t="shared" si="219"/>
        <v>0</v>
      </c>
      <c r="U460" s="4027">
        <f t="shared" si="219"/>
        <v>0</v>
      </c>
      <c r="V460" s="4027">
        <f>V461</f>
        <v>148722</v>
      </c>
    </row>
    <row r="461" spans="1:22" s="248" customFormat="1">
      <c r="A461" s="4009">
        <v>1</v>
      </c>
      <c r="B461" s="4010" t="s">
        <v>3122</v>
      </c>
      <c r="C461" s="4009"/>
      <c r="D461" s="4009"/>
      <c r="E461" s="4009"/>
      <c r="F461" s="4009"/>
      <c r="G461" s="4027">
        <f t="shared" si="219"/>
        <v>225670.99100000001</v>
      </c>
      <c r="H461" s="4027">
        <f t="shared" si="219"/>
        <v>0</v>
      </c>
      <c r="I461" s="4027">
        <f t="shared" si="219"/>
        <v>0</v>
      </c>
      <c r="J461" s="4027">
        <f t="shared" si="219"/>
        <v>225670.99100000001</v>
      </c>
      <c r="K461" s="4027">
        <f t="shared" si="219"/>
        <v>1278</v>
      </c>
      <c r="L461" s="4027">
        <f t="shared" si="219"/>
        <v>0</v>
      </c>
      <c r="M461" s="4027">
        <f t="shared" si="219"/>
        <v>0</v>
      </c>
      <c r="N461" s="4027">
        <f t="shared" si="219"/>
        <v>1278</v>
      </c>
      <c r="O461" s="4027">
        <f t="shared" si="219"/>
        <v>1278</v>
      </c>
      <c r="P461" s="4027">
        <f t="shared" si="219"/>
        <v>0</v>
      </c>
      <c r="Q461" s="4027">
        <f t="shared" si="219"/>
        <v>0</v>
      </c>
      <c r="R461" s="4027">
        <f t="shared" si="219"/>
        <v>1278</v>
      </c>
      <c r="S461" s="4027">
        <f t="shared" si="219"/>
        <v>148722</v>
      </c>
      <c r="T461" s="4027">
        <f t="shared" si="219"/>
        <v>0</v>
      </c>
      <c r="U461" s="4027">
        <f t="shared" si="219"/>
        <v>0</v>
      </c>
      <c r="V461" s="4027">
        <f t="shared" si="219"/>
        <v>148722</v>
      </c>
    </row>
    <row r="462" spans="1:22" ht="31.2">
      <c r="A462" s="4009" t="s">
        <v>34</v>
      </c>
      <c r="B462" s="4028" t="s">
        <v>2871</v>
      </c>
      <c r="C462" s="4009"/>
      <c r="D462" s="4009"/>
      <c r="E462" s="4009"/>
      <c r="F462" s="4009"/>
      <c r="G462" s="4029">
        <f t="shared" si="219"/>
        <v>225670.99100000001</v>
      </c>
      <c r="H462" s="4029">
        <f t="shared" si="219"/>
        <v>0</v>
      </c>
      <c r="I462" s="4029">
        <f t="shared" si="219"/>
        <v>0</v>
      </c>
      <c r="J462" s="4029">
        <f t="shared" si="219"/>
        <v>225670.99100000001</v>
      </c>
      <c r="K462" s="4029">
        <f t="shared" si="219"/>
        <v>1278</v>
      </c>
      <c r="L462" s="4029">
        <f t="shared" si="219"/>
        <v>0</v>
      </c>
      <c r="M462" s="4029">
        <f t="shared" si="219"/>
        <v>0</v>
      </c>
      <c r="N462" s="4029">
        <f t="shared" si="219"/>
        <v>1278</v>
      </c>
      <c r="O462" s="4029">
        <f t="shared" si="219"/>
        <v>1278</v>
      </c>
      <c r="P462" s="4029">
        <f t="shared" si="219"/>
        <v>0</v>
      </c>
      <c r="Q462" s="4029">
        <f t="shared" si="219"/>
        <v>0</v>
      </c>
      <c r="R462" s="4029">
        <f t="shared" si="219"/>
        <v>1278</v>
      </c>
      <c r="S462" s="4029">
        <f t="shared" si="219"/>
        <v>148722</v>
      </c>
      <c r="T462" s="4029">
        <f t="shared" si="219"/>
        <v>0</v>
      </c>
      <c r="U462" s="4029">
        <f t="shared" si="219"/>
        <v>0</v>
      </c>
      <c r="V462" s="4029">
        <f>V463</f>
        <v>148722</v>
      </c>
    </row>
    <row r="463" spans="1:22" s="4096" customFormat="1" ht="38.25" customHeight="1">
      <c r="A463" s="3987">
        <v>1</v>
      </c>
      <c r="B463" s="4034" t="s">
        <v>3656</v>
      </c>
      <c r="C463" s="3987" t="s">
        <v>3657</v>
      </c>
      <c r="D463" s="4180" t="s">
        <v>3658</v>
      </c>
      <c r="E463" s="3987" t="s">
        <v>2882</v>
      </c>
      <c r="F463" s="3987" t="s">
        <v>3659</v>
      </c>
      <c r="G463" s="3990">
        <v>225670.99100000001</v>
      </c>
      <c r="H463" s="3990"/>
      <c r="I463" s="3990"/>
      <c r="J463" s="3990">
        <f>G463</f>
        <v>225670.99100000001</v>
      </c>
      <c r="K463" s="3990">
        <f>N463</f>
        <v>1278</v>
      </c>
      <c r="L463" s="3990"/>
      <c r="M463" s="3990"/>
      <c r="N463" s="3990">
        <v>1278</v>
      </c>
      <c r="O463" s="3990">
        <f>R463</f>
        <v>1278</v>
      </c>
      <c r="P463" s="3990"/>
      <c r="Q463" s="3990"/>
      <c r="R463" s="3990">
        <v>1278</v>
      </c>
      <c r="S463" s="3990">
        <f>V463</f>
        <v>148722</v>
      </c>
      <c r="T463" s="3990"/>
      <c r="U463" s="3990"/>
      <c r="V463" s="3990">
        <f>80833+67889</f>
        <v>148722</v>
      </c>
    </row>
    <row r="464" spans="1:22" s="1577" customFormat="1">
      <c r="A464" s="4009" t="s">
        <v>2211</v>
      </c>
      <c r="B464" s="4010" t="s">
        <v>3413</v>
      </c>
      <c r="C464" s="4035"/>
      <c r="D464" s="4035"/>
      <c r="E464" s="4035"/>
      <c r="F464" s="4035"/>
      <c r="G464" s="4027">
        <f t="shared" ref="G464:V465" si="220">G465</f>
        <v>1059863.69</v>
      </c>
      <c r="H464" s="4027">
        <f t="shared" si="220"/>
        <v>0</v>
      </c>
      <c r="I464" s="4027">
        <f t="shared" si="220"/>
        <v>0</v>
      </c>
      <c r="J464" s="4027">
        <f t="shared" si="220"/>
        <v>1059863.69</v>
      </c>
      <c r="K464" s="4027">
        <f t="shared" si="220"/>
        <v>24808</v>
      </c>
      <c r="L464" s="4027">
        <f t="shared" si="220"/>
        <v>0</v>
      </c>
      <c r="M464" s="4027">
        <f t="shared" si="220"/>
        <v>0</v>
      </c>
      <c r="N464" s="4027">
        <f t="shared" si="220"/>
        <v>24808</v>
      </c>
      <c r="O464" s="4027">
        <f t="shared" si="220"/>
        <v>126687</v>
      </c>
      <c r="P464" s="4027">
        <f t="shared" si="220"/>
        <v>0</v>
      </c>
      <c r="Q464" s="4027">
        <f t="shared" si="220"/>
        <v>0</v>
      </c>
      <c r="R464" s="4027">
        <f t="shared" si="220"/>
        <v>126687</v>
      </c>
      <c r="S464" s="4027">
        <f t="shared" si="220"/>
        <v>327313</v>
      </c>
      <c r="T464" s="4027">
        <f t="shared" si="220"/>
        <v>0</v>
      </c>
      <c r="U464" s="4027">
        <f t="shared" si="220"/>
        <v>0</v>
      </c>
      <c r="V464" s="4027">
        <f>V465</f>
        <v>327313</v>
      </c>
    </row>
    <row r="465" spans="1:22" s="248" customFormat="1">
      <c r="A465" s="4009">
        <v>1</v>
      </c>
      <c r="B465" s="4010" t="s">
        <v>3122</v>
      </c>
      <c r="C465" s="4009"/>
      <c r="D465" s="4009"/>
      <c r="E465" s="4009"/>
      <c r="F465" s="4009"/>
      <c r="G465" s="4027">
        <f t="shared" si="220"/>
        <v>1059863.69</v>
      </c>
      <c r="H465" s="4027">
        <f t="shared" si="220"/>
        <v>0</v>
      </c>
      <c r="I465" s="4027">
        <f t="shared" si="220"/>
        <v>0</v>
      </c>
      <c r="J465" s="4027">
        <f t="shared" si="220"/>
        <v>1059863.69</v>
      </c>
      <c r="K465" s="4027">
        <f t="shared" si="220"/>
        <v>24808</v>
      </c>
      <c r="L465" s="4027">
        <f t="shared" si="220"/>
        <v>0</v>
      </c>
      <c r="M465" s="4027">
        <f t="shared" si="220"/>
        <v>0</v>
      </c>
      <c r="N465" s="4027">
        <f t="shared" si="220"/>
        <v>24808</v>
      </c>
      <c r="O465" s="4027">
        <f t="shared" si="220"/>
        <v>126687</v>
      </c>
      <c r="P465" s="4027">
        <f t="shared" si="220"/>
        <v>0</v>
      </c>
      <c r="Q465" s="4027">
        <f t="shared" si="220"/>
        <v>0</v>
      </c>
      <c r="R465" s="4027">
        <f t="shared" si="220"/>
        <v>126687</v>
      </c>
      <c r="S465" s="4027">
        <f t="shared" si="220"/>
        <v>327313</v>
      </c>
      <c r="T465" s="4027">
        <f t="shared" si="220"/>
        <v>0</v>
      </c>
      <c r="U465" s="4027">
        <f t="shared" si="220"/>
        <v>0</v>
      </c>
      <c r="V465" s="4027">
        <f t="shared" si="220"/>
        <v>327313</v>
      </c>
    </row>
    <row r="466" spans="1:22" ht="31.2">
      <c r="A466" s="4009" t="s">
        <v>34</v>
      </c>
      <c r="B466" s="4028" t="s">
        <v>2871</v>
      </c>
      <c r="C466" s="4009"/>
      <c r="D466" s="4009"/>
      <c r="E466" s="4009"/>
      <c r="F466" s="4009"/>
      <c r="G466" s="4029">
        <f>SUM(G467:G474)</f>
        <v>1059863.69</v>
      </c>
      <c r="H466" s="4029">
        <f t="shared" ref="H466:V466" si="221">SUM(H467:H474)</f>
        <v>0</v>
      </c>
      <c r="I466" s="4029">
        <f t="shared" si="221"/>
        <v>0</v>
      </c>
      <c r="J466" s="4029">
        <f t="shared" si="221"/>
        <v>1059863.69</v>
      </c>
      <c r="K466" s="4029">
        <f t="shared" si="221"/>
        <v>24808</v>
      </c>
      <c r="L466" s="4029">
        <f t="shared" si="221"/>
        <v>0</v>
      </c>
      <c r="M466" s="4029">
        <f t="shared" si="221"/>
        <v>0</v>
      </c>
      <c r="N466" s="4029">
        <f t="shared" si="221"/>
        <v>24808</v>
      </c>
      <c r="O466" s="4029">
        <f t="shared" si="221"/>
        <v>126687</v>
      </c>
      <c r="P466" s="4029">
        <f t="shared" si="221"/>
        <v>0</v>
      </c>
      <c r="Q466" s="4029">
        <f t="shared" si="221"/>
        <v>0</v>
      </c>
      <c r="R466" s="4029">
        <f t="shared" si="221"/>
        <v>126687</v>
      </c>
      <c r="S466" s="4029">
        <f t="shared" si="221"/>
        <v>327313</v>
      </c>
      <c r="T466" s="4029">
        <f t="shared" si="221"/>
        <v>0</v>
      </c>
      <c r="U466" s="4029">
        <f t="shared" si="221"/>
        <v>0</v>
      </c>
      <c r="V466" s="4029">
        <f t="shared" si="221"/>
        <v>327313</v>
      </c>
    </row>
    <row r="467" spans="1:22" ht="44.25" customHeight="1">
      <c r="A467" s="4047">
        <v>1</v>
      </c>
      <c r="B467" s="4097" t="s">
        <v>3660</v>
      </c>
      <c r="C467" s="4047" t="s">
        <v>3101</v>
      </c>
      <c r="D467" s="4047" t="s">
        <v>3661</v>
      </c>
      <c r="E467" s="4047" t="s">
        <v>3058</v>
      </c>
      <c r="F467" s="4047" t="s">
        <v>3662</v>
      </c>
      <c r="G467" s="4098">
        <f t="shared" ref="G467:G474" si="222">SUM(H467:J467)</f>
        <v>176868.94699999999</v>
      </c>
      <c r="H467" s="4098"/>
      <c r="I467" s="4098"/>
      <c r="J467" s="4098">
        <v>176868.94699999999</v>
      </c>
      <c r="K467" s="4098">
        <f>SUM(L467:N467)</f>
        <v>0</v>
      </c>
      <c r="L467" s="4098"/>
      <c r="M467" s="4098"/>
      <c r="N467" s="4051"/>
      <c r="O467" s="4098">
        <f>SUM(P467:R467)</f>
        <v>0</v>
      </c>
      <c r="P467" s="4098"/>
      <c r="Q467" s="4098"/>
      <c r="R467" s="4098">
        <v>0</v>
      </c>
      <c r="S467" s="4051">
        <f>SUM(T467:V467)</f>
        <v>50000</v>
      </c>
      <c r="T467" s="4098"/>
      <c r="U467" s="4098"/>
      <c r="V467" s="4098">
        <v>50000</v>
      </c>
    </row>
    <row r="468" spans="1:22" ht="33" customHeight="1">
      <c r="A468" s="4047">
        <v>2</v>
      </c>
      <c r="B468" s="4097" t="s">
        <v>3663</v>
      </c>
      <c r="C468" s="4047" t="s">
        <v>3101</v>
      </c>
      <c r="D468" s="4047" t="s">
        <v>3664</v>
      </c>
      <c r="E468" s="4047" t="s">
        <v>2887</v>
      </c>
      <c r="F468" s="4047" t="s">
        <v>3665</v>
      </c>
      <c r="G468" s="4098">
        <f t="shared" si="222"/>
        <v>215740</v>
      </c>
      <c r="H468" s="4098"/>
      <c r="I468" s="4098"/>
      <c r="J468" s="4098">
        <v>215740</v>
      </c>
      <c r="K468" s="4098">
        <f>SUM(L468:N468)</f>
        <v>20146</v>
      </c>
      <c r="L468" s="4098"/>
      <c r="M468" s="4098"/>
      <c r="N468" s="4051">
        <v>20146</v>
      </c>
      <c r="O468" s="4098">
        <f>SUM(P468:R468)</f>
        <v>25000</v>
      </c>
      <c r="P468" s="4098"/>
      <c r="Q468" s="4098"/>
      <c r="R468" s="4098">
        <v>25000</v>
      </c>
      <c r="S468" s="4051">
        <f>SUM(T468:V468)</f>
        <v>13000</v>
      </c>
      <c r="T468" s="4098"/>
      <c r="U468" s="4098"/>
      <c r="V468" s="4098">
        <v>13000</v>
      </c>
    </row>
    <row r="469" spans="1:22" ht="33" customHeight="1">
      <c r="A469" s="4047">
        <v>3</v>
      </c>
      <c r="B469" s="4097" t="s">
        <v>3666</v>
      </c>
      <c r="C469" s="4047" t="s">
        <v>3101</v>
      </c>
      <c r="D469" s="4047" t="s">
        <v>3664</v>
      </c>
      <c r="E469" s="4047" t="s">
        <v>2887</v>
      </c>
      <c r="F469" s="4047" t="s">
        <v>3667</v>
      </c>
      <c r="G469" s="4098">
        <f t="shared" si="222"/>
        <v>51782</v>
      </c>
      <c r="H469" s="4098"/>
      <c r="I469" s="4098"/>
      <c r="J469" s="4098">
        <v>51782</v>
      </c>
      <c r="K469" s="4098">
        <f>SUM(L469:N469)</f>
        <v>4662</v>
      </c>
      <c r="L469" s="4098"/>
      <c r="M469" s="4098"/>
      <c r="N469" s="4051">
        <v>4662</v>
      </c>
      <c r="O469" s="4098">
        <f>SUM(P469:R469)</f>
        <v>3000</v>
      </c>
      <c r="P469" s="4098"/>
      <c r="Q469" s="4098"/>
      <c r="R469" s="4098">
        <v>3000</v>
      </c>
      <c r="S469" s="4051">
        <f>SUM(T469:V469)</f>
        <v>7000</v>
      </c>
      <c r="T469" s="4098"/>
      <c r="U469" s="4098"/>
      <c r="V469" s="4098">
        <v>7000</v>
      </c>
    </row>
    <row r="470" spans="1:22" ht="33" customHeight="1">
      <c r="A470" s="4047">
        <v>4</v>
      </c>
      <c r="B470" s="4097" t="s">
        <v>3668</v>
      </c>
      <c r="C470" s="4047" t="s">
        <v>3101</v>
      </c>
      <c r="D470" s="4047" t="s">
        <v>3669</v>
      </c>
      <c r="E470" s="4047" t="s">
        <v>3155</v>
      </c>
      <c r="F470" s="4047" t="s">
        <v>3670</v>
      </c>
      <c r="G470" s="4098">
        <f t="shared" si="222"/>
        <v>176868.94699999999</v>
      </c>
      <c r="H470" s="4058"/>
      <c r="I470" s="4098"/>
      <c r="J470" s="4098">
        <v>176868.94699999999</v>
      </c>
      <c r="K470" s="4058"/>
      <c r="L470" s="4058"/>
      <c r="M470" s="4058"/>
      <c r="N470" s="3990"/>
      <c r="O470" s="4098">
        <f t="shared" ref="O470:O474" si="223">SUM(P470:R470)</f>
        <v>66887</v>
      </c>
      <c r="P470" s="4058"/>
      <c r="Q470" s="4058"/>
      <c r="R470" s="4098">
        <v>66887</v>
      </c>
      <c r="S470" s="4051">
        <f t="shared" ref="S470:S474" si="224">SUM(T470:V470)</f>
        <v>83113</v>
      </c>
      <c r="T470" s="4058"/>
      <c r="U470" s="4058"/>
      <c r="V470" s="4098">
        <v>83113</v>
      </c>
    </row>
    <row r="471" spans="1:22" ht="30" customHeight="1">
      <c r="A471" s="4047">
        <v>5</v>
      </c>
      <c r="B471" s="4097" t="s">
        <v>3671</v>
      </c>
      <c r="C471" s="4047" t="s">
        <v>3101</v>
      </c>
      <c r="D471" s="4047" t="s">
        <v>3672</v>
      </c>
      <c r="E471" s="4047" t="s">
        <v>3058</v>
      </c>
      <c r="F471" s="4047" t="s">
        <v>3673</v>
      </c>
      <c r="G471" s="4098">
        <f t="shared" si="222"/>
        <v>221167.88099999999</v>
      </c>
      <c r="H471" s="4058"/>
      <c r="I471" s="4098"/>
      <c r="J471" s="4098">
        <v>221167.88099999999</v>
      </c>
      <c r="K471" s="4058"/>
      <c r="L471" s="4058"/>
      <c r="M471" s="4058"/>
      <c r="N471" s="3990"/>
      <c r="O471" s="4098">
        <f t="shared" si="223"/>
        <v>0</v>
      </c>
      <c r="P471" s="4058"/>
      <c r="Q471" s="4058"/>
      <c r="R471" s="4098">
        <v>0</v>
      </c>
      <c r="S471" s="4051">
        <f t="shared" si="224"/>
        <v>50000</v>
      </c>
      <c r="T471" s="4058"/>
      <c r="U471" s="4058"/>
      <c r="V471" s="4098">
        <v>50000</v>
      </c>
    </row>
    <row r="472" spans="1:22" ht="42.75" customHeight="1">
      <c r="A472" s="4047">
        <v>6</v>
      </c>
      <c r="B472" s="4097" t="s">
        <v>3674</v>
      </c>
      <c r="C472" s="4047" t="s">
        <v>3101</v>
      </c>
      <c r="D472" s="4047" t="s">
        <v>3675</v>
      </c>
      <c r="E472" s="4047" t="s">
        <v>3155</v>
      </c>
      <c r="F472" s="4047" t="s">
        <v>3676</v>
      </c>
      <c r="G472" s="4098">
        <f t="shared" si="222"/>
        <v>61535.264999999999</v>
      </c>
      <c r="H472" s="4058"/>
      <c r="I472" s="4098"/>
      <c r="J472" s="4098">
        <v>61535.264999999999</v>
      </c>
      <c r="K472" s="4058"/>
      <c r="L472" s="4058"/>
      <c r="M472" s="4058"/>
      <c r="N472" s="3990"/>
      <c r="O472" s="4098">
        <f t="shared" si="223"/>
        <v>21000</v>
      </c>
      <c r="P472" s="4058"/>
      <c r="Q472" s="4058"/>
      <c r="R472" s="4098">
        <v>21000</v>
      </c>
      <c r="S472" s="4051">
        <f t="shared" si="224"/>
        <v>40000</v>
      </c>
      <c r="T472" s="4058"/>
      <c r="U472" s="4058"/>
      <c r="V472" s="4098">
        <v>40000</v>
      </c>
    </row>
    <row r="473" spans="1:22" ht="37.5" customHeight="1">
      <c r="A473" s="4047">
        <v>7</v>
      </c>
      <c r="B473" s="4097" t="s">
        <v>3677</v>
      </c>
      <c r="C473" s="4047" t="s">
        <v>3101</v>
      </c>
      <c r="D473" s="4047" t="s">
        <v>3678</v>
      </c>
      <c r="E473" s="4047" t="s">
        <v>3058</v>
      </c>
      <c r="F473" s="4047" t="s">
        <v>3679</v>
      </c>
      <c r="G473" s="4098">
        <f t="shared" si="222"/>
        <v>72851.490000000005</v>
      </c>
      <c r="H473" s="4058"/>
      <c r="I473" s="4098"/>
      <c r="J473" s="4098">
        <v>72851.490000000005</v>
      </c>
      <c r="K473" s="4058"/>
      <c r="L473" s="4058"/>
      <c r="M473" s="4058"/>
      <c r="N473" s="3990"/>
      <c r="O473" s="4098">
        <f t="shared" si="223"/>
        <v>10000</v>
      </c>
      <c r="P473" s="4058"/>
      <c r="Q473" s="4058"/>
      <c r="R473" s="4098">
        <v>10000</v>
      </c>
      <c r="S473" s="4051">
        <f t="shared" si="224"/>
        <v>62000</v>
      </c>
      <c r="T473" s="4058"/>
      <c r="U473" s="4058"/>
      <c r="V473" s="4098">
        <v>62000</v>
      </c>
    </row>
    <row r="474" spans="1:22" ht="46.8">
      <c r="A474" s="4047">
        <v>8</v>
      </c>
      <c r="B474" s="4097" t="s">
        <v>3680</v>
      </c>
      <c r="C474" s="4047" t="s">
        <v>3101</v>
      </c>
      <c r="D474" s="4047" t="s">
        <v>3681</v>
      </c>
      <c r="E474" s="4047" t="s">
        <v>3058</v>
      </c>
      <c r="F474" s="4047" t="s">
        <v>3682</v>
      </c>
      <c r="G474" s="4098">
        <f t="shared" si="222"/>
        <v>83049.16</v>
      </c>
      <c r="H474" s="4058"/>
      <c r="I474" s="4098"/>
      <c r="J474" s="4098">
        <v>83049.16</v>
      </c>
      <c r="K474" s="4058"/>
      <c r="L474" s="4058"/>
      <c r="M474" s="4058"/>
      <c r="N474" s="3990"/>
      <c r="O474" s="4098">
        <f t="shared" si="223"/>
        <v>800</v>
      </c>
      <c r="P474" s="4058"/>
      <c r="Q474" s="4058"/>
      <c r="R474" s="4098">
        <v>800</v>
      </c>
      <c r="S474" s="4051">
        <f t="shared" si="224"/>
        <v>22200</v>
      </c>
      <c r="T474" s="4058"/>
      <c r="U474" s="4058"/>
      <c r="V474" s="4098">
        <v>22200</v>
      </c>
    </row>
    <row r="475" spans="1:22" s="1577" customFormat="1">
      <c r="A475" s="4009" t="s">
        <v>2224</v>
      </c>
      <c r="B475" s="4010" t="s">
        <v>3415</v>
      </c>
      <c r="C475" s="4035"/>
      <c r="D475" s="4035"/>
      <c r="E475" s="4035"/>
      <c r="F475" s="4035"/>
      <c r="G475" s="4027">
        <f t="shared" ref="G475:V476" si="225">G476</f>
        <v>274756.761</v>
      </c>
      <c r="H475" s="4027">
        <f t="shared" si="225"/>
        <v>0</v>
      </c>
      <c r="I475" s="4027">
        <f t="shared" si="225"/>
        <v>0</v>
      </c>
      <c r="J475" s="4027">
        <f t="shared" si="225"/>
        <v>274756.71600000001</v>
      </c>
      <c r="K475" s="4027">
        <f t="shared" si="225"/>
        <v>141388</v>
      </c>
      <c r="L475" s="4027">
        <f t="shared" si="225"/>
        <v>0</v>
      </c>
      <c r="M475" s="4027">
        <f t="shared" si="225"/>
        <v>0</v>
      </c>
      <c r="N475" s="4027">
        <f t="shared" si="225"/>
        <v>141388</v>
      </c>
      <c r="O475" s="4027">
        <f t="shared" si="225"/>
        <v>65000</v>
      </c>
      <c r="P475" s="4027">
        <f t="shared" si="225"/>
        <v>0</v>
      </c>
      <c r="Q475" s="4027">
        <f t="shared" si="225"/>
        <v>0</v>
      </c>
      <c r="R475" s="4027">
        <f t="shared" si="225"/>
        <v>65000</v>
      </c>
      <c r="S475" s="4027">
        <f t="shared" si="225"/>
        <v>17000</v>
      </c>
      <c r="T475" s="4027">
        <f t="shared" si="225"/>
        <v>0</v>
      </c>
      <c r="U475" s="4027">
        <f t="shared" si="225"/>
        <v>0</v>
      </c>
      <c r="V475" s="4027">
        <f>V476</f>
        <v>17000</v>
      </c>
    </row>
    <row r="476" spans="1:22" s="248" customFormat="1">
      <c r="A476" s="4009">
        <v>1</v>
      </c>
      <c r="B476" s="4010" t="s">
        <v>3122</v>
      </c>
      <c r="C476" s="4009"/>
      <c r="D476" s="4009"/>
      <c r="E476" s="4009"/>
      <c r="F476" s="4009"/>
      <c r="G476" s="4027">
        <f t="shared" si="225"/>
        <v>274756.761</v>
      </c>
      <c r="H476" s="4027">
        <f t="shared" si="225"/>
        <v>0</v>
      </c>
      <c r="I476" s="4027">
        <f t="shared" si="225"/>
        <v>0</v>
      </c>
      <c r="J476" s="4027">
        <f t="shared" si="225"/>
        <v>274756.71600000001</v>
      </c>
      <c r="K476" s="4027">
        <f t="shared" si="225"/>
        <v>141388</v>
      </c>
      <c r="L476" s="4027">
        <f t="shared" si="225"/>
        <v>0</v>
      </c>
      <c r="M476" s="4027">
        <f t="shared" si="225"/>
        <v>0</v>
      </c>
      <c r="N476" s="4027">
        <f t="shared" si="225"/>
        <v>141388</v>
      </c>
      <c r="O476" s="4027">
        <f t="shared" si="225"/>
        <v>65000</v>
      </c>
      <c r="P476" s="4027">
        <f t="shared" si="225"/>
        <v>0</v>
      </c>
      <c r="Q476" s="4027">
        <f t="shared" si="225"/>
        <v>0</v>
      </c>
      <c r="R476" s="4027">
        <f t="shared" si="225"/>
        <v>65000</v>
      </c>
      <c r="S476" s="4027">
        <f t="shared" si="225"/>
        <v>17000</v>
      </c>
      <c r="T476" s="4027">
        <f t="shared" si="225"/>
        <v>0</v>
      </c>
      <c r="U476" s="4027">
        <f t="shared" si="225"/>
        <v>0</v>
      </c>
      <c r="V476" s="4027">
        <f t="shared" si="225"/>
        <v>17000</v>
      </c>
    </row>
    <row r="477" spans="1:22" ht="31.2">
      <c r="A477" s="4009" t="s">
        <v>34</v>
      </c>
      <c r="B477" s="4028" t="s">
        <v>2871</v>
      </c>
      <c r="C477" s="4009"/>
      <c r="D477" s="4009"/>
      <c r="E477" s="4009"/>
      <c r="F477" s="4009"/>
      <c r="G477" s="4029">
        <f>SUM(G478:G479)</f>
        <v>274756.761</v>
      </c>
      <c r="H477" s="4029">
        <f t="shared" ref="H477:V477" si="226">SUM(H478:H479)</f>
        <v>0</v>
      </c>
      <c r="I477" s="4029">
        <f t="shared" si="226"/>
        <v>0</v>
      </c>
      <c r="J477" s="4029">
        <f t="shared" si="226"/>
        <v>274756.71600000001</v>
      </c>
      <c r="K477" s="4029">
        <f t="shared" si="226"/>
        <v>141388</v>
      </c>
      <c r="L477" s="4029">
        <f t="shared" si="226"/>
        <v>0</v>
      </c>
      <c r="M477" s="4029">
        <f t="shared" si="226"/>
        <v>0</v>
      </c>
      <c r="N477" s="4029">
        <f t="shared" si="226"/>
        <v>141388</v>
      </c>
      <c r="O477" s="4029">
        <f t="shared" si="226"/>
        <v>65000</v>
      </c>
      <c r="P477" s="4029">
        <f t="shared" si="226"/>
        <v>0</v>
      </c>
      <c r="Q477" s="4029">
        <f t="shared" si="226"/>
        <v>0</v>
      </c>
      <c r="R477" s="4029">
        <f t="shared" si="226"/>
        <v>65000</v>
      </c>
      <c r="S477" s="4029">
        <f t="shared" si="226"/>
        <v>17000</v>
      </c>
      <c r="T477" s="4029">
        <f t="shared" si="226"/>
        <v>0</v>
      </c>
      <c r="U477" s="4029">
        <f t="shared" si="226"/>
        <v>0</v>
      </c>
      <c r="V477" s="4029">
        <f t="shared" si="226"/>
        <v>17000</v>
      </c>
    </row>
    <row r="478" spans="1:22" s="1557" customFormat="1" ht="28.5" customHeight="1">
      <c r="A478" s="3987">
        <v>1</v>
      </c>
      <c r="B478" s="4034" t="s">
        <v>3683</v>
      </c>
      <c r="C478" s="3987" t="s">
        <v>3115</v>
      </c>
      <c r="D478" s="3987"/>
      <c r="E478" s="4041" t="s">
        <v>2887</v>
      </c>
      <c r="F478" s="3987" t="s">
        <v>3684</v>
      </c>
      <c r="G478" s="3992">
        <v>190648.04500000001</v>
      </c>
      <c r="H478" s="3990"/>
      <c r="I478" s="3990"/>
      <c r="J478" s="4033">
        <v>190648</v>
      </c>
      <c r="K478" s="4033">
        <v>86388</v>
      </c>
      <c r="L478" s="4033"/>
      <c r="M478" s="4033"/>
      <c r="N478" s="4033">
        <v>86388</v>
      </c>
      <c r="O478" s="4033">
        <v>10000</v>
      </c>
      <c r="P478" s="4033"/>
      <c r="Q478" s="4033"/>
      <c r="R478" s="4033">
        <v>10000</v>
      </c>
      <c r="S478" s="4033">
        <v>10000</v>
      </c>
      <c r="T478" s="4033"/>
      <c r="U478" s="4033"/>
      <c r="V478" s="4033">
        <v>10000</v>
      </c>
    </row>
    <row r="479" spans="1:22" s="1557" customFormat="1" ht="28.5" customHeight="1">
      <c r="A479" s="3987">
        <v>2</v>
      </c>
      <c r="B479" s="4034" t="s">
        <v>3685</v>
      </c>
      <c r="C479" s="3987" t="s">
        <v>3115</v>
      </c>
      <c r="D479" s="3987"/>
      <c r="E479" s="4041" t="s">
        <v>2887</v>
      </c>
      <c r="F479" s="3987" t="s">
        <v>3686</v>
      </c>
      <c r="G479" s="3992">
        <v>84108.716</v>
      </c>
      <c r="H479" s="3990"/>
      <c r="I479" s="3990"/>
      <c r="J479" s="4158">
        <v>84108.716</v>
      </c>
      <c r="K479" s="4181">
        <v>55000</v>
      </c>
      <c r="L479" s="4033"/>
      <c r="M479" s="4033"/>
      <c r="N479" s="4181">
        <v>55000</v>
      </c>
      <c r="O479" s="4181">
        <v>55000</v>
      </c>
      <c r="P479" s="4033"/>
      <c r="Q479" s="4033"/>
      <c r="R479" s="4181">
        <v>55000</v>
      </c>
      <c r="S479" s="4033">
        <v>7000</v>
      </c>
      <c r="T479" s="4033"/>
      <c r="U479" s="4033"/>
      <c r="V479" s="4033">
        <v>7000</v>
      </c>
    </row>
    <row r="480" spans="1:22" s="1577" customFormat="1">
      <c r="A480" s="4009" t="s">
        <v>2237</v>
      </c>
      <c r="B480" s="4010" t="s">
        <v>2848</v>
      </c>
      <c r="C480" s="4035"/>
      <c r="D480" s="4035"/>
      <c r="E480" s="4035"/>
      <c r="F480" s="4035"/>
      <c r="G480" s="4027">
        <f t="shared" ref="G480:V481" si="227">G481</f>
        <v>95640.692999999999</v>
      </c>
      <c r="H480" s="4027">
        <f t="shared" si="227"/>
        <v>0</v>
      </c>
      <c r="I480" s="4027">
        <f t="shared" si="227"/>
        <v>0</v>
      </c>
      <c r="J480" s="4027">
        <f t="shared" si="227"/>
        <v>95640.692999999999</v>
      </c>
      <c r="K480" s="4027">
        <f t="shared" si="227"/>
        <v>549.31200000000001</v>
      </c>
      <c r="L480" s="4027">
        <f t="shared" si="227"/>
        <v>0</v>
      </c>
      <c r="M480" s="4027">
        <f t="shared" si="227"/>
        <v>0</v>
      </c>
      <c r="N480" s="4027">
        <f t="shared" si="227"/>
        <v>549.31200000000001</v>
      </c>
      <c r="O480" s="4027">
        <f t="shared" si="227"/>
        <v>11000</v>
      </c>
      <c r="P480" s="4027">
        <f t="shared" si="227"/>
        <v>0</v>
      </c>
      <c r="Q480" s="4027">
        <f t="shared" si="227"/>
        <v>0</v>
      </c>
      <c r="R480" s="4027">
        <f t="shared" si="227"/>
        <v>11000</v>
      </c>
      <c r="S480" s="4027">
        <f t="shared" si="227"/>
        <v>22000</v>
      </c>
      <c r="T480" s="4027">
        <f t="shared" si="227"/>
        <v>0</v>
      </c>
      <c r="U480" s="4027">
        <f t="shared" si="227"/>
        <v>0</v>
      </c>
      <c r="V480" s="4027">
        <f>V481</f>
        <v>22000</v>
      </c>
    </row>
    <row r="481" spans="1:22" s="248" customFormat="1">
      <c r="A481" s="4009">
        <v>1</v>
      </c>
      <c r="B481" s="4010" t="s">
        <v>3122</v>
      </c>
      <c r="C481" s="4009"/>
      <c r="D481" s="4009"/>
      <c r="E481" s="4009"/>
      <c r="F481" s="4009"/>
      <c r="G481" s="4027">
        <f t="shared" si="227"/>
        <v>95640.692999999999</v>
      </c>
      <c r="H481" s="4027">
        <f t="shared" si="227"/>
        <v>0</v>
      </c>
      <c r="I481" s="4027">
        <f t="shared" si="227"/>
        <v>0</v>
      </c>
      <c r="J481" s="4027">
        <f t="shared" si="227"/>
        <v>95640.692999999999</v>
      </c>
      <c r="K481" s="4027">
        <f t="shared" si="227"/>
        <v>549.31200000000001</v>
      </c>
      <c r="L481" s="4027">
        <f t="shared" si="227"/>
        <v>0</v>
      </c>
      <c r="M481" s="4027">
        <f t="shared" si="227"/>
        <v>0</v>
      </c>
      <c r="N481" s="4027">
        <f t="shared" si="227"/>
        <v>549.31200000000001</v>
      </c>
      <c r="O481" s="4027">
        <f t="shared" si="227"/>
        <v>11000</v>
      </c>
      <c r="P481" s="4027">
        <f t="shared" si="227"/>
        <v>0</v>
      </c>
      <c r="Q481" s="4027">
        <f t="shared" si="227"/>
        <v>0</v>
      </c>
      <c r="R481" s="4027">
        <f t="shared" si="227"/>
        <v>11000</v>
      </c>
      <c r="S481" s="4027">
        <f t="shared" si="227"/>
        <v>22000</v>
      </c>
      <c r="T481" s="4027">
        <f t="shared" si="227"/>
        <v>0</v>
      </c>
      <c r="U481" s="4027">
        <f t="shared" si="227"/>
        <v>0</v>
      </c>
      <c r="V481" s="4027">
        <f t="shared" si="227"/>
        <v>22000</v>
      </c>
    </row>
    <row r="482" spans="1:22" ht="31.2">
      <c r="A482" s="4009" t="s">
        <v>34</v>
      </c>
      <c r="B482" s="4028" t="s">
        <v>2871</v>
      </c>
      <c r="C482" s="4009"/>
      <c r="D482" s="4009"/>
      <c r="E482" s="4009"/>
      <c r="F482" s="4009"/>
      <c r="G482" s="4029">
        <f>SUM(G483:G485)</f>
        <v>95640.692999999999</v>
      </c>
      <c r="H482" s="4029">
        <f t="shared" ref="H482:V482" si="228">SUM(H483:H485)</f>
        <v>0</v>
      </c>
      <c r="I482" s="4029">
        <f t="shared" si="228"/>
        <v>0</v>
      </c>
      <c r="J482" s="4029">
        <f t="shared" si="228"/>
        <v>95640.692999999999</v>
      </c>
      <c r="K482" s="4029">
        <f t="shared" si="228"/>
        <v>549.31200000000001</v>
      </c>
      <c r="L482" s="4029">
        <f t="shared" si="228"/>
        <v>0</v>
      </c>
      <c r="M482" s="4029">
        <f t="shared" si="228"/>
        <v>0</v>
      </c>
      <c r="N482" s="4029">
        <f t="shared" si="228"/>
        <v>549.31200000000001</v>
      </c>
      <c r="O482" s="4029">
        <f t="shared" si="228"/>
        <v>11000</v>
      </c>
      <c r="P482" s="4029">
        <f t="shared" si="228"/>
        <v>0</v>
      </c>
      <c r="Q482" s="4029">
        <f t="shared" si="228"/>
        <v>0</v>
      </c>
      <c r="R482" s="4029">
        <f t="shared" si="228"/>
        <v>11000</v>
      </c>
      <c r="S482" s="4029">
        <f t="shared" si="228"/>
        <v>22000</v>
      </c>
      <c r="T482" s="4029">
        <f t="shared" si="228"/>
        <v>0</v>
      </c>
      <c r="U482" s="4029">
        <f t="shared" si="228"/>
        <v>0</v>
      </c>
      <c r="V482" s="4029">
        <f t="shared" si="228"/>
        <v>22000</v>
      </c>
    </row>
    <row r="483" spans="1:22" s="3997" customFormat="1" ht="39" customHeight="1">
      <c r="A483" s="4036">
        <v>1</v>
      </c>
      <c r="B483" s="4182" t="s">
        <v>3314</v>
      </c>
      <c r="C483" s="4166" t="s">
        <v>2957</v>
      </c>
      <c r="D483" s="3987" t="s">
        <v>3315</v>
      </c>
      <c r="E483" s="4055" t="s">
        <v>2887</v>
      </c>
      <c r="F483" s="4041" t="s">
        <v>3316</v>
      </c>
      <c r="G483" s="4070">
        <v>31481.338</v>
      </c>
      <c r="H483" s="4070"/>
      <c r="I483" s="4070"/>
      <c r="J483" s="4070">
        <v>31481.338</v>
      </c>
      <c r="K483" s="4070">
        <f>L483+M483+N483</f>
        <v>549.31200000000001</v>
      </c>
      <c r="L483" s="4070"/>
      <c r="M483" s="4070"/>
      <c r="N483" s="3990">
        <v>549.31200000000001</v>
      </c>
      <c r="O483" s="4070">
        <f>P483+Q483+R483</f>
        <v>11000</v>
      </c>
      <c r="P483" s="4070"/>
      <c r="Q483" s="4070"/>
      <c r="R483" s="4070">
        <v>11000</v>
      </c>
      <c r="S483" s="3990">
        <f>T483+U483+V483</f>
        <v>14000</v>
      </c>
      <c r="T483" s="4070"/>
      <c r="U483" s="4070"/>
      <c r="V483" s="4070">
        <v>14000</v>
      </c>
    </row>
    <row r="484" spans="1:22" s="3997" customFormat="1" ht="39" customHeight="1">
      <c r="A484" s="4036">
        <v>2</v>
      </c>
      <c r="B484" s="4183" t="s">
        <v>3317</v>
      </c>
      <c r="C484" s="4166" t="s">
        <v>2957</v>
      </c>
      <c r="D484" s="3987" t="s">
        <v>3315</v>
      </c>
      <c r="E484" s="4055" t="s">
        <v>2887</v>
      </c>
      <c r="F484" s="4041" t="s">
        <v>3318</v>
      </c>
      <c r="G484" s="4070">
        <v>31517.170999999998</v>
      </c>
      <c r="H484" s="4070"/>
      <c r="I484" s="4070"/>
      <c r="J484" s="4070">
        <v>31517.170999999998</v>
      </c>
      <c r="K484" s="4070">
        <f>L484+M484+N484</f>
        <v>0</v>
      </c>
      <c r="L484" s="4070"/>
      <c r="M484" s="4070"/>
      <c r="N484" s="3990"/>
      <c r="O484" s="4070">
        <f>P484+Q484+R484</f>
        <v>0</v>
      </c>
      <c r="P484" s="4070"/>
      <c r="Q484" s="4070"/>
      <c r="R484" s="4070"/>
      <c r="S484" s="3990">
        <f>T484+U484+V484</f>
        <v>4000</v>
      </c>
      <c r="T484" s="4070"/>
      <c r="U484" s="4070"/>
      <c r="V484" s="4070">
        <v>4000</v>
      </c>
    </row>
    <row r="485" spans="1:22" s="3997" customFormat="1" ht="54" customHeight="1">
      <c r="A485" s="4036">
        <v>3</v>
      </c>
      <c r="B485" s="4183" t="s">
        <v>3319</v>
      </c>
      <c r="C485" s="4166" t="s">
        <v>2957</v>
      </c>
      <c r="D485" s="3987" t="s">
        <v>3315</v>
      </c>
      <c r="E485" s="4055" t="s">
        <v>2887</v>
      </c>
      <c r="F485" s="4041" t="s">
        <v>3320</v>
      </c>
      <c r="G485" s="4070">
        <v>32642.184000000001</v>
      </c>
      <c r="H485" s="4070"/>
      <c r="I485" s="4070"/>
      <c r="J485" s="4070">
        <v>32642.184000000001</v>
      </c>
      <c r="K485" s="4070">
        <f>L485+M485+N485</f>
        <v>0</v>
      </c>
      <c r="L485" s="4070"/>
      <c r="M485" s="4070"/>
      <c r="N485" s="3990"/>
      <c r="O485" s="4070">
        <f>P485+Q485+R485</f>
        <v>0</v>
      </c>
      <c r="P485" s="4070"/>
      <c r="Q485" s="4070"/>
      <c r="R485" s="4070"/>
      <c r="S485" s="3990">
        <f>T485+U485+V485</f>
        <v>4000</v>
      </c>
      <c r="T485" s="4070"/>
      <c r="U485" s="4070"/>
      <c r="V485" s="4070">
        <v>4000</v>
      </c>
    </row>
    <row r="486" spans="1:22" s="1577" customFormat="1">
      <c r="A486" s="4009" t="s">
        <v>2244</v>
      </c>
      <c r="B486" s="4010" t="s">
        <v>3414</v>
      </c>
      <c r="C486" s="4035"/>
      <c r="D486" s="4035"/>
      <c r="E486" s="4035"/>
      <c r="F486" s="4035"/>
      <c r="G486" s="4027">
        <f t="shared" ref="G486:V488" si="229">G487</f>
        <v>138232</v>
      </c>
      <c r="H486" s="4027">
        <f t="shared" si="229"/>
        <v>0</v>
      </c>
      <c r="I486" s="4027">
        <f t="shared" si="229"/>
        <v>0</v>
      </c>
      <c r="J486" s="4027">
        <f t="shared" si="229"/>
        <v>138232</v>
      </c>
      <c r="K486" s="4027">
        <f t="shared" si="229"/>
        <v>8750</v>
      </c>
      <c r="L486" s="4027">
        <f t="shared" si="229"/>
        <v>0</v>
      </c>
      <c r="M486" s="4027">
        <f t="shared" si="229"/>
        <v>0</v>
      </c>
      <c r="N486" s="4027">
        <f t="shared" si="229"/>
        <v>8750</v>
      </c>
      <c r="O486" s="4027">
        <f t="shared" si="229"/>
        <v>40000</v>
      </c>
      <c r="P486" s="4027">
        <f t="shared" si="229"/>
        <v>0</v>
      </c>
      <c r="Q486" s="4027">
        <f t="shared" si="229"/>
        <v>0</v>
      </c>
      <c r="R486" s="4027">
        <f t="shared" si="229"/>
        <v>40000</v>
      </c>
      <c r="S486" s="4027">
        <f t="shared" si="229"/>
        <v>25000</v>
      </c>
      <c r="T486" s="4027">
        <f t="shared" si="229"/>
        <v>0</v>
      </c>
      <c r="U486" s="4027">
        <f t="shared" si="229"/>
        <v>0</v>
      </c>
      <c r="V486" s="4027">
        <f>V487</f>
        <v>25000</v>
      </c>
    </row>
    <row r="487" spans="1:22" s="248" customFormat="1">
      <c r="A487" s="4009">
        <v>1</v>
      </c>
      <c r="B487" s="4010" t="s">
        <v>3122</v>
      </c>
      <c r="C487" s="4009"/>
      <c r="D487" s="4009"/>
      <c r="E487" s="4009"/>
      <c r="F487" s="4009"/>
      <c r="G487" s="4027">
        <f t="shared" si="229"/>
        <v>138232</v>
      </c>
      <c r="H487" s="4027">
        <f t="shared" si="229"/>
        <v>0</v>
      </c>
      <c r="I487" s="4027">
        <f t="shared" si="229"/>
        <v>0</v>
      </c>
      <c r="J487" s="4027">
        <f t="shared" si="229"/>
        <v>138232</v>
      </c>
      <c r="K487" s="4027">
        <f t="shared" si="229"/>
        <v>8750</v>
      </c>
      <c r="L487" s="4027">
        <f t="shared" si="229"/>
        <v>0</v>
      </c>
      <c r="M487" s="4027">
        <f t="shared" si="229"/>
        <v>0</v>
      </c>
      <c r="N487" s="4027">
        <f t="shared" si="229"/>
        <v>8750</v>
      </c>
      <c r="O487" s="4027">
        <f t="shared" si="229"/>
        <v>40000</v>
      </c>
      <c r="P487" s="4027">
        <f t="shared" si="229"/>
        <v>0</v>
      </c>
      <c r="Q487" s="4027">
        <f t="shared" si="229"/>
        <v>0</v>
      </c>
      <c r="R487" s="4027">
        <f t="shared" si="229"/>
        <v>40000</v>
      </c>
      <c r="S487" s="4027">
        <f t="shared" si="229"/>
        <v>25000</v>
      </c>
      <c r="T487" s="4027">
        <f t="shared" si="229"/>
        <v>0</v>
      </c>
      <c r="U487" s="4027">
        <f t="shared" si="229"/>
        <v>0</v>
      </c>
      <c r="V487" s="4027">
        <f t="shared" si="229"/>
        <v>25000</v>
      </c>
    </row>
    <row r="488" spans="1:22" ht="31.2">
      <c r="A488" s="4009" t="s">
        <v>34</v>
      </c>
      <c r="B488" s="4028" t="s">
        <v>2871</v>
      </c>
      <c r="C488" s="4009"/>
      <c r="D488" s="4009"/>
      <c r="E488" s="4009"/>
      <c r="F488" s="4009"/>
      <c r="G488" s="4029">
        <f>G489</f>
        <v>138232</v>
      </c>
      <c r="H488" s="4029">
        <f t="shared" si="229"/>
        <v>0</v>
      </c>
      <c r="I488" s="4029">
        <f t="shared" si="229"/>
        <v>0</v>
      </c>
      <c r="J488" s="4029">
        <f t="shared" si="229"/>
        <v>138232</v>
      </c>
      <c r="K488" s="4029">
        <f t="shared" si="229"/>
        <v>8750</v>
      </c>
      <c r="L488" s="4029">
        <f t="shared" si="229"/>
        <v>0</v>
      </c>
      <c r="M488" s="4029">
        <f t="shared" si="229"/>
        <v>0</v>
      </c>
      <c r="N488" s="4029">
        <f t="shared" si="229"/>
        <v>8750</v>
      </c>
      <c r="O488" s="4029">
        <f t="shared" si="229"/>
        <v>40000</v>
      </c>
      <c r="P488" s="4029">
        <f t="shared" si="229"/>
        <v>0</v>
      </c>
      <c r="Q488" s="4029">
        <f t="shared" si="229"/>
        <v>0</v>
      </c>
      <c r="R488" s="4029">
        <f t="shared" si="229"/>
        <v>40000</v>
      </c>
      <c r="S488" s="4029">
        <f t="shared" si="229"/>
        <v>25000</v>
      </c>
      <c r="T488" s="4029">
        <f t="shared" si="229"/>
        <v>0</v>
      </c>
      <c r="U488" s="4029">
        <f t="shared" si="229"/>
        <v>0</v>
      </c>
      <c r="V488" s="4029">
        <f t="shared" si="229"/>
        <v>25000</v>
      </c>
    </row>
    <row r="489" spans="1:22" s="3999" customFormat="1" ht="51.75" customHeight="1">
      <c r="A489" s="3987">
        <v>1</v>
      </c>
      <c r="B489" s="4099" t="s">
        <v>3687</v>
      </c>
      <c r="C489" s="4041" t="s">
        <v>3688</v>
      </c>
      <c r="D489" s="3987" t="s">
        <v>3689</v>
      </c>
      <c r="E489" s="3987" t="s">
        <v>3690</v>
      </c>
      <c r="F489" s="4055" t="s">
        <v>3691</v>
      </c>
      <c r="G489" s="4051">
        <v>138232</v>
      </c>
      <c r="H489" s="4051">
        <v>0</v>
      </c>
      <c r="I489" s="4051">
        <v>0</v>
      </c>
      <c r="J489" s="4051">
        <v>138232</v>
      </c>
      <c r="K489" s="4051">
        <v>8750</v>
      </c>
      <c r="L489" s="4051">
        <v>0</v>
      </c>
      <c r="M489" s="4051">
        <v>0</v>
      </c>
      <c r="N489" s="4051">
        <v>8750</v>
      </c>
      <c r="O489" s="4051">
        <f>P489+Q489+R489</f>
        <v>40000</v>
      </c>
      <c r="P489" s="4051"/>
      <c r="Q489" s="4051">
        <v>0</v>
      </c>
      <c r="R489" s="4051">
        <v>40000</v>
      </c>
      <c r="S489" s="4051">
        <f>T489+U489+V489</f>
        <v>25000</v>
      </c>
      <c r="T489" s="4051">
        <v>0</v>
      </c>
      <c r="U489" s="4051">
        <v>0</v>
      </c>
      <c r="V489" s="4051">
        <v>25000</v>
      </c>
    </row>
    <row r="490" spans="1:22" s="248" customFormat="1" ht="62.4">
      <c r="A490" s="4009" t="s">
        <v>2610</v>
      </c>
      <c r="B490" s="4010" t="s">
        <v>3389</v>
      </c>
      <c r="C490" s="4009"/>
      <c r="D490" s="4009"/>
      <c r="E490" s="4009"/>
      <c r="F490" s="4009"/>
      <c r="G490" s="4027">
        <f>G491+G494+G498+G502+G506+G510</f>
        <v>128554.43700000001</v>
      </c>
      <c r="H490" s="4027">
        <f t="shared" ref="H490:V490" si="230">H491+H494+H498+H502+H506+H510</f>
        <v>0</v>
      </c>
      <c r="I490" s="4027">
        <f t="shared" si="230"/>
        <v>0</v>
      </c>
      <c r="J490" s="4027">
        <f t="shared" si="230"/>
        <v>88554.437000000005</v>
      </c>
      <c r="K490" s="4027">
        <f t="shared" si="230"/>
        <v>4033.373</v>
      </c>
      <c r="L490" s="4027">
        <f t="shared" si="230"/>
        <v>0</v>
      </c>
      <c r="M490" s="4027">
        <f t="shared" si="230"/>
        <v>0</v>
      </c>
      <c r="N490" s="4027">
        <f t="shared" si="230"/>
        <v>4033.373</v>
      </c>
      <c r="O490" s="4027">
        <f t="shared" si="230"/>
        <v>3500</v>
      </c>
      <c r="P490" s="4027">
        <f t="shared" si="230"/>
        <v>0</v>
      </c>
      <c r="Q490" s="4027">
        <f t="shared" si="230"/>
        <v>0</v>
      </c>
      <c r="R490" s="4027">
        <f t="shared" si="230"/>
        <v>3500</v>
      </c>
      <c r="S490" s="4027">
        <f t="shared" si="230"/>
        <v>22000</v>
      </c>
      <c r="T490" s="4027">
        <f t="shared" si="230"/>
        <v>0</v>
      </c>
      <c r="U490" s="4027">
        <f t="shared" si="230"/>
        <v>0</v>
      </c>
      <c r="V490" s="4027">
        <f t="shared" si="230"/>
        <v>22000</v>
      </c>
    </row>
    <row r="491" spans="1:22" s="248" customFormat="1">
      <c r="A491" s="4009" t="s">
        <v>9</v>
      </c>
      <c r="B491" s="4010" t="s">
        <v>3390</v>
      </c>
      <c r="C491" s="4009"/>
      <c r="D491" s="4009"/>
      <c r="E491" s="4009"/>
      <c r="F491" s="4009"/>
      <c r="G491" s="4027">
        <f>G492</f>
        <v>62952</v>
      </c>
      <c r="H491" s="4027">
        <f t="shared" ref="H491:V492" si="231">H492</f>
        <v>0</v>
      </c>
      <c r="I491" s="4027">
        <f t="shared" si="231"/>
        <v>0</v>
      </c>
      <c r="J491" s="4027">
        <f t="shared" si="231"/>
        <v>22952</v>
      </c>
      <c r="K491" s="4027">
        <f t="shared" si="231"/>
        <v>0</v>
      </c>
      <c r="L491" s="4027">
        <f t="shared" si="231"/>
        <v>0</v>
      </c>
      <c r="M491" s="4027">
        <f t="shared" si="231"/>
        <v>0</v>
      </c>
      <c r="N491" s="4027">
        <f t="shared" si="231"/>
        <v>0</v>
      </c>
      <c r="O491" s="4027">
        <f t="shared" si="231"/>
        <v>0</v>
      </c>
      <c r="P491" s="4027">
        <f t="shared" si="231"/>
        <v>0</v>
      </c>
      <c r="Q491" s="4027">
        <f t="shared" si="231"/>
        <v>0</v>
      </c>
      <c r="R491" s="4027">
        <f t="shared" si="231"/>
        <v>0</v>
      </c>
      <c r="S491" s="4027">
        <f t="shared" si="231"/>
        <v>500</v>
      </c>
      <c r="T491" s="4027">
        <f t="shared" si="231"/>
        <v>0</v>
      </c>
      <c r="U491" s="4027">
        <f t="shared" si="231"/>
        <v>0</v>
      </c>
      <c r="V491" s="4027">
        <f t="shared" si="231"/>
        <v>500</v>
      </c>
    </row>
    <row r="492" spans="1:22">
      <c r="A492" s="4009">
        <v>1</v>
      </c>
      <c r="B492" s="4028" t="s">
        <v>3119</v>
      </c>
      <c r="C492" s="4009"/>
      <c r="D492" s="4009"/>
      <c r="E492" s="4009"/>
      <c r="F492" s="4009"/>
      <c r="G492" s="4029">
        <f>G493</f>
        <v>62952</v>
      </c>
      <c r="H492" s="4029"/>
      <c r="I492" s="4029"/>
      <c r="J492" s="4029">
        <f t="shared" si="231"/>
        <v>22952</v>
      </c>
      <c r="K492" s="4029">
        <f t="shared" si="231"/>
        <v>0</v>
      </c>
      <c r="L492" s="4029"/>
      <c r="M492" s="4029"/>
      <c r="N492" s="4029">
        <f t="shared" si="231"/>
        <v>0</v>
      </c>
      <c r="O492" s="4029">
        <f t="shared" si="231"/>
        <v>0</v>
      </c>
      <c r="P492" s="4029"/>
      <c r="Q492" s="4029"/>
      <c r="R492" s="4029">
        <f t="shared" si="231"/>
        <v>0</v>
      </c>
      <c r="S492" s="4029">
        <f>S493</f>
        <v>500</v>
      </c>
      <c r="T492" s="4029"/>
      <c r="U492" s="4029"/>
      <c r="V492" s="4029">
        <f t="shared" si="231"/>
        <v>500</v>
      </c>
    </row>
    <row r="493" spans="1:22" ht="51" customHeight="1">
      <c r="A493" s="4043">
        <v>1</v>
      </c>
      <c r="B493" s="4044" t="s">
        <v>3391</v>
      </c>
      <c r="C493" s="4043" t="s">
        <v>3110</v>
      </c>
      <c r="D493" s="4043"/>
      <c r="E493" s="4043" t="s">
        <v>3112</v>
      </c>
      <c r="F493" s="4043" t="s">
        <v>3392</v>
      </c>
      <c r="G493" s="4033">
        <f>J493+I493+H493</f>
        <v>62952</v>
      </c>
      <c r="H493" s="4033"/>
      <c r="I493" s="4033">
        <v>40000</v>
      </c>
      <c r="J493" s="4033">
        <f>62952-40000</f>
        <v>22952</v>
      </c>
      <c r="K493" s="4033"/>
      <c r="L493" s="4033"/>
      <c r="M493" s="4033"/>
      <c r="N493" s="4033"/>
      <c r="O493" s="4033">
        <f>P493+Q493+R493</f>
        <v>0</v>
      </c>
      <c r="P493" s="4033"/>
      <c r="Q493" s="4033"/>
      <c r="R493" s="4033">
        <v>0</v>
      </c>
      <c r="S493" s="4033">
        <f>T493+U493+V493</f>
        <v>500</v>
      </c>
      <c r="T493" s="4033"/>
      <c r="U493" s="4033"/>
      <c r="V493" s="4033">
        <v>500</v>
      </c>
    </row>
    <row r="494" spans="1:22">
      <c r="A494" s="4009" t="s">
        <v>20</v>
      </c>
      <c r="B494" s="4010" t="s">
        <v>2846</v>
      </c>
      <c r="C494" s="4043"/>
      <c r="D494" s="4043"/>
      <c r="E494" s="4043"/>
      <c r="F494" s="4043"/>
      <c r="G494" s="4027">
        <f>G495</f>
        <v>2635.364</v>
      </c>
      <c r="H494" s="4027">
        <f t="shared" ref="H494:V496" si="232">H495</f>
        <v>0</v>
      </c>
      <c r="I494" s="4027">
        <f t="shared" si="232"/>
        <v>0</v>
      </c>
      <c r="J494" s="4027">
        <f t="shared" si="232"/>
        <v>2635.364</v>
      </c>
      <c r="K494" s="4027">
        <f t="shared" si="232"/>
        <v>0</v>
      </c>
      <c r="L494" s="4027">
        <f t="shared" si="232"/>
        <v>0</v>
      </c>
      <c r="M494" s="4027">
        <f t="shared" si="232"/>
        <v>0</v>
      </c>
      <c r="N494" s="4027">
        <f t="shared" si="232"/>
        <v>0</v>
      </c>
      <c r="O494" s="4027">
        <f t="shared" si="232"/>
        <v>0</v>
      </c>
      <c r="P494" s="4027">
        <f t="shared" si="232"/>
        <v>0</v>
      </c>
      <c r="Q494" s="4027">
        <f t="shared" si="232"/>
        <v>0</v>
      </c>
      <c r="R494" s="4027">
        <f t="shared" si="232"/>
        <v>0</v>
      </c>
      <c r="S494" s="4027">
        <f t="shared" si="232"/>
        <v>1000</v>
      </c>
      <c r="T494" s="4027">
        <f t="shared" si="232"/>
        <v>0</v>
      </c>
      <c r="U494" s="4027">
        <f t="shared" si="232"/>
        <v>0</v>
      </c>
      <c r="V494" s="4027">
        <f t="shared" si="232"/>
        <v>1000</v>
      </c>
    </row>
    <row r="495" spans="1:22" s="248" customFormat="1">
      <c r="A495" s="4009">
        <v>1</v>
      </c>
      <c r="B495" s="4010" t="s">
        <v>3122</v>
      </c>
      <c r="C495" s="4009"/>
      <c r="D495" s="4009"/>
      <c r="E495" s="4009"/>
      <c r="F495" s="4009"/>
      <c r="G495" s="4027">
        <f>G496</f>
        <v>2635.364</v>
      </c>
      <c r="H495" s="4027">
        <f t="shared" si="232"/>
        <v>0</v>
      </c>
      <c r="I495" s="4027">
        <f t="shared" si="232"/>
        <v>0</v>
      </c>
      <c r="J495" s="4027">
        <f t="shared" si="232"/>
        <v>2635.364</v>
      </c>
      <c r="K495" s="4027">
        <f t="shared" si="232"/>
        <v>0</v>
      </c>
      <c r="L495" s="4027">
        <f t="shared" si="232"/>
        <v>0</v>
      </c>
      <c r="M495" s="4027">
        <f t="shared" si="232"/>
        <v>0</v>
      </c>
      <c r="N495" s="4027">
        <f t="shared" si="232"/>
        <v>0</v>
      </c>
      <c r="O495" s="4027">
        <f t="shared" si="232"/>
        <v>0</v>
      </c>
      <c r="P495" s="4027">
        <f t="shared" si="232"/>
        <v>0</v>
      </c>
      <c r="Q495" s="4027">
        <f t="shared" si="232"/>
        <v>0</v>
      </c>
      <c r="R495" s="4027">
        <f t="shared" si="232"/>
        <v>0</v>
      </c>
      <c r="S495" s="4027">
        <f t="shared" si="232"/>
        <v>1000</v>
      </c>
      <c r="T495" s="4027">
        <f t="shared" si="232"/>
        <v>0</v>
      </c>
      <c r="U495" s="4027">
        <f t="shared" si="232"/>
        <v>0</v>
      </c>
      <c r="V495" s="4027">
        <f t="shared" si="232"/>
        <v>1000</v>
      </c>
    </row>
    <row r="496" spans="1:22" ht="31.2">
      <c r="A496" s="4009" t="s">
        <v>34</v>
      </c>
      <c r="B496" s="4028" t="s">
        <v>2871</v>
      </c>
      <c r="C496" s="4009"/>
      <c r="D496" s="4009"/>
      <c r="E496" s="4009"/>
      <c r="F496" s="4009"/>
      <c r="G496" s="4029">
        <f>G497</f>
        <v>2635.364</v>
      </c>
      <c r="H496" s="4029">
        <f t="shared" si="232"/>
        <v>0</v>
      </c>
      <c r="I496" s="4029">
        <f t="shared" si="232"/>
        <v>0</v>
      </c>
      <c r="J496" s="4029">
        <f t="shared" si="232"/>
        <v>2635.364</v>
      </c>
      <c r="K496" s="4029">
        <f t="shared" si="232"/>
        <v>0</v>
      </c>
      <c r="L496" s="4029">
        <f t="shared" si="232"/>
        <v>0</v>
      </c>
      <c r="M496" s="4029">
        <f t="shared" si="232"/>
        <v>0</v>
      </c>
      <c r="N496" s="4029">
        <f t="shared" si="232"/>
        <v>0</v>
      </c>
      <c r="O496" s="4029">
        <f t="shared" si="232"/>
        <v>0</v>
      </c>
      <c r="P496" s="4029">
        <f t="shared" si="232"/>
        <v>0</v>
      </c>
      <c r="Q496" s="4029">
        <f t="shared" si="232"/>
        <v>0</v>
      </c>
      <c r="R496" s="4029">
        <f t="shared" si="232"/>
        <v>0</v>
      </c>
      <c r="S496" s="4029">
        <f t="shared" si="232"/>
        <v>1000</v>
      </c>
      <c r="T496" s="4029">
        <f t="shared" si="232"/>
        <v>0</v>
      </c>
      <c r="U496" s="4029">
        <f t="shared" si="232"/>
        <v>0</v>
      </c>
      <c r="V496" s="4029">
        <f t="shared" si="232"/>
        <v>1000</v>
      </c>
    </row>
    <row r="497" spans="1:22" s="2137" customFormat="1" ht="31.5" customHeight="1">
      <c r="A497" s="4041">
        <v>1</v>
      </c>
      <c r="B497" s="4040" t="s">
        <v>3393</v>
      </c>
      <c r="C497" s="4043" t="s">
        <v>2932</v>
      </c>
      <c r="D497" s="3987" t="s">
        <v>3394</v>
      </c>
      <c r="E497" s="4041" t="s">
        <v>3155</v>
      </c>
      <c r="F497" s="4141" t="s">
        <v>3395</v>
      </c>
      <c r="G497" s="3990">
        <v>2635.364</v>
      </c>
      <c r="H497" s="4050"/>
      <c r="I497" s="4050"/>
      <c r="J497" s="3990">
        <v>2635.364</v>
      </c>
      <c r="K497" s="4123">
        <v>0</v>
      </c>
      <c r="L497" s="4050"/>
      <c r="M497" s="4050"/>
      <c r="N497" s="4123">
        <v>0</v>
      </c>
      <c r="O497" s="4123">
        <v>0</v>
      </c>
      <c r="P497" s="4050"/>
      <c r="Q497" s="4050"/>
      <c r="R497" s="4123">
        <v>0</v>
      </c>
      <c r="S497" s="3990">
        <v>1000</v>
      </c>
      <c r="T497" s="4050"/>
      <c r="U497" s="4050"/>
      <c r="V497" s="3990">
        <v>1000</v>
      </c>
    </row>
    <row r="498" spans="1:22" s="1577" customFormat="1">
      <c r="A498" s="4009" t="s">
        <v>49</v>
      </c>
      <c r="B498" s="4010" t="s">
        <v>2847</v>
      </c>
      <c r="C498" s="4035"/>
      <c r="D498" s="4035"/>
      <c r="E498" s="4035"/>
      <c r="F498" s="4035"/>
      <c r="G498" s="4027">
        <f t="shared" ref="G498:V500" si="233">G499</f>
        <v>21493</v>
      </c>
      <c r="H498" s="4027">
        <f t="shared" si="233"/>
        <v>0</v>
      </c>
      <c r="I498" s="4027">
        <f t="shared" si="233"/>
        <v>0</v>
      </c>
      <c r="J498" s="4027">
        <f t="shared" si="233"/>
        <v>21493</v>
      </c>
      <c r="K498" s="4027">
        <f t="shared" si="233"/>
        <v>0</v>
      </c>
      <c r="L498" s="4027">
        <f t="shared" si="233"/>
        <v>0</v>
      </c>
      <c r="M498" s="4027">
        <f t="shared" si="233"/>
        <v>0</v>
      </c>
      <c r="N498" s="4027">
        <f t="shared" si="233"/>
        <v>0</v>
      </c>
      <c r="O498" s="4027">
        <f t="shared" si="233"/>
        <v>0</v>
      </c>
      <c r="P498" s="4027">
        <f t="shared" si="233"/>
        <v>0</v>
      </c>
      <c r="Q498" s="4027">
        <f t="shared" si="233"/>
        <v>0</v>
      </c>
      <c r="R498" s="4027">
        <f t="shared" si="233"/>
        <v>0</v>
      </c>
      <c r="S498" s="4027">
        <f t="shared" si="233"/>
        <v>4000</v>
      </c>
      <c r="T498" s="4027">
        <f t="shared" si="233"/>
        <v>0</v>
      </c>
      <c r="U498" s="4027">
        <f t="shared" si="233"/>
        <v>0</v>
      </c>
      <c r="V498" s="4027">
        <f>V499</f>
        <v>4000</v>
      </c>
    </row>
    <row r="499" spans="1:22" s="248" customFormat="1">
      <c r="A499" s="4009">
        <v>1</v>
      </c>
      <c r="B499" s="4010" t="s">
        <v>3122</v>
      </c>
      <c r="C499" s="4009"/>
      <c r="D499" s="4009"/>
      <c r="E499" s="4009"/>
      <c r="F499" s="4009"/>
      <c r="G499" s="4027">
        <f t="shared" si="233"/>
        <v>21493</v>
      </c>
      <c r="H499" s="4027">
        <f t="shared" si="233"/>
        <v>0</v>
      </c>
      <c r="I499" s="4027">
        <f t="shared" si="233"/>
        <v>0</v>
      </c>
      <c r="J499" s="4027">
        <f t="shared" si="233"/>
        <v>21493</v>
      </c>
      <c r="K499" s="4027">
        <f t="shared" si="233"/>
        <v>0</v>
      </c>
      <c r="L499" s="4027">
        <f t="shared" si="233"/>
        <v>0</v>
      </c>
      <c r="M499" s="4027">
        <f t="shared" si="233"/>
        <v>0</v>
      </c>
      <c r="N499" s="4027">
        <f t="shared" si="233"/>
        <v>0</v>
      </c>
      <c r="O499" s="4027">
        <f t="shared" si="233"/>
        <v>0</v>
      </c>
      <c r="P499" s="4027">
        <f t="shared" si="233"/>
        <v>0</v>
      </c>
      <c r="Q499" s="4027">
        <f t="shared" si="233"/>
        <v>0</v>
      </c>
      <c r="R499" s="4027">
        <f t="shared" si="233"/>
        <v>0</v>
      </c>
      <c r="S499" s="4027">
        <f t="shared" si="233"/>
        <v>4000</v>
      </c>
      <c r="T499" s="4027">
        <f t="shared" si="233"/>
        <v>0</v>
      </c>
      <c r="U499" s="4027">
        <f t="shared" si="233"/>
        <v>0</v>
      </c>
      <c r="V499" s="4027">
        <f t="shared" si="233"/>
        <v>4000</v>
      </c>
    </row>
    <row r="500" spans="1:22" ht="31.2">
      <c r="A500" s="4009" t="s">
        <v>34</v>
      </c>
      <c r="B500" s="4028" t="s">
        <v>2871</v>
      </c>
      <c r="C500" s="4009"/>
      <c r="D500" s="4009"/>
      <c r="E500" s="4009"/>
      <c r="F500" s="4009"/>
      <c r="G500" s="4029">
        <f>G501</f>
        <v>21493</v>
      </c>
      <c r="H500" s="4029">
        <f t="shared" si="233"/>
        <v>0</v>
      </c>
      <c r="I500" s="4029">
        <f t="shared" si="233"/>
        <v>0</v>
      </c>
      <c r="J500" s="4029">
        <f t="shared" si="233"/>
        <v>21493</v>
      </c>
      <c r="K500" s="4029">
        <f t="shared" si="233"/>
        <v>0</v>
      </c>
      <c r="L500" s="4029">
        <f t="shared" si="233"/>
        <v>0</v>
      </c>
      <c r="M500" s="4029">
        <f t="shared" si="233"/>
        <v>0</v>
      </c>
      <c r="N500" s="4029">
        <f t="shared" si="233"/>
        <v>0</v>
      </c>
      <c r="O500" s="4029">
        <f t="shared" si="233"/>
        <v>0</v>
      </c>
      <c r="P500" s="4029">
        <f t="shared" si="233"/>
        <v>0</v>
      </c>
      <c r="Q500" s="4029">
        <f t="shared" si="233"/>
        <v>0</v>
      </c>
      <c r="R500" s="4029">
        <f t="shared" si="233"/>
        <v>0</v>
      </c>
      <c r="S500" s="4029">
        <f t="shared" si="233"/>
        <v>4000</v>
      </c>
      <c r="T500" s="4029">
        <f t="shared" si="233"/>
        <v>0</v>
      </c>
      <c r="U500" s="4029">
        <f t="shared" si="233"/>
        <v>0</v>
      </c>
      <c r="V500" s="4029">
        <f t="shared" si="233"/>
        <v>4000</v>
      </c>
    </row>
    <row r="501" spans="1:22" ht="22.5" customHeight="1">
      <c r="A501" s="3987">
        <v>1</v>
      </c>
      <c r="B501" s="4034" t="s">
        <v>3396</v>
      </c>
      <c r="C501" s="3987" t="s">
        <v>3397</v>
      </c>
      <c r="D501" s="4052" t="s">
        <v>3398</v>
      </c>
      <c r="E501" s="3987" t="s">
        <v>2892</v>
      </c>
      <c r="F501" s="3987" t="s">
        <v>3399</v>
      </c>
      <c r="G501" s="3990">
        <v>21493</v>
      </c>
      <c r="H501" s="3990"/>
      <c r="I501" s="3990"/>
      <c r="J501" s="3990">
        <v>21493</v>
      </c>
      <c r="K501" s="3990">
        <f t="shared" ref="K501" si="234">L501+M501+N501</f>
        <v>0</v>
      </c>
      <c r="L501" s="3990"/>
      <c r="M501" s="3990"/>
      <c r="N501" s="3990">
        <v>0</v>
      </c>
      <c r="O501" s="3990"/>
      <c r="P501" s="3990"/>
      <c r="Q501" s="3990"/>
      <c r="R501" s="3990"/>
      <c r="S501" s="3990">
        <v>4000</v>
      </c>
      <c r="T501" s="3990"/>
      <c r="U501" s="3990"/>
      <c r="V501" s="3990">
        <v>4000</v>
      </c>
    </row>
    <row r="502" spans="1:22" s="1577" customFormat="1">
      <c r="A502" s="4009" t="s">
        <v>50</v>
      </c>
      <c r="B502" s="4010" t="s">
        <v>2852</v>
      </c>
      <c r="C502" s="4035"/>
      <c r="D502" s="4035"/>
      <c r="E502" s="4035"/>
      <c r="F502" s="4035"/>
      <c r="G502" s="4027">
        <f t="shared" ref="G502:V504" si="235">G503</f>
        <v>8386</v>
      </c>
      <c r="H502" s="4027">
        <f t="shared" si="235"/>
        <v>0</v>
      </c>
      <c r="I502" s="4027">
        <f t="shared" si="235"/>
        <v>0</v>
      </c>
      <c r="J502" s="4027">
        <f t="shared" si="235"/>
        <v>8386</v>
      </c>
      <c r="K502" s="4027">
        <f t="shared" si="235"/>
        <v>1000</v>
      </c>
      <c r="L502" s="4027">
        <f t="shared" si="235"/>
        <v>0</v>
      </c>
      <c r="M502" s="4027">
        <f t="shared" si="235"/>
        <v>0</v>
      </c>
      <c r="N502" s="4027">
        <f t="shared" si="235"/>
        <v>1000</v>
      </c>
      <c r="O502" s="4027">
        <f t="shared" si="235"/>
        <v>1000</v>
      </c>
      <c r="P502" s="4027">
        <f t="shared" si="235"/>
        <v>0</v>
      </c>
      <c r="Q502" s="4027">
        <f t="shared" si="235"/>
        <v>0</v>
      </c>
      <c r="R502" s="4027">
        <f t="shared" si="235"/>
        <v>1000</v>
      </c>
      <c r="S502" s="4027">
        <f t="shared" si="235"/>
        <v>4000</v>
      </c>
      <c r="T502" s="4027">
        <f t="shared" si="235"/>
        <v>0</v>
      </c>
      <c r="U502" s="4027">
        <f t="shared" si="235"/>
        <v>0</v>
      </c>
      <c r="V502" s="4027">
        <f>V503</f>
        <v>4000</v>
      </c>
    </row>
    <row r="503" spans="1:22" s="248" customFormat="1">
      <c r="A503" s="4009">
        <v>1</v>
      </c>
      <c r="B503" s="4010" t="s">
        <v>3122</v>
      </c>
      <c r="C503" s="4009"/>
      <c r="D503" s="4009"/>
      <c r="E503" s="4009"/>
      <c r="F503" s="4009"/>
      <c r="G503" s="4027">
        <f t="shared" si="235"/>
        <v>8386</v>
      </c>
      <c r="H503" s="4027">
        <f t="shared" si="235"/>
        <v>0</v>
      </c>
      <c r="I503" s="4027">
        <f t="shared" si="235"/>
        <v>0</v>
      </c>
      <c r="J503" s="4027">
        <f t="shared" si="235"/>
        <v>8386</v>
      </c>
      <c r="K503" s="4027">
        <f t="shared" si="235"/>
        <v>1000</v>
      </c>
      <c r="L503" s="4027">
        <f t="shared" si="235"/>
        <v>0</v>
      </c>
      <c r="M503" s="4027">
        <f t="shared" si="235"/>
        <v>0</v>
      </c>
      <c r="N503" s="4027">
        <f t="shared" si="235"/>
        <v>1000</v>
      </c>
      <c r="O503" s="4027">
        <f t="shared" si="235"/>
        <v>1000</v>
      </c>
      <c r="P503" s="4027">
        <f t="shared" si="235"/>
        <v>0</v>
      </c>
      <c r="Q503" s="4027">
        <f t="shared" si="235"/>
        <v>0</v>
      </c>
      <c r="R503" s="4027">
        <f t="shared" si="235"/>
        <v>1000</v>
      </c>
      <c r="S503" s="4027">
        <f t="shared" si="235"/>
        <v>4000</v>
      </c>
      <c r="T503" s="4027">
        <f t="shared" si="235"/>
        <v>0</v>
      </c>
      <c r="U503" s="4027">
        <f t="shared" si="235"/>
        <v>0</v>
      </c>
      <c r="V503" s="4027">
        <f t="shared" si="235"/>
        <v>4000</v>
      </c>
    </row>
    <row r="504" spans="1:22" ht="31.2">
      <c r="A504" s="4009" t="s">
        <v>34</v>
      </c>
      <c r="B504" s="4028" t="s">
        <v>2871</v>
      </c>
      <c r="C504" s="4009"/>
      <c r="D504" s="4009"/>
      <c r="E504" s="4009"/>
      <c r="F504" s="4009"/>
      <c r="G504" s="4029">
        <f>G505</f>
        <v>8386</v>
      </c>
      <c r="H504" s="4029">
        <f t="shared" si="235"/>
        <v>0</v>
      </c>
      <c r="I504" s="4029">
        <f t="shared" si="235"/>
        <v>0</v>
      </c>
      <c r="J504" s="4029">
        <f t="shared" si="235"/>
        <v>8386</v>
      </c>
      <c r="K504" s="4029">
        <f t="shared" si="235"/>
        <v>1000</v>
      </c>
      <c r="L504" s="4029">
        <f t="shared" si="235"/>
        <v>0</v>
      </c>
      <c r="M504" s="4029">
        <f t="shared" si="235"/>
        <v>0</v>
      </c>
      <c r="N504" s="4029">
        <f t="shared" si="235"/>
        <v>1000</v>
      </c>
      <c r="O504" s="4029">
        <f t="shared" si="235"/>
        <v>1000</v>
      </c>
      <c r="P504" s="4029">
        <f t="shared" si="235"/>
        <v>0</v>
      </c>
      <c r="Q504" s="4029">
        <f t="shared" si="235"/>
        <v>0</v>
      </c>
      <c r="R504" s="4029">
        <f t="shared" si="235"/>
        <v>1000</v>
      </c>
      <c r="S504" s="4029">
        <f t="shared" si="235"/>
        <v>4000</v>
      </c>
      <c r="T504" s="4029">
        <f t="shared" si="235"/>
        <v>0</v>
      </c>
      <c r="U504" s="4029">
        <f t="shared" si="235"/>
        <v>0</v>
      </c>
      <c r="V504" s="4029">
        <f t="shared" si="235"/>
        <v>4000</v>
      </c>
    </row>
    <row r="505" spans="1:22" ht="62.4">
      <c r="A505" s="4127">
        <v>1</v>
      </c>
      <c r="B505" s="4040" t="s">
        <v>3400</v>
      </c>
      <c r="C505" s="4041" t="s">
        <v>2885</v>
      </c>
      <c r="D505" s="3987" t="s">
        <v>3398</v>
      </c>
      <c r="E505" s="4041" t="s">
        <v>2887</v>
      </c>
      <c r="F505" s="3987" t="s">
        <v>3401</v>
      </c>
      <c r="G505" s="3992">
        <v>8386</v>
      </c>
      <c r="H505" s="3992"/>
      <c r="I505" s="3992"/>
      <c r="J505" s="3992">
        <v>8386</v>
      </c>
      <c r="K505" s="3992">
        <f>SUM(L505:N505)</f>
        <v>1000</v>
      </c>
      <c r="L505" s="3992"/>
      <c r="M505" s="3992"/>
      <c r="N505" s="3992">
        <v>1000</v>
      </c>
      <c r="O505" s="3992">
        <f>SUM(P505:R505)</f>
        <v>1000</v>
      </c>
      <c r="P505" s="3992"/>
      <c r="Q505" s="3992"/>
      <c r="R505" s="3992">
        <v>1000</v>
      </c>
      <c r="S505" s="3992">
        <f>SUM(T505:V505)</f>
        <v>4000</v>
      </c>
      <c r="T505" s="3992"/>
      <c r="U505" s="3992"/>
      <c r="V505" s="3992">
        <v>4000</v>
      </c>
    </row>
    <row r="506" spans="1:22" s="1577" customFormat="1">
      <c r="A506" s="4009" t="s">
        <v>72</v>
      </c>
      <c r="B506" s="4010" t="s">
        <v>3414</v>
      </c>
      <c r="C506" s="4035"/>
      <c r="D506" s="4035"/>
      <c r="E506" s="4035"/>
      <c r="F506" s="4035"/>
      <c r="G506" s="4027">
        <f t="shared" ref="G506:V508" si="236">G507</f>
        <v>14250.684999999999</v>
      </c>
      <c r="H506" s="4027">
        <f t="shared" si="236"/>
        <v>0</v>
      </c>
      <c r="I506" s="4027">
        <f t="shared" si="236"/>
        <v>0</v>
      </c>
      <c r="J506" s="4027">
        <f t="shared" si="236"/>
        <v>14250.684999999999</v>
      </c>
      <c r="K506" s="4027">
        <f t="shared" si="236"/>
        <v>3033.373</v>
      </c>
      <c r="L506" s="4027">
        <f t="shared" si="236"/>
        <v>0</v>
      </c>
      <c r="M506" s="4027">
        <f t="shared" si="236"/>
        <v>0</v>
      </c>
      <c r="N506" s="4027">
        <f t="shared" si="236"/>
        <v>3033.373</v>
      </c>
      <c r="O506" s="4027">
        <f t="shared" si="236"/>
        <v>2500</v>
      </c>
      <c r="P506" s="4027">
        <f t="shared" si="236"/>
        <v>0</v>
      </c>
      <c r="Q506" s="4027">
        <f t="shared" si="236"/>
        <v>0</v>
      </c>
      <c r="R506" s="4027">
        <f t="shared" si="236"/>
        <v>2500</v>
      </c>
      <c r="S506" s="4027">
        <f t="shared" si="236"/>
        <v>2500</v>
      </c>
      <c r="T506" s="4027">
        <f t="shared" si="236"/>
        <v>0</v>
      </c>
      <c r="U506" s="4027">
        <f t="shared" si="236"/>
        <v>0</v>
      </c>
      <c r="V506" s="4027">
        <f>V507</f>
        <v>2500</v>
      </c>
    </row>
    <row r="507" spans="1:22" s="248" customFormat="1">
      <c r="A507" s="4009">
        <v>1</v>
      </c>
      <c r="B507" s="4010" t="s">
        <v>3122</v>
      </c>
      <c r="C507" s="4009"/>
      <c r="D507" s="4009"/>
      <c r="E507" s="4009"/>
      <c r="F507" s="4009"/>
      <c r="G507" s="4027">
        <f t="shared" si="236"/>
        <v>14250.684999999999</v>
      </c>
      <c r="H507" s="4027">
        <f t="shared" si="236"/>
        <v>0</v>
      </c>
      <c r="I507" s="4027">
        <f t="shared" si="236"/>
        <v>0</v>
      </c>
      <c r="J507" s="4027">
        <f t="shared" si="236"/>
        <v>14250.684999999999</v>
      </c>
      <c r="K507" s="4027">
        <f t="shared" si="236"/>
        <v>3033.373</v>
      </c>
      <c r="L507" s="4027">
        <f t="shared" si="236"/>
        <v>0</v>
      </c>
      <c r="M507" s="4027">
        <f t="shared" si="236"/>
        <v>0</v>
      </c>
      <c r="N507" s="4027">
        <f t="shared" si="236"/>
        <v>3033.373</v>
      </c>
      <c r="O507" s="4027">
        <f t="shared" si="236"/>
        <v>2500</v>
      </c>
      <c r="P507" s="4027">
        <f t="shared" si="236"/>
        <v>0</v>
      </c>
      <c r="Q507" s="4027">
        <f t="shared" si="236"/>
        <v>0</v>
      </c>
      <c r="R507" s="4027">
        <f t="shared" si="236"/>
        <v>2500</v>
      </c>
      <c r="S507" s="4027">
        <f t="shared" si="236"/>
        <v>2500</v>
      </c>
      <c r="T507" s="4027">
        <f t="shared" si="236"/>
        <v>0</v>
      </c>
      <c r="U507" s="4027">
        <f t="shared" si="236"/>
        <v>0</v>
      </c>
      <c r="V507" s="4027">
        <f t="shared" si="236"/>
        <v>2500</v>
      </c>
    </row>
    <row r="508" spans="1:22" ht="31.2">
      <c r="A508" s="4009" t="s">
        <v>34</v>
      </c>
      <c r="B508" s="4028" t="s">
        <v>2871</v>
      </c>
      <c r="C508" s="4009"/>
      <c r="D508" s="4009"/>
      <c r="E508" s="4009"/>
      <c r="F508" s="4009"/>
      <c r="G508" s="4029">
        <f>G509</f>
        <v>14250.684999999999</v>
      </c>
      <c r="H508" s="4029">
        <f t="shared" si="236"/>
        <v>0</v>
      </c>
      <c r="I508" s="4029">
        <f t="shared" si="236"/>
        <v>0</v>
      </c>
      <c r="J508" s="4029">
        <f t="shared" si="236"/>
        <v>14250.684999999999</v>
      </c>
      <c r="K508" s="4029">
        <f t="shared" si="236"/>
        <v>3033.373</v>
      </c>
      <c r="L508" s="4029">
        <f t="shared" si="236"/>
        <v>0</v>
      </c>
      <c r="M508" s="4029">
        <f t="shared" si="236"/>
        <v>0</v>
      </c>
      <c r="N508" s="4029">
        <f t="shared" si="236"/>
        <v>3033.373</v>
      </c>
      <c r="O508" s="4029">
        <f t="shared" si="236"/>
        <v>2500</v>
      </c>
      <c r="P508" s="4029">
        <f t="shared" si="236"/>
        <v>0</v>
      </c>
      <c r="Q508" s="4029">
        <f t="shared" si="236"/>
        <v>0</v>
      </c>
      <c r="R508" s="4029">
        <f t="shared" si="236"/>
        <v>2500</v>
      </c>
      <c r="S508" s="4029">
        <f t="shared" si="236"/>
        <v>2500</v>
      </c>
      <c r="T508" s="4029">
        <f t="shared" si="236"/>
        <v>0</v>
      </c>
      <c r="U508" s="4029">
        <f t="shared" si="236"/>
        <v>0</v>
      </c>
      <c r="V508" s="4029">
        <f t="shared" si="236"/>
        <v>2500</v>
      </c>
    </row>
    <row r="509" spans="1:22" s="3999" customFormat="1" ht="24.75" customHeight="1">
      <c r="A509" s="3987">
        <v>1</v>
      </c>
      <c r="B509" s="4099" t="s">
        <v>3692</v>
      </c>
      <c r="C509" s="4041" t="s">
        <v>3688</v>
      </c>
      <c r="D509" s="3987" t="s">
        <v>3693</v>
      </c>
      <c r="E509" s="3987" t="s">
        <v>3694</v>
      </c>
      <c r="F509" s="4055" t="s">
        <v>3695</v>
      </c>
      <c r="G509" s="4051">
        <v>14250.684999999999</v>
      </c>
      <c r="H509" s="4051">
        <v>0</v>
      </c>
      <c r="I509" s="4051">
        <v>0</v>
      </c>
      <c r="J509" s="4051">
        <v>14250.684999999999</v>
      </c>
      <c r="K509" s="4051">
        <v>3033.373</v>
      </c>
      <c r="L509" s="4051">
        <v>0</v>
      </c>
      <c r="M509" s="4051">
        <v>0</v>
      </c>
      <c r="N509" s="4051">
        <v>3033.373</v>
      </c>
      <c r="O509" s="4051">
        <v>2500</v>
      </c>
      <c r="P509" s="4051"/>
      <c r="Q509" s="4051">
        <v>0</v>
      </c>
      <c r="R509" s="4051">
        <v>2500</v>
      </c>
      <c r="S509" s="4051">
        <v>2500</v>
      </c>
      <c r="T509" s="4051">
        <v>0</v>
      </c>
      <c r="U509" s="4051">
        <v>0</v>
      </c>
      <c r="V509" s="4051">
        <v>2500</v>
      </c>
    </row>
    <row r="510" spans="1:22" s="1577" customFormat="1">
      <c r="A510" s="4009" t="s">
        <v>100</v>
      </c>
      <c r="B510" s="4010" t="s">
        <v>3415</v>
      </c>
      <c r="C510" s="4035"/>
      <c r="D510" s="4035"/>
      <c r="E510" s="4035"/>
      <c r="F510" s="4035"/>
      <c r="G510" s="4027">
        <f t="shared" ref="G510:V511" si="237">G511</f>
        <v>18837.387999999999</v>
      </c>
      <c r="H510" s="4027">
        <f t="shared" si="237"/>
        <v>0</v>
      </c>
      <c r="I510" s="4027">
        <f t="shared" si="237"/>
        <v>0</v>
      </c>
      <c r="J510" s="4027">
        <f t="shared" si="237"/>
        <v>18837.387999999999</v>
      </c>
      <c r="K510" s="4027">
        <f t="shared" si="237"/>
        <v>0</v>
      </c>
      <c r="L510" s="4027">
        <f t="shared" si="237"/>
        <v>0</v>
      </c>
      <c r="M510" s="4027">
        <f t="shared" si="237"/>
        <v>0</v>
      </c>
      <c r="N510" s="4027">
        <f t="shared" si="237"/>
        <v>0</v>
      </c>
      <c r="O510" s="4027">
        <f t="shared" si="237"/>
        <v>0</v>
      </c>
      <c r="P510" s="4027">
        <f t="shared" si="237"/>
        <v>0</v>
      </c>
      <c r="Q510" s="4027">
        <f t="shared" si="237"/>
        <v>0</v>
      </c>
      <c r="R510" s="4027">
        <f t="shared" si="237"/>
        <v>0</v>
      </c>
      <c r="S510" s="4027">
        <f t="shared" si="237"/>
        <v>10000</v>
      </c>
      <c r="T510" s="4027">
        <f t="shared" si="237"/>
        <v>0</v>
      </c>
      <c r="U510" s="4027">
        <f t="shared" si="237"/>
        <v>0</v>
      </c>
      <c r="V510" s="4027">
        <f>V511</f>
        <v>10000</v>
      </c>
    </row>
    <row r="511" spans="1:22" s="248" customFormat="1">
      <c r="A511" s="4009">
        <v>1</v>
      </c>
      <c r="B511" s="4010" t="s">
        <v>3122</v>
      </c>
      <c r="C511" s="4009"/>
      <c r="D511" s="4009"/>
      <c r="E511" s="4009"/>
      <c r="F511" s="4009"/>
      <c r="G511" s="4027">
        <f t="shared" si="237"/>
        <v>18837.387999999999</v>
      </c>
      <c r="H511" s="4027">
        <f t="shared" si="237"/>
        <v>0</v>
      </c>
      <c r="I511" s="4027">
        <f t="shared" si="237"/>
        <v>0</v>
      </c>
      <c r="J511" s="4027">
        <f t="shared" si="237"/>
        <v>18837.387999999999</v>
      </c>
      <c r="K511" s="4027">
        <f t="shared" si="237"/>
        <v>0</v>
      </c>
      <c r="L511" s="4027">
        <f t="shared" si="237"/>
        <v>0</v>
      </c>
      <c r="M511" s="4027">
        <f t="shared" si="237"/>
        <v>0</v>
      </c>
      <c r="N511" s="4027">
        <f t="shared" si="237"/>
        <v>0</v>
      </c>
      <c r="O511" s="4027">
        <f t="shared" si="237"/>
        <v>0</v>
      </c>
      <c r="P511" s="4027">
        <f t="shared" si="237"/>
        <v>0</v>
      </c>
      <c r="Q511" s="4027">
        <f t="shared" si="237"/>
        <v>0</v>
      </c>
      <c r="R511" s="4027">
        <f t="shared" si="237"/>
        <v>0</v>
      </c>
      <c r="S511" s="4027">
        <f t="shared" si="237"/>
        <v>10000</v>
      </c>
      <c r="T511" s="4027">
        <f t="shared" si="237"/>
        <v>0</v>
      </c>
      <c r="U511" s="4027">
        <f t="shared" si="237"/>
        <v>0</v>
      </c>
      <c r="V511" s="4027">
        <f t="shared" si="237"/>
        <v>10000</v>
      </c>
    </row>
    <row r="512" spans="1:22" ht="31.2">
      <c r="A512" s="4009" t="s">
        <v>34</v>
      </c>
      <c r="B512" s="4028" t="s">
        <v>2871</v>
      </c>
      <c r="C512" s="4009"/>
      <c r="D512" s="4009"/>
      <c r="E512" s="4009"/>
      <c r="F512" s="4009"/>
      <c r="G512" s="4029">
        <f t="shared" ref="G512:U512" si="238">SUM(G513:G514)</f>
        <v>18837.387999999999</v>
      </c>
      <c r="H512" s="4029">
        <f t="shared" si="238"/>
        <v>0</v>
      </c>
      <c r="I512" s="4029">
        <f t="shared" si="238"/>
        <v>0</v>
      </c>
      <c r="J512" s="4029">
        <f t="shared" si="238"/>
        <v>18837.387999999999</v>
      </c>
      <c r="K512" s="4029">
        <f t="shared" si="238"/>
        <v>0</v>
      </c>
      <c r="L512" s="4029">
        <f t="shared" si="238"/>
        <v>0</v>
      </c>
      <c r="M512" s="4029">
        <f t="shared" si="238"/>
        <v>0</v>
      </c>
      <c r="N512" s="4029">
        <f t="shared" si="238"/>
        <v>0</v>
      </c>
      <c r="O512" s="4029">
        <f t="shared" si="238"/>
        <v>0</v>
      </c>
      <c r="P512" s="4029">
        <f t="shared" si="238"/>
        <v>0</v>
      </c>
      <c r="Q512" s="4029">
        <f t="shared" si="238"/>
        <v>0</v>
      </c>
      <c r="R512" s="4029">
        <f t="shared" si="238"/>
        <v>0</v>
      </c>
      <c r="S512" s="4029">
        <f t="shared" si="238"/>
        <v>10000</v>
      </c>
      <c r="T512" s="4029">
        <f t="shared" si="238"/>
        <v>0</v>
      </c>
      <c r="U512" s="4029">
        <f t="shared" si="238"/>
        <v>0</v>
      </c>
      <c r="V512" s="4029">
        <f>SUM(V513:V514)</f>
        <v>10000</v>
      </c>
    </row>
    <row r="513" spans="1:22" s="1557" customFormat="1" ht="24" customHeight="1">
      <c r="A513" s="4101">
        <v>1</v>
      </c>
      <c r="B513" s="4040" t="s">
        <v>3696</v>
      </c>
      <c r="C513" s="4101" t="s">
        <v>3115</v>
      </c>
      <c r="D513" s="4101"/>
      <c r="E513" s="4041" t="s">
        <v>3155</v>
      </c>
      <c r="F513" s="3987" t="s">
        <v>3697</v>
      </c>
      <c r="G513" s="3992">
        <v>9632.8809999999994</v>
      </c>
      <c r="H513" s="3989"/>
      <c r="I513" s="3989"/>
      <c r="J513" s="3992">
        <v>9632.8809999999994</v>
      </c>
      <c r="K513" s="3989"/>
      <c r="L513" s="3989"/>
      <c r="M513" s="3989"/>
      <c r="N513" s="3989"/>
      <c r="O513" s="3989"/>
      <c r="P513" s="3989"/>
      <c r="Q513" s="3989"/>
      <c r="R513" s="3989"/>
      <c r="S513" s="3990">
        <v>5000</v>
      </c>
      <c r="T513" s="3989"/>
      <c r="U513" s="3989"/>
      <c r="V513" s="3990">
        <v>5000</v>
      </c>
    </row>
    <row r="514" spans="1:22" s="1557" customFormat="1" ht="46.8">
      <c r="A514" s="4101">
        <v>2</v>
      </c>
      <c r="B514" s="4128" t="s">
        <v>3698</v>
      </c>
      <c r="C514" s="4101" t="s">
        <v>3115</v>
      </c>
      <c r="D514" s="4101"/>
      <c r="E514" s="4041" t="s">
        <v>3155</v>
      </c>
      <c r="F514" s="3987" t="s">
        <v>3699</v>
      </c>
      <c r="G514" s="3992">
        <v>9204.5069999999996</v>
      </c>
      <c r="H514" s="4029"/>
      <c r="I514" s="4029"/>
      <c r="J514" s="3992">
        <v>9204.5069999999996</v>
      </c>
      <c r="K514" s="4029"/>
      <c r="L514" s="4029"/>
      <c r="M514" s="4029"/>
      <c r="N514" s="4029"/>
      <c r="O514" s="4029"/>
      <c r="P514" s="4029"/>
      <c r="Q514" s="4029"/>
      <c r="R514" s="4029"/>
      <c r="S514" s="3990">
        <v>5000</v>
      </c>
      <c r="T514" s="4029"/>
      <c r="U514" s="4029"/>
      <c r="V514" s="3990">
        <v>5000</v>
      </c>
    </row>
    <row r="515" spans="1:22" s="248" customFormat="1">
      <c r="A515" s="4009" t="s">
        <v>2624</v>
      </c>
      <c r="B515" s="4010" t="s">
        <v>3402</v>
      </c>
      <c r="C515" s="4009"/>
      <c r="D515" s="4009"/>
      <c r="E515" s="4009"/>
      <c r="F515" s="4009"/>
      <c r="G515" s="4027">
        <f>G516</f>
        <v>16428.575000000001</v>
      </c>
      <c r="H515" s="4027">
        <f t="shared" ref="H515:V515" si="239">H516</f>
        <v>0</v>
      </c>
      <c r="I515" s="4027">
        <f t="shared" si="239"/>
        <v>14257</v>
      </c>
      <c r="J515" s="4027">
        <f t="shared" si="239"/>
        <v>1443</v>
      </c>
      <c r="K515" s="4027">
        <f t="shared" si="239"/>
        <v>5289.9319999999998</v>
      </c>
      <c r="L515" s="4027">
        <f t="shared" si="239"/>
        <v>0</v>
      </c>
      <c r="M515" s="4027">
        <f t="shared" si="239"/>
        <v>5289.9319999999998</v>
      </c>
      <c r="N515" s="4027">
        <f t="shared" si="239"/>
        <v>0</v>
      </c>
      <c r="O515" s="4027">
        <f t="shared" si="239"/>
        <v>6577</v>
      </c>
      <c r="P515" s="4027">
        <f t="shared" si="239"/>
        <v>0</v>
      </c>
      <c r="Q515" s="4027">
        <f t="shared" si="239"/>
        <v>5577</v>
      </c>
      <c r="R515" s="4027">
        <f t="shared" si="239"/>
        <v>1000</v>
      </c>
      <c r="S515" s="4027">
        <f t="shared" si="239"/>
        <v>5659</v>
      </c>
      <c r="T515" s="4027">
        <f t="shared" si="239"/>
        <v>0</v>
      </c>
      <c r="U515" s="4027">
        <f t="shared" si="239"/>
        <v>5216</v>
      </c>
      <c r="V515" s="4027">
        <f t="shared" si="239"/>
        <v>443</v>
      </c>
    </row>
    <row r="516" spans="1:22" s="1577" customFormat="1" ht="31.2">
      <c r="A516" s="4009" t="s">
        <v>9</v>
      </c>
      <c r="B516" s="4010" t="s">
        <v>3404</v>
      </c>
      <c r="C516" s="4035"/>
      <c r="D516" s="4035"/>
      <c r="E516" s="4035"/>
      <c r="F516" s="4035"/>
      <c r="G516" s="4027">
        <f t="shared" ref="G516:V518" si="240">G517</f>
        <v>16428.575000000001</v>
      </c>
      <c r="H516" s="4027">
        <f t="shared" si="240"/>
        <v>0</v>
      </c>
      <c r="I516" s="4027">
        <f t="shared" si="240"/>
        <v>14257</v>
      </c>
      <c r="J516" s="4027">
        <f t="shared" si="240"/>
        <v>1443</v>
      </c>
      <c r="K516" s="4027">
        <f t="shared" si="240"/>
        <v>5289.9319999999998</v>
      </c>
      <c r="L516" s="4027">
        <f t="shared" si="240"/>
        <v>0</v>
      </c>
      <c r="M516" s="4027">
        <f t="shared" si="240"/>
        <v>5289.9319999999998</v>
      </c>
      <c r="N516" s="4027">
        <f t="shared" si="240"/>
        <v>0</v>
      </c>
      <c r="O516" s="4027">
        <f t="shared" si="240"/>
        <v>6577</v>
      </c>
      <c r="P516" s="4027">
        <f t="shared" si="240"/>
        <v>0</v>
      </c>
      <c r="Q516" s="4027">
        <f t="shared" si="240"/>
        <v>5577</v>
      </c>
      <c r="R516" s="4027">
        <f t="shared" si="240"/>
        <v>1000</v>
      </c>
      <c r="S516" s="4027">
        <f t="shared" si="240"/>
        <v>5659</v>
      </c>
      <c r="T516" s="4027">
        <f t="shared" si="240"/>
        <v>0</v>
      </c>
      <c r="U516" s="4027">
        <f t="shared" si="240"/>
        <v>5216</v>
      </c>
      <c r="V516" s="4027">
        <f>V517</f>
        <v>443</v>
      </c>
    </row>
    <row r="517" spans="1:22" s="248" customFormat="1">
      <c r="A517" s="4009">
        <v>1</v>
      </c>
      <c r="B517" s="4010" t="s">
        <v>3122</v>
      </c>
      <c r="C517" s="4009"/>
      <c r="D517" s="4009"/>
      <c r="E517" s="4009"/>
      <c r="F517" s="4009"/>
      <c r="G517" s="4027">
        <f t="shared" si="240"/>
        <v>16428.575000000001</v>
      </c>
      <c r="H517" s="4027">
        <f t="shared" si="240"/>
        <v>0</v>
      </c>
      <c r="I517" s="4027">
        <f t="shared" si="240"/>
        <v>14257</v>
      </c>
      <c r="J517" s="4027">
        <f t="shared" si="240"/>
        <v>1443</v>
      </c>
      <c r="K517" s="4027">
        <f t="shared" si="240"/>
        <v>5289.9319999999998</v>
      </c>
      <c r="L517" s="4027">
        <f t="shared" si="240"/>
        <v>0</v>
      </c>
      <c r="M517" s="4027">
        <f t="shared" si="240"/>
        <v>5289.9319999999998</v>
      </c>
      <c r="N517" s="4027">
        <f t="shared" si="240"/>
        <v>0</v>
      </c>
      <c r="O517" s="4027">
        <f t="shared" si="240"/>
        <v>6577</v>
      </c>
      <c r="P517" s="4027">
        <f t="shared" si="240"/>
        <v>0</v>
      </c>
      <c r="Q517" s="4027">
        <f t="shared" si="240"/>
        <v>5577</v>
      </c>
      <c r="R517" s="4027">
        <f t="shared" si="240"/>
        <v>1000</v>
      </c>
      <c r="S517" s="4027">
        <f t="shared" si="240"/>
        <v>5659</v>
      </c>
      <c r="T517" s="4027">
        <f t="shared" si="240"/>
        <v>0</v>
      </c>
      <c r="U517" s="4027">
        <f t="shared" si="240"/>
        <v>5216</v>
      </c>
      <c r="V517" s="4027">
        <f t="shared" si="240"/>
        <v>443</v>
      </c>
    </row>
    <row r="518" spans="1:22" ht="31.2">
      <c r="A518" s="4009" t="s">
        <v>34</v>
      </c>
      <c r="B518" s="4028" t="s">
        <v>2871</v>
      </c>
      <c r="C518" s="4009"/>
      <c r="D518" s="4009"/>
      <c r="E518" s="4009"/>
      <c r="F518" s="4009"/>
      <c r="G518" s="4029">
        <f t="shared" si="240"/>
        <v>16428.575000000001</v>
      </c>
      <c r="H518" s="4029">
        <f t="shared" si="240"/>
        <v>0</v>
      </c>
      <c r="I518" s="4029">
        <f t="shared" si="240"/>
        <v>14257</v>
      </c>
      <c r="J518" s="4029">
        <f t="shared" si="240"/>
        <v>1443</v>
      </c>
      <c r="K518" s="4029">
        <f t="shared" si="240"/>
        <v>5289.9319999999998</v>
      </c>
      <c r="L518" s="4029">
        <f t="shared" si="240"/>
        <v>0</v>
      </c>
      <c r="M518" s="4029">
        <f t="shared" si="240"/>
        <v>5289.9319999999998</v>
      </c>
      <c r="N518" s="4029">
        <f t="shared" si="240"/>
        <v>0</v>
      </c>
      <c r="O518" s="4029">
        <f t="shared" si="240"/>
        <v>6577</v>
      </c>
      <c r="P518" s="4029">
        <f t="shared" si="240"/>
        <v>0</v>
      </c>
      <c r="Q518" s="4029">
        <f t="shared" si="240"/>
        <v>5577</v>
      </c>
      <c r="R518" s="4029">
        <f t="shared" si="240"/>
        <v>1000</v>
      </c>
      <c r="S518" s="4029">
        <f t="shared" si="240"/>
        <v>5659</v>
      </c>
      <c r="T518" s="4029">
        <f t="shared" si="240"/>
        <v>0</v>
      </c>
      <c r="U518" s="4029">
        <f t="shared" si="240"/>
        <v>5216</v>
      </c>
      <c r="V518" s="4029">
        <f>V519</f>
        <v>443</v>
      </c>
    </row>
    <row r="519" spans="1:22" ht="62.4">
      <c r="A519" s="3987">
        <v>1</v>
      </c>
      <c r="B519" s="4034" t="s">
        <v>3700</v>
      </c>
      <c r="C519" s="3987" t="s">
        <v>3346</v>
      </c>
      <c r="D519" s="3987"/>
      <c r="E519" s="3987" t="s">
        <v>2892</v>
      </c>
      <c r="F519" s="3987" t="s">
        <v>3701</v>
      </c>
      <c r="G519" s="3990">
        <v>16428.575000000001</v>
      </c>
      <c r="H519" s="3990"/>
      <c r="I519" s="3990">
        <v>14257</v>
      </c>
      <c r="J519" s="3990">
        <v>1443</v>
      </c>
      <c r="K519" s="3990">
        <v>5289.9319999999998</v>
      </c>
      <c r="L519" s="3990"/>
      <c r="M519" s="3990">
        <v>5289.9319999999998</v>
      </c>
      <c r="N519" s="3990"/>
      <c r="O519" s="3990">
        <v>6577</v>
      </c>
      <c r="P519" s="3990"/>
      <c r="Q519" s="3990">
        <v>5577</v>
      </c>
      <c r="R519" s="3990">
        <v>1000</v>
      </c>
      <c r="S519" s="3990">
        <f>T519+U519+V519</f>
        <v>5659</v>
      </c>
      <c r="T519" s="3990"/>
      <c r="U519" s="3990">
        <v>5216</v>
      </c>
      <c r="V519" s="3990">
        <v>443</v>
      </c>
    </row>
    <row r="520" spans="1:22" s="248" customFormat="1">
      <c r="A520" s="4101" t="s">
        <v>2625</v>
      </c>
      <c r="B520" s="4119" t="s">
        <v>3416</v>
      </c>
      <c r="C520" s="4101"/>
      <c r="D520" s="4101"/>
      <c r="E520" s="4101"/>
      <c r="F520" s="4101"/>
      <c r="G520" s="3989"/>
      <c r="H520" s="3989"/>
      <c r="I520" s="3989"/>
      <c r="J520" s="3989"/>
      <c r="K520" s="3989"/>
      <c r="L520" s="3989"/>
      <c r="M520" s="3989"/>
      <c r="N520" s="3989"/>
      <c r="O520" s="3989"/>
      <c r="P520" s="3989"/>
      <c r="Q520" s="3989"/>
      <c r="R520" s="3989"/>
      <c r="S520" s="3989">
        <f t="shared" ref="S520:U520" si="241">SUM(S521:S524)</f>
        <v>107570</v>
      </c>
      <c r="T520" s="3989">
        <f t="shared" si="241"/>
        <v>0</v>
      </c>
      <c r="U520" s="3989">
        <f t="shared" si="241"/>
        <v>0</v>
      </c>
      <c r="V520" s="3989">
        <f>SUM(V521:V524)</f>
        <v>107570</v>
      </c>
    </row>
    <row r="521" spans="1:22">
      <c r="A521" s="3987">
        <v>1</v>
      </c>
      <c r="B521" s="4034" t="s">
        <v>3702</v>
      </c>
      <c r="C521" s="3987"/>
      <c r="D521" s="3987"/>
      <c r="E521" s="3987"/>
      <c r="F521" s="3987"/>
      <c r="G521" s="3990"/>
      <c r="H521" s="3990"/>
      <c r="I521" s="3990"/>
      <c r="J521" s="3990"/>
      <c r="K521" s="3990"/>
      <c r="L521" s="3990"/>
      <c r="M521" s="3990"/>
      <c r="N521" s="3990"/>
      <c r="O521" s="3990"/>
      <c r="P521" s="3990"/>
      <c r="Q521" s="3990"/>
      <c r="R521" s="3990"/>
      <c r="S521" s="3990">
        <f t="shared" ref="S521:S525" si="242">T521+U521+V521</f>
        <v>13570</v>
      </c>
      <c r="T521" s="3990"/>
      <c r="U521" s="3990"/>
      <c r="V521" s="3990">
        <v>13570</v>
      </c>
    </row>
    <row r="522" spans="1:22">
      <c r="A522" s="3987">
        <v>2</v>
      </c>
      <c r="B522" s="4034" t="s">
        <v>3703</v>
      </c>
      <c r="C522" s="3987"/>
      <c r="D522" s="3987"/>
      <c r="E522" s="3987"/>
      <c r="F522" s="3987"/>
      <c r="G522" s="3990"/>
      <c r="H522" s="3990"/>
      <c r="I522" s="3990"/>
      <c r="J522" s="3990"/>
      <c r="K522" s="3990"/>
      <c r="L522" s="3990"/>
      <c r="M522" s="3990"/>
      <c r="N522" s="3990"/>
      <c r="O522" s="3990"/>
      <c r="P522" s="3990"/>
      <c r="Q522" s="3990"/>
      <c r="R522" s="3990"/>
      <c r="S522" s="3990">
        <f t="shared" si="242"/>
        <v>20000</v>
      </c>
      <c r="T522" s="3990"/>
      <c r="U522" s="3990"/>
      <c r="V522" s="3990">
        <v>20000</v>
      </c>
    </row>
    <row r="523" spans="1:22" ht="78">
      <c r="A523" s="3987">
        <v>3</v>
      </c>
      <c r="B523" s="4034" t="s">
        <v>3704</v>
      </c>
      <c r="C523" s="3987"/>
      <c r="D523" s="3987"/>
      <c r="E523" s="3987"/>
      <c r="F523" s="3987"/>
      <c r="G523" s="3990"/>
      <c r="H523" s="3990"/>
      <c r="I523" s="3990"/>
      <c r="J523" s="3990"/>
      <c r="K523" s="3990"/>
      <c r="L523" s="3990"/>
      <c r="M523" s="3990"/>
      <c r="N523" s="3990"/>
      <c r="O523" s="3990"/>
      <c r="P523" s="3990"/>
      <c r="Q523" s="3990"/>
      <c r="R523" s="3990"/>
      <c r="S523" s="3990">
        <f t="shared" si="242"/>
        <v>34000</v>
      </c>
      <c r="T523" s="3990"/>
      <c r="U523" s="3990"/>
      <c r="V523" s="3990">
        <v>34000</v>
      </c>
    </row>
    <row r="524" spans="1:22" ht="31.2">
      <c r="A524" s="3987">
        <v>4</v>
      </c>
      <c r="B524" s="4034" t="s">
        <v>3705</v>
      </c>
      <c r="C524" s="3987"/>
      <c r="D524" s="3987"/>
      <c r="E524" s="3987"/>
      <c r="F524" s="3987"/>
      <c r="G524" s="3990"/>
      <c r="H524" s="3990"/>
      <c r="I524" s="3990"/>
      <c r="J524" s="3990"/>
      <c r="K524" s="3990"/>
      <c r="L524" s="3990"/>
      <c r="M524" s="3990"/>
      <c r="N524" s="3990"/>
      <c r="O524" s="3990"/>
      <c r="P524" s="3990"/>
      <c r="Q524" s="3990"/>
      <c r="R524" s="3990"/>
      <c r="S524" s="3990">
        <f t="shared" si="242"/>
        <v>40000</v>
      </c>
      <c r="T524" s="3990"/>
      <c r="U524" s="3990"/>
      <c r="V524" s="3990">
        <v>40000</v>
      </c>
    </row>
    <row r="525" spans="1:22" s="248" customFormat="1">
      <c r="A525" s="4011" t="s">
        <v>3706</v>
      </c>
      <c r="B525" s="4010" t="s">
        <v>3417</v>
      </c>
      <c r="C525" s="4101"/>
      <c r="D525" s="4101"/>
      <c r="E525" s="4101"/>
      <c r="F525" s="4101"/>
      <c r="G525" s="3989"/>
      <c r="H525" s="3989"/>
      <c r="I525" s="3989"/>
      <c r="J525" s="3989"/>
      <c r="K525" s="3989"/>
      <c r="L525" s="3989"/>
      <c r="M525" s="3989"/>
      <c r="N525" s="3989"/>
      <c r="O525" s="3989"/>
      <c r="P525" s="3989"/>
      <c r="Q525" s="3989"/>
      <c r="R525" s="3989"/>
      <c r="S525" s="3989">
        <f t="shared" si="242"/>
        <v>1724000</v>
      </c>
      <c r="T525" s="3989"/>
      <c r="U525" s="3989"/>
      <c r="V525" s="3989">
        <v>1724000</v>
      </c>
    </row>
    <row r="526" spans="1:22">
      <c r="A526" s="3994"/>
      <c r="B526" s="3994"/>
      <c r="C526" s="3994"/>
      <c r="D526" s="3994"/>
      <c r="E526" s="3994"/>
      <c r="F526" s="3994"/>
      <c r="G526" s="4184"/>
      <c r="H526" s="4184"/>
      <c r="I526" s="4184"/>
      <c r="J526" s="4184"/>
      <c r="K526" s="4184"/>
      <c r="L526" s="4184"/>
      <c r="M526" s="4184"/>
      <c r="N526" s="4184"/>
      <c r="O526" s="4184"/>
      <c r="P526" s="4184"/>
      <c r="Q526" s="4184"/>
      <c r="R526" s="4184"/>
      <c r="S526" s="4184"/>
      <c r="T526" s="4184"/>
      <c r="U526" s="4184"/>
      <c r="V526" s="4184"/>
    </row>
  </sheetData>
  <mergeCells count="24">
    <mergeCell ref="F6:J6"/>
    <mergeCell ref="K6:N7"/>
    <mergeCell ref="O6:R7"/>
    <mergeCell ref="S6:V7"/>
    <mergeCell ref="F7:F9"/>
    <mergeCell ref="G7:J7"/>
    <mergeCell ref="G8:G9"/>
    <mergeCell ref="H8:J8"/>
    <mergeCell ref="K8:K9"/>
    <mergeCell ref="L8:N8"/>
    <mergeCell ref="O8:O9"/>
    <mergeCell ref="P8:R8"/>
    <mergeCell ref="S8:S9"/>
    <mergeCell ref="T8:V8"/>
    <mergeCell ref="C1:E1"/>
    <mergeCell ref="U1:V1"/>
    <mergeCell ref="C3:R3"/>
    <mergeCell ref="C4:R4"/>
    <mergeCell ref="A5:V5"/>
    <mergeCell ref="A6:A9"/>
    <mergeCell ref="B6:B9"/>
    <mergeCell ref="C6:C9"/>
    <mergeCell ref="D6:D9"/>
    <mergeCell ref="E6:E9"/>
  </mergeCells>
  <conditionalFormatting sqref="B260 B264:B266 B270:B273">
    <cfRule type="duplicateValues" dxfId="8" priority="2"/>
  </conditionalFormatting>
  <conditionalFormatting sqref="B276">
    <cfRule type="duplicateValues" dxfId="7" priority="1"/>
  </conditionalFormatting>
  <conditionalFormatting sqref="B298:B304">
    <cfRule type="duplicateValues" dxfId="6" priority="3"/>
  </conditionalFormatting>
  <hyperlinks>
    <hyperlink ref="F60" r:id="rId1"/>
    <hyperlink ref="F61" r:id="rId2"/>
    <hyperlink ref="F62" r:id="rId3"/>
    <hyperlink ref="F63" r:id="rId4"/>
    <hyperlink ref="F64" r:id="rId5"/>
    <hyperlink ref="F65" r:id="rId6"/>
    <hyperlink ref="F66" r:id="rId7"/>
    <hyperlink ref="F67" r:id="rId8"/>
    <hyperlink ref="E60" r:id="rId9"/>
    <hyperlink ref="E61" r:id="rId10"/>
    <hyperlink ref="E64" r:id="rId11"/>
    <hyperlink ref="E65" r:id="rId12"/>
    <hyperlink ref="E66" r:id="rId13"/>
    <hyperlink ref="E67" r:id="rId14"/>
    <hyperlink ref="F255" r:id="rId15"/>
    <hyperlink ref="F256" r:id="rId16"/>
    <hyperlink ref="F384" r:id="rId17"/>
    <hyperlink ref="F385" r:id="rId18"/>
    <hyperlink ref="F386" r:id="rId19"/>
    <hyperlink ref="F497" r:id="rId20"/>
    <hyperlink ref="F426" r:id="rId21"/>
    <hyperlink ref="F427" r:id="rId22"/>
    <hyperlink ref="E426" r:id="rId23"/>
    <hyperlink ref="F294" r:id="rId24"/>
    <hyperlink ref="E292" r:id="rId25"/>
    <hyperlink ref="E293" r:id="rId26"/>
    <hyperlink ref="E294" r:id="rId27" display="2022-2024"/>
  </hyperlinks>
  <pageMargins left="0.39370078740157483" right="0.70866141732283472" top="0.74803149606299213" bottom="0.74803149606299213" header="0.31496062992125984" footer="0.31496062992125984"/>
  <pageSetup scale="60" orientation="landscape" r:id="rId28"/>
  <drawing r:id="rId29"/>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E37"/>
  <sheetViews>
    <sheetView zoomScale="75" zoomScaleNormal="75" workbookViewId="0">
      <selection activeCell="A30" sqref="A30:G30"/>
    </sheetView>
  </sheetViews>
  <sheetFormatPr defaultColWidth="9" defaultRowHeight="18"/>
  <cols>
    <col min="1" max="1" width="5.69921875" style="37" customWidth="1"/>
    <col min="2" max="2" width="60.19921875" style="37" customWidth="1"/>
    <col min="3" max="5" width="12.69921875" style="37" customWidth="1"/>
    <col min="6" max="16384" width="9" style="37"/>
  </cols>
  <sheetData>
    <row r="1" spans="1:5">
      <c r="A1" s="4475" t="s">
        <v>2386</v>
      </c>
      <c r="B1" s="4514"/>
      <c r="C1" s="4514"/>
      <c r="D1" s="4514"/>
      <c r="E1" s="4514"/>
    </row>
    <row r="2" spans="1:5">
      <c r="A2" s="4515" t="str">
        <f>'Biểu số 43-CK-NSNN'!A2:H2</f>
        <v>(DỰ TOÁN TRÌNH HỘI ĐỒNG NHÂN DÂN TỈNH)</v>
      </c>
      <c r="B2" s="4514"/>
      <c r="C2" s="4514"/>
      <c r="D2" s="4514"/>
      <c r="E2" s="4514"/>
    </row>
    <row r="3" spans="1:5">
      <c r="A3" s="70"/>
      <c r="B3" s="2207"/>
      <c r="C3" s="2207"/>
      <c r="D3" s="2207"/>
      <c r="E3" s="2207"/>
    </row>
    <row r="4" spans="1:5" ht="18.600000000000001" thickBot="1">
      <c r="B4" s="4516" t="s">
        <v>64</v>
      </c>
      <c r="C4" s="4516"/>
      <c r="D4" s="4516"/>
      <c r="E4" s="4516"/>
    </row>
    <row r="5" spans="1:5" s="70" customFormat="1" thickTop="1">
      <c r="A5" s="4517" t="s">
        <v>244</v>
      </c>
      <c r="B5" s="4519" t="s">
        <v>326</v>
      </c>
      <c r="C5" s="4519" t="s">
        <v>1700</v>
      </c>
      <c r="D5" s="4519" t="s">
        <v>327</v>
      </c>
      <c r="E5" s="4520"/>
    </row>
    <row r="6" spans="1:5" s="70" customFormat="1" ht="52.2">
      <c r="A6" s="4518"/>
      <c r="B6" s="4318"/>
      <c r="C6" s="4318"/>
      <c r="D6" s="2304" t="s">
        <v>328</v>
      </c>
      <c r="E6" s="2957" t="s">
        <v>329</v>
      </c>
    </row>
    <row r="7" spans="1:5" ht="52.2">
      <c r="A7" s="3943"/>
      <c r="B7" s="3944" t="str">
        <f>'Phụ lục số 8'!B7</f>
        <v>BỔ SUNG CÓ MỤC TIÊU TỪ NGÂN SÁCH TRUNG ƯƠNG ĐỂ THỰC HIỆN CÁC MỤC TIÊU, NHIỆM VỤ QUAN TRỌNG (I+II)</v>
      </c>
      <c r="C7" s="2323">
        <f>C8</f>
        <v>1988976</v>
      </c>
      <c r="D7" s="2323">
        <f>D8</f>
        <v>1814491</v>
      </c>
      <c r="E7" s="3945">
        <f>E8</f>
        <v>174485</v>
      </c>
    </row>
    <row r="8" spans="1:5" ht="36" customHeight="1">
      <c r="A8" s="3946" t="str">
        <f>'Phụ lục số 8'!A8</f>
        <v>I</v>
      </c>
      <c r="B8" s="3947" t="str">
        <f>'Phụ lục số 8'!B8</f>
        <v>Đầu tư phát triển từ nguồn ngân sách trung ương bổ sung có mục tiêu</v>
      </c>
      <c r="C8" s="2326">
        <f>SUM(C9,C12)</f>
        <v>1988976</v>
      </c>
      <c r="D8" s="2326">
        <f>SUM(D9,D12)</f>
        <v>1814491</v>
      </c>
      <c r="E8" s="3945">
        <f>SUM(E9,E12)</f>
        <v>174485</v>
      </c>
    </row>
    <row r="9" spans="1:5" ht="36" customHeight="1">
      <c r="A9" s="3948">
        <f>'Phụ lục số 8'!A9</f>
        <v>1</v>
      </c>
      <c r="B9" s="3558" t="str">
        <f>'Phụ lục số 8'!B9</f>
        <v>Bổ sung vốn đầu tư theo ngành, lĩnh vực (vốn ngoài nước)</v>
      </c>
      <c r="C9" s="2317">
        <f>SUM(D9:E9)</f>
        <v>85000</v>
      </c>
      <c r="D9" s="2317">
        <f>'Phụ lục số 8'!D9</f>
        <v>85000</v>
      </c>
      <c r="E9" s="3949">
        <f>'Phụ lục số 8'!E9</f>
        <v>0</v>
      </c>
    </row>
    <row r="10" spans="1:5" ht="36" hidden="1" customHeight="1">
      <c r="A10" s="3948"/>
      <c r="B10" s="3558" t="str">
        <f>'Phụ lục số 8'!B10</f>
        <v>Trong đó:</v>
      </c>
      <c r="C10" s="2317"/>
      <c r="D10" s="2317"/>
      <c r="E10" s="2970"/>
    </row>
    <row r="11" spans="1:5" s="47" customFormat="1" ht="36" hidden="1" customHeight="1">
      <c r="A11" s="3950"/>
      <c r="B11" s="3951" t="str">
        <f>'Phụ lục số 8'!B11</f>
        <v>Chương trình mục tiêu ứng phó biến đổi khí hậu và tăng trưởng xanh (giải ngân theo cơ chế tài chính trong nước)</v>
      </c>
      <c r="C11" s="2331">
        <f>SUM(D11:E11)</f>
        <v>0</v>
      </c>
      <c r="D11" s="2331"/>
      <c r="E11" s="3949"/>
    </row>
    <row r="12" spans="1:5" ht="36" customHeight="1">
      <c r="A12" s="2969">
        <f>'Phụ lục số 8'!A12</f>
        <v>2</v>
      </c>
      <c r="B12" s="3558" t="str">
        <f>'Phụ lục số 8'!B12</f>
        <v>Bổ sung vốn đầu tư theo ngành, lĩnh vực (vốn trong nước)</v>
      </c>
      <c r="C12" s="2317">
        <f>C13+C19+C29</f>
        <v>1903976</v>
      </c>
      <c r="D12" s="2317">
        <f>D13+D19+D29</f>
        <v>1729491</v>
      </c>
      <c r="E12" s="2970">
        <f t="shared" ref="E12" si="0">E13+E19+E29</f>
        <v>174485</v>
      </c>
    </row>
    <row r="13" spans="1:5" s="48" customFormat="1" ht="36" customHeight="1">
      <c r="A13" s="4185" t="str">
        <f>'Phụ lục số 8'!A13</f>
        <v>2.1</v>
      </c>
      <c r="B13" s="3947" t="str">
        <f>'Phụ lục số 8'!B13</f>
        <v>Bổ sung vốn đầu tư để thực hiện các chương trình, mục tiêu nhiệm vụ</v>
      </c>
      <c r="C13" s="4186">
        <f>SUM(D13:E13)</f>
        <v>1596570</v>
      </c>
      <c r="D13" s="4186">
        <f>'Phụ lục số 8'!D13</f>
        <v>1596570</v>
      </c>
      <c r="E13" s="3952">
        <f>'Phụ lục số 8'!E13</f>
        <v>0</v>
      </c>
    </row>
    <row r="14" spans="1:5" ht="36" hidden="1" customHeight="1">
      <c r="A14" s="4185"/>
      <c r="B14" s="3558" t="str">
        <f>'Phụ lục số 8'!B14</f>
        <v>Trong đó:</v>
      </c>
      <c r="C14" s="2317"/>
      <c r="D14" s="2317"/>
      <c r="E14" s="2970"/>
    </row>
    <row r="15" spans="1:5" s="47" customFormat="1" ht="36" hidden="1" customHeight="1">
      <c r="A15" s="2969" t="str">
        <f>'Phụ lục số 8'!A15</f>
        <v>2.1.1</v>
      </c>
      <c r="B15" s="3558" t="str">
        <f>'Phụ lục số 8'!B15</f>
        <v>Đầu tư các dự án theo ngành, lĩnh vực và Chương trình phục hồi phát triển kinh tế - xã hội</v>
      </c>
      <c r="C15" s="2317">
        <f>SUM(D15:E15)</f>
        <v>558070</v>
      </c>
      <c r="D15" s="2317">
        <f>'Phụ lục số 8'!D15</f>
        <v>558070</v>
      </c>
      <c r="E15" s="3949">
        <f>'Phụ lục số 8'!E15</f>
        <v>0</v>
      </c>
    </row>
    <row r="16" spans="1:5" s="47" customFormat="1" ht="36" hidden="1" customHeight="1">
      <c r="A16" s="4187"/>
      <c r="B16" s="3951" t="str">
        <f>'Phụ lục số 8'!B16</f>
        <v>Thu hồi các khoản vốn ứng trước của các chương trình mục tiêu (số vốn thiểu địa phương phải bố trí)</v>
      </c>
      <c r="C16" s="2331">
        <f>SUM(D16:E16)</f>
        <v>0</v>
      </c>
      <c r="D16" s="2331">
        <f>'Phụ lục số 8'!D16</f>
        <v>0</v>
      </c>
      <c r="E16" s="3949">
        <f>'Phụ lục số 8'!E16</f>
        <v>0</v>
      </c>
    </row>
    <row r="17" spans="1:5" ht="36" hidden="1" customHeight="1">
      <c r="A17" s="2969" t="str">
        <f>'Phụ lục số 8'!A17</f>
        <v>2.1.2</v>
      </c>
      <c r="B17" s="3558" t="str">
        <f>'Phụ lục số 8'!B17</f>
        <v>Dự án quan trọng quốc gia, đường bộ cao tốc</v>
      </c>
      <c r="C17" s="2317">
        <f>SUM(D17:E17)</f>
        <v>882000</v>
      </c>
      <c r="D17" s="2317">
        <f>'Phụ lục số 8'!D17</f>
        <v>882000</v>
      </c>
      <c r="E17" s="2970">
        <f>'Phụ lục số 8'!E17</f>
        <v>0</v>
      </c>
    </row>
    <row r="18" spans="1:5" ht="36" hidden="1" customHeight="1">
      <c r="A18" s="2969" t="str">
        <f>'Phụ lục số 8'!A18</f>
        <v>2.1.3</v>
      </c>
      <c r="B18" s="3558" t="str">
        <f>'Phụ lục số 8'!B18</f>
        <v>Dự án trọng điểm, liên vùng, đường ven biển</v>
      </c>
      <c r="C18" s="2317">
        <f>SUM(D18:E18)</f>
        <v>156500</v>
      </c>
      <c r="D18" s="2317">
        <f>'Phụ lục số 8'!D18</f>
        <v>156500</v>
      </c>
      <c r="E18" s="2970"/>
    </row>
    <row r="19" spans="1:5" s="48" customFormat="1" ht="36" customHeight="1">
      <c r="A19" s="4185" t="str">
        <f>'Phụ lục số 8'!A19</f>
        <v>2.2</v>
      </c>
      <c r="B19" s="3947" t="str">
        <f>'Phụ lục số 8'!B19</f>
        <v>Vốn thực hiện 03 chương trình mục tiêu quốc gia</v>
      </c>
      <c r="C19" s="4186">
        <f>SUM(C20,C26,C27)</f>
        <v>234937</v>
      </c>
      <c r="D19" s="4186">
        <f>SUM(D20,D26,D27)</f>
        <v>132921</v>
      </c>
      <c r="E19" s="4188">
        <f t="shared" ref="E19" si="1">SUM(E20,E26,E27)</f>
        <v>102016</v>
      </c>
    </row>
    <row r="20" spans="1:5" ht="36" customHeight="1">
      <c r="A20" s="2969" t="str">
        <f>'Phụ lục số 8'!A20</f>
        <v>2.2.1</v>
      </c>
      <c r="B20" s="3558" t="str">
        <f>'Phụ lục số 8'!B20</f>
        <v>Chương trình mục tiêu quốc gia giảm nghèo bền vững</v>
      </c>
      <c r="C20" s="2317">
        <f>SUM(D20:E20)</f>
        <v>70871</v>
      </c>
      <c r="D20" s="2317">
        <f>SUM(D21:D25)+'Phụ lục số 8'!D20</f>
        <v>5216</v>
      </c>
      <c r="E20" s="2970">
        <f>SUM(E21:E25)</f>
        <v>65655</v>
      </c>
    </row>
    <row r="21" spans="1:5" ht="36" hidden="1" customHeight="1">
      <c r="A21" s="3983" t="str">
        <f>'Phụ lục số 8'!A21</f>
        <v>a</v>
      </c>
      <c r="B21" s="3980" t="str">
        <f>'Phụ lục số 8'!B21</f>
        <v>Dự án 2: Đa dạng hóa sinh kế, phát triển mô hình giảm nghèo (các hoạt động kinh tế); 25.125 triệu đồng</v>
      </c>
      <c r="C21" s="3981">
        <f>SUM(D21:E21)</f>
        <v>25125</v>
      </c>
      <c r="D21" s="3981">
        <f>'Phụ lục số 8'!D21</f>
        <v>0</v>
      </c>
      <c r="E21" s="3982">
        <f>'Phụ lục số 8'!E21</f>
        <v>25125</v>
      </c>
    </row>
    <row r="22" spans="1:5" ht="36" hidden="1" customHeight="1">
      <c r="A22" s="3983" t="str">
        <f>'Phụ lục số 8'!A22</f>
        <v>b</v>
      </c>
      <c r="B22" s="3980" t="str">
        <f>'Phụ lục số 8'!B22</f>
        <v>Dự án 3: Hỗ trợ phát triển sản xuất, cải thiện dinh dưỡng (sự nghiệp y tế, dân số và gia đình: 4.025 triệu đồng; các hoạt động kinh tế: 10.387 triệu đồng)</v>
      </c>
      <c r="C22" s="3981">
        <f t="shared" ref="C22:C25" si="2">SUM(D22:E22)</f>
        <v>14412</v>
      </c>
      <c r="D22" s="3981">
        <f>'Phụ lục số 8'!D22</f>
        <v>0</v>
      </c>
      <c r="E22" s="3982">
        <f>'Phụ lục số 8'!E22</f>
        <v>14412</v>
      </c>
    </row>
    <row r="23" spans="1:5" ht="36" hidden="1" customHeight="1">
      <c r="A23" s="3983" t="str">
        <f>'Phụ lục số 8'!A23</f>
        <v>c</v>
      </c>
      <c r="B23" s="3980" t="str">
        <f>'Phụ lục số 8'!B23</f>
        <v xml:space="preserve">Dự án 4: Phát triển giáo dục nghề nghiệp, việc làm bền vững (sự nghiệp giáo dục-đào tạo và dạy nghề 2.237 triệu đồng; các hoạt động kinh tế 9.941 triệu đồng) </v>
      </c>
      <c r="C23" s="3981">
        <f t="shared" si="2"/>
        <v>12178</v>
      </c>
      <c r="D23" s="3981">
        <f>'Phụ lục số 8'!D23</f>
        <v>0</v>
      </c>
      <c r="E23" s="3982">
        <f>'Phụ lục số 8'!E23</f>
        <v>12178</v>
      </c>
    </row>
    <row r="24" spans="1:5" ht="36" hidden="1" customHeight="1">
      <c r="A24" s="3983" t="str">
        <f>'Phụ lục số 8'!A24</f>
        <v>d</v>
      </c>
      <c r="B24" s="3980" t="str">
        <f>'Phụ lục số 8'!B24</f>
        <v>Dự án 6: Truyền thông và giảm nghèo về thông tin (sự nghiệp văn hóa thông tin); 6.372 triệu đồng</v>
      </c>
      <c r="C24" s="3981">
        <f t="shared" si="2"/>
        <v>6372</v>
      </c>
      <c r="D24" s="3981">
        <f>'Phụ lục số 8'!D24</f>
        <v>0</v>
      </c>
      <c r="E24" s="3982">
        <f>'Phụ lục số 8'!E24</f>
        <v>6372</v>
      </c>
    </row>
    <row r="25" spans="1:5" ht="36" hidden="1" customHeight="1">
      <c r="A25" s="3983" t="str">
        <f>'Phụ lục số 8'!A25</f>
        <v>đ</v>
      </c>
      <c r="B25" s="3980" t="str">
        <f>'Phụ lục số 8'!B25</f>
        <v>Dự án 7: Nâng cao năng lực và giám sát, đánh giá chương trình (sự nghiệp giáo dục- đào tạo và dạy nghề); 7.568 triệu đồng</v>
      </c>
      <c r="C25" s="3981">
        <f t="shared" si="2"/>
        <v>7568</v>
      </c>
      <c r="D25" s="3981">
        <f>'Phụ lục số 8'!D25</f>
        <v>0</v>
      </c>
      <c r="E25" s="3982">
        <f>'Phụ lục số 8'!E25</f>
        <v>7568</v>
      </c>
    </row>
    <row r="26" spans="1:5" ht="36" customHeight="1">
      <c r="A26" s="2969" t="str">
        <f>'Phụ lục số 8'!A26</f>
        <v>2.2.2</v>
      </c>
      <c r="B26" s="3558" t="str">
        <f>'Phụ lục số 8'!B26</f>
        <v>Chương trình mục tiêu quốc gia xây dựng nông thôn mới</v>
      </c>
      <c r="C26" s="2317">
        <f>SUM(D26:E26)</f>
        <v>164066</v>
      </c>
      <c r="D26" s="2317">
        <f>'Phụ lục số 8'!D26</f>
        <v>127705</v>
      </c>
      <c r="E26" s="2970">
        <f>'Phụ lục số 8'!E26</f>
        <v>36361</v>
      </c>
    </row>
    <row r="27" spans="1:5" s="2" customFormat="1" ht="36" hidden="1" customHeight="1">
      <c r="A27" s="2971" t="str">
        <f>'Phụ lục số 8'!A27</f>
        <v>2.2.3</v>
      </c>
      <c r="B27" s="3557" t="str">
        <f>'Phụ lục số 8'!B27</f>
        <v>Chương trình mục tiêu quốc gia phát triển kinh tế xã hội vùng đồng bào dân tộc thiểu số và miền núi</v>
      </c>
      <c r="C27" s="2319">
        <f>SUM(D27:E27)</f>
        <v>0</v>
      </c>
      <c r="D27" s="2319">
        <v>0</v>
      </c>
      <c r="E27" s="3952">
        <f>'Phụ lục số 8'!E27</f>
        <v>0</v>
      </c>
    </row>
    <row r="28" spans="1:5" ht="36" hidden="1" customHeight="1">
      <c r="A28" s="2969"/>
      <c r="B28" s="3558"/>
      <c r="C28" s="2317"/>
      <c r="D28" s="2317"/>
      <c r="E28" s="2970"/>
    </row>
    <row r="29" spans="1:5" ht="36" customHeight="1">
      <c r="A29" s="3946" t="s">
        <v>20</v>
      </c>
      <c r="B29" s="3947" t="str">
        <f>'Phụ lục số 8'!B29</f>
        <v>Ngân sách trung ương bổ sung có mục tiêu (kinh phí sự nghiệp)</v>
      </c>
      <c r="C29" s="2326">
        <f>SUM(C30:C36)</f>
        <v>72469</v>
      </c>
      <c r="D29" s="2326">
        <f>SUM(D30:D36)</f>
        <v>0</v>
      </c>
      <c r="E29" s="3953">
        <f>SUM(E30:E36)</f>
        <v>72469</v>
      </c>
    </row>
    <row r="30" spans="1:5" ht="36" customHeight="1">
      <c r="A30" s="3954">
        <f>'Phụ lục số 8'!A30</f>
        <v>1</v>
      </c>
      <c r="B30" s="3558" t="str">
        <f>'Phụ lục số 8'!B30</f>
        <v>Kinh phí biên chế giáo viên tăng thêm (Sự nghiệp giáo dục - đào tạo)</v>
      </c>
      <c r="C30" s="2317">
        <f t="shared" ref="C30:C36" si="3">SUM(D30:E30)</f>
        <v>11626</v>
      </c>
      <c r="D30" s="2330"/>
      <c r="E30" s="3955">
        <f>'Phụ lục số 8'!E30</f>
        <v>11626</v>
      </c>
    </row>
    <row r="31" spans="1:5" ht="36" hidden="1" customHeight="1">
      <c r="A31" s="3954">
        <f>'Phụ lục số 8'!A31</f>
        <v>0</v>
      </c>
      <c r="B31" s="3558">
        <f>'Phụ lục số 8'!B31</f>
        <v>0</v>
      </c>
      <c r="C31" s="2317">
        <f t="shared" si="3"/>
        <v>0</v>
      </c>
      <c r="D31" s="2330"/>
      <c r="E31" s="3955">
        <f>'Phụ lục số 8'!E31</f>
        <v>0</v>
      </c>
    </row>
    <row r="32" spans="1:5" ht="36" hidden="1" customHeight="1">
      <c r="A32" s="3954">
        <f>'Phụ lục số 8'!A32</f>
        <v>0</v>
      </c>
      <c r="B32" s="3558">
        <f>'Phụ lục số 8'!B32</f>
        <v>0</v>
      </c>
      <c r="C32" s="2317">
        <f t="shared" si="3"/>
        <v>0</v>
      </c>
      <c r="D32" s="2330"/>
      <c r="E32" s="3955">
        <f>'Phụ lục số 8'!E32</f>
        <v>0</v>
      </c>
    </row>
    <row r="33" spans="1:5" ht="36" customHeight="1">
      <c r="A33" s="3954">
        <f>'Phụ lục số 8'!A33</f>
        <v>2</v>
      </c>
      <c r="B33" s="3558" t="str">
        <f>'Phụ lục số 8'!B33</f>
        <v>Hỗ trợ doanh nghiệp nhỏ và vừa (Các hoạt động kinh tế)</v>
      </c>
      <c r="C33" s="2317">
        <f t="shared" si="3"/>
        <v>2000</v>
      </c>
      <c r="D33" s="2317"/>
      <c r="E33" s="3955">
        <f>'Phụ lục số 8'!E33</f>
        <v>2000</v>
      </c>
    </row>
    <row r="34" spans="1:5" ht="36" customHeight="1">
      <c r="A34" s="3954">
        <f>'Phụ lục số 8'!A34</f>
        <v>3</v>
      </c>
      <c r="B34" s="3558" t="str">
        <f>'Phụ lục số 8'!B34</f>
        <v>Kinh phí thực hiện Chương trình Phát triển lâm nghiệp bền vững (Các hoạt động kinh tế)</v>
      </c>
      <c r="C34" s="2317">
        <f t="shared" si="3"/>
        <v>479</v>
      </c>
      <c r="D34" s="2317"/>
      <c r="E34" s="3955">
        <f>'Phụ lục số 8'!E34</f>
        <v>479</v>
      </c>
    </row>
    <row r="35" spans="1:5" ht="36" customHeight="1">
      <c r="A35" s="3954">
        <f>'Phụ lục số 8'!A35</f>
        <v>4</v>
      </c>
      <c r="B35" s="3558" t="str">
        <f>'Phụ lục số 8'!B35</f>
        <v>Bổ sung kinh phí thực hiện nhiệm vụ đảm bảo trật tự an toàn giao thông (Các hoạt động kinh tế)</v>
      </c>
      <c r="C35" s="2317">
        <f t="shared" si="3"/>
        <v>7106</v>
      </c>
      <c r="D35" s="2317"/>
      <c r="E35" s="3955">
        <f>'Phụ lục số 8'!E35</f>
        <v>7106</v>
      </c>
    </row>
    <row r="36" spans="1:5" ht="36" customHeight="1" thickBot="1">
      <c r="A36" s="3956">
        <f>'Phụ lục số 8'!A36</f>
        <v>5</v>
      </c>
      <c r="B36" s="3957" t="str">
        <f>'Phụ lục số 8'!B36</f>
        <v>Phí sử dụng đường bộ (Các hoạt động kinh tế)</v>
      </c>
      <c r="C36" s="3958">
        <f t="shared" si="3"/>
        <v>51258</v>
      </c>
      <c r="D36" s="3958"/>
      <c r="E36" s="3959">
        <f>'Phụ lục số 8'!E36</f>
        <v>51258</v>
      </c>
    </row>
    <row r="37" spans="1:5" ht="18.600000000000001" thickTop="1"/>
  </sheetData>
  <mergeCells count="7">
    <mergeCell ref="A1:E1"/>
    <mergeCell ref="A2:E2"/>
    <mergeCell ref="B4:E4"/>
    <mergeCell ref="A5:A6"/>
    <mergeCell ref="B5:B6"/>
    <mergeCell ref="C5:C6"/>
    <mergeCell ref="D5:E5"/>
  </mergeCells>
  <hyperlinks>
    <hyperlink ref="A5:A6" location="'List danh mục'!A1" display="STT"/>
  </hyperlinks>
  <printOptions horizontalCentered="1"/>
  <pageMargins left="0" right="0" top="0.59055118110236227" bottom="0" header="0.19685039370078741" footer="0.19685039370078741"/>
  <pageSetup paperSize="9" scale="90" orientation="portrait" r:id="rId1"/>
  <headerFooter>
    <oddHeader>&amp;R&amp;A</oddHeader>
    <oddFooter>&amp;C&amp;P/&amp;N</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BC134"/>
  <sheetViews>
    <sheetView workbookViewId="0">
      <selection activeCell="A4" sqref="A4:A5"/>
    </sheetView>
  </sheetViews>
  <sheetFormatPr defaultColWidth="9" defaultRowHeight="15.6"/>
  <cols>
    <col min="1" max="1" width="3.69921875" style="244" customWidth="1"/>
    <col min="2" max="2" width="60.19921875" style="220" customWidth="1"/>
    <col min="3" max="3" width="9.69921875" style="220" hidden="1" customWidth="1"/>
    <col min="4" max="5" width="8.09765625" style="220" hidden="1" customWidth="1"/>
    <col min="6" max="6" width="7.8984375" style="220" hidden="1" customWidth="1"/>
    <col min="7" max="7" width="5.19921875" style="1117" hidden="1" customWidth="1"/>
    <col min="8" max="8" width="7.09765625" style="220" hidden="1" customWidth="1"/>
    <col min="9" max="10" width="8.09765625" style="220" hidden="1" customWidth="1"/>
    <col min="11" max="11" width="10.19921875" style="220" customWidth="1"/>
    <col min="12" max="12" width="5.59765625" style="220" customWidth="1"/>
    <col min="13" max="13" width="6.19921875" style="220" customWidth="1"/>
    <col min="14" max="20" width="8.19921875" style="220" customWidth="1"/>
    <col min="21" max="21" width="8.59765625" style="220" customWidth="1"/>
    <col min="22" max="22" width="6.59765625" style="220" customWidth="1"/>
    <col min="23" max="23" width="7.59765625" style="220" customWidth="1"/>
    <col min="24" max="24" width="7.69921875" style="220" customWidth="1"/>
    <col min="25" max="25" width="8.59765625" style="220" customWidth="1"/>
    <col min="26" max="26" width="11.09765625" style="220" customWidth="1"/>
    <col min="27" max="27" width="8.09765625" style="220" customWidth="1"/>
    <col min="28" max="28" width="7.59765625" style="220" customWidth="1"/>
    <col min="29" max="29" width="10.09765625" style="220" customWidth="1"/>
    <col min="30" max="30" width="9" style="220"/>
    <col min="31" max="31" width="10.59765625" style="220" customWidth="1"/>
    <col min="32" max="32" width="7.69921875" style="220" customWidth="1"/>
    <col min="33" max="33" width="9" style="220"/>
    <col min="34" max="34" width="10.69921875" style="220" customWidth="1"/>
    <col min="35" max="35" width="11.69921875" style="220" customWidth="1"/>
    <col min="36" max="36" width="11.5" style="220" customWidth="1"/>
    <col min="37" max="40" width="9" style="220" customWidth="1"/>
    <col min="41" max="41" width="11.69921875" style="220" customWidth="1"/>
    <col min="42" max="45" width="9" style="220" customWidth="1"/>
    <col min="46" max="46" width="9.69921875" style="220" customWidth="1"/>
    <col min="47" max="50" width="9" style="220" customWidth="1"/>
    <col min="51" max="51" width="9.69921875" style="220" customWidth="1"/>
    <col min="52" max="55" width="9" style="220" customWidth="1"/>
    <col min="56" max="16384" width="9" style="220"/>
  </cols>
  <sheetData>
    <row r="1" spans="1:55" ht="28.2" customHeight="1">
      <c r="A1" s="4201" t="s">
        <v>243</v>
      </c>
      <c r="B1" s="4201"/>
      <c r="C1" s="4201"/>
      <c r="D1" s="4201"/>
      <c r="E1" s="4201"/>
      <c r="F1" s="4201"/>
      <c r="G1" s="4201"/>
      <c r="H1" s="4201"/>
      <c r="I1" s="4201"/>
      <c r="J1" s="4201"/>
      <c r="K1" s="4201"/>
      <c r="L1" s="4201"/>
      <c r="M1" s="4201"/>
      <c r="N1" s="4201"/>
      <c r="O1" s="4201"/>
      <c r="P1" s="4201"/>
      <c r="Q1" s="4201"/>
      <c r="R1" s="4201"/>
      <c r="S1" s="4201"/>
      <c r="T1" s="4201"/>
      <c r="U1" s="4201"/>
      <c r="V1" s="4201"/>
      <c r="W1" s="4201"/>
      <c r="X1" s="4201"/>
      <c r="Y1" s="4201"/>
      <c r="Z1" s="4201"/>
    </row>
    <row r="2" spans="1:55" s="715" customFormat="1">
      <c r="A2" s="1704"/>
      <c r="B2" s="1704"/>
      <c r="C2" s="1704"/>
      <c r="D2" s="1704"/>
      <c r="E2" s="1704"/>
      <c r="F2" s="1704"/>
      <c r="G2" s="4228"/>
      <c r="H2" s="4228"/>
      <c r="I2" s="4228"/>
      <c r="J2" s="1704"/>
      <c r="P2" s="715">
        <f>P3-P7</f>
        <v>-781699.06666666642</v>
      </c>
      <c r="U2" s="715">
        <f>U3-U7</f>
        <v>-1001190.9159999974</v>
      </c>
      <c r="Z2" s="715">
        <f>Z7-Z3</f>
        <v>446262.61019487679</v>
      </c>
      <c r="AE2" s="715">
        <f>AE3-AE7</f>
        <v>-609765.91662337258</v>
      </c>
      <c r="AJ2" s="715">
        <f>AJ3-AJ7</f>
        <v>-379476.93237873539</v>
      </c>
      <c r="AO2" s="715">
        <f>AO3-AO7</f>
        <v>-421266.98877505586</v>
      </c>
      <c r="AT2" s="715">
        <f>AT3-AT7</f>
        <v>-465979.14785892889</v>
      </c>
      <c r="AY2" s="715">
        <f>AY3-AY7</f>
        <v>-514801.76079659536</v>
      </c>
    </row>
    <row r="3" spans="1:55" s="715" customFormat="1" ht="15" customHeight="1">
      <c r="A3" s="1705"/>
      <c r="B3" s="1706"/>
      <c r="D3" s="4228"/>
      <c r="E3" s="4228"/>
      <c r="F3" s="1707"/>
      <c r="G3" s="1708"/>
      <c r="H3" s="1707"/>
      <c r="I3" s="1709"/>
      <c r="J3" s="1710"/>
      <c r="O3" s="1711" t="s">
        <v>70</v>
      </c>
      <c r="P3" s="1712">
        <f>'[3]Phụ lục số 1-1'!W59</f>
        <v>16509995</v>
      </c>
      <c r="Q3" s="1713"/>
      <c r="R3" s="1713"/>
      <c r="S3" s="1713"/>
      <c r="T3" s="1713"/>
      <c r="U3" s="1707">
        <f>'[3]Phụ lục số 1-1'!AC59</f>
        <v>17566218</v>
      </c>
      <c r="Z3" s="715">
        <f>'[3]Phụ lục số 1-1'!AI59</f>
        <v>18972524</v>
      </c>
      <c r="AE3" s="715">
        <f>'[3]Phụ lục số 1-1'!AO59</f>
        <v>19769524</v>
      </c>
      <c r="AJ3" s="715">
        <f>'[3]Phụ lục số 1-1'!AU59</f>
        <v>20562524</v>
      </c>
      <c r="AO3" s="715">
        <f>'[3]Phụ lục số 1-1'!BA59</f>
        <v>21411524</v>
      </c>
      <c r="AT3" s="715">
        <f>'[3]Phụ lục số 1-1'!BG59</f>
        <v>22366524</v>
      </c>
      <c r="AY3" s="715">
        <f>'[3]Phụ lục số 1-1'!BM59</f>
        <v>23498524</v>
      </c>
    </row>
    <row r="4" spans="1:55" s="1118" customFormat="1" ht="20.25" customHeight="1">
      <c r="A4" s="4229" t="s">
        <v>0</v>
      </c>
      <c r="B4" s="4208" t="s">
        <v>27</v>
      </c>
      <c r="C4" s="4223" t="s">
        <v>1242</v>
      </c>
      <c r="D4" s="4224"/>
      <c r="E4" s="4225"/>
      <c r="F4" s="4231" t="s">
        <v>1296</v>
      </c>
      <c r="G4" s="4232"/>
      <c r="H4" s="4232"/>
      <c r="I4" s="4232"/>
      <c r="J4" s="4233"/>
      <c r="K4" s="4237" t="s">
        <v>1297</v>
      </c>
      <c r="L4" s="4238"/>
      <c r="M4" s="4238"/>
      <c r="N4" s="4238"/>
      <c r="O4" s="4239"/>
      <c r="P4" s="4237" t="s">
        <v>1703</v>
      </c>
      <c r="Q4" s="4238"/>
      <c r="R4" s="4238"/>
      <c r="S4" s="4238"/>
      <c r="T4" s="4239"/>
      <c r="U4" s="4237" t="s">
        <v>1298</v>
      </c>
      <c r="V4" s="4238"/>
      <c r="W4" s="4238"/>
      <c r="X4" s="4238"/>
      <c r="Y4" s="4239"/>
      <c r="Z4" s="4237" t="s">
        <v>1299</v>
      </c>
      <c r="AA4" s="4238"/>
      <c r="AB4" s="4238"/>
      <c r="AC4" s="4238"/>
      <c r="AD4" s="4239"/>
      <c r="AE4" s="4237" t="s">
        <v>1724</v>
      </c>
      <c r="AF4" s="4238"/>
      <c r="AG4" s="4238"/>
      <c r="AH4" s="4238"/>
      <c r="AI4" s="4239"/>
      <c r="AJ4" s="4234" t="s">
        <v>1725</v>
      </c>
      <c r="AK4" s="4235"/>
      <c r="AL4" s="4235"/>
      <c r="AM4" s="4235"/>
      <c r="AN4" s="4236"/>
      <c r="AO4" s="4234" t="s">
        <v>1726</v>
      </c>
      <c r="AP4" s="4235"/>
      <c r="AQ4" s="4235"/>
      <c r="AR4" s="4235"/>
      <c r="AS4" s="4236"/>
      <c r="AT4" s="4234" t="s">
        <v>1727</v>
      </c>
      <c r="AU4" s="4235"/>
      <c r="AV4" s="4235"/>
      <c r="AW4" s="4235"/>
      <c r="AX4" s="4236"/>
      <c r="AY4" s="4234" t="s">
        <v>1728</v>
      </c>
      <c r="AZ4" s="4235"/>
      <c r="BA4" s="4235"/>
      <c r="BB4" s="4235"/>
      <c r="BC4" s="4236"/>
    </row>
    <row r="5" spans="1:55" s="1118" customFormat="1" ht="63.6" customHeight="1">
      <c r="A5" s="4207"/>
      <c r="B5" s="4230"/>
      <c r="C5" s="1382" t="s">
        <v>28</v>
      </c>
      <c r="D5" s="1670" t="s">
        <v>30</v>
      </c>
      <c r="E5" s="1670" t="s">
        <v>71</v>
      </c>
      <c r="F5" s="1381" t="s">
        <v>28</v>
      </c>
      <c r="G5" s="1119" t="s">
        <v>29</v>
      </c>
      <c r="H5" s="1381" t="s">
        <v>140</v>
      </c>
      <c r="I5" s="249" t="s">
        <v>30</v>
      </c>
      <c r="J5" s="249" t="s">
        <v>71</v>
      </c>
      <c r="K5" s="1381" t="s">
        <v>28</v>
      </c>
      <c r="L5" s="1381" t="s">
        <v>29</v>
      </c>
      <c r="M5" s="1381" t="s">
        <v>140</v>
      </c>
      <c r="N5" s="249" t="s">
        <v>30</v>
      </c>
      <c r="O5" s="249" t="s">
        <v>71</v>
      </c>
      <c r="P5" s="1381" t="s">
        <v>28</v>
      </c>
      <c r="Q5" s="1381" t="s">
        <v>29</v>
      </c>
      <c r="R5" s="1381" t="s">
        <v>171</v>
      </c>
      <c r="S5" s="249" t="s">
        <v>30</v>
      </c>
      <c r="T5" s="249" t="s">
        <v>71</v>
      </c>
      <c r="U5" s="1381" t="s">
        <v>28</v>
      </c>
      <c r="V5" s="1381" t="s">
        <v>29</v>
      </c>
      <c r="W5" s="1381" t="s">
        <v>171</v>
      </c>
      <c r="X5" s="249" t="s">
        <v>30</v>
      </c>
      <c r="Y5" s="249" t="s">
        <v>71</v>
      </c>
      <c r="Z5" s="1381" t="s">
        <v>28</v>
      </c>
      <c r="AA5" s="1381" t="s">
        <v>29</v>
      </c>
      <c r="AB5" s="1381" t="s">
        <v>223</v>
      </c>
      <c r="AC5" s="249" t="s">
        <v>30</v>
      </c>
      <c r="AD5" s="249" t="s">
        <v>71</v>
      </c>
      <c r="AE5" s="1381" t="s">
        <v>28</v>
      </c>
      <c r="AF5" s="1381" t="s">
        <v>29</v>
      </c>
      <c r="AG5" s="1381" t="s">
        <v>223</v>
      </c>
      <c r="AH5" s="249" t="s">
        <v>30</v>
      </c>
      <c r="AI5" s="249" t="s">
        <v>71</v>
      </c>
      <c r="AJ5" s="1382" t="s">
        <v>28</v>
      </c>
      <c r="AK5" s="1382" t="s">
        <v>29</v>
      </c>
      <c r="AL5" s="1382" t="s">
        <v>223</v>
      </c>
      <c r="AM5" s="1670" t="s">
        <v>30</v>
      </c>
      <c r="AN5" s="1670" t="s">
        <v>71</v>
      </c>
      <c r="AO5" s="1382" t="s">
        <v>28</v>
      </c>
      <c r="AP5" s="1382" t="s">
        <v>29</v>
      </c>
      <c r="AQ5" s="1382" t="s">
        <v>223</v>
      </c>
      <c r="AR5" s="1670" t="s">
        <v>30</v>
      </c>
      <c r="AS5" s="1670" t="s">
        <v>71</v>
      </c>
      <c r="AT5" s="1382" t="s">
        <v>28</v>
      </c>
      <c r="AU5" s="1382" t="s">
        <v>29</v>
      </c>
      <c r="AV5" s="1382" t="s">
        <v>223</v>
      </c>
      <c r="AW5" s="1670" t="s">
        <v>30</v>
      </c>
      <c r="AX5" s="1670" t="s">
        <v>71</v>
      </c>
      <c r="AY5" s="1382" t="s">
        <v>28</v>
      </c>
      <c r="AZ5" s="1382" t="s">
        <v>29</v>
      </c>
      <c r="BA5" s="1382" t="s">
        <v>223</v>
      </c>
      <c r="BB5" s="1670" t="s">
        <v>30</v>
      </c>
      <c r="BC5" s="1670" t="s">
        <v>71</v>
      </c>
    </row>
    <row r="6" spans="1:55" s="289" customFormat="1" ht="19.5" customHeight="1">
      <c r="A6" s="718">
        <v>1</v>
      </c>
      <c r="B6" s="718">
        <v>2</v>
      </c>
      <c r="C6" s="1671" t="s">
        <v>6</v>
      </c>
      <c r="D6" s="1672">
        <v>4</v>
      </c>
      <c r="E6" s="1671">
        <v>5</v>
      </c>
      <c r="F6" s="1120" t="s">
        <v>74</v>
      </c>
      <c r="G6" s="1121">
        <v>7</v>
      </c>
      <c r="H6" s="1120" t="s">
        <v>75</v>
      </c>
      <c r="I6" s="718">
        <v>9</v>
      </c>
      <c r="J6" s="1120">
        <v>10</v>
      </c>
      <c r="K6" s="1120" t="s">
        <v>83</v>
      </c>
      <c r="L6" s="718">
        <v>12</v>
      </c>
      <c r="M6" s="718" t="s">
        <v>84</v>
      </c>
      <c r="N6" s="718">
        <v>14</v>
      </c>
      <c r="O6" s="1120">
        <v>15</v>
      </c>
      <c r="P6" s="1120"/>
      <c r="Q6" s="1120"/>
      <c r="R6" s="1120"/>
      <c r="S6" s="1120"/>
      <c r="T6" s="1120"/>
      <c r="U6" s="718" t="s">
        <v>1300</v>
      </c>
      <c r="V6" s="1120">
        <v>17</v>
      </c>
      <c r="W6" s="718" t="s">
        <v>1301</v>
      </c>
      <c r="X6" s="1120">
        <v>19</v>
      </c>
      <c r="Y6" s="718">
        <v>20</v>
      </c>
      <c r="Z6" s="1120" t="s">
        <v>1302</v>
      </c>
      <c r="AA6" s="718">
        <v>22</v>
      </c>
      <c r="AB6" s="1120" t="s">
        <v>1303</v>
      </c>
      <c r="AC6" s="1695">
        <v>24</v>
      </c>
      <c r="AD6" s="1696">
        <v>25</v>
      </c>
      <c r="AE6" s="1696" t="s">
        <v>1302</v>
      </c>
      <c r="AF6" s="1695">
        <v>22</v>
      </c>
      <c r="AG6" s="1696" t="s">
        <v>1303</v>
      </c>
      <c r="AH6" s="1695">
        <v>24</v>
      </c>
      <c r="AI6" s="1696">
        <v>25</v>
      </c>
      <c r="AJ6" s="1672" t="s">
        <v>1302</v>
      </c>
      <c r="AK6" s="1671">
        <v>22</v>
      </c>
      <c r="AL6" s="1672" t="s">
        <v>1303</v>
      </c>
      <c r="AM6" s="1671">
        <v>24</v>
      </c>
      <c r="AN6" s="1672">
        <v>25</v>
      </c>
      <c r="AO6" s="1672" t="s">
        <v>1302</v>
      </c>
      <c r="AP6" s="1671">
        <v>22</v>
      </c>
      <c r="AQ6" s="1672" t="s">
        <v>1303</v>
      </c>
      <c r="AR6" s="1671">
        <v>24</v>
      </c>
      <c r="AS6" s="1672">
        <v>25</v>
      </c>
      <c r="AT6" s="1672" t="s">
        <v>1302</v>
      </c>
      <c r="AU6" s="1671">
        <v>22</v>
      </c>
      <c r="AV6" s="1672" t="s">
        <v>1303</v>
      </c>
      <c r="AW6" s="1671">
        <v>24</v>
      </c>
      <c r="AX6" s="1672">
        <v>25</v>
      </c>
      <c r="AY6" s="1672" t="s">
        <v>1302</v>
      </c>
      <c r="AZ6" s="1671">
        <v>22</v>
      </c>
      <c r="BA6" s="1672" t="s">
        <v>1303</v>
      </c>
      <c r="BB6" s="1671">
        <v>24</v>
      </c>
      <c r="BC6" s="1672">
        <v>25</v>
      </c>
    </row>
    <row r="7" spans="1:55" s="228" customFormat="1">
      <c r="A7" s="1122"/>
      <c r="B7" s="1123" t="s">
        <v>1304</v>
      </c>
      <c r="C7" s="1673">
        <f>SUM(C8,C34,C38)</f>
        <v>14054453</v>
      </c>
      <c r="D7" s="1673">
        <f>SUM(D8,D34,D38)</f>
        <v>6670716</v>
      </c>
      <c r="E7" s="1673">
        <f>SUM(E8,E34,E38)</f>
        <v>7383737</v>
      </c>
      <c r="F7" s="1100">
        <f>SUM(F8,F34,F38)</f>
        <v>15033676</v>
      </c>
      <c r="G7" s="1100">
        <f>F7/$F$7*100</f>
        <v>100</v>
      </c>
      <c r="H7" s="1100">
        <f t="shared" ref="H7:H34" si="0">F7/C7*100</f>
        <v>106.9673504902681</v>
      </c>
      <c r="I7" s="1100">
        <f>SUM(I8,I34,I38)</f>
        <v>6814069</v>
      </c>
      <c r="J7" s="1100">
        <f>SUM(J8,J34,J38)</f>
        <v>8219607</v>
      </c>
      <c r="K7" s="1100">
        <f>SUM(K8,K34,K38)</f>
        <v>15819995</v>
      </c>
      <c r="L7" s="1124">
        <f>K7/$K$7*100</f>
        <v>100</v>
      </c>
      <c r="M7" s="1100">
        <f>K7/C7%</f>
        <v>112.5621537885537</v>
      </c>
      <c r="N7" s="1100">
        <f>SUM(N8,N34,N38)</f>
        <v>8173924</v>
      </c>
      <c r="O7" s="1100">
        <f>SUM(O8,O34,O38)</f>
        <v>7646071</v>
      </c>
      <c r="P7" s="1100">
        <f>SUM(P8,P34,P38)</f>
        <v>17291694.066666666</v>
      </c>
      <c r="Q7" s="1124">
        <f>P7/$P$7*100</f>
        <v>100</v>
      </c>
      <c r="R7" s="1100">
        <f>P7/H7%</f>
        <v>16165394.381942615</v>
      </c>
      <c r="S7" s="1100">
        <f>SUM(S8,S34,S38)</f>
        <v>8613624</v>
      </c>
      <c r="T7" s="1100">
        <f>SUM(T8,T34,T38)</f>
        <v>8678070.0666666664</v>
      </c>
      <c r="U7" s="1100">
        <f>SUM(U8,U34,U38)</f>
        <v>18567408.915999997</v>
      </c>
      <c r="V7" s="1124">
        <f>U7/U7%</f>
        <v>100</v>
      </c>
      <c r="W7" s="1129">
        <f t="shared" ref="W7:W8" si="1">U7/K7%</f>
        <v>117.36671797936722</v>
      </c>
      <c r="X7" s="1100">
        <f>SUM(X8,X34,X38)</f>
        <v>8659005.568</v>
      </c>
      <c r="Y7" s="1100">
        <f>SUM(Y8,Y34,Y38)</f>
        <v>9908403.3479999993</v>
      </c>
      <c r="Z7" s="1100">
        <f>SUM(Z8,Z34,Z38)</f>
        <v>19418786.610194877</v>
      </c>
      <c r="AA7" s="1124">
        <f>Z7/Z7%</f>
        <v>100</v>
      </c>
      <c r="AB7" s="1129">
        <f t="shared" ref="AB7:AB8" si="2">Z7/P7%</f>
        <v>112.30123859077881</v>
      </c>
      <c r="AC7" s="1100">
        <f>SUM(AC8,AC34,AC38)</f>
        <v>10201103.054215508</v>
      </c>
      <c r="AD7" s="1100">
        <f>SUM(AD8,AD34,AD38)</f>
        <v>9217683.5559793673</v>
      </c>
      <c r="AE7" s="1100">
        <f>SUM(AE8,AE34,AE38)</f>
        <v>20379289.916623373</v>
      </c>
      <c r="AF7" s="1697">
        <f>AE7/$AE$7*100</f>
        <v>100</v>
      </c>
      <c r="AG7" s="1697">
        <f>AE7/Z7%</f>
        <v>104.94625810411981</v>
      </c>
      <c r="AH7" s="1100">
        <f>SUM(AH8,AH34,AH38)</f>
        <v>11241282.9867258</v>
      </c>
      <c r="AI7" s="1100">
        <f>SUM(AI8,AI34,AI38)</f>
        <v>9138006.929897571</v>
      </c>
      <c r="AJ7" s="1673">
        <f>SUM(AJ8,AJ34,AJ38)</f>
        <v>20942000.932378735</v>
      </c>
      <c r="AK7" s="1673">
        <f>AJ7/$AJ$7*100</f>
        <v>100</v>
      </c>
      <c r="AL7" s="1673">
        <f>AJ7/AE7%</f>
        <v>102.76119049317984</v>
      </c>
      <c r="AM7" s="1673">
        <f>SUM(AM8,AM34,AM38)</f>
        <v>11299485.300000001</v>
      </c>
      <c r="AN7" s="1673">
        <f>SUM(AN8,AN34,AN38)</f>
        <v>9642515.6323787346</v>
      </c>
      <c r="AO7" s="1673">
        <f>SUM(AO8,AO34,AO38)</f>
        <v>21832790.988775056</v>
      </c>
      <c r="AP7" s="573">
        <f>AO7/$AO$7*100</f>
        <v>100</v>
      </c>
      <c r="AQ7" s="1673">
        <f>AO7/AJ7%</f>
        <v>104.25360527522018</v>
      </c>
      <c r="AR7" s="1673">
        <f>SUM(AR8,AR34,AR38)</f>
        <v>11578485.300000001</v>
      </c>
      <c r="AS7" s="1673">
        <f>SUM(AS8,AS34,AS38)</f>
        <v>10254305.688775057</v>
      </c>
      <c r="AT7" s="1673">
        <f>SUM(AT8,AT34,AT38)</f>
        <v>22832503.147858929</v>
      </c>
      <c r="AU7" s="1673">
        <f>AT7/$AT$7*100</f>
        <v>100</v>
      </c>
      <c r="AV7" s="1673">
        <f>AT7/AO7%</f>
        <v>104.57894805844043</v>
      </c>
      <c r="AW7" s="1673">
        <f>SUM(AW8,AW34,AW38)</f>
        <v>12007485.300000001</v>
      </c>
      <c r="AX7" s="1673">
        <f>SUM(AX8,AX34,AX38)</f>
        <v>10825017.847858926</v>
      </c>
      <c r="AY7" s="1673">
        <f>SUM(AY8,AY34,AY38)</f>
        <v>24013325.760796595</v>
      </c>
      <c r="AZ7" s="1673">
        <f>AY7/$AY$7*100</f>
        <v>100</v>
      </c>
      <c r="BA7" s="1673">
        <f>AY7/AT7%</f>
        <v>105.17167393032155</v>
      </c>
      <c r="BB7" s="1673">
        <f>SUM(BB8,BB34,BB38)</f>
        <v>12518485.300000001</v>
      </c>
      <c r="BC7" s="1673">
        <f>SUM(BC8,BC34,BC38)</f>
        <v>11494840.460796591</v>
      </c>
    </row>
    <row r="8" spans="1:55" s="228" customFormat="1" ht="20.100000000000001" customHeight="1">
      <c r="A8" s="1125" t="s">
        <v>7</v>
      </c>
      <c r="B8" s="591" t="s">
        <v>88</v>
      </c>
      <c r="C8" s="442">
        <f>SUM(C9+C14+C28+C33+C29+C30)</f>
        <v>12792680</v>
      </c>
      <c r="D8" s="442">
        <f>SUM(D9+D14+D28+D33+D29+D30)</f>
        <v>5408943</v>
      </c>
      <c r="E8" s="442">
        <f>SUM(E9+E14+E28+E33+E29+E30)</f>
        <v>7383737</v>
      </c>
      <c r="F8" s="591">
        <f>SUM(F9+F14+F28+F33+F29+F30)</f>
        <v>13771903</v>
      </c>
      <c r="G8" s="1126">
        <f t="shared" ref="G8:G34" si="3">F8/$F$7*100</f>
        <v>91.607022793360713</v>
      </c>
      <c r="H8" s="1126">
        <f t="shared" si="0"/>
        <v>107.65455713736294</v>
      </c>
      <c r="I8" s="1042">
        <f>SUM(I9,I14,I28:I33)</f>
        <v>5552296</v>
      </c>
      <c r="J8" s="1042">
        <f>SUM(J9,J14,J28:J33)</f>
        <v>8219607</v>
      </c>
      <c r="K8" s="591">
        <f>SUM(K9+K14+K28+K33+K29+K30)</f>
        <v>13191488</v>
      </c>
      <c r="L8" s="591">
        <f>SUM(L9+L14+L28+L33+L29+L30)</f>
        <v>83.384906253130922</v>
      </c>
      <c r="M8" s="1126">
        <f>K8/C8%</f>
        <v>103.11747030332971</v>
      </c>
      <c r="N8" s="591">
        <f>SUM(N9+N14+N28+N33+N29+N30)</f>
        <v>5545417</v>
      </c>
      <c r="O8" s="591">
        <f>SUM(O9+O14+O28+O33+O29+O30)</f>
        <v>7646071</v>
      </c>
      <c r="P8" s="591">
        <f>SUM(P9+P14+P28+P33+P29+P30)+P31+P32</f>
        <v>14663187.066666666</v>
      </c>
      <c r="Q8" s="591">
        <f>SUM(Q9+Q14+Q28+Q33+Q29+Q30)</f>
        <v>81.845584044202241</v>
      </c>
      <c r="R8" s="1126">
        <f>P8/H8%</f>
        <v>13620591.135735223</v>
      </c>
      <c r="S8" s="591">
        <f>SUM(S9+S14+S28+S33+S29+S30)+S31+S32</f>
        <v>5985117</v>
      </c>
      <c r="T8" s="591">
        <f>SUM(T9+T14+T28+T33+T29+T30)+T31+T32</f>
        <v>8678070.0666666664</v>
      </c>
      <c r="U8" s="591">
        <f>SUM(U9+U14+U28+U33+U29+U30)+U31+U32</f>
        <v>16578432.915999997</v>
      </c>
      <c r="V8" s="591">
        <f>SUM(V9+V14+V28+V33+V29+V30)</f>
        <v>85.407898257331624</v>
      </c>
      <c r="W8" s="1129">
        <f t="shared" si="1"/>
        <v>125.67523023937858</v>
      </c>
      <c r="X8" s="591">
        <f>SUM(X9+X14+X28+X33+X29+X30)+X31+X32</f>
        <v>6670029.568</v>
      </c>
      <c r="Y8" s="591">
        <f>SUM(Y9+Y14+Y28+Y33+Y29+Y30)+Y31+Y32</f>
        <v>9908403.3479999993</v>
      </c>
      <c r="Z8" s="591">
        <f>SUM(Z9+Z14+Z28+Z33+Z29+Z30)+Z31+Z32</f>
        <v>17039301.310194876</v>
      </c>
      <c r="AA8" s="591">
        <f>SUM(AA9+AA14+AA28+AA33+AA29+AA30)</f>
        <v>84.310703281883605</v>
      </c>
      <c r="AB8" s="1129">
        <f t="shared" si="2"/>
        <v>116.20462340639268</v>
      </c>
      <c r="AC8" s="591">
        <f>SUM(AC9+AC14+AC28+AC33+AC29+AC30)+AC31+AC32</f>
        <v>7821617.7542155078</v>
      </c>
      <c r="AD8" s="591">
        <f>SUM(AD9+AD14+AD28+AD33+AD29+AD30)+AD31+AD32</f>
        <v>9217683.5559793673</v>
      </c>
      <c r="AE8" s="591">
        <f>SUM(AE9+AE14+AE28+AE33+AE29+AE30)+AE31+AE32</f>
        <v>17999804.616623372</v>
      </c>
      <c r="AF8" s="1698">
        <f>AE8/$AE$7*100</f>
        <v>88.324002898358813</v>
      </c>
      <c r="AG8" s="1698">
        <f t="shared" ref="AG8:AG11" si="4">AE8/Z8%</f>
        <v>105.63698762609363</v>
      </c>
      <c r="AH8" s="591">
        <f>SUM(AH9+AH14+AH28+AH33+AH29+AH30)+AH31+AH32</f>
        <v>8861797.6867258009</v>
      </c>
      <c r="AI8" s="591">
        <f>SUM(AI9+AI14+AI28+AI33+AI29+AI30)+AI31+AI32</f>
        <v>9138006.929897571</v>
      </c>
      <c r="AJ8" s="423">
        <f>SUM(AJ9,AJ14,AJ28:AJ33)</f>
        <v>17589515.632378735</v>
      </c>
      <c r="AK8" s="442">
        <f t="shared" ref="AK8:AK36" si="5">AJ8/$AJ$7*100</f>
        <v>83.991571240851798</v>
      </c>
      <c r="AL8" s="1714">
        <f t="shared" ref="AL8:AL11" si="6">AJ8/AE8%</f>
        <v>97.720592012061488</v>
      </c>
      <c r="AM8" s="423">
        <f>SUM(AM9,AM14,AM28:AM33)</f>
        <v>7947000</v>
      </c>
      <c r="AN8" s="423">
        <f>SUM(AN9,AN14,AN28:AN33)</f>
        <v>9642515.6323787346</v>
      </c>
      <c r="AO8" s="423">
        <f>SUM(AO9,AO14,AO28:AO33)</f>
        <v>18480305.688775055</v>
      </c>
      <c r="AP8" s="439">
        <f t="shared" ref="AP8:AP36" si="7">AO8/$AO$7*100</f>
        <v>84.644724067923235</v>
      </c>
      <c r="AQ8" s="1714">
        <f t="shared" ref="AQ8:AQ11" si="8">AO8/AJ8%</f>
        <v>105.06432397010727</v>
      </c>
      <c r="AR8" s="423">
        <f>SUM(AR9,AR14,AR28:AR33)</f>
        <v>8226000</v>
      </c>
      <c r="AS8" s="423">
        <f>SUM(AS9,AS14,AS28:AS33)</f>
        <v>10254305.688775057</v>
      </c>
      <c r="AT8" s="423">
        <f>SUM(AT9,AT14,AT28:AT33)</f>
        <v>19480017.847858928</v>
      </c>
      <c r="AU8" s="1673">
        <f>AT8/$AT$7*100</f>
        <v>85.31704877783244</v>
      </c>
      <c r="AV8" s="1714">
        <f t="shared" ref="AV8:AV11" si="9">AT8/AO8%</f>
        <v>105.40960834696095</v>
      </c>
      <c r="AW8" s="423">
        <f>SUM(AW9,AW14,AW28:AW33)</f>
        <v>8655000</v>
      </c>
      <c r="AX8" s="423">
        <f>SUM(AX9,AX14,AX28:AX33)</f>
        <v>10825017.847858926</v>
      </c>
      <c r="AY8" s="423">
        <f>SUM(AY9,AY14,AY28:AY33)</f>
        <v>20660840.460796595</v>
      </c>
      <c r="AZ8" s="1673">
        <f>AY8/$AY$7*100</f>
        <v>86.03906292116703</v>
      </c>
      <c r="BA8" s="1714">
        <f t="shared" ref="BA8:BA11" si="10">AY8/AT8%</f>
        <v>106.06171217172397</v>
      </c>
      <c r="BB8" s="423">
        <f>SUM(BB9,BB14,BB28:BB33)</f>
        <v>9166000</v>
      </c>
      <c r="BC8" s="423">
        <f>SUM(BC9,BC14,BC28:BC33)</f>
        <v>11494840.460796591</v>
      </c>
    </row>
    <row r="9" spans="1:55" s="289" customFormat="1">
      <c r="A9" s="1127" t="s">
        <v>9</v>
      </c>
      <c r="B9" s="1128" t="s">
        <v>31</v>
      </c>
      <c r="C9" s="337">
        <f>SUM(C10:C13)</f>
        <v>3374957</v>
      </c>
      <c r="D9" s="337">
        <f>SUM(D10:D13)</f>
        <v>2169711</v>
      </c>
      <c r="E9" s="337">
        <f>SUM(E10:E13)</f>
        <v>1205246</v>
      </c>
      <c r="F9" s="336">
        <f>SUM(F10:F13)</f>
        <v>3748957</v>
      </c>
      <c r="G9" s="1129">
        <f t="shared" si="3"/>
        <v>24.93706130157388</v>
      </c>
      <c r="H9" s="1129">
        <f t="shared" si="0"/>
        <v>111.08162266956289</v>
      </c>
      <c r="I9" s="336">
        <f>SUM(I10:I13)</f>
        <v>2343711</v>
      </c>
      <c r="J9" s="336">
        <f>SUM(J10:J13)</f>
        <v>1405246</v>
      </c>
      <c r="K9" s="336">
        <f>SUM(K10:K13)</f>
        <v>3561000</v>
      </c>
      <c r="L9" s="1130">
        <f t="shared" ref="L9:L29" si="11">K9/$K$7*100</f>
        <v>22.509488783024267</v>
      </c>
      <c r="M9" s="1129">
        <f>K9/C9%</f>
        <v>105.51245541795051</v>
      </c>
      <c r="N9" s="336">
        <f>SUM(N10:N13)</f>
        <v>2240000</v>
      </c>
      <c r="O9" s="336">
        <f>SUM(O10:O13)</f>
        <v>1321000</v>
      </c>
      <c r="P9" s="336">
        <f>SUM(P10:P13)</f>
        <v>4091000</v>
      </c>
      <c r="Q9" s="591">
        <f t="shared" ref="Q9:Q38" si="12">P9/$P$7%</f>
        <v>23.658757691568535</v>
      </c>
      <c r="R9" s="336">
        <f>P9/K9%</f>
        <v>114.88345970233081</v>
      </c>
      <c r="S9" s="336">
        <f t="shared" ref="S9:T9" si="13">SUM(S10:S13)</f>
        <v>2590000</v>
      </c>
      <c r="T9" s="336">
        <f t="shared" si="13"/>
        <v>1501000</v>
      </c>
      <c r="U9" s="336">
        <f>SUM(U10:U13)</f>
        <v>4863186.4089698764</v>
      </c>
      <c r="V9" s="1129">
        <f t="shared" ref="V9:V29" si="14">U9/$U$7*100</f>
        <v>26.192057443077843</v>
      </c>
      <c r="W9" s="1129">
        <f>U9/K9%</f>
        <v>136.5679980053321</v>
      </c>
      <c r="X9" s="336">
        <f>SUM(X10:X13)</f>
        <v>3139186</v>
      </c>
      <c r="Y9" s="336">
        <f>SUM(Y10:Y13)</f>
        <v>1724000.4089698761</v>
      </c>
      <c r="Z9" s="336">
        <f>SUM(Z10:Z13)</f>
        <v>4735000</v>
      </c>
      <c r="AA9" s="1129">
        <f t="shared" ref="AA9" si="15">Z9/$U$7*100</f>
        <v>25.501673504479843</v>
      </c>
      <c r="AB9" s="1129">
        <f>Z9/P9%</f>
        <v>115.7418724028355</v>
      </c>
      <c r="AC9" s="1495">
        <f>SUM(AC10:AC13)</f>
        <v>3379099.7457627119</v>
      </c>
      <c r="AD9" s="1495">
        <f>SUM(AD10:AD13)</f>
        <v>1355900.2542372881</v>
      </c>
      <c r="AE9" s="1495">
        <f>SUM(AE10:AE13)</f>
        <v>5025000</v>
      </c>
      <c r="AF9" s="1698">
        <f t="shared" ref="AF9:AF11" si="16">AE9/$AE$7*100</f>
        <v>24.657385122634281</v>
      </c>
      <c r="AG9" s="1699">
        <f t="shared" si="4"/>
        <v>106.1246040126716</v>
      </c>
      <c r="AH9" s="1495">
        <f>SUM(AH10:AH13)</f>
        <v>3630399.7330508474</v>
      </c>
      <c r="AI9" s="1495">
        <f>SUM(AI10:AI13)</f>
        <v>1394600.2669491526</v>
      </c>
      <c r="AJ9" s="337">
        <f>SUM(AJ10:AJ13)</f>
        <v>5200317.6323787346</v>
      </c>
      <c r="AK9" s="442">
        <f t="shared" si="5"/>
        <v>24.831999813057248</v>
      </c>
      <c r="AL9" s="1715">
        <f t="shared" si="6"/>
        <v>103.48890810703949</v>
      </c>
      <c r="AM9" s="337">
        <f>SUM(AM10:AM13)</f>
        <v>3451000</v>
      </c>
      <c r="AN9" s="337">
        <f>SUM(AN10:AN13)</f>
        <v>1749317.6323787346</v>
      </c>
      <c r="AO9" s="337">
        <f>SUM(AO10:AO13)</f>
        <v>5371607.688775057</v>
      </c>
      <c r="AP9" s="439">
        <f t="shared" si="7"/>
        <v>24.603394460821679</v>
      </c>
      <c r="AQ9" s="1715">
        <f t="shared" si="8"/>
        <v>103.29383834806204</v>
      </c>
      <c r="AR9" s="337">
        <f>SUM(AR10:AR13)</f>
        <v>3545500</v>
      </c>
      <c r="AS9" s="337">
        <f>SUM(AS10:AS13)</f>
        <v>1826107.688775057</v>
      </c>
      <c r="AT9" s="337">
        <f>SUM(AT10:AT13)</f>
        <v>5514891.8478589263</v>
      </c>
      <c r="AU9" s="442">
        <f t="shared" ref="AU9:AU36" si="17">AT9/$AT$7*100</f>
        <v>24.153689204138242</v>
      </c>
      <c r="AV9" s="1715">
        <f t="shared" si="9"/>
        <v>102.66743528912745</v>
      </c>
      <c r="AW9" s="337">
        <f>SUM(AW10:AW13)</f>
        <v>3626000</v>
      </c>
      <c r="AX9" s="337">
        <f>SUM(AX10:AX13)</f>
        <v>1888891.8478589265</v>
      </c>
      <c r="AY9" s="337">
        <f>SUM(AY10:AY13)</f>
        <v>5712606.3607965913</v>
      </c>
      <c r="AZ9" s="442">
        <f t="shared" ref="AZ9:AZ36" si="18">AY9/$AY$7*100</f>
        <v>23.789317721757701</v>
      </c>
      <c r="BA9" s="1715">
        <f t="shared" si="10"/>
        <v>103.58510227203139</v>
      </c>
      <c r="BB9" s="337">
        <f>SUM(BB10:BB13)</f>
        <v>3758000</v>
      </c>
      <c r="BC9" s="337">
        <f>SUM(BC10:BC13)</f>
        <v>1954606.3607965908</v>
      </c>
    </row>
    <row r="10" spans="1:55">
      <c r="A10" s="1131">
        <v>1</v>
      </c>
      <c r="B10" s="1132" t="s">
        <v>1305</v>
      </c>
      <c r="C10" s="485">
        <f>D10+E10</f>
        <v>1036180</v>
      </c>
      <c r="D10" s="485">
        <v>530934</v>
      </c>
      <c r="E10" s="485">
        <v>505246</v>
      </c>
      <c r="F10" s="51">
        <f>SUM(I10,J10)</f>
        <v>1036180</v>
      </c>
      <c r="G10" s="1133">
        <f>F10/$F$7*100</f>
        <v>6.8923927853706575</v>
      </c>
      <c r="H10" s="1133">
        <f t="shared" si="0"/>
        <v>100</v>
      </c>
      <c r="I10" s="51">
        <f>D10</f>
        <v>530934</v>
      </c>
      <c r="J10" s="51">
        <f>E10</f>
        <v>505246</v>
      </c>
      <c r="K10" s="51">
        <f>N10+O10</f>
        <v>1061000</v>
      </c>
      <c r="L10" s="1134">
        <f t="shared" si="11"/>
        <v>6.7067024989578066</v>
      </c>
      <c r="M10" s="1133">
        <f>K10/C10%</f>
        <v>102.39533671755873</v>
      </c>
      <c r="N10" s="51">
        <f>'Phụ lục số 2'!D10</f>
        <v>540000</v>
      </c>
      <c r="O10" s="51">
        <f>'Phụ lục số 2'!E10</f>
        <v>521000</v>
      </c>
      <c r="P10" s="51">
        <f>S10+T10</f>
        <v>1061000</v>
      </c>
      <c r="Q10" s="591">
        <f t="shared" si="12"/>
        <v>6.1358938916534385</v>
      </c>
      <c r="R10" s="336">
        <f>P10/K10%</f>
        <v>100</v>
      </c>
      <c r="S10" s="51">
        <f>'Phụ lục số 2'!S10</f>
        <v>540000</v>
      </c>
      <c r="T10" s="51">
        <f>'Phụ lục số 2'!T10</f>
        <v>521000</v>
      </c>
      <c r="U10" s="51">
        <f>X10+Y10</f>
        <v>1143186.4089698761</v>
      </c>
      <c r="V10" s="1133">
        <f t="shared" si="14"/>
        <v>6.1569517542362302</v>
      </c>
      <c r="W10" s="1133">
        <f>U10/K10%</f>
        <v>107.74612714136438</v>
      </c>
      <c r="X10" s="51">
        <f>'Phụ lục số 2'!AA10</f>
        <v>562186</v>
      </c>
      <c r="Y10" s="51">
        <f>'Phụ lục số 2'!AB10</f>
        <v>581000.40896987612</v>
      </c>
      <c r="Z10" s="51">
        <f>AC10+AD10</f>
        <v>1213000</v>
      </c>
      <c r="AA10" s="1133">
        <f t="shared" ref="AA10:AA34" si="19">Z10/$Z$7*100</f>
        <v>6.246528294219857</v>
      </c>
      <c r="AB10" s="1133">
        <f t="shared" ref="AB10:AB29" si="20">Z10/U10%</f>
        <v>106.10692976074066</v>
      </c>
      <c r="AC10" s="183">
        <f>'Phụ lục số 2'!AF10</f>
        <v>632000</v>
      </c>
      <c r="AD10" s="183">
        <f>'Phụ lục số 2'!AG10</f>
        <v>581000</v>
      </c>
      <c r="AE10" s="183">
        <f>AH10+AI10</f>
        <v>1265000</v>
      </c>
      <c r="AF10" s="1700">
        <f t="shared" si="16"/>
        <v>6.2072820258969887</v>
      </c>
      <c r="AG10" s="1700">
        <f>AE10/Z10%</f>
        <v>104.28689200329761</v>
      </c>
      <c r="AH10" s="183">
        <f>'Phụ lục số 2'!AK10</f>
        <v>684000</v>
      </c>
      <c r="AI10" s="183">
        <f>'Phụ lục số 2'!AL10</f>
        <v>581000</v>
      </c>
      <c r="AJ10" s="1395">
        <f>AM10+AN10</f>
        <v>1300317.6323787346</v>
      </c>
      <c r="AK10" s="485">
        <f t="shared" si="5"/>
        <v>6.2091374963521009</v>
      </c>
      <c r="AL10" s="1716">
        <f t="shared" si="6"/>
        <v>102.79190769792369</v>
      </c>
      <c r="AM10" s="1395">
        <f>ROUND(INT(AH10*$AM$44),-3)</f>
        <v>706000</v>
      </c>
      <c r="AN10" s="1395">
        <f>(AI10*$AN$44)</f>
        <v>594317.63237873465</v>
      </c>
      <c r="AO10" s="1395">
        <f>AR10+AS10</f>
        <v>1361607.688775057</v>
      </c>
      <c r="AP10" s="485">
        <f t="shared" si="7"/>
        <v>6.2365260102343463</v>
      </c>
      <c r="AQ10" s="1716">
        <f t="shared" si="8"/>
        <v>104.71346806889034</v>
      </c>
      <c r="AR10" s="1691">
        <f>ROUND(INT(AM10*AR44),-3)+14500</f>
        <v>734500</v>
      </c>
      <c r="AS10" s="1691">
        <f>(AN10*AS44)+12359</f>
        <v>627107.68877505697</v>
      </c>
      <c r="AT10" s="1395">
        <f>AW10+AX10</f>
        <v>1404891.8478589265</v>
      </c>
      <c r="AU10" s="485">
        <f t="shared" si="17"/>
        <v>6.1530347275597217</v>
      </c>
      <c r="AV10" s="1716">
        <f t="shared" si="9"/>
        <v>103.17890090080274</v>
      </c>
      <c r="AW10" s="1395">
        <f>ROUND(INT(AR10*$AW$44),-3)</f>
        <v>759000</v>
      </c>
      <c r="AX10" s="1395">
        <f>(AS10*$AX$44)</f>
        <v>645891.84785892651</v>
      </c>
      <c r="AY10" s="1395">
        <f>BB10+BC10</f>
        <v>1452606.3607965908</v>
      </c>
      <c r="AZ10" s="485">
        <f t="shared" si="18"/>
        <v>6.0491677632095033</v>
      </c>
      <c r="BA10" s="1716">
        <f t="shared" si="10"/>
        <v>103.39631217950206</v>
      </c>
      <c r="BB10" s="1395">
        <f>ROUND(INT(AW10*$BB$44),-3)</f>
        <v>785000</v>
      </c>
      <c r="BC10" s="1395">
        <f>(AX10*$BC$44)</f>
        <v>667606.3607965908</v>
      </c>
    </row>
    <row r="11" spans="1:55">
      <c r="A11" s="1131">
        <v>2</v>
      </c>
      <c r="B11" s="1132" t="s">
        <v>391</v>
      </c>
      <c r="C11" s="485">
        <f>D11+E11</f>
        <v>800000</v>
      </c>
      <c r="D11" s="485">
        <v>100000</v>
      </c>
      <c r="E11" s="485">
        <v>700000</v>
      </c>
      <c r="F11" s="51">
        <f>SUM(I11,J11)</f>
        <v>970000</v>
      </c>
      <c r="G11" s="1133">
        <f t="shared" si="3"/>
        <v>6.4521810899742684</v>
      </c>
      <c r="H11" s="1133">
        <f t="shared" si="0"/>
        <v>121.24999999999999</v>
      </c>
      <c r="I11" s="51">
        <f>'[3]Phụ lục số 1-1'!L40</f>
        <v>70000</v>
      </c>
      <c r="J11" s="51">
        <f>'[3]Phụ lục số 1-1'!M40</f>
        <v>900000</v>
      </c>
      <c r="K11" s="51">
        <f>SUM(N11,O11)</f>
        <v>900000</v>
      </c>
      <c r="L11" s="1134">
        <f t="shared" si="11"/>
        <v>5.689003062263926</v>
      </c>
      <c r="M11" s="1133">
        <f t="shared" ref="M11:M29" si="21">K11/C11%</f>
        <v>112.5</v>
      </c>
      <c r="N11" s="51">
        <f>'Phụ lục số 2'!D11</f>
        <v>100000</v>
      </c>
      <c r="O11" s="51">
        <f>'Phụ lục số 2'!E11</f>
        <v>800000</v>
      </c>
      <c r="P11" s="51">
        <f>SUM(S11,T11)</f>
        <v>1080000</v>
      </c>
      <c r="Q11" s="591">
        <f t="shared" si="12"/>
        <v>6.245773235613302</v>
      </c>
      <c r="R11" s="336">
        <f>P11/K11%</f>
        <v>120</v>
      </c>
      <c r="S11" s="51">
        <f>'Phụ lục số 2'!S11</f>
        <v>100000</v>
      </c>
      <c r="T11" s="51">
        <f>'Phụ lục số 2'!T11</f>
        <v>980000</v>
      </c>
      <c r="U11" s="51">
        <f>SUM(X11,Y11)</f>
        <v>1770000</v>
      </c>
      <c r="V11" s="1133">
        <f t="shared" si="14"/>
        <v>9.532832545497218</v>
      </c>
      <c r="W11" s="1133">
        <f t="shared" ref="W11:W30" si="22">U11/K11%</f>
        <v>196.66666666666666</v>
      </c>
      <c r="X11" s="51">
        <f>'Phụ lục số 2'!AA11</f>
        <v>627000</v>
      </c>
      <c r="Y11" s="51">
        <f>'Phụ lục số 2'!AB11</f>
        <v>1143000</v>
      </c>
      <c r="Z11" s="51">
        <f>SUM(AC11,AD11)</f>
        <v>1200000</v>
      </c>
      <c r="AA11" s="1133">
        <f t="shared" si="19"/>
        <v>6.1795828137376985</v>
      </c>
      <c r="AB11" s="1133">
        <f>Z11/U11%</f>
        <v>67.79661016949153</v>
      </c>
      <c r="AC11" s="183">
        <f>'Phụ lục số 2'!AF11</f>
        <v>425099.74576271186</v>
      </c>
      <c r="AD11" s="183">
        <f>'Phụ lục số 2'!AG11</f>
        <v>774900.25423728814</v>
      </c>
      <c r="AE11" s="183">
        <f>SUM(AH11,AI11)</f>
        <v>1260000</v>
      </c>
      <c r="AF11" s="1700">
        <f t="shared" si="16"/>
        <v>6.1827473143321789</v>
      </c>
      <c r="AG11" s="1700">
        <f t="shared" si="4"/>
        <v>105</v>
      </c>
      <c r="AH11" s="183">
        <f>'Phụ lục số 2'!AK11</f>
        <v>446399.73305084754</v>
      </c>
      <c r="AI11" s="183">
        <f>'Phụ lục số 2'!AL11</f>
        <v>813600.26694915246</v>
      </c>
      <c r="AJ11" s="1395">
        <f>SUM(AM11,AN11)</f>
        <v>1300000</v>
      </c>
      <c r="AK11" s="485">
        <f t="shared" si="5"/>
        <v>6.2076207722350487</v>
      </c>
      <c r="AL11" s="1716">
        <f t="shared" si="6"/>
        <v>103.17460317460318</v>
      </c>
      <c r="AM11" s="1395">
        <f>'[3]Phụ lục số 1-1'!AV40</f>
        <v>145000</v>
      </c>
      <c r="AN11" s="1395">
        <f>'[3]Phụ lục số 1-1'!AW40</f>
        <v>1155000</v>
      </c>
      <c r="AO11" s="1395">
        <f>SUM(AR11,AS11)</f>
        <v>1350000</v>
      </c>
      <c r="AP11" s="485">
        <f t="shared" si="7"/>
        <v>6.1833597028161842</v>
      </c>
      <c r="AQ11" s="1716">
        <f t="shared" si="8"/>
        <v>103.84615384615384</v>
      </c>
      <c r="AR11" s="1395">
        <f>'[3]Phụ lục số 1-1'!BB40</f>
        <v>151000</v>
      </c>
      <c r="AS11" s="1395">
        <f>'[3]Phụ lục số 1-1'!BC40</f>
        <v>1199000</v>
      </c>
      <c r="AT11" s="1395">
        <f>SUM(AW11,AX11)</f>
        <v>1400000</v>
      </c>
      <c r="AU11" s="485">
        <f t="shared" si="17"/>
        <v>6.1316097973746784</v>
      </c>
      <c r="AV11" s="1716">
        <f t="shared" si="9"/>
        <v>103.70370370370371</v>
      </c>
      <c r="AW11" s="1395">
        <f>'[3]Phụ lục số 1-1'!BH40</f>
        <v>157000</v>
      </c>
      <c r="AX11" s="1395">
        <f>'[3]Phụ lục số 1-1'!BI40</f>
        <v>1243000</v>
      </c>
      <c r="AY11" s="1395">
        <f>SUM(BB11,BC11)</f>
        <v>1450000</v>
      </c>
      <c r="AZ11" s="485">
        <f t="shared" si="18"/>
        <v>6.0383139530269681</v>
      </c>
      <c r="BA11" s="1716">
        <f t="shared" si="10"/>
        <v>103.57142857142857</v>
      </c>
      <c r="BB11" s="1395">
        <f>'[3]Phụ lục số 1-1'!BN40</f>
        <v>163000</v>
      </c>
      <c r="BC11" s="1395">
        <f>'[3]Phụ lục số 1-1'!BO40</f>
        <v>1287000</v>
      </c>
    </row>
    <row r="12" spans="1:55">
      <c r="A12" s="1131">
        <v>3</v>
      </c>
      <c r="B12" s="506" t="s">
        <v>121</v>
      </c>
      <c r="C12" s="485">
        <f>D12+E12</f>
        <v>1500000</v>
      </c>
      <c r="D12" s="485">
        <v>1500000</v>
      </c>
      <c r="E12" s="485">
        <v>0</v>
      </c>
      <c r="F12" s="51">
        <f>SUM(I12,J12)</f>
        <v>1704000</v>
      </c>
      <c r="G12" s="1133">
        <f t="shared" si="3"/>
        <v>11.33455317249088</v>
      </c>
      <c r="H12" s="1133">
        <f t="shared" si="0"/>
        <v>113.6</v>
      </c>
      <c r="I12" s="51">
        <f>'[3]Phụ lục số 1-1'!L48</f>
        <v>1704000</v>
      </c>
      <c r="J12" s="51">
        <f>'[3]Phụ lục số 1-1'!M48</f>
        <v>0</v>
      </c>
      <c r="K12" s="51">
        <f>SUM(N12,O12)</f>
        <v>1600000</v>
      </c>
      <c r="L12" s="1134">
        <f t="shared" si="11"/>
        <v>10.113783221802535</v>
      </c>
      <c r="M12" s="1133">
        <f t="shared" si="21"/>
        <v>106.66666666666667</v>
      </c>
      <c r="N12" s="51">
        <f>'Phụ lục số 2'!D12</f>
        <v>1600000</v>
      </c>
      <c r="O12" s="51">
        <f>'Phụ lục số 2'!E12</f>
        <v>0</v>
      </c>
      <c r="P12" s="51">
        <f>SUM(S12,T12)</f>
        <v>1950000</v>
      </c>
      <c r="Q12" s="591">
        <f t="shared" si="12"/>
        <v>11.277090564301796</v>
      </c>
      <c r="R12" s="336">
        <f>P12/K12%</f>
        <v>121.875</v>
      </c>
      <c r="S12" s="51">
        <f>'Phụ lục số 2'!S12</f>
        <v>1950000</v>
      </c>
      <c r="T12" s="51">
        <f>'Phụ lục số 2'!T12</f>
        <v>0</v>
      </c>
      <c r="U12" s="51">
        <f>SUM(X12,Y12)</f>
        <v>1950000</v>
      </c>
      <c r="V12" s="1133">
        <f t="shared" si="14"/>
        <v>10.502273143344393</v>
      </c>
      <c r="W12" s="1133">
        <f t="shared" si="22"/>
        <v>121.875</v>
      </c>
      <c r="X12" s="51">
        <f>'Phụ lục số 2'!AA12</f>
        <v>1950000</v>
      </c>
      <c r="Y12" s="51">
        <f>'Phụ lục số 2'!AB12</f>
        <v>0</v>
      </c>
      <c r="Z12" s="51">
        <f>SUM(AC12,AD12)</f>
        <v>2322000</v>
      </c>
      <c r="AA12" s="1133">
        <f t="shared" si="19"/>
        <v>11.957492744582446</v>
      </c>
      <c r="AB12" s="1133">
        <f>Z12/U12%</f>
        <v>119.07692307692308</v>
      </c>
      <c r="AC12" s="183">
        <f>'Phụ lục số 2'!AF12</f>
        <v>2322000</v>
      </c>
      <c r="AD12" s="183">
        <f>'Phụ lục số 2'!AG12</f>
        <v>0</v>
      </c>
      <c r="AE12" s="183">
        <f>SUM(AH12,AI12)</f>
        <v>2500000</v>
      </c>
      <c r="AF12" s="1700">
        <f>AE12/$AE$7*100</f>
        <v>12.267355782405117</v>
      </c>
      <c r="AG12" s="1700">
        <f>AE12/Z12%</f>
        <v>107.66580534022394</v>
      </c>
      <c r="AH12" s="183">
        <f>'Phụ lục số 2'!AK12</f>
        <v>2500000</v>
      </c>
      <c r="AI12" s="183">
        <f>'Phụ lục số 2'!AL12</f>
        <v>0</v>
      </c>
      <c r="AJ12" s="1395">
        <f>SUM(AM12,AN12)</f>
        <v>2600000</v>
      </c>
      <c r="AK12" s="485">
        <f t="shared" si="5"/>
        <v>12.415241544470097</v>
      </c>
      <c r="AL12" s="1716">
        <f>AJ12/AE12%</f>
        <v>104</v>
      </c>
      <c r="AM12" s="1395">
        <f>'[3]Phụ lục số 1-1'!AV48</f>
        <v>2600000</v>
      </c>
      <c r="AN12" s="1395">
        <f>'[3]Phụ lục số 1-1'!AW48</f>
        <v>0</v>
      </c>
      <c r="AO12" s="1395">
        <f>SUM(AR12,AS12)</f>
        <v>2660000</v>
      </c>
      <c r="AP12" s="485">
        <f t="shared" si="7"/>
        <v>12.18350874777115</v>
      </c>
      <c r="AQ12" s="1716">
        <f>AO12/AJ12%</f>
        <v>102.30769230769231</v>
      </c>
      <c r="AR12" s="1395">
        <f>'[3]Phụ lục số 1-1'!BB48</f>
        <v>2660000</v>
      </c>
      <c r="AS12" s="1395">
        <f>'[3]Phụ lục số 1-1'!AZ48</f>
        <v>0</v>
      </c>
      <c r="AT12" s="1395">
        <f>SUM(AW12,AX12)</f>
        <v>2710000</v>
      </c>
      <c r="AU12" s="485">
        <f t="shared" si="17"/>
        <v>11.869044679203842</v>
      </c>
      <c r="AV12" s="1716">
        <f>AT12/AO12%</f>
        <v>101.8796992481203</v>
      </c>
      <c r="AW12" s="1395">
        <f>'[3]Phụ lục số 1-1'!BH48</f>
        <v>2710000</v>
      </c>
      <c r="AX12" s="1395">
        <f>'[3]Phụ lục số 1-1'!BI48</f>
        <v>0</v>
      </c>
      <c r="AY12" s="1395">
        <f>SUM(BB12,BC12)</f>
        <v>2810000</v>
      </c>
      <c r="AZ12" s="485">
        <f t="shared" si="18"/>
        <v>11.701836005521226</v>
      </c>
      <c r="BA12" s="1716">
        <f>AY12/AT12%</f>
        <v>103.69003690036901</v>
      </c>
      <c r="BB12" s="1395">
        <f>'[3]Phụ lục số 1-1'!BN48</f>
        <v>2810000</v>
      </c>
      <c r="BC12" s="1395">
        <f>'[3]Phụ lục số 1-1'!BO48</f>
        <v>0</v>
      </c>
    </row>
    <row r="13" spans="1:55">
      <c r="A13" s="1131">
        <v>4</v>
      </c>
      <c r="B13" s="604" t="s">
        <v>142</v>
      </c>
      <c r="C13" s="485">
        <f>D13+E13</f>
        <v>38777</v>
      </c>
      <c r="D13" s="485">
        <v>38777</v>
      </c>
      <c r="E13" s="485">
        <v>0</v>
      </c>
      <c r="F13" s="51">
        <f>SUM(I13,J13)</f>
        <v>38777</v>
      </c>
      <c r="G13" s="1133"/>
      <c r="H13" s="1133"/>
      <c r="I13" s="51">
        <f>INT('[3]Phụ lục số 1-1'!H46)</f>
        <v>38777</v>
      </c>
      <c r="J13" s="51">
        <v>0</v>
      </c>
      <c r="K13" s="51">
        <f>SUM(N13,O13)</f>
        <v>0</v>
      </c>
      <c r="L13" s="1134"/>
      <c r="M13" s="1133"/>
      <c r="N13" s="51">
        <f>'Phụ lục số 2'!D13</f>
        <v>0</v>
      </c>
      <c r="O13" s="51">
        <f>'Phụ lục số 2'!E13</f>
        <v>0</v>
      </c>
      <c r="P13" s="51">
        <f>SUM(S13,T13)</f>
        <v>0</v>
      </c>
      <c r="Q13" s="591">
        <f t="shared" si="12"/>
        <v>0</v>
      </c>
      <c r="R13" s="51"/>
      <c r="S13" s="51">
        <f>'Phụ lục số 2'!S13</f>
        <v>0</v>
      </c>
      <c r="T13" s="51">
        <f>'Phụ lục số 2'!T13</f>
        <v>0</v>
      </c>
      <c r="U13" s="51">
        <f>SUM(X13,Y13)</f>
        <v>0</v>
      </c>
      <c r="V13" s="1133"/>
      <c r="W13" s="1133"/>
      <c r="X13" s="51">
        <f>'Phụ lục số 2'!AA13</f>
        <v>0</v>
      </c>
      <c r="Y13" s="51">
        <f>'Phụ lục số 2'!AB13</f>
        <v>0</v>
      </c>
      <c r="Z13" s="51">
        <f>SUM(AC13,AD13)</f>
        <v>0</v>
      </c>
      <c r="AA13" s="1133"/>
      <c r="AB13" s="1133"/>
      <c r="AC13" s="183">
        <f>'Phụ lục số 2'!AF13</f>
        <v>0</v>
      </c>
      <c r="AD13" s="183">
        <f>'Phụ lục số 2'!AG13</f>
        <v>0</v>
      </c>
      <c r="AE13" s="183">
        <f>SUM(AH13,AI13)</f>
        <v>0</v>
      </c>
      <c r="AF13" s="1700"/>
      <c r="AG13" s="1700"/>
      <c r="AH13" s="183">
        <f>'Phụ lục số 2'!AK13</f>
        <v>0</v>
      </c>
      <c r="AI13" s="183">
        <f>'Phụ lục số 2'!AL13</f>
        <v>0</v>
      </c>
      <c r="AJ13" s="1395">
        <f>SUM(AM13,AN13)</f>
        <v>0</v>
      </c>
      <c r="AK13" s="485">
        <f t="shared" si="5"/>
        <v>0</v>
      </c>
      <c r="AL13" s="1716"/>
      <c r="AM13" s="1395">
        <f>'[3]Phụ lục số 1-1'!AT46</f>
        <v>0</v>
      </c>
      <c r="AN13" s="1395">
        <f>'[3]Phụ lục số 1-1'!AU46</f>
        <v>0</v>
      </c>
      <c r="AO13" s="1395">
        <f>SUM(AR13,AS13)</f>
        <v>0</v>
      </c>
      <c r="AP13" s="485">
        <f t="shared" si="7"/>
        <v>0</v>
      </c>
      <c r="AQ13" s="1716"/>
      <c r="AR13" s="1395">
        <f>0</f>
        <v>0</v>
      </c>
      <c r="AS13" s="1395">
        <f>'[3]Phụ lục số 1-1'!AZ46</f>
        <v>0</v>
      </c>
      <c r="AT13" s="1395">
        <f>SUM(AW13,AX13)</f>
        <v>0</v>
      </c>
      <c r="AU13" s="485">
        <f t="shared" si="17"/>
        <v>0</v>
      </c>
      <c r="AV13" s="1716"/>
      <c r="AW13" s="1395">
        <f>'[3]Phụ lục số 1-1'!BD46</f>
        <v>0</v>
      </c>
      <c r="AX13" s="1395">
        <f>0</f>
        <v>0</v>
      </c>
      <c r="AY13" s="1395">
        <f>SUM(BB13,BC13)</f>
        <v>0</v>
      </c>
      <c r="AZ13" s="485">
        <f t="shared" si="18"/>
        <v>0</v>
      </c>
      <c r="BA13" s="1716"/>
      <c r="BB13" s="1395">
        <f>'[3]Phụ lục số 1-1'!BI46</f>
        <v>0</v>
      </c>
      <c r="BC13" s="1395">
        <f>'[3]Phụ lục số 1-1'!BJ46</f>
        <v>0</v>
      </c>
    </row>
    <row r="14" spans="1:55" s="289" customFormat="1">
      <c r="A14" s="1127" t="s">
        <v>20</v>
      </c>
      <c r="B14" s="1128" t="s">
        <v>33</v>
      </c>
      <c r="C14" s="439">
        <f>SUM(C15:C17,C25,C26,C27)</f>
        <v>9140657</v>
      </c>
      <c r="D14" s="439">
        <f>SUM(D15:D17,D25,D26,D27)</f>
        <v>3100034</v>
      </c>
      <c r="E14" s="439">
        <f>SUM(E15:E17,E25,E26,E27)</f>
        <v>6040623</v>
      </c>
      <c r="F14" s="336">
        <f>SUM(F15,F16,F17,F25,F26,F27)</f>
        <v>9458532</v>
      </c>
      <c r="G14" s="1129">
        <f t="shared" si="3"/>
        <v>62.915630215790209</v>
      </c>
      <c r="H14" s="1129">
        <f t="shared" si="0"/>
        <v>103.47759466305322</v>
      </c>
      <c r="I14" s="336">
        <f>SUM(I15,I16,I17,I25,I26,I27)</f>
        <v>3204585</v>
      </c>
      <c r="J14" s="336">
        <f>SUM(J15,J16,J17,J25,J26,J27)</f>
        <v>6253947</v>
      </c>
      <c r="K14" s="336">
        <f>SUM(K15,K16,K17,K25,K26,K27)</f>
        <v>9353865</v>
      </c>
      <c r="L14" s="1130">
        <f>K14/$K$7*100</f>
        <v>59.126851810003735</v>
      </c>
      <c r="M14" s="1129">
        <f>K14/C14%</f>
        <v>102.33252379998505</v>
      </c>
      <c r="N14" s="336">
        <f>SUM(N15,N16,N17,N25,N26,N27)</f>
        <v>3168035</v>
      </c>
      <c r="O14" s="336">
        <f>SUM(O15,O16,O17,O25,O26,O27)</f>
        <v>6185830</v>
      </c>
      <c r="P14" s="336">
        <f>SUM(P15,P16,P17,P25,P26,P27)</f>
        <v>9353865</v>
      </c>
      <c r="Q14" s="591">
        <f t="shared" si="12"/>
        <v>54.094555246796311</v>
      </c>
      <c r="R14" s="1537">
        <f>P14/K14%</f>
        <v>100</v>
      </c>
      <c r="S14" s="336">
        <f>SUM(S15,S16,S17,S25,S26,S27)</f>
        <v>3168035</v>
      </c>
      <c r="T14" s="336">
        <f>SUM(T15,T16,T17,T25,T26,T27)</f>
        <v>6185830</v>
      </c>
      <c r="U14" s="336">
        <f>SUM(U15,U16,U17,U25,U26,U27)</f>
        <v>10664978.394711081</v>
      </c>
      <c r="V14" s="1129">
        <f t="shared" si="14"/>
        <v>57.439239061088401</v>
      </c>
      <c r="W14" s="1129">
        <f>U14/K14%</f>
        <v>114.01680903787987</v>
      </c>
      <c r="X14" s="336">
        <f>SUM(X15,X16,X17,X25,X26,X27)</f>
        <v>3294440</v>
      </c>
      <c r="Y14" s="336">
        <f>SUM(Y15,Y16,Y17,Y25,Y26,Y27)</f>
        <v>7370538.3947110809</v>
      </c>
      <c r="Z14" s="336">
        <f>SUM(Z15,Z16,Z17,Z25,Z26,Z27)</f>
        <v>11071000</v>
      </c>
      <c r="AA14" s="1129">
        <f t="shared" si="19"/>
        <v>57.011801109075044</v>
      </c>
      <c r="AB14" s="1129">
        <f t="shared" si="20"/>
        <v>103.80705511311932</v>
      </c>
      <c r="AC14" s="1495">
        <f>SUM(AC15,AC16,AC17,AC25,AC26,AC27)</f>
        <v>3701000</v>
      </c>
      <c r="AD14" s="1495">
        <f>SUM(AD15,AD16,AD17,AD25,AD26,AD27)</f>
        <v>7370000</v>
      </c>
      <c r="AE14" s="1495">
        <f>SUM(AE15,AE16,AE17,AE25,AE26,AE27)</f>
        <v>11373000</v>
      </c>
      <c r="AF14" s="1699">
        <f>AE14/$AE$7*100</f>
        <v>55.806654925317353</v>
      </c>
      <c r="AG14" s="1699">
        <f>AE14/Z14%</f>
        <v>102.72784752958179</v>
      </c>
      <c r="AH14" s="1495">
        <f>SUM(AH15,AH16,AH17,AH25,AH26,AH27)</f>
        <v>4003000</v>
      </c>
      <c r="AI14" s="1495">
        <f>SUM(AI15,AI16,AI17,AI25,AI26,AI27)</f>
        <v>7370000</v>
      </c>
      <c r="AJ14" s="337">
        <f>SUM(AJ15,AJ16,AJ17,AJ25,AJ26,AJ27)</f>
        <v>11670000</v>
      </c>
      <c r="AK14" s="439">
        <f t="shared" si="5"/>
        <v>55.725334163063863</v>
      </c>
      <c r="AL14" s="1715">
        <f t="shared" ref="AL14:AL30" si="23">AJ14/AE14%</f>
        <v>102.61144816671063</v>
      </c>
      <c r="AM14" s="337">
        <f>SUM(AM15,AM16,AM17,AM25,AM26,AM27)</f>
        <v>4131000</v>
      </c>
      <c r="AN14" s="337">
        <f>SUM(AN15,AN16,AN17,AN25,AN26,AN27)</f>
        <v>7539000</v>
      </c>
      <c r="AO14" s="337">
        <f>SUM(AO15,AO16,AO17,AO25,AO26,AO27)</f>
        <v>12010000</v>
      </c>
      <c r="AP14" s="439">
        <f t="shared" si="7"/>
        <v>55.009000022831387</v>
      </c>
      <c r="AQ14" s="1715">
        <f t="shared" ref="AQ14:AQ29" si="24">AO14/AJ14%</f>
        <v>102.91345329905741</v>
      </c>
      <c r="AR14" s="337">
        <f>SUM(AR15,AR16,AR17,AR25,AR26,AR27)</f>
        <v>4211000</v>
      </c>
      <c r="AS14" s="337">
        <f>SUM(AS15,AS16,AS17,AS25,AS26,AS27)</f>
        <v>7799000</v>
      </c>
      <c r="AT14" s="337">
        <f>SUM(AT15,AT16,AT17,AT25,AT26,AT27)</f>
        <v>12383000</v>
      </c>
      <c r="AU14" s="439">
        <f t="shared" si="17"/>
        <v>54.234088657779033</v>
      </c>
      <c r="AV14" s="1715">
        <f t="shared" ref="AV14:AV29" si="25">AT14/AO14%</f>
        <v>103.10574521232306</v>
      </c>
      <c r="AW14" s="337">
        <f>SUM(AW15,AW16,AW17,AW25,AW26,AW27)</f>
        <v>4350000</v>
      </c>
      <c r="AX14" s="337">
        <f>SUM(AX15,AX16,AX17,AX25,AX26,AX27)</f>
        <v>8033000</v>
      </c>
      <c r="AY14" s="337">
        <f>SUM(AY15,AY16,AY17,AY25,AY26,AY27)</f>
        <v>12801000</v>
      </c>
      <c r="AZ14" s="439">
        <f t="shared" si="18"/>
        <v>53.307901319102214</v>
      </c>
      <c r="BA14" s="1715">
        <f t="shared" ref="BA14:BA29" si="26">AY14/AT14%</f>
        <v>103.37559557457806</v>
      </c>
      <c r="BB14" s="337">
        <f>SUM(BB15,BB16,BB17,BB25,BB26,BB27)</f>
        <v>4497000</v>
      </c>
      <c r="BC14" s="337">
        <f>SUM(BC15,BC16,BC17,BC25,BC26,BC27)</f>
        <v>8304000</v>
      </c>
    </row>
    <row r="15" spans="1:55" s="289" customFormat="1">
      <c r="A15" s="1127">
        <v>1</v>
      </c>
      <c r="B15" s="1128" t="s">
        <v>63</v>
      </c>
      <c r="C15" s="439">
        <f t="shared" ref="C15:C36" si="27">D15+E15</f>
        <v>1709255</v>
      </c>
      <c r="D15" s="439">
        <v>509599</v>
      </c>
      <c r="E15" s="439">
        <v>1199656</v>
      </c>
      <c r="F15" s="336">
        <f>I15+J15</f>
        <v>1779657</v>
      </c>
      <c r="G15" s="1129">
        <f>F15/$F$7*100</f>
        <v>11.837803342309625</v>
      </c>
      <c r="H15" s="1129">
        <f t="shared" si="0"/>
        <v>104.11887050206083</v>
      </c>
      <c r="I15" s="336">
        <f>D15</f>
        <v>509599</v>
      </c>
      <c r="J15" s="336">
        <f>E15+70402</f>
        <v>1270058</v>
      </c>
      <c r="K15" s="336">
        <f>N15+O15</f>
        <v>1793642</v>
      </c>
      <c r="L15" s="1130">
        <f t="shared" si="11"/>
        <v>11.337816478450215</v>
      </c>
      <c r="M15" s="1538">
        <f t="shared" si="21"/>
        <v>104.93706322345116</v>
      </c>
      <c r="N15" s="336">
        <f>'Phụ lục số 2'!D16</f>
        <v>540000</v>
      </c>
      <c r="O15" s="336">
        <f>'Phụ lục số 2'!E16</f>
        <v>1253642</v>
      </c>
      <c r="P15" s="336">
        <f>S15+T15</f>
        <v>1793642</v>
      </c>
      <c r="Q15" s="591">
        <f t="shared" si="12"/>
        <v>10.372852960992514</v>
      </c>
      <c r="R15" s="1537">
        <f t="shared" ref="R15:R38" si="28">P15/K15%</f>
        <v>100.00000000000001</v>
      </c>
      <c r="S15" s="336">
        <f>'Phụ lục số 2'!S16</f>
        <v>540000</v>
      </c>
      <c r="T15" s="336">
        <f>'Phụ lục số 2'!T16</f>
        <v>1253642</v>
      </c>
      <c r="U15" s="336">
        <f>X15+Y15</f>
        <v>2068978.6115313373</v>
      </c>
      <c r="V15" s="1129">
        <f t="shared" si="14"/>
        <v>11.143065900533095</v>
      </c>
      <c r="W15" s="1129">
        <f t="shared" si="22"/>
        <v>115.35070050385403</v>
      </c>
      <c r="X15" s="336">
        <f>'Phụ lục số 2'!AA16</f>
        <v>545710</v>
      </c>
      <c r="Y15" s="336">
        <f>'Phụ lục số 2'!AB16</f>
        <v>1523268.6115313373</v>
      </c>
      <c r="Z15" s="336">
        <f>SUM(AC15,AD15)</f>
        <v>2136000</v>
      </c>
      <c r="AA15" s="1129">
        <f t="shared" si="19"/>
        <v>10.999657408453103</v>
      </c>
      <c r="AB15" s="1129">
        <f t="shared" si="20"/>
        <v>103.23934660779589</v>
      </c>
      <c r="AC15" s="183">
        <f>'Phụ lục số 2'!AF16</f>
        <v>613000</v>
      </c>
      <c r="AD15" s="183">
        <f>'Phụ lục số 2'!AG16</f>
        <v>1523000</v>
      </c>
      <c r="AE15" s="1495">
        <f>SUM(AH15,AI15)</f>
        <v>2186000</v>
      </c>
      <c r="AF15" s="1699">
        <f t="shared" ref="AF15:AF36" si="29">AE15/$AE$7*100</f>
        <v>10.726575896135033</v>
      </c>
      <c r="AG15" s="1699">
        <f t="shared" ref="AG15:AG30" si="30">AE15/Z15%</f>
        <v>102.34082397003745</v>
      </c>
      <c r="AH15" s="183">
        <f>'Phụ lục số 2'!AK16</f>
        <v>663000</v>
      </c>
      <c r="AI15" s="183">
        <f>'Phụ lục số 2'!AL16</f>
        <v>1523000</v>
      </c>
      <c r="AJ15" s="337">
        <f>SUM(AM15,AN15)</f>
        <v>2242000</v>
      </c>
      <c r="AK15" s="439">
        <f t="shared" si="5"/>
        <v>10.7057582856546</v>
      </c>
      <c r="AL15" s="1715">
        <f t="shared" si="23"/>
        <v>102.56175663311986</v>
      </c>
      <c r="AM15" s="337">
        <f>ROUND(INT(AH15*$AM$44),-3)</f>
        <v>684000</v>
      </c>
      <c r="AN15" s="337">
        <f>ROUND(INT(AI15*$AN$44),-3)</f>
        <v>1558000</v>
      </c>
      <c r="AO15" s="337">
        <f>SUM(AR15,AS15)</f>
        <v>2309000</v>
      </c>
      <c r="AP15" s="439">
        <f t="shared" si="7"/>
        <v>10.57583522503894</v>
      </c>
      <c r="AQ15" s="1715">
        <f t="shared" si="24"/>
        <v>102.98840321141837</v>
      </c>
      <c r="AR15" s="337">
        <f>ROUND(INT(AM15*$AR$44),-3)</f>
        <v>697000</v>
      </c>
      <c r="AS15" s="337">
        <f>ROUND(INT(AN15*$AS$44),-3)</f>
        <v>1612000</v>
      </c>
      <c r="AT15" s="337">
        <f>SUM(AW15,AX15)</f>
        <v>2380000</v>
      </c>
      <c r="AU15" s="439">
        <f t="shared" si="17"/>
        <v>10.423736655536954</v>
      </c>
      <c r="AV15" s="1715">
        <f t="shared" si="25"/>
        <v>103.07492420961455</v>
      </c>
      <c r="AW15" s="337">
        <f>ROUND(INT(AR15*$AW$44),-3)</f>
        <v>720000</v>
      </c>
      <c r="AX15" s="337">
        <f>ROUND(INT(AS15*$AX$44),-3)</f>
        <v>1660000</v>
      </c>
      <c r="AY15" s="337">
        <f>SUM(BB15,BC15)</f>
        <v>2460000</v>
      </c>
      <c r="AZ15" s="439">
        <f t="shared" si="18"/>
        <v>10.244311947894028</v>
      </c>
      <c r="BA15" s="1715">
        <f t="shared" si="26"/>
        <v>103.36134453781513</v>
      </c>
      <c r="BB15" s="337">
        <f>ROUND(INT(AW15*$BB$44),-3)</f>
        <v>744000</v>
      </c>
      <c r="BC15" s="337">
        <f>ROUND(INT(AX15*$BC$44),-3)</f>
        <v>1716000</v>
      </c>
    </row>
    <row r="16" spans="1:55" s="289" customFormat="1">
      <c r="A16" s="1127">
        <v>2</v>
      </c>
      <c r="B16" s="1128" t="s">
        <v>89</v>
      </c>
      <c r="C16" s="439">
        <f t="shared" si="27"/>
        <v>133115</v>
      </c>
      <c r="D16" s="337">
        <v>62000</v>
      </c>
      <c r="E16" s="337">
        <v>71115</v>
      </c>
      <c r="F16" s="336">
        <f>I16+J16</f>
        <v>133115</v>
      </c>
      <c r="G16" s="1129">
        <f t="shared" si="3"/>
        <v>0.88544544927002555</v>
      </c>
      <c r="H16" s="1129">
        <f>F16/C16*100</f>
        <v>100</v>
      </c>
      <c r="I16" s="336">
        <f>D16</f>
        <v>62000</v>
      </c>
      <c r="J16" s="336">
        <f>E16</f>
        <v>71115</v>
      </c>
      <c r="K16" s="336">
        <f>N16+O16</f>
        <v>136670</v>
      </c>
      <c r="L16" s="1130">
        <f>K16/$K$7*100</f>
        <v>0.86390672057734519</v>
      </c>
      <c r="M16" s="1129">
        <f>K16/C16%</f>
        <v>102.67062314540058</v>
      </c>
      <c r="N16" s="336">
        <f>'Phụ lục số 2'!D17</f>
        <v>62000</v>
      </c>
      <c r="O16" s="336">
        <f>'Phụ lục số 2'!E17</f>
        <v>74670</v>
      </c>
      <c r="P16" s="336">
        <f>S16+T16</f>
        <v>136670</v>
      </c>
      <c r="Q16" s="591">
        <f t="shared" si="12"/>
        <v>0.79037947047339818</v>
      </c>
      <c r="R16" s="1537">
        <f t="shared" si="28"/>
        <v>100</v>
      </c>
      <c r="S16" s="336">
        <f>'Phụ lục số 2'!S17</f>
        <v>62000</v>
      </c>
      <c r="T16" s="336">
        <f>'Phụ lục số 2'!T17</f>
        <v>74670</v>
      </c>
      <c r="U16" s="336">
        <f>X16+Y16</f>
        <v>151965</v>
      </c>
      <c r="V16" s="1129">
        <f t="shared" si="14"/>
        <v>0.8184502247324773</v>
      </c>
      <c r="W16" s="1129">
        <f t="shared" si="22"/>
        <v>111.1911904587693</v>
      </c>
      <c r="X16" s="336">
        <f>'Phụ lục số 2'!AA17</f>
        <v>67965</v>
      </c>
      <c r="Y16" s="336">
        <f>'Phụ lục số 2'!AB17</f>
        <v>84000</v>
      </c>
      <c r="Z16" s="336">
        <f>SUM(AC16,AD16)</f>
        <v>160000</v>
      </c>
      <c r="AA16" s="1129">
        <f t="shared" si="19"/>
        <v>0.8239443751650265</v>
      </c>
      <c r="AB16" s="1129">
        <f t="shared" si="20"/>
        <v>105.28740170433981</v>
      </c>
      <c r="AC16" s="183">
        <f>'Phụ lục số 2'!AF17</f>
        <v>76000</v>
      </c>
      <c r="AD16" s="183">
        <f>'Phụ lục số 2'!AG17</f>
        <v>84000</v>
      </c>
      <c r="AE16" s="1495">
        <f>SUM(AH16,AI16)</f>
        <v>166000</v>
      </c>
      <c r="AF16" s="1699">
        <f t="shared" si="29"/>
        <v>0.8145524239516998</v>
      </c>
      <c r="AG16" s="1699">
        <f t="shared" si="30"/>
        <v>103.75</v>
      </c>
      <c r="AH16" s="183">
        <f>'Phụ lục số 2'!AK17</f>
        <v>82000</v>
      </c>
      <c r="AI16" s="183">
        <f>'Phụ lục số 2'!AL17</f>
        <v>84000</v>
      </c>
      <c r="AJ16" s="337">
        <f>SUM(AM16,AN16)</f>
        <v>171000</v>
      </c>
      <c r="AK16" s="439">
        <f t="shared" si="5"/>
        <v>0.8165408861939949</v>
      </c>
      <c r="AL16" s="1715">
        <f t="shared" si="23"/>
        <v>103.01204819277109</v>
      </c>
      <c r="AM16" s="337">
        <f>ROUND(INT(AH16*$AM$44),-3)</f>
        <v>85000</v>
      </c>
      <c r="AN16" s="337">
        <f>ROUND(INT(AI16*$AN$44),-3)</f>
        <v>86000</v>
      </c>
      <c r="AO16" s="337">
        <f>SUM(AR16,AS16)</f>
        <v>176000</v>
      </c>
      <c r="AP16" s="439">
        <f t="shared" si="7"/>
        <v>0.80612689458936937</v>
      </c>
      <c r="AQ16" s="1715">
        <f t="shared" si="24"/>
        <v>102.92397660818713</v>
      </c>
      <c r="AR16" s="337">
        <f>ROUND(INT(AM16*$AR$44),-3)</f>
        <v>87000</v>
      </c>
      <c r="AS16" s="337">
        <f>ROUND(INT(AN16*$AS$44),-3)</f>
        <v>89000</v>
      </c>
      <c r="AT16" s="337">
        <f>SUM(AW16,AX16)</f>
        <v>182000</v>
      </c>
      <c r="AU16" s="439">
        <f t="shared" si="17"/>
        <v>0.79710927365870821</v>
      </c>
      <c r="AV16" s="1715">
        <f t="shared" si="25"/>
        <v>103.40909090909091</v>
      </c>
      <c r="AW16" s="337">
        <f>ROUND(INT(AR16*$AW$44),-3)</f>
        <v>90000</v>
      </c>
      <c r="AX16" s="337">
        <f>ROUND(INT(AS16*$AX$44),-3)</f>
        <v>92000</v>
      </c>
      <c r="AY16" s="337">
        <f>SUM(BB16,BC16)</f>
        <v>188000</v>
      </c>
      <c r="AZ16" s="439">
        <f t="shared" si="18"/>
        <v>0.78289863666832404</v>
      </c>
      <c r="BA16" s="1715">
        <f t="shared" si="26"/>
        <v>103.2967032967033</v>
      </c>
      <c r="BB16" s="337">
        <f>ROUND(INT(AW16*$BB$44),-3)</f>
        <v>93000</v>
      </c>
      <c r="BC16" s="337">
        <f>ROUND(INT(AX16*$BC$44),-3)</f>
        <v>95000</v>
      </c>
    </row>
    <row r="17" spans="1:55" s="289" customFormat="1">
      <c r="A17" s="1127">
        <v>3</v>
      </c>
      <c r="B17" s="1128" t="s">
        <v>38</v>
      </c>
      <c r="C17" s="439">
        <f>SUM(C18:C24)</f>
        <v>5566019</v>
      </c>
      <c r="D17" s="439">
        <f>SUM(D18:D24)</f>
        <v>1908435</v>
      </c>
      <c r="E17" s="439">
        <f>SUM(E18:E24)</f>
        <v>3657584</v>
      </c>
      <c r="F17" s="336">
        <f>SUM(F18:F24)</f>
        <v>5783492</v>
      </c>
      <c r="G17" s="1129">
        <f t="shared" si="3"/>
        <v>38.470245068471613</v>
      </c>
      <c r="H17" s="1129">
        <f t="shared" si="0"/>
        <v>103.90715518578</v>
      </c>
      <c r="I17" s="336">
        <f>SUM(I18:I24)</f>
        <v>2012986</v>
      </c>
      <c r="J17" s="336">
        <f>SUM(J18:J24)</f>
        <v>3770506</v>
      </c>
      <c r="K17" s="336">
        <f>SUM(K18:K24)</f>
        <v>5659998</v>
      </c>
      <c r="L17" s="1130">
        <f t="shared" si="11"/>
        <v>35.777495504897445</v>
      </c>
      <c r="M17" s="1129">
        <f t="shared" si="21"/>
        <v>101.68844195465377</v>
      </c>
      <c r="N17" s="336">
        <f>SUM(N18:N24)</f>
        <v>1951035</v>
      </c>
      <c r="O17" s="336">
        <f>SUM(O18:O24)</f>
        <v>3708963</v>
      </c>
      <c r="P17" s="336">
        <f>SUM(P18:P24)</f>
        <v>5659998</v>
      </c>
      <c r="Q17" s="591">
        <f t="shared" si="12"/>
        <v>32.732466687060018</v>
      </c>
      <c r="R17" s="1537">
        <f t="shared" si="28"/>
        <v>100</v>
      </c>
      <c r="S17" s="336">
        <f>SUM(S18:S24)</f>
        <v>1951035</v>
      </c>
      <c r="T17" s="336">
        <f>SUM(T18:T24)</f>
        <v>3708963</v>
      </c>
      <c r="U17" s="336">
        <f>SUM(U18:U24)</f>
        <v>6454249.7831797441</v>
      </c>
      <c r="V17" s="1129">
        <f t="shared" si="14"/>
        <v>34.761176491448715</v>
      </c>
      <c r="W17" s="1129">
        <f>U17/K17%</f>
        <v>114.03272197586897</v>
      </c>
      <c r="X17" s="336">
        <f>SUM(X18:X24)</f>
        <v>1996980</v>
      </c>
      <c r="Y17" s="336">
        <f>SUM(Y18:Y24)</f>
        <v>4457269.7831797441</v>
      </c>
      <c r="Z17" s="336">
        <f>SUM(Z18:Z24)</f>
        <v>6701000</v>
      </c>
      <c r="AA17" s="1129">
        <f t="shared" si="19"/>
        <v>34.507820362380265</v>
      </c>
      <c r="AB17" s="1129">
        <f t="shared" si="20"/>
        <v>103.82306581104601</v>
      </c>
      <c r="AC17" s="1495">
        <f>SUM(AC18:AC24)</f>
        <v>2244000</v>
      </c>
      <c r="AD17" s="1495">
        <f>SUM(AD18:AD24)</f>
        <v>4457000</v>
      </c>
      <c r="AE17" s="1495">
        <f>SUM(AE18:AE24)</f>
        <v>6884000</v>
      </c>
      <c r="AF17" s="1699">
        <f t="shared" si="29"/>
        <v>33.779390882430725</v>
      </c>
      <c r="AG17" s="1699">
        <f t="shared" si="30"/>
        <v>102.7309356812416</v>
      </c>
      <c r="AH17" s="1495">
        <f>SUM(AH18:AH24)</f>
        <v>2427000</v>
      </c>
      <c r="AI17" s="1495">
        <f>SUM(AI18:AI24)</f>
        <v>4457000</v>
      </c>
      <c r="AJ17" s="337">
        <f>SUM(AJ18:AJ24)</f>
        <v>7063000</v>
      </c>
      <c r="AK17" s="439">
        <f t="shared" si="5"/>
        <v>33.726481164843193</v>
      </c>
      <c r="AL17" s="1715">
        <f t="shared" si="23"/>
        <v>102.60023242300988</v>
      </c>
      <c r="AM17" s="337">
        <f>SUM(AM18:AM24)</f>
        <v>2504000</v>
      </c>
      <c r="AN17" s="337">
        <f>SUM(AN18:AN24)</f>
        <v>4559000</v>
      </c>
      <c r="AO17" s="337">
        <f>SUM(AO18:AO24)</f>
        <v>7268000</v>
      </c>
      <c r="AP17" s="439">
        <f t="shared" si="7"/>
        <v>33.289376533383724</v>
      </c>
      <c r="AQ17" s="1715">
        <f t="shared" si="24"/>
        <v>102.90244938411441</v>
      </c>
      <c r="AR17" s="337">
        <f>SUM(AR18:AR24)</f>
        <v>2552000</v>
      </c>
      <c r="AS17" s="337">
        <f>SUM(AS18:AS24)</f>
        <v>4716000</v>
      </c>
      <c r="AT17" s="337">
        <f>SUM(AT18:AT24)</f>
        <v>7494000</v>
      </c>
      <c r="AU17" s="439">
        <f t="shared" si="17"/>
        <v>32.821631301089887</v>
      </c>
      <c r="AV17" s="1715">
        <f t="shared" si="25"/>
        <v>103.1095211887727</v>
      </c>
      <c r="AW17" s="337">
        <f>SUM(AW18:AW24)</f>
        <v>2636000</v>
      </c>
      <c r="AX17" s="337">
        <f>SUM(AX18:AX24)</f>
        <v>4858000</v>
      </c>
      <c r="AY17" s="337">
        <f>SUM(AY18:AY24)</f>
        <v>7747000</v>
      </c>
      <c r="AZ17" s="439">
        <f t="shared" si="18"/>
        <v>32.261253926965459</v>
      </c>
      <c r="BA17" s="1715">
        <f t="shared" si="26"/>
        <v>103.37603416066186</v>
      </c>
      <c r="BB17" s="337">
        <f>SUM(BB18:BB24)</f>
        <v>2725000</v>
      </c>
      <c r="BC17" s="337">
        <f>SUM(BC18:BC24)</f>
        <v>5022000</v>
      </c>
    </row>
    <row r="18" spans="1:55">
      <c r="A18" s="1131" t="s">
        <v>34</v>
      </c>
      <c r="B18" s="1132" t="s">
        <v>99</v>
      </c>
      <c r="C18" s="485">
        <f t="shared" si="27"/>
        <v>31000</v>
      </c>
      <c r="D18" s="485">
        <v>31000</v>
      </c>
      <c r="E18" s="485">
        <v>0</v>
      </c>
      <c r="F18" s="51">
        <f>SUM(I18,J18)</f>
        <v>31000</v>
      </c>
      <c r="G18" s="1133">
        <f>F18/$F$7*100</f>
        <v>0.20620372555587868</v>
      </c>
      <c r="H18" s="1133">
        <f t="shared" si="0"/>
        <v>100</v>
      </c>
      <c r="I18" s="51">
        <f t="shared" ref="I18:J23" si="31">D18</f>
        <v>31000</v>
      </c>
      <c r="J18" s="51">
        <f t="shared" si="31"/>
        <v>0</v>
      </c>
      <c r="K18" s="51">
        <f t="shared" ref="K18:K27" si="32">N18+O18</f>
        <v>31000</v>
      </c>
      <c r="L18" s="1134">
        <f t="shared" si="11"/>
        <v>0.19595454992242414</v>
      </c>
      <c r="M18" s="1133">
        <f>K18/C18%</f>
        <v>100</v>
      </c>
      <c r="N18" s="51">
        <f>'Phụ lục số 2'!D19</f>
        <v>31000</v>
      </c>
      <c r="O18" s="51">
        <f>'Phụ lục số 2'!E19</f>
        <v>0</v>
      </c>
      <c r="P18" s="51">
        <f>S18+T18</f>
        <v>31000</v>
      </c>
      <c r="Q18" s="1655">
        <f t="shared" si="12"/>
        <v>0.17927682435556699</v>
      </c>
      <c r="R18" s="1690">
        <f t="shared" si="28"/>
        <v>100</v>
      </c>
      <c r="S18" s="51">
        <f>'Phụ lục số 2'!S19</f>
        <v>31000</v>
      </c>
      <c r="T18" s="51">
        <f>'Phụ lục số 2'!T19</f>
        <v>0</v>
      </c>
      <c r="U18" s="51">
        <f>X18+Y18</f>
        <v>31218</v>
      </c>
      <c r="V18" s="1133">
        <f t="shared" si="14"/>
        <v>0.16813331435329501</v>
      </c>
      <c r="W18" s="1133">
        <f t="shared" si="22"/>
        <v>100.70322580645161</v>
      </c>
      <c r="X18" s="51">
        <f>'Phụ lục số 2'!AA19</f>
        <v>31218</v>
      </c>
      <c r="Y18" s="51">
        <f>'Phụ lục số 2'!AB19</f>
        <v>0</v>
      </c>
      <c r="Z18" s="51">
        <f>AC18+AD18</f>
        <v>35000</v>
      </c>
      <c r="AA18" s="1133">
        <f t="shared" si="19"/>
        <v>0.18023783206734956</v>
      </c>
      <c r="AB18" s="1133">
        <f t="shared" si="20"/>
        <v>112.11480556089435</v>
      </c>
      <c r="AC18" s="183">
        <f>'Phụ lục số 2'!AF19</f>
        <v>35000</v>
      </c>
      <c r="AD18" s="183">
        <f>'Phụ lục số 2'!AG19</f>
        <v>0</v>
      </c>
      <c r="AE18" s="183">
        <f>AH18+AI18</f>
        <v>38000</v>
      </c>
      <c r="AF18" s="1700">
        <f t="shared" si="29"/>
        <v>0.18646380789255776</v>
      </c>
      <c r="AG18" s="1700">
        <f t="shared" si="30"/>
        <v>108.57142857142857</v>
      </c>
      <c r="AH18" s="183">
        <f>'Phụ lục số 2'!AK19</f>
        <v>38000</v>
      </c>
      <c r="AI18" s="183">
        <f>'Phụ lục số 2'!AL19</f>
        <v>0</v>
      </c>
      <c r="AJ18" s="1395">
        <f>AM18+AN18</f>
        <v>39000</v>
      </c>
      <c r="AK18" s="485">
        <f t="shared" si="5"/>
        <v>0.18622862316705147</v>
      </c>
      <c r="AL18" s="1716">
        <f t="shared" si="23"/>
        <v>102.63157894736842</v>
      </c>
      <c r="AM18" s="1395">
        <f t="shared" ref="AM18:AM27" si="33">ROUND(INT(AH18*$AM$44),-3)</f>
        <v>39000</v>
      </c>
      <c r="AN18" s="1395">
        <f t="shared" ref="AN18:AN27" si="34">ROUND(INT(AI18*$AN$44),-3)</f>
        <v>0</v>
      </c>
      <c r="AO18" s="1395">
        <f>AR18+AS18</f>
        <v>40000</v>
      </c>
      <c r="AP18" s="485">
        <f t="shared" si="7"/>
        <v>0.18321065786122029</v>
      </c>
      <c r="AQ18" s="1716">
        <f t="shared" si="24"/>
        <v>102.56410256410257</v>
      </c>
      <c r="AR18" s="1395">
        <f t="shared" ref="AR18:AR27" si="35">ROUND(INT(AM18*$AR$44),-3)</f>
        <v>40000</v>
      </c>
      <c r="AS18" s="1395">
        <f t="shared" ref="AS18:AS27" si="36">ROUND(INT(AN18*$AS$44),-3)</f>
        <v>0</v>
      </c>
      <c r="AT18" s="1395">
        <f>AW18+AX18</f>
        <v>41000</v>
      </c>
      <c r="AU18" s="485">
        <f t="shared" si="17"/>
        <v>0.17956857263740131</v>
      </c>
      <c r="AV18" s="1716">
        <f t="shared" si="25"/>
        <v>102.5</v>
      </c>
      <c r="AW18" s="1395">
        <f t="shared" ref="AW18:AW29" si="37">ROUND(INT(AR18*$AW$44),-3)</f>
        <v>41000</v>
      </c>
      <c r="AX18" s="1395">
        <f t="shared" ref="AX18:AX29" si="38">ROUND(INT(AS18*$AX$44),-3)</f>
        <v>0</v>
      </c>
      <c r="AY18" s="1395">
        <f>BB18+BC18</f>
        <v>42000</v>
      </c>
      <c r="AZ18" s="485">
        <f t="shared" si="18"/>
        <v>0.1749028869152639</v>
      </c>
      <c r="BA18" s="1716">
        <f t="shared" si="26"/>
        <v>102.4390243902439</v>
      </c>
      <c r="BB18" s="1395">
        <f t="shared" ref="BB18:BB29" si="39">ROUND(INT(AW18*$BB$44),-3)</f>
        <v>42000</v>
      </c>
      <c r="BC18" s="1395">
        <f t="shared" ref="BC18:BC29" si="40">ROUND(INT(AX18*$BC$44),-3)</f>
        <v>0</v>
      </c>
    </row>
    <row r="19" spans="1:55">
      <c r="A19" s="1131" t="s">
        <v>35</v>
      </c>
      <c r="B19" s="1132" t="s">
        <v>86</v>
      </c>
      <c r="C19" s="485">
        <f t="shared" si="27"/>
        <v>4090257</v>
      </c>
      <c r="D19" s="485">
        <v>954435</v>
      </c>
      <c r="E19" s="485">
        <v>3135822</v>
      </c>
      <c r="F19" s="51">
        <f>SUM(I19,J19)</f>
        <v>4090257</v>
      </c>
      <c r="G19" s="1133">
        <f t="shared" si="3"/>
        <v>27.207297802613279</v>
      </c>
      <c r="H19" s="1133">
        <f t="shared" si="0"/>
        <v>100</v>
      </c>
      <c r="I19" s="51">
        <f>D19</f>
        <v>954435</v>
      </c>
      <c r="J19" s="51">
        <f>E19</f>
        <v>3135822</v>
      </c>
      <c r="K19" s="51">
        <f>4179745</f>
        <v>4179745</v>
      </c>
      <c r="L19" s="1134">
        <f>K19/$K$7*100</f>
        <v>26.420646782758151</v>
      </c>
      <c r="M19" s="1133">
        <f t="shared" si="21"/>
        <v>102.18783318505415</v>
      </c>
      <c r="N19" s="51">
        <f>'Phụ lục số 2'!D20</f>
        <v>1017035</v>
      </c>
      <c r="O19" s="51">
        <f>'Phụ lục số 2'!E20</f>
        <v>3162710</v>
      </c>
      <c r="P19" s="51">
        <f>S19+T19</f>
        <v>4179745</v>
      </c>
      <c r="Q19" s="1655">
        <f t="shared" si="12"/>
        <v>24.171980974711595</v>
      </c>
      <c r="R19" s="1690">
        <f t="shared" si="28"/>
        <v>100</v>
      </c>
      <c r="S19" s="51">
        <f>'Phụ lục số 2'!S20</f>
        <v>1017035</v>
      </c>
      <c r="T19" s="51">
        <f>'Phụ lục số 2'!T20</f>
        <v>3162710</v>
      </c>
      <c r="U19" s="51">
        <f>X19+Y19</f>
        <v>4797945.7831797441</v>
      </c>
      <c r="V19" s="1133">
        <f t="shared" si="14"/>
        <v>25.840685713800564</v>
      </c>
      <c r="W19" s="1133">
        <f>U19/K19%</f>
        <v>114.79039470541252</v>
      </c>
      <c r="X19" s="51">
        <f>'Phụ lục số 2'!AA20</f>
        <v>956676</v>
      </c>
      <c r="Y19" s="51">
        <f>'Phụ lục số 2'!AB20</f>
        <v>3841269.7831797441</v>
      </c>
      <c r="Z19" s="51">
        <f>AC19+AD19</f>
        <v>4916000</v>
      </c>
      <c r="AA19" s="1133">
        <f t="shared" si="19"/>
        <v>25.31569092694544</v>
      </c>
      <c r="AB19" s="1133">
        <f t="shared" si="20"/>
        <v>102.46051585730962</v>
      </c>
      <c r="AC19" s="183">
        <f>'Phụ lục số 2'!AF20</f>
        <v>1075000</v>
      </c>
      <c r="AD19" s="183">
        <f>'Phụ lục số 2'!AG20</f>
        <v>3841000</v>
      </c>
      <c r="AE19" s="183">
        <f>AH19+AI19</f>
        <v>5004000</v>
      </c>
      <c r="AF19" s="1700">
        <f t="shared" si="29"/>
        <v>24.554339334062082</v>
      </c>
      <c r="AG19" s="1700">
        <f t="shared" si="30"/>
        <v>101.7900732302685</v>
      </c>
      <c r="AH19" s="183">
        <f>'Phụ lục số 2'!AK20</f>
        <v>1163000</v>
      </c>
      <c r="AI19" s="183">
        <f>'Phụ lục số 2'!AL20</f>
        <v>3841000</v>
      </c>
      <c r="AJ19" s="1395">
        <f>AM19+AN19</f>
        <v>5129000</v>
      </c>
      <c r="AK19" s="485">
        <f t="shared" si="5"/>
        <v>24.491451492918127</v>
      </c>
      <c r="AL19" s="1716">
        <f t="shared" si="23"/>
        <v>102.49800159872102</v>
      </c>
      <c r="AM19" s="1395">
        <f t="shared" si="33"/>
        <v>1200000</v>
      </c>
      <c r="AN19" s="1395">
        <f t="shared" si="34"/>
        <v>3929000</v>
      </c>
      <c r="AO19" s="1395">
        <f>AR19+AS19</f>
        <v>5287000</v>
      </c>
      <c r="AP19" s="485">
        <f t="shared" si="7"/>
        <v>24.215868702806791</v>
      </c>
      <c r="AQ19" s="1716">
        <f t="shared" si="24"/>
        <v>103.08052251900955</v>
      </c>
      <c r="AR19" s="1395">
        <f t="shared" si="35"/>
        <v>1223000</v>
      </c>
      <c r="AS19" s="1395">
        <f t="shared" si="36"/>
        <v>4064000</v>
      </c>
      <c r="AT19" s="1395">
        <f>AW19+AX19</f>
        <v>5449000</v>
      </c>
      <c r="AU19" s="485">
        <f t="shared" si="17"/>
        <v>23.865101275639017</v>
      </c>
      <c r="AV19" s="1716">
        <f t="shared" si="25"/>
        <v>103.06411953849064</v>
      </c>
      <c r="AW19" s="1395">
        <f t="shared" si="37"/>
        <v>1263000</v>
      </c>
      <c r="AX19" s="1395">
        <f t="shared" si="38"/>
        <v>4186000</v>
      </c>
      <c r="AY19" s="1395">
        <f>BB19+BC19</f>
        <v>5633000</v>
      </c>
      <c r="AZ19" s="485">
        <f t="shared" si="18"/>
        <v>23.457808618897179</v>
      </c>
      <c r="BA19" s="1716">
        <f t="shared" si="26"/>
        <v>103.37676637915214</v>
      </c>
      <c r="BB19" s="1395">
        <f t="shared" si="39"/>
        <v>1306000</v>
      </c>
      <c r="BC19" s="1395">
        <f t="shared" si="40"/>
        <v>4327000</v>
      </c>
    </row>
    <row r="20" spans="1:55">
      <c r="A20" s="1131" t="s">
        <v>36</v>
      </c>
      <c r="B20" s="506" t="s">
        <v>39</v>
      </c>
      <c r="C20" s="485">
        <f t="shared" si="27"/>
        <v>770000</v>
      </c>
      <c r="D20" s="485">
        <v>770000</v>
      </c>
      <c r="E20" s="485">
        <v>0</v>
      </c>
      <c r="F20" s="51">
        <f>SUM(I20,J20)</f>
        <v>770000</v>
      </c>
      <c r="G20" s="1133">
        <f t="shared" si="3"/>
        <v>5.1218344734847285</v>
      </c>
      <c r="H20" s="1133">
        <f t="shared" si="0"/>
        <v>100</v>
      </c>
      <c r="I20" s="51">
        <f t="shared" si="31"/>
        <v>770000</v>
      </c>
      <c r="J20" s="51">
        <f t="shared" si="31"/>
        <v>0</v>
      </c>
      <c r="K20" s="51">
        <f t="shared" si="32"/>
        <v>750000</v>
      </c>
      <c r="L20" s="1134">
        <f t="shared" si="11"/>
        <v>4.7408358852199388</v>
      </c>
      <c r="M20" s="1133">
        <f t="shared" si="21"/>
        <v>97.402597402597408</v>
      </c>
      <c r="N20" s="51">
        <f>'Phụ lục số 2'!D21</f>
        <v>750000</v>
      </c>
      <c r="O20" s="51">
        <f>'Phụ lục số 2'!E21</f>
        <v>0</v>
      </c>
      <c r="P20" s="51">
        <f>S20+T20</f>
        <v>750000</v>
      </c>
      <c r="Q20" s="1655">
        <f t="shared" si="12"/>
        <v>4.3373425247314596</v>
      </c>
      <c r="R20" s="1690">
        <f t="shared" si="28"/>
        <v>100</v>
      </c>
      <c r="S20" s="51">
        <f>'Phụ lục số 2'!S21</f>
        <v>750000</v>
      </c>
      <c r="T20" s="51">
        <f>'Phụ lục số 2'!T21</f>
        <v>0</v>
      </c>
      <c r="U20" s="51">
        <f>X20+Y20</f>
        <v>828538</v>
      </c>
      <c r="V20" s="1133">
        <f t="shared" si="14"/>
        <v>4.4623243003283468</v>
      </c>
      <c r="W20" s="1133">
        <f>U20/K20%</f>
        <v>110.47173333333333</v>
      </c>
      <c r="X20" s="51">
        <f>'Phụ lục số 2'!AA21</f>
        <v>828538</v>
      </c>
      <c r="Y20" s="51">
        <f>'Phụ lục số 2'!AB21</f>
        <v>0</v>
      </c>
      <c r="Z20" s="51">
        <f>AC20+AD20</f>
        <v>931000</v>
      </c>
      <c r="AA20" s="1133">
        <f t="shared" si="19"/>
        <v>4.7943263329914974</v>
      </c>
      <c r="AB20" s="1133">
        <f t="shared" si="20"/>
        <v>112.36660237671659</v>
      </c>
      <c r="AC20" s="183">
        <f>'Phụ lục số 2'!AF21</f>
        <v>931000</v>
      </c>
      <c r="AD20" s="183">
        <f>'Phụ lục số 2'!AG21</f>
        <v>0</v>
      </c>
      <c r="AE20" s="183">
        <f>AH20+AI20</f>
        <v>1007000</v>
      </c>
      <c r="AF20" s="1700">
        <f t="shared" si="29"/>
        <v>4.9412909091527801</v>
      </c>
      <c r="AG20" s="1700">
        <f t="shared" si="30"/>
        <v>108.16326530612245</v>
      </c>
      <c r="AH20" s="183">
        <f>'Phụ lục số 2'!AK21</f>
        <v>1007000</v>
      </c>
      <c r="AI20" s="183">
        <f>'Phụ lục số 2'!AL21</f>
        <v>0</v>
      </c>
      <c r="AJ20" s="1395">
        <f>AM20+AN20</f>
        <v>1039000</v>
      </c>
      <c r="AK20" s="485">
        <f t="shared" si="5"/>
        <v>4.9613215248863192</v>
      </c>
      <c r="AL20" s="1716">
        <f t="shared" si="23"/>
        <v>103.17775571002979</v>
      </c>
      <c r="AM20" s="1395">
        <f t="shared" si="33"/>
        <v>1039000</v>
      </c>
      <c r="AN20" s="1395">
        <f t="shared" si="34"/>
        <v>0</v>
      </c>
      <c r="AO20" s="1395">
        <f>AR20+AS20</f>
        <v>1059000</v>
      </c>
      <c r="AP20" s="485">
        <f t="shared" si="7"/>
        <v>4.850502166875807</v>
      </c>
      <c r="AQ20" s="1716">
        <f t="shared" si="24"/>
        <v>101.92492781520693</v>
      </c>
      <c r="AR20" s="1395">
        <f t="shared" si="35"/>
        <v>1059000</v>
      </c>
      <c r="AS20" s="1395">
        <f t="shared" si="36"/>
        <v>0</v>
      </c>
      <c r="AT20" s="1395">
        <f>AW20+AX20</f>
        <v>1094000</v>
      </c>
      <c r="AU20" s="485">
        <f t="shared" si="17"/>
        <v>4.7914150845199277</v>
      </c>
      <c r="AV20" s="1716">
        <f t="shared" si="25"/>
        <v>103.30500472143531</v>
      </c>
      <c r="AW20" s="1395">
        <f t="shared" si="37"/>
        <v>1094000</v>
      </c>
      <c r="AX20" s="1395">
        <f t="shared" si="38"/>
        <v>0</v>
      </c>
      <c r="AY20" s="1395">
        <f>BB20+BC20</f>
        <v>1131000</v>
      </c>
      <c r="AZ20" s="485">
        <f t="shared" si="18"/>
        <v>4.7098848833610347</v>
      </c>
      <c r="BA20" s="1716">
        <f t="shared" si="26"/>
        <v>103.38208409506399</v>
      </c>
      <c r="BB20" s="1395">
        <f t="shared" si="39"/>
        <v>1131000</v>
      </c>
      <c r="BC20" s="1395">
        <f t="shared" si="40"/>
        <v>0</v>
      </c>
    </row>
    <row r="21" spans="1:55">
      <c r="A21" s="1131" t="s">
        <v>37</v>
      </c>
      <c r="B21" s="506" t="s">
        <v>41</v>
      </c>
      <c r="C21" s="485">
        <f t="shared" si="27"/>
        <v>77843</v>
      </c>
      <c r="D21" s="485">
        <v>40000</v>
      </c>
      <c r="E21" s="485">
        <v>37843</v>
      </c>
      <c r="F21" s="51">
        <f>SUM(I21,J21)</f>
        <v>77843</v>
      </c>
      <c r="G21" s="1133">
        <f t="shared" si="3"/>
        <v>0.51779085833697625</v>
      </c>
      <c r="H21" s="1133">
        <f t="shared" si="0"/>
        <v>100</v>
      </c>
      <c r="I21" s="51">
        <f t="shared" si="31"/>
        <v>40000</v>
      </c>
      <c r="J21" s="51">
        <f t="shared" si="31"/>
        <v>37843</v>
      </c>
      <c r="K21" s="51">
        <f t="shared" si="32"/>
        <v>78978</v>
      </c>
      <c r="L21" s="1134">
        <f t="shared" si="11"/>
        <v>0.4992289820572004</v>
      </c>
      <c r="M21" s="1133">
        <f t="shared" si="21"/>
        <v>101.4580630242925</v>
      </c>
      <c r="N21" s="51">
        <f>'Phụ lục số 2'!D22</f>
        <v>40000</v>
      </c>
      <c r="O21" s="51">
        <f>'Phụ lục số 2'!E22</f>
        <v>38978</v>
      </c>
      <c r="P21" s="51">
        <f t="shared" ref="P21:P28" si="41">S21+T21</f>
        <v>78978</v>
      </c>
      <c r="Q21" s="1655">
        <f t="shared" si="12"/>
        <v>0.45673951722432166</v>
      </c>
      <c r="R21" s="1690">
        <f t="shared" si="28"/>
        <v>100</v>
      </c>
      <c r="S21" s="51">
        <f>'Phụ lục số 2'!S22</f>
        <v>40000</v>
      </c>
      <c r="T21" s="51">
        <f>'Phụ lục số 2'!T22</f>
        <v>38978</v>
      </c>
      <c r="U21" s="51">
        <f t="shared" ref="U21:U33" si="42">X21+Y21</f>
        <v>91888</v>
      </c>
      <c r="V21" s="1133">
        <f t="shared" si="14"/>
        <v>0.49488865363878443</v>
      </c>
      <c r="W21" s="1133">
        <f t="shared" si="22"/>
        <v>116.34632429284105</v>
      </c>
      <c r="X21" s="51">
        <f>'Phụ lục số 2'!AA22</f>
        <v>47888</v>
      </c>
      <c r="Y21" s="51">
        <f>'Phụ lục số 2'!AB22</f>
        <v>44000</v>
      </c>
      <c r="Z21" s="51">
        <f t="shared" ref="Z21:Z33" si="43">AC21+AD21</f>
        <v>98000</v>
      </c>
      <c r="AA21" s="1133">
        <f t="shared" si="19"/>
        <v>0.50466592978857872</v>
      </c>
      <c r="AB21" s="1133">
        <f t="shared" si="20"/>
        <v>106.65157583144698</v>
      </c>
      <c r="AC21" s="183">
        <f>'Phụ lục số 2'!AF22</f>
        <v>54000</v>
      </c>
      <c r="AD21" s="183">
        <f>'Phụ lục số 2'!AG22</f>
        <v>44000</v>
      </c>
      <c r="AE21" s="183">
        <f t="shared" ref="AE21:AE33" si="44">AH21+AI21</f>
        <v>102000</v>
      </c>
      <c r="AF21" s="1700">
        <f t="shared" si="29"/>
        <v>0.50050811592212874</v>
      </c>
      <c r="AG21" s="1700">
        <f t="shared" si="30"/>
        <v>104.08163265306122</v>
      </c>
      <c r="AH21" s="183">
        <f>'Phụ lục số 2'!AK22</f>
        <v>58000</v>
      </c>
      <c r="AI21" s="183">
        <f>'Phụ lục số 2'!AL22</f>
        <v>44000</v>
      </c>
      <c r="AJ21" s="1395">
        <f t="shared" ref="AJ21:AJ29" si="45">AM21+AN21</f>
        <v>105000</v>
      </c>
      <c r="AK21" s="485">
        <f t="shared" si="5"/>
        <v>0.50138475468052313</v>
      </c>
      <c r="AL21" s="1716">
        <f t="shared" si="23"/>
        <v>102.94117647058823</v>
      </c>
      <c r="AM21" s="1395">
        <f t="shared" si="33"/>
        <v>60000</v>
      </c>
      <c r="AN21" s="1395">
        <f t="shared" si="34"/>
        <v>45000</v>
      </c>
      <c r="AO21" s="1395">
        <f t="shared" ref="AO21:AO29" si="46">AR21+AS21</f>
        <v>108000</v>
      </c>
      <c r="AP21" s="485">
        <f t="shared" si="7"/>
        <v>0.49466877622529476</v>
      </c>
      <c r="AQ21" s="1716">
        <f t="shared" si="24"/>
        <v>102.85714285714286</v>
      </c>
      <c r="AR21" s="1395">
        <f t="shared" si="35"/>
        <v>61000</v>
      </c>
      <c r="AS21" s="1395">
        <f t="shared" si="36"/>
        <v>47000</v>
      </c>
      <c r="AT21" s="1395">
        <f t="shared" ref="AT21:AT29" si="47">AW21+AX21</f>
        <v>111000</v>
      </c>
      <c r="AU21" s="485">
        <f t="shared" si="17"/>
        <v>0.48614906250613521</v>
      </c>
      <c r="AV21" s="1716">
        <f t="shared" si="25"/>
        <v>102.77777777777777</v>
      </c>
      <c r="AW21" s="1395">
        <f t="shared" si="37"/>
        <v>63000</v>
      </c>
      <c r="AX21" s="1395">
        <f t="shared" si="38"/>
        <v>48000</v>
      </c>
      <c r="AY21" s="1395">
        <f t="shared" ref="AY21:AY29" si="48">BB21+BC21</f>
        <v>115000</v>
      </c>
      <c r="AZ21" s="485">
        <f t="shared" si="18"/>
        <v>0.47890076179179397</v>
      </c>
      <c r="BA21" s="1716">
        <f t="shared" si="26"/>
        <v>103.6036036036036</v>
      </c>
      <c r="BB21" s="1395">
        <f t="shared" si="39"/>
        <v>65000</v>
      </c>
      <c r="BC21" s="1395">
        <f t="shared" si="40"/>
        <v>50000</v>
      </c>
    </row>
    <row r="22" spans="1:55">
      <c r="A22" s="1131" t="s">
        <v>40</v>
      </c>
      <c r="B22" s="506" t="s">
        <v>43</v>
      </c>
      <c r="C22" s="485">
        <f t="shared" si="27"/>
        <v>41920</v>
      </c>
      <c r="D22" s="485">
        <v>14000</v>
      </c>
      <c r="E22" s="485">
        <v>27920</v>
      </c>
      <c r="F22" s="51">
        <f t="shared" ref="F22:F28" si="49">SUM(I22,J22)</f>
        <v>41920</v>
      </c>
      <c r="G22" s="1133">
        <f t="shared" si="3"/>
        <v>0.27884065081620757</v>
      </c>
      <c r="H22" s="1133">
        <f t="shared" si="0"/>
        <v>100</v>
      </c>
      <c r="I22" s="51">
        <f t="shared" si="31"/>
        <v>14000</v>
      </c>
      <c r="J22" s="51">
        <f t="shared" si="31"/>
        <v>27920</v>
      </c>
      <c r="K22" s="51">
        <f t="shared" si="32"/>
        <v>42757</v>
      </c>
      <c r="L22" s="1134">
        <f t="shared" si="11"/>
        <v>0.27027189325913187</v>
      </c>
      <c r="M22" s="1133">
        <f t="shared" si="21"/>
        <v>101.99666030534351</v>
      </c>
      <c r="N22" s="51">
        <f>'Phụ lục số 2'!D23</f>
        <v>14000</v>
      </c>
      <c r="O22" s="51">
        <f>'Phụ lục số 2'!E23</f>
        <v>28757</v>
      </c>
      <c r="P22" s="51">
        <f t="shared" si="41"/>
        <v>42757</v>
      </c>
      <c r="Q22" s="1655">
        <f t="shared" si="12"/>
        <v>0.24726900577325736</v>
      </c>
      <c r="R22" s="1690">
        <f t="shared" si="28"/>
        <v>100</v>
      </c>
      <c r="S22" s="51">
        <f>'Phụ lục số 2'!S23</f>
        <v>14000</v>
      </c>
      <c r="T22" s="51">
        <f>'Phụ lục số 2'!T23</f>
        <v>28757</v>
      </c>
      <c r="U22" s="51">
        <f t="shared" si="42"/>
        <v>50073</v>
      </c>
      <c r="V22" s="1133">
        <f t="shared" si="14"/>
        <v>0.26968221697778655</v>
      </c>
      <c r="W22" s="1133">
        <f t="shared" si="22"/>
        <v>117.11064854877564</v>
      </c>
      <c r="X22" s="51">
        <f>'Phụ lục số 2'!AA23</f>
        <v>18073</v>
      </c>
      <c r="Y22" s="51">
        <f>'Phụ lục số 2'!AB23</f>
        <v>32000</v>
      </c>
      <c r="Z22" s="51">
        <f t="shared" si="43"/>
        <v>52000</v>
      </c>
      <c r="AA22" s="1133">
        <f t="shared" si="19"/>
        <v>0.26778192192863359</v>
      </c>
      <c r="AB22" s="1133">
        <f t="shared" si="20"/>
        <v>103.84838136320971</v>
      </c>
      <c r="AC22" s="183">
        <f>'Phụ lục số 2'!AF23</f>
        <v>20000</v>
      </c>
      <c r="AD22" s="183">
        <f>'Phụ lục số 2'!AG23</f>
        <v>32000</v>
      </c>
      <c r="AE22" s="183">
        <f t="shared" si="44"/>
        <v>54000</v>
      </c>
      <c r="AF22" s="1700">
        <f t="shared" si="29"/>
        <v>0.26497488489995052</v>
      </c>
      <c r="AG22" s="1700">
        <f t="shared" si="30"/>
        <v>103.84615384615384</v>
      </c>
      <c r="AH22" s="183">
        <f>'Phụ lục số 2'!AK23</f>
        <v>22000</v>
      </c>
      <c r="AI22" s="183">
        <f>'Phụ lục số 2'!AL23</f>
        <v>32000</v>
      </c>
      <c r="AJ22" s="1395">
        <f t="shared" si="45"/>
        <v>56000</v>
      </c>
      <c r="AK22" s="485">
        <f t="shared" si="5"/>
        <v>0.26740520249627903</v>
      </c>
      <c r="AL22" s="1716">
        <f t="shared" si="23"/>
        <v>103.70370370370371</v>
      </c>
      <c r="AM22" s="1395">
        <f t="shared" si="33"/>
        <v>23000</v>
      </c>
      <c r="AN22" s="1395">
        <f t="shared" si="34"/>
        <v>33000</v>
      </c>
      <c r="AO22" s="1395">
        <f t="shared" si="46"/>
        <v>57000</v>
      </c>
      <c r="AP22" s="485">
        <f t="shared" si="7"/>
        <v>0.2610751874522389</v>
      </c>
      <c r="AQ22" s="1716">
        <f t="shared" si="24"/>
        <v>101.78571428571429</v>
      </c>
      <c r="AR22" s="1395">
        <f t="shared" si="35"/>
        <v>23000</v>
      </c>
      <c r="AS22" s="1395">
        <f t="shared" si="36"/>
        <v>34000</v>
      </c>
      <c r="AT22" s="1395">
        <f t="shared" si="47"/>
        <v>59000</v>
      </c>
      <c r="AU22" s="485">
        <f t="shared" si="17"/>
        <v>0.25840355574650431</v>
      </c>
      <c r="AV22" s="1716">
        <f t="shared" si="25"/>
        <v>103.50877192982456</v>
      </c>
      <c r="AW22" s="1395">
        <f t="shared" si="37"/>
        <v>24000</v>
      </c>
      <c r="AX22" s="1395">
        <f t="shared" si="38"/>
        <v>35000</v>
      </c>
      <c r="AY22" s="1395">
        <f t="shared" si="48"/>
        <v>61000</v>
      </c>
      <c r="AZ22" s="485">
        <f t="shared" si="18"/>
        <v>0.25402562147216901</v>
      </c>
      <c r="BA22" s="1716">
        <f t="shared" si="26"/>
        <v>103.38983050847457</v>
      </c>
      <c r="BB22" s="1395">
        <f t="shared" si="39"/>
        <v>25000</v>
      </c>
      <c r="BC22" s="1395">
        <f t="shared" si="40"/>
        <v>36000</v>
      </c>
    </row>
    <row r="23" spans="1:55">
      <c r="A23" s="1131" t="s">
        <v>42</v>
      </c>
      <c r="B23" s="506" t="s">
        <v>45</v>
      </c>
      <c r="C23" s="485">
        <f t="shared" si="27"/>
        <v>37960</v>
      </c>
      <c r="D23" s="485">
        <v>24000</v>
      </c>
      <c r="E23" s="485">
        <v>13960</v>
      </c>
      <c r="F23" s="51">
        <f t="shared" si="49"/>
        <v>37960</v>
      </c>
      <c r="G23" s="1133">
        <f t="shared" si="3"/>
        <v>0.25249978780971466</v>
      </c>
      <c r="H23" s="1133">
        <f t="shared" si="0"/>
        <v>100</v>
      </c>
      <c r="I23" s="51">
        <f t="shared" si="31"/>
        <v>24000</v>
      </c>
      <c r="J23" s="51">
        <f t="shared" si="31"/>
        <v>13960</v>
      </c>
      <c r="K23" s="51">
        <f t="shared" si="32"/>
        <v>38378</v>
      </c>
      <c r="L23" s="1134">
        <f t="shared" si="11"/>
        <v>0.24259173280396107</v>
      </c>
      <c r="M23" s="1133">
        <f t="shared" si="21"/>
        <v>101.10115911485774</v>
      </c>
      <c r="N23" s="51">
        <f>'Phụ lục số 2'!D24</f>
        <v>24000</v>
      </c>
      <c r="O23" s="51">
        <f>'Phụ lục số 2'!E24</f>
        <v>14378</v>
      </c>
      <c r="P23" s="51">
        <f t="shared" si="41"/>
        <v>38378</v>
      </c>
      <c r="Q23" s="1655">
        <f t="shared" si="12"/>
        <v>0.22194470855219195</v>
      </c>
      <c r="R23" s="1690">
        <f t="shared" si="28"/>
        <v>100.00000000000001</v>
      </c>
      <c r="S23" s="51">
        <f>'Phụ lục số 2'!S24</f>
        <v>24000</v>
      </c>
      <c r="T23" s="51">
        <f>'Phụ lục số 2'!T24</f>
        <v>14378</v>
      </c>
      <c r="U23" s="51">
        <f t="shared" si="42"/>
        <v>53202</v>
      </c>
      <c r="V23" s="1133">
        <f t="shared" si="14"/>
        <v>0.28653432603702994</v>
      </c>
      <c r="W23" s="1133">
        <f t="shared" si="22"/>
        <v>138.6262963155975</v>
      </c>
      <c r="X23" s="51">
        <f>'Phụ lục số 2'!AA24</f>
        <v>37202</v>
      </c>
      <c r="Y23" s="51">
        <f>'Phụ lục số 2'!AB24</f>
        <v>16000</v>
      </c>
      <c r="Z23" s="51">
        <f t="shared" si="43"/>
        <v>58000</v>
      </c>
      <c r="AA23" s="1133">
        <f t="shared" si="19"/>
        <v>0.29867983599732212</v>
      </c>
      <c r="AB23" s="1133">
        <f t="shared" si="20"/>
        <v>109.01845795270854</v>
      </c>
      <c r="AC23" s="183">
        <f>'Phụ lục số 2'!AF24</f>
        <v>42000</v>
      </c>
      <c r="AD23" s="183">
        <f>'Phụ lục số 2'!AG24</f>
        <v>16000</v>
      </c>
      <c r="AE23" s="183">
        <f t="shared" si="44"/>
        <v>61000</v>
      </c>
      <c r="AF23" s="1700">
        <f t="shared" si="29"/>
        <v>0.2993234810906848</v>
      </c>
      <c r="AG23" s="1700">
        <f t="shared" si="30"/>
        <v>105.17241379310344</v>
      </c>
      <c r="AH23" s="183">
        <f>'Phụ lục số 2'!AK24</f>
        <v>45000</v>
      </c>
      <c r="AI23" s="183">
        <f>'Phụ lục số 2'!AL24</f>
        <v>16000</v>
      </c>
      <c r="AJ23" s="1395">
        <f t="shared" si="45"/>
        <v>62000</v>
      </c>
      <c r="AK23" s="485">
        <f t="shared" si="5"/>
        <v>0.29605575990659466</v>
      </c>
      <c r="AL23" s="1716">
        <f t="shared" si="23"/>
        <v>101.63934426229508</v>
      </c>
      <c r="AM23" s="1395">
        <f t="shared" si="33"/>
        <v>46000</v>
      </c>
      <c r="AN23" s="1395">
        <f t="shared" si="34"/>
        <v>16000</v>
      </c>
      <c r="AO23" s="1395">
        <f t="shared" si="46"/>
        <v>64000</v>
      </c>
      <c r="AP23" s="485">
        <f t="shared" si="7"/>
        <v>0.29313705257795247</v>
      </c>
      <c r="AQ23" s="1716">
        <f t="shared" si="24"/>
        <v>103.2258064516129</v>
      </c>
      <c r="AR23" s="1395">
        <f t="shared" si="35"/>
        <v>47000</v>
      </c>
      <c r="AS23" s="1395">
        <f t="shared" si="36"/>
        <v>17000</v>
      </c>
      <c r="AT23" s="1395">
        <f t="shared" si="47"/>
        <v>67000</v>
      </c>
      <c r="AU23" s="485">
        <f t="shared" si="17"/>
        <v>0.29344132601721673</v>
      </c>
      <c r="AV23" s="1716">
        <f t="shared" si="25"/>
        <v>104.6875</v>
      </c>
      <c r="AW23" s="1395">
        <f t="shared" si="37"/>
        <v>49000</v>
      </c>
      <c r="AX23" s="1395">
        <f t="shared" si="38"/>
        <v>18000</v>
      </c>
      <c r="AY23" s="1395">
        <f t="shared" si="48"/>
        <v>70000</v>
      </c>
      <c r="AZ23" s="485">
        <f t="shared" si="18"/>
        <v>0.29150481152543978</v>
      </c>
      <c r="BA23" s="1716">
        <f t="shared" si="26"/>
        <v>104.4776119402985</v>
      </c>
      <c r="BB23" s="1395">
        <f t="shared" si="39"/>
        <v>51000</v>
      </c>
      <c r="BC23" s="1395">
        <f t="shared" si="40"/>
        <v>19000</v>
      </c>
    </row>
    <row r="24" spans="1:55">
      <c r="A24" s="1131" t="s">
        <v>44</v>
      </c>
      <c r="B24" s="506" t="s">
        <v>46</v>
      </c>
      <c r="C24" s="485">
        <f t="shared" si="27"/>
        <v>517039</v>
      </c>
      <c r="D24" s="485">
        <v>75000</v>
      </c>
      <c r="E24" s="485">
        <v>442039</v>
      </c>
      <c r="F24" s="51">
        <f t="shared" si="49"/>
        <v>734512</v>
      </c>
      <c r="G24" s="1133">
        <f t="shared" si="3"/>
        <v>4.8857777698548244</v>
      </c>
      <c r="H24" s="1133">
        <f t="shared" si="0"/>
        <v>142.06123716005951</v>
      </c>
      <c r="I24" s="51">
        <f>D24+104551</f>
        <v>179551</v>
      </c>
      <c r="J24" s="51">
        <f>INT(E24+112922)</f>
        <v>554961</v>
      </c>
      <c r="K24" s="51">
        <f t="shared" si="32"/>
        <v>539140</v>
      </c>
      <c r="L24" s="1134">
        <f t="shared" si="11"/>
        <v>3.407965678876637</v>
      </c>
      <c r="M24" s="1133">
        <f t="shared" si="21"/>
        <v>104.27453248207581</v>
      </c>
      <c r="N24" s="51">
        <f>'Phụ lục số 2'!D25</f>
        <v>75000</v>
      </c>
      <c r="O24" s="51">
        <f>'Phụ lục số 2'!E25</f>
        <v>464140</v>
      </c>
      <c r="P24" s="51">
        <f>S24+T24</f>
        <v>539140</v>
      </c>
      <c r="Q24" s="1655">
        <f t="shared" si="12"/>
        <v>3.1179131317116258</v>
      </c>
      <c r="R24" s="1690">
        <f t="shared" si="28"/>
        <v>100</v>
      </c>
      <c r="S24" s="51">
        <f>'Phụ lục số 2'!S25</f>
        <v>75000</v>
      </c>
      <c r="T24" s="51">
        <f>'Phụ lục số 2'!T25</f>
        <v>464140</v>
      </c>
      <c r="U24" s="51">
        <f t="shared" si="42"/>
        <v>601385</v>
      </c>
      <c r="V24" s="1133">
        <f t="shared" si="14"/>
        <v>3.2389279663129065</v>
      </c>
      <c r="W24" s="1133">
        <f t="shared" si="22"/>
        <v>111.54523871350671</v>
      </c>
      <c r="X24" s="51">
        <f>'Phụ lục số 2'!AA25</f>
        <v>77385</v>
      </c>
      <c r="Y24" s="51">
        <f>'Phụ lục số 2'!AB25</f>
        <v>524000</v>
      </c>
      <c r="Z24" s="51">
        <f t="shared" si="43"/>
        <v>611000</v>
      </c>
      <c r="AA24" s="1133">
        <f t="shared" si="19"/>
        <v>3.1464375826614446</v>
      </c>
      <c r="AB24" s="1133">
        <f t="shared" si="20"/>
        <v>101.59880941493385</v>
      </c>
      <c r="AC24" s="183">
        <f>'Phụ lục số 2'!AF25</f>
        <v>87000</v>
      </c>
      <c r="AD24" s="183">
        <f>'Phụ lục số 2'!AG25</f>
        <v>524000</v>
      </c>
      <c r="AE24" s="183">
        <f t="shared" si="44"/>
        <v>618000</v>
      </c>
      <c r="AF24" s="1700">
        <f t="shared" si="29"/>
        <v>3.0324903494105446</v>
      </c>
      <c r="AG24" s="1700">
        <f t="shared" si="30"/>
        <v>101.1456628477905</v>
      </c>
      <c r="AH24" s="183">
        <f>'Phụ lục số 2'!AK25</f>
        <v>94000</v>
      </c>
      <c r="AI24" s="183">
        <f>'Phụ lục số 2'!AL25</f>
        <v>524000</v>
      </c>
      <c r="AJ24" s="1395">
        <f t="shared" si="45"/>
        <v>633000</v>
      </c>
      <c r="AK24" s="485">
        <f t="shared" si="5"/>
        <v>3.022633806788297</v>
      </c>
      <c r="AL24" s="1716">
        <f t="shared" si="23"/>
        <v>102.42718446601941</v>
      </c>
      <c r="AM24" s="1395">
        <f t="shared" si="33"/>
        <v>97000</v>
      </c>
      <c r="AN24" s="1395">
        <f t="shared" si="34"/>
        <v>536000</v>
      </c>
      <c r="AO24" s="1395">
        <f t="shared" si="46"/>
        <v>653000</v>
      </c>
      <c r="AP24" s="485">
        <f t="shared" si="7"/>
        <v>2.9909139895844215</v>
      </c>
      <c r="AQ24" s="1716">
        <f t="shared" si="24"/>
        <v>103.15955766192732</v>
      </c>
      <c r="AR24" s="1395">
        <f t="shared" si="35"/>
        <v>99000</v>
      </c>
      <c r="AS24" s="1395">
        <f t="shared" si="36"/>
        <v>554000</v>
      </c>
      <c r="AT24" s="1395">
        <f t="shared" si="47"/>
        <v>673000</v>
      </c>
      <c r="AU24" s="485">
        <f t="shared" si="17"/>
        <v>2.9475524240236846</v>
      </c>
      <c r="AV24" s="1716">
        <f t="shared" si="25"/>
        <v>103.06278713629403</v>
      </c>
      <c r="AW24" s="1395">
        <f t="shared" si="37"/>
        <v>102000</v>
      </c>
      <c r="AX24" s="1395">
        <f t="shared" si="38"/>
        <v>571000</v>
      </c>
      <c r="AY24" s="1395">
        <f t="shared" si="48"/>
        <v>695000</v>
      </c>
      <c r="AZ24" s="485">
        <f t="shared" si="18"/>
        <v>2.8942263430025807</v>
      </c>
      <c r="BA24" s="1716">
        <f t="shared" si="26"/>
        <v>103.26894502228826</v>
      </c>
      <c r="BB24" s="1395">
        <f t="shared" si="39"/>
        <v>105000</v>
      </c>
      <c r="BC24" s="1395">
        <f t="shared" si="40"/>
        <v>590000</v>
      </c>
    </row>
    <row r="25" spans="1:55" s="289" customFormat="1">
      <c r="A25" s="1127">
        <v>4</v>
      </c>
      <c r="B25" s="326" t="s">
        <v>47</v>
      </c>
      <c r="C25" s="439">
        <f t="shared" si="27"/>
        <v>1356350</v>
      </c>
      <c r="D25" s="439">
        <v>450000</v>
      </c>
      <c r="E25" s="439">
        <v>906350</v>
      </c>
      <c r="F25" s="336">
        <f t="shared" si="49"/>
        <v>1386350</v>
      </c>
      <c r="G25" s="1129">
        <f t="shared" si="3"/>
        <v>9.2216301588513687</v>
      </c>
      <c r="H25" s="1129">
        <f t="shared" si="0"/>
        <v>102.21181848342979</v>
      </c>
      <c r="I25" s="336">
        <f>D25</f>
        <v>450000</v>
      </c>
      <c r="J25" s="336">
        <f>E25+30000</f>
        <v>936350</v>
      </c>
      <c r="K25" s="336">
        <f t="shared" si="32"/>
        <v>1388540</v>
      </c>
      <c r="L25" s="1130">
        <f t="shared" si="11"/>
        <v>8.7771203467510581</v>
      </c>
      <c r="M25" s="1129">
        <f t="shared" si="21"/>
        <v>102.37328123272017</v>
      </c>
      <c r="N25" s="336">
        <f>'Phụ lục số 2'!D26</f>
        <v>455000</v>
      </c>
      <c r="O25" s="336">
        <f>'Phụ lục số 2'!E26</f>
        <v>933540</v>
      </c>
      <c r="P25" s="336">
        <f t="shared" si="41"/>
        <v>1388540</v>
      </c>
      <c r="Q25" s="591">
        <f t="shared" si="12"/>
        <v>8.0300981190541609</v>
      </c>
      <c r="R25" s="1537">
        <f t="shared" si="28"/>
        <v>100</v>
      </c>
      <c r="S25" s="336">
        <f>'Phụ lục số 2'!S26</f>
        <v>455000</v>
      </c>
      <c r="T25" s="336">
        <f>'Phụ lục số 2'!T26</f>
        <v>933540</v>
      </c>
      <c r="U25" s="336">
        <f t="shared" si="42"/>
        <v>1570458</v>
      </c>
      <c r="V25" s="1129">
        <f t="shared" si="14"/>
        <v>8.4581430134104352</v>
      </c>
      <c r="W25" s="1129">
        <f t="shared" si="22"/>
        <v>113.10138706843159</v>
      </c>
      <c r="X25" s="51">
        <f>'Phụ lục số 2'!AA26</f>
        <v>515458</v>
      </c>
      <c r="Y25" s="51">
        <f>'Phụ lục số 2'!AB26</f>
        <v>1055000</v>
      </c>
      <c r="Z25" s="336">
        <f t="shared" si="43"/>
        <v>1634000</v>
      </c>
      <c r="AA25" s="1129">
        <f t="shared" si="19"/>
        <v>8.4145319313728333</v>
      </c>
      <c r="AB25" s="1129">
        <f t="shared" si="20"/>
        <v>104.04608082482945</v>
      </c>
      <c r="AC25" s="183">
        <f>'Phụ lục số 2'!AF26</f>
        <v>579000</v>
      </c>
      <c r="AD25" s="183">
        <f>'Phụ lục số 2'!AG26</f>
        <v>1055000</v>
      </c>
      <c r="AE25" s="1495">
        <f t="shared" si="44"/>
        <v>1681000</v>
      </c>
      <c r="AF25" s="1699">
        <f t="shared" si="29"/>
        <v>8.2485700280891994</v>
      </c>
      <c r="AG25" s="1699">
        <f t="shared" si="30"/>
        <v>102.87637698898409</v>
      </c>
      <c r="AH25" s="183">
        <f>'Phụ lục số 2'!AK26</f>
        <v>626000</v>
      </c>
      <c r="AI25" s="183">
        <f>'Phụ lục số 2'!AL26</f>
        <v>1055000</v>
      </c>
      <c r="AJ25" s="337">
        <f t="shared" si="45"/>
        <v>1725000</v>
      </c>
      <c r="AK25" s="439">
        <f t="shared" si="5"/>
        <v>8.237035255465738</v>
      </c>
      <c r="AL25" s="1715">
        <f t="shared" si="23"/>
        <v>102.61748958953004</v>
      </c>
      <c r="AM25" s="337">
        <f t="shared" si="33"/>
        <v>646000</v>
      </c>
      <c r="AN25" s="337">
        <f t="shared" si="34"/>
        <v>1079000</v>
      </c>
      <c r="AO25" s="337">
        <f t="shared" si="46"/>
        <v>1775000</v>
      </c>
      <c r="AP25" s="439">
        <f t="shared" si="7"/>
        <v>8.1299729425916496</v>
      </c>
      <c r="AQ25" s="1715">
        <f t="shared" si="24"/>
        <v>102.89855072463769</v>
      </c>
      <c r="AR25" s="337">
        <f t="shared" si="35"/>
        <v>659000</v>
      </c>
      <c r="AS25" s="337">
        <f t="shared" si="36"/>
        <v>1116000</v>
      </c>
      <c r="AT25" s="337">
        <f t="shared" si="47"/>
        <v>1830000</v>
      </c>
      <c r="AU25" s="439">
        <f t="shared" si="17"/>
        <v>8.0148899494254735</v>
      </c>
      <c r="AV25" s="1715">
        <f t="shared" si="25"/>
        <v>103.09859154929578</v>
      </c>
      <c r="AW25" s="337">
        <f t="shared" si="37"/>
        <v>681000</v>
      </c>
      <c r="AX25" s="337">
        <f t="shared" si="38"/>
        <v>1149000</v>
      </c>
      <c r="AY25" s="337">
        <f t="shared" si="48"/>
        <v>1892000</v>
      </c>
      <c r="AZ25" s="439">
        <f t="shared" si="18"/>
        <v>7.8789586200876016</v>
      </c>
      <c r="BA25" s="1715">
        <f t="shared" si="26"/>
        <v>103.38797814207651</v>
      </c>
      <c r="BB25" s="337">
        <f t="shared" si="39"/>
        <v>704000</v>
      </c>
      <c r="BC25" s="337">
        <f t="shared" si="40"/>
        <v>1188000</v>
      </c>
    </row>
    <row r="26" spans="1:55" s="289" customFormat="1">
      <c r="A26" s="1127">
        <v>5</v>
      </c>
      <c r="B26" s="326" t="s">
        <v>48</v>
      </c>
      <c r="C26" s="439">
        <f t="shared" si="27"/>
        <v>317623</v>
      </c>
      <c r="D26" s="439">
        <v>140000</v>
      </c>
      <c r="E26" s="439">
        <v>177623</v>
      </c>
      <c r="F26" s="336">
        <f>I26+J26</f>
        <v>317623</v>
      </c>
      <c r="G26" s="1129">
        <f t="shared" si="3"/>
        <v>2.1127434168462855</v>
      </c>
      <c r="H26" s="1129">
        <f t="shared" si="0"/>
        <v>100</v>
      </c>
      <c r="I26" s="336">
        <f>D26</f>
        <v>140000</v>
      </c>
      <c r="J26" s="336">
        <f>E26</f>
        <v>177623</v>
      </c>
      <c r="K26" s="336">
        <f t="shared" si="32"/>
        <v>326504</v>
      </c>
      <c r="L26" s="1130">
        <f t="shared" si="11"/>
        <v>2.0638691731571344</v>
      </c>
      <c r="M26" s="1129">
        <f t="shared" si="21"/>
        <v>102.79608214770342</v>
      </c>
      <c r="N26" s="336">
        <f>'Phụ lục số 2'!D27</f>
        <v>140000</v>
      </c>
      <c r="O26" s="336">
        <f>'Phụ lục số 2'!E27</f>
        <v>186504</v>
      </c>
      <c r="P26" s="336">
        <f t="shared" si="41"/>
        <v>326504</v>
      </c>
      <c r="Q26" s="591">
        <f t="shared" si="12"/>
        <v>1.8882129115932273</v>
      </c>
      <c r="R26" s="1537">
        <f t="shared" si="28"/>
        <v>100</v>
      </c>
      <c r="S26" s="336">
        <f>'Phụ lục số 2'!S27</f>
        <v>140000</v>
      </c>
      <c r="T26" s="336">
        <f>'Phụ lục số 2'!T27</f>
        <v>186504</v>
      </c>
      <c r="U26" s="336">
        <f t="shared" si="42"/>
        <v>367327</v>
      </c>
      <c r="V26" s="1129">
        <f t="shared" si="14"/>
        <v>1.9783428138078287</v>
      </c>
      <c r="W26" s="1129">
        <f t="shared" si="22"/>
        <v>112.50306274961409</v>
      </c>
      <c r="X26" s="51">
        <f>'Phụ lục số 2'!AA27</f>
        <v>148327</v>
      </c>
      <c r="Y26" s="51">
        <f>'Phụ lục số 2'!AB27</f>
        <v>219000</v>
      </c>
      <c r="Z26" s="336">
        <f t="shared" si="43"/>
        <v>386000</v>
      </c>
      <c r="AA26" s="1129">
        <f t="shared" si="19"/>
        <v>1.9877658050856264</v>
      </c>
      <c r="AB26" s="1129">
        <f t="shared" si="20"/>
        <v>105.08348147563343</v>
      </c>
      <c r="AC26" s="183">
        <f>'Phụ lục số 2'!AF27</f>
        <v>167000</v>
      </c>
      <c r="AD26" s="183">
        <f>'Phụ lục số 2'!AG27</f>
        <v>219000</v>
      </c>
      <c r="AE26" s="1495">
        <f t="shared" si="44"/>
        <v>400000</v>
      </c>
      <c r="AF26" s="1699">
        <f t="shared" si="29"/>
        <v>1.9627769251848184</v>
      </c>
      <c r="AG26" s="1699">
        <f t="shared" si="30"/>
        <v>103.62694300518135</v>
      </c>
      <c r="AH26" s="183">
        <f>'Phụ lục số 2'!AK27</f>
        <v>181000</v>
      </c>
      <c r="AI26" s="183">
        <f>'Phụ lục số 2'!AL27</f>
        <v>219000</v>
      </c>
      <c r="AJ26" s="337">
        <f t="shared" si="45"/>
        <v>411000</v>
      </c>
      <c r="AK26" s="439">
        <f t="shared" si="5"/>
        <v>1.9625631826066192</v>
      </c>
      <c r="AL26" s="1715">
        <f t="shared" si="23"/>
        <v>102.75</v>
      </c>
      <c r="AM26" s="337">
        <f t="shared" si="33"/>
        <v>187000</v>
      </c>
      <c r="AN26" s="337">
        <f t="shared" si="34"/>
        <v>224000</v>
      </c>
      <c r="AO26" s="337">
        <f t="shared" si="46"/>
        <v>423000</v>
      </c>
      <c r="AP26" s="439">
        <f t="shared" si="7"/>
        <v>1.9374527068824046</v>
      </c>
      <c r="AQ26" s="1715">
        <f t="shared" si="24"/>
        <v>102.91970802919708</v>
      </c>
      <c r="AR26" s="337">
        <f t="shared" si="35"/>
        <v>191000</v>
      </c>
      <c r="AS26" s="337">
        <f t="shared" si="36"/>
        <v>232000</v>
      </c>
      <c r="AT26" s="337">
        <f t="shared" si="47"/>
        <v>436000</v>
      </c>
      <c r="AU26" s="439">
        <f t="shared" si="17"/>
        <v>1.9095584797538283</v>
      </c>
      <c r="AV26" s="1715">
        <f t="shared" si="25"/>
        <v>103.07328605200945</v>
      </c>
      <c r="AW26" s="337">
        <f t="shared" si="37"/>
        <v>197000</v>
      </c>
      <c r="AX26" s="337">
        <f t="shared" si="38"/>
        <v>239000</v>
      </c>
      <c r="AY26" s="337">
        <f t="shared" si="48"/>
        <v>451000</v>
      </c>
      <c r="AZ26" s="439">
        <f t="shared" si="18"/>
        <v>1.8781238571139052</v>
      </c>
      <c r="BA26" s="1715">
        <f t="shared" si="26"/>
        <v>103.44036697247707</v>
      </c>
      <c r="BB26" s="337">
        <f t="shared" si="39"/>
        <v>204000</v>
      </c>
      <c r="BC26" s="337">
        <f t="shared" si="40"/>
        <v>247000</v>
      </c>
    </row>
    <row r="27" spans="1:55" s="289" customFormat="1">
      <c r="A27" s="1127">
        <v>6</v>
      </c>
      <c r="B27" s="326" t="s">
        <v>90</v>
      </c>
      <c r="C27" s="439">
        <f t="shared" si="27"/>
        <v>58295</v>
      </c>
      <c r="D27" s="439">
        <v>30000</v>
      </c>
      <c r="E27" s="439">
        <v>28295</v>
      </c>
      <c r="F27" s="336">
        <f t="shared" si="49"/>
        <v>58295</v>
      </c>
      <c r="G27" s="1129">
        <f t="shared" si="3"/>
        <v>0.38776278004128861</v>
      </c>
      <c r="H27" s="1129">
        <f t="shared" si="0"/>
        <v>100</v>
      </c>
      <c r="I27" s="336">
        <f>D27</f>
        <v>30000</v>
      </c>
      <c r="J27" s="336">
        <f>E27</f>
        <v>28295</v>
      </c>
      <c r="K27" s="336">
        <f t="shared" si="32"/>
        <v>48511</v>
      </c>
      <c r="L27" s="1130">
        <f t="shared" si="11"/>
        <v>0.30664358617053927</v>
      </c>
      <c r="M27" s="1129">
        <f t="shared" si="21"/>
        <v>83.216399348143057</v>
      </c>
      <c r="N27" s="336">
        <f>'Phụ lục số 2'!D28</f>
        <v>20000</v>
      </c>
      <c r="O27" s="336">
        <f>'Phụ lục số 2'!E28</f>
        <v>28511</v>
      </c>
      <c r="P27" s="336">
        <f t="shared" si="41"/>
        <v>48511</v>
      </c>
      <c r="Q27" s="591">
        <f t="shared" si="12"/>
        <v>0.28054509762299712</v>
      </c>
      <c r="R27" s="1537">
        <f t="shared" si="28"/>
        <v>100</v>
      </c>
      <c r="S27" s="336">
        <f>'Phụ lục số 2'!S28</f>
        <v>20000</v>
      </c>
      <c r="T27" s="336">
        <f>'Phụ lục số 2'!T28</f>
        <v>28511</v>
      </c>
      <c r="U27" s="336">
        <f t="shared" si="42"/>
        <v>52000</v>
      </c>
      <c r="V27" s="1129">
        <f t="shared" si="14"/>
        <v>0.28006061715585046</v>
      </c>
      <c r="W27" s="1129">
        <f t="shared" si="22"/>
        <v>107.19218321617777</v>
      </c>
      <c r="X27" s="51">
        <f>'Phụ lục số 2'!AA28</f>
        <v>20000</v>
      </c>
      <c r="Y27" s="51">
        <f>'Phụ lục số 2'!AB28</f>
        <v>32000</v>
      </c>
      <c r="Z27" s="336">
        <f t="shared" si="43"/>
        <v>54000</v>
      </c>
      <c r="AA27" s="1129">
        <f t="shared" si="19"/>
        <v>0.2780812266181964</v>
      </c>
      <c r="AB27" s="1129">
        <f t="shared" si="20"/>
        <v>103.84615384615384</v>
      </c>
      <c r="AC27" s="183">
        <f>'Phụ lục số 2'!AF28</f>
        <v>22000</v>
      </c>
      <c r="AD27" s="183">
        <f>'Phụ lục số 2'!AG28</f>
        <v>32000</v>
      </c>
      <c r="AE27" s="1495">
        <f t="shared" si="44"/>
        <v>56000</v>
      </c>
      <c r="AF27" s="1699">
        <f t="shared" si="29"/>
        <v>0.27478876952587461</v>
      </c>
      <c r="AG27" s="1699">
        <f t="shared" si="30"/>
        <v>103.70370370370371</v>
      </c>
      <c r="AH27" s="183">
        <f>'Phụ lục số 2'!AK28</f>
        <v>24000</v>
      </c>
      <c r="AI27" s="183">
        <f>'Phụ lục số 2'!AL28</f>
        <v>32000</v>
      </c>
      <c r="AJ27" s="337">
        <f t="shared" si="45"/>
        <v>58000</v>
      </c>
      <c r="AK27" s="439">
        <f t="shared" si="5"/>
        <v>0.27695538829971755</v>
      </c>
      <c r="AL27" s="1715">
        <f t="shared" si="23"/>
        <v>103.57142857142857</v>
      </c>
      <c r="AM27" s="337">
        <f t="shared" si="33"/>
        <v>25000</v>
      </c>
      <c r="AN27" s="337">
        <f t="shared" si="34"/>
        <v>33000</v>
      </c>
      <c r="AO27" s="337">
        <f t="shared" si="46"/>
        <v>59000</v>
      </c>
      <c r="AP27" s="439">
        <f t="shared" si="7"/>
        <v>0.27023572034529991</v>
      </c>
      <c r="AQ27" s="1715">
        <f t="shared" si="24"/>
        <v>101.72413793103448</v>
      </c>
      <c r="AR27" s="337">
        <f t="shared" si="35"/>
        <v>25000</v>
      </c>
      <c r="AS27" s="337">
        <f t="shared" si="36"/>
        <v>34000</v>
      </c>
      <c r="AT27" s="337">
        <f t="shared" si="47"/>
        <v>61000</v>
      </c>
      <c r="AU27" s="439">
        <f t="shared" si="17"/>
        <v>0.26716299831418244</v>
      </c>
      <c r="AV27" s="1715">
        <f t="shared" si="25"/>
        <v>103.38983050847457</v>
      </c>
      <c r="AW27" s="337">
        <f t="shared" si="37"/>
        <v>26000</v>
      </c>
      <c r="AX27" s="337">
        <f t="shared" si="38"/>
        <v>35000</v>
      </c>
      <c r="AY27" s="337">
        <f t="shared" si="48"/>
        <v>63000</v>
      </c>
      <c r="AZ27" s="439">
        <f t="shared" si="18"/>
        <v>0.26235433037289579</v>
      </c>
      <c r="BA27" s="1715">
        <f t="shared" si="26"/>
        <v>103.27868852459017</v>
      </c>
      <c r="BB27" s="337">
        <f t="shared" si="39"/>
        <v>27000</v>
      </c>
      <c r="BC27" s="337">
        <f t="shared" si="40"/>
        <v>36000</v>
      </c>
    </row>
    <row r="28" spans="1:55" s="289" customFormat="1">
      <c r="A28" s="1127" t="s">
        <v>49</v>
      </c>
      <c r="B28" s="326" t="s">
        <v>65</v>
      </c>
      <c r="C28" s="439">
        <f t="shared" si="27"/>
        <v>2000</v>
      </c>
      <c r="D28" s="439">
        <v>2000</v>
      </c>
      <c r="E28" s="439">
        <v>0</v>
      </c>
      <c r="F28" s="336">
        <f t="shared" si="49"/>
        <v>2000</v>
      </c>
      <c r="G28" s="1129">
        <f t="shared" si="3"/>
        <v>1.3303466164895399E-2</v>
      </c>
      <c r="H28" s="1129">
        <f t="shared" si="0"/>
        <v>100</v>
      </c>
      <c r="I28" s="336">
        <f>D28</f>
        <v>2000</v>
      </c>
      <c r="J28" s="336">
        <f>E28</f>
        <v>0</v>
      </c>
      <c r="K28" s="336">
        <f>+N28</f>
        <v>2000</v>
      </c>
      <c r="L28" s="1135">
        <f t="shared" si="11"/>
        <v>1.2642229027253168E-2</v>
      </c>
      <c r="M28" s="1129">
        <f t="shared" si="21"/>
        <v>100</v>
      </c>
      <c r="N28" s="336">
        <f>'Phụ lục số 2'!D29</f>
        <v>2000</v>
      </c>
      <c r="O28" s="336">
        <f>'Phụ lục số 2'!E29</f>
        <v>0</v>
      </c>
      <c r="P28" s="336">
        <f t="shared" si="41"/>
        <v>2000</v>
      </c>
      <c r="Q28" s="591">
        <f t="shared" si="12"/>
        <v>1.1566246732617226E-2</v>
      </c>
      <c r="R28" s="1537">
        <f t="shared" si="28"/>
        <v>100</v>
      </c>
      <c r="S28" s="336">
        <f>'Phụ lục số 2'!S29</f>
        <v>2000</v>
      </c>
      <c r="T28" s="336">
        <f>'Phụ lục số 2'!T29</f>
        <v>0</v>
      </c>
      <c r="U28" s="336">
        <f t="shared" si="42"/>
        <v>2000</v>
      </c>
      <c r="V28" s="1129">
        <f t="shared" si="14"/>
        <v>1.0771562198301941E-2</v>
      </c>
      <c r="W28" s="1129">
        <f t="shared" si="22"/>
        <v>100</v>
      </c>
      <c r="X28" s="51">
        <f>'Phụ lục số 2'!AA29</f>
        <v>2000</v>
      </c>
      <c r="Y28" s="51">
        <f>'Phụ lục số 2'!AB29</f>
        <v>0</v>
      </c>
      <c r="Z28" s="336">
        <f t="shared" si="43"/>
        <v>2000</v>
      </c>
      <c r="AA28" s="1129">
        <f t="shared" si="19"/>
        <v>1.0299304689562831E-2</v>
      </c>
      <c r="AB28" s="1129">
        <f t="shared" si="20"/>
        <v>100</v>
      </c>
      <c r="AC28" s="183">
        <f>'Phụ lục số 2'!AF29</f>
        <v>2000</v>
      </c>
      <c r="AD28" s="183">
        <f>'Phụ lục số 2'!AG29</f>
        <v>0</v>
      </c>
      <c r="AE28" s="1495">
        <f t="shared" si="44"/>
        <v>2000</v>
      </c>
      <c r="AF28" s="1699">
        <f t="shared" si="29"/>
        <v>9.8138846259240922E-3</v>
      </c>
      <c r="AG28" s="1699">
        <f t="shared" si="30"/>
        <v>100</v>
      </c>
      <c r="AH28" s="183">
        <f>'Phụ lục số 2'!AK29</f>
        <v>2000</v>
      </c>
      <c r="AI28" s="183">
        <f>'Phụ lục số 2'!AL29</f>
        <v>0</v>
      </c>
      <c r="AJ28" s="337">
        <f t="shared" si="45"/>
        <v>2000</v>
      </c>
      <c r="AK28" s="439">
        <f t="shared" si="5"/>
        <v>9.5501858034385372E-3</v>
      </c>
      <c r="AL28" s="1715">
        <f t="shared" si="23"/>
        <v>100</v>
      </c>
      <c r="AM28" s="337">
        <f>ROUND(INT(AH28*(1.1)),-3)</f>
        <v>2000</v>
      </c>
      <c r="AN28" s="337">
        <f>ROUND(INT(AI28*1.01),-3)</f>
        <v>0</v>
      </c>
      <c r="AO28" s="337">
        <f t="shared" si="46"/>
        <v>2000</v>
      </c>
      <c r="AP28" s="439">
        <f t="shared" si="7"/>
        <v>9.1605328930610148E-3</v>
      </c>
      <c r="AQ28" s="1715">
        <f t="shared" si="24"/>
        <v>100</v>
      </c>
      <c r="AR28" s="337">
        <f>ROUND(INT(AM28*(1.1)),-3)</f>
        <v>2000</v>
      </c>
      <c r="AS28" s="337">
        <f>ROUND(INT(AN28*1.01),-3)</f>
        <v>0</v>
      </c>
      <c r="AT28" s="337">
        <f t="shared" si="47"/>
        <v>2000</v>
      </c>
      <c r="AU28" s="439">
        <f t="shared" si="17"/>
        <v>8.7594425676781121E-3</v>
      </c>
      <c r="AV28" s="1715">
        <f t="shared" si="25"/>
        <v>100</v>
      </c>
      <c r="AW28" s="337">
        <f t="shared" si="37"/>
        <v>2000</v>
      </c>
      <c r="AX28" s="337">
        <f t="shared" si="38"/>
        <v>0</v>
      </c>
      <c r="AY28" s="337">
        <f t="shared" si="48"/>
        <v>2000</v>
      </c>
      <c r="AZ28" s="439">
        <f t="shared" si="18"/>
        <v>8.3287089007268514E-3</v>
      </c>
      <c r="BA28" s="1715">
        <f t="shared" si="26"/>
        <v>100</v>
      </c>
      <c r="BB28" s="337">
        <f t="shared" si="39"/>
        <v>2000</v>
      </c>
      <c r="BC28" s="337">
        <f t="shared" si="40"/>
        <v>0</v>
      </c>
    </row>
    <row r="29" spans="1:55" s="289" customFormat="1">
      <c r="A29" s="1127" t="s">
        <v>50</v>
      </c>
      <c r="B29" s="326" t="s">
        <v>87</v>
      </c>
      <c r="C29" s="439">
        <f t="shared" si="27"/>
        <v>273066</v>
      </c>
      <c r="D29" s="439">
        <v>135198</v>
      </c>
      <c r="E29" s="439">
        <v>137868</v>
      </c>
      <c r="F29" s="336">
        <f>I29+J29</f>
        <v>0</v>
      </c>
      <c r="G29" s="1129">
        <f t="shared" si="3"/>
        <v>0</v>
      </c>
      <c r="H29" s="1129">
        <f t="shared" si="0"/>
        <v>0</v>
      </c>
      <c r="I29" s="336"/>
      <c r="J29" s="336"/>
      <c r="K29" s="336">
        <f>262830+11793</f>
        <v>274623</v>
      </c>
      <c r="L29" s="1130">
        <f t="shared" si="11"/>
        <v>1.7359234310756735</v>
      </c>
      <c r="M29" s="1129">
        <f t="shared" si="21"/>
        <v>100.57019182175738</v>
      </c>
      <c r="N29" s="336">
        <f>'Phụ lục số 2'!D30</f>
        <v>135382</v>
      </c>
      <c r="O29" s="336">
        <f>'Phụ lục số 2'!E30</f>
        <v>139241</v>
      </c>
      <c r="P29" s="336">
        <f>SUM(S29:T29)</f>
        <v>274623</v>
      </c>
      <c r="Q29" s="591">
        <f t="shared" si="12"/>
        <v>1.5881786882257702</v>
      </c>
      <c r="R29" s="1537">
        <f t="shared" si="28"/>
        <v>100</v>
      </c>
      <c r="S29" s="336">
        <f>'Phụ lục số 2'!S30</f>
        <v>135382</v>
      </c>
      <c r="T29" s="336">
        <f>'Phụ lục số 2'!T30</f>
        <v>139241</v>
      </c>
      <c r="U29" s="336">
        <f t="shared" si="42"/>
        <v>327868.91231904214</v>
      </c>
      <c r="V29" s="1129">
        <f t="shared" si="14"/>
        <v>1.7658301909670839</v>
      </c>
      <c r="W29" s="1129">
        <f t="shared" si="22"/>
        <v>119.38873012058063</v>
      </c>
      <c r="X29" s="336">
        <f>'Phụ lục số 2'!AA30</f>
        <v>152264.36799999999</v>
      </c>
      <c r="Y29" s="336">
        <f>'Phụ lục số 2'!AB30</f>
        <v>175604.54431904212</v>
      </c>
      <c r="Z29" s="336">
        <f t="shared" si="43"/>
        <v>347000</v>
      </c>
      <c r="AA29" s="1129">
        <f t="shared" si="19"/>
        <v>1.786929363639151</v>
      </c>
      <c r="AB29" s="1129">
        <f t="shared" si="20"/>
        <v>105.83498067738176</v>
      </c>
      <c r="AC29" s="183">
        <f>'Phụ lục số 2'!AF30</f>
        <v>171000</v>
      </c>
      <c r="AD29" s="183">
        <f>'Phụ lục số 2'!AG30</f>
        <v>176000</v>
      </c>
      <c r="AE29" s="1495">
        <f t="shared" si="44"/>
        <v>361000</v>
      </c>
      <c r="AF29" s="1699">
        <f t="shared" si="29"/>
        <v>1.7714061749792989</v>
      </c>
      <c r="AG29" s="1699">
        <f t="shared" si="30"/>
        <v>104.03458213256484</v>
      </c>
      <c r="AH29" s="183">
        <f>'Phụ lục số 2'!AK30</f>
        <v>185000</v>
      </c>
      <c r="AI29" s="183">
        <f>'Phụ lục số 2'!AL30</f>
        <v>176000</v>
      </c>
      <c r="AJ29" s="337">
        <f t="shared" si="45"/>
        <v>371000</v>
      </c>
      <c r="AK29" s="439">
        <f t="shared" si="5"/>
        <v>1.7715594665378487</v>
      </c>
      <c r="AL29" s="1715">
        <f t="shared" si="23"/>
        <v>102.77008310249307</v>
      </c>
      <c r="AM29" s="337">
        <f>ROUND(INT(AH29*$AM$44),-3)</f>
        <v>191000</v>
      </c>
      <c r="AN29" s="337">
        <f>ROUND(INT(AI29*$AN$44),-3)</f>
        <v>180000</v>
      </c>
      <c r="AO29" s="337">
        <f t="shared" si="46"/>
        <v>381000</v>
      </c>
      <c r="AP29" s="439">
        <f t="shared" si="7"/>
        <v>1.7450815161281232</v>
      </c>
      <c r="AQ29" s="1715">
        <f t="shared" si="24"/>
        <v>102.69541778975741</v>
      </c>
      <c r="AR29" s="337">
        <f t="shared" ref="AR29" si="50">ROUND(INT(AM29*$AR$44),-3)</f>
        <v>195000</v>
      </c>
      <c r="AS29" s="337">
        <f t="shared" ref="AS29" si="51">ROUND(INT(AN29*$AS$44),-3)</f>
        <v>186000</v>
      </c>
      <c r="AT29" s="337">
        <f t="shared" si="47"/>
        <v>393000</v>
      </c>
      <c r="AU29" s="439">
        <f t="shared" si="17"/>
        <v>1.7212304645487491</v>
      </c>
      <c r="AV29" s="1715">
        <f t="shared" si="25"/>
        <v>103.14960629921259</v>
      </c>
      <c r="AW29" s="337">
        <f t="shared" si="37"/>
        <v>201000</v>
      </c>
      <c r="AX29" s="337">
        <f t="shared" si="38"/>
        <v>192000</v>
      </c>
      <c r="AY29" s="337">
        <f t="shared" si="48"/>
        <v>406000</v>
      </c>
      <c r="AZ29" s="439">
        <f t="shared" si="18"/>
        <v>1.6907279068475507</v>
      </c>
      <c r="BA29" s="1715">
        <f t="shared" si="26"/>
        <v>103.30788804071247</v>
      </c>
      <c r="BB29" s="337">
        <f t="shared" si="39"/>
        <v>208000</v>
      </c>
      <c r="BC29" s="337">
        <f t="shared" si="40"/>
        <v>198000</v>
      </c>
    </row>
    <row r="30" spans="1:55" s="289" customFormat="1">
      <c r="A30" s="1127" t="s">
        <v>72</v>
      </c>
      <c r="B30" s="326" t="s">
        <v>143</v>
      </c>
      <c r="C30" s="439">
        <f t="shared" si="27"/>
        <v>0</v>
      </c>
      <c r="D30" s="439">
        <v>0</v>
      </c>
      <c r="E30" s="439">
        <v>0</v>
      </c>
      <c r="F30" s="336">
        <f>I30+J30</f>
        <v>560414</v>
      </c>
      <c r="G30" s="1129"/>
      <c r="H30" s="1129"/>
      <c r="I30" s="336">
        <f>IF(('[3]Phụ lục số 3-thu bs'!V18+$D$30)&lt;0,0,('[3]Phụ lục số 3-thu bs'!V18+$D$30))</f>
        <v>0</v>
      </c>
      <c r="J30" s="336">
        <f>INT(IF(('[3]Phụ lục số 3-thu bs'!W18+$E$30)&lt;0,0,('[3]Phụ lục số 3-thu bs'!W18+$E$30)))+115305</f>
        <v>560414</v>
      </c>
      <c r="K30" s="336">
        <f>N30+O30</f>
        <v>0</v>
      </c>
      <c r="L30" s="1130"/>
      <c r="M30" s="1129"/>
      <c r="N30" s="336">
        <f>'Phụ lục số 2'!D31</f>
        <v>0</v>
      </c>
      <c r="O30" s="336">
        <f>'Phụ lục số 2'!E31</f>
        <v>0</v>
      </c>
      <c r="P30" s="336">
        <f>S30+T30</f>
        <v>431000</v>
      </c>
      <c r="Q30" s="591">
        <f t="shared" si="12"/>
        <v>2.4925261708790121</v>
      </c>
      <c r="R30" s="1537" t="e">
        <f t="shared" si="28"/>
        <v>#DIV/0!</v>
      </c>
      <c r="S30" s="336">
        <f>'Phụ lục số 2'!S31</f>
        <v>89700</v>
      </c>
      <c r="T30" s="336">
        <f>'Phụ lục số 2'!T31</f>
        <v>341300</v>
      </c>
      <c r="U30" s="336">
        <f t="shared" si="42"/>
        <v>0</v>
      </c>
      <c r="V30" s="1129"/>
      <c r="W30" s="1129" t="e">
        <f t="shared" si="22"/>
        <v>#DIV/0!</v>
      </c>
      <c r="X30" s="336">
        <f>'Phụ lục số 2'!AA31</f>
        <v>0</v>
      </c>
      <c r="Y30" s="336">
        <f>'Phụ lục số 2'!AB31</f>
        <v>0</v>
      </c>
      <c r="Z30" s="336">
        <f t="shared" si="43"/>
        <v>0</v>
      </c>
      <c r="AA30" s="1129">
        <f t="shared" si="19"/>
        <v>0</v>
      </c>
      <c r="AB30" s="1129"/>
      <c r="AC30" s="183">
        <f>'Phụ lục số 2'!AF31</f>
        <v>0</v>
      </c>
      <c r="AD30" s="183">
        <f>'Phụ lục số 2'!AG31</f>
        <v>0</v>
      </c>
      <c r="AE30" s="1495">
        <f t="shared" si="44"/>
        <v>0</v>
      </c>
      <c r="AF30" s="1699">
        <f t="shared" si="29"/>
        <v>0</v>
      </c>
      <c r="AG30" s="1699" t="e">
        <f t="shared" si="30"/>
        <v>#DIV/0!</v>
      </c>
      <c r="AH30" s="183">
        <f>'Phụ lục số 2'!AK31</f>
        <v>0</v>
      </c>
      <c r="AI30" s="183">
        <f>'Phụ lục số 2'!AL31</f>
        <v>0</v>
      </c>
      <c r="AJ30" s="337">
        <f>AM30+AN30</f>
        <v>346198</v>
      </c>
      <c r="AK30" s="439">
        <f t="shared" si="5"/>
        <v>1.6531276123894072</v>
      </c>
      <c r="AL30" s="1715" t="e">
        <f t="shared" si="23"/>
        <v>#DIV/0!</v>
      </c>
      <c r="AM30" s="337">
        <f>AH30+'[3]Phụ lục số 3-1'!AB42+17000</f>
        <v>172000</v>
      </c>
      <c r="AN30" s="337">
        <f>AI30+'[3]Phụ lục số 3-1'!AC42+2698</f>
        <v>174198</v>
      </c>
      <c r="AO30" s="337">
        <f>AR30+AS30</f>
        <v>715698</v>
      </c>
      <c r="AP30" s="439">
        <f t="shared" si="7"/>
        <v>3.2780875352489907</v>
      </c>
      <c r="AQ30" s="1715"/>
      <c r="AR30" s="337">
        <f>AM30+'[3]Phụ lục số 3-thu bs -1'!AE42</f>
        <v>272500</v>
      </c>
      <c r="AS30" s="337">
        <f>AN30+'[3]Phụ lục số 3-thu bs -1'!AF42</f>
        <v>443198</v>
      </c>
      <c r="AT30" s="337">
        <f>AW30+AX30</f>
        <v>1187126</v>
      </c>
      <c r="AU30" s="439">
        <f t="shared" si="17"/>
        <v>5.1992810087987236</v>
      </c>
      <c r="AV30" s="1715"/>
      <c r="AW30" s="337">
        <f>AR30+'[3]Phụ lục số 3-1'!AH43+23500</f>
        <v>476000</v>
      </c>
      <c r="AX30" s="337">
        <f>AS30+'[3]Phụ lục số 3-1'!AI43-4572</f>
        <v>711126</v>
      </c>
      <c r="AY30" s="337">
        <f>BB30+BC30</f>
        <v>1739234.1</v>
      </c>
      <c r="AZ30" s="439">
        <f t="shared" si="18"/>
        <v>7.242787264558828</v>
      </c>
      <c r="BA30" s="1715"/>
      <c r="BB30" s="337">
        <f>AW30+'[3]Phụ lục số 3-1'!AK42+32000</f>
        <v>701000</v>
      </c>
      <c r="BC30" s="337">
        <f>AX30+'[3]Phụ lục số 3-1'!AL43+29108.1</f>
        <v>1038234.1</v>
      </c>
    </row>
    <row r="31" spans="1:55" s="289" customFormat="1">
      <c r="A31" s="1127" t="s">
        <v>100</v>
      </c>
      <c r="B31" s="326" t="s">
        <v>1316</v>
      </c>
      <c r="C31" s="439"/>
      <c r="D31" s="439"/>
      <c r="E31" s="439"/>
      <c r="F31" s="336"/>
      <c r="G31" s="1129"/>
      <c r="H31" s="1129"/>
      <c r="I31" s="336"/>
      <c r="J31" s="336"/>
      <c r="K31" s="336">
        <f t="shared" ref="K31:K33" si="52">N31+O31</f>
        <v>0</v>
      </c>
      <c r="L31" s="1130"/>
      <c r="M31" s="1129"/>
      <c r="N31" s="336">
        <f>'Phụ lục số 2'!D32</f>
        <v>0</v>
      </c>
      <c r="O31" s="336">
        <f>'Phụ lục số 2'!E32</f>
        <v>0</v>
      </c>
      <c r="P31" s="336">
        <f t="shared" ref="P31:P33" si="53">S31+T31</f>
        <v>357489.34666666656</v>
      </c>
      <c r="Q31" s="591"/>
      <c r="R31" s="1537"/>
      <c r="S31" s="336">
        <f>'Phụ lục số 2'!S32</f>
        <v>0</v>
      </c>
      <c r="T31" s="336">
        <f>'Phụ lục số 2'!T32</f>
        <v>357489.34666666656</v>
      </c>
      <c r="U31" s="336">
        <f t="shared" si="42"/>
        <v>717399.2</v>
      </c>
      <c r="V31" s="1129"/>
      <c r="W31" s="1129"/>
      <c r="X31" s="336">
        <f>'Phụ lục số 2'!AA32</f>
        <v>79139.200000000012</v>
      </c>
      <c r="Y31" s="336">
        <f>'Phụ lục số 2'!AB32</f>
        <v>638260</v>
      </c>
      <c r="Z31" s="336">
        <f t="shared" si="43"/>
        <v>881301.31019487511</v>
      </c>
      <c r="AA31" s="1129"/>
      <c r="AB31" s="1129"/>
      <c r="AC31" s="183">
        <f>'Phụ lục số 2'!AF32</f>
        <v>565518.00845279661</v>
      </c>
      <c r="AD31" s="183">
        <f>'Phụ lục số 2'!AG32</f>
        <v>315783.30174207845</v>
      </c>
      <c r="AE31" s="1495">
        <f t="shared" si="44"/>
        <v>1235804.6166233711</v>
      </c>
      <c r="AF31" s="1699"/>
      <c r="AG31" s="1699"/>
      <c r="AH31" s="183">
        <f>'Phụ lục số 2'!AK32</f>
        <v>1038397.953674953</v>
      </c>
      <c r="AI31" s="183">
        <f>'Phụ lục số 2'!AL32</f>
        <v>197406.66294841812</v>
      </c>
      <c r="AJ31" s="337"/>
      <c r="AK31" s="439"/>
      <c r="AL31" s="1715"/>
      <c r="AM31" s="337"/>
      <c r="AN31" s="337"/>
      <c r="AO31" s="337"/>
      <c r="AP31" s="439"/>
      <c r="AQ31" s="1715"/>
      <c r="AR31" s="337"/>
      <c r="AS31" s="337"/>
      <c r="AT31" s="337"/>
      <c r="AU31" s="439"/>
      <c r="AV31" s="1715"/>
      <c r="AW31" s="337"/>
      <c r="AX31" s="337"/>
      <c r="AY31" s="337"/>
      <c r="AZ31" s="439"/>
      <c r="BA31" s="1715"/>
      <c r="BB31" s="337"/>
      <c r="BC31" s="337"/>
    </row>
    <row r="32" spans="1:55" s="289" customFormat="1">
      <c r="A32" s="1127" t="s">
        <v>151</v>
      </c>
      <c r="B32" s="326" t="s">
        <v>1754</v>
      </c>
      <c r="C32" s="439"/>
      <c r="D32" s="439"/>
      <c r="E32" s="439"/>
      <c r="F32" s="336"/>
      <c r="G32" s="1129"/>
      <c r="H32" s="1129"/>
      <c r="I32" s="336"/>
      <c r="J32" s="336"/>
      <c r="K32" s="336">
        <f t="shared" si="52"/>
        <v>0</v>
      </c>
      <c r="L32" s="1130"/>
      <c r="M32" s="1129"/>
      <c r="N32" s="336">
        <f>'Phụ lục số 2'!D33</f>
        <v>0</v>
      </c>
      <c r="O32" s="336">
        <f>'Phụ lục số 2'!E33</f>
        <v>0</v>
      </c>
      <c r="P32" s="336">
        <f t="shared" si="53"/>
        <v>153209.71999999997</v>
      </c>
      <c r="Q32" s="591"/>
      <c r="R32" s="1537"/>
      <c r="S32" s="336">
        <f>'Phụ lục số 2'!S33</f>
        <v>0</v>
      </c>
      <c r="T32" s="336">
        <f>'Phụ lục số 2'!T33</f>
        <v>153209.71999999997</v>
      </c>
      <c r="U32" s="336">
        <f t="shared" si="42"/>
        <v>0</v>
      </c>
      <c r="V32" s="1129"/>
      <c r="W32" s="1129"/>
      <c r="X32" s="336">
        <f>'Phụ lục số 2'!AA33</f>
        <v>0</v>
      </c>
      <c r="Y32" s="336">
        <f>'Phụ lục số 2'!AB33</f>
        <v>0</v>
      </c>
      <c r="Z32" s="336">
        <f t="shared" si="43"/>
        <v>0</v>
      </c>
      <c r="AA32" s="1129"/>
      <c r="AB32" s="1129"/>
      <c r="AC32" s="183">
        <f>'Phụ lục số 2'!AF33</f>
        <v>0</v>
      </c>
      <c r="AD32" s="183">
        <f>'Phụ lục số 2'!AG33</f>
        <v>0</v>
      </c>
      <c r="AE32" s="1495">
        <f t="shared" si="44"/>
        <v>0</v>
      </c>
      <c r="AF32" s="1699"/>
      <c r="AG32" s="1699"/>
      <c r="AH32" s="183">
        <f>'Phụ lục số 2'!AK33</f>
        <v>0</v>
      </c>
      <c r="AI32" s="183">
        <f>'Phụ lục số 2'!AL33</f>
        <v>0</v>
      </c>
      <c r="AJ32" s="337"/>
      <c r="AK32" s="439"/>
      <c r="AL32" s="1715"/>
      <c r="AM32" s="337"/>
      <c r="AN32" s="337"/>
      <c r="AO32" s="337"/>
      <c r="AP32" s="439"/>
      <c r="AQ32" s="1715"/>
      <c r="AR32" s="337"/>
      <c r="AS32" s="337"/>
      <c r="AT32" s="337"/>
      <c r="AU32" s="439"/>
      <c r="AV32" s="1715"/>
      <c r="AW32" s="337"/>
      <c r="AX32" s="337"/>
      <c r="AY32" s="337"/>
      <c r="AZ32" s="439"/>
      <c r="BA32" s="1715"/>
      <c r="BB32" s="337"/>
      <c r="BC32" s="337"/>
    </row>
    <row r="33" spans="1:55" s="289" customFormat="1">
      <c r="A33" s="1127" t="s">
        <v>229</v>
      </c>
      <c r="B33" s="326" t="s">
        <v>126</v>
      </c>
      <c r="C33" s="439">
        <f t="shared" si="27"/>
        <v>2000</v>
      </c>
      <c r="D33" s="439">
        <v>2000</v>
      </c>
      <c r="E33" s="439">
        <v>0</v>
      </c>
      <c r="F33" s="336">
        <f>I33+J33</f>
        <v>2000</v>
      </c>
      <c r="G33" s="1129"/>
      <c r="H33" s="1129"/>
      <c r="I33" s="336">
        <f>D33</f>
        <v>2000</v>
      </c>
      <c r="J33" s="336">
        <f>E33</f>
        <v>0</v>
      </c>
      <c r="K33" s="336">
        <f t="shared" si="52"/>
        <v>0</v>
      </c>
      <c r="L33" s="1130"/>
      <c r="M33" s="1129"/>
      <c r="N33" s="336">
        <f>'Phụ lục số 2'!D34</f>
        <v>0</v>
      </c>
      <c r="O33" s="336">
        <f>'Phụ lục số 2'!E34</f>
        <v>0</v>
      </c>
      <c r="P33" s="336">
        <f t="shared" si="53"/>
        <v>0</v>
      </c>
      <c r="Q33" s="591">
        <f t="shared" si="12"/>
        <v>0</v>
      </c>
      <c r="R33" s="1537" t="e">
        <f t="shared" si="28"/>
        <v>#DIV/0!</v>
      </c>
      <c r="S33" s="336">
        <f>'Phụ lục số 2'!S34</f>
        <v>0</v>
      </c>
      <c r="T33" s="336">
        <f>'Phụ lục số 2'!T34</f>
        <v>0</v>
      </c>
      <c r="U33" s="336">
        <f t="shared" si="42"/>
        <v>3000</v>
      </c>
      <c r="V33" s="1129"/>
      <c r="W33" s="1129"/>
      <c r="X33" s="336">
        <f>'Phụ lục số 2'!AA34</f>
        <v>3000</v>
      </c>
      <c r="Y33" s="336">
        <f>'Phụ lục số 2'!AB34</f>
        <v>0</v>
      </c>
      <c r="Z33" s="336">
        <f t="shared" si="43"/>
        <v>3000</v>
      </c>
      <c r="AA33" s="1129"/>
      <c r="AB33" s="1129"/>
      <c r="AC33" s="183">
        <f>'Phụ lục số 2'!AF34</f>
        <v>3000</v>
      </c>
      <c r="AD33" s="183">
        <f>'Phụ lục số 2'!AG34</f>
        <v>0</v>
      </c>
      <c r="AE33" s="1495">
        <f t="shared" si="44"/>
        <v>3000</v>
      </c>
      <c r="AF33" s="1699">
        <f t="shared" si="29"/>
        <v>1.4720826938886138E-2</v>
      </c>
      <c r="AG33" s="1699"/>
      <c r="AH33" s="183">
        <f>'Phụ lục số 2'!AK34</f>
        <v>3000</v>
      </c>
      <c r="AI33" s="183">
        <f>'Phụ lục số 2'!AL34</f>
        <v>0</v>
      </c>
      <c r="AJ33" s="337">
        <f>AM33+AN33</f>
        <v>0</v>
      </c>
      <c r="AK33" s="439">
        <f t="shared" si="5"/>
        <v>0</v>
      </c>
      <c r="AL33" s="1715"/>
      <c r="AM33" s="337">
        <f>INT(ROUND('[3]Phụ lục số 1-1'!AT58*3.4314%,-3))</f>
        <v>0</v>
      </c>
      <c r="AN33" s="337"/>
      <c r="AO33" s="337">
        <f>AR33+AS33</f>
        <v>0</v>
      </c>
      <c r="AP33" s="439">
        <f t="shared" si="7"/>
        <v>0</v>
      </c>
      <c r="AQ33" s="1715"/>
      <c r="AR33" s="337">
        <f>INT(ROUND('[3]Phụ lục số 1-1'!AY58*3.4314%,-3))</f>
        <v>0</v>
      </c>
      <c r="AS33" s="337"/>
      <c r="AT33" s="337">
        <f>AW33+AX33</f>
        <v>0</v>
      </c>
      <c r="AU33" s="439">
        <f t="shared" si="17"/>
        <v>0</v>
      </c>
      <c r="AV33" s="1715"/>
      <c r="AW33" s="337">
        <f>INT(ROUND('[3]Phụ lục số 1-1'!BD58*3.4314%,-3))</f>
        <v>0</v>
      </c>
      <c r="AX33" s="337"/>
      <c r="AY33" s="337">
        <f>BB33+BC33</f>
        <v>0</v>
      </c>
      <c r="AZ33" s="439">
        <f t="shared" si="18"/>
        <v>0</v>
      </c>
      <c r="BA33" s="1715"/>
      <c r="BB33" s="337">
        <f>INT(ROUND('[3]Phụ lục số 1-1'!BI58*3.4314%,-3))</f>
        <v>0</v>
      </c>
      <c r="BC33" s="337"/>
    </row>
    <row r="34" spans="1:55" s="289" customFormat="1">
      <c r="A34" s="1127" t="s">
        <v>22</v>
      </c>
      <c r="B34" s="326" t="s">
        <v>51</v>
      </c>
      <c r="C34" s="439">
        <f t="shared" si="27"/>
        <v>1213473</v>
      </c>
      <c r="D34" s="439">
        <f>SUM(D35:D36)</f>
        <v>1213473</v>
      </c>
      <c r="E34" s="439">
        <f>SUM(E35:E36)</f>
        <v>0</v>
      </c>
      <c r="F34" s="336">
        <f>SUM(F35:F36)</f>
        <v>1213473</v>
      </c>
      <c r="G34" s="1129">
        <f t="shared" si="3"/>
        <v>8.0716984987570566</v>
      </c>
      <c r="H34" s="1129">
        <f t="shared" si="0"/>
        <v>100</v>
      </c>
      <c r="I34" s="336">
        <f>SUM(I35:I36)</f>
        <v>1213473</v>
      </c>
      <c r="J34" s="336">
        <f>SUM(J35:J36)</f>
        <v>0</v>
      </c>
      <c r="K34" s="336">
        <f>N34+O34</f>
        <v>2597007</v>
      </c>
      <c r="L34" s="1130">
        <f>K34/$K$7*100</f>
        <v>16.415978639689836</v>
      </c>
      <c r="M34" s="1129">
        <f>K34/C34%</f>
        <v>214.01440328709415</v>
      </c>
      <c r="N34" s="336">
        <f>SUM(N35:N36)</f>
        <v>2597007</v>
      </c>
      <c r="O34" s="336">
        <f>SUM(O35:O36)</f>
        <v>0</v>
      </c>
      <c r="P34" s="336">
        <f>S34+T34</f>
        <v>2597007</v>
      </c>
      <c r="Q34" s="591">
        <f t="shared" si="12"/>
        <v>15.018811864167033</v>
      </c>
      <c r="R34" s="1537">
        <f t="shared" si="28"/>
        <v>100</v>
      </c>
      <c r="S34" s="336">
        <f>SUM(S35:S36)</f>
        <v>2597007</v>
      </c>
      <c r="T34" s="336">
        <f>SUM(T35:T36)</f>
        <v>0</v>
      </c>
      <c r="U34" s="336">
        <f>X34+Y34</f>
        <v>1988976</v>
      </c>
      <c r="V34" s="1129">
        <f>U34/$K$7*100</f>
        <v>12.572545060854951</v>
      </c>
      <c r="W34" s="1129"/>
      <c r="X34" s="336">
        <f>SUM(X35:X36)</f>
        <v>1988976</v>
      </c>
      <c r="Y34" s="336">
        <f>SUM(Y35:Y36)</f>
        <v>0</v>
      </c>
      <c r="Z34" s="336">
        <f>AC34+AD34</f>
        <v>2379485.2999999998</v>
      </c>
      <c r="AA34" s="1129">
        <f t="shared" si="19"/>
        <v>12.253522054517909</v>
      </c>
      <c r="AB34" s="1129"/>
      <c r="AC34" s="1495">
        <f>SUM(AC35:AC36)</f>
        <v>2379485.2999999998</v>
      </c>
      <c r="AD34" s="1495">
        <f>SUM(AD35:AD36)</f>
        <v>0</v>
      </c>
      <c r="AE34" s="1495">
        <f>AH34+AI34</f>
        <v>2379485.2999999998</v>
      </c>
      <c r="AF34" s="1699">
        <f t="shared" si="29"/>
        <v>11.675997101641187</v>
      </c>
      <c r="AG34" s="1699"/>
      <c r="AH34" s="1495">
        <f>SUM(AH35:AH36)</f>
        <v>2379485.2999999998</v>
      </c>
      <c r="AI34" s="1495">
        <f>SUM(AI35:AI36)</f>
        <v>0</v>
      </c>
      <c r="AJ34" s="337">
        <f>AM34+AN34</f>
        <v>3352485.3</v>
      </c>
      <c r="AK34" s="439">
        <f t="shared" si="5"/>
        <v>16.008428759148192</v>
      </c>
      <c r="AL34" s="1715"/>
      <c r="AM34" s="337">
        <f>SUM(AM35:AM36)</f>
        <v>3352485.3</v>
      </c>
      <c r="AN34" s="337">
        <f>SUM(AN35:AN36)</f>
        <v>0</v>
      </c>
      <c r="AO34" s="337">
        <f>AR34+AS34</f>
        <v>3352485.3</v>
      </c>
      <c r="AP34" s="439">
        <f t="shared" si="7"/>
        <v>15.35527593207676</v>
      </c>
      <c r="AQ34" s="1715"/>
      <c r="AR34" s="337">
        <f>SUM(AR35:AR36)</f>
        <v>3352485.3</v>
      </c>
      <c r="AS34" s="337">
        <f>SUM(AS35:AS36)</f>
        <v>0</v>
      </c>
      <c r="AT34" s="337">
        <f>AW34+AX34</f>
        <v>3352485.3</v>
      </c>
      <c r="AU34" s="439">
        <f t="shared" si="17"/>
        <v>14.682951222167562</v>
      </c>
      <c r="AV34" s="1715"/>
      <c r="AW34" s="337">
        <f>SUM(AW35:AW36)</f>
        <v>3352485.3</v>
      </c>
      <c r="AX34" s="337">
        <f>SUM(AX35:AX36)</f>
        <v>0</v>
      </c>
      <c r="AY34" s="337">
        <f>BB34+BC34</f>
        <v>3352485.3</v>
      </c>
      <c r="AZ34" s="439">
        <f t="shared" si="18"/>
        <v>13.960937078832963</v>
      </c>
      <c r="BA34" s="1715"/>
      <c r="BB34" s="337">
        <f>SUM(BB35:BB36)</f>
        <v>3352485.3</v>
      </c>
      <c r="BC34" s="337">
        <f>SUM(BC35:BC36)</f>
        <v>0</v>
      </c>
    </row>
    <row r="35" spans="1:55">
      <c r="A35" s="499" t="s">
        <v>9</v>
      </c>
      <c r="B35" s="604" t="s">
        <v>1306</v>
      </c>
      <c r="C35" s="485">
        <f t="shared" si="27"/>
        <v>1127000</v>
      </c>
      <c r="D35" s="485">
        <v>1127000</v>
      </c>
      <c r="E35" s="485"/>
      <c r="F35" s="51">
        <f>SUM(I35,J35)</f>
        <v>1127000</v>
      </c>
      <c r="G35" s="1133"/>
      <c r="H35" s="1133"/>
      <c r="I35" s="51">
        <f>D35</f>
        <v>1127000</v>
      </c>
      <c r="J35" s="51">
        <f>E35</f>
        <v>0</v>
      </c>
      <c r="K35" s="51">
        <f>N35+O35</f>
        <v>2417971</v>
      </c>
      <c r="L35" s="1134">
        <f>K35/$K$7*100</f>
        <v>15.284271581628186</v>
      </c>
      <c r="M35" s="1133"/>
      <c r="N35" s="51">
        <f>'Phụ lục số 2'!D36</f>
        <v>2417971</v>
      </c>
      <c r="O35" s="51">
        <f>'Phụ lục số 2'!E36</f>
        <v>0</v>
      </c>
      <c r="P35" s="51">
        <f>S35+T35</f>
        <v>2417971</v>
      </c>
      <c r="Q35" s="591">
        <f t="shared" si="12"/>
        <v>13.983424589156604</v>
      </c>
      <c r="R35" s="1537">
        <f t="shared" si="28"/>
        <v>100</v>
      </c>
      <c r="S35" s="51">
        <f>'Phụ lục số 2'!S36</f>
        <v>2417971</v>
      </c>
      <c r="T35" s="51">
        <f>'Phụ lục số 2'!T36</f>
        <v>0</v>
      </c>
      <c r="U35" s="51">
        <f>X35+Y35</f>
        <v>1814491</v>
      </c>
      <c r="V35" s="1133">
        <f>U35/$K$7*100</f>
        <v>11.469605394944814</v>
      </c>
      <c r="W35" s="1133"/>
      <c r="X35" s="51">
        <f>'Phụ lục số 2'!AA36</f>
        <v>1814491</v>
      </c>
      <c r="Y35" s="51">
        <f>'Phụ lục số 2'!AB36</f>
        <v>0</v>
      </c>
      <c r="Z35" s="51">
        <f>SUM(AC35:AD35)</f>
        <v>2205000</v>
      </c>
      <c r="AA35" s="1133">
        <f>Z35/$K$7*100</f>
        <v>13.93805750254662</v>
      </c>
      <c r="AB35" s="1133"/>
      <c r="AC35" s="183">
        <f>'Phụ lục số 2'!AF36</f>
        <v>2205000</v>
      </c>
      <c r="AD35" s="183">
        <f>'Phụ lục số 2'!AG36</f>
        <v>0</v>
      </c>
      <c r="AE35" s="183">
        <f>SUM(AH35:AI35)</f>
        <v>2205000</v>
      </c>
      <c r="AF35" s="1700">
        <f t="shared" si="29"/>
        <v>10.819807800081312</v>
      </c>
      <c r="AG35" s="1700"/>
      <c r="AH35" s="183">
        <f>'Phụ lục số 2'!AK36</f>
        <v>2205000</v>
      </c>
      <c r="AI35" s="183">
        <f>'Phụ lục số 2'!AL36</f>
        <v>0</v>
      </c>
      <c r="AJ35" s="1395">
        <f>'[3]Phụ lục số 1-1'!AP55</f>
        <v>3178000</v>
      </c>
      <c r="AK35" s="485">
        <f t="shared" si="5"/>
        <v>15.175245241663834</v>
      </c>
      <c r="AL35" s="1716"/>
      <c r="AM35" s="1395">
        <f>AJ35-AN35</f>
        <v>3178000</v>
      </c>
      <c r="AN35" s="1395"/>
      <c r="AO35" s="1395">
        <f>'[3]Phụ lục số 1-1'!AU55</f>
        <v>3178000</v>
      </c>
      <c r="AP35" s="485">
        <f t="shared" si="7"/>
        <v>14.55608676707395</v>
      </c>
      <c r="AQ35" s="1716"/>
      <c r="AR35" s="1395">
        <f>AO35-AS35</f>
        <v>3178000</v>
      </c>
      <c r="AS35" s="1395"/>
      <c r="AT35" s="1395">
        <f>'[3]Phụ lục số 1-1'!BD55</f>
        <v>3178000</v>
      </c>
      <c r="AU35" s="485">
        <f t="shared" si="17"/>
        <v>13.918754240040521</v>
      </c>
      <c r="AV35" s="1716"/>
      <c r="AW35" s="1395">
        <f>AT35-AX35</f>
        <v>3178000</v>
      </c>
      <c r="AX35" s="1395"/>
      <c r="AY35" s="1395">
        <f>'[3]Phụ lục số 1-1'!BJ55</f>
        <v>3178000</v>
      </c>
      <c r="AZ35" s="485">
        <f t="shared" si="18"/>
        <v>13.234318443254967</v>
      </c>
      <c r="BA35" s="1716"/>
      <c r="BB35" s="1395">
        <f>AY35-BC35</f>
        <v>3178000</v>
      </c>
      <c r="BC35" s="1395"/>
    </row>
    <row r="36" spans="1:55">
      <c r="A36" s="499" t="s">
        <v>20</v>
      </c>
      <c r="B36" s="604" t="s">
        <v>92</v>
      </c>
      <c r="C36" s="485">
        <f t="shared" si="27"/>
        <v>86473</v>
      </c>
      <c r="D36" s="485">
        <v>86473</v>
      </c>
      <c r="E36" s="485"/>
      <c r="F36" s="51">
        <f>SUM(I36,J36)</f>
        <v>86473</v>
      </c>
      <c r="G36" s="1133"/>
      <c r="H36" s="1133"/>
      <c r="I36" s="51">
        <f>D36</f>
        <v>86473</v>
      </c>
      <c r="J36" s="51">
        <f>E36</f>
        <v>0</v>
      </c>
      <c r="K36" s="51">
        <f>N36+O36</f>
        <v>179036</v>
      </c>
      <c r="L36" s="1134">
        <f>K36/$K$7*100</f>
        <v>1.1317070580616493</v>
      </c>
      <c r="M36" s="1133"/>
      <c r="N36" s="51">
        <f>'Phụ lục số 2'!D37</f>
        <v>179036</v>
      </c>
      <c r="O36" s="51">
        <f>'Phụ lục số 2'!E37</f>
        <v>0</v>
      </c>
      <c r="P36" s="51">
        <f>S36+T36</f>
        <v>179036</v>
      </c>
      <c r="Q36" s="591">
        <f t="shared" si="12"/>
        <v>1.0353872750104289</v>
      </c>
      <c r="R36" s="1537">
        <f t="shared" si="28"/>
        <v>100</v>
      </c>
      <c r="S36" s="51">
        <f>'Phụ lục số 2'!S37</f>
        <v>179036</v>
      </c>
      <c r="T36" s="51">
        <f>'Phụ lục số 2'!T37</f>
        <v>0</v>
      </c>
      <c r="U36" s="51">
        <f t="shared" ref="U36:U38" si="54">X36+Y36</f>
        <v>174485</v>
      </c>
      <c r="V36" s="1133">
        <f>U36/$K$7*100</f>
        <v>1.1029396659101347</v>
      </c>
      <c r="W36" s="1133"/>
      <c r="X36" s="51">
        <f>'Phụ lục số 2'!AA37</f>
        <v>174485</v>
      </c>
      <c r="Y36" s="51">
        <f>'Phụ lục số 2'!AB37</f>
        <v>0</v>
      </c>
      <c r="Z36" s="51">
        <f t="shared" ref="Z36:Z38" si="55">SUM(AC36:AD36)</f>
        <v>174485.3</v>
      </c>
      <c r="AA36" s="1133">
        <f>Z36/$K$7*100</f>
        <v>1.1029415622444887</v>
      </c>
      <c r="AB36" s="1133"/>
      <c r="AC36" s="183">
        <f>'Phụ lục số 2'!AF37</f>
        <v>174485.3</v>
      </c>
      <c r="AD36" s="183">
        <f>'Phụ lục số 2'!AG37</f>
        <v>0</v>
      </c>
      <c r="AE36" s="183">
        <f t="shared" ref="AE36:AE38" si="56">SUM(AH36:AI36)</f>
        <v>174485.3</v>
      </c>
      <c r="AF36" s="1700">
        <f t="shared" si="29"/>
        <v>0.85618930155987649</v>
      </c>
      <c r="AG36" s="1700"/>
      <c r="AH36" s="183">
        <f>'Phụ lục số 2'!AK37</f>
        <v>174485.3</v>
      </c>
      <c r="AI36" s="183">
        <f>'Phụ lục số 2'!AL37</f>
        <v>0</v>
      </c>
      <c r="AJ36" s="1395">
        <f>AE36</f>
        <v>174485.3</v>
      </c>
      <c r="AK36" s="485">
        <f t="shared" si="5"/>
        <v>0.83318351748435693</v>
      </c>
      <c r="AL36" s="1716"/>
      <c r="AM36" s="1395">
        <f>AJ36-AN36</f>
        <v>174485.3</v>
      </c>
      <c r="AN36" s="1395"/>
      <c r="AO36" s="1395">
        <f>AJ36</f>
        <v>174485.3</v>
      </c>
      <c r="AP36" s="485">
        <f t="shared" si="7"/>
        <v>0.79918916500280945</v>
      </c>
      <c r="AQ36" s="1716"/>
      <c r="AR36" s="1395">
        <f>AO36-AS36</f>
        <v>174485.3</v>
      </c>
      <c r="AS36" s="1395"/>
      <c r="AT36" s="1395">
        <f>AO36</f>
        <v>174485.3</v>
      </c>
      <c r="AU36" s="485">
        <f t="shared" si="17"/>
        <v>0.7641969821270429</v>
      </c>
      <c r="AV36" s="1716"/>
      <c r="AW36" s="1395">
        <f>AT36-AX36</f>
        <v>174485.3</v>
      </c>
      <c r="AX36" s="1395"/>
      <c r="AY36" s="1395">
        <f>AT36</f>
        <v>174485.3</v>
      </c>
      <c r="AZ36" s="485">
        <f t="shared" si="18"/>
        <v>0.72661863557799744</v>
      </c>
      <c r="BA36" s="1716"/>
      <c r="BB36" s="1395">
        <f>AY36-BC36</f>
        <v>174485.3</v>
      </c>
      <c r="BC36" s="1395"/>
    </row>
    <row r="37" spans="1:55">
      <c r="A37" s="1420" t="s">
        <v>49</v>
      </c>
      <c r="B37" s="1421" t="s">
        <v>1748</v>
      </c>
      <c r="C37" s="1674"/>
      <c r="D37" s="1674"/>
      <c r="E37" s="1674"/>
      <c r="F37" s="1394"/>
      <c r="G37" s="1422"/>
      <c r="H37" s="1422"/>
      <c r="I37" s="1394"/>
      <c r="J37" s="1394"/>
      <c r="K37" s="1394"/>
      <c r="L37" s="1423"/>
      <c r="M37" s="1422"/>
      <c r="N37" s="51">
        <f>'Phụ lục số 2'!D38</f>
        <v>0</v>
      </c>
      <c r="O37" s="51">
        <f>'Phụ lục số 2'!E38</f>
        <v>0</v>
      </c>
      <c r="P37" s="1394"/>
      <c r="Q37" s="1586"/>
      <c r="R37" s="1587"/>
      <c r="S37" s="51">
        <f>'Phụ lục số 2'!S38</f>
        <v>0</v>
      </c>
      <c r="T37" s="51">
        <f>'Phụ lục số 2'!T38</f>
        <v>0</v>
      </c>
      <c r="U37" s="51">
        <f t="shared" si="54"/>
        <v>0</v>
      </c>
      <c r="V37" s="1422"/>
      <c r="W37" s="1422"/>
      <c r="X37" s="51">
        <f>'Phụ lục số 2'!AA38</f>
        <v>0</v>
      </c>
      <c r="Y37" s="51">
        <f>'Phụ lục số 2'!AB38</f>
        <v>0</v>
      </c>
      <c r="Z37" s="51">
        <f t="shared" si="55"/>
        <v>0</v>
      </c>
      <c r="AA37" s="1422"/>
      <c r="AB37" s="1422"/>
      <c r="AC37" s="183">
        <f>'Phụ lục số 2'!AF38</f>
        <v>0</v>
      </c>
      <c r="AD37" s="183">
        <f>'Phụ lục số 2'!AG38</f>
        <v>0</v>
      </c>
      <c r="AE37" s="183">
        <f t="shared" si="56"/>
        <v>0</v>
      </c>
      <c r="AF37" s="1701"/>
      <c r="AG37" s="1701"/>
      <c r="AH37" s="183">
        <f>'Phụ lục số 2'!AK38</f>
        <v>0</v>
      </c>
      <c r="AI37" s="183">
        <f>'Phụ lục số 2'!AL38</f>
        <v>0</v>
      </c>
      <c r="AJ37" s="1717"/>
      <c r="AK37" s="1674"/>
      <c r="AL37" s="1718"/>
      <c r="AM37" s="1717"/>
      <c r="AN37" s="1717"/>
      <c r="AO37" s="1717"/>
      <c r="AP37" s="1674"/>
      <c r="AQ37" s="1718"/>
      <c r="AR37" s="1717"/>
      <c r="AS37" s="1717"/>
      <c r="AT37" s="1717"/>
      <c r="AU37" s="1674"/>
      <c r="AV37" s="1718"/>
      <c r="AW37" s="1717"/>
      <c r="AX37" s="1717"/>
      <c r="AY37" s="1717"/>
      <c r="AZ37" s="1674"/>
      <c r="BA37" s="1718"/>
      <c r="BB37" s="1717"/>
      <c r="BC37" s="1717"/>
    </row>
    <row r="38" spans="1:55" s="228" customFormat="1">
      <c r="A38" s="1682" t="s">
        <v>26</v>
      </c>
      <c r="B38" s="1683" t="s">
        <v>133</v>
      </c>
      <c r="C38" s="1684">
        <f>D38+E38</f>
        <v>48300</v>
      </c>
      <c r="D38" s="1684">
        <v>48300</v>
      </c>
      <c r="E38" s="1684">
        <v>0</v>
      </c>
      <c r="F38" s="1685">
        <f>I38+J38</f>
        <v>48300</v>
      </c>
      <c r="G38" s="1686"/>
      <c r="H38" s="1687"/>
      <c r="I38" s="1685">
        <f>'[3]Phụ lục số 1-1'!L58</f>
        <v>48300</v>
      </c>
      <c r="J38" s="1685">
        <f>'[3]Phụ lục số 1-1'!M58</f>
        <v>0</v>
      </c>
      <c r="K38" s="1685">
        <f>N38+O38</f>
        <v>31500</v>
      </c>
      <c r="L38" s="1688">
        <f>K38/$K$7*100</f>
        <v>0.19911510717923742</v>
      </c>
      <c r="M38" s="1689"/>
      <c r="N38" s="343">
        <f>'Phụ lục số 2'!D39</f>
        <v>31500</v>
      </c>
      <c r="O38" s="343">
        <f>'Phụ lục số 2'!E39</f>
        <v>0</v>
      </c>
      <c r="P38" s="1685">
        <f>S38+T38</f>
        <v>31500</v>
      </c>
      <c r="Q38" s="1689">
        <f t="shared" si="12"/>
        <v>0.18216838603872132</v>
      </c>
      <c r="R38" s="1692">
        <f t="shared" si="28"/>
        <v>100</v>
      </c>
      <c r="S38" s="343">
        <f>'Phụ lục số 2'!S39</f>
        <v>31500</v>
      </c>
      <c r="T38" s="1693">
        <f>'Phụ lục số 2'!T39</f>
        <v>0</v>
      </c>
      <c r="U38" s="1155">
        <f t="shared" si="54"/>
        <v>0</v>
      </c>
      <c r="V38" s="1687">
        <f>U38/$K$7*100</f>
        <v>0</v>
      </c>
      <c r="W38" s="1689"/>
      <c r="X38" s="1693">
        <f>'Phụ lục số 2'!AA39</f>
        <v>0</v>
      </c>
      <c r="Y38" s="1693">
        <f>'Phụ lục số 2'!AB39</f>
        <v>0</v>
      </c>
      <c r="Z38" s="343">
        <f t="shared" si="55"/>
        <v>0</v>
      </c>
      <c r="AA38" s="1687">
        <f>Z38/$K$7*100</f>
        <v>0</v>
      </c>
      <c r="AB38" s="1689"/>
      <c r="AC38" s="1694">
        <f>'Phụ lục số 2'!AF39</f>
        <v>0</v>
      </c>
      <c r="AD38" s="1694">
        <f>'Phụ lục số 2'!AG39</f>
        <v>0</v>
      </c>
      <c r="AE38" s="1694">
        <f t="shared" si="56"/>
        <v>0</v>
      </c>
      <c r="AF38" s="1702">
        <f>AE38/$K$7*100</f>
        <v>0</v>
      </c>
      <c r="AG38" s="1703"/>
      <c r="AH38" s="1694">
        <f>'Phụ lục số 2'!AK39</f>
        <v>0</v>
      </c>
      <c r="AI38" s="1694">
        <f>'Phụ lục số 2'!AL39</f>
        <v>0</v>
      </c>
      <c r="AJ38" s="1719">
        <f>AL38+AM38</f>
        <v>0</v>
      </c>
      <c r="AK38" s="1720">
        <f>AJ38/$K$7*100</f>
        <v>0</v>
      </c>
      <c r="AL38" s="1684"/>
      <c r="AM38" s="1719">
        <f>'[3]Phụ lục số 1-1'!AT58</f>
        <v>0</v>
      </c>
      <c r="AN38" s="1719">
        <v>0</v>
      </c>
      <c r="AO38" s="1719">
        <f>AQ38+AR38</f>
        <v>0</v>
      </c>
      <c r="AP38" s="1720">
        <f>AO38/$K$7*100</f>
        <v>0</v>
      </c>
      <c r="AQ38" s="1684"/>
      <c r="AR38" s="1719">
        <f>'[3]Phụ lục số 1-1'!AY58</f>
        <v>0</v>
      </c>
      <c r="AS38" s="1719">
        <v>0</v>
      </c>
      <c r="AT38" s="1719">
        <f>AV38+AW38</f>
        <v>0</v>
      </c>
      <c r="AU38" s="1720">
        <f>AT38/$K$7*100</f>
        <v>0</v>
      </c>
      <c r="AV38" s="1684"/>
      <c r="AW38" s="1719">
        <f>'[3]Phụ lục số 1-1'!BD58</f>
        <v>0</v>
      </c>
      <c r="AX38" s="1719">
        <v>0</v>
      </c>
      <c r="AY38" s="1719">
        <f>BA38+BB38</f>
        <v>0</v>
      </c>
      <c r="AZ38" s="1720">
        <f>AY38/$K$7*100</f>
        <v>0</v>
      </c>
      <c r="BA38" s="1684"/>
      <c r="BB38" s="1719">
        <f>'[3]Phụ lục số 1-1'!BI58</f>
        <v>0</v>
      </c>
      <c r="BC38" s="1719">
        <v>0</v>
      </c>
    </row>
    <row r="39" spans="1:55" s="289" customFormat="1">
      <c r="A39" s="1539" t="s">
        <v>1307</v>
      </c>
      <c r="G39" s="1540"/>
      <c r="I39" s="545">
        <f>'[3]Phụ lục số 5-KQPB'!D22</f>
        <v>247800</v>
      </c>
      <c r="J39" s="289" t="s">
        <v>1308</v>
      </c>
    </row>
    <row r="40" spans="1:55" s="289" customFormat="1" hidden="1">
      <c r="A40" s="1539"/>
      <c r="G40" s="1540"/>
      <c r="I40" s="545"/>
      <c r="S40" s="545">
        <f>'[3]Phụ lục số 1-1'!X64</f>
        <v>10620488</v>
      </c>
      <c r="U40" s="545">
        <f>'[3]Phụ lục số 1-1'!AC59</f>
        <v>17566218</v>
      </c>
    </row>
    <row r="41" spans="1:55" s="289" customFormat="1" hidden="1">
      <c r="A41" s="1539"/>
      <c r="G41" s="1540"/>
      <c r="I41" s="545"/>
      <c r="S41" s="545">
        <f>S40-S7</f>
        <v>2006864</v>
      </c>
      <c r="U41" s="289">
        <f>U7-U40</f>
        <v>1001190.9159999974</v>
      </c>
    </row>
    <row r="42" spans="1:55" s="289" customFormat="1" hidden="1">
      <c r="A42" s="1539"/>
      <c r="G42" s="1540"/>
      <c r="I42" s="545"/>
    </row>
    <row r="43" spans="1:55" s="289" customFormat="1" hidden="1">
      <c r="A43" s="1539"/>
      <c r="G43" s="1540"/>
      <c r="I43" s="545"/>
    </row>
    <row r="44" spans="1:55" ht="16.8" hidden="1">
      <c r="B44" s="220" t="s">
        <v>1729</v>
      </c>
      <c r="K44" s="220">
        <f>SUM(K45:K49)-'[3]Phụ lục số 3-thu bs -1'!I43</f>
        <v>-126915</v>
      </c>
      <c r="N44" s="1136">
        <f>'[3]Phụ lục số 3-thu bs -1'!J47</f>
        <v>1.0047879424816806</v>
      </c>
      <c r="O44" s="1137">
        <f>'[3]Phụ lục số 3-thu bs -1'!K47</f>
        <v>1.0127502007166578</v>
      </c>
      <c r="P44" s="1137"/>
      <c r="Q44" s="1137"/>
      <c r="R44" s="1137"/>
      <c r="S44" s="1541">
        <f>'[3]Phụ lục số 3-1'!M47</f>
        <v>1.0001518476896694</v>
      </c>
      <c r="T44" s="1542">
        <f>'[3]Phụ lục số 3-1'!N47</f>
        <v>1.0265549383746155</v>
      </c>
      <c r="X44" s="1543">
        <f>'[3]Phụ lục số 3-thu bs -1'!P47</f>
        <v>1.0566063446435068</v>
      </c>
      <c r="Y44" s="1543">
        <f>'[3]Phụ lục số 3-thu bs -1'!Q47</f>
        <v>1.0282348792705207</v>
      </c>
      <c r="AC44" s="1136">
        <f>'[3]Phụ lục số 3-thu bs -1'!S47</f>
        <v>1.0254627266562277</v>
      </c>
      <c r="AD44" s="1136">
        <f>'[3]Phụ lục số 3-thu bs -1'!T47</f>
        <v>1.0275485169255913</v>
      </c>
      <c r="AH44" s="559">
        <f>'[3]Phụ lục số 3-thu bs -1'!Y47</f>
        <v>1.0393441136204653</v>
      </c>
      <c r="AI44" s="559">
        <f>'[3]Phụ lục số 3-thu bs -1'!Z47</f>
        <v>1.0140856238275435</v>
      </c>
      <c r="AM44" s="1544">
        <f>'[3]Phụ lục số 3-thu bs -1'!AB47</f>
        <v>1.0319405403144226</v>
      </c>
      <c r="AN44" s="1544">
        <f>'[3]Phụ lục số 3-thu bs -1'!AC47</f>
        <v>1.022921914593347</v>
      </c>
      <c r="AR44" s="1544">
        <f>'[3]Phụ lục số 3-thu bs -1'!AE47</f>
        <v>1.0194663055683124</v>
      </c>
      <c r="AS44" s="1544">
        <f>'[3]Phụ lục số 3-thu bs -1'!AF47</f>
        <v>1.0343773350868757</v>
      </c>
      <c r="AW44" s="1544">
        <f>'[3]Phụ lục số 3-thu bs -1'!AH47</f>
        <v>1.0329991962738128</v>
      </c>
      <c r="AX44" s="1544">
        <f>'[3]Phụ lục số 3-thu bs -1'!AI47</f>
        <v>1.029953641806818</v>
      </c>
      <c r="BB44" s="1544">
        <f>'[3]Phụ lục số 3-thu bs -1'!AK47</f>
        <v>1.033754435953756</v>
      </c>
      <c r="BC44" s="1544">
        <f>'[3]Phụ lục số 3-thu bs -1'!AL47</f>
        <v>1.0336194256200104</v>
      </c>
    </row>
    <row r="45" spans="1:55" hidden="1">
      <c r="K45" s="220">
        <f>SUM(N45:O45)</f>
        <v>24820</v>
      </c>
      <c r="N45" s="1545">
        <f>N10-D10</f>
        <v>9066</v>
      </c>
      <c r="O45" s="1545">
        <f>O10-E10</f>
        <v>15754</v>
      </c>
      <c r="P45" s="1545"/>
      <c r="Q45" s="1545"/>
      <c r="R45" s="1545"/>
      <c r="S45" s="1545"/>
      <c r="T45" s="1545"/>
      <c r="X45" s="1136"/>
      <c r="Y45" s="1136"/>
      <c r="AC45" s="1136"/>
      <c r="AD45" s="1136"/>
      <c r="AH45" s="559"/>
      <c r="AI45" s="559"/>
      <c r="AM45" s="1544"/>
      <c r="AN45" s="1544"/>
      <c r="AR45" s="1544"/>
      <c r="AS45" s="1544"/>
      <c r="AW45" s="1544"/>
      <c r="AX45" s="1544"/>
      <c r="BB45" s="1544"/>
      <c r="BC45" s="1544"/>
    </row>
    <row r="46" spans="1:55" hidden="1">
      <c r="K46" s="220">
        <f>SUM(N46:O46)</f>
        <v>213208</v>
      </c>
      <c r="N46" s="1545">
        <f>N14-D14</f>
        <v>68001</v>
      </c>
      <c r="O46" s="1545">
        <f>O14-E14</f>
        <v>145207</v>
      </c>
      <c r="P46" s="1545">
        <f>P47+P50</f>
        <v>530000</v>
      </c>
      <c r="Q46" s="1545">
        <f t="shared" ref="Q46:T46" si="57">Q47+Q50</f>
        <v>0</v>
      </c>
      <c r="R46" s="1545">
        <f t="shared" si="57"/>
        <v>0</v>
      </c>
      <c r="S46" s="1545">
        <f t="shared" si="57"/>
        <v>350000</v>
      </c>
      <c r="T46" s="1545">
        <f t="shared" si="57"/>
        <v>180000</v>
      </c>
      <c r="X46" s="1136"/>
      <c r="Y46" s="1136"/>
      <c r="AC46" s="1136"/>
      <c r="AD46" s="1136"/>
      <c r="AH46" s="559"/>
      <c r="AI46" s="559"/>
      <c r="AM46" s="1544"/>
      <c r="AN46" s="1544"/>
      <c r="AR46" s="1544"/>
      <c r="AS46" s="1544"/>
      <c r="AW46" s="1544"/>
      <c r="AX46" s="1544"/>
      <c r="BB46" s="1544"/>
      <c r="BC46" s="1544"/>
    </row>
    <row r="47" spans="1:55" hidden="1">
      <c r="K47" s="220">
        <f t="shared" ref="K47:K49" si="58">SUM(N47:O47)</f>
        <v>0</v>
      </c>
      <c r="N47" s="1545">
        <f t="shared" ref="N47:O49" si="59">N28-D28</f>
        <v>0</v>
      </c>
      <c r="O47" s="1545">
        <f t="shared" si="59"/>
        <v>0</v>
      </c>
      <c r="P47" s="1546">
        <f>SUM(P48:P49)</f>
        <v>530000</v>
      </c>
      <c r="Q47" s="1546">
        <f t="shared" ref="Q47:T47" si="60">SUM(Q48:Q49)</f>
        <v>0</v>
      </c>
      <c r="R47" s="1546">
        <f t="shared" si="60"/>
        <v>0</v>
      </c>
      <c r="S47" s="1546">
        <f t="shared" si="60"/>
        <v>350000</v>
      </c>
      <c r="T47" s="1546">
        <f t="shared" si="60"/>
        <v>180000</v>
      </c>
      <c r="U47" s="1547">
        <f>X47+Y47</f>
        <v>82186.408969876124</v>
      </c>
      <c r="V47" s="1547"/>
      <c r="W47" s="1547"/>
      <c r="X47" s="1548">
        <f>X10-N10</f>
        <v>22186</v>
      </c>
      <c r="Y47" s="1548">
        <f>Y10-O10</f>
        <v>60000.408969876124</v>
      </c>
      <c r="AC47" s="1136"/>
      <c r="AD47" s="1136"/>
      <c r="AH47" s="559"/>
      <c r="AI47" s="559"/>
      <c r="AM47" s="1544"/>
      <c r="AN47" s="1544"/>
      <c r="AR47" s="1544"/>
      <c r="AS47" s="1544"/>
      <c r="AW47" s="1544"/>
      <c r="AX47" s="1544"/>
      <c r="BB47" s="1544"/>
      <c r="BC47" s="1544"/>
    </row>
    <row r="48" spans="1:55" hidden="1">
      <c r="K48" s="220">
        <f t="shared" si="58"/>
        <v>1557</v>
      </c>
      <c r="N48" s="1545">
        <f t="shared" si="59"/>
        <v>184</v>
      </c>
      <c r="O48" s="1545">
        <f t="shared" si="59"/>
        <v>1373</v>
      </c>
      <c r="P48" s="1545">
        <f>SUM(Q48:T48)</f>
        <v>180000</v>
      </c>
      <c r="Q48" s="1545"/>
      <c r="R48" s="1545"/>
      <c r="S48" s="1545">
        <f>S11-N11</f>
        <v>0</v>
      </c>
      <c r="T48" s="1545">
        <f>T11-O11</f>
        <v>180000</v>
      </c>
      <c r="U48" s="1547">
        <f t="shared" ref="U48:U51" si="61">X48+Y48</f>
        <v>1311113.3947110809</v>
      </c>
      <c r="V48" s="1547"/>
      <c r="W48" s="1547"/>
      <c r="X48" s="1548">
        <f>X14-N14</f>
        <v>126405</v>
      </c>
      <c r="Y48" s="1548">
        <f>Y14-O14</f>
        <v>1184708.3947110809</v>
      </c>
      <c r="AC48" s="1136"/>
      <c r="AD48" s="1136"/>
      <c r="AH48" s="559"/>
      <c r="AI48" s="559"/>
      <c r="AM48" s="1544"/>
      <c r="AN48" s="1544"/>
      <c r="AR48" s="1544"/>
      <c r="AS48" s="1544"/>
      <c r="AW48" s="1544"/>
      <c r="AX48" s="1544"/>
      <c r="BB48" s="1544"/>
      <c r="BC48" s="1544"/>
    </row>
    <row r="49" spans="6:55" hidden="1">
      <c r="K49" s="220">
        <f t="shared" si="58"/>
        <v>0</v>
      </c>
      <c r="N49" s="1545">
        <f t="shared" si="59"/>
        <v>0</v>
      </c>
      <c r="O49" s="1545">
        <f t="shared" si="59"/>
        <v>0</v>
      </c>
      <c r="P49" s="1545">
        <f>SUM(Q49:T49)</f>
        <v>350000</v>
      </c>
      <c r="Q49" s="1545"/>
      <c r="R49" s="1545"/>
      <c r="S49" s="1545">
        <f>S12-N12</f>
        <v>350000</v>
      </c>
      <c r="T49" s="1545">
        <f>T12-O12</f>
        <v>0</v>
      </c>
      <c r="U49" s="1547">
        <f t="shared" si="61"/>
        <v>0</v>
      </c>
      <c r="V49" s="1547"/>
      <c r="W49" s="1547"/>
      <c r="X49" s="1548">
        <f t="shared" ref="X49:Y51" si="62">X28-N28</f>
        <v>0</v>
      </c>
      <c r="Y49" s="1548">
        <f t="shared" si="62"/>
        <v>0</v>
      </c>
      <c r="AC49" s="1136"/>
      <c r="AD49" s="1136"/>
      <c r="AH49" s="559"/>
      <c r="AI49" s="559"/>
      <c r="AM49" s="1544"/>
      <c r="AN49" s="1544"/>
      <c r="AR49" s="1544"/>
      <c r="AS49" s="1544"/>
      <c r="AW49" s="1544"/>
      <c r="AX49" s="1544"/>
      <c r="BB49" s="1544"/>
      <c r="BC49" s="1544"/>
    </row>
    <row r="50" spans="6:55" hidden="1">
      <c r="F50" s="220">
        <f>F8-F30</f>
        <v>13211489</v>
      </c>
      <c r="K50" s="220">
        <v>9045866</v>
      </c>
      <c r="N50" s="220">
        <f>+K8+U8+Z8</f>
        <v>46809222.226194873</v>
      </c>
      <c r="P50" s="1545">
        <f>SUM(Q50:T50)</f>
        <v>0</v>
      </c>
      <c r="Q50" s="1549"/>
      <c r="R50" s="1549"/>
      <c r="S50" s="1550">
        <f>S14-N14</f>
        <v>0</v>
      </c>
      <c r="T50" s="1550">
        <f>T14-O14</f>
        <v>0</v>
      </c>
      <c r="U50" s="1547">
        <f t="shared" si="61"/>
        <v>53245.912319042109</v>
      </c>
      <c r="V50" s="1547"/>
      <c r="W50" s="1547"/>
      <c r="X50" s="1548">
        <f t="shared" si="62"/>
        <v>16882.367999999988</v>
      </c>
      <c r="Y50" s="1548">
        <f t="shared" si="62"/>
        <v>36363.544319042121</v>
      </c>
    </row>
    <row r="51" spans="6:55" hidden="1">
      <c r="I51" s="1138">
        <f>I33/I38</f>
        <v>4.1407867494824016E-2</v>
      </c>
      <c r="K51" s="289">
        <f>+K50-K14</f>
        <v>-307999</v>
      </c>
      <c r="N51" s="220">
        <f>+K9+U9+Z9</f>
        <v>13159186.408969875</v>
      </c>
      <c r="S51" s="1545">
        <f t="shared" ref="S51:S65" si="63">S14-N14</f>
        <v>0</v>
      </c>
      <c r="T51" s="1545"/>
      <c r="U51" s="1547">
        <f t="shared" si="61"/>
        <v>0</v>
      </c>
      <c r="V51" s="1547"/>
      <c r="W51" s="1547"/>
      <c r="X51" s="1548">
        <f t="shared" si="62"/>
        <v>0</v>
      </c>
      <c r="Y51" s="1548">
        <f t="shared" si="62"/>
        <v>0</v>
      </c>
    </row>
    <row r="52" spans="6:55" hidden="1">
      <c r="K52" s="220">
        <v>252266</v>
      </c>
      <c r="N52" s="1139">
        <f>+N51/N50</f>
        <v>0.28112379960899825</v>
      </c>
      <c r="S52" s="1545">
        <f t="shared" si="63"/>
        <v>0</v>
      </c>
      <c r="T52" s="1545"/>
      <c r="U52" s="289">
        <f>SUM(X52:Y52)</f>
        <v>1446545.7159999993</v>
      </c>
      <c r="V52" s="289">
        <f t="shared" ref="V52:Y52" si="64">SUM(V47:V51)</f>
        <v>0</v>
      </c>
      <c r="W52" s="289">
        <f t="shared" si="64"/>
        <v>0</v>
      </c>
      <c r="X52" s="289">
        <f>SUM(X47:X51)</f>
        <v>165473.36799999999</v>
      </c>
      <c r="Y52" s="289">
        <f t="shared" si="64"/>
        <v>1281072.3479999993</v>
      </c>
      <c r="Z52" s="220">
        <f>'[3]Phụ lục số 1-1'!AI8+'[3]Phụ lục số 1-1'!AI53</f>
        <v>15615488</v>
      </c>
      <c r="AE52" s="220">
        <f>'[3]Phụ lục số 1-1'!AO53+'[3]Phụ lục số 1-1'!AO8</f>
        <v>16412488</v>
      </c>
      <c r="AH52" s="220">
        <f>'[3]Phụ lục số 1-1'!AP8+'[3]Phụ lục số 1-1'!AP53</f>
        <v>12242488</v>
      </c>
      <c r="AI52" s="220">
        <f>'[3]Phụ lục số 1-1'!AQ8+'[3]Phụ lục số 1-1'!AQ53</f>
        <v>4170000</v>
      </c>
      <c r="AJ52" s="220">
        <f>('[3]Phụ lục số 1-1'!AU8+'[3]Phụ lục số 1-1'!AU53)</f>
        <v>17205488</v>
      </c>
      <c r="AO52" s="220">
        <f>('[3]Phụ lục số 1-1'!BA8+'[3]Phụ lục số 1-1'!BA53)</f>
        <v>18054488</v>
      </c>
      <c r="AT52" s="220">
        <f>'[3]Phụ lục số 1-1'!BG8+'[3]Phụ lục số 1-1'!BG53</f>
        <v>19009488</v>
      </c>
      <c r="AY52" s="220">
        <f>'[3]Phụ lục số 1-1'!BM8+'[3]Phụ lục số 1-1'!BM53</f>
        <v>20141488</v>
      </c>
    </row>
    <row r="53" spans="6:55" hidden="1">
      <c r="K53" s="289"/>
      <c r="S53" s="1545">
        <f t="shared" si="63"/>
        <v>0</v>
      </c>
      <c r="T53" s="1545"/>
      <c r="U53" s="289">
        <f>SUM(X53:Y53)</f>
        <v>1404000</v>
      </c>
      <c r="X53" s="556">
        <f>'[3]Phụ lục số 3-thu bs -1'!P39</f>
        <v>813350</v>
      </c>
      <c r="Y53" s="556">
        <f>'[3]Phụ lục số 3-thu bs -1'!Q39</f>
        <v>590650</v>
      </c>
    </row>
    <row r="54" spans="6:55" hidden="1">
      <c r="N54" s="1139"/>
      <c r="S54" s="1545">
        <f t="shared" si="63"/>
        <v>0</v>
      </c>
      <c r="T54" s="1545"/>
      <c r="U54" s="220">
        <f>U53-U52</f>
        <v>-42545.715999999316</v>
      </c>
      <c r="V54" s="220">
        <f t="shared" ref="V54:Y54" si="65">V53-V52</f>
        <v>0</v>
      </c>
      <c r="W54" s="220">
        <f t="shared" si="65"/>
        <v>0</v>
      </c>
      <c r="X54" s="552">
        <f>X53-X52</f>
        <v>647876.63199999998</v>
      </c>
      <c r="Y54" s="552">
        <f t="shared" si="65"/>
        <v>-690422.3479999993</v>
      </c>
    </row>
    <row r="55" spans="6:55" hidden="1">
      <c r="S55" s="1545">
        <f t="shared" si="63"/>
        <v>0</v>
      </c>
      <c r="T55" s="1545"/>
    </row>
    <row r="56" spans="6:55" hidden="1">
      <c r="S56" s="1545">
        <f t="shared" si="63"/>
        <v>0</v>
      </c>
      <c r="T56" s="1545"/>
      <c r="U56" s="289">
        <f>SUM(X56:Y56)</f>
        <v>3386944.9159999993</v>
      </c>
      <c r="X56" s="220">
        <f>X8-N8</f>
        <v>1124612.568</v>
      </c>
      <c r="Y56" s="220">
        <f>Y8-O8</f>
        <v>2262332.3479999993</v>
      </c>
    </row>
    <row r="57" spans="6:55" hidden="1">
      <c r="S57" s="1545">
        <f t="shared" si="63"/>
        <v>0</v>
      </c>
      <c r="T57" s="1545"/>
      <c r="Y57" s="220">
        <f>Y53-Y56</f>
        <v>-1671682.3479999993</v>
      </c>
    </row>
    <row r="58" spans="6:55" hidden="1">
      <c r="S58" s="1545">
        <f t="shared" si="63"/>
        <v>0</v>
      </c>
      <c r="T58" s="1545"/>
    </row>
    <row r="59" spans="6:55" hidden="1">
      <c r="K59" s="220">
        <v>61200</v>
      </c>
      <c r="N59" s="220">
        <f>+K8*2%</f>
        <v>263829.76000000001</v>
      </c>
      <c r="S59" s="1545">
        <f t="shared" si="63"/>
        <v>0</v>
      </c>
      <c r="T59" s="1545"/>
    </row>
    <row r="60" spans="6:55" hidden="1">
      <c r="K60" s="220">
        <f>+K58+K59</f>
        <v>61200</v>
      </c>
      <c r="N60" s="220">
        <f>D25-N25</f>
        <v>-5000</v>
      </c>
      <c r="S60" s="1545">
        <f t="shared" si="63"/>
        <v>0</v>
      </c>
      <c r="T60" s="1545"/>
    </row>
    <row r="61" spans="6:55" hidden="1">
      <c r="N61" s="220">
        <f>D26-N26</f>
        <v>0</v>
      </c>
      <c r="S61" s="1545">
        <f t="shared" si="63"/>
        <v>0</v>
      </c>
      <c r="T61" s="1545"/>
    </row>
    <row r="62" spans="6:55" hidden="1">
      <c r="K62" s="220">
        <v>1067085</v>
      </c>
      <c r="N62" s="220">
        <f>D27-N27</f>
        <v>10000</v>
      </c>
      <c r="S62" s="1545">
        <f t="shared" si="63"/>
        <v>0</v>
      </c>
      <c r="T62" s="1545"/>
    </row>
    <row r="63" spans="6:55" hidden="1">
      <c r="K63" s="220">
        <v>64400</v>
      </c>
      <c r="N63" s="220">
        <f>D28-N28</f>
        <v>0</v>
      </c>
      <c r="S63" s="1545">
        <f t="shared" si="63"/>
        <v>0</v>
      </c>
      <c r="T63" s="1545"/>
    </row>
    <row r="64" spans="6:55" hidden="1">
      <c r="K64" s="220">
        <f>+K62+K63</f>
        <v>1131485</v>
      </c>
      <c r="S64" s="1545">
        <f t="shared" si="63"/>
        <v>0</v>
      </c>
      <c r="T64" s="1545"/>
    </row>
    <row r="65" spans="3:20" hidden="1">
      <c r="N65" s="220">
        <f>SUM(N51:N64)</f>
        <v>13428016.450093675</v>
      </c>
      <c r="S65" s="1545">
        <f t="shared" si="63"/>
        <v>0</v>
      </c>
      <c r="T65" s="1545"/>
    </row>
    <row r="66" spans="3:20" hidden="1">
      <c r="K66" s="220">
        <v>974980</v>
      </c>
      <c r="S66" s="1545"/>
      <c r="T66" s="1545"/>
    </row>
    <row r="67" spans="3:20" hidden="1">
      <c r="K67" s="220">
        <f>+K60-K66</f>
        <v>-913780</v>
      </c>
      <c r="S67" s="1545"/>
      <c r="T67" s="1545"/>
    </row>
    <row r="68" spans="3:20" hidden="1">
      <c r="C68" s="220">
        <v>9045866</v>
      </c>
      <c r="N68" s="552">
        <f>N10*1000000</f>
        <v>540000000000</v>
      </c>
      <c r="S68" s="1545">
        <f t="shared" ref="S68:T71" si="66">S33-N33</f>
        <v>0</v>
      </c>
      <c r="T68" s="1545">
        <f t="shared" si="66"/>
        <v>0</v>
      </c>
    </row>
    <row r="69" spans="3:20" hidden="1">
      <c r="C69" s="220">
        <f>+C68*3%</f>
        <v>271375.98</v>
      </c>
      <c r="K69" s="1140">
        <f>K7/'[3]Định mức chi TX 2022'!E44</f>
        <v>9.8839448323258825</v>
      </c>
      <c r="S69" s="1545">
        <f t="shared" si="66"/>
        <v>0</v>
      </c>
      <c r="T69" s="1545">
        <f t="shared" si="66"/>
        <v>0</v>
      </c>
    </row>
    <row r="70" spans="3:20" hidden="1">
      <c r="K70" s="1140">
        <f>K8/'[3]Định mức chi TX 2022'!E44</f>
        <v>8.2417181325461168</v>
      </c>
      <c r="S70" s="1545">
        <f t="shared" si="66"/>
        <v>0</v>
      </c>
      <c r="T70" s="1545">
        <f t="shared" si="66"/>
        <v>0</v>
      </c>
    </row>
    <row r="71" spans="3:20" hidden="1">
      <c r="K71" s="1140">
        <v>8.8000000000000007</v>
      </c>
      <c r="N71" s="220">
        <v>531239</v>
      </c>
      <c r="S71" s="1545">
        <f t="shared" si="66"/>
        <v>0</v>
      </c>
      <c r="T71" s="1545">
        <f t="shared" si="66"/>
        <v>0</v>
      </c>
    </row>
    <row r="72" spans="3:20" hidden="1">
      <c r="K72" s="1139">
        <f>+K71/K70</f>
        <v>1.0677385295730095</v>
      </c>
      <c r="N72" s="220">
        <f>N10</f>
        <v>540000</v>
      </c>
      <c r="S72" s="1545">
        <f t="shared" ref="S72:T73" si="67">S38-N38</f>
        <v>0</v>
      </c>
      <c r="T72" s="1545">
        <f t="shared" si="67"/>
        <v>0</v>
      </c>
    </row>
    <row r="73" spans="3:20" hidden="1">
      <c r="N73" s="220">
        <f>+N71-N72</f>
        <v>-8761</v>
      </c>
      <c r="S73" s="1545">
        <f t="shared" si="67"/>
        <v>0</v>
      </c>
      <c r="T73" s="1545">
        <f t="shared" si="67"/>
        <v>0</v>
      </c>
    </row>
    <row r="74" spans="3:20" hidden="1">
      <c r="K74" s="220">
        <v>116757</v>
      </c>
      <c r="S74" s="1545"/>
    </row>
    <row r="75" spans="3:20" hidden="1">
      <c r="K75" s="220">
        <v>167395</v>
      </c>
    </row>
    <row r="76" spans="3:20" hidden="1">
      <c r="K76" s="220">
        <f>+K75-K74</f>
        <v>50638</v>
      </c>
    </row>
    <row r="77" spans="3:20" hidden="1">
      <c r="C77" s="220">
        <f>C14*3%</f>
        <v>274219.70999999996</v>
      </c>
      <c r="N77" s="220">
        <f>N7/12</f>
        <v>681160.33333333337</v>
      </c>
    </row>
    <row r="78" spans="3:20" hidden="1">
      <c r="K78" s="220">
        <v>3290357</v>
      </c>
    </row>
    <row r="79" spans="3:20" hidden="1">
      <c r="K79" s="220">
        <v>3313757</v>
      </c>
      <c r="N79" s="220">
        <f>733000/12</f>
        <v>61083.333333333336</v>
      </c>
    </row>
    <row r="80" spans="3:20" hidden="1">
      <c r="K80" s="220">
        <f>+K79-K78</f>
        <v>23400</v>
      </c>
      <c r="N80" s="220">
        <f>1500000/12</f>
        <v>125000</v>
      </c>
    </row>
    <row r="81" spans="2:26" hidden="1">
      <c r="K81" s="220">
        <v>48300</v>
      </c>
      <c r="N81" s="220">
        <f>5809777/12</f>
        <v>484148.08333333331</v>
      </c>
    </row>
    <row r="82" spans="2:26" hidden="1">
      <c r="K82" s="220">
        <f>+K80+K81</f>
        <v>71700</v>
      </c>
      <c r="N82" s="220">
        <v>28571469</v>
      </c>
    </row>
    <row r="83" spans="2:26" hidden="1">
      <c r="K83" s="220">
        <f>+K9-K78</f>
        <v>270643</v>
      </c>
      <c r="N83" s="220">
        <v>9909393</v>
      </c>
    </row>
    <row r="84" spans="2:26" hidden="1">
      <c r="K84" s="220">
        <f>+K83-K82</f>
        <v>198943</v>
      </c>
      <c r="N84" s="220">
        <f>+N82-N83</f>
        <v>18662076</v>
      </c>
    </row>
    <row r="85" spans="2:26" hidden="1">
      <c r="N85" s="220">
        <v>27554674</v>
      </c>
    </row>
    <row r="86" spans="2:26" hidden="1">
      <c r="N86" s="220">
        <f>+N82-N85</f>
        <v>1016795</v>
      </c>
    </row>
    <row r="87" spans="2:26" hidden="1">
      <c r="K87" s="220">
        <f>K7-'[3]Chi NSĐP 2021-2030'!AE8</f>
        <v>0</v>
      </c>
      <c r="N87" s="220">
        <v>1061000</v>
      </c>
    </row>
    <row r="88" spans="2:26" hidden="1">
      <c r="N88" s="220">
        <v>247800</v>
      </c>
    </row>
    <row r="89" spans="2:26" hidden="1">
      <c r="K89" s="1139">
        <f>K9/K8</f>
        <v>0.26994680205902472</v>
      </c>
      <c r="N89" s="220">
        <f>+N87-N88</f>
        <v>813200</v>
      </c>
      <c r="U89" s="1139">
        <f>U9/U8</f>
        <v>0.29334415584457146</v>
      </c>
      <c r="Z89" s="1139">
        <f>Z9/Z8</f>
        <v>0.27788698103290049</v>
      </c>
    </row>
    <row r="90" spans="2:26" hidden="1">
      <c r="K90" s="1139">
        <f>K14/K8</f>
        <v>0.70908338771183355</v>
      </c>
      <c r="U90" s="1139">
        <f>U14/U8</f>
        <v>0.64330437314242239</v>
      </c>
      <c r="Z90" s="1139">
        <f>Z14/Z8</f>
        <v>0.64973321373077964</v>
      </c>
    </row>
    <row r="91" spans="2:26" hidden="1"/>
    <row r="92" spans="2:26" hidden="1">
      <c r="B92" s="1116"/>
      <c r="K92" s="220">
        <v>15338664</v>
      </c>
      <c r="N92" s="220">
        <f>K92+U93</f>
        <v>15586464</v>
      </c>
      <c r="U92" s="220">
        <f>K7-N92</f>
        <v>233531</v>
      </c>
    </row>
    <row r="93" spans="2:26" hidden="1">
      <c r="K93" s="220">
        <v>12893688</v>
      </c>
      <c r="N93" s="220">
        <f>K93+U93</f>
        <v>13141488</v>
      </c>
      <c r="U93" s="220">
        <v>247800</v>
      </c>
      <c r="V93" s="220" t="s">
        <v>1309</v>
      </c>
    </row>
    <row r="94" spans="2:26" hidden="1">
      <c r="K94" s="220">
        <v>3226904</v>
      </c>
      <c r="U94" s="220">
        <v>2000</v>
      </c>
      <c r="V94" s="220" t="s">
        <v>1310</v>
      </c>
    </row>
    <row r="95" spans="2:26" hidden="1">
      <c r="K95" s="220">
        <v>9402554</v>
      </c>
    </row>
    <row r="96" spans="2:26" hidden="1">
      <c r="K96" s="220">
        <v>4179745</v>
      </c>
      <c r="N96" s="220">
        <f>4090257</f>
        <v>4090257</v>
      </c>
      <c r="U96" s="220">
        <f>+K96-N96</f>
        <v>89488</v>
      </c>
    </row>
    <row r="97" spans="3:23" hidden="1">
      <c r="K97" s="220">
        <v>27918</v>
      </c>
      <c r="U97" s="220">
        <f>+N97+N98</f>
        <v>0</v>
      </c>
    </row>
    <row r="98" spans="3:23" hidden="1">
      <c r="K98" s="220">
        <f>K95-K96-K97</f>
        <v>5194891</v>
      </c>
    </row>
    <row r="99" spans="3:23" hidden="1">
      <c r="K99" s="220">
        <v>1400</v>
      </c>
      <c r="U99" s="220">
        <f>776904+247000</f>
        <v>1023904</v>
      </c>
    </row>
    <row r="100" spans="3:23" hidden="1">
      <c r="K100" s="220">
        <v>262830</v>
      </c>
      <c r="N100" s="220">
        <f>(6504000+6486688)*2%</f>
        <v>259813.76000000001</v>
      </c>
    </row>
    <row r="101" spans="3:23" hidden="1"/>
    <row r="102" spans="3:23" hidden="1">
      <c r="K102" s="220">
        <v>6654000</v>
      </c>
    </row>
    <row r="103" spans="3:23" hidden="1">
      <c r="K103" s="220">
        <f>13140688-K102</f>
        <v>6486688</v>
      </c>
    </row>
    <row r="104" spans="3:23" hidden="1"/>
    <row r="105" spans="3:23" hidden="1"/>
    <row r="106" spans="3:23" hidden="1">
      <c r="K106" s="220">
        <v>15490695</v>
      </c>
      <c r="N106" s="220">
        <f>+K106+247800+31500</f>
        <v>15769995</v>
      </c>
    </row>
    <row r="107" spans="3:23" hidden="1">
      <c r="C107" s="545">
        <f>SUM(C108,C113,C117,C118)</f>
        <v>12589889</v>
      </c>
      <c r="D107" s="552"/>
      <c r="E107" s="552"/>
      <c r="F107" s="552"/>
      <c r="G107" s="1141"/>
      <c r="H107" s="552"/>
      <c r="I107" s="552"/>
      <c r="J107" s="552"/>
      <c r="K107" s="545">
        <f>SUM(K108,K113,K117,K118)</f>
        <v>12893688</v>
      </c>
    </row>
    <row r="108" spans="3:23" hidden="1">
      <c r="C108" s="545">
        <f>SUM(C109:C112)</f>
        <v>3290357</v>
      </c>
      <c r="D108" s="552"/>
      <c r="E108" s="552">
        <v>3313757</v>
      </c>
      <c r="F108" s="552">
        <f>+E108-C108</f>
        <v>23400</v>
      </c>
      <c r="G108" s="1141"/>
      <c r="H108" s="552"/>
      <c r="I108" s="552"/>
      <c r="J108" s="552"/>
      <c r="K108" s="545">
        <f>SUM(K109:K111)</f>
        <v>3226904</v>
      </c>
      <c r="U108" s="220">
        <f>+K108-C108</f>
        <v>-63453</v>
      </c>
    </row>
    <row r="109" spans="3:23" hidden="1">
      <c r="C109" s="552">
        <v>951580</v>
      </c>
      <c r="D109" s="552"/>
      <c r="E109" s="552"/>
      <c r="F109" s="552"/>
      <c r="G109" s="1141"/>
      <c r="H109" s="552"/>
      <c r="I109" s="552"/>
      <c r="J109" s="552"/>
      <c r="K109" s="552">
        <v>776904</v>
      </c>
      <c r="N109" s="220">
        <f>+K109+U93</f>
        <v>1024704</v>
      </c>
      <c r="U109" s="220">
        <f>+K109-C109</f>
        <v>-174676</v>
      </c>
      <c r="W109" s="716">
        <f>+N109/(C109+23400)</f>
        <v>1.0510000205132413</v>
      </c>
    </row>
    <row r="110" spans="3:23" hidden="1">
      <c r="C110" s="552">
        <v>800000</v>
      </c>
      <c r="D110" s="552"/>
      <c r="E110" s="552"/>
      <c r="F110" s="552"/>
      <c r="G110" s="1141"/>
      <c r="H110" s="552"/>
      <c r="I110" s="552"/>
      <c r="J110" s="552"/>
      <c r="K110" s="552">
        <v>850000</v>
      </c>
      <c r="U110" s="220">
        <f>+K110-C110</f>
        <v>50000</v>
      </c>
    </row>
    <row r="111" spans="3:23" hidden="1">
      <c r="C111" s="552">
        <v>1500000</v>
      </c>
      <c r="D111" s="552"/>
      <c r="E111" s="552"/>
      <c r="F111" s="552"/>
      <c r="G111" s="1141"/>
      <c r="H111" s="552"/>
      <c r="I111" s="552"/>
      <c r="J111" s="552"/>
      <c r="K111" s="552">
        <v>1600000</v>
      </c>
      <c r="U111" s="220">
        <f>+K111-C111</f>
        <v>100000</v>
      </c>
    </row>
    <row r="112" spans="3:23" hidden="1">
      <c r="C112" s="552">
        <v>38777</v>
      </c>
      <c r="D112" s="552"/>
      <c r="E112" s="552"/>
      <c r="F112" s="552"/>
      <c r="G112" s="1141"/>
      <c r="H112" s="552"/>
      <c r="I112" s="552"/>
      <c r="J112" s="552"/>
      <c r="K112" s="552"/>
      <c r="U112" s="220">
        <f>+K112-C112</f>
        <v>-38777</v>
      </c>
    </row>
    <row r="113" spans="1:24" s="289" customFormat="1" hidden="1">
      <c r="A113" s="221"/>
      <c r="C113" s="545">
        <v>9045866</v>
      </c>
      <c r="D113" s="545"/>
      <c r="E113" s="545"/>
      <c r="F113" s="545"/>
      <c r="G113" s="1142"/>
      <c r="H113" s="545"/>
      <c r="I113" s="545"/>
      <c r="J113" s="545"/>
      <c r="K113" s="545">
        <v>9402554</v>
      </c>
      <c r="U113" s="289">
        <f t="shared" ref="U113:U118" si="68">K113-C113</f>
        <v>356688</v>
      </c>
      <c r="V113" s="1143"/>
      <c r="W113" s="1143">
        <f t="shared" ref="W113:W118" si="69">+K113/C113</f>
        <v>1.0394310506036679</v>
      </c>
      <c r="X113" s="1143">
        <f t="shared" ref="X113:X118" si="70">W113-100%</f>
        <v>3.9431050603667916E-2</v>
      </c>
    </row>
    <row r="114" spans="1:24" hidden="1">
      <c r="C114" s="552">
        <v>4090257</v>
      </c>
      <c r="D114" s="552"/>
      <c r="E114" s="552"/>
      <c r="F114" s="552"/>
      <c r="G114" s="1141"/>
      <c r="H114" s="552"/>
      <c r="I114" s="552"/>
      <c r="J114" s="552"/>
      <c r="K114" s="552">
        <v>4179745</v>
      </c>
      <c r="U114" s="220">
        <f t="shared" si="68"/>
        <v>89488</v>
      </c>
      <c r="W114" s="716">
        <f t="shared" si="69"/>
        <v>1.0218783318505413</v>
      </c>
      <c r="X114" s="716">
        <f t="shared" si="70"/>
        <v>2.1878331850541333E-2</v>
      </c>
    </row>
    <row r="115" spans="1:24" hidden="1">
      <c r="C115" s="552">
        <v>27026</v>
      </c>
      <c r="D115" s="552"/>
      <c r="E115" s="552"/>
      <c r="F115" s="552"/>
      <c r="G115" s="1141"/>
      <c r="H115" s="552"/>
      <c r="I115" s="552"/>
      <c r="J115" s="552"/>
      <c r="K115" s="552">
        <v>27918</v>
      </c>
      <c r="U115" s="220">
        <f t="shared" si="68"/>
        <v>892</v>
      </c>
      <c r="W115" s="716">
        <f t="shared" si="69"/>
        <v>1.0330052541996595</v>
      </c>
      <c r="X115" s="716">
        <f t="shared" si="70"/>
        <v>3.3005254199659495E-2</v>
      </c>
    </row>
    <row r="116" spans="1:24" hidden="1">
      <c r="C116" s="552">
        <f>+C113-C114-C115</f>
        <v>4928583</v>
      </c>
      <c r="D116" s="552"/>
      <c r="E116" s="552"/>
      <c r="F116" s="552"/>
      <c r="G116" s="1141"/>
      <c r="H116" s="552"/>
      <c r="I116" s="552"/>
      <c r="J116" s="552"/>
      <c r="K116" s="552">
        <f>+K113-K114-K115</f>
        <v>5194891</v>
      </c>
      <c r="U116" s="220">
        <f t="shared" si="68"/>
        <v>266308</v>
      </c>
      <c r="W116" s="716">
        <f t="shared" si="69"/>
        <v>1.0540333803853967</v>
      </c>
      <c r="X116" s="716">
        <f t="shared" si="70"/>
        <v>5.4033380385396734E-2</v>
      </c>
    </row>
    <row r="117" spans="1:24" s="289" customFormat="1" hidden="1">
      <c r="A117" s="221"/>
      <c r="C117" s="545">
        <v>1400</v>
      </c>
      <c r="D117" s="545"/>
      <c r="E117" s="545"/>
      <c r="F117" s="545"/>
      <c r="G117" s="1142"/>
      <c r="H117" s="545"/>
      <c r="I117" s="545"/>
      <c r="J117" s="545"/>
      <c r="K117" s="545">
        <v>1400</v>
      </c>
      <c r="U117" s="289">
        <f t="shared" si="68"/>
        <v>0</v>
      </c>
      <c r="W117" s="1143">
        <f t="shared" si="69"/>
        <v>1</v>
      </c>
      <c r="X117" s="1143">
        <f t="shared" si="70"/>
        <v>0</v>
      </c>
    </row>
    <row r="118" spans="1:24" s="289" customFormat="1" hidden="1">
      <c r="A118" s="221"/>
      <c r="C118" s="545">
        <v>252266</v>
      </c>
      <c r="D118" s="545"/>
      <c r="E118" s="545"/>
      <c r="F118" s="545"/>
      <c r="G118" s="1142"/>
      <c r="H118" s="545"/>
      <c r="I118" s="545"/>
      <c r="J118" s="545"/>
      <c r="K118" s="545">
        <v>262830</v>
      </c>
      <c r="U118" s="289">
        <f t="shared" si="68"/>
        <v>10564</v>
      </c>
      <c r="W118" s="1143">
        <f t="shared" si="69"/>
        <v>1.0418764320201692</v>
      </c>
      <c r="X118" s="1143">
        <f t="shared" si="70"/>
        <v>4.1876432020169219E-2</v>
      </c>
    </row>
    <row r="119" spans="1:24" hidden="1"/>
    <row r="120" spans="1:24" hidden="1">
      <c r="K120" s="220">
        <f>2022-1969</f>
        <v>53</v>
      </c>
    </row>
    <row r="121" spans="1:24" hidden="1">
      <c r="K121" s="220">
        <v>250</v>
      </c>
    </row>
    <row r="122" spans="1:24" hidden="1">
      <c r="K122" s="222">
        <f>K121/365</f>
        <v>0.68493150684931503</v>
      </c>
    </row>
    <row r="123" spans="1:24" hidden="1"/>
    <row r="124" spans="1:24" hidden="1"/>
    <row r="125" spans="1:24" hidden="1"/>
    <row r="126" spans="1:24" hidden="1"/>
    <row r="127" spans="1:24" hidden="1"/>
    <row r="128" spans="1:24" hidden="1"/>
    <row r="129" spans="11:16" hidden="1">
      <c r="K129" s="1080">
        <f>'[3]Phụ lục số 1-1'!N53/'[3]Phụ lục số 2-1'!K8</f>
        <v>0.49179349592707056</v>
      </c>
    </row>
    <row r="130" spans="11:16" hidden="1"/>
    <row r="131" spans="11:16" hidden="1"/>
    <row r="134" spans="11:16">
      <c r="P134" s="220">
        <f>P8-'PL-TổngChi21-25'!AG10</f>
        <v>0</v>
      </c>
    </row>
  </sheetData>
  <mergeCells count="16">
    <mergeCell ref="AO4:AS4"/>
    <mergeCell ref="AT4:AX4"/>
    <mergeCell ref="AY4:BC4"/>
    <mergeCell ref="K4:O4"/>
    <mergeCell ref="P4:T4"/>
    <mergeCell ref="U4:Y4"/>
    <mergeCell ref="Z4:AD4"/>
    <mergeCell ref="AE4:AI4"/>
    <mergeCell ref="AJ4:AN4"/>
    <mergeCell ref="A1:Z1"/>
    <mergeCell ref="G2:I2"/>
    <mergeCell ref="D3:E3"/>
    <mergeCell ref="A4:A5"/>
    <mergeCell ref="B4:B5"/>
    <mergeCell ref="C4:E4"/>
    <mergeCell ref="F4:J4"/>
  </mergeCells>
  <hyperlinks>
    <hyperlink ref="A4:A5" location="'List danh mục'!A1" display="SỐ TT"/>
  </hyperlinks>
  <pageMargins left="0.7" right="0.7" top="0.75" bottom="0.75" header="0.3" footer="0.3"/>
  <legacy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H20"/>
  <sheetViews>
    <sheetView zoomScale="73" zoomScaleNormal="73" workbookViewId="0">
      <selection activeCell="A30" sqref="A30:G30"/>
    </sheetView>
  </sheetViews>
  <sheetFormatPr defaultColWidth="9" defaultRowHeight="18"/>
  <cols>
    <col min="1" max="1" width="8" style="20" customWidth="1"/>
    <col min="2" max="2" width="25.09765625" style="37" customWidth="1"/>
    <col min="3" max="3" width="16.8984375" style="37" customWidth="1"/>
    <col min="4" max="4" width="14.59765625" style="37" customWidth="1"/>
    <col min="5" max="5" width="15.69921875" style="37" customWidth="1"/>
    <col min="6" max="8" width="18.69921875" style="37" customWidth="1"/>
    <col min="9" max="16384" width="9" style="37"/>
  </cols>
  <sheetData>
    <row r="1" spans="1:8">
      <c r="A1" s="4316" t="s">
        <v>2443</v>
      </c>
      <c r="B1" s="4316"/>
      <c r="C1" s="4316"/>
      <c r="D1" s="4316"/>
      <c r="E1" s="4316"/>
      <c r="F1" s="4316"/>
      <c r="G1" s="4316"/>
      <c r="H1" s="4316"/>
    </row>
    <row r="2" spans="1:8">
      <c r="A2" s="4523" t="str">
        <f>'Biểu số 42-CK-NSNN'!A2:X2</f>
        <v>(DỰ TOÁN TRÌNH HỘI ĐỒNG NHÂN DÂN TỈNH)</v>
      </c>
      <c r="B2" s="4523"/>
      <c r="C2" s="4523"/>
      <c r="D2" s="4523"/>
      <c r="E2" s="4523"/>
      <c r="F2" s="4523"/>
      <c r="G2" s="4523"/>
      <c r="H2" s="4523"/>
    </row>
    <row r="3" spans="1:8" ht="16.95" customHeight="1">
      <c r="A3" s="2206"/>
      <c r="B3" s="2206"/>
      <c r="C3" s="2206"/>
      <c r="D3" s="2206"/>
      <c r="E3" s="2206"/>
    </row>
    <row r="4" spans="1:8" ht="17.25" customHeight="1">
      <c r="G4" s="4524" t="s">
        <v>64</v>
      </c>
      <c r="H4" s="4524"/>
    </row>
    <row r="5" spans="1:8" s="2" customFormat="1" ht="15.9" customHeight="1">
      <c r="A5" s="4417" t="s">
        <v>244</v>
      </c>
      <c r="B5" s="4318" t="s">
        <v>305</v>
      </c>
      <c r="C5" s="4318" t="s">
        <v>2441</v>
      </c>
      <c r="D5" s="4318"/>
      <c r="E5" s="4318"/>
      <c r="F5" s="4318"/>
      <c r="G5" s="4318"/>
      <c r="H5" s="4318"/>
    </row>
    <row r="6" spans="1:8" s="2" customFormat="1" ht="162" customHeight="1">
      <c r="A6" s="4417"/>
      <c r="B6" s="4318"/>
      <c r="C6" s="7" t="s">
        <v>4</v>
      </c>
      <c r="D6" s="7" t="s">
        <v>315</v>
      </c>
      <c r="E6" s="7" t="s">
        <v>316</v>
      </c>
      <c r="F6" s="3873" t="s">
        <v>2481</v>
      </c>
      <c r="G6" s="3873" t="s">
        <v>2786</v>
      </c>
      <c r="H6" s="3873" t="str">
        <f>'TỔNG CỘNG'!B46</f>
        <v>Bổ sung có mục tiêu kinh phí diễn tập khu vực phòng thủ cấp huyện năm 2024</v>
      </c>
    </row>
    <row r="7" spans="1:8" s="2" customFormat="1" ht="17.399999999999999">
      <c r="A7" s="3872">
        <v>1</v>
      </c>
      <c r="B7" s="3872">
        <v>2</v>
      </c>
      <c r="C7" s="2302" t="s">
        <v>858</v>
      </c>
      <c r="D7" s="2302">
        <v>4</v>
      </c>
      <c r="E7" s="2302">
        <v>5</v>
      </c>
      <c r="F7" s="129">
        <v>6</v>
      </c>
      <c r="G7" s="129">
        <v>7</v>
      </c>
      <c r="H7" s="129">
        <v>8</v>
      </c>
    </row>
    <row r="8" spans="1:8" s="154" customFormat="1" ht="24.9" customHeight="1">
      <c r="A8" s="3491">
        <v>1</v>
      </c>
      <c r="B8" s="3494" t="s">
        <v>2362</v>
      </c>
      <c r="C8" s="3874">
        <f>SUM(D8:H8)</f>
        <v>55642</v>
      </c>
      <c r="D8" s="3875">
        <f>'Biểu số 42-CK-NSNN'!K10</f>
        <v>9300</v>
      </c>
      <c r="E8" s="3875">
        <f>'Biểu số 42-CK-NSNN'!L10</f>
        <v>9500</v>
      </c>
      <c r="F8" s="3875">
        <f>'Phụ lục 7-HĐND'!M10</f>
        <v>33411</v>
      </c>
      <c r="G8" s="3875">
        <f>'Phụ lục 7-HĐND'!N10</f>
        <v>3431</v>
      </c>
      <c r="H8" s="3875">
        <f>'Phụ lục 7-HĐND'!O10</f>
        <v>0</v>
      </c>
    </row>
    <row r="9" spans="1:8" s="154" customFormat="1" ht="24.9" customHeight="1">
      <c r="A9" s="136">
        <v>2</v>
      </c>
      <c r="B9" s="2225" t="s">
        <v>290</v>
      </c>
      <c r="C9" s="1276">
        <f>SUM(D9:H9)</f>
        <v>65390</v>
      </c>
      <c r="D9" s="1276">
        <f>'Biểu số 42-CK-NSNN'!K11</f>
        <v>5800</v>
      </c>
      <c r="E9" s="1276">
        <f>'Biểu số 42-CK-NSNN'!L11</f>
        <v>7500</v>
      </c>
      <c r="F9" s="1276">
        <f>'Phụ lục 7-HĐND'!M11</f>
        <v>46035</v>
      </c>
      <c r="G9" s="1276">
        <f>'Phụ lục 7-HĐND'!N11</f>
        <v>4055</v>
      </c>
      <c r="H9" s="1276">
        <f>'Phụ lục 7-HĐND'!O11</f>
        <v>2000</v>
      </c>
    </row>
    <row r="10" spans="1:8" s="154" customFormat="1" ht="24.9" customHeight="1">
      <c r="A10" s="136">
        <v>3</v>
      </c>
      <c r="B10" s="2225" t="s">
        <v>2363</v>
      </c>
      <c r="C10" s="1276">
        <f t="shared" ref="C10:C19" si="0">SUM(D10:H10)</f>
        <v>49989.824000000001</v>
      </c>
      <c r="D10" s="1276">
        <f>'Biểu số 42-CK-NSNN'!K12</f>
        <v>16100</v>
      </c>
      <c r="E10" s="1276">
        <f>'Biểu số 42-CK-NSNN'!L12</f>
        <v>18000</v>
      </c>
      <c r="F10" s="1276">
        <f>'Phụ lục 7-HĐND'!M12</f>
        <v>8966</v>
      </c>
      <c r="G10" s="1276">
        <f>'Phụ lục 7-HĐND'!N12</f>
        <v>6923.8239999999996</v>
      </c>
      <c r="H10" s="1276">
        <f>'Phụ lục 7-HĐND'!O12</f>
        <v>0</v>
      </c>
    </row>
    <row r="11" spans="1:8" s="154" customFormat="1" ht="24.9" customHeight="1">
      <c r="A11" s="136">
        <v>4</v>
      </c>
      <c r="B11" s="2225" t="s">
        <v>2364</v>
      </c>
      <c r="C11" s="1276">
        <f t="shared" si="0"/>
        <v>78292.759999999995</v>
      </c>
      <c r="D11" s="1276">
        <f>'Biểu số 42-CK-NSNN'!K13</f>
        <v>18900</v>
      </c>
      <c r="E11" s="1276">
        <f>'Biểu số 42-CK-NSNN'!L13</f>
        <v>27000</v>
      </c>
      <c r="F11" s="1276">
        <f>'Phụ lục 7-HĐND'!M13</f>
        <v>30706</v>
      </c>
      <c r="G11" s="1276">
        <f>'Phụ lục 7-HĐND'!N13</f>
        <v>1686.76</v>
      </c>
      <c r="H11" s="1276">
        <f>'Phụ lục 7-HĐND'!O13</f>
        <v>0</v>
      </c>
    </row>
    <row r="12" spans="1:8" s="154" customFormat="1" ht="24.9" customHeight="1">
      <c r="A12" s="136">
        <v>5</v>
      </c>
      <c r="B12" s="2225" t="s">
        <v>2365</v>
      </c>
      <c r="C12" s="1276">
        <f t="shared" si="0"/>
        <v>36339.351999999999</v>
      </c>
      <c r="D12" s="1276">
        <f>'Biểu số 42-CK-NSNN'!K14</f>
        <v>13200</v>
      </c>
      <c r="E12" s="1276">
        <f>'Biểu số 42-CK-NSNN'!L14</f>
        <v>19098</v>
      </c>
      <c r="F12" s="1276">
        <f>'Phụ lục 7-HĐND'!M14</f>
        <v>0</v>
      </c>
      <c r="G12" s="1276">
        <f>'Phụ lục 7-HĐND'!N14</f>
        <v>4041.3519999999999</v>
      </c>
      <c r="H12" s="1276">
        <f>'Phụ lục 7-HĐND'!O14</f>
        <v>0</v>
      </c>
    </row>
    <row r="13" spans="1:8" s="154" customFormat="1" ht="24.9" customHeight="1">
      <c r="A13" s="136">
        <v>6</v>
      </c>
      <c r="B13" s="2225" t="s">
        <v>2366</v>
      </c>
      <c r="C13" s="1276">
        <f t="shared" si="0"/>
        <v>19159.2</v>
      </c>
      <c r="D13" s="1276">
        <f>'Biểu số 42-CK-NSNN'!K15</f>
        <v>5000</v>
      </c>
      <c r="E13" s="1276">
        <f>'Biểu số 42-CK-NSNN'!L15</f>
        <v>3000</v>
      </c>
      <c r="F13" s="1276">
        <f>'Phụ lục 7-HĐND'!M15</f>
        <v>0</v>
      </c>
      <c r="G13" s="1276">
        <f>'Phụ lục 7-HĐND'!N15</f>
        <v>11159.2</v>
      </c>
      <c r="H13" s="1276">
        <f>'Phụ lục 7-HĐND'!O15</f>
        <v>0</v>
      </c>
    </row>
    <row r="14" spans="1:8" s="154" customFormat="1" ht="24.9" customHeight="1">
      <c r="A14" s="136">
        <v>7</v>
      </c>
      <c r="B14" s="2225" t="s">
        <v>294</v>
      </c>
      <c r="C14" s="1276">
        <f t="shared" si="0"/>
        <v>75927.199999999997</v>
      </c>
      <c r="D14" s="1276">
        <f>'Biểu số 42-CK-NSNN'!K16</f>
        <v>21400</v>
      </c>
      <c r="E14" s="1276">
        <f>'Biểu số 42-CK-NSNN'!L16</f>
        <v>26000</v>
      </c>
      <c r="F14" s="1276">
        <f>'Phụ lục 7-HĐND'!M16</f>
        <v>10606</v>
      </c>
      <c r="G14" s="1276">
        <f>'Phụ lục 7-HĐND'!N16</f>
        <v>17921.2</v>
      </c>
      <c r="H14" s="1276">
        <f>'Phụ lục 7-HĐND'!O16</f>
        <v>0</v>
      </c>
    </row>
    <row r="15" spans="1:8" s="154" customFormat="1" ht="24.9" customHeight="1">
      <c r="A15" s="136">
        <v>8</v>
      </c>
      <c r="B15" s="2225" t="s">
        <v>412</v>
      </c>
      <c r="C15" s="1276">
        <f t="shared" si="0"/>
        <v>99005.6</v>
      </c>
      <c r="D15" s="1276">
        <f>'Biểu số 42-CK-NSNN'!K17</f>
        <v>28600</v>
      </c>
      <c r="E15" s="1276">
        <f>'Biểu số 42-CK-NSNN'!L17</f>
        <v>33000</v>
      </c>
      <c r="F15" s="1276">
        <f>'Phụ lục 7-HĐND'!M17</f>
        <v>34795</v>
      </c>
      <c r="G15" s="1276">
        <f>'Phụ lục 7-HĐND'!N17</f>
        <v>2610.6</v>
      </c>
      <c r="H15" s="1276">
        <f>'Phụ lục 7-HĐND'!O17</f>
        <v>0</v>
      </c>
    </row>
    <row r="16" spans="1:8" s="154" customFormat="1" ht="24.9" customHeight="1">
      <c r="A16" s="136">
        <v>9</v>
      </c>
      <c r="B16" s="2225" t="s">
        <v>413</v>
      </c>
      <c r="C16" s="1276">
        <f t="shared" si="0"/>
        <v>49965.948000000004</v>
      </c>
      <c r="D16" s="1276">
        <f>'Biểu số 42-CK-NSNN'!K18</f>
        <v>8900</v>
      </c>
      <c r="E16" s="1276">
        <f>'Biểu số 42-CK-NSNN'!L18</f>
        <v>7000</v>
      </c>
      <c r="F16" s="1276">
        <f>'Phụ lục 7-HĐND'!M18</f>
        <v>9628</v>
      </c>
      <c r="G16" s="1276">
        <f>'Phụ lục 7-HĐND'!N18</f>
        <v>22437.948</v>
      </c>
      <c r="H16" s="1276">
        <f>'Phụ lục 7-HĐND'!O18</f>
        <v>2000</v>
      </c>
    </row>
    <row r="17" spans="1:8" s="154" customFormat="1" ht="24.9" customHeight="1">
      <c r="A17" s="136">
        <v>10</v>
      </c>
      <c r="B17" s="2225" t="s">
        <v>2368</v>
      </c>
      <c r="C17" s="1276">
        <f t="shared" si="0"/>
        <v>78183.712</v>
      </c>
      <c r="D17" s="1276">
        <f>'Biểu số 42-CK-NSNN'!K19</f>
        <v>11300</v>
      </c>
      <c r="E17" s="1276">
        <f>'Biểu số 42-CK-NSNN'!L19</f>
        <v>7000</v>
      </c>
      <c r="F17" s="1276">
        <f>'Phụ lục 7-HĐND'!M19</f>
        <v>50621</v>
      </c>
      <c r="G17" s="1276">
        <f>'Phụ lục 7-HĐND'!N19</f>
        <v>7262.7119999999995</v>
      </c>
      <c r="H17" s="1276">
        <f>'Phụ lục 7-HĐND'!O19</f>
        <v>2000</v>
      </c>
    </row>
    <row r="18" spans="1:8" s="154" customFormat="1" ht="24.9" customHeight="1">
      <c r="A18" s="136">
        <v>11</v>
      </c>
      <c r="B18" s="2225" t="s">
        <v>2369</v>
      </c>
      <c r="C18" s="1276">
        <f t="shared" si="0"/>
        <v>9875.92</v>
      </c>
      <c r="D18" s="1276">
        <f>'Biểu số 42-CK-NSNN'!K20</f>
        <v>3000</v>
      </c>
      <c r="E18" s="1276">
        <f>'Biểu số 42-CK-NSNN'!L20</f>
        <v>1500</v>
      </c>
      <c r="F18" s="1276">
        <f>'Phụ lục 7-HĐND'!M20</f>
        <v>0</v>
      </c>
      <c r="G18" s="1276">
        <f>'Phụ lục 7-HĐND'!N20</f>
        <v>5375.92</v>
      </c>
      <c r="H18" s="1276">
        <f>'Phụ lục 7-HĐND'!O20</f>
        <v>0</v>
      </c>
    </row>
    <row r="19" spans="1:8" s="154" customFormat="1" ht="24.9" customHeight="1">
      <c r="A19" s="2298">
        <v>12</v>
      </c>
      <c r="B19" s="3499" t="s">
        <v>416</v>
      </c>
      <c r="C19" s="3877">
        <f t="shared" si="0"/>
        <v>34628.832000000002</v>
      </c>
      <c r="D19" s="1276">
        <f>'Biểu số 42-CK-NSNN'!K21</f>
        <v>7200</v>
      </c>
      <c r="E19" s="1276">
        <f>'Biểu số 42-CK-NSNN'!L21</f>
        <v>10500</v>
      </c>
      <c r="F19" s="1276">
        <f>'Phụ lục 7-HĐND'!M21</f>
        <v>8166</v>
      </c>
      <c r="G19" s="1276">
        <f>'Phụ lục 7-HĐND'!N21</f>
        <v>6762.8320000000003</v>
      </c>
      <c r="H19" s="1276">
        <f>'Phụ lục 7-HĐND'!O21</f>
        <v>2000</v>
      </c>
    </row>
    <row r="20" spans="1:8" s="1319" customFormat="1" ht="24.9" customHeight="1">
      <c r="A20" s="4521" t="s">
        <v>325</v>
      </c>
      <c r="B20" s="4522"/>
      <c r="C20" s="3876">
        <f>SUM(C8:C19)</f>
        <v>652400.348</v>
      </c>
      <c r="D20" s="3876">
        <f>SUM(D8:D19)</f>
        <v>148700</v>
      </c>
      <c r="E20" s="3876">
        <f>SUM(E8:E19)</f>
        <v>169098</v>
      </c>
      <c r="F20" s="3876">
        <f t="shared" ref="F20:H20" si="1">SUM(F8:F19)</f>
        <v>232934</v>
      </c>
      <c r="G20" s="3876">
        <f t="shared" si="1"/>
        <v>93668.347999999998</v>
      </c>
      <c r="H20" s="3876">
        <f t="shared" si="1"/>
        <v>8000</v>
      </c>
    </row>
  </sheetData>
  <mergeCells count="7">
    <mergeCell ref="A20:B20"/>
    <mergeCell ref="A5:A6"/>
    <mergeCell ref="B5:B6"/>
    <mergeCell ref="C5:H5"/>
    <mergeCell ref="A1:H1"/>
    <mergeCell ref="A2:H2"/>
    <mergeCell ref="G4:H4"/>
  </mergeCells>
  <hyperlinks>
    <hyperlink ref="A5:A6" location="'List danh mục'!A1" display="STT"/>
  </hyperlinks>
  <printOptions horizontalCentered="1"/>
  <pageMargins left="0" right="0" top="0.39370078740157483" bottom="0" header="0" footer="0"/>
  <pageSetup paperSize="9" scale="90" orientation="landscape" r:id="rId1"/>
  <headerFooter>
    <oddHeader>&amp;R&amp;A</oddHeader>
    <oddFooter>&amp;C&amp;P/&amp;N</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Y23"/>
  <sheetViews>
    <sheetView topLeftCell="A4" zoomScale="59" zoomScaleNormal="59" workbookViewId="0">
      <selection activeCell="A30" sqref="A30:G30"/>
    </sheetView>
  </sheetViews>
  <sheetFormatPr defaultColWidth="9" defaultRowHeight="18"/>
  <cols>
    <col min="1" max="1" width="5.69921875" style="1425" customWidth="1"/>
    <col min="2" max="2" width="19.19921875" style="1239" customWidth="1"/>
    <col min="3" max="25" width="8.69921875" style="1239" customWidth="1"/>
    <col min="26" max="16384" width="9" style="1239"/>
  </cols>
  <sheetData>
    <row r="1" spans="1:25">
      <c r="A1" s="4326" t="s">
        <v>2373</v>
      </c>
      <c r="B1" s="4325"/>
      <c r="C1" s="4325"/>
      <c r="D1" s="4325"/>
      <c r="E1" s="4325"/>
      <c r="F1" s="4325"/>
      <c r="G1" s="4325"/>
      <c r="H1" s="4325"/>
      <c r="I1" s="4325"/>
      <c r="J1" s="4325"/>
      <c r="K1" s="4325"/>
      <c r="L1" s="4325"/>
      <c r="M1" s="4325"/>
      <c r="N1" s="4325"/>
      <c r="O1" s="4325"/>
      <c r="P1" s="4325"/>
      <c r="Q1" s="4325"/>
      <c r="R1" s="4325"/>
      <c r="S1" s="4325"/>
      <c r="T1" s="4325"/>
      <c r="U1" s="4325"/>
      <c r="V1" s="4325"/>
      <c r="W1" s="4325"/>
      <c r="X1" s="4325"/>
    </row>
    <row r="2" spans="1:25">
      <c r="A2" s="4527" t="str">
        <f>'Biểu số 41-CK-NSNN'!A2:Q2</f>
        <v>(DỰ TOÁN TRÌNH HỘI ĐỒNG NHÂN DÂN TỈNH)</v>
      </c>
      <c r="B2" s="4528"/>
      <c r="C2" s="4528"/>
      <c r="D2" s="4528"/>
      <c r="E2" s="4528"/>
      <c r="F2" s="4528"/>
      <c r="G2" s="4528"/>
      <c r="H2" s="4528"/>
      <c r="I2" s="4528"/>
      <c r="J2" s="4528"/>
      <c r="K2" s="4528"/>
      <c r="L2" s="4528"/>
      <c r="M2" s="4528"/>
      <c r="N2" s="4528"/>
      <c r="O2" s="4528"/>
      <c r="P2" s="4528"/>
      <c r="Q2" s="4528"/>
      <c r="R2" s="4528"/>
      <c r="S2" s="4528"/>
      <c r="T2" s="4528"/>
      <c r="U2" s="4528"/>
      <c r="V2" s="4528"/>
      <c r="W2" s="4528"/>
      <c r="X2" s="4528"/>
    </row>
    <row r="3" spans="1:25">
      <c r="A3" s="2906"/>
      <c r="B3" s="1828"/>
      <c r="C3" s="1828"/>
      <c r="D3" s="1828"/>
      <c r="E3" s="1828"/>
      <c r="F3" s="1828"/>
      <c r="G3" s="1828"/>
      <c r="H3" s="1828"/>
      <c r="I3" s="1828"/>
      <c r="J3" s="1828"/>
      <c r="K3" s="1828"/>
      <c r="L3" s="1828"/>
      <c r="M3" s="1828"/>
      <c r="N3" s="1828"/>
      <c r="O3" s="1828" t="s">
        <v>227</v>
      </c>
      <c r="P3" s="1828"/>
      <c r="Q3" s="1828"/>
      <c r="R3" s="1828"/>
      <c r="S3" s="1828"/>
      <c r="T3" s="1828"/>
      <c r="U3" s="1828"/>
      <c r="V3" s="1828"/>
      <c r="W3" s="1828"/>
      <c r="X3" s="1828"/>
    </row>
    <row r="4" spans="1:25" ht="17.25" customHeight="1" thickBot="1">
      <c r="W4" s="4529" t="s">
        <v>64</v>
      </c>
      <c r="X4" s="4529"/>
      <c r="Y4" s="4529"/>
    </row>
    <row r="5" spans="1:25" s="1429" customFormat="1" thickTop="1">
      <c r="A5" s="4530" t="s">
        <v>244</v>
      </c>
      <c r="B5" s="4532" t="s">
        <v>305</v>
      </c>
      <c r="C5" s="4532" t="s">
        <v>2377</v>
      </c>
      <c r="D5" s="4533" t="s">
        <v>306</v>
      </c>
      <c r="E5" s="4534"/>
      <c r="F5" s="4534"/>
      <c r="G5" s="4534"/>
      <c r="H5" s="4534"/>
      <c r="I5" s="4534"/>
      <c r="J5" s="4534"/>
      <c r="K5" s="4534"/>
      <c r="L5" s="4534"/>
      <c r="M5" s="4534"/>
      <c r="N5" s="4534"/>
      <c r="O5" s="4534"/>
      <c r="P5" s="4535"/>
      <c r="Q5" s="4532" t="s">
        <v>2378</v>
      </c>
      <c r="R5" s="4481" t="s">
        <v>1419</v>
      </c>
      <c r="S5" s="4481"/>
      <c r="T5" s="4481"/>
      <c r="U5" s="4481"/>
      <c r="V5" s="4481"/>
      <c r="W5" s="4481"/>
      <c r="X5" s="4481"/>
      <c r="Y5" s="4536"/>
    </row>
    <row r="6" spans="1:25" s="1429" customFormat="1" ht="17.399999999999999" customHeight="1">
      <c r="A6" s="4531"/>
      <c r="B6" s="4330"/>
      <c r="C6" s="4330"/>
      <c r="D6" s="4537" t="s">
        <v>307</v>
      </c>
      <c r="E6" s="4330" t="s">
        <v>308</v>
      </c>
      <c r="F6" s="4537" t="s">
        <v>309</v>
      </c>
      <c r="G6" s="4537"/>
      <c r="H6" s="4330" t="s">
        <v>310</v>
      </c>
      <c r="I6" s="4330" t="s">
        <v>309</v>
      </c>
      <c r="J6" s="4330"/>
      <c r="K6" s="4330"/>
      <c r="L6" s="4330"/>
      <c r="M6" s="4330"/>
      <c r="N6" s="4330"/>
      <c r="O6" s="4330"/>
      <c r="P6" s="4537" t="s">
        <v>1702</v>
      </c>
      <c r="Q6" s="4330"/>
      <c r="R6" s="4526" t="s">
        <v>93</v>
      </c>
      <c r="S6" s="4526"/>
      <c r="T6" s="4526"/>
      <c r="U6" s="4526" t="s">
        <v>58</v>
      </c>
      <c r="V6" s="4526"/>
      <c r="W6" s="4526"/>
      <c r="X6" s="4330" t="s">
        <v>87</v>
      </c>
      <c r="Y6" s="4525" t="s">
        <v>302</v>
      </c>
    </row>
    <row r="7" spans="1:25" s="1429" customFormat="1" ht="17.399999999999999">
      <c r="A7" s="4531"/>
      <c r="B7" s="4330"/>
      <c r="C7" s="4330"/>
      <c r="D7" s="4538"/>
      <c r="E7" s="4330"/>
      <c r="F7" s="4539"/>
      <c r="G7" s="4539"/>
      <c r="H7" s="4330"/>
      <c r="I7" s="4330" t="s">
        <v>238</v>
      </c>
      <c r="J7" s="4330" t="s">
        <v>311</v>
      </c>
      <c r="K7" s="4330"/>
      <c r="L7" s="4330"/>
      <c r="M7" s="4330"/>
      <c r="N7" s="4330"/>
      <c r="O7" s="4330"/>
      <c r="P7" s="4538"/>
      <c r="Q7" s="4330"/>
      <c r="R7" s="4330" t="s">
        <v>312</v>
      </c>
      <c r="S7" s="4330" t="s">
        <v>309</v>
      </c>
      <c r="T7" s="4330"/>
      <c r="U7" s="4330" t="s">
        <v>312</v>
      </c>
      <c r="V7" s="4526" t="s">
        <v>309</v>
      </c>
      <c r="W7" s="4526"/>
      <c r="X7" s="4330"/>
      <c r="Y7" s="4525"/>
    </row>
    <row r="8" spans="1:25" s="1429" customFormat="1" ht="339" customHeight="1">
      <c r="A8" s="4531"/>
      <c r="B8" s="4330"/>
      <c r="C8" s="4330"/>
      <c r="D8" s="4539"/>
      <c r="E8" s="4330"/>
      <c r="F8" s="1396" t="s">
        <v>313</v>
      </c>
      <c r="G8" s="1396" t="s">
        <v>314</v>
      </c>
      <c r="H8" s="4330"/>
      <c r="I8" s="4330"/>
      <c r="J8" s="4330"/>
      <c r="K8" s="1396" t="s">
        <v>315</v>
      </c>
      <c r="L8" s="1396" t="s">
        <v>316</v>
      </c>
      <c r="M8" s="1396" t="str">
        <f>'Phụ lục số 7'!M8</f>
        <v>Bổ sung nguồn thực hiện điều chỉnh tiền lương cơ sở tăng thêm đến 1,8 triệu đồng/tháng (12 tháng)</v>
      </c>
      <c r="N8" s="1396" t="str">
        <f>'Phụ lục số 7'!N8</f>
        <v>Bổ sung có mục tiêu thực hiện chính sách an sinh xã hội (ngoài chính sách tiền lương)</v>
      </c>
      <c r="O8" s="3167" t="str">
        <f>'Phụ lục số 7'!O8</f>
        <v>Bổ sung có mục tiêu kinh phí diễn tập khu vực phòng thủ cấp huyện năm 2024</v>
      </c>
      <c r="P8" s="4539"/>
      <c r="Q8" s="4330"/>
      <c r="R8" s="4330"/>
      <c r="S8" s="1396" t="s">
        <v>1305</v>
      </c>
      <c r="T8" s="1396" t="s">
        <v>391</v>
      </c>
      <c r="U8" s="4330"/>
      <c r="V8" s="1396" t="s">
        <v>300</v>
      </c>
      <c r="W8" s="1396" t="s">
        <v>301</v>
      </c>
      <c r="X8" s="4330"/>
      <c r="Y8" s="4525"/>
    </row>
    <row r="9" spans="1:25" s="1429" customFormat="1" ht="19.2" customHeight="1">
      <c r="A9" s="3046">
        <f>'Phụ lục số 7'!A9</f>
        <v>1</v>
      </c>
      <c r="B9" s="3039">
        <f>'Phụ lục số 7'!B9</f>
        <v>2</v>
      </c>
      <c r="C9" s="3039">
        <f>'Phụ lục số 7'!C9</f>
        <v>3</v>
      </c>
      <c r="D9" s="3039" t="str">
        <f>'Phụ lục số 7'!D9</f>
        <v>4=5+8+13</v>
      </c>
      <c r="E9" s="3039" t="str">
        <f>'Phụ lục số 7'!E9</f>
        <v>5=6+7</v>
      </c>
      <c r="F9" s="3039">
        <f>'Phụ lục số 7'!F9</f>
        <v>6</v>
      </c>
      <c r="G9" s="3039">
        <f>'Phụ lục số 7'!G9</f>
        <v>7</v>
      </c>
      <c r="H9" s="3039" t="str">
        <f>'Phụ lục số 7'!H9</f>
        <v>8=9+10</v>
      </c>
      <c r="I9" s="3039">
        <f>'Phụ lục số 7'!I9</f>
        <v>9</v>
      </c>
      <c r="J9" s="3039" t="str">
        <f>'Phụ lục số 7'!J9</f>
        <v>10=11+12+13+14+15</v>
      </c>
      <c r="K9" s="3039">
        <f>'Phụ lục số 7'!K9</f>
        <v>11</v>
      </c>
      <c r="L9" s="3039">
        <f>'Phụ lục số 7'!L9</f>
        <v>12</v>
      </c>
      <c r="M9" s="3039">
        <f>'Phụ lục số 7'!M9</f>
        <v>13</v>
      </c>
      <c r="N9" s="3039">
        <f>'Phụ lục số 7'!N9</f>
        <v>14</v>
      </c>
      <c r="O9" s="3039">
        <f>'Phụ lục số 7'!O9</f>
        <v>15</v>
      </c>
      <c r="P9" s="3039">
        <f>'Phụ lục số 7'!P9</f>
        <v>16</v>
      </c>
      <c r="Q9" s="3039" t="str">
        <f>'Phụ lục số 7'!Q9</f>
        <v>17=18+21+24+25</v>
      </c>
      <c r="R9" s="3039" t="str">
        <f>'Phụ lục số 7'!R9</f>
        <v>18=19+20</v>
      </c>
      <c r="S9" s="3039">
        <f>'Phụ lục số 7'!S9</f>
        <v>19</v>
      </c>
      <c r="T9" s="3039">
        <f>'Phụ lục số 7'!T9</f>
        <v>20</v>
      </c>
      <c r="U9" s="3039" t="str">
        <f>'Phụ lục số 7'!U9</f>
        <v>21=22+23</v>
      </c>
      <c r="V9" s="3039">
        <f>'Phụ lục số 7'!V9</f>
        <v>22</v>
      </c>
      <c r="W9" s="3039">
        <f>'Phụ lục số 7'!W9</f>
        <v>23</v>
      </c>
      <c r="X9" s="3039">
        <f>'Phụ lục số 7'!X9</f>
        <v>24</v>
      </c>
      <c r="Y9" s="3047">
        <f>'Phụ lục số 7'!Y9</f>
        <v>25</v>
      </c>
    </row>
    <row r="10" spans="1:25" ht="30" customHeight="1">
      <c r="A10" s="3048">
        <v>1</v>
      </c>
      <c r="B10" s="3040" t="s">
        <v>2362</v>
      </c>
      <c r="C10" s="3041">
        <f>'Phụ lục số 5'!F7</f>
        <v>189200</v>
      </c>
      <c r="D10" s="3041">
        <f>SUM(E10,H10,P10)</f>
        <v>664002</v>
      </c>
      <c r="E10" s="3041">
        <f>'Phụ lục số 5'!H7</f>
        <v>157900</v>
      </c>
      <c r="F10" s="3041">
        <f>E10-G10</f>
        <v>127400</v>
      </c>
      <c r="G10" s="3041">
        <f>'Phụ lục số 5'!H10+'Phụ lục số 5'!H11+'Phụ lục số 5'!H15</f>
        <v>30500</v>
      </c>
      <c r="H10" s="3041">
        <f>SUM(I10:J10)</f>
        <v>469609</v>
      </c>
      <c r="I10" s="3041">
        <f>'Phụ lục số 5'!H37</f>
        <v>413967</v>
      </c>
      <c r="J10" s="3042">
        <f>SUM(K10:O10)</f>
        <v>55642</v>
      </c>
      <c r="K10" s="3041">
        <f>'Phụ lục số 5'!H39</f>
        <v>9300</v>
      </c>
      <c r="L10" s="3041">
        <f>'Phụ lục số 5'!H40</f>
        <v>9500</v>
      </c>
      <c r="M10" s="3041">
        <f>'Phụ lục số 5'!H41</f>
        <v>33411</v>
      </c>
      <c r="N10" s="3041">
        <f>'Phụ lục số 5'!H42</f>
        <v>3431</v>
      </c>
      <c r="O10" s="3041">
        <f>'Phụ lục số 5'!H43</f>
        <v>0</v>
      </c>
      <c r="P10" s="3041">
        <f>'Phụ lục số 5'!H44</f>
        <v>36493</v>
      </c>
      <c r="Q10" s="3041">
        <f>R10+U10+X10+Y10</f>
        <v>664002</v>
      </c>
      <c r="R10" s="3041">
        <f>S10+T10</f>
        <v>117999.59453397225</v>
      </c>
      <c r="S10" s="3041">
        <f>'Phụ lục số 6'!D8</f>
        <v>27999.594533972257</v>
      </c>
      <c r="T10" s="3041">
        <f>'Phụ lục số 6'!D9</f>
        <v>90000</v>
      </c>
      <c r="U10" s="3041">
        <f t="shared" ref="U10:U21" si="0">SUM(V10:W10)</f>
        <v>535564.81160976144</v>
      </c>
      <c r="V10" s="3041">
        <f>'Phụ lục số 6'!D12</f>
        <v>319042.11488564592</v>
      </c>
      <c r="W10" s="3041">
        <f>'Phụ lục số 6'!D13</f>
        <v>216522.69672411552</v>
      </c>
      <c r="X10" s="3041">
        <f>'Phụ lục số 6'!D14</f>
        <v>10437.59385626638</v>
      </c>
      <c r="Y10" s="3049">
        <f>'Phụ lục số 6'!D15</f>
        <v>0</v>
      </c>
    </row>
    <row r="11" spans="1:25" s="1436" customFormat="1" ht="30" customHeight="1">
      <c r="A11" s="2931">
        <v>2</v>
      </c>
      <c r="B11" s="1444" t="s">
        <v>290</v>
      </c>
      <c r="C11" s="1439">
        <f>'Phụ lục số 5'!I7</f>
        <v>430350</v>
      </c>
      <c r="D11" s="3041">
        <f t="shared" ref="D11:D21" si="1">SUM(E11,H11,P11)</f>
        <v>675185</v>
      </c>
      <c r="E11" s="1439">
        <f>'Phụ lục số 5'!K7</f>
        <v>384130</v>
      </c>
      <c r="F11" s="1439">
        <f t="shared" ref="F11:F21" si="2">E11-G11</f>
        <v>312450</v>
      </c>
      <c r="G11" s="1439">
        <f>'Phụ lục số 5'!K10+'Phụ lục số 5'!K11+'Phụ lục số 5'!K15</f>
        <v>71680</v>
      </c>
      <c r="H11" s="1439">
        <f t="shared" ref="H11:H21" si="3">SUM(I11:J11)</f>
        <v>291055</v>
      </c>
      <c r="I11" s="1439">
        <f>'Phụ lục số 5'!K37</f>
        <v>225665</v>
      </c>
      <c r="J11" s="3042">
        <f>SUM(K11:O11)</f>
        <v>65390</v>
      </c>
      <c r="K11" s="1439">
        <f>'Phụ lục số 5'!K39</f>
        <v>5800</v>
      </c>
      <c r="L11" s="1439">
        <f>'Phụ lục số 5'!K40</f>
        <v>7500</v>
      </c>
      <c r="M11" s="1439">
        <f>'Phụ lục số 5'!K41</f>
        <v>46035</v>
      </c>
      <c r="N11" s="1439">
        <f>'Phụ lục số 5'!K42</f>
        <v>4055</v>
      </c>
      <c r="O11" s="1439">
        <f>'Phụ lục số 5'!K43</f>
        <v>2000</v>
      </c>
      <c r="P11" s="1439">
        <f>'Phụ lục số 5'!K44</f>
        <v>0</v>
      </c>
      <c r="Q11" s="3041">
        <f t="shared" ref="Q11:Q21" si="4">R11+U11+X11+Y11</f>
        <v>675185</v>
      </c>
      <c r="R11" s="1439">
        <f t="shared" ref="R11:R21" si="5">S11+T11</f>
        <v>298000.23934054258</v>
      </c>
      <c r="S11" s="1439">
        <f>'Phụ lục số 6'!E8</f>
        <v>28000.239340542557</v>
      </c>
      <c r="T11" s="1439">
        <f>'Phụ lục số 6'!E9</f>
        <v>270000</v>
      </c>
      <c r="U11" s="1439">
        <f t="shared" si="0"/>
        <v>365685.54508638143</v>
      </c>
      <c r="V11" s="1439">
        <f>'Phụ lục số 6'!E12</f>
        <v>186442.40845576092</v>
      </c>
      <c r="W11" s="1439">
        <f>'Phụ lục số 6'!E13</f>
        <v>179243.13663062052</v>
      </c>
      <c r="X11" s="1439">
        <f>'Phụ lục số 6'!E14</f>
        <v>11499.215573075984</v>
      </c>
      <c r="Y11" s="3050">
        <f>'Phụ lục số 6'!E15</f>
        <v>0</v>
      </c>
    </row>
    <row r="12" spans="1:25" s="1436" customFormat="1" ht="30" customHeight="1">
      <c r="A12" s="2931">
        <v>3</v>
      </c>
      <c r="B12" s="1444" t="s">
        <v>2363</v>
      </c>
      <c r="C12" s="1439">
        <f>'Phụ lục số 5'!L7</f>
        <v>101150</v>
      </c>
      <c r="D12" s="3041">
        <f t="shared" si="1"/>
        <v>573785.82400000002</v>
      </c>
      <c r="E12" s="1439">
        <f>'Phụ lục số 5'!N7</f>
        <v>96340</v>
      </c>
      <c r="F12" s="1439">
        <f t="shared" si="2"/>
        <v>51440</v>
      </c>
      <c r="G12" s="1439">
        <f>'Phụ lục số 5'!N10+'Phụ lục số 5'!N11+'Phụ lục số 5'!N15</f>
        <v>44900</v>
      </c>
      <c r="H12" s="1439">
        <f t="shared" si="3"/>
        <v>441196.82400000002</v>
      </c>
      <c r="I12" s="1439">
        <f>'Phụ lục số 5'!N37</f>
        <v>391207</v>
      </c>
      <c r="J12" s="3042">
        <f t="shared" ref="J12:J18" si="6">SUM(K12:O12)</f>
        <v>49989.824000000001</v>
      </c>
      <c r="K12" s="1439">
        <f>'Phụ lục số 5'!N39</f>
        <v>16100</v>
      </c>
      <c r="L12" s="1439">
        <f>'Phụ lục số 5'!N40</f>
        <v>18000</v>
      </c>
      <c r="M12" s="1439">
        <f>'Phụ lục số 5'!N41</f>
        <v>8966</v>
      </c>
      <c r="N12" s="1439">
        <f>'Phụ lục số 5'!N42</f>
        <v>6923.8239999999996</v>
      </c>
      <c r="O12" s="1439">
        <f>'Phụ lục số 5'!N43</f>
        <v>0</v>
      </c>
      <c r="P12" s="1439">
        <f>'Phụ lục số 5'!N44</f>
        <v>36249</v>
      </c>
      <c r="Q12" s="3041">
        <f>R12+U12+X12+Y12</f>
        <v>573785.82400000002</v>
      </c>
      <c r="R12" s="1439">
        <f t="shared" si="5"/>
        <v>58999.51627905004</v>
      </c>
      <c r="S12" s="1439">
        <f>'Phụ lục số 6'!F8</f>
        <v>31999.51627905004</v>
      </c>
      <c r="T12" s="1439">
        <f>'Phụ lục số 6'!F9</f>
        <v>27000</v>
      </c>
      <c r="U12" s="1439">
        <f t="shared" si="0"/>
        <v>504249.08388374688</v>
      </c>
      <c r="V12" s="1439">
        <f>'Phụ lục số 6'!F12</f>
        <v>286155.85849218653</v>
      </c>
      <c r="W12" s="1439">
        <f>'Phụ lục số 6'!F13</f>
        <v>218093.22539156035</v>
      </c>
      <c r="X12" s="1439">
        <f>'Phụ lục số 6'!F14</f>
        <v>10537.223837203137</v>
      </c>
      <c r="Y12" s="3050">
        <f>'Phụ lục số 6'!F15</f>
        <v>0</v>
      </c>
    </row>
    <row r="13" spans="1:25" ht="30" customHeight="1">
      <c r="A13" s="2931">
        <v>4</v>
      </c>
      <c r="B13" s="1444" t="s">
        <v>2364</v>
      </c>
      <c r="C13" s="1439">
        <f>'Phụ lục số 5'!O7</f>
        <v>155300</v>
      </c>
      <c r="D13" s="3041">
        <f t="shared" si="1"/>
        <v>629617.76</v>
      </c>
      <c r="E13" s="1439">
        <f>'Phụ lục số 5'!Q7</f>
        <v>140940</v>
      </c>
      <c r="F13" s="1439">
        <f t="shared" si="2"/>
        <v>86640</v>
      </c>
      <c r="G13" s="1439">
        <f>'Phụ lục số 5'!Q10+'Phụ lục số 5'!Q11+'Phụ lục số 5'!Q15</f>
        <v>54300</v>
      </c>
      <c r="H13" s="1439">
        <f t="shared" si="3"/>
        <v>467064.76</v>
      </c>
      <c r="I13" s="1439">
        <f>'Phụ lục số 5'!Q37</f>
        <v>388772</v>
      </c>
      <c r="J13" s="3042">
        <f t="shared" si="6"/>
        <v>78292.759999999995</v>
      </c>
      <c r="K13" s="1439">
        <f>'Phụ lục số 5'!Q39</f>
        <v>18900</v>
      </c>
      <c r="L13" s="1439">
        <f>'Phụ lục số 5'!Q40</f>
        <v>27000</v>
      </c>
      <c r="M13" s="1439">
        <f>'Phụ lục số 5'!Q41</f>
        <v>30706</v>
      </c>
      <c r="N13" s="1439">
        <f>'Phụ lục số 5'!Q42</f>
        <v>1686.76</v>
      </c>
      <c r="O13" s="1439">
        <f>'Phụ lục số 5'!Q43</f>
        <v>0</v>
      </c>
      <c r="P13" s="1439">
        <f>'Phụ lục số 5'!Q44</f>
        <v>21613</v>
      </c>
      <c r="Q13" s="3041">
        <f t="shared" si="4"/>
        <v>629617.76</v>
      </c>
      <c r="R13" s="1439">
        <f t="shared" si="5"/>
        <v>83999.809682436709</v>
      </c>
      <c r="S13" s="1439">
        <f>'Phụ lục số 6'!G8</f>
        <v>29999.809682436709</v>
      </c>
      <c r="T13" s="1439">
        <f>'Phụ lục số 6'!G9</f>
        <v>54000</v>
      </c>
      <c r="U13" s="1439">
        <f t="shared" si="0"/>
        <v>534028.97233674373</v>
      </c>
      <c r="V13" s="1439">
        <f>'Phụ lục số 6'!G12</f>
        <v>267458.19947370357</v>
      </c>
      <c r="W13" s="1439">
        <f>'Phụ lục số 6'!G13</f>
        <v>266570.77286304015</v>
      </c>
      <c r="X13" s="1439">
        <f>'Phụ lục số 6'!G14</f>
        <v>11588.977980819584</v>
      </c>
      <c r="Y13" s="3050">
        <f>'Phụ lục số 6'!G15</f>
        <v>0</v>
      </c>
    </row>
    <row r="14" spans="1:25" ht="30" customHeight="1">
      <c r="A14" s="2931">
        <v>5</v>
      </c>
      <c r="B14" s="1444" t="s">
        <v>2365</v>
      </c>
      <c r="C14" s="1439">
        <f>'Phụ lục số 5'!R7</f>
        <v>260000</v>
      </c>
      <c r="D14" s="3041">
        <f t="shared" si="1"/>
        <v>767421.35199999996</v>
      </c>
      <c r="E14" s="1439">
        <f>'Phụ lục số 5'!T7</f>
        <v>241850</v>
      </c>
      <c r="F14" s="1439">
        <f t="shared" si="2"/>
        <v>121250</v>
      </c>
      <c r="G14" s="1439">
        <f>'Phụ lục số 5'!T10+'Phụ lục số 5'!T11+'Phụ lục số 5'!T15</f>
        <v>120600</v>
      </c>
      <c r="H14" s="1439">
        <f t="shared" si="3"/>
        <v>486100.35200000001</v>
      </c>
      <c r="I14" s="1439">
        <f>'Phụ lục số 5'!T37</f>
        <v>449761</v>
      </c>
      <c r="J14" s="3042">
        <f t="shared" si="6"/>
        <v>36339.351999999999</v>
      </c>
      <c r="K14" s="1439">
        <f>'Phụ lục số 5'!T39</f>
        <v>13200</v>
      </c>
      <c r="L14" s="1439">
        <f>'Phụ lục số 5'!T40</f>
        <v>19098</v>
      </c>
      <c r="M14" s="1439">
        <f>'Phụ lục số 5'!T41</f>
        <v>0</v>
      </c>
      <c r="N14" s="1439">
        <f>'Phụ lục số 5'!T42</f>
        <v>4041.3519999999999</v>
      </c>
      <c r="O14" s="1439">
        <f>'Phụ lục số 5'!T43</f>
        <v>0</v>
      </c>
      <c r="P14" s="1439">
        <f>'Phụ lục số 5'!T44</f>
        <v>39471</v>
      </c>
      <c r="Q14" s="3041">
        <f t="shared" si="4"/>
        <v>767421.35199999996</v>
      </c>
      <c r="R14" s="1439">
        <f t="shared" si="5"/>
        <v>106999.86288471894</v>
      </c>
      <c r="S14" s="1439">
        <f>'Phụ lục số 6'!H8</f>
        <v>43999.862884718939</v>
      </c>
      <c r="T14" s="1439">
        <f>'Phụ lục số 6'!H9</f>
        <v>63000</v>
      </c>
      <c r="U14" s="1439">
        <f t="shared" si="0"/>
        <v>645402.39632410579</v>
      </c>
      <c r="V14" s="1439">
        <f>'Phụ lục số 6'!H12</f>
        <v>358528.40219701076</v>
      </c>
      <c r="W14" s="1439">
        <f>'Phụ lục số 6'!H13</f>
        <v>286873.99412709504</v>
      </c>
      <c r="X14" s="1439">
        <f>'Phụ lục số 6'!H14</f>
        <v>15019.092791175266</v>
      </c>
      <c r="Y14" s="3050">
        <f>'Phụ lục số 6'!H15</f>
        <v>0</v>
      </c>
    </row>
    <row r="15" spans="1:25" ht="30" customHeight="1">
      <c r="A15" s="2931">
        <v>6</v>
      </c>
      <c r="B15" s="1444" t="s">
        <v>2366</v>
      </c>
      <c r="C15" s="1439">
        <f>'Phụ lục số 5'!U7</f>
        <v>1450250</v>
      </c>
      <c r="D15" s="3041">
        <f t="shared" si="1"/>
        <v>1598566.2</v>
      </c>
      <c r="E15" s="1439">
        <f>'Phụ lục số 5'!W7</f>
        <v>1146450</v>
      </c>
      <c r="F15" s="1439">
        <f t="shared" si="2"/>
        <v>375250</v>
      </c>
      <c r="G15" s="1439">
        <f>'Phụ lục số 5'!W10+'Phụ lục số 5'!W11+'Phụ lục số 5'!W15</f>
        <v>771200</v>
      </c>
      <c r="H15" s="1439">
        <f t="shared" si="3"/>
        <v>56513.2</v>
      </c>
      <c r="I15" s="1439">
        <f>'Phụ lục số 5'!W37</f>
        <v>37354</v>
      </c>
      <c r="J15" s="3042">
        <f t="shared" si="6"/>
        <v>19159.2</v>
      </c>
      <c r="K15" s="1439">
        <f>'Phụ lục số 5'!W39</f>
        <v>5000</v>
      </c>
      <c r="L15" s="1439">
        <f>'Phụ lục số 5'!W40</f>
        <v>3000</v>
      </c>
      <c r="M15" s="1439">
        <f>'Phụ lục số 5'!W41</f>
        <v>0</v>
      </c>
      <c r="N15" s="1439">
        <f>'Phụ lục số 5'!W42</f>
        <v>11159.2</v>
      </c>
      <c r="O15" s="1439">
        <f>'Phụ lục số 5'!W43</f>
        <v>0</v>
      </c>
      <c r="P15" s="1439">
        <f>'Phụ lục số 5'!W44</f>
        <v>395603</v>
      </c>
      <c r="Q15" s="3041">
        <f t="shared" si="4"/>
        <v>1598566.2</v>
      </c>
      <c r="R15" s="1439">
        <f t="shared" si="5"/>
        <v>284000.24258928356</v>
      </c>
      <c r="S15" s="1439">
        <f>'Phụ lục số 6'!I8</f>
        <v>140000.24258928356</v>
      </c>
      <c r="T15" s="1439">
        <f>'Phụ lục số 6'!I9</f>
        <v>144000</v>
      </c>
      <c r="U15" s="1439">
        <f t="shared" si="0"/>
        <v>824431.64142151806</v>
      </c>
      <c r="V15" s="1439">
        <f>'Phụ lục số 6'!I12</f>
        <v>390638.93133133231</v>
      </c>
      <c r="W15" s="1439">
        <f>'Phụ lục số 6'!I13</f>
        <v>433792.71009018575</v>
      </c>
      <c r="X15" s="1439">
        <f>'Phụ lục số 6'!I14</f>
        <v>24840.315989198371</v>
      </c>
      <c r="Y15" s="3050">
        <f>'Phụ lục số 6'!I15</f>
        <v>465294</v>
      </c>
    </row>
    <row r="16" spans="1:25" ht="30" customHeight="1">
      <c r="A16" s="2931">
        <v>7</v>
      </c>
      <c r="B16" s="1444" t="s">
        <v>294</v>
      </c>
      <c r="C16" s="1439">
        <f>'Phụ lục số 5'!X7</f>
        <v>280250</v>
      </c>
      <c r="D16" s="3041">
        <f t="shared" si="1"/>
        <v>960665.2</v>
      </c>
      <c r="E16" s="1439">
        <f>'Phụ lục số 5'!Z7</f>
        <v>259140</v>
      </c>
      <c r="F16" s="1439">
        <f t="shared" si="2"/>
        <v>131750</v>
      </c>
      <c r="G16" s="1439">
        <f>'Phụ lục số 5'!Z10+'Phụ lục số 5'!Z11+'Phụ lục số 5'!Z15</f>
        <v>127390</v>
      </c>
      <c r="H16" s="1439">
        <f t="shared" si="3"/>
        <v>642349.19999999995</v>
      </c>
      <c r="I16" s="1439">
        <f>'Phụ lục số 5'!Z37</f>
        <v>566422</v>
      </c>
      <c r="J16" s="3042">
        <f t="shared" si="6"/>
        <v>75927.199999999997</v>
      </c>
      <c r="K16" s="1439">
        <f>'Phụ lục số 5'!Z39</f>
        <v>21400</v>
      </c>
      <c r="L16" s="1439">
        <f>'Phụ lục số 5'!Z40</f>
        <v>26000</v>
      </c>
      <c r="M16" s="1439">
        <f>'Phụ lục số 5'!Z41</f>
        <v>10606</v>
      </c>
      <c r="N16" s="1439">
        <f>'Phụ lục số 5'!Z42</f>
        <v>17921.2</v>
      </c>
      <c r="O16" s="1439">
        <f>'Phụ lục số 5'!Z43</f>
        <v>0</v>
      </c>
      <c r="P16" s="1439">
        <f>'Phụ lục số 5'!Z44</f>
        <v>59176</v>
      </c>
      <c r="Q16" s="3041">
        <f t="shared" si="4"/>
        <v>960665.2</v>
      </c>
      <c r="R16" s="1439">
        <f t="shared" si="5"/>
        <v>101000.03850993092</v>
      </c>
      <c r="S16" s="1439">
        <f>'Phụ lục số 6'!J8</f>
        <v>47000.038509930921</v>
      </c>
      <c r="T16" s="1439">
        <f>'Phụ lục số 6'!J9</f>
        <v>54000</v>
      </c>
      <c r="U16" s="1439">
        <f t="shared" si="0"/>
        <v>841340.27048818825</v>
      </c>
      <c r="V16" s="1439">
        <f>'Phụ lục số 6'!J12</f>
        <v>446043.65421420382</v>
      </c>
      <c r="W16" s="1439">
        <f>'Phụ lục số 6'!J13</f>
        <v>395296.61627398443</v>
      </c>
      <c r="X16" s="1439">
        <f>'Phụ lục số 6'!J14</f>
        <v>18324.891001880766</v>
      </c>
      <c r="Y16" s="3050">
        <f>'Phụ lục số 6'!J15</f>
        <v>0</v>
      </c>
    </row>
    <row r="17" spans="1:25" s="1436" customFormat="1" ht="30" customHeight="1">
      <c r="A17" s="2931">
        <v>8</v>
      </c>
      <c r="B17" s="1444" t="s">
        <v>412</v>
      </c>
      <c r="C17" s="1439">
        <f>'Phụ lục số 5'!AA7</f>
        <v>275700</v>
      </c>
      <c r="D17" s="3041">
        <f t="shared" si="1"/>
        <v>825155.6</v>
      </c>
      <c r="E17" s="1439">
        <f>'Phụ lục số 5'!AC7</f>
        <v>257750</v>
      </c>
      <c r="F17" s="1439">
        <f t="shared" si="2"/>
        <v>149200</v>
      </c>
      <c r="G17" s="1439">
        <f>'Phụ lục số 5'!AC10+'Phụ lục số 5'!AC11+'Phụ lục số 5'!AC15</f>
        <v>108550</v>
      </c>
      <c r="H17" s="1439">
        <f t="shared" si="3"/>
        <v>540705.6</v>
      </c>
      <c r="I17" s="1439">
        <f>'Phụ lục số 5'!AC37</f>
        <v>441700</v>
      </c>
      <c r="J17" s="3042">
        <f t="shared" si="6"/>
        <v>99005.6</v>
      </c>
      <c r="K17" s="1439">
        <f>'Phụ lục số 5'!AC39</f>
        <v>28600</v>
      </c>
      <c r="L17" s="1439">
        <f>'Phụ lục số 5'!AC40</f>
        <v>33000</v>
      </c>
      <c r="M17" s="1439">
        <f>'Phụ lục số 5'!AC41</f>
        <v>34795</v>
      </c>
      <c r="N17" s="1439">
        <f>'Phụ lục số 5'!AC42</f>
        <v>2610.6</v>
      </c>
      <c r="O17" s="1439">
        <f>'Phụ lục số 5'!AC43</f>
        <v>0</v>
      </c>
      <c r="P17" s="1439">
        <f>'Phụ lục số 5'!AC44</f>
        <v>26700</v>
      </c>
      <c r="Q17" s="3041">
        <f t="shared" si="4"/>
        <v>825155.6</v>
      </c>
      <c r="R17" s="1439">
        <f t="shared" si="5"/>
        <v>130000.33494633662</v>
      </c>
      <c r="S17" s="1439">
        <f>'Phụ lục số 6'!K8</f>
        <v>40000.334946336618</v>
      </c>
      <c r="T17" s="1439">
        <f>'Phụ lục số 6'!K9</f>
        <v>90000</v>
      </c>
      <c r="U17" s="1439">
        <f t="shared" si="0"/>
        <v>679823.93388392578</v>
      </c>
      <c r="V17" s="1439">
        <f>'Phụ lục số 6'!K12</f>
        <v>372742.22567693546</v>
      </c>
      <c r="W17" s="1439">
        <f>'Phụ lục số 6'!K13</f>
        <v>307081.70820699033</v>
      </c>
      <c r="X17" s="1439">
        <f>'Phụ lục số 6'!K14</f>
        <v>15331.331169737576</v>
      </c>
      <c r="Y17" s="3050">
        <f>'Phụ lục số 6'!K15</f>
        <v>0</v>
      </c>
    </row>
    <row r="18" spans="1:25" ht="30" customHeight="1">
      <c r="A18" s="2931">
        <v>9</v>
      </c>
      <c r="B18" s="1444" t="s">
        <v>413</v>
      </c>
      <c r="C18" s="1439">
        <f>'Phụ lục số 5'!AD7</f>
        <v>284000</v>
      </c>
      <c r="D18" s="3041">
        <f t="shared" si="1"/>
        <v>829132.94799999997</v>
      </c>
      <c r="E18" s="1439">
        <f>'Phụ lục số 5'!AF7</f>
        <v>269200</v>
      </c>
      <c r="F18" s="1439">
        <f t="shared" si="2"/>
        <v>106600</v>
      </c>
      <c r="G18" s="1439">
        <f>'Phụ lục số 5'!AF10+'Phụ lục số 5'!AF11+'Phụ lục số 5'!AF15</f>
        <v>162600</v>
      </c>
      <c r="H18" s="1439">
        <f t="shared" si="3"/>
        <v>520654.94799999997</v>
      </c>
      <c r="I18" s="1439">
        <f>'Phụ lục số 5'!AF37</f>
        <v>470689</v>
      </c>
      <c r="J18" s="3042">
        <f t="shared" si="6"/>
        <v>49965.948000000004</v>
      </c>
      <c r="K18" s="1439">
        <f>'Phụ lục số 5'!AF39</f>
        <v>8900</v>
      </c>
      <c r="L18" s="1439">
        <f>'Phụ lục số 5'!AF40</f>
        <v>7000</v>
      </c>
      <c r="M18" s="1439">
        <f>'Phụ lục số 5'!AF41</f>
        <v>9628</v>
      </c>
      <c r="N18" s="1439">
        <f>'Phụ lục số 5'!AF42</f>
        <v>22437.948</v>
      </c>
      <c r="O18" s="1439">
        <f>'Phụ lục số 5'!AF43</f>
        <v>2000</v>
      </c>
      <c r="P18" s="1439">
        <f>'Phụ lục số 5'!AF44</f>
        <v>39278</v>
      </c>
      <c r="Q18" s="3041">
        <f t="shared" si="4"/>
        <v>829132.94799999997</v>
      </c>
      <c r="R18" s="1439">
        <f t="shared" si="5"/>
        <v>96000.351400568732</v>
      </c>
      <c r="S18" s="1439">
        <f>'Phụ lục số 6'!L8</f>
        <v>42000.351400568725</v>
      </c>
      <c r="T18" s="1439">
        <f>'Phụ lục số 6'!L9</f>
        <v>54000</v>
      </c>
      <c r="U18" s="1439">
        <f t="shared" si="0"/>
        <v>716878.32347413257</v>
      </c>
      <c r="V18" s="1439">
        <f>'Phụ lục số 6'!L12</f>
        <v>366671.59034785029</v>
      </c>
      <c r="W18" s="1439">
        <f>'Phụ lục số 6'!L13</f>
        <v>350206.73312628228</v>
      </c>
      <c r="X18" s="1439">
        <f>'Phụ lục số 6'!L14</f>
        <v>16254.273125298643</v>
      </c>
      <c r="Y18" s="3050">
        <f>'Phụ lục số 6'!L15</f>
        <v>0</v>
      </c>
    </row>
    <row r="19" spans="1:25" ht="30" customHeight="1">
      <c r="A19" s="2931">
        <v>10</v>
      </c>
      <c r="B19" s="1444" t="s">
        <v>2368</v>
      </c>
      <c r="C19" s="1439">
        <f>'Phụ lục số 5'!AG7</f>
        <v>195000</v>
      </c>
      <c r="D19" s="3041">
        <f t="shared" si="1"/>
        <v>717257.71200000006</v>
      </c>
      <c r="E19" s="1439">
        <f>'Phụ lục số 5'!AI7</f>
        <v>175430</v>
      </c>
      <c r="F19" s="1439">
        <f t="shared" si="2"/>
        <v>104230</v>
      </c>
      <c r="G19" s="1439">
        <f>'Phụ lục số 5'!AI10+'Phụ lục số 5'!AI11+'Phụ lục số 5'!AI15</f>
        <v>71200</v>
      </c>
      <c r="H19" s="1439">
        <f t="shared" si="3"/>
        <v>519057.712</v>
      </c>
      <c r="I19" s="1439">
        <f>'Phụ lục số 5'!AI37</f>
        <v>440874</v>
      </c>
      <c r="J19" s="3042">
        <f>SUM(K19:O19)</f>
        <v>78183.712</v>
      </c>
      <c r="K19" s="1439">
        <f>'Phụ lục số 5'!AI39</f>
        <v>11300</v>
      </c>
      <c r="L19" s="1439">
        <f>'Phụ lục số 5'!AI40</f>
        <v>7000</v>
      </c>
      <c r="M19" s="1439">
        <f>'Phụ lục số 5'!AI41</f>
        <v>50621</v>
      </c>
      <c r="N19" s="1439">
        <f>'Phụ lục số 5'!AI42</f>
        <v>7262.7119999999995</v>
      </c>
      <c r="O19" s="1439">
        <f>'Phụ lục số 5'!AI43</f>
        <v>2000</v>
      </c>
      <c r="P19" s="1439">
        <f>'Phụ lục số 5'!AI44</f>
        <v>22770</v>
      </c>
      <c r="Q19" s="3041">
        <f t="shared" si="4"/>
        <v>717257.71200000006</v>
      </c>
      <c r="R19" s="1439">
        <f t="shared" si="5"/>
        <v>96999.720817696681</v>
      </c>
      <c r="S19" s="1439">
        <f>'Phụ lục số 6'!M8</f>
        <v>33999.720817696674</v>
      </c>
      <c r="T19" s="1439">
        <f>'Phụ lục số 6'!M9</f>
        <v>63000</v>
      </c>
      <c r="U19" s="1439">
        <f t="shared" si="0"/>
        <v>608806.9670957122</v>
      </c>
      <c r="V19" s="1439">
        <f>'Phụ lục số 6'!M12</f>
        <v>331706.50480976811</v>
      </c>
      <c r="W19" s="1439">
        <f>'Phụ lục số 6'!M13</f>
        <v>277100.46228594409</v>
      </c>
      <c r="X19" s="1439">
        <f>'Phụ lục số 6'!M14</f>
        <v>11451.024086591191</v>
      </c>
      <c r="Y19" s="3050">
        <f>'Phụ lục số 6'!M15</f>
        <v>0</v>
      </c>
    </row>
    <row r="20" spans="1:25" ht="30" customHeight="1">
      <c r="A20" s="2931">
        <v>11</v>
      </c>
      <c r="B20" s="1444" t="s">
        <v>2369</v>
      </c>
      <c r="C20" s="1439">
        <f>'Phụ lục số 5'!AJ7</f>
        <v>930100</v>
      </c>
      <c r="D20" s="3041">
        <f t="shared" si="1"/>
        <v>953865.92</v>
      </c>
      <c r="E20" s="1439">
        <f>'Phụ lục số 5'!AL7</f>
        <v>544440</v>
      </c>
      <c r="F20" s="1439">
        <f t="shared" si="2"/>
        <v>254240</v>
      </c>
      <c r="G20" s="1439">
        <f>'Phụ lục số 5'!AL10+'Phụ lục số 5'!AL11+'Phụ lục số 5'!AL15</f>
        <v>290200</v>
      </c>
      <c r="H20" s="1439">
        <f t="shared" si="3"/>
        <v>234459.92</v>
      </c>
      <c r="I20" s="1439">
        <f>'Phụ lục số 5'!AL37</f>
        <v>224584</v>
      </c>
      <c r="J20" s="3042">
        <f>SUM(K20:O20)</f>
        <v>9875.92</v>
      </c>
      <c r="K20" s="1439">
        <f>'Phụ lục số 5'!AL39</f>
        <v>3000</v>
      </c>
      <c r="L20" s="1439">
        <f>'Phụ lục số 5'!AL40</f>
        <v>1500</v>
      </c>
      <c r="M20" s="1439">
        <f>'Phụ lục số 5'!AL41</f>
        <v>0</v>
      </c>
      <c r="N20" s="1439">
        <f>'Phụ lục số 5'!AL42</f>
        <v>5375.92</v>
      </c>
      <c r="O20" s="1439">
        <f>'Phụ lục số 5'!AL43</f>
        <v>0</v>
      </c>
      <c r="P20" s="1439">
        <f>'Phụ lục số 5'!AL44</f>
        <v>174966</v>
      </c>
      <c r="Q20" s="3041">
        <f t="shared" si="4"/>
        <v>953865.92</v>
      </c>
      <c r="R20" s="1439">
        <f t="shared" si="5"/>
        <v>227000.360400012</v>
      </c>
      <c r="S20" s="1439">
        <f>'Phụ lục số 6'!N8</f>
        <v>83000.360400011981</v>
      </c>
      <c r="T20" s="1439">
        <f>'Phụ lục số 6'!N9</f>
        <v>144000</v>
      </c>
      <c r="U20" s="1439">
        <f t="shared" si="0"/>
        <v>537382.28403784544</v>
      </c>
      <c r="V20" s="1439">
        <f>'Phụ lục số 6'!N12</f>
        <v>221835.73186322945</v>
      </c>
      <c r="W20" s="1439">
        <f>'Phụ lục số 6'!N13</f>
        <v>315546.55217461602</v>
      </c>
      <c r="X20" s="1439">
        <f>'Phụ lục số 6'!N14</f>
        <v>16517.275562142579</v>
      </c>
      <c r="Y20" s="3050">
        <f>'Phụ lục số 6'!N15</f>
        <v>172966</v>
      </c>
    </row>
    <row r="21" spans="1:25" ht="30" customHeight="1">
      <c r="A21" s="3051">
        <v>12</v>
      </c>
      <c r="B21" s="3043" t="s">
        <v>416</v>
      </c>
      <c r="C21" s="1460">
        <f>'Phụ lục số 5'!AM7</f>
        <v>285000</v>
      </c>
      <c r="D21" s="3041">
        <f t="shared" si="1"/>
        <v>713747.83199999994</v>
      </c>
      <c r="E21" s="1460">
        <f>'Phụ lục số 5'!AO7</f>
        <v>265510</v>
      </c>
      <c r="F21" s="1460">
        <f t="shared" si="2"/>
        <v>166550</v>
      </c>
      <c r="G21" s="1460">
        <f>'Phụ lục số 5'!AO10+'Phụ lục số 5'!AO11+'Phụ lục số 5'!AO15</f>
        <v>98960</v>
      </c>
      <c r="H21" s="1460">
        <f t="shared" si="3"/>
        <v>414556.83199999999</v>
      </c>
      <c r="I21" s="1460">
        <f>'Phụ lục số 5'!AO37</f>
        <v>379928</v>
      </c>
      <c r="J21" s="3042">
        <f>SUM(K21:O21)</f>
        <v>34628.832000000002</v>
      </c>
      <c r="K21" s="1460">
        <f>'Phụ lục số 5'!AO39</f>
        <v>7200</v>
      </c>
      <c r="L21" s="1460">
        <f>'Phụ lục số 5'!AO40</f>
        <v>10500</v>
      </c>
      <c r="M21" s="1460">
        <f>'Phụ lục số 5'!AO41</f>
        <v>8166</v>
      </c>
      <c r="N21" s="1460">
        <f>'Phụ lục số 5'!AO42</f>
        <v>6762.8320000000003</v>
      </c>
      <c r="O21" s="1460">
        <f>'Phụ lục số 5'!AO43</f>
        <v>2000</v>
      </c>
      <c r="P21" s="1460">
        <f>'Phụ lục số 5'!AO44</f>
        <v>33681</v>
      </c>
      <c r="Q21" s="3041">
        <f t="shared" si="4"/>
        <v>713747.83200000005</v>
      </c>
      <c r="R21" s="1460">
        <f t="shared" si="5"/>
        <v>123000.33758532717</v>
      </c>
      <c r="S21" s="1460">
        <f>'Phụ lục số 6'!O8</f>
        <v>33000.337585327172</v>
      </c>
      <c r="T21" s="1460">
        <f>'Phụ lục số 6'!O9</f>
        <v>90000</v>
      </c>
      <c r="U21" s="1460">
        <f t="shared" si="0"/>
        <v>576944.16506902024</v>
      </c>
      <c r="V21" s="1460">
        <f>'Phụ lục số 6'!O12</f>
        <v>294004.16143211746</v>
      </c>
      <c r="W21" s="1460">
        <f>'Phụ lục số 6'!O13</f>
        <v>282940.00363690278</v>
      </c>
      <c r="X21" s="1460">
        <f>'Phụ lục số 6'!O14</f>
        <v>13803.329345652623</v>
      </c>
      <c r="Y21" s="3052">
        <f>'Phụ lục số 6'!O15</f>
        <v>0</v>
      </c>
    </row>
    <row r="22" spans="1:25" s="1429" customFormat="1" ht="30" customHeight="1" thickBot="1">
      <c r="A22" s="3053"/>
      <c r="B22" s="3054" t="s">
        <v>312</v>
      </c>
      <c r="C22" s="3055">
        <f t="shared" ref="C22:Y22" si="7">SUM(C10:C21)</f>
        <v>4836300</v>
      </c>
      <c r="D22" s="3055">
        <f t="shared" si="7"/>
        <v>9908403.3480000012</v>
      </c>
      <c r="E22" s="3055">
        <f>SUM(E10:E21)</f>
        <v>3939080</v>
      </c>
      <c r="F22" s="3055">
        <f>SUM(F10:F21)</f>
        <v>1987000</v>
      </c>
      <c r="G22" s="3055">
        <f>SUM(G10:G21)</f>
        <v>1952080</v>
      </c>
      <c r="H22" s="3055">
        <f t="shared" si="7"/>
        <v>5083323.3480000002</v>
      </c>
      <c r="I22" s="3055">
        <f>SUM(I10:I21)</f>
        <v>4430923</v>
      </c>
      <c r="J22" s="3055">
        <f>SUM(J10:J21)</f>
        <v>652400.348</v>
      </c>
      <c r="K22" s="3055">
        <f t="shared" si="7"/>
        <v>148700</v>
      </c>
      <c r="L22" s="3055">
        <f t="shared" si="7"/>
        <v>169098</v>
      </c>
      <c r="M22" s="3055">
        <f t="shared" si="7"/>
        <v>232934</v>
      </c>
      <c r="N22" s="3055">
        <f t="shared" si="7"/>
        <v>93668.347999999998</v>
      </c>
      <c r="O22" s="3055">
        <f>SUM(O10:O21)</f>
        <v>8000</v>
      </c>
      <c r="P22" s="3055">
        <f t="shared" si="7"/>
        <v>886000</v>
      </c>
      <c r="Q22" s="3055">
        <f t="shared" si="7"/>
        <v>9908403.3480000012</v>
      </c>
      <c r="R22" s="3055">
        <f t="shared" si="7"/>
        <v>1724000.4089698766</v>
      </c>
      <c r="S22" s="3055">
        <f t="shared" si="7"/>
        <v>581000.40896987612</v>
      </c>
      <c r="T22" s="3055">
        <f t="shared" si="7"/>
        <v>1143000</v>
      </c>
      <c r="U22" s="3055">
        <f t="shared" si="7"/>
        <v>7370538.3947110819</v>
      </c>
      <c r="V22" s="3055">
        <f t="shared" si="7"/>
        <v>3841269.7831797441</v>
      </c>
      <c r="W22" s="3055">
        <f t="shared" si="7"/>
        <v>3529268.6115313373</v>
      </c>
      <c r="X22" s="3055">
        <f t="shared" si="7"/>
        <v>175604.54431904212</v>
      </c>
      <c r="Y22" s="3056">
        <f t="shared" si="7"/>
        <v>638260</v>
      </c>
    </row>
    <row r="23" spans="1:25" ht="18.600000000000001" thickTop="1">
      <c r="E23" s="3044">
        <f>E22/C22</f>
        <v>0.81448214544176334</v>
      </c>
      <c r="Q23" s="3045"/>
    </row>
  </sheetData>
  <mergeCells count="26">
    <mergeCell ref="A1:X1"/>
    <mergeCell ref="A2:X2"/>
    <mergeCell ref="W4:Y4"/>
    <mergeCell ref="A5:A8"/>
    <mergeCell ref="B5:B8"/>
    <mergeCell ref="C5:C8"/>
    <mergeCell ref="D5:P5"/>
    <mergeCell ref="Q5:Q8"/>
    <mergeCell ref="R5:Y5"/>
    <mergeCell ref="D6:D8"/>
    <mergeCell ref="E6:E8"/>
    <mergeCell ref="F6:G7"/>
    <mergeCell ref="H6:H8"/>
    <mergeCell ref="I6:O6"/>
    <mergeCell ref="P6:P8"/>
    <mergeCell ref="U6:W6"/>
    <mergeCell ref="X6:X8"/>
    <mergeCell ref="Y6:Y8"/>
    <mergeCell ref="I7:I8"/>
    <mergeCell ref="J7:J8"/>
    <mergeCell ref="K7:O7"/>
    <mergeCell ref="R7:R8"/>
    <mergeCell ref="S7:T7"/>
    <mergeCell ref="U7:U8"/>
    <mergeCell ref="V7:W7"/>
    <mergeCell ref="R6:T6"/>
  </mergeCells>
  <hyperlinks>
    <hyperlink ref="A5:A8" location="'List danh mục'!A1" display="STT"/>
  </hyperlinks>
  <printOptions horizontalCentered="1"/>
  <pageMargins left="0" right="0" top="0.59055118110236227" bottom="0" header="0.19685039370078741" footer="0.19685039370078741"/>
  <pageSetup paperSize="9" scale="55" orientation="landscape" r:id="rId1"/>
  <headerFooter>
    <oddHeader>&amp;R&amp;A</oddHeader>
    <oddFooter>&amp;C&amp;P/&amp;N</oddFooter>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66FF"/>
  </sheetPr>
  <dimension ref="A1:Q195"/>
  <sheetViews>
    <sheetView workbookViewId="0">
      <selection activeCell="A30" sqref="A30:G30"/>
    </sheetView>
  </sheetViews>
  <sheetFormatPr defaultColWidth="9" defaultRowHeight="15.6"/>
  <cols>
    <col min="1" max="1" width="4.19921875" style="245" customWidth="1"/>
    <col min="2" max="2" width="15.5" style="245" customWidth="1"/>
    <col min="3" max="3" width="6.5" style="245" customWidth="1"/>
    <col min="4" max="4" width="7" style="245" customWidth="1"/>
    <col min="5" max="5" width="7.19921875" style="245" customWidth="1"/>
    <col min="6" max="9" width="8.09765625" style="245" customWidth="1"/>
    <col min="10" max="10" width="7.19921875" style="245" customWidth="1"/>
    <col min="11" max="11" width="8.09765625" style="245" customWidth="1"/>
    <col min="12" max="12" width="8.5" style="245" customWidth="1"/>
    <col min="13" max="13" width="7.5" style="245" customWidth="1"/>
    <col min="14" max="15" width="8.09765625" style="245" customWidth="1"/>
    <col min="16" max="17" width="7.5" style="245" customWidth="1"/>
    <col min="18" max="16384" width="9" style="245"/>
  </cols>
  <sheetData>
    <row r="1" spans="1:17">
      <c r="A1" s="4500" t="s">
        <v>2823</v>
      </c>
      <c r="B1" s="4333"/>
      <c r="C1" s="4333"/>
      <c r="D1" s="4333"/>
      <c r="E1" s="4333"/>
      <c r="F1" s="4333"/>
      <c r="G1" s="4333"/>
      <c r="H1" s="4333"/>
      <c r="I1" s="4333"/>
      <c r="J1" s="4333"/>
      <c r="K1" s="4333"/>
      <c r="L1" s="4333"/>
      <c r="M1" s="4333"/>
      <c r="N1" s="4333"/>
      <c r="O1" s="4333"/>
      <c r="P1" s="4333"/>
      <c r="Q1" s="4333"/>
    </row>
    <row r="2" spans="1:17">
      <c r="A2" s="4498" t="str">
        <f>'Biểu số 40-CK-NSNN'!A2:AE2</f>
        <v>(DỰ TOÁN TRÌNH HỘI ĐỒNG NHÂN DÂN TỈNH)</v>
      </c>
      <c r="B2" s="4499"/>
      <c r="C2" s="4499"/>
      <c r="D2" s="4499"/>
      <c r="E2" s="4499"/>
      <c r="F2" s="4499"/>
      <c r="G2" s="4499"/>
      <c r="H2" s="4499"/>
      <c r="I2" s="4499"/>
      <c r="J2" s="4499"/>
      <c r="K2" s="4499"/>
      <c r="L2" s="4499"/>
      <c r="M2" s="4499"/>
      <c r="N2" s="4499"/>
      <c r="O2" s="4499"/>
      <c r="P2" s="4499"/>
      <c r="Q2" s="4499"/>
    </row>
    <row r="3" spans="1:17">
      <c r="P3" s="4501" t="s">
        <v>2081</v>
      </c>
      <c r="Q3" s="4501"/>
    </row>
    <row r="4" spans="1:17" s="248" customFormat="1">
      <c r="A4" s="4277" t="s">
        <v>1370</v>
      </c>
      <c r="B4" s="4334" t="s">
        <v>2082</v>
      </c>
      <c r="C4" s="4453" t="s">
        <v>2083</v>
      </c>
      <c r="D4" s="4454"/>
      <c r="E4" s="4454"/>
      <c r="F4" s="4454"/>
      <c r="G4" s="4454"/>
      <c r="H4" s="4454"/>
      <c r="I4" s="4454"/>
      <c r="J4" s="4454"/>
      <c r="K4" s="4454"/>
      <c r="L4" s="4454"/>
      <c r="M4" s="4454"/>
      <c r="N4" s="4454"/>
      <c r="O4" s="4454"/>
      <c r="P4" s="4454"/>
      <c r="Q4" s="4455"/>
    </row>
    <row r="5" spans="1:17" s="248" customFormat="1" ht="27.15" customHeight="1">
      <c r="A5" s="4277"/>
      <c r="B5" s="4334"/>
      <c r="C5" s="4502" t="s">
        <v>352</v>
      </c>
      <c r="D5" s="4503"/>
      <c r="E5" s="4503"/>
      <c r="F5" s="4503"/>
      <c r="G5" s="4504"/>
      <c r="H5" s="4334" t="s">
        <v>2084</v>
      </c>
      <c r="I5" s="4334" t="s">
        <v>97</v>
      </c>
      <c r="J5" s="4334" t="s">
        <v>2085</v>
      </c>
      <c r="K5" s="4334" t="s">
        <v>354</v>
      </c>
      <c r="L5" s="4334" t="s">
        <v>271</v>
      </c>
      <c r="M5" s="4334" t="s">
        <v>2086</v>
      </c>
      <c r="N5" s="4423" t="s">
        <v>2087</v>
      </c>
      <c r="O5" s="4334" t="s">
        <v>2088</v>
      </c>
      <c r="P5" s="4495" t="s">
        <v>2089</v>
      </c>
      <c r="Q5" s="4334" t="s">
        <v>2042</v>
      </c>
    </row>
    <row r="6" spans="1:17" s="256" customFormat="1" ht="103.5" customHeight="1">
      <c r="A6" s="4277"/>
      <c r="B6" s="4334"/>
      <c r="C6" s="249" t="s">
        <v>2090</v>
      </c>
      <c r="D6" s="249" t="s">
        <v>2091</v>
      </c>
      <c r="E6" s="249" t="s">
        <v>14</v>
      </c>
      <c r="F6" s="249" t="s">
        <v>2092</v>
      </c>
      <c r="G6" s="249" t="s">
        <v>2093</v>
      </c>
      <c r="H6" s="4334"/>
      <c r="I6" s="4334"/>
      <c r="J6" s="4334"/>
      <c r="K6" s="4334"/>
      <c r="L6" s="4334"/>
      <c r="M6" s="4334"/>
      <c r="N6" s="4230"/>
      <c r="O6" s="4334"/>
      <c r="P6" s="4495"/>
      <c r="Q6" s="4334"/>
    </row>
    <row r="7" spans="1:17" ht="20.100000000000001" customHeight="1">
      <c r="A7" s="2171">
        <v>1</v>
      </c>
      <c r="B7" s="2172" t="s">
        <v>1850</v>
      </c>
      <c r="C7" s="2173">
        <v>1</v>
      </c>
      <c r="D7" s="2173">
        <v>1</v>
      </c>
      <c r="E7" s="2173">
        <v>0</v>
      </c>
      <c r="F7" s="2173">
        <v>0</v>
      </c>
      <c r="G7" s="2173">
        <v>1</v>
      </c>
      <c r="H7" s="2173">
        <v>1</v>
      </c>
      <c r="I7" s="2173">
        <v>1</v>
      </c>
      <c r="J7" s="2173">
        <v>1</v>
      </c>
      <c r="K7" s="2173">
        <v>0</v>
      </c>
      <c r="L7" s="2173">
        <v>0</v>
      </c>
      <c r="M7" s="2173">
        <v>1</v>
      </c>
      <c r="N7" s="2173">
        <v>1</v>
      </c>
      <c r="O7" s="2173">
        <v>1</v>
      </c>
      <c r="P7" s="2173">
        <v>1</v>
      </c>
      <c r="Q7" s="2173">
        <v>0</v>
      </c>
    </row>
    <row r="8" spans="1:17" ht="20.100000000000001" customHeight="1">
      <c r="A8" s="809">
        <v>2</v>
      </c>
      <c r="B8" s="1211" t="s">
        <v>333</v>
      </c>
      <c r="C8" s="2174">
        <v>1</v>
      </c>
      <c r="D8" s="2174">
        <v>1</v>
      </c>
      <c r="E8" s="2174">
        <v>0</v>
      </c>
      <c r="F8" s="2174">
        <v>0</v>
      </c>
      <c r="G8" s="2174">
        <v>1</v>
      </c>
      <c r="H8" s="2174">
        <v>1</v>
      </c>
      <c r="I8" s="2174">
        <v>1</v>
      </c>
      <c r="J8" s="2174">
        <v>1</v>
      </c>
      <c r="K8" s="2174">
        <v>0</v>
      </c>
      <c r="L8" s="2174">
        <v>0</v>
      </c>
      <c r="M8" s="2174">
        <v>1</v>
      </c>
      <c r="N8" s="2174">
        <v>1</v>
      </c>
      <c r="O8" s="2174">
        <v>1</v>
      </c>
      <c r="P8" s="2174">
        <v>1</v>
      </c>
      <c r="Q8" s="2174">
        <v>0</v>
      </c>
    </row>
    <row r="9" spans="1:17" ht="20.100000000000001" customHeight="1">
      <c r="A9" s="809">
        <v>3</v>
      </c>
      <c r="B9" s="1211" t="s">
        <v>1853</v>
      </c>
      <c r="C9" s="2174">
        <v>1</v>
      </c>
      <c r="D9" s="2174">
        <v>1</v>
      </c>
      <c r="E9" s="2174">
        <v>0</v>
      </c>
      <c r="F9" s="2174">
        <v>0</v>
      </c>
      <c r="G9" s="2174">
        <v>1</v>
      </c>
      <c r="H9" s="2174">
        <v>1</v>
      </c>
      <c r="I9" s="2174">
        <v>1</v>
      </c>
      <c r="J9" s="2174">
        <v>1</v>
      </c>
      <c r="K9" s="2174">
        <v>0</v>
      </c>
      <c r="L9" s="2174">
        <v>0</v>
      </c>
      <c r="M9" s="2174">
        <v>1</v>
      </c>
      <c r="N9" s="2174">
        <v>1</v>
      </c>
      <c r="O9" s="2174">
        <v>1</v>
      </c>
      <c r="P9" s="2174">
        <v>1</v>
      </c>
      <c r="Q9" s="2174">
        <v>0</v>
      </c>
    </row>
    <row r="10" spans="1:17" ht="20.100000000000001" customHeight="1">
      <c r="A10" s="809">
        <v>4</v>
      </c>
      <c r="B10" s="1211" t="s">
        <v>1854</v>
      </c>
      <c r="C10" s="2174">
        <v>1</v>
      </c>
      <c r="D10" s="2174">
        <v>1</v>
      </c>
      <c r="E10" s="2174">
        <v>0</v>
      </c>
      <c r="F10" s="2174">
        <v>0</v>
      </c>
      <c r="G10" s="2174">
        <v>1</v>
      </c>
      <c r="H10" s="2174">
        <v>1</v>
      </c>
      <c r="I10" s="2174">
        <v>1</v>
      </c>
      <c r="J10" s="2174">
        <v>1</v>
      </c>
      <c r="K10" s="2174">
        <v>0</v>
      </c>
      <c r="L10" s="2174">
        <v>0</v>
      </c>
      <c r="M10" s="2174">
        <v>1</v>
      </c>
      <c r="N10" s="2174">
        <v>1</v>
      </c>
      <c r="O10" s="2174">
        <v>1</v>
      </c>
      <c r="P10" s="2174">
        <v>1</v>
      </c>
      <c r="Q10" s="2174">
        <v>0</v>
      </c>
    </row>
    <row r="11" spans="1:17" ht="20.100000000000001" customHeight="1">
      <c r="A11" s="809">
        <v>5</v>
      </c>
      <c r="B11" s="1211" t="s">
        <v>1855</v>
      </c>
      <c r="C11" s="2174">
        <v>1</v>
      </c>
      <c r="D11" s="2174">
        <v>1</v>
      </c>
      <c r="E11" s="2174">
        <v>0</v>
      </c>
      <c r="F11" s="2174">
        <v>0</v>
      </c>
      <c r="G11" s="2174">
        <v>1</v>
      </c>
      <c r="H11" s="2174">
        <v>1</v>
      </c>
      <c r="I11" s="2174">
        <v>1</v>
      </c>
      <c r="J11" s="2174">
        <v>1</v>
      </c>
      <c r="K11" s="2174">
        <v>0</v>
      </c>
      <c r="L11" s="2174">
        <v>0</v>
      </c>
      <c r="M11" s="2174">
        <v>1</v>
      </c>
      <c r="N11" s="2174">
        <v>1</v>
      </c>
      <c r="O11" s="2174">
        <v>1</v>
      </c>
      <c r="P11" s="2174">
        <v>1</v>
      </c>
      <c r="Q11" s="2174">
        <v>0</v>
      </c>
    </row>
    <row r="12" spans="1:17" ht="20.100000000000001" customHeight="1">
      <c r="A12" s="809">
        <v>6</v>
      </c>
      <c r="B12" s="1211" t="s">
        <v>334</v>
      </c>
      <c r="C12" s="2174">
        <v>1</v>
      </c>
      <c r="D12" s="2174">
        <v>1</v>
      </c>
      <c r="E12" s="2174">
        <v>0</v>
      </c>
      <c r="F12" s="2174">
        <v>0</v>
      </c>
      <c r="G12" s="2174">
        <v>1</v>
      </c>
      <c r="H12" s="2174">
        <v>1</v>
      </c>
      <c r="I12" s="2174">
        <v>1</v>
      </c>
      <c r="J12" s="2174">
        <v>1</v>
      </c>
      <c r="K12" s="2174">
        <v>0</v>
      </c>
      <c r="L12" s="2174">
        <v>0</v>
      </c>
      <c r="M12" s="2174">
        <v>1</v>
      </c>
      <c r="N12" s="2174">
        <v>1</v>
      </c>
      <c r="O12" s="2174">
        <v>1</v>
      </c>
      <c r="P12" s="2174">
        <v>1</v>
      </c>
      <c r="Q12" s="2174">
        <v>0</v>
      </c>
    </row>
    <row r="13" spans="1:17" ht="20.100000000000001" customHeight="1">
      <c r="A13" s="809">
        <v>7</v>
      </c>
      <c r="B13" s="1211" t="s">
        <v>1856</v>
      </c>
      <c r="C13" s="2174">
        <v>1</v>
      </c>
      <c r="D13" s="2174">
        <v>1</v>
      </c>
      <c r="E13" s="2174">
        <v>0</v>
      </c>
      <c r="F13" s="2174">
        <v>0</v>
      </c>
      <c r="G13" s="2174">
        <v>1</v>
      </c>
      <c r="H13" s="2174">
        <v>1</v>
      </c>
      <c r="I13" s="2174">
        <v>1</v>
      </c>
      <c r="J13" s="2174">
        <v>1</v>
      </c>
      <c r="K13" s="2174">
        <v>0</v>
      </c>
      <c r="L13" s="2174">
        <v>0</v>
      </c>
      <c r="M13" s="2174">
        <v>1</v>
      </c>
      <c r="N13" s="2174">
        <v>1</v>
      </c>
      <c r="O13" s="2174">
        <v>1</v>
      </c>
      <c r="P13" s="2174">
        <v>1</v>
      </c>
      <c r="Q13" s="2174">
        <v>0</v>
      </c>
    </row>
    <row r="14" spans="1:17" ht="20.100000000000001" customHeight="1">
      <c r="A14" s="809">
        <v>8</v>
      </c>
      <c r="B14" s="1211" t="s">
        <v>1857</v>
      </c>
      <c r="C14" s="2174">
        <v>1</v>
      </c>
      <c r="D14" s="2174">
        <v>1</v>
      </c>
      <c r="E14" s="2174">
        <v>0</v>
      </c>
      <c r="F14" s="2174">
        <v>0</v>
      </c>
      <c r="G14" s="2174">
        <v>1</v>
      </c>
      <c r="H14" s="2174">
        <v>1</v>
      </c>
      <c r="I14" s="2174">
        <v>1</v>
      </c>
      <c r="J14" s="2174">
        <v>1</v>
      </c>
      <c r="K14" s="2174">
        <v>0</v>
      </c>
      <c r="L14" s="2174">
        <v>0</v>
      </c>
      <c r="M14" s="2174">
        <v>1</v>
      </c>
      <c r="N14" s="2174">
        <v>1</v>
      </c>
      <c r="O14" s="2174">
        <v>1</v>
      </c>
      <c r="P14" s="2174">
        <v>1</v>
      </c>
      <c r="Q14" s="2174">
        <v>0</v>
      </c>
    </row>
    <row r="15" spans="1:17" ht="20.100000000000001" customHeight="1">
      <c r="A15" s="809">
        <v>9</v>
      </c>
      <c r="B15" s="1211" t="s">
        <v>1858</v>
      </c>
      <c r="C15" s="2174">
        <v>1</v>
      </c>
      <c r="D15" s="2174">
        <v>1</v>
      </c>
      <c r="E15" s="2174">
        <v>0</v>
      </c>
      <c r="F15" s="2174">
        <v>0</v>
      </c>
      <c r="G15" s="2174">
        <v>1</v>
      </c>
      <c r="H15" s="2174">
        <v>1</v>
      </c>
      <c r="I15" s="2174">
        <v>1</v>
      </c>
      <c r="J15" s="2174">
        <v>1</v>
      </c>
      <c r="K15" s="2174">
        <v>0</v>
      </c>
      <c r="L15" s="2174">
        <v>0</v>
      </c>
      <c r="M15" s="2174">
        <v>1</v>
      </c>
      <c r="N15" s="2174">
        <v>1</v>
      </c>
      <c r="O15" s="2174">
        <v>1</v>
      </c>
      <c r="P15" s="2174">
        <v>1</v>
      </c>
      <c r="Q15" s="2174">
        <v>0</v>
      </c>
    </row>
    <row r="16" spans="1:17" ht="20.100000000000001" customHeight="1">
      <c r="A16" s="809">
        <v>10</v>
      </c>
      <c r="B16" s="1211" t="s">
        <v>1859</v>
      </c>
      <c r="C16" s="2174">
        <v>1</v>
      </c>
      <c r="D16" s="2174">
        <v>1</v>
      </c>
      <c r="E16" s="2174">
        <v>0</v>
      </c>
      <c r="F16" s="2174">
        <v>0</v>
      </c>
      <c r="G16" s="2174">
        <v>1</v>
      </c>
      <c r="H16" s="2174">
        <v>1</v>
      </c>
      <c r="I16" s="2174">
        <v>1</v>
      </c>
      <c r="J16" s="2174">
        <v>1</v>
      </c>
      <c r="K16" s="2174">
        <v>0</v>
      </c>
      <c r="L16" s="2174">
        <v>0</v>
      </c>
      <c r="M16" s="2174">
        <v>1</v>
      </c>
      <c r="N16" s="2174">
        <v>1</v>
      </c>
      <c r="O16" s="2174">
        <v>1</v>
      </c>
      <c r="P16" s="2174">
        <v>1</v>
      </c>
      <c r="Q16" s="2174">
        <v>0</v>
      </c>
    </row>
    <row r="17" spans="1:17" ht="20.100000000000001" customHeight="1">
      <c r="A17" s="809">
        <v>11</v>
      </c>
      <c r="B17" s="1211" t="s">
        <v>2094</v>
      </c>
      <c r="C17" s="2174">
        <v>1</v>
      </c>
      <c r="D17" s="2174">
        <v>1</v>
      </c>
      <c r="E17" s="2174">
        <v>0</v>
      </c>
      <c r="F17" s="2174">
        <v>0</v>
      </c>
      <c r="G17" s="2174">
        <v>1</v>
      </c>
      <c r="H17" s="2174">
        <v>1</v>
      </c>
      <c r="I17" s="2174">
        <v>1</v>
      </c>
      <c r="J17" s="2174">
        <v>1</v>
      </c>
      <c r="K17" s="2174">
        <v>0</v>
      </c>
      <c r="L17" s="2174">
        <v>0</v>
      </c>
      <c r="M17" s="2174">
        <v>1</v>
      </c>
      <c r="N17" s="2174">
        <v>1</v>
      </c>
      <c r="O17" s="2174">
        <v>1</v>
      </c>
      <c r="P17" s="2174">
        <v>1</v>
      </c>
      <c r="Q17" s="2174">
        <v>0</v>
      </c>
    </row>
    <row r="18" spans="1:17" ht="20.100000000000001" customHeight="1">
      <c r="A18" s="1212">
        <v>12</v>
      </c>
      <c r="B18" s="1213" t="s">
        <v>1860</v>
      </c>
      <c r="C18" s="2175">
        <v>1</v>
      </c>
      <c r="D18" s="2175">
        <v>1</v>
      </c>
      <c r="E18" s="2175">
        <v>0</v>
      </c>
      <c r="F18" s="2175">
        <v>0</v>
      </c>
      <c r="G18" s="2175">
        <v>1</v>
      </c>
      <c r="H18" s="2175">
        <v>1</v>
      </c>
      <c r="I18" s="2175">
        <v>1</v>
      </c>
      <c r="J18" s="2175">
        <v>1</v>
      </c>
      <c r="K18" s="2175">
        <v>0</v>
      </c>
      <c r="L18" s="2175">
        <v>0</v>
      </c>
      <c r="M18" s="2175">
        <v>1</v>
      </c>
      <c r="N18" s="2175">
        <v>1</v>
      </c>
      <c r="O18" s="2175">
        <v>1</v>
      </c>
      <c r="P18" s="2175">
        <v>1</v>
      </c>
      <c r="Q18" s="2175">
        <v>0</v>
      </c>
    </row>
    <row r="19" spans="1:17">
      <c r="B19" s="1231" t="s">
        <v>2095</v>
      </c>
      <c r="M19" s="4494"/>
      <c r="N19" s="4494"/>
      <c r="O19" s="4494"/>
      <c r="P19" s="4494"/>
    </row>
    <row r="20" spans="1:17">
      <c r="B20" s="1160" t="s">
        <v>2096</v>
      </c>
      <c r="M20" s="4333"/>
      <c r="N20" s="4333"/>
      <c r="O20" s="4333"/>
      <c r="P20" s="4333"/>
    </row>
    <row r="21" spans="1:17">
      <c r="B21" s="1160" t="s">
        <v>2097</v>
      </c>
      <c r="M21" s="4333"/>
      <c r="N21" s="4333"/>
      <c r="O21" s="4333"/>
      <c r="P21" s="4333"/>
    </row>
    <row r="22" spans="1:17">
      <c r="B22" s="1160" t="s">
        <v>2098</v>
      </c>
    </row>
    <row r="23" spans="1:17">
      <c r="B23" s="1160" t="s">
        <v>2099</v>
      </c>
    </row>
    <row r="24" spans="1:17">
      <c r="B24" s="245" t="s">
        <v>2100</v>
      </c>
    </row>
    <row r="25" spans="1:17">
      <c r="B25" s="1160" t="s">
        <v>2101</v>
      </c>
    </row>
    <row r="26" spans="1:17" ht="37.950000000000003" customHeight="1">
      <c r="B26" s="4497" t="s">
        <v>2102</v>
      </c>
      <c r="C26" s="4497"/>
      <c r="D26" s="4497"/>
      <c r="E26" s="4497"/>
      <c r="F26" s="4497"/>
      <c r="G26" s="4497"/>
      <c r="H26" s="4497"/>
      <c r="I26" s="4497"/>
      <c r="J26" s="4497"/>
      <c r="K26" s="4497"/>
      <c r="L26" s="4497"/>
      <c r="M26" s="4497"/>
      <c r="N26" s="4497"/>
      <c r="O26" s="4497"/>
      <c r="P26" s="4497"/>
      <c r="Q26" s="4497"/>
    </row>
    <row r="27" spans="1:17" ht="100.2" customHeight="1">
      <c r="B27" s="2176"/>
      <c r="C27" s="2176"/>
      <c r="D27" s="2176"/>
      <c r="E27" s="2176"/>
      <c r="F27" s="2176"/>
      <c r="G27" s="2176"/>
      <c r="H27" s="2176"/>
      <c r="I27" s="2176"/>
      <c r="J27" s="2176"/>
      <c r="K27" s="2176"/>
      <c r="L27" s="2176"/>
      <c r="M27" s="2176"/>
      <c r="N27" s="2176"/>
      <c r="O27" s="2176"/>
      <c r="P27" s="2176"/>
      <c r="Q27" s="2176"/>
    </row>
    <row r="28" spans="1:17" ht="24" customHeight="1">
      <c r="A28" s="4333" t="s">
        <v>2311</v>
      </c>
      <c r="B28" s="4333"/>
      <c r="C28" s="4333"/>
      <c r="D28" s="4333"/>
      <c r="E28" s="4333"/>
      <c r="F28" s="4333"/>
      <c r="G28" s="4333"/>
    </row>
    <row r="29" spans="1:17">
      <c r="A29" s="4500" t="s">
        <v>2418</v>
      </c>
      <c r="B29" s="4333"/>
      <c r="C29" s="4333"/>
      <c r="D29" s="4333"/>
      <c r="E29" s="4333"/>
      <c r="F29" s="4333"/>
      <c r="G29" s="4333"/>
    </row>
    <row r="30" spans="1:17">
      <c r="A30" s="4498" t="str">
        <f>A2</f>
        <v>(DỰ TOÁN TRÌNH HỘI ĐỒNG NHÂN DÂN TỈNH)</v>
      </c>
      <c r="B30" s="4499"/>
      <c r="C30" s="4499"/>
      <c r="D30" s="4499"/>
      <c r="E30" s="4499"/>
      <c r="F30" s="4499"/>
      <c r="G30" s="4499"/>
    </row>
    <row r="31" spans="1:17">
      <c r="A31" s="246"/>
      <c r="F31" s="4482" t="s">
        <v>2105</v>
      </c>
      <c r="G31" s="4482"/>
    </row>
    <row r="32" spans="1:17">
      <c r="A32" s="4334" t="s">
        <v>1370</v>
      </c>
      <c r="B32" s="4334" t="s">
        <v>2106</v>
      </c>
      <c r="C32" s="4496"/>
      <c r="D32" s="4496"/>
      <c r="E32" s="4496"/>
      <c r="F32" s="4496"/>
      <c r="G32" s="4496"/>
    </row>
    <row r="33" spans="1:7" ht="140.4">
      <c r="A33" s="4334"/>
      <c r="B33" s="4334"/>
      <c r="C33" s="249" t="s">
        <v>271</v>
      </c>
      <c r="D33" s="249" t="s">
        <v>2107</v>
      </c>
      <c r="E33" s="249" t="s">
        <v>354</v>
      </c>
      <c r="F33" s="249" t="s">
        <v>2108</v>
      </c>
      <c r="G33" s="249" t="s">
        <v>2109</v>
      </c>
    </row>
    <row r="34" spans="1:7">
      <c r="A34" s="1209" t="s">
        <v>9</v>
      </c>
      <c r="B34" s="1210" t="s">
        <v>1850</v>
      </c>
      <c r="C34" s="2177"/>
      <c r="D34" s="2177"/>
      <c r="E34" s="2177"/>
      <c r="F34" s="2177"/>
      <c r="G34" s="2177"/>
    </row>
    <row r="35" spans="1:7">
      <c r="A35" s="809">
        <v>1</v>
      </c>
      <c r="B35" s="1211" t="s">
        <v>2110</v>
      </c>
      <c r="C35" s="2174">
        <v>1</v>
      </c>
      <c r="D35" s="2174">
        <v>1</v>
      </c>
      <c r="E35" s="2174">
        <v>1</v>
      </c>
      <c r="F35" s="2174">
        <v>1</v>
      </c>
      <c r="G35" s="2174">
        <v>1</v>
      </c>
    </row>
    <row r="36" spans="1:7">
      <c r="A36" s="809">
        <v>2</v>
      </c>
      <c r="B36" s="1211" t="s">
        <v>2111</v>
      </c>
      <c r="C36" s="2174">
        <v>1</v>
      </c>
      <c r="D36" s="2174">
        <v>1</v>
      </c>
      <c r="E36" s="2174">
        <v>1</v>
      </c>
      <c r="F36" s="2174">
        <v>1</v>
      </c>
      <c r="G36" s="2174">
        <v>1</v>
      </c>
    </row>
    <row r="37" spans="1:7">
      <c r="A37" s="809">
        <v>3</v>
      </c>
      <c r="B37" s="1211" t="s">
        <v>2112</v>
      </c>
      <c r="C37" s="2174">
        <v>1</v>
      </c>
      <c r="D37" s="2174">
        <v>1</v>
      </c>
      <c r="E37" s="2174">
        <v>1</v>
      </c>
      <c r="F37" s="2174">
        <v>1</v>
      </c>
      <c r="G37" s="2174">
        <v>1</v>
      </c>
    </row>
    <row r="38" spans="1:7">
      <c r="A38" s="809">
        <v>4</v>
      </c>
      <c r="B38" s="1211" t="s">
        <v>2113</v>
      </c>
      <c r="C38" s="2174">
        <v>1</v>
      </c>
      <c r="D38" s="2174">
        <v>1</v>
      </c>
      <c r="E38" s="2174">
        <v>1</v>
      </c>
      <c r="F38" s="2174">
        <v>1</v>
      </c>
      <c r="G38" s="2174">
        <v>1</v>
      </c>
    </row>
    <row r="39" spans="1:7">
      <c r="A39" s="809">
        <v>5</v>
      </c>
      <c r="B39" s="1211" t="s">
        <v>2114</v>
      </c>
      <c r="C39" s="2174">
        <v>1</v>
      </c>
      <c r="D39" s="2174">
        <v>1</v>
      </c>
      <c r="E39" s="2174">
        <v>1</v>
      </c>
      <c r="F39" s="2174">
        <v>1</v>
      </c>
      <c r="G39" s="2174">
        <v>1</v>
      </c>
    </row>
    <row r="40" spans="1:7">
      <c r="A40" s="809">
        <v>6</v>
      </c>
      <c r="B40" s="1211" t="s">
        <v>2115</v>
      </c>
      <c r="C40" s="2174">
        <v>1</v>
      </c>
      <c r="D40" s="2174">
        <v>1</v>
      </c>
      <c r="E40" s="2174">
        <v>1</v>
      </c>
      <c r="F40" s="2174">
        <v>1</v>
      </c>
      <c r="G40" s="2174">
        <v>1</v>
      </c>
    </row>
    <row r="41" spans="1:7">
      <c r="A41" s="809">
        <v>7</v>
      </c>
      <c r="B41" s="1211" t="s">
        <v>2116</v>
      </c>
      <c r="C41" s="2174">
        <v>1</v>
      </c>
      <c r="D41" s="2174">
        <v>1</v>
      </c>
      <c r="E41" s="2174">
        <v>1</v>
      </c>
      <c r="F41" s="2174">
        <v>1</v>
      </c>
      <c r="G41" s="2174">
        <v>1</v>
      </c>
    </row>
    <row r="42" spans="1:7">
      <c r="A42" s="809">
        <v>8</v>
      </c>
      <c r="B42" s="1211" t="s">
        <v>2117</v>
      </c>
      <c r="C42" s="2174">
        <v>1</v>
      </c>
      <c r="D42" s="2174">
        <v>1</v>
      </c>
      <c r="E42" s="2174">
        <v>1</v>
      </c>
      <c r="F42" s="2174">
        <v>1</v>
      </c>
      <c r="G42" s="2174">
        <v>1</v>
      </c>
    </row>
    <row r="43" spans="1:7">
      <c r="A43" s="809">
        <v>9</v>
      </c>
      <c r="B43" s="1211" t="s">
        <v>2118</v>
      </c>
      <c r="C43" s="2174">
        <v>1</v>
      </c>
      <c r="D43" s="2174">
        <v>1</v>
      </c>
      <c r="E43" s="2174">
        <v>1</v>
      </c>
      <c r="F43" s="2174">
        <v>1</v>
      </c>
      <c r="G43" s="2174">
        <v>1</v>
      </c>
    </row>
    <row r="44" spans="1:7">
      <c r="A44" s="809">
        <v>10</v>
      </c>
      <c r="B44" s="1211" t="s">
        <v>2119</v>
      </c>
      <c r="C44" s="2174">
        <v>1</v>
      </c>
      <c r="D44" s="2174">
        <v>1</v>
      </c>
      <c r="E44" s="2174">
        <v>1</v>
      </c>
      <c r="F44" s="2174">
        <v>1</v>
      </c>
      <c r="G44" s="2174">
        <v>1</v>
      </c>
    </row>
    <row r="45" spans="1:7">
      <c r="A45" s="1093" t="s">
        <v>20</v>
      </c>
      <c r="B45" s="1094" t="s">
        <v>333</v>
      </c>
      <c r="C45" s="2178"/>
      <c r="D45" s="2178"/>
      <c r="E45" s="2178"/>
      <c r="F45" s="2178"/>
      <c r="G45" s="2178"/>
    </row>
    <row r="46" spans="1:7">
      <c r="A46" s="809">
        <v>1</v>
      </c>
      <c r="B46" s="1211" t="s">
        <v>2120</v>
      </c>
      <c r="C46" s="4483" t="s">
        <v>2312</v>
      </c>
      <c r="D46" s="4484"/>
      <c r="E46" s="4484"/>
      <c r="F46" s="4485"/>
      <c r="G46" s="2174">
        <v>1</v>
      </c>
    </row>
    <row r="47" spans="1:7">
      <c r="A47" s="809">
        <v>2</v>
      </c>
      <c r="B47" s="1211" t="s">
        <v>2122</v>
      </c>
      <c r="C47" s="4486"/>
      <c r="D47" s="4487"/>
      <c r="E47" s="4487"/>
      <c r="F47" s="4488"/>
      <c r="G47" s="2174">
        <v>1</v>
      </c>
    </row>
    <row r="48" spans="1:7">
      <c r="A48" s="251">
        <v>3</v>
      </c>
      <c r="B48" s="229" t="s">
        <v>2123</v>
      </c>
      <c r="C48" s="4486"/>
      <c r="D48" s="4487"/>
      <c r="E48" s="4487"/>
      <c r="F48" s="4488"/>
      <c r="G48" s="2198">
        <v>1</v>
      </c>
    </row>
    <row r="49" spans="1:7">
      <c r="A49" s="809">
        <v>4</v>
      </c>
      <c r="B49" s="1211" t="s">
        <v>2124</v>
      </c>
      <c r="C49" s="4486"/>
      <c r="D49" s="4487"/>
      <c r="E49" s="4487"/>
      <c r="F49" s="4488"/>
      <c r="G49" s="2174">
        <v>1</v>
      </c>
    </row>
    <row r="50" spans="1:7" ht="20.399999999999999" customHeight="1">
      <c r="A50" s="809">
        <v>5</v>
      </c>
      <c r="B50" s="1211" t="s">
        <v>2125</v>
      </c>
      <c r="C50" s="4489"/>
      <c r="D50" s="4490"/>
      <c r="E50" s="4490"/>
      <c r="F50" s="4491"/>
      <c r="G50" s="2174">
        <v>1</v>
      </c>
    </row>
    <row r="51" spans="1:7">
      <c r="A51" s="809">
        <v>6</v>
      </c>
      <c r="B51" s="1211" t="s">
        <v>2126</v>
      </c>
      <c r="C51" s="2174">
        <v>1</v>
      </c>
      <c r="D51" s="2174">
        <v>1</v>
      </c>
      <c r="E51" s="2174">
        <v>1</v>
      </c>
      <c r="F51" s="2174">
        <v>1</v>
      </c>
      <c r="G51" s="2174">
        <v>1</v>
      </c>
    </row>
    <row r="52" spans="1:7">
      <c r="A52" s="809">
        <v>7</v>
      </c>
      <c r="B52" s="1211" t="s">
        <v>2127</v>
      </c>
      <c r="C52" s="2174">
        <v>1</v>
      </c>
      <c r="D52" s="2174">
        <v>1</v>
      </c>
      <c r="E52" s="2174">
        <v>1</v>
      </c>
      <c r="F52" s="2174">
        <v>1</v>
      </c>
      <c r="G52" s="2174">
        <v>1</v>
      </c>
    </row>
    <row r="53" spans="1:7">
      <c r="A53" s="1093" t="s">
        <v>49</v>
      </c>
      <c r="B53" s="1094" t="s">
        <v>1853</v>
      </c>
      <c r="C53" s="2178"/>
      <c r="D53" s="2178"/>
      <c r="E53" s="2178"/>
      <c r="F53" s="2178"/>
      <c r="G53" s="2178"/>
    </row>
    <row r="54" spans="1:7">
      <c r="A54" s="809">
        <v>1</v>
      </c>
      <c r="B54" s="1211" t="s">
        <v>2128</v>
      </c>
      <c r="C54" s="2174">
        <v>1</v>
      </c>
      <c r="D54" s="2174">
        <v>1</v>
      </c>
      <c r="E54" s="2174">
        <v>1</v>
      </c>
      <c r="F54" s="2174">
        <v>1</v>
      </c>
      <c r="G54" s="2174">
        <v>1</v>
      </c>
    </row>
    <row r="55" spans="1:7">
      <c r="A55" s="809">
        <v>2</v>
      </c>
      <c r="B55" s="1211" t="s">
        <v>2129</v>
      </c>
      <c r="C55" s="2174">
        <v>1</v>
      </c>
      <c r="D55" s="2174">
        <v>1</v>
      </c>
      <c r="E55" s="2174">
        <v>1</v>
      </c>
      <c r="F55" s="2174">
        <v>1</v>
      </c>
      <c r="G55" s="2174">
        <v>1</v>
      </c>
    </row>
    <row r="56" spans="1:7">
      <c r="A56" s="809">
        <v>3</v>
      </c>
      <c r="B56" s="1211" t="s">
        <v>2130</v>
      </c>
      <c r="C56" s="2174">
        <v>1</v>
      </c>
      <c r="D56" s="2174">
        <v>1</v>
      </c>
      <c r="E56" s="2174">
        <v>1</v>
      </c>
      <c r="F56" s="2174">
        <v>1</v>
      </c>
      <c r="G56" s="2174">
        <v>1</v>
      </c>
    </row>
    <row r="57" spans="1:7">
      <c r="A57" s="809">
        <v>4</v>
      </c>
      <c r="B57" s="1211" t="s">
        <v>2131</v>
      </c>
      <c r="C57" s="2174">
        <v>1</v>
      </c>
      <c r="D57" s="2174">
        <v>1</v>
      </c>
      <c r="E57" s="2174">
        <v>1</v>
      </c>
      <c r="F57" s="2174">
        <v>1</v>
      </c>
      <c r="G57" s="2174">
        <v>1</v>
      </c>
    </row>
    <row r="58" spans="1:7">
      <c r="A58" s="809">
        <v>5</v>
      </c>
      <c r="B58" s="1211" t="s">
        <v>2132</v>
      </c>
      <c r="C58" s="2174">
        <v>1</v>
      </c>
      <c r="D58" s="2174">
        <v>1</v>
      </c>
      <c r="E58" s="2174">
        <v>1</v>
      </c>
      <c r="F58" s="2174">
        <v>1</v>
      </c>
      <c r="G58" s="2174">
        <v>1</v>
      </c>
    </row>
    <row r="59" spans="1:7">
      <c r="A59" s="809">
        <v>6</v>
      </c>
      <c r="B59" s="1211" t="s">
        <v>2133</v>
      </c>
      <c r="C59" s="2174">
        <v>1</v>
      </c>
      <c r="D59" s="2174">
        <v>1</v>
      </c>
      <c r="E59" s="2174">
        <v>1</v>
      </c>
      <c r="F59" s="2174">
        <v>1</v>
      </c>
      <c r="G59" s="2174">
        <v>1</v>
      </c>
    </row>
    <row r="60" spans="1:7">
      <c r="A60" s="809">
        <v>7</v>
      </c>
      <c r="B60" s="1211" t="s">
        <v>2134</v>
      </c>
      <c r="C60" s="2174">
        <v>1</v>
      </c>
      <c r="D60" s="2174">
        <v>1</v>
      </c>
      <c r="E60" s="2174">
        <v>1</v>
      </c>
      <c r="F60" s="2174">
        <v>1</v>
      </c>
      <c r="G60" s="2174">
        <v>1</v>
      </c>
    </row>
    <row r="61" spans="1:7">
      <c r="A61" s="809">
        <v>8</v>
      </c>
      <c r="B61" s="1211" t="s">
        <v>2135</v>
      </c>
      <c r="C61" s="2174">
        <v>1</v>
      </c>
      <c r="D61" s="2174">
        <v>1</v>
      </c>
      <c r="E61" s="2174">
        <v>1</v>
      </c>
      <c r="F61" s="2174">
        <v>1</v>
      </c>
      <c r="G61" s="2174">
        <v>1</v>
      </c>
    </row>
    <row r="62" spans="1:7">
      <c r="A62" s="809">
        <v>9</v>
      </c>
      <c r="B62" s="1211" t="s">
        <v>2136</v>
      </c>
      <c r="C62" s="2174">
        <v>1</v>
      </c>
      <c r="D62" s="2174">
        <v>1</v>
      </c>
      <c r="E62" s="2174">
        <v>1</v>
      </c>
      <c r="F62" s="2174">
        <v>1</v>
      </c>
      <c r="G62" s="2174">
        <v>1</v>
      </c>
    </row>
    <row r="63" spans="1:7">
      <c r="A63" s="1093" t="s">
        <v>50</v>
      </c>
      <c r="B63" s="1094" t="s">
        <v>2137</v>
      </c>
      <c r="C63" s="2178"/>
      <c r="D63" s="2178"/>
      <c r="E63" s="2178"/>
      <c r="F63" s="2178"/>
      <c r="G63" s="2178"/>
    </row>
    <row r="64" spans="1:7">
      <c r="A64" s="809">
        <v>1</v>
      </c>
      <c r="B64" s="1211" t="s">
        <v>2138</v>
      </c>
      <c r="C64" s="2174">
        <v>1</v>
      </c>
      <c r="D64" s="2174">
        <v>1</v>
      </c>
      <c r="E64" s="2174">
        <v>1</v>
      </c>
      <c r="F64" s="2174">
        <v>1</v>
      </c>
      <c r="G64" s="2174">
        <v>1</v>
      </c>
    </row>
    <row r="65" spans="1:7">
      <c r="A65" s="809">
        <v>2</v>
      </c>
      <c r="B65" s="1211" t="s">
        <v>2139</v>
      </c>
      <c r="C65" s="2174">
        <v>1</v>
      </c>
      <c r="D65" s="2174">
        <v>1</v>
      </c>
      <c r="E65" s="2174">
        <v>1</v>
      </c>
      <c r="F65" s="2174">
        <v>1</v>
      </c>
      <c r="G65" s="2174">
        <v>1</v>
      </c>
    </row>
    <row r="66" spans="1:7">
      <c r="A66" s="809">
        <v>3</v>
      </c>
      <c r="B66" s="1211" t="s">
        <v>2140</v>
      </c>
      <c r="C66" s="2174">
        <v>1</v>
      </c>
      <c r="D66" s="2174">
        <v>1</v>
      </c>
      <c r="E66" s="2174">
        <v>1</v>
      </c>
      <c r="F66" s="2174">
        <v>1</v>
      </c>
      <c r="G66" s="2174">
        <v>1</v>
      </c>
    </row>
    <row r="67" spans="1:7">
      <c r="A67" s="809">
        <v>4</v>
      </c>
      <c r="B67" s="1211" t="s">
        <v>2141</v>
      </c>
      <c r="C67" s="2174">
        <v>1</v>
      </c>
      <c r="D67" s="2174">
        <v>1</v>
      </c>
      <c r="E67" s="2174">
        <v>1</v>
      </c>
      <c r="F67" s="2174">
        <v>1</v>
      </c>
      <c r="G67" s="2174">
        <v>1</v>
      </c>
    </row>
    <row r="68" spans="1:7">
      <c r="A68" s="809">
        <v>5</v>
      </c>
      <c r="B68" s="1211" t="s">
        <v>2142</v>
      </c>
      <c r="C68" s="2174">
        <v>1</v>
      </c>
      <c r="D68" s="2174">
        <v>1</v>
      </c>
      <c r="E68" s="2174">
        <v>1</v>
      </c>
      <c r="F68" s="2174">
        <v>1</v>
      </c>
      <c r="G68" s="2174">
        <v>1</v>
      </c>
    </row>
    <row r="69" spans="1:7">
      <c r="A69" s="809">
        <v>6</v>
      </c>
      <c r="B69" s="1211" t="s">
        <v>2143</v>
      </c>
      <c r="C69" s="2174">
        <v>1</v>
      </c>
      <c r="D69" s="2174">
        <v>1</v>
      </c>
      <c r="E69" s="2174">
        <v>1</v>
      </c>
      <c r="F69" s="2174">
        <v>1</v>
      </c>
      <c r="G69" s="2174">
        <v>1</v>
      </c>
    </row>
    <row r="70" spans="1:7">
      <c r="A70" s="809">
        <v>7</v>
      </c>
      <c r="B70" s="1211" t="s">
        <v>2144</v>
      </c>
      <c r="C70" s="2174">
        <v>1</v>
      </c>
      <c r="D70" s="2174">
        <v>1</v>
      </c>
      <c r="E70" s="2174">
        <v>1</v>
      </c>
      <c r="F70" s="2174">
        <v>1</v>
      </c>
      <c r="G70" s="2174">
        <v>1</v>
      </c>
    </row>
    <row r="71" spans="1:7">
      <c r="A71" s="809">
        <v>8</v>
      </c>
      <c r="B71" s="1211" t="s">
        <v>2145</v>
      </c>
      <c r="C71" s="2174">
        <v>1</v>
      </c>
      <c r="D71" s="2174">
        <v>1</v>
      </c>
      <c r="E71" s="2174">
        <v>1</v>
      </c>
      <c r="F71" s="2174">
        <v>1</v>
      </c>
      <c r="G71" s="2174">
        <v>1</v>
      </c>
    </row>
    <row r="72" spans="1:7">
      <c r="A72" s="809">
        <v>9</v>
      </c>
      <c r="B72" s="1211" t="s">
        <v>2146</v>
      </c>
      <c r="C72" s="2174">
        <v>1</v>
      </c>
      <c r="D72" s="2174">
        <v>1</v>
      </c>
      <c r="E72" s="2174">
        <v>1</v>
      </c>
      <c r="F72" s="2174">
        <v>1</v>
      </c>
      <c r="G72" s="2174">
        <v>1</v>
      </c>
    </row>
    <row r="73" spans="1:7">
      <c r="A73" s="809">
        <v>10</v>
      </c>
      <c r="B73" s="1211" t="s">
        <v>2147</v>
      </c>
      <c r="C73" s="2174">
        <v>1</v>
      </c>
      <c r="D73" s="2174">
        <v>1</v>
      </c>
      <c r="E73" s="2174">
        <v>1</v>
      </c>
      <c r="F73" s="2174">
        <v>1</v>
      </c>
      <c r="G73" s="2174">
        <v>1</v>
      </c>
    </row>
    <row r="74" spans="1:7">
      <c r="A74" s="809">
        <v>11</v>
      </c>
      <c r="B74" s="1211" t="s">
        <v>2148</v>
      </c>
      <c r="C74" s="2174">
        <v>1</v>
      </c>
      <c r="D74" s="2174">
        <v>1</v>
      </c>
      <c r="E74" s="2174">
        <v>1</v>
      </c>
      <c r="F74" s="2174">
        <v>1</v>
      </c>
      <c r="G74" s="2174">
        <v>1</v>
      </c>
    </row>
    <row r="75" spans="1:7">
      <c r="A75" s="809">
        <v>12</v>
      </c>
      <c r="B75" s="1211" t="s">
        <v>2149</v>
      </c>
      <c r="C75" s="2174">
        <v>1</v>
      </c>
      <c r="D75" s="2174">
        <v>1</v>
      </c>
      <c r="E75" s="2174">
        <v>1</v>
      </c>
      <c r="F75" s="2174">
        <v>1</v>
      </c>
      <c r="G75" s="2174">
        <v>1</v>
      </c>
    </row>
    <row r="76" spans="1:7">
      <c r="A76" s="1093" t="s">
        <v>72</v>
      </c>
      <c r="B76" s="1094" t="s">
        <v>1855</v>
      </c>
      <c r="C76" s="2178"/>
      <c r="D76" s="2178"/>
      <c r="E76" s="2178"/>
      <c r="F76" s="2178"/>
      <c r="G76" s="2178"/>
    </row>
    <row r="77" spans="1:7">
      <c r="A77" s="809">
        <v>1</v>
      </c>
      <c r="B77" s="1211" t="s">
        <v>2150</v>
      </c>
      <c r="C77" s="2174">
        <v>1</v>
      </c>
      <c r="D77" s="2174">
        <v>1</v>
      </c>
      <c r="E77" s="2174">
        <v>1</v>
      </c>
      <c r="F77" s="2174">
        <v>1</v>
      </c>
      <c r="G77" s="2174">
        <v>1</v>
      </c>
    </row>
    <row r="78" spans="1:7">
      <c r="A78" s="809">
        <v>2</v>
      </c>
      <c r="B78" s="1211" t="s">
        <v>2151</v>
      </c>
      <c r="C78" s="2174">
        <v>1</v>
      </c>
      <c r="D78" s="2174">
        <v>1</v>
      </c>
      <c r="E78" s="2174">
        <v>1</v>
      </c>
      <c r="F78" s="2174">
        <v>1</v>
      </c>
      <c r="G78" s="2174">
        <v>1</v>
      </c>
    </row>
    <row r="79" spans="1:7">
      <c r="A79" s="809">
        <v>3</v>
      </c>
      <c r="B79" s="1211" t="s">
        <v>2152</v>
      </c>
      <c r="C79" s="2174">
        <v>1</v>
      </c>
      <c r="D79" s="2174">
        <v>1</v>
      </c>
      <c r="E79" s="2174">
        <v>1</v>
      </c>
      <c r="F79" s="2174">
        <v>1</v>
      </c>
      <c r="G79" s="2174">
        <v>1</v>
      </c>
    </row>
    <row r="80" spans="1:7">
      <c r="A80" s="809">
        <v>4</v>
      </c>
      <c r="B80" s="2185" t="s">
        <v>2153</v>
      </c>
      <c r="C80" s="2174">
        <v>1</v>
      </c>
      <c r="D80" s="2174">
        <v>1</v>
      </c>
      <c r="E80" s="2174">
        <v>1</v>
      </c>
      <c r="F80" s="2174">
        <v>1</v>
      </c>
      <c r="G80" s="2174">
        <v>1</v>
      </c>
    </row>
    <row r="81" spans="1:7">
      <c r="A81" s="809">
        <v>5</v>
      </c>
      <c r="B81" s="2199" t="s">
        <v>2154</v>
      </c>
      <c r="C81" s="2174">
        <v>1</v>
      </c>
      <c r="D81" s="2174">
        <v>1</v>
      </c>
      <c r="E81" s="2174">
        <v>1</v>
      </c>
      <c r="F81" s="2174">
        <v>1</v>
      </c>
      <c r="G81" s="2174">
        <v>1</v>
      </c>
    </row>
    <row r="82" spans="1:7">
      <c r="A82" s="809">
        <v>6</v>
      </c>
      <c r="B82" s="1211" t="s">
        <v>2155</v>
      </c>
      <c r="C82" s="2174">
        <v>1</v>
      </c>
      <c r="D82" s="2174">
        <v>1</v>
      </c>
      <c r="E82" s="2174">
        <v>1</v>
      </c>
      <c r="F82" s="2174">
        <v>1</v>
      </c>
      <c r="G82" s="2174">
        <v>1</v>
      </c>
    </row>
    <row r="83" spans="1:7">
      <c r="A83" s="809">
        <v>7</v>
      </c>
      <c r="B83" s="1211" t="s">
        <v>2156</v>
      </c>
      <c r="C83" s="2174">
        <v>1</v>
      </c>
      <c r="D83" s="2174">
        <v>1</v>
      </c>
      <c r="E83" s="2174">
        <v>1</v>
      </c>
      <c r="F83" s="2174">
        <v>1</v>
      </c>
      <c r="G83" s="2174">
        <v>1</v>
      </c>
    </row>
    <row r="84" spans="1:7">
      <c r="A84" s="809">
        <v>8</v>
      </c>
      <c r="B84" s="1211" t="s">
        <v>2157</v>
      </c>
      <c r="C84" s="2174">
        <v>1</v>
      </c>
      <c r="D84" s="2174">
        <v>1</v>
      </c>
      <c r="E84" s="2174">
        <v>1</v>
      </c>
      <c r="F84" s="2174">
        <v>1</v>
      </c>
      <c r="G84" s="2174">
        <v>1</v>
      </c>
    </row>
    <row r="85" spans="1:7">
      <c r="A85" s="809">
        <v>9</v>
      </c>
      <c r="B85" s="1211" t="s">
        <v>2158</v>
      </c>
      <c r="C85" s="2174">
        <v>1</v>
      </c>
      <c r="D85" s="2174">
        <v>1</v>
      </c>
      <c r="E85" s="2174">
        <v>1</v>
      </c>
      <c r="F85" s="2174">
        <v>1</v>
      </c>
      <c r="G85" s="2174">
        <v>1</v>
      </c>
    </row>
    <row r="86" spans="1:7">
      <c r="A86" s="809">
        <v>10</v>
      </c>
      <c r="B86" s="1211" t="s">
        <v>2159</v>
      </c>
      <c r="C86" s="2174">
        <v>1</v>
      </c>
      <c r="D86" s="2174">
        <v>1</v>
      </c>
      <c r="E86" s="2174">
        <v>1</v>
      </c>
      <c r="F86" s="2174">
        <v>1</v>
      </c>
      <c r="G86" s="2174">
        <v>1</v>
      </c>
    </row>
    <row r="87" spans="1:7">
      <c r="A87" s="809">
        <v>11</v>
      </c>
      <c r="B87" s="1211" t="s">
        <v>2160</v>
      </c>
      <c r="C87" s="2174">
        <v>1</v>
      </c>
      <c r="D87" s="2174">
        <v>1</v>
      </c>
      <c r="E87" s="2174">
        <v>1</v>
      </c>
      <c r="F87" s="2174">
        <v>1</v>
      </c>
      <c r="G87" s="2174">
        <v>1</v>
      </c>
    </row>
    <row r="88" spans="1:7">
      <c r="A88" s="809">
        <v>12</v>
      </c>
      <c r="B88" s="1211" t="s">
        <v>2161</v>
      </c>
      <c r="C88" s="2174">
        <v>1</v>
      </c>
      <c r="D88" s="2174">
        <v>1</v>
      </c>
      <c r="E88" s="2174">
        <v>1</v>
      </c>
      <c r="F88" s="2174">
        <v>1</v>
      </c>
      <c r="G88" s="2174">
        <v>1</v>
      </c>
    </row>
    <row r="89" spans="1:7">
      <c r="A89" s="809">
        <v>13</v>
      </c>
      <c r="B89" s="1211" t="s">
        <v>2162</v>
      </c>
      <c r="C89" s="2174">
        <v>1</v>
      </c>
      <c r="D89" s="2174">
        <v>1</v>
      </c>
      <c r="E89" s="2174">
        <v>1</v>
      </c>
      <c r="F89" s="2174">
        <v>1</v>
      </c>
      <c r="G89" s="2174">
        <v>1</v>
      </c>
    </row>
    <row r="90" spans="1:7">
      <c r="A90" s="1093" t="s">
        <v>100</v>
      </c>
      <c r="B90" s="2168" t="s">
        <v>2163</v>
      </c>
      <c r="C90" s="2174"/>
      <c r="D90" s="2174"/>
      <c r="E90" s="2174"/>
      <c r="F90" s="2174"/>
      <c r="G90" s="2174"/>
    </row>
    <row r="91" spans="1:7">
      <c r="A91" s="809">
        <v>1</v>
      </c>
      <c r="B91" s="1211" t="s">
        <v>2164</v>
      </c>
      <c r="C91" s="4492" t="s">
        <v>2313</v>
      </c>
      <c r="D91" s="4493"/>
      <c r="E91" s="4493"/>
      <c r="F91" s="4493"/>
      <c r="G91" s="2174">
        <v>1</v>
      </c>
    </row>
    <row r="92" spans="1:7">
      <c r="A92" s="809">
        <v>2</v>
      </c>
      <c r="B92" s="1211" t="s">
        <v>2166</v>
      </c>
      <c r="C92" s="4493"/>
      <c r="D92" s="4493"/>
      <c r="E92" s="4493"/>
      <c r="F92" s="4493"/>
      <c r="G92" s="2174">
        <v>1</v>
      </c>
    </row>
    <row r="93" spans="1:7">
      <c r="A93" s="809">
        <v>3</v>
      </c>
      <c r="B93" s="1211" t="s">
        <v>2167</v>
      </c>
      <c r="C93" s="4493"/>
      <c r="D93" s="4493"/>
      <c r="E93" s="4493"/>
      <c r="F93" s="4493"/>
      <c r="G93" s="2174">
        <v>1</v>
      </c>
    </row>
    <row r="94" spans="1:7">
      <c r="A94" s="809">
        <v>4</v>
      </c>
      <c r="B94" s="1211" t="s">
        <v>2168</v>
      </c>
      <c r="C94" s="4493"/>
      <c r="D94" s="4493"/>
      <c r="E94" s="4493"/>
      <c r="F94" s="4493"/>
      <c r="G94" s="2174">
        <v>1</v>
      </c>
    </row>
    <row r="95" spans="1:7">
      <c r="A95" s="809">
        <v>5</v>
      </c>
      <c r="B95" s="1211" t="s">
        <v>2169</v>
      </c>
      <c r="C95" s="4493"/>
      <c r="D95" s="4493"/>
      <c r="E95" s="4493"/>
      <c r="F95" s="4493"/>
      <c r="G95" s="2174">
        <v>1</v>
      </c>
    </row>
    <row r="96" spans="1:7">
      <c r="A96" s="809">
        <v>6</v>
      </c>
      <c r="B96" s="1211" t="s">
        <v>2170</v>
      </c>
      <c r="C96" s="4493"/>
      <c r="D96" s="4493"/>
      <c r="E96" s="4493"/>
      <c r="F96" s="4493"/>
      <c r="G96" s="2174">
        <v>1</v>
      </c>
    </row>
    <row r="97" spans="1:7">
      <c r="A97" s="809">
        <v>7</v>
      </c>
      <c r="B97" s="1211" t="s">
        <v>2171</v>
      </c>
      <c r="C97" s="4493"/>
      <c r="D97" s="4493"/>
      <c r="E97" s="4493"/>
      <c r="F97" s="4493"/>
      <c r="G97" s="2174">
        <v>1</v>
      </c>
    </row>
    <row r="98" spans="1:7">
      <c r="A98" s="809">
        <v>8</v>
      </c>
      <c r="B98" s="1211" t="s">
        <v>2172</v>
      </c>
      <c r="C98" s="4493"/>
      <c r="D98" s="4493"/>
      <c r="E98" s="4493"/>
      <c r="F98" s="4493"/>
      <c r="G98" s="2174">
        <v>1</v>
      </c>
    </row>
    <row r="99" spans="1:7">
      <c r="A99" s="809">
        <v>9</v>
      </c>
      <c r="B99" s="1211" t="s">
        <v>2173</v>
      </c>
      <c r="C99" s="2174">
        <v>1</v>
      </c>
      <c r="D99" s="2174">
        <v>1</v>
      </c>
      <c r="E99" s="2174">
        <v>1</v>
      </c>
      <c r="F99" s="2174">
        <v>1</v>
      </c>
      <c r="G99" s="2174">
        <v>1</v>
      </c>
    </row>
    <row r="100" spans="1:7">
      <c r="A100" s="809">
        <v>10</v>
      </c>
      <c r="B100" s="1211" t="s">
        <v>2174</v>
      </c>
      <c r="C100" s="2174">
        <v>1</v>
      </c>
      <c r="D100" s="2174">
        <v>1</v>
      </c>
      <c r="E100" s="2174">
        <v>1</v>
      </c>
      <c r="F100" s="2174">
        <v>1</v>
      </c>
      <c r="G100" s="2174">
        <v>1</v>
      </c>
    </row>
    <row r="101" spans="1:7">
      <c r="A101" s="809">
        <v>11</v>
      </c>
      <c r="B101" s="1211" t="s">
        <v>2175</v>
      </c>
      <c r="C101" s="2174">
        <v>1</v>
      </c>
      <c r="D101" s="2174">
        <v>1</v>
      </c>
      <c r="E101" s="2174">
        <v>1</v>
      </c>
      <c r="F101" s="2174">
        <v>1</v>
      </c>
      <c r="G101" s="2174">
        <v>1</v>
      </c>
    </row>
    <row r="102" spans="1:7">
      <c r="A102" s="809">
        <v>12</v>
      </c>
      <c r="B102" s="1211" t="s">
        <v>2176</v>
      </c>
      <c r="C102" s="2174">
        <v>1</v>
      </c>
      <c r="D102" s="2174">
        <v>1</v>
      </c>
      <c r="E102" s="2174">
        <v>1</v>
      </c>
      <c r="F102" s="2174">
        <v>1</v>
      </c>
      <c r="G102" s="2174">
        <v>1</v>
      </c>
    </row>
    <row r="103" spans="1:7">
      <c r="A103" s="809">
        <v>13</v>
      </c>
      <c r="B103" s="1211" t="s">
        <v>2177</v>
      </c>
      <c r="C103" s="2174">
        <v>1</v>
      </c>
      <c r="D103" s="2174">
        <v>1</v>
      </c>
      <c r="E103" s="2174">
        <v>1</v>
      </c>
      <c r="F103" s="2174">
        <v>1</v>
      </c>
      <c r="G103" s="2174">
        <v>1</v>
      </c>
    </row>
    <row r="104" spans="1:7">
      <c r="A104" s="809">
        <v>14</v>
      </c>
      <c r="B104" s="1211" t="s">
        <v>2178</v>
      </c>
      <c r="C104" s="2174">
        <v>1</v>
      </c>
      <c r="D104" s="2174">
        <v>1</v>
      </c>
      <c r="E104" s="2174">
        <v>1</v>
      </c>
      <c r="F104" s="2174">
        <v>1</v>
      </c>
      <c r="G104" s="2174">
        <v>1</v>
      </c>
    </row>
    <row r="105" spans="1:7">
      <c r="A105" s="809">
        <v>15</v>
      </c>
      <c r="B105" s="1211" t="s">
        <v>2179</v>
      </c>
      <c r="C105" s="2174">
        <v>1</v>
      </c>
      <c r="D105" s="2174">
        <v>1</v>
      </c>
      <c r="E105" s="2174">
        <v>1</v>
      </c>
      <c r="F105" s="2174">
        <v>1</v>
      </c>
      <c r="G105" s="2174">
        <v>1</v>
      </c>
    </row>
    <row r="106" spans="1:7">
      <c r="A106" s="1093" t="s">
        <v>151</v>
      </c>
      <c r="B106" s="2168" t="s">
        <v>2180</v>
      </c>
      <c r="C106" s="2174"/>
      <c r="D106" s="2174"/>
      <c r="E106" s="2174"/>
      <c r="F106" s="2174"/>
      <c r="G106" s="2174"/>
    </row>
    <row r="107" spans="1:7">
      <c r="A107" s="809">
        <v>1</v>
      </c>
      <c r="B107" s="1211" t="s">
        <v>2181</v>
      </c>
      <c r="C107" s="2174">
        <v>1</v>
      </c>
      <c r="D107" s="2174">
        <v>1</v>
      </c>
      <c r="E107" s="2174">
        <v>1</v>
      </c>
      <c r="F107" s="2174">
        <v>1</v>
      </c>
      <c r="G107" s="2174">
        <v>1</v>
      </c>
    </row>
    <row r="108" spans="1:7">
      <c r="A108" s="809">
        <v>2</v>
      </c>
      <c r="B108" s="1211" t="s">
        <v>2182</v>
      </c>
      <c r="C108" s="2174">
        <v>1</v>
      </c>
      <c r="D108" s="2174">
        <v>1</v>
      </c>
      <c r="E108" s="2174">
        <v>1</v>
      </c>
      <c r="F108" s="2174">
        <v>1</v>
      </c>
      <c r="G108" s="2174">
        <v>1</v>
      </c>
    </row>
    <row r="109" spans="1:7">
      <c r="A109" s="809">
        <v>3</v>
      </c>
      <c r="B109" s="1211" t="s">
        <v>2183</v>
      </c>
      <c r="C109" s="2174">
        <v>1</v>
      </c>
      <c r="D109" s="2174">
        <v>1</v>
      </c>
      <c r="E109" s="2174">
        <v>1</v>
      </c>
      <c r="F109" s="2174">
        <v>1</v>
      </c>
      <c r="G109" s="2174">
        <v>1</v>
      </c>
    </row>
    <row r="110" spans="1:7">
      <c r="A110" s="809">
        <v>4</v>
      </c>
      <c r="B110" s="1211" t="s">
        <v>2184</v>
      </c>
      <c r="C110" s="2174">
        <v>1</v>
      </c>
      <c r="D110" s="2174">
        <v>1</v>
      </c>
      <c r="E110" s="2174">
        <v>1</v>
      </c>
      <c r="F110" s="2174">
        <v>1</v>
      </c>
      <c r="G110" s="2174">
        <v>1</v>
      </c>
    </row>
    <row r="111" spans="1:7">
      <c r="A111" s="809">
        <v>5</v>
      </c>
      <c r="B111" s="1211" t="s">
        <v>2185</v>
      </c>
      <c r="C111" s="2174">
        <v>1</v>
      </c>
      <c r="D111" s="2174">
        <v>1</v>
      </c>
      <c r="E111" s="2174">
        <v>1</v>
      </c>
      <c r="F111" s="2174">
        <v>1</v>
      </c>
      <c r="G111" s="2174">
        <v>1</v>
      </c>
    </row>
    <row r="112" spans="1:7">
      <c r="A112" s="809">
        <v>6</v>
      </c>
      <c r="B112" s="1211" t="s">
        <v>2186</v>
      </c>
      <c r="C112" s="2174">
        <v>1</v>
      </c>
      <c r="D112" s="2174">
        <v>1</v>
      </c>
      <c r="E112" s="2174">
        <v>1</v>
      </c>
      <c r="F112" s="2174">
        <v>1</v>
      </c>
      <c r="G112" s="2174">
        <v>1</v>
      </c>
    </row>
    <row r="113" spans="1:7">
      <c r="A113" s="809">
        <v>7</v>
      </c>
      <c r="B113" s="1211" t="s">
        <v>2187</v>
      </c>
      <c r="C113" s="2174">
        <v>1</v>
      </c>
      <c r="D113" s="2174">
        <v>1</v>
      </c>
      <c r="E113" s="2174">
        <v>1</v>
      </c>
      <c r="F113" s="2174">
        <v>1</v>
      </c>
      <c r="G113" s="2174">
        <v>1</v>
      </c>
    </row>
    <row r="114" spans="1:7">
      <c r="A114" s="809">
        <v>8</v>
      </c>
      <c r="B114" s="1211" t="s">
        <v>2188</v>
      </c>
      <c r="C114" s="2174">
        <v>1</v>
      </c>
      <c r="D114" s="2174">
        <v>1</v>
      </c>
      <c r="E114" s="2174">
        <v>1</v>
      </c>
      <c r="F114" s="2174">
        <v>1</v>
      </c>
      <c r="G114" s="2174">
        <v>1</v>
      </c>
    </row>
    <row r="115" spans="1:7">
      <c r="A115" s="809">
        <v>9</v>
      </c>
      <c r="B115" s="1211" t="s">
        <v>2189</v>
      </c>
      <c r="C115" s="2174">
        <v>1</v>
      </c>
      <c r="D115" s="2174">
        <v>1</v>
      </c>
      <c r="E115" s="2174">
        <v>1</v>
      </c>
      <c r="F115" s="2174">
        <v>1</v>
      </c>
      <c r="G115" s="2174">
        <v>1</v>
      </c>
    </row>
    <row r="116" spans="1:7">
      <c r="A116" s="809">
        <v>10</v>
      </c>
      <c r="B116" s="1211" t="s">
        <v>2190</v>
      </c>
      <c r="C116" s="2174">
        <v>1</v>
      </c>
      <c r="D116" s="2174">
        <v>1</v>
      </c>
      <c r="E116" s="2174">
        <v>1</v>
      </c>
      <c r="F116" s="2174">
        <v>1</v>
      </c>
      <c r="G116" s="2174">
        <v>1</v>
      </c>
    </row>
    <row r="117" spans="1:7">
      <c r="A117" s="809">
        <v>11</v>
      </c>
      <c r="B117" s="1211" t="s">
        <v>2191</v>
      </c>
      <c r="C117" s="2174">
        <v>1</v>
      </c>
      <c r="D117" s="2174">
        <v>1</v>
      </c>
      <c r="E117" s="2174">
        <v>1</v>
      </c>
      <c r="F117" s="2174">
        <v>1</v>
      </c>
      <c r="G117" s="2174">
        <v>1</v>
      </c>
    </row>
    <row r="118" spans="1:7">
      <c r="A118" s="809">
        <v>12</v>
      </c>
      <c r="B118" s="1211" t="s">
        <v>2192</v>
      </c>
      <c r="C118" s="2174">
        <v>1</v>
      </c>
      <c r="D118" s="2174">
        <v>1</v>
      </c>
      <c r="E118" s="2174">
        <v>1</v>
      </c>
      <c r="F118" s="2174">
        <v>1</v>
      </c>
      <c r="G118" s="2174">
        <v>1</v>
      </c>
    </row>
    <row r="119" spans="1:7">
      <c r="A119" s="809">
        <v>13</v>
      </c>
      <c r="B119" s="1211" t="s">
        <v>2193</v>
      </c>
      <c r="C119" s="2174">
        <v>1</v>
      </c>
      <c r="D119" s="2174">
        <v>1</v>
      </c>
      <c r="E119" s="2174">
        <v>1</v>
      </c>
      <c r="F119" s="2174">
        <v>1</v>
      </c>
      <c r="G119" s="2174">
        <v>1</v>
      </c>
    </row>
    <row r="120" spans="1:7">
      <c r="A120" s="809">
        <v>14</v>
      </c>
      <c r="B120" s="1211" t="s">
        <v>2194</v>
      </c>
      <c r="C120" s="2174">
        <v>1</v>
      </c>
      <c r="D120" s="2174">
        <v>1</v>
      </c>
      <c r="E120" s="2174">
        <v>1</v>
      </c>
      <c r="F120" s="2174">
        <v>1</v>
      </c>
      <c r="G120" s="2174">
        <v>1</v>
      </c>
    </row>
    <row r="121" spans="1:7">
      <c r="A121" s="809">
        <v>15</v>
      </c>
      <c r="B121" s="1211" t="s">
        <v>2195</v>
      </c>
      <c r="C121" s="2174">
        <v>1</v>
      </c>
      <c r="D121" s="2174">
        <v>1</v>
      </c>
      <c r="E121" s="2174">
        <v>1</v>
      </c>
      <c r="F121" s="2174">
        <v>1</v>
      </c>
      <c r="G121" s="2174">
        <v>1</v>
      </c>
    </row>
    <row r="122" spans="1:7">
      <c r="A122" s="809">
        <v>16</v>
      </c>
      <c r="B122" s="1211" t="s">
        <v>2196</v>
      </c>
      <c r="C122" s="2174">
        <v>1</v>
      </c>
      <c r="D122" s="2174">
        <v>1</v>
      </c>
      <c r="E122" s="2174">
        <v>1</v>
      </c>
      <c r="F122" s="2174">
        <v>1</v>
      </c>
      <c r="G122" s="2174">
        <v>1</v>
      </c>
    </row>
    <row r="123" spans="1:7">
      <c r="A123" s="809">
        <v>17</v>
      </c>
      <c r="B123" s="1211" t="s">
        <v>2126</v>
      </c>
      <c r="C123" s="2174">
        <v>1</v>
      </c>
      <c r="D123" s="2174">
        <v>1</v>
      </c>
      <c r="E123" s="2174">
        <v>1</v>
      </c>
      <c r="F123" s="2174">
        <v>1</v>
      </c>
      <c r="G123" s="2174">
        <v>1</v>
      </c>
    </row>
    <row r="124" spans="1:7">
      <c r="A124" s="809">
        <v>18</v>
      </c>
      <c r="B124" s="1211" t="s">
        <v>2197</v>
      </c>
      <c r="C124" s="2174">
        <v>1</v>
      </c>
      <c r="D124" s="2174">
        <v>1</v>
      </c>
      <c r="E124" s="2174">
        <v>1</v>
      </c>
      <c r="F124" s="2174">
        <v>1</v>
      </c>
      <c r="G124" s="2174">
        <v>1</v>
      </c>
    </row>
    <row r="125" spans="1:7">
      <c r="A125" s="1093" t="s">
        <v>229</v>
      </c>
      <c r="B125" s="2168" t="s">
        <v>1857</v>
      </c>
      <c r="C125" s="2185"/>
      <c r="D125" s="2185"/>
      <c r="E125" s="2185"/>
      <c r="F125" s="2185"/>
      <c r="G125" s="2185"/>
    </row>
    <row r="126" spans="1:7">
      <c r="A126" s="809">
        <v>1</v>
      </c>
      <c r="B126" s="1211" t="s">
        <v>2198</v>
      </c>
      <c r="C126" s="2174">
        <v>1</v>
      </c>
      <c r="D126" s="2174">
        <v>1</v>
      </c>
      <c r="E126" s="2174">
        <v>1</v>
      </c>
      <c r="F126" s="2174">
        <v>1</v>
      </c>
      <c r="G126" s="2174">
        <v>1</v>
      </c>
    </row>
    <row r="127" spans="1:7">
      <c r="A127" s="809">
        <v>2</v>
      </c>
      <c r="B127" s="1211" t="s">
        <v>2199</v>
      </c>
      <c r="C127" s="2174">
        <v>1</v>
      </c>
      <c r="D127" s="2174">
        <v>1</v>
      </c>
      <c r="E127" s="2174">
        <v>1</v>
      </c>
      <c r="F127" s="2174">
        <v>1</v>
      </c>
      <c r="G127" s="2174">
        <v>1</v>
      </c>
    </row>
    <row r="128" spans="1:7">
      <c r="A128" s="809">
        <v>3</v>
      </c>
      <c r="B128" s="1211" t="s">
        <v>2200</v>
      </c>
      <c r="C128" s="2174">
        <v>1</v>
      </c>
      <c r="D128" s="2174">
        <v>1</v>
      </c>
      <c r="E128" s="2174">
        <v>1</v>
      </c>
      <c r="F128" s="2174">
        <v>1</v>
      </c>
      <c r="G128" s="2174">
        <v>1</v>
      </c>
    </row>
    <row r="129" spans="1:7">
      <c r="A129" s="809">
        <v>4</v>
      </c>
      <c r="B129" s="1211" t="s">
        <v>2201</v>
      </c>
      <c r="C129" s="2174">
        <v>1</v>
      </c>
      <c r="D129" s="2174">
        <v>1</v>
      </c>
      <c r="E129" s="2174">
        <v>1</v>
      </c>
      <c r="F129" s="2174">
        <v>1</v>
      </c>
      <c r="G129" s="2174">
        <v>1</v>
      </c>
    </row>
    <row r="130" spans="1:7">
      <c r="A130" s="809">
        <v>5</v>
      </c>
      <c r="B130" s="1211" t="s">
        <v>2202</v>
      </c>
      <c r="C130" s="2174">
        <v>1</v>
      </c>
      <c r="D130" s="2174">
        <v>1</v>
      </c>
      <c r="E130" s="2174">
        <v>1</v>
      </c>
      <c r="F130" s="2174">
        <v>1</v>
      </c>
      <c r="G130" s="2174">
        <v>1</v>
      </c>
    </row>
    <row r="131" spans="1:7">
      <c r="A131" s="809">
        <v>6</v>
      </c>
      <c r="B131" s="1211" t="s">
        <v>2203</v>
      </c>
      <c r="C131" s="2174">
        <v>1</v>
      </c>
      <c r="D131" s="2174">
        <v>1</v>
      </c>
      <c r="E131" s="2174">
        <v>1</v>
      </c>
      <c r="F131" s="2174">
        <v>1</v>
      </c>
      <c r="G131" s="2174">
        <v>1</v>
      </c>
    </row>
    <row r="132" spans="1:7">
      <c r="A132" s="809">
        <v>7</v>
      </c>
      <c r="B132" s="1211" t="s">
        <v>2204</v>
      </c>
      <c r="C132" s="2174">
        <v>1</v>
      </c>
      <c r="D132" s="2174">
        <v>1</v>
      </c>
      <c r="E132" s="2174">
        <v>1</v>
      </c>
      <c r="F132" s="2174">
        <v>1</v>
      </c>
      <c r="G132" s="2174">
        <v>1</v>
      </c>
    </row>
    <row r="133" spans="1:7">
      <c r="A133" s="809">
        <v>8</v>
      </c>
      <c r="B133" s="1211" t="s">
        <v>2205</v>
      </c>
      <c r="C133" s="2174">
        <v>1</v>
      </c>
      <c r="D133" s="2174">
        <v>1</v>
      </c>
      <c r="E133" s="2174">
        <v>1</v>
      </c>
      <c r="F133" s="2174">
        <v>1</v>
      </c>
      <c r="G133" s="2174">
        <v>1</v>
      </c>
    </row>
    <row r="134" spans="1:7">
      <c r="A134" s="809">
        <v>9</v>
      </c>
      <c r="B134" s="1211" t="s">
        <v>2206</v>
      </c>
      <c r="C134" s="2174">
        <v>1</v>
      </c>
      <c r="D134" s="2174">
        <v>1</v>
      </c>
      <c r="E134" s="2174">
        <v>1</v>
      </c>
      <c r="F134" s="2174">
        <v>1</v>
      </c>
      <c r="G134" s="2174">
        <v>1</v>
      </c>
    </row>
    <row r="135" spans="1:7">
      <c r="A135" s="809">
        <v>10</v>
      </c>
      <c r="B135" s="1211" t="s">
        <v>2207</v>
      </c>
      <c r="C135" s="2174">
        <v>1</v>
      </c>
      <c r="D135" s="2174">
        <v>1</v>
      </c>
      <c r="E135" s="2174">
        <v>1</v>
      </c>
      <c r="F135" s="2174">
        <v>1</v>
      </c>
      <c r="G135" s="2174">
        <v>1</v>
      </c>
    </row>
    <row r="136" spans="1:7">
      <c r="A136" s="809">
        <v>11</v>
      </c>
      <c r="B136" s="1211" t="s">
        <v>2208</v>
      </c>
      <c r="C136" s="2174">
        <v>1</v>
      </c>
      <c r="D136" s="2174">
        <v>1</v>
      </c>
      <c r="E136" s="2174">
        <v>1</v>
      </c>
      <c r="F136" s="2174">
        <v>1</v>
      </c>
      <c r="G136" s="2174">
        <v>1</v>
      </c>
    </row>
    <row r="137" spans="1:7">
      <c r="A137" s="809">
        <v>12</v>
      </c>
      <c r="B137" s="1211" t="s">
        <v>2209</v>
      </c>
      <c r="C137" s="2174">
        <v>1</v>
      </c>
      <c r="D137" s="2174">
        <v>1</v>
      </c>
      <c r="E137" s="2174">
        <v>1</v>
      </c>
      <c r="F137" s="2174">
        <v>1</v>
      </c>
      <c r="G137" s="2174">
        <v>1</v>
      </c>
    </row>
    <row r="138" spans="1:7">
      <c r="A138" s="809">
        <v>13</v>
      </c>
      <c r="B138" s="1211" t="s">
        <v>2210</v>
      </c>
      <c r="C138" s="2174">
        <v>1</v>
      </c>
      <c r="D138" s="2174">
        <v>1</v>
      </c>
      <c r="E138" s="2174">
        <v>1</v>
      </c>
      <c r="F138" s="2174">
        <v>1</v>
      </c>
      <c r="G138" s="2174">
        <v>1</v>
      </c>
    </row>
    <row r="139" spans="1:7">
      <c r="A139" s="1093" t="s">
        <v>2211</v>
      </c>
      <c r="B139" s="2168" t="s">
        <v>1858</v>
      </c>
      <c r="C139" s="2185"/>
      <c r="D139" s="2185"/>
      <c r="E139" s="2185"/>
      <c r="F139" s="2185"/>
      <c r="G139" s="2185"/>
    </row>
    <row r="140" spans="1:7">
      <c r="A140" s="809">
        <v>1</v>
      </c>
      <c r="B140" s="1211" t="s">
        <v>2212</v>
      </c>
      <c r="C140" s="2174">
        <v>1</v>
      </c>
      <c r="D140" s="2174">
        <v>1</v>
      </c>
      <c r="E140" s="2174">
        <v>1</v>
      </c>
      <c r="F140" s="2174">
        <v>1</v>
      </c>
      <c r="G140" s="2174">
        <v>1</v>
      </c>
    </row>
    <row r="141" spans="1:7">
      <c r="A141" s="809">
        <v>2</v>
      </c>
      <c r="B141" s="1211" t="s">
        <v>2151</v>
      </c>
      <c r="C141" s="2174">
        <v>1</v>
      </c>
      <c r="D141" s="2174">
        <v>1</v>
      </c>
      <c r="E141" s="2174">
        <v>1</v>
      </c>
      <c r="F141" s="2174">
        <v>1</v>
      </c>
      <c r="G141" s="2174">
        <v>1</v>
      </c>
    </row>
    <row r="142" spans="1:7">
      <c r="A142" s="809">
        <v>3</v>
      </c>
      <c r="B142" s="1211" t="s">
        <v>2213</v>
      </c>
      <c r="C142" s="2174">
        <v>1</v>
      </c>
      <c r="D142" s="2174">
        <v>1</v>
      </c>
      <c r="E142" s="2174">
        <v>1</v>
      </c>
      <c r="F142" s="2174">
        <v>1</v>
      </c>
      <c r="G142" s="2174">
        <v>1</v>
      </c>
    </row>
    <row r="143" spans="1:7">
      <c r="A143" s="809">
        <v>4</v>
      </c>
      <c r="B143" s="1211" t="s">
        <v>2214</v>
      </c>
      <c r="C143" s="2174">
        <v>1</v>
      </c>
      <c r="D143" s="2174">
        <v>1</v>
      </c>
      <c r="E143" s="2174">
        <v>1</v>
      </c>
      <c r="F143" s="2174">
        <v>1</v>
      </c>
      <c r="G143" s="2174">
        <v>1</v>
      </c>
    </row>
    <row r="144" spans="1:7">
      <c r="A144" s="809">
        <v>5</v>
      </c>
      <c r="B144" s="1211" t="s">
        <v>2215</v>
      </c>
      <c r="C144" s="2174">
        <v>1</v>
      </c>
      <c r="D144" s="2174">
        <v>1</v>
      </c>
      <c r="E144" s="2174">
        <v>1</v>
      </c>
      <c r="F144" s="2174">
        <v>1</v>
      </c>
      <c r="G144" s="2174">
        <v>1</v>
      </c>
    </row>
    <row r="145" spans="1:7">
      <c r="A145" s="809">
        <v>6</v>
      </c>
      <c r="B145" s="1211" t="s">
        <v>2216</v>
      </c>
      <c r="C145" s="2174">
        <v>1</v>
      </c>
      <c r="D145" s="2174">
        <v>1</v>
      </c>
      <c r="E145" s="2174">
        <v>1</v>
      </c>
      <c r="F145" s="2174">
        <v>1</v>
      </c>
      <c r="G145" s="2174">
        <v>1</v>
      </c>
    </row>
    <row r="146" spans="1:7">
      <c r="A146" s="809">
        <v>7</v>
      </c>
      <c r="B146" s="1211" t="s">
        <v>2217</v>
      </c>
      <c r="C146" s="2174">
        <v>1</v>
      </c>
      <c r="D146" s="2174">
        <v>1</v>
      </c>
      <c r="E146" s="2174">
        <v>1</v>
      </c>
      <c r="F146" s="2174">
        <v>1</v>
      </c>
      <c r="G146" s="2174">
        <v>1</v>
      </c>
    </row>
    <row r="147" spans="1:7">
      <c r="A147" s="809">
        <v>8</v>
      </c>
      <c r="B147" s="1211" t="s">
        <v>2218</v>
      </c>
      <c r="C147" s="2174">
        <v>1</v>
      </c>
      <c r="D147" s="2174">
        <v>1</v>
      </c>
      <c r="E147" s="2174">
        <v>1</v>
      </c>
      <c r="F147" s="2174">
        <v>1</v>
      </c>
      <c r="G147" s="2174">
        <v>1</v>
      </c>
    </row>
    <row r="148" spans="1:7">
      <c r="A148" s="809">
        <v>9</v>
      </c>
      <c r="B148" s="1211" t="s">
        <v>2219</v>
      </c>
      <c r="C148" s="2174">
        <v>1</v>
      </c>
      <c r="D148" s="2174">
        <v>1</v>
      </c>
      <c r="E148" s="2174">
        <v>1</v>
      </c>
      <c r="F148" s="2174">
        <v>1</v>
      </c>
      <c r="G148" s="2174">
        <v>1</v>
      </c>
    </row>
    <row r="149" spans="1:7">
      <c r="A149" s="809">
        <v>10</v>
      </c>
      <c r="B149" s="1211" t="s">
        <v>2220</v>
      </c>
      <c r="C149" s="2174">
        <v>1</v>
      </c>
      <c r="D149" s="2174">
        <v>1</v>
      </c>
      <c r="E149" s="2174">
        <v>1</v>
      </c>
      <c r="F149" s="2174">
        <v>1</v>
      </c>
      <c r="G149" s="2174">
        <v>1</v>
      </c>
    </row>
    <row r="150" spans="1:7">
      <c r="A150" s="809">
        <v>11</v>
      </c>
      <c r="B150" s="1211" t="s">
        <v>2221</v>
      </c>
      <c r="C150" s="2174">
        <v>1</v>
      </c>
      <c r="D150" s="2174">
        <v>1</v>
      </c>
      <c r="E150" s="2174">
        <v>1</v>
      </c>
      <c r="F150" s="2174">
        <v>1</v>
      </c>
      <c r="G150" s="2174">
        <v>1</v>
      </c>
    </row>
    <row r="151" spans="1:7">
      <c r="A151" s="809">
        <v>12</v>
      </c>
      <c r="B151" s="1211" t="s">
        <v>2222</v>
      </c>
      <c r="C151" s="2174">
        <v>1</v>
      </c>
      <c r="D151" s="2174">
        <v>1</v>
      </c>
      <c r="E151" s="2174">
        <v>1</v>
      </c>
      <c r="F151" s="2174">
        <v>1</v>
      </c>
      <c r="G151" s="2174">
        <v>1</v>
      </c>
    </row>
    <row r="152" spans="1:7">
      <c r="A152" s="809">
        <v>13</v>
      </c>
      <c r="B152" s="1211" t="s">
        <v>2223</v>
      </c>
      <c r="C152" s="2174">
        <v>1</v>
      </c>
      <c r="D152" s="2174">
        <v>1</v>
      </c>
      <c r="E152" s="2174">
        <v>1</v>
      </c>
      <c r="F152" s="2174">
        <v>1</v>
      </c>
      <c r="G152" s="2174">
        <v>1</v>
      </c>
    </row>
    <row r="153" spans="1:7">
      <c r="A153" s="1093" t="s">
        <v>2224</v>
      </c>
      <c r="B153" s="2168" t="s">
        <v>2225</v>
      </c>
      <c r="C153" s="2185"/>
      <c r="D153" s="2185"/>
      <c r="E153" s="2185"/>
      <c r="F153" s="2185"/>
      <c r="G153" s="2185"/>
    </row>
    <row r="154" spans="1:7">
      <c r="A154" s="809">
        <v>1</v>
      </c>
      <c r="B154" s="1211" t="s">
        <v>2226</v>
      </c>
      <c r="C154" s="2174">
        <v>1</v>
      </c>
      <c r="D154" s="2174">
        <v>1</v>
      </c>
      <c r="E154" s="2174">
        <v>1</v>
      </c>
      <c r="F154" s="2174">
        <v>1</v>
      </c>
      <c r="G154" s="2174">
        <v>1</v>
      </c>
    </row>
    <row r="155" spans="1:7">
      <c r="A155" s="809">
        <v>2</v>
      </c>
      <c r="B155" s="1211" t="s">
        <v>2227</v>
      </c>
      <c r="C155" s="2174">
        <v>1</v>
      </c>
      <c r="D155" s="2174">
        <v>1</v>
      </c>
      <c r="E155" s="2174">
        <v>1</v>
      </c>
      <c r="F155" s="2174">
        <v>1</v>
      </c>
      <c r="G155" s="2174">
        <v>1</v>
      </c>
    </row>
    <row r="156" spans="1:7">
      <c r="A156" s="809">
        <v>3</v>
      </c>
      <c r="B156" s="1211" t="s">
        <v>2228</v>
      </c>
      <c r="C156" s="2174">
        <v>1</v>
      </c>
      <c r="D156" s="2174">
        <v>1</v>
      </c>
      <c r="E156" s="2174">
        <v>1</v>
      </c>
      <c r="F156" s="2174">
        <v>1</v>
      </c>
      <c r="G156" s="2174">
        <v>1</v>
      </c>
    </row>
    <row r="157" spans="1:7">
      <c r="A157" s="809">
        <v>4</v>
      </c>
      <c r="B157" s="1211" t="s">
        <v>2134</v>
      </c>
      <c r="C157" s="2174">
        <v>1</v>
      </c>
      <c r="D157" s="2174">
        <v>1</v>
      </c>
      <c r="E157" s="2174">
        <v>1</v>
      </c>
      <c r="F157" s="2174">
        <v>1</v>
      </c>
      <c r="G157" s="2174">
        <v>1</v>
      </c>
    </row>
    <row r="158" spans="1:7">
      <c r="A158" s="809">
        <v>5</v>
      </c>
      <c r="B158" s="1211" t="s">
        <v>2229</v>
      </c>
      <c r="C158" s="2174">
        <v>1</v>
      </c>
      <c r="D158" s="2174">
        <v>1</v>
      </c>
      <c r="E158" s="2174">
        <v>1</v>
      </c>
      <c r="F158" s="2174">
        <v>1</v>
      </c>
      <c r="G158" s="2174">
        <v>1</v>
      </c>
    </row>
    <row r="159" spans="1:7">
      <c r="A159" s="809">
        <v>6</v>
      </c>
      <c r="B159" s="1211" t="s">
        <v>2230</v>
      </c>
      <c r="C159" s="2174">
        <v>1</v>
      </c>
      <c r="D159" s="2174">
        <v>1</v>
      </c>
      <c r="E159" s="2174">
        <v>1</v>
      </c>
      <c r="F159" s="2174">
        <v>1</v>
      </c>
      <c r="G159" s="2174">
        <v>1</v>
      </c>
    </row>
    <row r="160" spans="1:7">
      <c r="A160" s="809">
        <v>7</v>
      </c>
      <c r="B160" s="1211" t="s">
        <v>2231</v>
      </c>
      <c r="C160" s="2174">
        <v>1</v>
      </c>
      <c r="D160" s="2174">
        <v>1</v>
      </c>
      <c r="E160" s="2174">
        <v>1</v>
      </c>
      <c r="F160" s="2174">
        <v>1</v>
      </c>
      <c r="G160" s="2174">
        <v>1</v>
      </c>
    </row>
    <row r="161" spans="1:7">
      <c r="A161" s="809">
        <v>8</v>
      </c>
      <c r="B161" s="1211" t="s">
        <v>2232</v>
      </c>
      <c r="C161" s="2174">
        <v>1</v>
      </c>
      <c r="D161" s="2174">
        <v>1</v>
      </c>
      <c r="E161" s="2174">
        <v>1</v>
      </c>
      <c r="F161" s="2174">
        <v>1</v>
      </c>
      <c r="G161" s="2174">
        <v>1</v>
      </c>
    </row>
    <row r="162" spans="1:7">
      <c r="A162" s="809">
        <v>9</v>
      </c>
      <c r="B162" s="1211" t="s">
        <v>2233</v>
      </c>
      <c r="C162" s="2174">
        <v>1</v>
      </c>
      <c r="D162" s="2174">
        <v>1</v>
      </c>
      <c r="E162" s="2174">
        <v>1</v>
      </c>
      <c r="F162" s="2174">
        <v>1</v>
      </c>
      <c r="G162" s="2174">
        <v>1</v>
      </c>
    </row>
    <row r="163" spans="1:7">
      <c r="A163" s="809">
        <v>10</v>
      </c>
      <c r="B163" s="1211" t="s">
        <v>2234</v>
      </c>
      <c r="C163" s="2174">
        <v>1</v>
      </c>
      <c r="D163" s="2174">
        <v>1</v>
      </c>
      <c r="E163" s="2174">
        <v>1</v>
      </c>
      <c r="F163" s="2174">
        <v>1</v>
      </c>
      <c r="G163" s="2174">
        <v>1</v>
      </c>
    </row>
    <row r="164" spans="1:7">
      <c r="A164" s="809">
        <v>11</v>
      </c>
      <c r="B164" s="1211" t="s">
        <v>2235</v>
      </c>
      <c r="C164" s="2174">
        <v>1</v>
      </c>
      <c r="D164" s="2174">
        <v>1</v>
      </c>
      <c r="E164" s="2174">
        <v>1</v>
      </c>
      <c r="F164" s="2174">
        <v>1</v>
      </c>
      <c r="G164" s="2174">
        <v>1</v>
      </c>
    </row>
    <row r="165" spans="1:7">
      <c r="A165" s="809">
        <v>12</v>
      </c>
      <c r="B165" s="1211" t="s">
        <v>2236</v>
      </c>
      <c r="C165" s="2174">
        <v>1</v>
      </c>
      <c r="D165" s="2174">
        <v>1</v>
      </c>
      <c r="E165" s="2174">
        <v>1</v>
      </c>
      <c r="F165" s="2174">
        <v>1</v>
      </c>
      <c r="G165" s="2174">
        <v>1</v>
      </c>
    </row>
    <row r="166" spans="1:7">
      <c r="A166" s="1093" t="s">
        <v>2237</v>
      </c>
      <c r="B166" s="2168" t="s">
        <v>335</v>
      </c>
      <c r="C166" s="2185"/>
      <c r="D166" s="2185"/>
      <c r="E166" s="2185"/>
      <c r="F166" s="2185"/>
      <c r="G166" s="2185"/>
    </row>
    <row r="167" spans="1:7">
      <c r="A167" s="809">
        <v>1</v>
      </c>
      <c r="B167" s="1211" t="s">
        <v>2164</v>
      </c>
      <c r="C167" s="4492" t="s">
        <v>2314</v>
      </c>
      <c r="D167" s="4493"/>
      <c r="E167" s="4493"/>
      <c r="F167" s="4493"/>
      <c r="G167" s="2174">
        <v>1</v>
      </c>
    </row>
    <row r="168" spans="1:7">
      <c r="A168" s="809">
        <v>2</v>
      </c>
      <c r="B168" s="1211" t="s">
        <v>2166</v>
      </c>
      <c r="C168" s="4493"/>
      <c r="D168" s="4493"/>
      <c r="E168" s="4493"/>
      <c r="F168" s="4493"/>
      <c r="G168" s="2174">
        <v>1</v>
      </c>
    </row>
    <row r="169" spans="1:7">
      <c r="A169" s="809">
        <v>3</v>
      </c>
      <c r="B169" s="1211" t="s">
        <v>2167</v>
      </c>
      <c r="C169" s="4493"/>
      <c r="D169" s="4493"/>
      <c r="E169" s="4493"/>
      <c r="F169" s="4493"/>
      <c r="G169" s="2174">
        <v>1</v>
      </c>
    </row>
    <row r="170" spans="1:7">
      <c r="A170" s="809">
        <v>4</v>
      </c>
      <c r="B170" s="1211" t="s">
        <v>2168</v>
      </c>
      <c r="C170" s="4493"/>
      <c r="D170" s="4493"/>
      <c r="E170" s="4493"/>
      <c r="F170" s="4493"/>
      <c r="G170" s="2174">
        <v>1</v>
      </c>
    </row>
    <row r="171" spans="1:7">
      <c r="A171" s="809">
        <v>5</v>
      </c>
      <c r="B171" s="1211" t="s">
        <v>2239</v>
      </c>
      <c r="C171" s="4493"/>
      <c r="D171" s="4493"/>
      <c r="E171" s="4493"/>
      <c r="F171" s="4493"/>
      <c r="G171" s="2174">
        <v>1</v>
      </c>
    </row>
    <row r="172" spans="1:7">
      <c r="A172" s="860">
        <v>6</v>
      </c>
      <c r="B172" s="229" t="s">
        <v>2240</v>
      </c>
      <c r="C172" s="4493"/>
      <c r="D172" s="4493"/>
      <c r="E172" s="4493"/>
      <c r="F172" s="4493"/>
      <c r="G172" s="2198">
        <v>1</v>
      </c>
    </row>
    <row r="173" spans="1:7">
      <c r="A173" s="809">
        <v>7</v>
      </c>
      <c r="B173" s="1211" t="s">
        <v>2241</v>
      </c>
      <c r="C173" s="2174">
        <v>1</v>
      </c>
      <c r="D173" s="2174">
        <v>1</v>
      </c>
      <c r="E173" s="2174">
        <v>1</v>
      </c>
      <c r="F173" s="2174">
        <v>1</v>
      </c>
      <c r="G173" s="2174">
        <v>1</v>
      </c>
    </row>
    <row r="174" spans="1:7">
      <c r="A174" s="809">
        <v>8</v>
      </c>
      <c r="B174" s="1211" t="s">
        <v>2242</v>
      </c>
      <c r="C174" s="2174">
        <v>1</v>
      </c>
      <c r="D174" s="2174">
        <v>1</v>
      </c>
      <c r="E174" s="2174">
        <v>1</v>
      </c>
      <c r="F174" s="2174">
        <v>1</v>
      </c>
      <c r="G174" s="2174">
        <v>1</v>
      </c>
    </row>
    <row r="175" spans="1:7">
      <c r="A175" s="809">
        <v>9</v>
      </c>
      <c r="B175" s="1211" t="s">
        <v>2243</v>
      </c>
      <c r="C175" s="2174">
        <v>1</v>
      </c>
      <c r="D175" s="2174">
        <v>1</v>
      </c>
      <c r="E175" s="2174">
        <v>1</v>
      </c>
      <c r="F175" s="2174">
        <v>1</v>
      </c>
      <c r="G175" s="2174">
        <v>1</v>
      </c>
    </row>
    <row r="176" spans="1:7">
      <c r="A176" s="1093" t="s">
        <v>2244</v>
      </c>
      <c r="B176" s="2168" t="s">
        <v>2245</v>
      </c>
      <c r="C176" s="2185"/>
      <c r="D176" s="2185"/>
      <c r="E176" s="2185"/>
      <c r="F176" s="2185"/>
      <c r="G176" s="2185"/>
    </row>
    <row r="177" spans="1:7">
      <c r="A177" s="809">
        <v>1</v>
      </c>
      <c r="B177" s="1211" t="s">
        <v>2246</v>
      </c>
      <c r="C177" s="2174">
        <v>1</v>
      </c>
      <c r="D177" s="2174">
        <v>1</v>
      </c>
      <c r="E177" s="2174">
        <v>1</v>
      </c>
      <c r="F177" s="2174">
        <v>1</v>
      </c>
      <c r="G177" s="2174">
        <v>1</v>
      </c>
    </row>
    <row r="178" spans="1:7">
      <c r="A178" s="809">
        <v>2</v>
      </c>
      <c r="B178" s="1211" t="s">
        <v>2162</v>
      </c>
      <c r="C178" s="2174">
        <v>1</v>
      </c>
      <c r="D178" s="2174">
        <v>1</v>
      </c>
      <c r="E178" s="2174">
        <v>1</v>
      </c>
      <c r="F178" s="2174">
        <v>1</v>
      </c>
      <c r="G178" s="2174">
        <v>1</v>
      </c>
    </row>
    <row r="179" spans="1:7">
      <c r="A179" s="809">
        <v>3</v>
      </c>
      <c r="B179" s="1211" t="s">
        <v>2247</v>
      </c>
      <c r="C179" s="2174">
        <v>1</v>
      </c>
      <c r="D179" s="2174">
        <v>1</v>
      </c>
      <c r="E179" s="2174">
        <v>1</v>
      </c>
      <c r="F179" s="2174">
        <v>1</v>
      </c>
      <c r="G179" s="2174">
        <v>1</v>
      </c>
    </row>
    <row r="180" spans="1:7">
      <c r="A180" s="809">
        <v>4</v>
      </c>
      <c r="B180" s="1211" t="s">
        <v>2248</v>
      </c>
      <c r="C180" s="2174">
        <v>1</v>
      </c>
      <c r="D180" s="2174">
        <v>1</v>
      </c>
      <c r="E180" s="2174">
        <v>1</v>
      </c>
      <c r="F180" s="2174">
        <v>1</v>
      </c>
      <c r="G180" s="2174">
        <v>1</v>
      </c>
    </row>
    <row r="181" spans="1:7">
      <c r="A181" s="809">
        <v>5</v>
      </c>
      <c r="B181" s="1211" t="s">
        <v>2249</v>
      </c>
      <c r="C181" s="2174">
        <v>1</v>
      </c>
      <c r="D181" s="2174">
        <v>1</v>
      </c>
      <c r="E181" s="2174">
        <v>1</v>
      </c>
      <c r="F181" s="2174">
        <v>1</v>
      </c>
      <c r="G181" s="2174">
        <v>1</v>
      </c>
    </row>
    <row r="182" spans="1:7">
      <c r="A182" s="809">
        <v>6</v>
      </c>
      <c r="B182" s="1211" t="s">
        <v>2250</v>
      </c>
      <c r="C182" s="2174">
        <v>1</v>
      </c>
      <c r="D182" s="2174">
        <v>1</v>
      </c>
      <c r="E182" s="2174">
        <v>1</v>
      </c>
      <c r="F182" s="2174">
        <v>1</v>
      </c>
      <c r="G182" s="2174">
        <v>1</v>
      </c>
    </row>
    <row r="183" spans="1:7">
      <c r="A183" s="809">
        <v>7</v>
      </c>
      <c r="B183" s="1211" t="s">
        <v>2251</v>
      </c>
      <c r="C183" s="2174">
        <v>1</v>
      </c>
      <c r="D183" s="2174">
        <v>1</v>
      </c>
      <c r="E183" s="2174">
        <v>1</v>
      </c>
      <c r="F183" s="2174">
        <v>1</v>
      </c>
      <c r="G183" s="2174">
        <v>1</v>
      </c>
    </row>
    <row r="184" spans="1:7">
      <c r="A184" s="809">
        <v>8</v>
      </c>
      <c r="B184" s="1211" t="s">
        <v>2252</v>
      </c>
      <c r="C184" s="2174">
        <v>1</v>
      </c>
      <c r="D184" s="2174">
        <v>1</v>
      </c>
      <c r="E184" s="2174">
        <v>1</v>
      </c>
      <c r="F184" s="2174">
        <v>1</v>
      </c>
      <c r="G184" s="2174">
        <v>1</v>
      </c>
    </row>
    <row r="185" spans="1:7">
      <c r="A185" s="809">
        <v>9</v>
      </c>
      <c r="B185" s="1211" t="s">
        <v>2253</v>
      </c>
      <c r="C185" s="2174">
        <v>1</v>
      </c>
      <c r="D185" s="2174">
        <v>1</v>
      </c>
      <c r="E185" s="2174">
        <v>1</v>
      </c>
      <c r="F185" s="2174">
        <v>1</v>
      </c>
      <c r="G185" s="2174">
        <v>1</v>
      </c>
    </row>
    <row r="186" spans="1:7">
      <c r="A186" s="809">
        <v>10</v>
      </c>
      <c r="B186" s="1211" t="s">
        <v>2254</v>
      </c>
      <c r="C186" s="2174">
        <v>1</v>
      </c>
      <c r="D186" s="2174">
        <v>1</v>
      </c>
      <c r="E186" s="2174">
        <v>1</v>
      </c>
      <c r="F186" s="2174">
        <v>1</v>
      </c>
      <c r="G186" s="2174">
        <v>1</v>
      </c>
    </row>
    <row r="187" spans="1:7">
      <c r="A187" s="809">
        <v>11</v>
      </c>
      <c r="B187" s="1211" t="s">
        <v>2255</v>
      </c>
      <c r="C187" s="2174">
        <v>1</v>
      </c>
      <c r="D187" s="2174">
        <v>1</v>
      </c>
      <c r="E187" s="2174">
        <v>1</v>
      </c>
      <c r="F187" s="2174">
        <v>1</v>
      </c>
      <c r="G187" s="2174">
        <v>1</v>
      </c>
    </row>
    <row r="188" spans="1:7">
      <c r="A188" s="1212">
        <v>12</v>
      </c>
      <c r="B188" s="1213" t="s">
        <v>2256</v>
      </c>
      <c r="C188" s="2175">
        <v>1</v>
      </c>
      <c r="D188" s="2175">
        <v>1</v>
      </c>
      <c r="E188" s="2175">
        <v>1</v>
      </c>
      <c r="F188" s="2175">
        <v>1</v>
      </c>
      <c r="G188" s="2175">
        <v>1</v>
      </c>
    </row>
    <row r="189" spans="1:7">
      <c r="A189" s="246"/>
      <c r="B189" s="248" t="s">
        <v>2257</v>
      </c>
      <c r="E189" s="4494"/>
      <c r="F189" s="4494"/>
      <c r="G189" s="4494"/>
    </row>
    <row r="190" spans="1:7">
      <c r="A190" s="246"/>
      <c r="B190" s="2200" t="s">
        <v>2258</v>
      </c>
      <c r="E190" s="2191"/>
      <c r="F190" s="2191"/>
      <c r="G190" s="2191"/>
    </row>
    <row r="191" spans="1:7">
      <c r="A191" s="246"/>
      <c r="B191" s="2200" t="s">
        <v>2259</v>
      </c>
      <c r="E191" s="4333"/>
      <c r="F191" s="4333"/>
      <c r="G191" s="4333"/>
    </row>
    <row r="192" spans="1:7">
      <c r="A192" s="246"/>
      <c r="B192" s="2200" t="s">
        <v>2260</v>
      </c>
      <c r="E192" s="4333"/>
      <c r="F192" s="4333"/>
      <c r="G192" s="4333"/>
    </row>
    <row r="193" spans="1:2">
      <c r="A193" s="246"/>
      <c r="B193" s="2200" t="s">
        <v>2261</v>
      </c>
    </row>
    <row r="194" spans="1:2">
      <c r="A194" s="246"/>
      <c r="B194" s="2200" t="s">
        <v>2262</v>
      </c>
    </row>
    <row r="195" spans="1:2">
      <c r="A195" s="246"/>
    </row>
  </sheetData>
  <mergeCells count="34">
    <mergeCell ref="A1:Q1"/>
    <mergeCell ref="P3:Q3"/>
    <mergeCell ref="A4:A6"/>
    <mergeCell ref="B4:B6"/>
    <mergeCell ref="C4:Q4"/>
    <mergeCell ref="C5:G5"/>
    <mergeCell ref="H5:H6"/>
    <mergeCell ref="I5:I6"/>
    <mergeCell ref="J5:J6"/>
    <mergeCell ref="K5:K6"/>
    <mergeCell ref="A2:Q2"/>
    <mergeCell ref="L5:L6"/>
    <mergeCell ref="M5:M6"/>
    <mergeCell ref="N5:N6"/>
    <mergeCell ref="A28:G28"/>
    <mergeCell ref="P5:P6"/>
    <mergeCell ref="Q5:Q6"/>
    <mergeCell ref="A32:A33"/>
    <mergeCell ref="B32:B33"/>
    <mergeCell ref="C32:G32"/>
    <mergeCell ref="O5:O6"/>
    <mergeCell ref="M19:P19"/>
    <mergeCell ref="M20:P20"/>
    <mergeCell ref="M21:P21"/>
    <mergeCell ref="B26:Q26"/>
    <mergeCell ref="A30:G30"/>
    <mergeCell ref="A29:G29"/>
    <mergeCell ref="E192:G192"/>
    <mergeCell ref="F31:G31"/>
    <mergeCell ref="C46:F50"/>
    <mergeCell ref="C91:F98"/>
    <mergeCell ref="C167:F172"/>
    <mergeCell ref="E189:G189"/>
    <mergeCell ref="E191:G191"/>
  </mergeCells>
  <hyperlinks>
    <hyperlink ref="A4:A6" location="'List danh mục'!A1" display="'List danh mục'!A1"/>
  </hyperlinks>
  <pageMargins left="0.70866141732283472" right="0.70866141732283472" top="0.74803149606299213" bottom="0.74803149606299213" header="0.31496062992125984" footer="0.31496062992125984"/>
  <pageSetup scale="80" orientation="landscape"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AE119"/>
  <sheetViews>
    <sheetView zoomScale="50" zoomScaleNormal="50" workbookViewId="0">
      <selection activeCell="A30" sqref="A30:G30"/>
    </sheetView>
  </sheetViews>
  <sheetFormatPr defaultColWidth="8.69921875" defaultRowHeight="18"/>
  <cols>
    <col min="1" max="1" width="7.19921875" style="20" customWidth="1"/>
    <col min="2" max="2" width="43.19921875" style="37" customWidth="1"/>
    <col min="3" max="3" width="13.8984375" style="37" hidden="1" customWidth="1"/>
    <col min="4" max="9" width="12.69921875" style="37" hidden="1" customWidth="1"/>
    <col min="10" max="22" width="12.69921875" style="37" customWidth="1"/>
    <col min="23" max="31" width="12.69921875" style="37" hidden="1" customWidth="1"/>
    <col min="32" max="16384" width="8.69921875" style="37"/>
  </cols>
  <sheetData>
    <row r="1" spans="1:31">
      <c r="A1" s="4299" t="s">
        <v>2389</v>
      </c>
      <c r="B1" s="4299"/>
      <c r="C1" s="4299"/>
      <c r="D1" s="4299"/>
      <c r="E1" s="4299"/>
      <c r="F1" s="4299"/>
      <c r="G1" s="4299"/>
      <c r="H1" s="4299"/>
      <c r="I1" s="4299"/>
      <c r="J1" s="4299"/>
      <c r="K1" s="4299"/>
      <c r="L1" s="4299"/>
      <c r="M1" s="4299"/>
      <c r="N1" s="4299"/>
      <c r="O1" s="4299"/>
      <c r="P1" s="4299"/>
      <c r="Q1" s="4299"/>
      <c r="R1" s="4299"/>
      <c r="S1" s="4299"/>
      <c r="T1" s="4299"/>
      <c r="U1" s="4299"/>
      <c r="V1" s="4299"/>
      <c r="W1" s="4299"/>
      <c r="X1" s="4299"/>
      <c r="Y1" s="4299"/>
      <c r="Z1" s="4299"/>
      <c r="AA1" s="4299"/>
      <c r="AB1" s="4299"/>
      <c r="AC1" s="4299"/>
      <c r="AD1" s="4299"/>
      <c r="AE1" s="4299"/>
    </row>
    <row r="2" spans="1:31">
      <c r="A2" s="4540" t="str">
        <f>'Biểu số 38-CK-NSNN'!A2:AE2</f>
        <v>(DỰ TOÁN TRÌNH HỘI ĐỒNG NHÂN DÂN TỈNH)</v>
      </c>
      <c r="B2" s="4540"/>
      <c r="C2" s="4540"/>
      <c r="D2" s="4540"/>
      <c r="E2" s="4540"/>
      <c r="F2" s="4540"/>
      <c r="G2" s="4540"/>
      <c r="H2" s="4540"/>
      <c r="I2" s="4540"/>
      <c r="J2" s="4540"/>
      <c r="K2" s="4540"/>
      <c r="L2" s="4540"/>
      <c r="M2" s="4540"/>
      <c r="N2" s="4540"/>
      <c r="O2" s="4540"/>
      <c r="P2" s="4540"/>
      <c r="Q2" s="4540"/>
      <c r="R2" s="4540"/>
      <c r="S2" s="4540"/>
      <c r="T2" s="4540"/>
      <c r="U2" s="4540"/>
      <c r="V2" s="4540"/>
      <c r="W2" s="4540"/>
      <c r="X2" s="4540"/>
      <c r="Y2" s="4540"/>
      <c r="Z2" s="4540"/>
      <c r="AA2" s="4540"/>
      <c r="AB2" s="4540"/>
      <c r="AC2" s="4540"/>
      <c r="AD2" s="4540"/>
      <c r="AE2" s="4540"/>
    </row>
    <row r="3" spans="1:31">
      <c r="A3" s="2907"/>
      <c r="B3" s="20"/>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row>
    <row r="4" spans="1:31" ht="18.600000000000001" thickBot="1">
      <c r="J4" s="1"/>
      <c r="AB4" s="4541" t="s">
        <v>64</v>
      </c>
      <c r="AC4" s="4541"/>
      <c r="AD4" s="4541"/>
      <c r="AE4" s="4541"/>
    </row>
    <row r="5" spans="1:31" s="2" customFormat="1" thickTop="1">
      <c r="A5" s="4542" t="s">
        <v>288</v>
      </c>
      <c r="B5" s="4545" t="s">
        <v>1346</v>
      </c>
      <c r="C5" s="4547" t="s">
        <v>176</v>
      </c>
      <c r="D5" s="4548"/>
      <c r="E5" s="4548"/>
      <c r="F5" s="4548"/>
      <c r="G5" s="4548"/>
      <c r="H5" s="4548"/>
      <c r="I5" s="4548"/>
      <c r="J5" s="4548"/>
      <c r="K5" s="4548"/>
      <c r="L5" s="4548"/>
      <c r="M5" s="4548"/>
      <c r="N5" s="4548"/>
      <c r="O5" s="4548"/>
      <c r="P5" s="4548"/>
      <c r="Q5" s="4548"/>
      <c r="R5" s="4548"/>
      <c r="S5" s="4548"/>
      <c r="T5" s="4548"/>
      <c r="U5" s="4548"/>
      <c r="V5" s="4548"/>
      <c r="W5" s="4548"/>
      <c r="X5" s="4548"/>
      <c r="Y5" s="4548"/>
      <c r="Z5" s="4548"/>
      <c r="AA5" s="4548"/>
      <c r="AB5" s="4548"/>
      <c r="AC5" s="4548"/>
      <c r="AD5" s="4549"/>
      <c r="AE5" s="4550" t="s">
        <v>1512</v>
      </c>
    </row>
    <row r="6" spans="1:31" s="2" customFormat="1" ht="17.399999999999999" customHeight="1">
      <c r="A6" s="4543"/>
      <c r="B6" s="4546"/>
      <c r="C6" s="4360" t="s">
        <v>1421</v>
      </c>
      <c r="D6" s="4424" t="s">
        <v>1511</v>
      </c>
      <c r="E6" s="4425"/>
      <c r="F6" s="4425"/>
      <c r="G6" s="4425"/>
      <c r="H6" s="4425"/>
      <c r="I6" s="4426"/>
      <c r="J6" s="4466" t="s">
        <v>1430</v>
      </c>
      <c r="K6" s="4467"/>
      <c r="L6" s="4467"/>
      <c r="M6" s="4467"/>
      <c r="N6" s="4467"/>
      <c r="O6" s="4467"/>
      <c r="P6" s="4467"/>
      <c r="Q6" s="4467"/>
      <c r="R6" s="4467"/>
      <c r="S6" s="4467"/>
      <c r="T6" s="4467"/>
      <c r="U6" s="4467"/>
      <c r="V6" s="4468"/>
      <c r="W6" s="4360" t="s">
        <v>60</v>
      </c>
      <c r="X6" s="4360" t="s">
        <v>1513</v>
      </c>
      <c r="Y6" s="129"/>
      <c r="Z6" s="4360" t="s">
        <v>2612</v>
      </c>
      <c r="AA6" s="4360" t="str">
        <f>'Phụ lục số 4'!AA6:AA8</f>
        <v>Chi trả lãi vay</v>
      </c>
      <c r="AB6" s="4360" t="s">
        <v>1427</v>
      </c>
      <c r="AC6" s="4553" t="s">
        <v>309</v>
      </c>
      <c r="AD6" s="4554"/>
      <c r="AE6" s="4551"/>
    </row>
    <row r="7" spans="1:31" s="2" customFormat="1" ht="15.6" customHeight="1">
      <c r="A7" s="4543"/>
      <c r="B7" s="4546"/>
      <c r="C7" s="4546"/>
      <c r="D7" s="4360" t="s">
        <v>1507</v>
      </c>
      <c r="E7" s="4556" t="s">
        <v>309</v>
      </c>
      <c r="F7" s="4557"/>
      <c r="G7" s="4557"/>
      <c r="H7" s="4557"/>
      <c r="I7" s="4558"/>
      <c r="J7" s="4360" t="s">
        <v>1422</v>
      </c>
      <c r="K7" s="4466" t="s">
        <v>309</v>
      </c>
      <c r="L7" s="4467"/>
      <c r="M7" s="4467"/>
      <c r="N7" s="4467"/>
      <c r="O7" s="4467"/>
      <c r="P7" s="4467"/>
      <c r="Q7" s="4467"/>
      <c r="R7" s="4467"/>
      <c r="S7" s="4467"/>
      <c r="T7" s="4467"/>
      <c r="U7" s="4467"/>
      <c r="V7" s="4468"/>
      <c r="W7" s="4546"/>
      <c r="X7" s="4546"/>
      <c r="Y7" s="129"/>
      <c r="Z7" s="4546"/>
      <c r="AA7" s="4546"/>
      <c r="AB7" s="4546"/>
      <c r="AC7" s="4521"/>
      <c r="AD7" s="4555"/>
      <c r="AE7" s="4551"/>
    </row>
    <row r="8" spans="1:31" s="70" customFormat="1" ht="97.2" customHeight="1">
      <c r="A8" s="4544"/>
      <c r="B8" s="4361"/>
      <c r="C8" s="4361"/>
      <c r="D8" s="4361"/>
      <c r="E8" s="7" t="s">
        <v>1508</v>
      </c>
      <c r="F8" s="7" t="s">
        <v>1509</v>
      </c>
      <c r="G8" s="7" t="s">
        <v>1378</v>
      </c>
      <c r="H8" s="7" t="s">
        <v>1510</v>
      </c>
      <c r="I8" s="3140" t="str">
        <f>'Phụ lục số 4'!I8</f>
        <v>Chi đầu tư phát triển khác (Ủy thác qua NH Chính sách xã hội chi nhánh tỉnh Đồng Tháp)</v>
      </c>
      <c r="J8" s="4361"/>
      <c r="K8" s="6" t="str">
        <f>'Phụ lục số 4'!K8</f>
        <v>Chi các hoạt động kinh tế</v>
      </c>
      <c r="L8" s="6" t="str">
        <f>'Phụ lục số 4'!L8</f>
        <v>Sự nghiệp môi trường</v>
      </c>
      <c r="M8" s="6" t="str">
        <f>'Phụ lục số 4'!M8</f>
        <v>Sự nghiệp khoa học và công nghệ</v>
      </c>
      <c r="N8" s="6" t="str">
        <f>'Phụ lục số 4'!N8</f>
        <v>Sự nghiệp giáo dục và đào tạo</v>
      </c>
      <c r="O8" s="6" t="str">
        <f>'Phụ lục số 4'!O8</f>
        <v>Sự nghiệp y tế</v>
      </c>
      <c r="P8" s="6" t="str">
        <f>'Phụ lục số 4'!P8</f>
        <v>Sự nghiệp văn hóa thông tin</v>
      </c>
      <c r="Q8" s="6" t="str">
        <f>'Phụ lục số 4'!Q8</f>
        <v>Sự nghiệp phát thanh truyền hình</v>
      </c>
      <c r="R8" s="6" t="str">
        <f>'Phụ lục số 4'!R8</f>
        <v>Sự ngiệp thể dục thể thao</v>
      </c>
      <c r="S8" s="6" t="str">
        <f>'Phụ lục số 4'!S8</f>
        <v>Sự nghiệp đảm bảo xã hội</v>
      </c>
      <c r="T8" s="6" t="str">
        <f>'Phụ lục số 4'!T8</f>
        <v>Quản lý hành chính (QLNN, Đảng….)</v>
      </c>
      <c r="U8" s="6" t="str">
        <f>'Phụ lục số 4'!U8</f>
        <v>An ninh - quốc phòng</v>
      </c>
      <c r="V8" s="6" t="str">
        <f>'Phụ lục số 4'!V8</f>
        <v>Khác</v>
      </c>
      <c r="W8" s="4361"/>
      <c r="X8" s="4361"/>
      <c r="Y8" s="7"/>
      <c r="Z8" s="4361"/>
      <c r="AA8" s="4361"/>
      <c r="AB8" s="4361"/>
      <c r="AC8" s="7" t="s">
        <v>1428</v>
      </c>
      <c r="AD8" s="3001" t="s">
        <v>1429</v>
      </c>
      <c r="AE8" s="4552"/>
    </row>
    <row r="9" spans="1:31">
      <c r="A9" s="3568"/>
      <c r="B9" s="3584" t="s">
        <v>247</v>
      </c>
      <c r="C9" s="3569">
        <f t="shared" ref="C9:AE9" si="0">C10+C107+C108+C111+C112+C113+C114+C116+C117+C118+C110+C109+C115</f>
        <v>13802328.916000001</v>
      </c>
      <c r="D9" s="3569">
        <f t="shared" si="0"/>
        <v>3199186</v>
      </c>
      <c r="E9" s="3569">
        <f t="shared" si="0"/>
        <v>562186</v>
      </c>
      <c r="F9" s="3569">
        <f t="shared" si="0"/>
        <v>627000</v>
      </c>
      <c r="G9" s="3569">
        <f t="shared" si="0"/>
        <v>1950000</v>
      </c>
      <c r="H9" s="3569">
        <f t="shared" si="0"/>
        <v>0</v>
      </c>
      <c r="I9" s="3569">
        <f t="shared" si="0"/>
        <v>60000</v>
      </c>
      <c r="J9" s="3569">
        <f t="shared" si="0"/>
        <v>3294440</v>
      </c>
      <c r="K9" s="3569">
        <f t="shared" si="0"/>
        <v>545710</v>
      </c>
      <c r="L9" s="3569">
        <f t="shared" si="0"/>
        <v>67965</v>
      </c>
      <c r="M9" s="3569">
        <f t="shared" si="0"/>
        <v>31218</v>
      </c>
      <c r="N9" s="3569">
        <f t="shared" si="0"/>
        <v>956676</v>
      </c>
      <c r="O9" s="3569">
        <f t="shared" si="0"/>
        <v>828538</v>
      </c>
      <c r="P9" s="3569">
        <f t="shared" si="0"/>
        <v>47888</v>
      </c>
      <c r="Q9" s="3569">
        <f t="shared" si="0"/>
        <v>18073</v>
      </c>
      <c r="R9" s="3569">
        <f t="shared" si="0"/>
        <v>37202</v>
      </c>
      <c r="S9" s="3569">
        <f t="shared" si="0"/>
        <v>77385</v>
      </c>
      <c r="T9" s="3569">
        <f t="shared" si="0"/>
        <v>515458</v>
      </c>
      <c r="U9" s="3569">
        <f t="shared" si="0"/>
        <v>148327</v>
      </c>
      <c r="V9" s="3569">
        <f t="shared" si="0"/>
        <v>20000</v>
      </c>
      <c r="W9" s="3569">
        <f t="shared" si="0"/>
        <v>2000</v>
      </c>
      <c r="X9" s="3569">
        <f t="shared" si="0"/>
        <v>152264.36799999999</v>
      </c>
      <c r="Y9" s="3569">
        <f t="shared" si="0"/>
        <v>0</v>
      </c>
      <c r="Z9" s="3569">
        <f t="shared" si="0"/>
        <v>79139.200000000012</v>
      </c>
      <c r="AA9" s="3569">
        <f t="shared" si="0"/>
        <v>3000</v>
      </c>
      <c r="AB9" s="3569">
        <f t="shared" si="0"/>
        <v>1988976</v>
      </c>
      <c r="AC9" s="3569">
        <f t="shared" si="0"/>
        <v>1814491</v>
      </c>
      <c r="AD9" s="3570">
        <f t="shared" si="0"/>
        <v>174485</v>
      </c>
      <c r="AE9" s="3571">
        <f t="shared" si="0"/>
        <v>5083323.3480000002</v>
      </c>
    </row>
    <row r="10" spans="1:31" s="210" customFormat="1" ht="17.399999999999999">
      <c r="A10" s="3572" t="s">
        <v>7</v>
      </c>
      <c r="B10" s="3573" t="str">
        <f>'Phụ lục số 4'!B10</f>
        <v>CÁC CƠ QUAN, ĐƠN VỊ</v>
      </c>
      <c r="C10" s="3574">
        <f>D10+J10+W10+X10+AB10</f>
        <v>3468925</v>
      </c>
      <c r="D10" s="3574">
        <f>D11+D41+D56+D60+D75</f>
        <v>0</v>
      </c>
      <c r="E10" s="3574">
        <f>E11+E41+E56+E60+E75</f>
        <v>0</v>
      </c>
      <c r="F10" s="3574">
        <f t="shared" ref="F10:H10" si="1">F11+F41+F56+F60+F75</f>
        <v>0</v>
      </c>
      <c r="G10" s="3574">
        <f t="shared" si="1"/>
        <v>0</v>
      </c>
      <c r="H10" s="3574">
        <f t="shared" si="1"/>
        <v>0</v>
      </c>
      <c r="I10" s="3574"/>
      <c r="J10" s="3574">
        <f>J11+J41+J56+J60+J75</f>
        <v>3294440</v>
      </c>
      <c r="K10" s="3574">
        <f>K11+K41+K56+K60+K75</f>
        <v>545710</v>
      </c>
      <c r="L10" s="3574">
        <f t="shared" ref="L10:AE10" si="2">L11+L41+L56+L60+L75</f>
        <v>67965</v>
      </c>
      <c r="M10" s="3574">
        <f t="shared" si="2"/>
        <v>31218</v>
      </c>
      <c r="N10" s="3574">
        <f t="shared" si="2"/>
        <v>956676</v>
      </c>
      <c r="O10" s="3574">
        <f t="shared" si="2"/>
        <v>828538</v>
      </c>
      <c r="P10" s="3574">
        <f t="shared" si="2"/>
        <v>47888</v>
      </c>
      <c r="Q10" s="3574">
        <f t="shared" si="2"/>
        <v>18073</v>
      </c>
      <c r="R10" s="3574">
        <f t="shared" si="2"/>
        <v>37202</v>
      </c>
      <c r="S10" s="3574">
        <f t="shared" si="2"/>
        <v>77385</v>
      </c>
      <c r="T10" s="3574">
        <f t="shared" si="2"/>
        <v>515458</v>
      </c>
      <c r="U10" s="3574">
        <f t="shared" si="2"/>
        <v>148327</v>
      </c>
      <c r="V10" s="3574">
        <f t="shared" si="2"/>
        <v>20000</v>
      </c>
      <c r="W10" s="3574">
        <f t="shared" si="2"/>
        <v>0</v>
      </c>
      <c r="X10" s="3574">
        <f t="shared" si="2"/>
        <v>0</v>
      </c>
      <c r="Y10" s="3574">
        <f t="shared" si="2"/>
        <v>0</v>
      </c>
      <c r="Z10" s="3574">
        <f t="shared" si="2"/>
        <v>0</v>
      </c>
      <c r="AA10" s="3574">
        <f t="shared" si="2"/>
        <v>0</v>
      </c>
      <c r="AB10" s="3574">
        <f t="shared" si="2"/>
        <v>174485</v>
      </c>
      <c r="AC10" s="3574">
        <f t="shared" si="2"/>
        <v>0</v>
      </c>
      <c r="AD10" s="3575">
        <f t="shared" si="2"/>
        <v>174485</v>
      </c>
      <c r="AE10" s="3576">
        <f t="shared" si="2"/>
        <v>0</v>
      </c>
    </row>
    <row r="11" spans="1:31" s="210" customFormat="1" ht="17.399999999999999">
      <c r="A11" s="2940" t="s">
        <v>9</v>
      </c>
      <c r="B11" s="3562" t="str">
        <f>'Phụ lục số 4'!B11</f>
        <v>SỞ, BAN, NGÀNH CẤP TỈNH</v>
      </c>
      <c r="C11" s="3577">
        <f>D11+J11+W11+X11+AB11</f>
        <v>2543394.0490000001</v>
      </c>
      <c r="D11" s="3577">
        <f t="shared" ref="D11:H11" si="3">SUM(D12:D40)</f>
        <v>0</v>
      </c>
      <c r="E11" s="3577">
        <f t="shared" si="3"/>
        <v>0</v>
      </c>
      <c r="F11" s="3577">
        <f t="shared" si="3"/>
        <v>0</v>
      </c>
      <c r="G11" s="3577">
        <f t="shared" si="3"/>
        <v>0</v>
      </c>
      <c r="H11" s="3577">
        <f t="shared" si="3"/>
        <v>0</v>
      </c>
      <c r="I11" s="3577"/>
      <c r="J11" s="3577">
        <f>SUM(J12:J40)</f>
        <v>2380535.0490000001</v>
      </c>
      <c r="K11" s="3577">
        <f>SUM(K12:K40)</f>
        <v>339900</v>
      </c>
      <c r="L11" s="3577">
        <f t="shared" ref="L11:AE11" si="4">SUM(L12:L40)</f>
        <v>66273</v>
      </c>
      <c r="M11" s="3577">
        <f t="shared" si="4"/>
        <v>28166</v>
      </c>
      <c r="N11" s="3577">
        <f t="shared" si="4"/>
        <v>872742</v>
      </c>
      <c r="O11" s="3577">
        <f t="shared" si="4"/>
        <v>460553</v>
      </c>
      <c r="P11" s="3577">
        <f t="shared" si="4"/>
        <v>45194</v>
      </c>
      <c r="Q11" s="3577">
        <f t="shared" si="4"/>
        <v>17596</v>
      </c>
      <c r="R11" s="3577">
        <f t="shared" si="4"/>
        <v>37202</v>
      </c>
      <c r="S11" s="3577">
        <f t="shared" si="4"/>
        <v>54000</v>
      </c>
      <c r="T11" s="3577">
        <f t="shared" si="4"/>
        <v>458909.049</v>
      </c>
      <c r="U11" s="3577">
        <f t="shared" si="4"/>
        <v>0</v>
      </c>
      <c r="V11" s="3577">
        <f t="shared" si="4"/>
        <v>0</v>
      </c>
      <c r="W11" s="3577">
        <f t="shared" si="4"/>
        <v>0</v>
      </c>
      <c r="X11" s="3577">
        <f t="shared" si="4"/>
        <v>0</v>
      </c>
      <c r="Y11" s="3577">
        <f t="shared" si="4"/>
        <v>0</v>
      </c>
      <c r="Z11" s="3577">
        <f t="shared" si="4"/>
        <v>0</v>
      </c>
      <c r="AA11" s="3577">
        <f t="shared" si="4"/>
        <v>0</v>
      </c>
      <c r="AB11" s="3577">
        <f t="shared" si="4"/>
        <v>162859</v>
      </c>
      <c r="AC11" s="3577">
        <f t="shared" si="4"/>
        <v>0</v>
      </c>
      <c r="AD11" s="3578">
        <f t="shared" si="4"/>
        <v>162859</v>
      </c>
      <c r="AE11" s="3579">
        <f t="shared" si="4"/>
        <v>0</v>
      </c>
    </row>
    <row r="12" spans="1:31" s="154" customFormat="1">
      <c r="A12" s="2110">
        <v>1</v>
      </c>
      <c r="B12" s="2787" t="str">
        <f>'Phụ lục số 4'!B12</f>
        <v>Văn phòng Tỉnh ủy</v>
      </c>
      <c r="C12" s="2954">
        <f t="shared" ref="C12:C40" si="5">D12+J12+AB12+W12+X12+AA12</f>
        <v>229920.049</v>
      </c>
      <c r="D12" s="2954">
        <f t="shared" ref="D12:D40" si="6">SUM(E12:H12)</f>
        <v>0</v>
      </c>
      <c r="E12" s="2954">
        <f>'Phụ lục số 4'!E12</f>
        <v>0</v>
      </c>
      <c r="F12" s="2954">
        <f>'Phụ lục số 4'!F12</f>
        <v>0</v>
      </c>
      <c r="G12" s="2954">
        <f>'Phụ lục số 4'!G12</f>
        <v>0</v>
      </c>
      <c r="H12" s="2954">
        <f>'Phụ lục số 4'!H12</f>
        <v>0</v>
      </c>
      <c r="I12" s="2954"/>
      <c r="J12" s="2955">
        <f>SUM(K12:V12)</f>
        <v>229920.049</v>
      </c>
      <c r="K12" s="2955">
        <f>'Phụ lục số 4'!K12</f>
        <v>0</v>
      </c>
      <c r="L12" s="2955">
        <f>'Phụ lục số 4'!L12</f>
        <v>0</v>
      </c>
      <c r="M12" s="2955">
        <f>'Phụ lục số 4'!M12</f>
        <v>0</v>
      </c>
      <c r="N12" s="2955">
        <f>'Phụ lục số 4'!N12</f>
        <v>3103</v>
      </c>
      <c r="O12" s="2955">
        <f>'Phụ lục số 4'!O12</f>
        <v>14081</v>
      </c>
      <c r="P12" s="2955">
        <f>'Phụ lục số 4'!P12</f>
        <v>0</v>
      </c>
      <c r="Q12" s="2955">
        <f>'Phụ lục số 4'!Q12</f>
        <v>0</v>
      </c>
      <c r="R12" s="2955">
        <f>'Phụ lục số 4'!R12</f>
        <v>0</v>
      </c>
      <c r="S12" s="2955">
        <f>'Phụ lục số 4'!S12</f>
        <v>0</v>
      </c>
      <c r="T12" s="2955">
        <f>'Phụ lục số 4'!T12</f>
        <v>212736.049</v>
      </c>
      <c r="U12" s="2955">
        <f>'Phụ lục số 4'!U12</f>
        <v>0</v>
      </c>
      <c r="V12" s="2955">
        <f>'Phụ lục số 4'!V12</f>
        <v>0</v>
      </c>
      <c r="W12" s="2955">
        <f>'Phụ lục số 4'!W12</f>
        <v>0</v>
      </c>
      <c r="X12" s="2955">
        <f>'Phụ lục số 4'!X12</f>
        <v>0</v>
      </c>
      <c r="Y12" s="2955">
        <f>'Phụ lục số 4'!Y12</f>
        <v>0</v>
      </c>
      <c r="Z12" s="2955">
        <f>'Phụ lục số 4'!Z12</f>
        <v>0</v>
      </c>
      <c r="AA12" s="2955">
        <f>'Phụ lục số 4'!AA12</f>
        <v>0</v>
      </c>
      <c r="AB12" s="2955">
        <f>SUM(AC12:AD12)</f>
        <v>0</v>
      </c>
      <c r="AC12" s="2955">
        <f>'Phụ lục số 4'!AC12</f>
        <v>0</v>
      </c>
      <c r="AD12" s="3141">
        <f>'Phụ lục số 4'!AD12</f>
        <v>0</v>
      </c>
      <c r="AE12" s="3152">
        <f>'Phụ lục số 4'!AE12</f>
        <v>0</v>
      </c>
    </row>
    <row r="13" spans="1:31" s="154" customFormat="1">
      <c r="A13" s="2110">
        <v>2</v>
      </c>
      <c r="B13" s="2787" t="str">
        <f>'Phụ lục số 4'!B13</f>
        <v>Văn phòng Hội đồng nhân dân Tỉnh</v>
      </c>
      <c r="C13" s="2954">
        <f t="shared" si="5"/>
        <v>13947</v>
      </c>
      <c r="D13" s="2954">
        <f t="shared" si="6"/>
        <v>0</v>
      </c>
      <c r="E13" s="2954">
        <f>'Phụ lục số 4'!E13</f>
        <v>0</v>
      </c>
      <c r="F13" s="2954">
        <f>'Phụ lục số 4'!F13</f>
        <v>0</v>
      </c>
      <c r="G13" s="2954">
        <f>'Phụ lục số 4'!G13</f>
        <v>0</v>
      </c>
      <c r="H13" s="2954">
        <f>'Phụ lục số 4'!H13</f>
        <v>0</v>
      </c>
      <c r="I13" s="2954"/>
      <c r="J13" s="2954">
        <f t="shared" ref="J13:J39" si="7">SUM(K13:V13)</f>
        <v>13947</v>
      </c>
      <c r="K13" s="2954">
        <f>'Phụ lục số 4'!K13</f>
        <v>0</v>
      </c>
      <c r="L13" s="2954">
        <f>'Phụ lục số 4'!L13</f>
        <v>0</v>
      </c>
      <c r="M13" s="2954">
        <f>'Phụ lục số 4'!M13</f>
        <v>0</v>
      </c>
      <c r="N13" s="2954">
        <f>'Phụ lục số 4'!N13</f>
        <v>622</v>
      </c>
      <c r="O13" s="2954">
        <f>'Phụ lục số 4'!O13</f>
        <v>0</v>
      </c>
      <c r="P13" s="2954">
        <f>'Phụ lục số 4'!P13</f>
        <v>0</v>
      </c>
      <c r="Q13" s="2954">
        <f>'Phụ lục số 4'!Q13</f>
        <v>220</v>
      </c>
      <c r="R13" s="2954">
        <f>'Phụ lục số 4'!R13</f>
        <v>0</v>
      </c>
      <c r="S13" s="2954">
        <f>'Phụ lục số 4'!S13</f>
        <v>0</v>
      </c>
      <c r="T13" s="2954">
        <f>'Phụ lục số 4'!T13</f>
        <v>13105</v>
      </c>
      <c r="U13" s="2954">
        <f>'Phụ lục số 4'!U13</f>
        <v>0</v>
      </c>
      <c r="V13" s="2954">
        <f>'Phụ lục số 4'!V13</f>
        <v>0</v>
      </c>
      <c r="W13" s="2954">
        <f>'Phụ lục số 4'!W13</f>
        <v>0</v>
      </c>
      <c r="X13" s="2954">
        <f>'Phụ lục số 4'!X13</f>
        <v>0</v>
      </c>
      <c r="Y13" s="2954">
        <f>'Phụ lục số 4'!Y13</f>
        <v>0</v>
      </c>
      <c r="Z13" s="2954">
        <f>'Phụ lục số 4'!Z13</f>
        <v>0</v>
      </c>
      <c r="AA13" s="2954">
        <f>'Phụ lục số 4'!AA13</f>
        <v>0</v>
      </c>
      <c r="AB13" s="2954">
        <f t="shared" ref="AB13:AB39" si="8">SUM(AC13:AD13)</f>
        <v>0</v>
      </c>
      <c r="AC13" s="2954">
        <f>'Phụ lục số 4'!AC13</f>
        <v>0</v>
      </c>
      <c r="AD13" s="3142">
        <f>'Phụ lục số 4'!AD13</f>
        <v>0</v>
      </c>
      <c r="AE13" s="3153">
        <f>'Phụ lục số 4'!AE13</f>
        <v>0</v>
      </c>
    </row>
    <row r="14" spans="1:31" s="154" customFormat="1">
      <c r="A14" s="2110">
        <v>3</v>
      </c>
      <c r="B14" s="2787" t="str">
        <f>'Phụ lục số 4'!B14</f>
        <v>Văn phòng Ủy ban nhân dân Tỉnh</v>
      </c>
      <c r="C14" s="2954">
        <f t="shared" si="5"/>
        <v>27695</v>
      </c>
      <c r="D14" s="2954">
        <f t="shared" si="6"/>
        <v>0</v>
      </c>
      <c r="E14" s="2954">
        <f>'Phụ lục số 4'!E14</f>
        <v>0</v>
      </c>
      <c r="F14" s="2954">
        <f>'Phụ lục số 4'!F14</f>
        <v>0</v>
      </c>
      <c r="G14" s="2954">
        <f>'Phụ lục số 4'!G14</f>
        <v>0</v>
      </c>
      <c r="H14" s="2954">
        <f>'Phụ lục số 4'!H14</f>
        <v>0</v>
      </c>
      <c r="I14" s="2954"/>
      <c r="J14" s="2954">
        <f t="shared" si="7"/>
        <v>27695</v>
      </c>
      <c r="K14" s="2954">
        <f>'Phụ lục số 4'!K14</f>
        <v>2108</v>
      </c>
      <c r="L14" s="2954">
        <f>'Phụ lục số 4'!L14</f>
        <v>0</v>
      </c>
      <c r="M14" s="2954">
        <f>'Phụ lục số 4'!M14</f>
        <v>0</v>
      </c>
      <c r="N14" s="2954">
        <f>'Phụ lục số 4'!N14</f>
        <v>97</v>
      </c>
      <c r="O14" s="2954">
        <f>'Phụ lục số 4'!O14</f>
        <v>0</v>
      </c>
      <c r="P14" s="2954">
        <f>'Phụ lục số 4'!P14</f>
        <v>0</v>
      </c>
      <c r="Q14" s="2954">
        <f>'Phụ lục số 4'!Q14</f>
        <v>0</v>
      </c>
      <c r="R14" s="2954">
        <f>'Phụ lục số 4'!R14</f>
        <v>0</v>
      </c>
      <c r="S14" s="2954">
        <f>'Phụ lục số 4'!S14</f>
        <v>0</v>
      </c>
      <c r="T14" s="2954">
        <f>'Phụ lục số 4'!T14</f>
        <v>25490</v>
      </c>
      <c r="U14" s="2954">
        <f>'Phụ lục số 4'!U14</f>
        <v>0</v>
      </c>
      <c r="V14" s="2954">
        <f>'Phụ lục số 4'!V14</f>
        <v>0</v>
      </c>
      <c r="W14" s="2954">
        <f>'Phụ lục số 4'!W14</f>
        <v>0</v>
      </c>
      <c r="X14" s="2954">
        <f>'Phụ lục số 4'!X14</f>
        <v>0</v>
      </c>
      <c r="Y14" s="2954">
        <f>'Phụ lục số 4'!Y14</f>
        <v>0</v>
      </c>
      <c r="Z14" s="2954">
        <f>'Phụ lục số 4'!Z14</f>
        <v>0</v>
      </c>
      <c r="AA14" s="2954">
        <f>'Phụ lục số 4'!AA14</f>
        <v>0</v>
      </c>
      <c r="AB14" s="2954">
        <f t="shared" si="8"/>
        <v>0</v>
      </c>
      <c r="AC14" s="2954">
        <f>'Phụ lục số 4'!AC14</f>
        <v>0</v>
      </c>
      <c r="AD14" s="3142">
        <f>'Phụ lục số 4'!AD14</f>
        <v>0</v>
      </c>
      <c r="AE14" s="3153">
        <f>'Phụ lục số 4'!AE14</f>
        <v>0</v>
      </c>
    </row>
    <row r="15" spans="1:31" s="154" customFormat="1">
      <c r="A15" s="2110">
        <v>4</v>
      </c>
      <c r="B15" s="2787" t="str">
        <f>'Phụ lục số 4'!B15</f>
        <v>Sở Nông nghiệp và Phát triển Nông thôn</v>
      </c>
      <c r="C15" s="2954">
        <f t="shared" si="5"/>
        <v>122964</v>
      </c>
      <c r="D15" s="2954">
        <f t="shared" si="6"/>
        <v>0</v>
      </c>
      <c r="E15" s="2954">
        <f>'Phụ lục số 4'!E15</f>
        <v>0</v>
      </c>
      <c r="F15" s="2954">
        <f>'Phụ lục số 4'!F15</f>
        <v>0</v>
      </c>
      <c r="G15" s="2954">
        <f>'Phụ lục số 4'!G15</f>
        <v>0</v>
      </c>
      <c r="H15" s="2954">
        <f>'Phụ lục số 4'!H15</f>
        <v>0</v>
      </c>
      <c r="I15" s="2954"/>
      <c r="J15" s="2954">
        <f t="shared" si="7"/>
        <v>86124</v>
      </c>
      <c r="K15" s="2954">
        <f>'Phụ lục số 4'!K15</f>
        <v>61999</v>
      </c>
      <c r="L15" s="2954">
        <f>'Phụ lục số 4'!L15</f>
        <v>9323</v>
      </c>
      <c r="M15" s="2954">
        <f>'Phụ lục số 4'!M15</f>
        <v>2994</v>
      </c>
      <c r="N15" s="2954">
        <f>'Phụ lục số 4'!N15</f>
        <v>644</v>
      </c>
      <c r="O15" s="2954">
        <f>'Phụ lục số 4'!O15</f>
        <v>0</v>
      </c>
      <c r="P15" s="2954">
        <f>'Phụ lục số 4'!P15</f>
        <v>0</v>
      </c>
      <c r="Q15" s="2954">
        <f>'Phụ lục số 4'!Q15</f>
        <v>0</v>
      </c>
      <c r="R15" s="2954">
        <f>'Phụ lục số 4'!R15</f>
        <v>0</v>
      </c>
      <c r="S15" s="2954">
        <f>'Phụ lục số 4'!S15</f>
        <v>0</v>
      </c>
      <c r="T15" s="2954">
        <f>'Phụ lục số 4'!T15</f>
        <v>11164</v>
      </c>
      <c r="U15" s="2954">
        <f>'Phụ lục số 4'!U15</f>
        <v>0</v>
      </c>
      <c r="V15" s="2954">
        <f>'Phụ lục số 4'!V15</f>
        <v>0</v>
      </c>
      <c r="W15" s="2954">
        <f>'Phụ lục số 4'!W15</f>
        <v>0</v>
      </c>
      <c r="X15" s="2954">
        <f>'Phụ lục số 4'!X15</f>
        <v>0</v>
      </c>
      <c r="Y15" s="2954">
        <f>'Phụ lục số 4'!Y15</f>
        <v>0</v>
      </c>
      <c r="Z15" s="2954">
        <f>'Phụ lục số 4'!Z15</f>
        <v>0</v>
      </c>
      <c r="AA15" s="2954">
        <f>'Phụ lục số 4'!AA15</f>
        <v>0</v>
      </c>
      <c r="AB15" s="2954">
        <f t="shared" si="8"/>
        <v>36840</v>
      </c>
      <c r="AC15" s="2954">
        <f>'Phụ lục số 4'!AC15</f>
        <v>0</v>
      </c>
      <c r="AD15" s="3142">
        <f>'Phụ lục số 4'!AD15</f>
        <v>36840</v>
      </c>
      <c r="AE15" s="3153">
        <f>'Phụ lục số 4'!AE15</f>
        <v>0</v>
      </c>
    </row>
    <row r="16" spans="1:31" s="154" customFormat="1">
      <c r="A16" s="2110">
        <v>5</v>
      </c>
      <c r="B16" s="2787" t="str">
        <f>'Phụ lục số 4'!B16</f>
        <v>Sở Kế hoạch và Đầu tư</v>
      </c>
      <c r="C16" s="2954">
        <f t="shared" si="5"/>
        <v>14807</v>
      </c>
      <c r="D16" s="2954">
        <f t="shared" si="6"/>
        <v>0</v>
      </c>
      <c r="E16" s="2954">
        <f>'Phụ lục số 4'!E16</f>
        <v>0</v>
      </c>
      <c r="F16" s="2954">
        <f>'Phụ lục số 4'!F16</f>
        <v>0</v>
      </c>
      <c r="G16" s="2954">
        <f>'Phụ lục số 4'!G16</f>
        <v>0</v>
      </c>
      <c r="H16" s="2954">
        <f>'Phụ lục số 4'!H16</f>
        <v>0</v>
      </c>
      <c r="I16" s="2954"/>
      <c r="J16" s="2954">
        <f t="shared" si="7"/>
        <v>12807</v>
      </c>
      <c r="K16" s="2954">
        <f>'Phụ lục số 4'!K16</f>
        <v>3330</v>
      </c>
      <c r="L16" s="2954">
        <f>'Phụ lục số 4'!L16</f>
        <v>0</v>
      </c>
      <c r="M16" s="2954">
        <f>'Phụ lục số 4'!M16</f>
        <v>0</v>
      </c>
      <c r="N16" s="2954">
        <f>'Phụ lục số 4'!N16</f>
        <v>470</v>
      </c>
      <c r="O16" s="2954">
        <f>'Phụ lục số 4'!O16</f>
        <v>0</v>
      </c>
      <c r="P16" s="2954">
        <f>'Phụ lục số 4'!P16</f>
        <v>0</v>
      </c>
      <c r="Q16" s="2954">
        <f>'Phụ lục số 4'!Q16</f>
        <v>590</v>
      </c>
      <c r="R16" s="2954">
        <f>'Phụ lục số 4'!R16</f>
        <v>0</v>
      </c>
      <c r="S16" s="2954">
        <f>'Phụ lục số 4'!S16</f>
        <v>0</v>
      </c>
      <c r="T16" s="2954">
        <f>'Phụ lục số 4'!T16</f>
        <v>8417</v>
      </c>
      <c r="U16" s="2954">
        <f>'Phụ lục số 4'!U16</f>
        <v>0</v>
      </c>
      <c r="V16" s="2954">
        <f>'Phụ lục số 4'!V16</f>
        <v>0</v>
      </c>
      <c r="W16" s="2954">
        <f>'Phụ lục số 4'!W16</f>
        <v>0</v>
      </c>
      <c r="X16" s="2954">
        <f>'Phụ lục số 4'!X16</f>
        <v>0</v>
      </c>
      <c r="Y16" s="2954">
        <f>'Phụ lục số 4'!Y16</f>
        <v>0</v>
      </c>
      <c r="Z16" s="2954">
        <f>'Phụ lục số 4'!Z16</f>
        <v>0</v>
      </c>
      <c r="AA16" s="2954">
        <f>'Phụ lục số 4'!AA16</f>
        <v>0</v>
      </c>
      <c r="AB16" s="2954">
        <f t="shared" si="8"/>
        <v>2000</v>
      </c>
      <c r="AC16" s="2954">
        <f>'Phụ lục số 4'!AC16</f>
        <v>0</v>
      </c>
      <c r="AD16" s="3142">
        <f>'Phụ lục số 4'!AD16</f>
        <v>2000</v>
      </c>
      <c r="AE16" s="3153">
        <f>'Phụ lục số 4'!AE16</f>
        <v>0</v>
      </c>
    </row>
    <row r="17" spans="1:31" s="154" customFormat="1">
      <c r="A17" s="2110">
        <v>6</v>
      </c>
      <c r="B17" s="2787" t="str">
        <f>'Phụ lục số 4'!B17</f>
        <v>Sở Tài chính</v>
      </c>
      <c r="C17" s="2954">
        <f t="shared" si="5"/>
        <v>17300</v>
      </c>
      <c r="D17" s="2954">
        <f t="shared" si="6"/>
        <v>0</v>
      </c>
      <c r="E17" s="2954">
        <f>'Phụ lục số 4'!E17</f>
        <v>0</v>
      </c>
      <c r="F17" s="2954">
        <f>'Phụ lục số 4'!F17</f>
        <v>0</v>
      </c>
      <c r="G17" s="2954">
        <f>'Phụ lục số 4'!G17</f>
        <v>0</v>
      </c>
      <c r="H17" s="2954">
        <f>'Phụ lục số 4'!H17</f>
        <v>0</v>
      </c>
      <c r="I17" s="2954"/>
      <c r="J17" s="2954">
        <f t="shared" si="7"/>
        <v>17300</v>
      </c>
      <c r="K17" s="2954">
        <f>'Phụ lục số 4'!K17</f>
        <v>1115</v>
      </c>
      <c r="L17" s="2954">
        <f>'Phụ lục số 4'!L17</f>
        <v>0</v>
      </c>
      <c r="M17" s="2954">
        <f>'Phụ lục số 4'!M17</f>
        <v>0</v>
      </c>
      <c r="N17" s="2954">
        <f>'Phụ lục số 4'!N17</f>
        <v>1550</v>
      </c>
      <c r="O17" s="2954">
        <f>'Phụ lục số 4'!O17</f>
        <v>0</v>
      </c>
      <c r="P17" s="2954">
        <f>'Phụ lục số 4'!P17</f>
        <v>0</v>
      </c>
      <c r="Q17" s="2954">
        <f>'Phụ lục số 4'!Q17</f>
        <v>0</v>
      </c>
      <c r="R17" s="2954">
        <f>'Phụ lục số 4'!R17</f>
        <v>0</v>
      </c>
      <c r="S17" s="2954">
        <f>'Phụ lục số 4'!S17</f>
        <v>0</v>
      </c>
      <c r="T17" s="2954">
        <f>'Phụ lục số 4'!T17</f>
        <v>14635</v>
      </c>
      <c r="U17" s="2954">
        <f>'Phụ lục số 4'!U17</f>
        <v>0</v>
      </c>
      <c r="V17" s="2954">
        <f>'Phụ lục số 4'!V17</f>
        <v>0</v>
      </c>
      <c r="W17" s="2954">
        <f>'Phụ lục số 4'!W17</f>
        <v>0</v>
      </c>
      <c r="X17" s="2954">
        <f>'Phụ lục số 4'!X17</f>
        <v>0</v>
      </c>
      <c r="Y17" s="2954">
        <f>'Phụ lục số 4'!Y17</f>
        <v>0</v>
      </c>
      <c r="Z17" s="2954">
        <f>'Phụ lục số 4'!Z17</f>
        <v>0</v>
      </c>
      <c r="AA17" s="2954">
        <f>'Phụ lục số 4'!AA17</f>
        <v>0</v>
      </c>
      <c r="AB17" s="2954">
        <f t="shared" si="8"/>
        <v>0</v>
      </c>
      <c r="AC17" s="2954">
        <f>'Phụ lục số 4'!AC17</f>
        <v>0</v>
      </c>
      <c r="AD17" s="3142">
        <f>'Phụ lục số 4'!AD17</f>
        <v>0</v>
      </c>
      <c r="AE17" s="3153">
        <f>'Phụ lục số 4'!AE17</f>
        <v>0</v>
      </c>
    </row>
    <row r="18" spans="1:31" s="154" customFormat="1">
      <c r="A18" s="2110">
        <v>7</v>
      </c>
      <c r="B18" s="2787" t="str">
        <f>'Phụ lục số 4'!B18</f>
        <v>Sở Nội vụ</v>
      </c>
      <c r="C18" s="2954">
        <f t="shared" si="5"/>
        <v>50516</v>
      </c>
      <c r="D18" s="2954">
        <f t="shared" si="6"/>
        <v>0</v>
      </c>
      <c r="E18" s="2954">
        <f>'Phụ lục số 4'!E18</f>
        <v>0</v>
      </c>
      <c r="F18" s="2954">
        <f>'Phụ lục số 4'!F18</f>
        <v>0</v>
      </c>
      <c r="G18" s="2954">
        <f>'Phụ lục số 4'!G18</f>
        <v>0</v>
      </c>
      <c r="H18" s="2954">
        <f>'Phụ lục số 4'!H18</f>
        <v>0</v>
      </c>
      <c r="I18" s="2954"/>
      <c r="J18" s="2954">
        <f t="shared" si="7"/>
        <v>50516</v>
      </c>
      <c r="K18" s="2954">
        <f>'Phụ lục số 4'!K18</f>
        <v>17203</v>
      </c>
      <c r="L18" s="2954">
        <f>'Phụ lục số 4'!L18</f>
        <v>0</v>
      </c>
      <c r="M18" s="2954">
        <f>'Phụ lục số 4'!M18</f>
        <v>0</v>
      </c>
      <c r="N18" s="2954">
        <f>'Phụ lục số 4'!N18</f>
        <v>3188</v>
      </c>
      <c r="O18" s="2954">
        <f>'Phụ lục số 4'!O18</f>
        <v>0</v>
      </c>
      <c r="P18" s="2954">
        <f>'Phụ lục số 4'!P18</f>
        <v>0</v>
      </c>
      <c r="Q18" s="2954">
        <f>'Phụ lục số 4'!Q18</f>
        <v>0</v>
      </c>
      <c r="R18" s="2954">
        <f>'Phụ lục số 4'!R18</f>
        <v>0</v>
      </c>
      <c r="S18" s="2954">
        <f>'Phụ lục số 4'!S18</f>
        <v>0</v>
      </c>
      <c r="T18" s="2954">
        <f>'Phụ lục số 4'!T18</f>
        <v>30125</v>
      </c>
      <c r="U18" s="2954">
        <f>'Phụ lục số 4'!U18</f>
        <v>0</v>
      </c>
      <c r="V18" s="2954">
        <f>'Phụ lục số 4'!V18</f>
        <v>0</v>
      </c>
      <c r="W18" s="2954">
        <f>'Phụ lục số 4'!W18</f>
        <v>0</v>
      </c>
      <c r="X18" s="2954">
        <f>'Phụ lục số 4'!X18</f>
        <v>0</v>
      </c>
      <c r="Y18" s="2954">
        <f>'Phụ lục số 4'!Y18</f>
        <v>0</v>
      </c>
      <c r="Z18" s="2954">
        <f>'Phụ lục số 4'!Z18</f>
        <v>0</v>
      </c>
      <c r="AA18" s="2954">
        <f>'Phụ lục số 4'!AA18</f>
        <v>0</v>
      </c>
      <c r="AB18" s="2954">
        <f t="shared" si="8"/>
        <v>0</v>
      </c>
      <c r="AC18" s="2954">
        <f>'Phụ lục số 4'!AC18</f>
        <v>0</v>
      </c>
      <c r="AD18" s="3142">
        <f>'Phụ lục số 4'!AD18</f>
        <v>0</v>
      </c>
      <c r="AE18" s="3153">
        <f>'Phụ lục số 4'!AE18</f>
        <v>0</v>
      </c>
    </row>
    <row r="19" spans="1:31" s="154" customFormat="1">
      <c r="A19" s="2110">
        <v>8</v>
      </c>
      <c r="B19" s="2787" t="str">
        <f>'Phụ lục số 4'!B19</f>
        <v>Sở Ngoại vụ</v>
      </c>
      <c r="C19" s="2954">
        <f t="shared" si="5"/>
        <v>9940</v>
      </c>
      <c r="D19" s="2954">
        <f t="shared" si="6"/>
        <v>0</v>
      </c>
      <c r="E19" s="2954">
        <f>'Phụ lục số 4'!E19</f>
        <v>0</v>
      </c>
      <c r="F19" s="2954">
        <f>'Phụ lục số 4'!F19</f>
        <v>0</v>
      </c>
      <c r="G19" s="2954">
        <f>'Phụ lục số 4'!G19</f>
        <v>0</v>
      </c>
      <c r="H19" s="2954">
        <f>'Phụ lục số 4'!H19</f>
        <v>0</v>
      </c>
      <c r="I19" s="2954"/>
      <c r="J19" s="2954">
        <f t="shared" si="7"/>
        <v>9940</v>
      </c>
      <c r="K19" s="2954">
        <f>'Phụ lục số 4'!K19</f>
        <v>1500</v>
      </c>
      <c r="L19" s="2954">
        <f>'Phụ lục số 4'!L19</f>
        <v>0</v>
      </c>
      <c r="M19" s="2954">
        <f>'Phụ lục số 4'!M19</f>
        <v>0</v>
      </c>
      <c r="N19" s="2954">
        <f>'Phụ lục số 4'!N19</f>
        <v>115</v>
      </c>
      <c r="O19" s="2954">
        <f>'Phụ lục số 4'!O19</f>
        <v>0</v>
      </c>
      <c r="P19" s="2954">
        <f>'Phụ lục số 4'!P19</f>
        <v>0</v>
      </c>
      <c r="Q19" s="2954">
        <f>'Phụ lục số 4'!Q19</f>
        <v>0</v>
      </c>
      <c r="R19" s="2954">
        <f>'Phụ lục số 4'!R19</f>
        <v>0</v>
      </c>
      <c r="S19" s="2954">
        <f>'Phụ lục số 4'!S19</f>
        <v>0</v>
      </c>
      <c r="T19" s="2954">
        <f>'Phụ lục số 4'!T19</f>
        <v>8325</v>
      </c>
      <c r="U19" s="2954">
        <f>'Phụ lục số 4'!U19</f>
        <v>0</v>
      </c>
      <c r="V19" s="2954">
        <f>'Phụ lục số 4'!V19</f>
        <v>0</v>
      </c>
      <c r="W19" s="2954">
        <f>'Phụ lục số 4'!W19</f>
        <v>0</v>
      </c>
      <c r="X19" s="2954">
        <f>'Phụ lục số 4'!X19</f>
        <v>0</v>
      </c>
      <c r="Y19" s="2954">
        <f>'Phụ lục số 4'!Y19</f>
        <v>0</v>
      </c>
      <c r="Z19" s="2954">
        <f>'Phụ lục số 4'!Z19</f>
        <v>0</v>
      </c>
      <c r="AA19" s="2954">
        <f>'Phụ lục số 4'!AA19</f>
        <v>0</v>
      </c>
      <c r="AB19" s="2954">
        <f t="shared" si="8"/>
        <v>0</v>
      </c>
      <c r="AC19" s="2954">
        <f>'Phụ lục số 4'!AC19</f>
        <v>0</v>
      </c>
      <c r="AD19" s="3142">
        <f>'Phụ lục số 4'!AD19</f>
        <v>0</v>
      </c>
      <c r="AE19" s="3153">
        <f>'Phụ lục số 4'!AE19</f>
        <v>0</v>
      </c>
    </row>
    <row r="20" spans="1:31" s="154" customFormat="1">
      <c r="A20" s="2110">
        <v>9</v>
      </c>
      <c r="B20" s="2787" t="str">
        <f>'Phụ lục số 4'!B20</f>
        <v>Sở Tư pháp</v>
      </c>
      <c r="C20" s="2954">
        <f t="shared" si="5"/>
        <v>29691</v>
      </c>
      <c r="D20" s="2954">
        <f t="shared" si="6"/>
        <v>0</v>
      </c>
      <c r="E20" s="2954">
        <f>'Phụ lục số 4'!E20</f>
        <v>0</v>
      </c>
      <c r="F20" s="2954">
        <f>'Phụ lục số 4'!F20</f>
        <v>0</v>
      </c>
      <c r="G20" s="2954">
        <f>'Phụ lục số 4'!G20</f>
        <v>0</v>
      </c>
      <c r="H20" s="2954">
        <f>'Phụ lục số 4'!H20</f>
        <v>0</v>
      </c>
      <c r="I20" s="2954"/>
      <c r="J20" s="2954">
        <f t="shared" si="7"/>
        <v>29691</v>
      </c>
      <c r="K20" s="2954">
        <f>'Phụ lục số 4'!K20</f>
        <v>20733</v>
      </c>
      <c r="L20" s="2954">
        <f>'Phụ lục số 4'!L20</f>
        <v>0</v>
      </c>
      <c r="M20" s="2954">
        <f>'Phụ lục số 4'!M20</f>
        <v>0</v>
      </c>
      <c r="N20" s="2954">
        <f>'Phụ lục số 4'!N20</f>
        <v>1025</v>
      </c>
      <c r="O20" s="2954">
        <f>'Phụ lục số 4'!O20</f>
        <v>0</v>
      </c>
      <c r="P20" s="2954">
        <f>'Phụ lục số 4'!P20</f>
        <v>0</v>
      </c>
      <c r="Q20" s="2954">
        <f>'Phụ lục số 4'!Q20</f>
        <v>576</v>
      </c>
      <c r="R20" s="2954">
        <f>'Phụ lục số 4'!R20</f>
        <v>0</v>
      </c>
      <c r="S20" s="2954">
        <f>'Phụ lục số 4'!S20</f>
        <v>0</v>
      </c>
      <c r="T20" s="2954">
        <f>'Phụ lục số 4'!T20</f>
        <v>7357</v>
      </c>
      <c r="U20" s="2954">
        <f>'Phụ lục số 4'!U20</f>
        <v>0</v>
      </c>
      <c r="V20" s="2954">
        <f>'Phụ lục số 4'!V20</f>
        <v>0</v>
      </c>
      <c r="W20" s="2954">
        <f>'Phụ lục số 4'!W20</f>
        <v>0</v>
      </c>
      <c r="X20" s="2954">
        <f>'Phụ lục số 4'!X20</f>
        <v>0</v>
      </c>
      <c r="Y20" s="2954">
        <f>'Phụ lục số 4'!Y20</f>
        <v>0</v>
      </c>
      <c r="Z20" s="2954">
        <f>'Phụ lục số 4'!Z20</f>
        <v>0</v>
      </c>
      <c r="AA20" s="2954">
        <f>'Phụ lục số 4'!AA20</f>
        <v>0</v>
      </c>
      <c r="AB20" s="2954">
        <f t="shared" si="8"/>
        <v>0</v>
      </c>
      <c r="AC20" s="2954">
        <f>'Phụ lục số 4'!AC20</f>
        <v>0</v>
      </c>
      <c r="AD20" s="3142">
        <f>'Phụ lục số 4'!AD20</f>
        <v>0</v>
      </c>
      <c r="AE20" s="3153">
        <f>'Phụ lục số 4'!AE20</f>
        <v>0</v>
      </c>
    </row>
    <row r="21" spans="1:31" s="154" customFormat="1">
      <c r="A21" s="2110">
        <v>10</v>
      </c>
      <c r="B21" s="2787" t="str">
        <f>'Phụ lục số 4'!B21</f>
        <v>Sở Y tế</v>
      </c>
      <c r="C21" s="2954">
        <f t="shared" si="5"/>
        <v>465600</v>
      </c>
      <c r="D21" s="2954">
        <f t="shared" si="6"/>
        <v>0</v>
      </c>
      <c r="E21" s="2954">
        <f>'Phụ lục số 4'!E21</f>
        <v>0</v>
      </c>
      <c r="F21" s="2954">
        <f>'Phụ lục số 4'!F21</f>
        <v>0</v>
      </c>
      <c r="G21" s="2954">
        <f>'Phụ lục số 4'!G21</f>
        <v>0</v>
      </c>
      <c r="H21" s="2954">
        <f>'Phụ lục số 4'!H21</f>
        <v>0</v>
      </c>
      <c r="I21" s="2954"/>
      <c r="J21" s="2954">
        <f t="shared" si="7"/>
        <v>465600</v>
      </c>
      <c r="K21" s="2954">
        <f>'Phụ lục số 4'!K21</f>
        <v>0</v>
      </c>
      <c r="L21" s="2954">
        <f>'Phụ lục số 4'!L21</f>
        <v>0</v>
      </c>
      <c r="M21" s="2954">
        <f>'Phụ lục số 4'!M21</f>
        <v>0</v>
      </c>
      <c r="N21" s="2954">
        <f>'Phụ lục số 4'!N21</f>
        <v>8186</v>
      </c>
      <c r="O21" s="2954">
        <f>'Phụ lục số 4'!O21</f>
        <v>446472</v>
      </c>
      <c r="P21" s="2954">
        <f>'Phụ lục số 4'!P21</f>
        <v>0</v>
      </c>
      <c r="Q21" s="2954">
        <f>'Phụ lục số 4'!Q21</f>
        <v>0</v>
      </c>
      <c r="R21" s="2954">
        <f>'Phụ lục số 4'!R21</f>
        <v>0</v>
      </c>
      <c r="S21" s="2954">
        <f>'Phụ lục số 4'!S21</f>
        <v>0</v>
      </c>
      <c r="T21" s="2954">
        <f>'Phụ lục số 4'!T21</f>
        <v>10942</v>
      </c>
      <c r="U21" s="2954">
        <f>'Phụ lục số 4'!U21</f>
        <v>0</v>
      </c>
      <c r="V21" s="2954">
        <f>'Phụ lục số 4'!V21</f>
        <v>0</v>
      </c>
      <c r="W21" s="2954">
        <f>'Phụ lục số 4'!W21</f>
        <v>0</v>
      </c>
      <c r="X21" s="2954">
        <f>'Phụ lục số 4'!X21</f>
        <v>0</v>
      </c>
      <c r="Y21" s="2954">
        <f>'Phụ lục số 4'!Y21</f>
        <v>0</v>
      </c>
      <c r="Z21" s="2954">
        <f>'Phụ lục số 4'!Z21</f>
        <v>0</v>
      </c>
      <c r="AA21" s="2954">
        <f>'Phụ lục số 4'!AA21</f>
        <v>0</v>
      </c>
      <c r="AB21" s="2954">
        <f t="shared" si="8"/>
        <v>0</v>
      </c>
      <c r="AC21" s="2954">
        <f>'Phụ lục số 4'!AC21</f>
        <v>0</v>
      </c>
      <c r="AD21" s="3142">
        <f>'Phụ lục số 4'!AD21</f>
        <v>0</v>
      </c>
      <c r="AE21" s="3153">
        <f>'Phụ lục số 4'!AE21</f>
        <v>0</v>
      </c>
    </row>
    <row r="22" spans="1:31" s="154" customFormat="1">
      <c r="A22" s="2110">
        <v>11</v>
      </c>
      <c r="B22" s="2787" t="str">
        <f>'Phụ lục số 4'!B22</f>
        <v>Sở Công Thương</v>
      </c>
      <c r="C22" s="2954">
        <f t="shared" si="5"/>
        <v>20097</v>
      </c>
      <c r="D22" s="2954">
        <f t="shared" si="6"/>
        <v>0</v>
      </c>
      <c r="E22" s="2954">
        <f>'Phụ lục số 4'!E22</f>
        <v>0</v>
      </c>
      <c r="F22" s="2954">
        <f>'Phụ lục số 4'!F22</f>
        <v>0</v>
      </c>
      <c r="G22" s="2954">
        <f>'Phụ lục số 4'!G22</f>
        <v>0</v>
      </c>
      <c r="H22" s="2954">
        <f>'Phụ lục số 4'!H22</f>
        <v>0</v>
      </c>
      <c r="I22" s="2954"/>
      <c r="J22" s="2954">
        <f t="shared" si="7"/>
        <v>20097</v>
      </c>
      <c r="K22" s="2954">
        <f>'Phụ lục số 4'!K22</f>
        <v>8921</v>
      </c>
      <c r="L22" s="2954">
        <f>'Phụ lục số 4'!L22</f>
        <v>30</v>
      </c>
      <c r="M22" s="2954">
        <f>'Phụ lục số 4'!M22</f>
        <v>0</v>
      </c>
      <c r="N22" s="2954">
        <f>'Phụ lục số 4'!N22</f>
        <v>514</v>
      </c>
      <c r="O22" s="2954">
        <f>'Phụ lục số 4'!O22</f>
        <v>0</v>
      </c>
      <c r="P22" s="2954">
        <f>'Phụ lục số 4'!P22</f>
        <v>0</v>
      </c>
      <c r="Q22" s="2954">
        <f>'Phụ lục số 4'!Q22</f>
        <v>0</v>
      </c>
      <c r="R22" s="2954">
        <f>'Phụ lục số 4'!R22</f>
        <v>0</v>
      </c>
      <c r="S22" s="2954">
        <f>'Phụ lục số 4'!S22</f>
        <v>0</v>
      </c>
      <c r="T22" s="2954">
        <f>'Phụ lục số 4'!T22</f>
        <v>10632</v>
      </c>
      <c r="U22" s="2954">
        <f>'Phụ lục số 4'!U22</f>
        <v>0</v>
      </c>
      <c r="V22" s="2954">
        <f>'Phụ lục số 4'!V22</f>
        <v>0</v>
      </c>
      <c r="W22" s="2954">
        <f>'Phụ lục số 4'!W22</f>
        <v>0</v>
      </c>
      <c r="X22" s="2954">
        <f>'Phụ lục số 4'!X22</f>
        <v>0</v>
      </c>
      <c r="Y22" s="2954">
        <f>'Phụ lục số 4'!Y22</f>
        <v>0</v>
      </c>
      <c r="Z22" s="2954">
        <f>'Phụ lục số 4'!Z22</f>
        <v>0</v>
      </c>
      <c r="AA22" s="2954">
        <f>'Phụ lục số 4'!AA22</f>
        <v>0</v>
      </c>
      <c r="AB22" s="2954">
        <f t="shared" si="8"/>
        <v>0</v>
      </c>
      <c r="AC22" s="2954">
        <f>'Phụ lục số 4'!AC22</f>
        <v>0</v>
      </c>
      <c r="AD22" s="3142">
        <f>'Phụ lục số 4'!AD22</f>
        <v>0</v>
      </c>
      <c r="AE22" s="3153">
        <f>'Phụ lục số 4'!AE22</f>
        <v>0</v>
      </c>
    </row>
    <row r="23" spans="1:31" s="154" customFormat="1">
      <c r="A23" s="2110">
        <v>12</v>
      </c>
      <c r="B23" s="2787" t="str">
        <f>'Phụ lục số 4'!B23</f>
        <v>Sở Xây dựng</v>
      </c>
      <c r="C23" s="2954">
        <f t="shared" si="5"/>
        <v>18961</v>
      </c>
      <c r="D23" s="2954">
        <f t="shared" si="6"/>
        <v>0</v>
      </c>
      <c r="E23" s="2954">
        <f>'Phụ lục số 4'!E23</f>
        <v>0</v>
      </c>
      <c r="F23" s="2954">
        <f>'Phụ lục số 4'!F23</f>
        <v>0</v>
      </c>
      <c r="G23" s="2954">
        <f>'Phụ lục số 4'!G23</f>
        <v>0</v>
      </c>
      <c r="H23" s="2954">
        <f>'Phụ lục số 4'!H23</f>
        <v>0</v>
      </c>
      <c r="I23" s="2954"/>
      <c r="J23" s="2954">
        <f t="shared" si="7"/>
        <v>18961</v>
      </c>
      <c r="K23" s="2954">
        <f>'Phụ lục số 4'!K23</f>
        <v>3432</v>
      </c>
      <c r="L23" s="2954">
        <f>'Phụ lục số 4'!L23</f>
        <v>0</v>
      </c>
      <c r="M23" s="2954">
        <f>'Phụ lục số 4'!M23</f>
        <v>0</v>
      </c>
      <c r="N23" s="2954">
        <f>'Phụ lục số 4'!N23</f>
        <v>5944</v>
      </c>
      <c r="O23" s="2954">
        <f>'Phụ lục số 4'!O23</f>
        <v>0</v>
      </c>
      <c r="P23" s="2954">
        <f>'Phụ lục số 4'!P23</f>
        <v>0</v>
      </c>
      <c r="Q23" s="2954">
        <f>'Phụ lục số 4'!Q23</f>
        <v>0</v>
      </c>
      <c r="R23" s="2954">
        <f>'Phụ lục số 4'!R23</f>
        <v>0</v>
      </c>
      <c r="S23" s="2954">
        <f>'Phụ lục số 4'!S23</f>
        <v>0</v>
      </c>
      <c r="T23" s="2954">
        <f>'Phụ lục số 4'!T23</f>
        <v>9585</v>
      </c>
      <c r="U23" s="2954">
        <f>'Phụ lục số 4'!U23</f>
        <v>0</v>
      </c>
      <c r="V23" s="2954">
        <f>'Phụ lục số 4'!V23</f>
        <v>0</v>
      </c>
      <c r="W23" s="2954">
        <f>'Phụ lục số 4'!W23</f>
        <v>0</v>
      </c>
      <c r="X23" s="2954">
        <f>'Phụ lục số 4'!X23</f>
        <v>0</v>
      </c>
      <c r="Y23" s="2954">
        <f>'Phụ lục số 4'!Y23</f>
        <v>0</v>
      </c>
      <c r="Z23" s="2954">
        <f>'Phụ lục số 4'!Z23</f>
        <v>0</v>
      </c>
      <c r="AA23" s="2954">
        <f>'Phụ lục số 4'!AA23</f>
        <v>0</v>
      </c>
      <c r="AB23" s="2954">
        <f t="shared" si="8"/>
        <v>0</v>
      </c>
      <c r="AC23" s="2954">
        <f>'Phụ lục số 4'!AC23</f>
        <v>0</v>
      </c>
      <c r="AD23" s="3142">
        <f>'Phụ lục số 4'!AD23</f>
        <v>0</v>
      </c>
      <c r="AE23" s="3153">
        <f>'Phụ lục số 4'!AE23</f>
        <v>0</v>
      </c>
    </row>
    <row r="24" spans="1:31" s="154" customFormat="1">
      <c r="A24" s="2110">
        <v>13</v>
      </c>
      <c r="B24" s="2787" t="str">
        <f>'Phụ lục số 4'!B24</f>
        <v>Sở Khoa học và Công nghệ</v>
      </c>
      <c r="C24" s="2954">
        <f t="shared" si="5"/>
        <v>32717</v>
      </c>
      <c r="D24" s="2954">
        <f t="shared" si="6"/>
        <v>0</v>
      </c>
      <c r="E24" s="2954">
        <f>'Phụ lục số 4'!E24</f>
        <v>0</v>
      </c>
      <c r="F24" s="2954">
        <f>'Phụ lục số 4'!F24</f>
        <v>0</v>
      </c>
      <c r="G24" s="2954">
        <f>'Phụ lục số 4'!G24</f>
        <v>0</v>
      </c>
      <c r="H24" s="2954">
        <f>'Phụ lục số 4'!H24</f>
        <v>0</v>
      </c>
      <c r="I24" s="2954"/>
      <c r="J24" s="2954">
        <f t="shared" si="7"/>
        <v>32717</v>
      </c>
      <c r="K24" s="2954">
        <f>'Phụ lục số 4'!K24</f>
        <v>0</v>
      </c>
      <c r="L24" s="2954">
        <f>'Phụ lục số 4'!L24</f>
        <v>0</v>
      </c>
      <c r="M24" s="2954">
        <f>'Phụ lục số 4'!M24</f>
        <v>25172</v>
      </c>
      <c r="N24" s="2954">
        <f>'Phụ lục số 4'!N24</f>
        <v>100</v>
      </c>
      <c r="O24" s="2954">
        <f>'Phụ lục số 4'!O24</f>
        <v>0</v>
      </c>
      <c r="P24" s="2954">
        <f>'Phụ lục số 4'!P24</f>
        <v>0</v>
      </c>
      <c r="Q24" s="2954">
        <f>'Phụ lục số 4'!Q24</f>
        <v>0</v>
      </c>
      <c r="R24" s="2954">
        <f>'Phụ lục số 4'!R24</f>
        <v>0</v>
      </c>
      <c r="S24" s="2954">
        <f>'Phụ lục số 4'!S24</f>
        <v>0</v>
      </c>
      <c r="T24" s="2954">
        <f>'Phụ lục số 4'!T24</f>
        <v>7445</v>
      </c>
      <c r="U24" s="2954">
        <f>'Phụ lục số 4'!U24</f>
        <v>0</v>
      </c>
      <c r="V24" s="2954">
        <f>'Phụ lục số 4'!V24</f>
        <v>0</v>
      </c>
      <c r="W24" s="2954">
        <f>'Phụ lục số 4'!W24</f>
        <v>0</v>
      </c>
      <c r="X24" s="2954">
        <f>'Phụ lục số 4'!X24</f>
        <v>0</v>
      </c>
      <c r="Y24" s="2954">
        <f>'Phụ lục số 4'!Y24</f>
        <v>0</v>
      </c>
      <c r="Z24" s="2954">
        <f>'Phụ lục số 4'!Z24</f>
        <v>0</v>
      </c>
      <c r="AA24" s="2954">
        <f>'Phụ lục số 4'!AA24</f>
        <v>0</v>
      </c>
      <c r="AB24" s="2954">
        <f t="shared" si="8"/>
        <v>0</v>
      </c>
      <c r="AC24" s="2954">
        <f>'Phụ lục số 4'!AC24</f>
        <v>0</v>
      </c>
      <c r="AD24" s="3142">
        <f>'Phụ lục số 4'!AD24</f>
        <v>0</v>
      </c>
      <c r="AE24" s="3153">
        <f>'Phụ lục số 4'!AE24</f>
        <v>0</v>
      </c>
    </row>
    <row r="25" spans="1:31" s="154" customFormat="1">
      <c r="A25" s="2110">
        <v>14</v>
      </c>
      <c r="B25" s="2787" t="str">
        <f>'Phụ lục số 4'!B25</f>
        <v>Sở Giáo dục và Đào tạo</v>
      </c>
      <c r="C25" s="2954">
        <f t="shared" si="5"/>
        <v>648205</v>
      </c>
      <c r="D25" s="2954">
        <f t="shared" si="6"/>
        <v>0</v>
      </c>
      <c r="E25" s="2954">
        <f>'Phụ lục số 4'!E25</f>
        <v>0</v>
      </c>
      <c r="F25" s="2954">
        <f>'Phụ lục số 4'!F25</f>
        <v>0</v>
      </c>
      <c r="G25" s="2954">
        <f>'Phụ lục số 4'!G25</f>
        <v>0</v>
      </c>
      <c r="H25" s="2954">
        <f>'Phụ lục số 4'!H25</f>
        <v>0</v>
      </c>
      <c r="I25" s="2954"/>
      <c r="J25" s="2954">
        <f t="shared" si="7"/>
        <v>648205</v>
      </c>
      <c r="K25" s="2954">
        <f>'Phụ lục số 4'!K25</f>
        <v>0</v>
      </c>
      <c r="L25" s="2954">
        <f>'Phụ lục số 4'!L25</f>
        <v>126</v>
      </c>
      <c r="M25" s="2954">
        <f>'Phụ lục số 4'!M25</f>
        <v>0</v>
      </c>
      <c r="N25" s="2954">
        <f>'Phụ lục số 4'!N25</f>
        <v>618001</v>
      </c>
      <c r="O25" s="2954">
        <f>'Phụ lục số 4'!O25</f>
        <v>0</v>
      </c>
      <c r="P25" s="2954">
        <f>'Phụ lục số 4'!P25</f>
        <v>0</v>
      </c>
      <c r="Q25" s="2954">
        <f>'Phụ lục số 4'!Q25</f>
        <v>520</v>
      </c>
      <c r="R25" s="2954">
        <f>'Phụ lục số 4'!R25</f>
        <v>15000</v>
      </c>
      <c r="S25" s="2954">
        <f>'Phụ lục số 4'!S25</f>
        <v>0</v>
      </c>
      <c r="T25" s="2954">
        <f>'Phụ lục số 4'!T25</f>
        <v>14558</v>
      </c>
      <c r="U25" s="2954">
        <f>'Phụ lục số 4'!U25</f>
        <v>0</v>
      </c>
      <c r="V25" s="2954">
        <f>'Phụ lục số 4'!V25</f>
        <v>0</v>
      </c>
      <c r="W25" s="2954">
        <f>'Phụ lục số 4'!W25</f>
        <v>0</v>
      </c>
      <c r="X25" s="2954">
        <f>'Phụ lục số 4'!X25</f>
        <v>0</v>
      </c>
      <c r="Y25" s="2954">
        <f>'Phụ lục số 4'!Y25</f>
        <v>0</v>
      </c>
      <c r="Z25" s="2954">
        <f>'Phụ lục số 4'!Z25</f>
        <v>0</v>
      </c>
      <c r="AA25" s="2954">
        <f>'Phụ lục số 4'!AA25</f>
        <v>0</v>
      </c>
      <c r="AB25" s="2954">
        <f t="shared" si="8"/>
        <v>0</v>
      </c>
      <c r="AC25" s="2954">
        <f>'Phụ lục số 4'!AC25</f>
        <v>0</v>
      </c>
      <c r="AD25" s="3142">
        <f>'Phụ lục số 4'!AD25</f>
        <v>0</v>
      </c>
      <c r="AE25" s="3153">
        <f>'Phụ lục số 4'!AE25</f>
        <v>0</v>
      </c>
    </row>
    <row r="26" spans="1:31" s="154" customFormat="1">
      <c r="A26" s="2110">
        <v>15</v>
      </c>
      <c r="B26" s="2787" t="str">
        <f>'Phụ lục số 4'!B26</f>
        <v>Sở Tài nguyên và Môi trường</v>
      </c>
      <c r="C26" s="2954">
        <f t="shared" si="5"/>
        <v>96879</v>
      </c>
      <c r="D26" s="2954">
        <f t="shared" si="6"/>
        <v>0</v>
      </c>
      <c r="E26" s="2954">
        <f>'Phụ lục số 4'!E26</f>
        <v>0</v>
      </c>
      <c r="F26" s="2954">
        <f>'Phụ lục số 4'!F26</f>
        <v>0</v>
      </c>
      <c r="G26" s="2954">
        <f>'Phụ lục số 4'!G26</f>
        <v>0</v>
      </c>
      <c r="H26" s="2954">
        <f>'Phụ lục số 4'!H26</f>
        <v>0</v>
      </c>
      <c r="I26" s="2954"/>
      <c r="J26" s="2954">
        <f t="shared" si="7"/>
        <v>96879</v>
      </c>
      <c r="K26" s="2954">
        <f>'Phụ lục số 4'!K26</f>
        <v>57615</v>
      </c>
      <c r="L26" s="2954">
        <f>'Phụ lục số 4'!L26</f>
        <v>29005</v>
      </c>
      <c r="M26" s="2954">
        <f>'Phụ lục số 4'!M26</f>
        <v>0</v>
      </c>
      <c r="N26" s="2954">
        <f>'Phụ lục số 4'!N26</f>
        <v>85</v>
      </c>
      <c r="O26" s="2954">
        <f>'Phụ lục số 4'!O26</f>
        <v>0</v>
      </c>
      <c r="P26" s="2954">
        <f>'Phụ lục số 4'!P26</f>
        <v>0</v>
      </c>
      <c r="Q26" s="2954">
        <f>'Phụ lục số 4'!Q26</f>
        <v>0</v>
      </c>
      <c r="R26" s="2954">
        <f>'Phụ lục số 4'!R26</f>
        <v>0</v>
      </c>
      <c r="S26" s="2954">
        <f>'Phụ lục số 4'!S26</f>
        <v>0</v>
      </c>
      <c r="T26" s="2954">
        <f>'Phụ lục số 4'!T26</f>
        <v>10174</v>
      </c>
      <c r="U26" s="2954">
        <f>'Phụ lục số 4'!U26</f>
        <v>0</v>
      </c>
      <c r="V26" s="2954">
        <f>'Phụ lục số 4'!V26</f>
        <v>0</v>
      </c>
      <c r="W26" s="2954">
        <f>'Phụ lục số 4'!W26</f>
        <v>0</v>
      </c>
      <c r="X26" s="2954">
        <f>'Phụ lục số 4'!X26</f>
        <v>0</v>
      </c>
      <c r="Y26" s="2954">
        <f>'Phụ lục số 4'!Y26</f>
        <v>0</v>
      </c>
      <c r="Z26" s="2954">
        <f>'Phụ lục số 4'!Z26</f>
        <v>0</v>
      </c>
      <c r="AA26" s="2954">
        <f>'Phụ lục số 4'!AA26</f>
        <v>0</v>
      </c>
      <c r="AB26" s="2954">
        <f t="shared" si="8"/>
        <v>0</v>
      </c>
      <c r="AC26" s="2954">
        <f>'Phụ lục số 4'!AC26</f>
        <v>0</v>
      </c>
      <c r="AD26" s="3142">
        <f>'Phụ lục số 4'!AD26</f>
        <v>0</v>
      </c>
      <c r="AE26" s="3153">
        <f>'Phụ lục số 4'!AE26</f>
        <v>0</v>
      </c>
    </row>
    <row r="27" spans="1:31" s="154" customFormat="1">
      <c r="A27" s="2110">
        <v>16</v>
      </c>
      <c r="B27" s="2787" t="str">
        <f>'Phụ lục số 4'!B27</f>
        <v>Sở Văn hóa Thể thao và Du lịch</v>
      </c>
      <c r="C27" s="2954">
        <f t="shared" si="5"/>
        <v>141585</v>
      </c>
      <c r="D27" s="2954">
        <f t="shared" si="6"/>
        <v>0</v>
      </c>
      <c r="E27" s="2954">
        <f>'Phụ lục số 4'!E27</f>
        <v>0</v>
      </c>
      <c r="F27" s="2954">
        <f>'Phụ lục số 4'!F27</f>
        <v>0</v>
      </c>
      <c r="G27" s="2954">
        <f>'Phụ lục số 4'!G27</f>
        <v>0</v>
      </c>
      <c r="H27" s="2954">
        <f>'Phụ lục số 4'!H27</f>
        <v>0</v>
      </c>
      <c r="I27" s="2954"/>
      <c r="J27" s="2954">
        <f t="shared" si="7"/>
        <v>141585</v>
      </c>
      <c r="K27" s="2954">
        <f>'Phụ lục số 4'!K27</f>
        <v>150</v>
      </c>
      <c r="L27" s="2954">
        <f>'Phụ lục số 4'!L27</f>
        <v>0</v>
      </c>
      <c r="M27" s="2954">
        <f>'Phụ lục số 4'!M27</f>
        <v>0</v>
      </c>
      <c r="N27" s="2954">
        <f>'Phụ lục số 4'!N27</f>
        <v>66856</v>
      </c>
      <c r="O27" s="2954">
        <f>'Phụ lục số 4'!O27</f>
        <v>0</v>
      </c>
      <c r="P27" s="2954">
        <f>'Phụ lục số 4'!P27</f>
        <v>43694</v>
      </c>
      <c r="Q27" s="2954">
        <f>'Phụ lục số 4'!Q27</f>
        <v>0</v>
      </c>
      <c r="R27" s="2954">
        <f>'Phụ lục số 4'!R27</f>
        <v>22202</v>
      </c>
      <c r="S27" s="2954">
        <f>'Phụ lục số 4'!S27</f>
        <v>0</v>
      </c>
      <c r="T27" s="2954">
        <f>'Phụ lục số 4'!T27</f>
        <v>8683</v>
      </c>
      <c r="U27" s="2954">
        <f>'Phụ lục số 4'!U27</f>
        <v>0</v>
      </c>
      <c r="V27" s="2954">
        <f>'Phụ lục số 4'!V27</f>
        <v>0</v>
      </c>
      <c r="W27" s="2954">
        <f>'Phụ lục số 4'!W27</f>
        <v>0</v>
      </c>
      <c r="X27" s="2954">
        <f>'Phụ lục số 4'!X27</f>
        <v>0</v>
      </c>
      <c r="Y27" s="2954">
        <f>'Phụ lục số 4'!Y27</f>
        <v>0</v>
      </c>
      <c r="Z27" s="2954">
        <f>'Phụ lục số 4'!Z27</f>
        <v>0</v>
      </c>
      <c r="AA27" s="2954">
        <f>'Phụ lục số 4'!AA27</f>
        <v>0</v>
      </c>
      <c r="AB27" s="2954">
        <f t="shared" si="8"/>
        <v>0</v>
      </c>
      <c r="AC27" s="2954">
        <f>'Phụ lục số 4'!AC27</f>
        <v>0</v>
      </c>
      <c r="AD27" s="3142">
        <f>'Phụ lục số 4'!AD27</f>
        <v>0</v>
      </c>
      <c r="AE27" s="3153">
        <f>'Phụ lục số 4'!AE27</f>
        <v>0</v>
      </c>
    </row>
    <row r="28" spans="1:31" s="154" customFormat="1">
      <c r="A28" s="2110">
        <v>17</v>
      </c>
      <c r="B28" s="2787" t="str">
        <f>'Phụ lục số 4'!B28</f>
        <v>Sở Thông tin và Truyền thông</v>
      </c>
      <c r="C28" s="2954">
        <f t="shared" si="5"/>
        <v>51460</v>
      </c>
      <c r="D28" s="2954">
        <f t="shared" si="6"/>
        <v>0</v>
      </c>
      <c r="E28" s="2954">
        <f>'Phụ lục số 4'!E28</f>
        <v>0</v>
      </c>
      <c r="F28" s="2954">
        <f>'Phụ lục số 4'!F28</f>
        <v>0</v>
      </c>
      <c r="G28" s="2954">
        <f>'Phụ lục số 4'!G28</f>
        <v>0</v>
      </c>
      <c r="H28" s="2954">
        <f>'Phụ lục số 4'!H28</f>
        <v>0</v>
      </c>
      <c r="I28" s="2954"/>
      <c r="J28" s="2954">
        <f t="shared" si="7"/>
        <v>51460</v>
      </c>
      <c r="K28" s="2954">
        <f>'Phụ lục số 4'!K28</f>
        <v>20950</v>
      </c>
      <c r="L28" s="2954">
        <f>'Phụ lục số 4'!L28</f>
        <v>0</v>
      </c>
      <c r="M28" s="2954">
        <f>'Phụ lục số 4'!M28</f>
        <v>0</v>
      </c>
      <c r="N28" s="2954">
        <f>'Phụ lục số 4'!N28</f>
        <v>762</v>
      </c>
      <c r="O28" s="2954">
        <f>'Phụ lục số 4'!O28</f>
        <v>0</v>
      </c>
      <c r="P28" s="2954">
        <f>'Phụ lục số 4'!P28</f>
        <v>0</v>
      </c>
      <c r="Q28" s="2954">
        <f>'Phụ lục số 4'!Q28</f>
        <v>15690</v>
      </c>
      <c r="R28" s="2954">
        <f>'Phụ lục số 4'!R28</f>
        <v>0</v>
      </c>
      <c r="S28" s="2954">
        <f>'Phụ lục số 4'!S28</f>
        <v>0</v>
      </c>
      <c r="T28" s="2954">
        <f>'Phụ lục số 4'!T28</f>
        <v>14058</v>
      </c>
      <c r="U28" s="2954">
        <f>'Phụ lục số 4'!U28</f>
        <v>0</v>
      </c>
      <c r="V28" s="2954">
        <f>'Phụ lục số 4'!V28</f>
        <v>0</v>
      </c>
      <c r="W28" s="2954">
        <f>'Phụ lục số 4'!W28</f>
        <v>0</v>
      </c>
      <c r="X28" s="2954">
        <f>'Phụ lục số 4'!X28</f>
        <v>0</v>
      </c>
      <c r="Y28" s="2954">
        <f>'Phụ lục số 4'!Y28</f>
        <v>0</v>
      </c>
      <c r="Z28" s="2954">
        <f>'Phụ lục số 4'!Z28</f>
        <v>0</v>
      </c>
      <c r="AA28" s="2954">
        <f>'Phụ lục số 4'!AA28</f>
        <v>0</v>
      </c>
      <c r="AB28" s="2954">
        <f t="shared" si="8"/>
        <v>0</v>
      </c>
      <c r="AC28" s="2954">
        <f>'Phụ lục số 4'!AC28</f>
        <v>0</v>
      </c>
      <c r="AD28" s="3142">
        <f>'Phụ lục số 4'!AD28</f>
        <v>0</v>
      </c>
      <c r="AE28" s="3153">
        <f>'Phụ lục số 4'!AE28</f>
        <v>0</v>
      </c>
    </row>
    <row r="29" spans="1:31" s="154" customFormat="1">
      <c r="A29" s="2110">
        <v>18</v>
      </c>
      <c r="B29" s="2787" t="str">
        <f>'Phụ lục số 4'!B29</f>
        <v>Sở Giao thông và Vận tải</v>
      </c>
      <c r="C29" s="2954">
        <f t="shared" si="5"/>
        <v>97291</v>
      </c>
      <c r="D29" s="2954">
        <f t="shared" si="6"/>
        <v>0</v>
      </c>
      <c r="E29" s="2954">
        <f>'Phụ lục số 4'!E29</f>
        <v>0</v>
      </c>
      <c r="F29" s="2954">
        <f>'Phụ lục số 4'!F29</f>
        <v>0</v>
      </c>
      <c r="G29" s="2954">
        <f>'Phụ lục số 4'!G29</f>
        <v>0</v>
      </c>
      <c r="H29" s="2954">
        <f>'Phụ lục số 4'!H29</f>
        <v>0</v>
      </c>
      <c r="I29" s="2954"/>
      <c r="J29" s="2954">
        <f t="shared" si="7"/>
        <v>46033</v>
      </c>
      <c r="K29" s="2954">
        <f>'Phụ lục số 4'!K29</f>
        <v>30582</v>
      </c>
      <c r="L29" s="2954">
        <f>'Phụ lục số 4'!L29</f>
        <v>0</v>
      </c>
      <c r="M29" s="2954">
        <f>'Phụ lục số 4'!M29</f>
        <v>0</v>
      </c>
      <c r="N29" s="2954">
        <f>'Phụ lục số 4'!N29</f>
        <v>149</v>
      </c>
      <c r="O29" s="2954">
        <f>'Phụ lục số 4'!O29</f>
        <v>0</v>
      </c>
      <c r="P29" s="2954">
        <f>'Phụ lục số 4'!P29</f>
        <v>0</v>
      </c>
      <c r="Q29" s="2954">
        <f>'Phụ lục số 4'!Q29</f>
        <v>0</v>
      </c>
      <c r="R29" s="2954">
        <f>'Phụ lục số 4'!R29</f>
        <v>0</v>
      </c>
      <c r="S29" s="2954">
        <f>'Phụ lục số 4'!S29</f>
        <v>0</v>
      </c>
      <c r="T29" s="2954">
        <f>'Phụ lục số 4'!T29</f>
        <v>15302</v>
      </c>
      <c r="U29" s="2954">
        <f>'Phụ lục số 4'!U29</f>
        <v>0</v>
      </c>
      <c r="V29" s="2954">
        <f>'Phụ lục số 4'!V29</f>
        <v>0</v>
      </c>
      <c r="W29" s="2954">
        <f>'Phụ lục số 4'!W29</f>
        <v>0</v>
      </c>
      <c r="X29" s="2954">
        <f>'Phụ lục số 4'!X29</f>
        <v>0</v>
      </c>
      <c r="Y29" s="2954">
        <f>'Phụ lục số 4'!Y29</f>
        <v>0</v>
      </c>
      <c r="Z29" s="2954">
        <f>'Phụ lục số 4'!Z29</f>
        <v>0</v>
      </c>
      <c r="AA29" s="2954">
        <f>'Phụ lục số 4'!AA29</f>
        <v>0</v>
      </c>
      <c r="AB29" s="2954">
        <f t="shared" si="8"/>
        <v>51258</v>
      </c>
      <c r="AC29" s="2954">
        <f>'Phụ lục số 4'!AC29</f>
        <v>0</v>
      </c>
      <c r="AD29" s="3142">
        <f>'Phụ lục số 4'!AD29</f>
        <v>51258</v>
      </c>
      <c r="AE29" s="3153">
        <f>'Phụ lục số 4'!AE29</f>
        <v>0</v>
      </c>
    </row>
    <row r="30" spans="1:31" s="154" customFormat="1">
      <c r="A30" s="2110">
        <v>19</v>
      </c>
      <c r="B30" s="2787" t="str">
        <f>'Phụ lục số 4'!B30</f>
        <v>Sở Lao động Thương binh và Xã hội</v>
      </c>
      <c r="C30" s="2954">
        <f t="shared" si="5"/>
        <v>189048</v>
      </c>
      <c r="D30" s="2954">
        <f t="shared" si="6"/>
        <v>0</v>
      </c>
      <c r="E30" s="2954">
        <f>'Phụ lục số 4'!E30</f>
        <v>0</v>
      </c>
      <c r="F30" s="2954">
        <f>'Phụ lục số 4'!F30</f>
        <v>0</v>
      </c>
      <c r="G30" s="2954">
        <f>'Phụ lục số 4'!G30</f>
        <v>0</v>
      </c>
      <c r="H30" s="2954">
        <f>'Phụ lục số 4'!H30</f>
        <v>0</v>
      </c>
      <c r="I30" s="2954"/>
      <c r="J30" s="2954">
        <f t="shared" si="7"/>
        <v>123393</v>
      </c>
      <c r="K30" s="2954">
        <f>'Phụ lục số 4'!K30</f>
        <v>0</v>
      </c>
      <c r="L30" s="2954">
        <f>'Phụ lục số 4'!L30</f>
        <v>480</v>
      </c>
      <c r="M30" s="2954">
        <f>'Phụ lục số 4'!M30</f>
        <v>0</v>
      </c>
      <c r="N30" s="2954">
        <f>'Phụ lục số 4'!N30</f>
        <v>60000</v>
      </c>
      <c r="O30" s="2954">
        <f>'Phụ lục số 4'!O30</f>
        <v>0</v>
      </c>
      <c r="P30" s="2954">
        <f>'Phụ lục số 4'!P30</f>
        <v>0</v>
      </c>
      <c r="Q30" s="2954">
        <f>'Phụ lục số 4'!Q30</f>
        <v>0</v>
      </c>
      <c r="R30" s="2954">
        <f>'Phụ lục số 4'!R30</f>
        <v>0</v>
      </c>
      <c r="S30" s="2954">
        <f>'Phụ lục số 4'!S30</f>
        <v>54000</v>
      </c>
      <c r="T30" s="2954">
        <f>'Phụ lục số 4'!T30</f>
        <v>8913</v>
      </c>
      <c r="U30" s="2954">
        <f>'Phụ lục số 4'!U30</f>
        <v>0</v>
      </c>
      <c r="V30" s="2954">
        <f>'Phụ lục số 4'!V30</f>
        <v>0</v>
      </c>
      <c r="W30" s="2954">
        <f>'Phụ lục số 4'!W30</f>
        <v>0</v>
      </c>
      <c r="X30" s="2954">
        <f>'Phụ lục số 4'!X30</f>
        <v>0</v>
      </c>
      <c r="Y30" s="2954">
        <f>'Phụ lục số 4'!Y30</f>
        <v>0</v>
      </c>
      <c r="Z30" s="2954">
        <f>'Phụ lục số 4'!Z30</f>
        <v>0</v>
      </c>
      <c r="AA30" s="2954">
        <f>'Phụ lục số 4'!AA30</f>
        <v>0</v>
      </c>
      <c r="AB30" s="2954">
        <f t="shared" si="8"/>
        <v>65655</v>
      </c>
      <c r="AC30" s="2954">
        <f>'Phụ lục số 4'!AC30</f>
        <v>0</v>
      </c>
      <c r="AD30" s="3142">
        <f>'Phụ lục số 4'!AD30</f>
        <v>65655</v>
      </c>
      <c r="AE30" s="3153">
        <f>'Phụ lục số 4'!AE30</f>
        <v>0</v>
      </c>
    </row>
    <row r="31" spans="1:31" s="154" customFormat="1">
      <c r="A31" s="2110">
        <v>20</v>
      </c>
      <c r="B31" s="2787" t="str">
        <f>'Phụ lục số 4'!B31</f>
        <v>Thanh tra Tỉnh</v>
      </c>
      <c r="C31" s="2954">
        <f t="shared" si="5"/>
        <v>12698</v>
      </c>
      <c r="D31" s="2954">
        <f t="shared" si="6"/>
        <v>0</v>
      </c>
      <c r="E31" s="2954">
        <f>'Phụ lục số 4'!E31</f>
        <v>0</v>
      </c>
      <c r="F31" s="2954">
        <f>'Phụ lục số 4'!F31</f>
        <v>0</v>
      </c>
      <c r="G31" s="2954">
        <f>'Phụ lục số 4'!G31</f>
        <v>0</v>
      </c>
      <c r="H31" s="2954">
        <f>'Phụ lục số 4'!H31</f>
        <v>0</v>
      </c>
      <c r="I31" s="2954"/>
      <c r="J31" s="2954">
        <f t="shared" si="7"/>
        <v>12698</v>
      </c>
      <c r="K31" s="2954">
        <f>'Phụ lục số 4'!K31</f>
        <v>0</v>
      </c>
      <c r="L31" s="2954">
        <f>'Phụ lục số 4'!L31</f>
        <v>0</v>
      </c>
      <c r="M31" s="2954">
        <f>'Phụ lục số 4'!M31</f>
        <v>0</v>
      </c>
      <c r="N31" s="2954">
        <f>'Phụ lục số 4'!N31</f>
        <v>164</v>
      </c>
      <c r="O31" s="2954">
        <f>'Phụ lục số 4'!O31</f>
        <v>0</v>
      </c>
      <c r="P31" s="2954">
        <f>'Phụ lục số 4'!P31</f>
        <v>0</v>
      </c>
      <c r="Q31" s="2954">
        <f>'Phụ lục số 4'!Q31</f>
        <v>0</v>
      </c>
      <c r="R31" s="2954">
        <f>'Phụ lục số 4'!R31</f>
        <v>0</v>
      </c>
      <c r="S31" s="2954">
        <f>'Phụ lục số 4'!S31</f>
        <v>0</v>
      </c>
      <c r="T31" s="2954">
        <f>'Phụ lục số 4'!T31</f>
        <v>12534</v>
      </c>
      <c r="U31" s="2954">
        <f>'Phụ lục số 4'!U31</f>
        <v>0</v>
      </c>
      <c r="V31" s="2954">
        <f>'Phụ lục số 4'!V31</f>
        <v>0</v>
      </c>
      <c r="W31" s="2954">
        <f>'Phụ lục số 4'!W31</f>
        <v>0</v>
      </c>
      <c r="X31" s="2954">
        <f>'Phụ lục số 4'!X31</f>
        <v>0</v>
      </c>
      <c r="Y31" s="2954">
        <f>'Phụ lục số 4'!Y31</f>
        <v>0</v>
      </c>
      <c r="Z31" s="2954">
        <f>'Phụ lục số 4'!Z31</f>
        <v>0</v>
      </c>
      <c r="AA31" s="2954">
        <f>'Phụ lục số 4'!AA31</f>
        <v>0</v>
      </c>
      <c r="AB31" s="2954">
        <f t="shared" si="8"/>
        <v>0</v>
      </c>
      <c r="AC31" s="2954">
        <f>'Phụ lục số 4'!AC31</f>
        <v>0</v>
      </c>
      <c r="AD31" s="3142">
        <f>'Phụ lục số 4'!AD31</f>
        <v>0</v>
      </c>
      <c r="AE31" s="3153">
        <f>'Phụ lục số 4'!AE31</f>
        <v>0</v>
      </c>
    </row>
    <row r="32" spans="1:31" s="154" customFormat="1">
      <c r="A32" s="2110">
        <v>21</v>
      </c>
      <c r="B32" s="2787" t="str">
        <f>'Phụ lục số 4'!B32</f>
        <v>Trường Chính trị</v>
      </c>
      <c r="C32" s="2954">
        <f t="shared" si="5"/>
        <v>23281</v>
      </c>
      <c r="D32" s="2954">
        <f t="shared" si="6"/>
        <v>0</v>
      </c>
      <c r="E32" s="2954">
        <f>'Phụ lục số 4'!E32</f>
        <v>0</v>
      </c>
      <c r="F32" s="2954">
        <f>'Phụ lục số 4'!F32</f>
        <v>0</v>
      </c>
      <c r="G32" s="2954">
        <f>'Phụ lục số 4'!G32</f>
        <v>0</v>
      </c>
      <c r="H32" s="2954">
        <f>'Phụ lục số 4'!H32</f>
        <v>0</v>
      </c>
      <c r="I32" s="2954"/>
      <c r="J32" s="2954">
        <f t="shared" si="7"/>
        <v>23281</v>
      </c>
      <c r="K32" s="2954">
        <f>'Phụ lục số 4'!K32</f>
        <v>0</v>
      </c>
      <c r="L32" s="2954">
        <f>'Phụ lục số 4'!L32</f>
        <v>0</v>
      </c>
      <c r="M32" s="2954">
        <f>'Phụ lục số 4'!M32</f>
        <v>0</v>
      </c>
      <c r="N32" s="2954">
        <f>'Phụ lục số 4'!N32</f>
        <v>23281</v>
      </c>
      <c r="O32" s="2954">
        <f>'Phụ lục số 4'!O32</f>
        <v>0</v>
      </c>
      <c r="P32" s="2954">
        <f>'Phụ lục số 4'!P32</f>
        <v>0</v>
      </c>
      <c r="Q32" s="2954">
        <f>'Phụ lục số 4'!Q32</f>
        <v>0</v>
      </c>
      <c r="R32" s="2954">
        <f>'Phụ lục số 4'!R32</f>
        <v>0</v>
      </c>
      <c r="S32" s="2954">
        <f>'Phụ lục số 4'!S32</f>
        <v>0</v>
      </c>
      <c r="T32" s="2954">
        <f>'Phụ lục số 4'!T32</f>
        <v>0</v>
      </c>
      <c r="U32" s="2954">
        <f>'Phụ lục số 4'!U32</f>
        <v>0</v>
      </c>
      <c r="V32" s="2954">
        <f>'Phụ lục số 4'!V32</f>
        <v>0</v>
      </c>
      <c r="W32" s="2954">
        <f>'Phụ lục số 4'!W32</f>
        <v>0</v>
      </c>
      <c r="X32" s="2954">
        <f>'Phụ lục số 4'!X32</f>
        <v>0</v>
      </c>
      <c r="Y32" s="2954">
        <f>'Phụ lục số 4'!Y32</f>
        <v>0</v>
      </c>
      <c r="Z32" s="2954">
        <f>'Phụ lục số 4'!Z32</f>
        <v>0</v>
      </c>
      <c r="AA32" s="2954">
        <f>'Phụ lục số 4'!AA32</f>
        <v>0</v>
      </c>
      <c r="AB32" s="2954">
        <f t="shared" si="8"/>
        <v>0</v>
      </c>
      <c r="AC32" s="2954">
        <f>'Phụ lục số 4'!AC32</f>
        <v>0</v>
      </c>
      <c r="AD32" s="3142">
        <f>'Phụ lục số 4'!AD32</f>
        <v>0</v>
      </c>
      <c r="AE32" s="3153">
        <f>'Phụ lục số 4'!AE32</f>
        <v>0</v>
      </c>
    </row>
    <row r="33" spans="1:31" s="154" customFormat="1">
      <c r="A33" s="2110">
        <v>22</v>
      </c>
      <c r="B33" s="2787" t="str">
        <f>'Phụ lục số 4'!B33</f>
        <v>Trường Cao đẳng Cộng đồng</v>
      </c>
      <c r="C33" s="2954">
        <f t="shared" si="5"/>
        <v>61825</v>
      </c>
      <c r="D33" s="2954">
        <f t="shared" si="6"/>
        <v>0</v>
      </c>
      <c r="E33" s="2954">
        <f>'Phụ lục số 4'!E33</f>
        <v>0</v>
      </c>
      <c r="F33" s="2954">
        <f>'Phụ lục số 4'!F33</f>
        <v>0</v>
      </c>
      <c r="G33" s="2954">
        <f>'Phụ lục số 4'!G33</f>
        <v>0</v>
      </c>
      <c r="H33" s="2954">
        <f>'Phụ lục số 4'!H33</f>
        <v>0</v>
      </c>
      <c r="I33" s="2954"/>
      <c r="J33" s="2954">
        <f t="shared" si="7"/>
        <v>61825</v>
      </c>
      <c r="K33" s="2954">
        <f>'Phụ lục số 4'!K33</f>
        <v>0</v>
      </c>
      <c r="L33" s="2954">
        <f>'Phụ lục số 4'!L33</f>
        <v>0</v>
      </c>
      <c r="M33" s="2954">
        <f>'Phụ lục số 4'!M33</f>
        <v>0</v>
      </c>
      <c r="N33" s="2954">
        <f>'Phụ lục số 4'!N33</f>
        <v>61825</v>
      </c>
      <c r="O33" s="2954">
        <f>'Phụ lục số 4'!O33</f>
        <v>0</v>
      </c>
      <c r="P33" s="2954">
        <f>'Phụ lục số 4'!P33</f>
        <v>0</v>
      </c>
      <c r="Q33" s="2954">
        <f>'Phụ lục số 4'!Q33</f>
        <v>0</v>
      </c>
      <c r="R33" s="2954">
        <f>'Phụ lục số 4'!R33</f>
        <v>0</v>
      </c>
      <c r="S33" s="2954">
        <f>'Phụ lục số 4'!S33</f>
        <v>0</v>
      </c>
      <c r="T33" s="2954">
        <f>'Phụ lục số 4'!T33</f>
        <v>0</v>
      </c>
      <c r="U33" s="2954">
        <f>'Phụ lục số 4'!U33</f>
        <v>0</v>
      </c>
      <c r="V33" s="2954">
        <f>'Phụ lục số 4'!V33</f>
        <v>0</v>
      </c>
      <c r="W33" s="2954">
        <f>'Phụ lục số 4'!W33</f>
        <v>0</v>
      </c>
      <c r="X33" s="2954">
        <f>'Phụ lục số 4'!X33</f>
        <v>0</v>
      </c>
      <c r="Y33" s="2954">
        <f>'Phụ lục số 4'!Y33</f>
        <v>0</v>
      </c>
      <c r="Z33" s="2954">
        <f>'Phụ lục số 4'!Z33</f>
        <v>0</v>
      </c>
      <c r="AA33" s="2954">
        <f>'Phụ lục số 4'!AA33</f>
        <v>0</v>
      </c>
      <c r="AB33" s="2954">
        <f t="shared" si="8"/>
        <v>0</v>
      </c>
      <c r="AC33" s="2954">
        <f>'Phụ lục số 4'!AC33</f>
        <v>0</v>
      </c>
      <c r="AD33" s="3142">
        <f>'Phụ lục số 4'!AD33</f>
        <v>0</v>
      </c>
      <c r="AE33" s="3153">
        <f>'Phụ lục số 4'!AE33</f>
        <v>0</v>
      </c>
    </row>
    <row r="34" spans="1:31" s="154" customFormat="1">
      <c r="A34" s="2110">
        <v>23</v>
      </c>
      <c r="B34" s="2787" t="str">
        <f>'Phụ lục số 4'!B34</f>
        <v>Trường Cao đẳng Y tế</v>
      </c>
      <c r="C34" s="2954">
        <f t="shared" si="5"/>
        <v>15870</v>
      </c>
      <c r="D34" s="2954">
        <f t="shared" si="6"/>
        <v>0</v>
      </c>
      <c r="E34" s="2954">
        <f>'Phụ lục số 4'!E34</f>
        <v>0</v>
      </c>
      <c r="F34" s="2954">
        <f>'Phụ lục số 4'!F34</f>
        <v>0</v>
      </c>
      <c r="G34" s="2954">
        <f>'Phụ lục số 4'!G34</f>
        <v>0</v>
      </c>
      <c r="H34" s="2954">
        <f>'Phụ lục số 4'!H34</f>
        <v>0</v>
      </c>
      <c r="I34" s="2954"/>
      <c r="J34" s="2954">
        <f t="shared" si="7"/>
        <v>15870</v>
      </c>
      <c r="K34" s="2954">
        <f>'Phụ lục số 4'!K34</f>
        <v>0</v>
      </c>
      <c r="L34" s="2954">
        <f>'Phụ lục số 4'!L34</f>
        <v>0</v>
      </c>
      <c r="M34" s="2954">
        <f>'Phụ lục số 4'!M34</f>
        <v>0</v>
      </c>
      <c r="N34" s="2954">
        <f>'Phụ lục số 4'!N34</f>
        <v>15870</v>
      </c>
      <c r="O34" s="2954">
        <f>'Phụ lục số 4'!O34</f>
        <v>0</v>
      </c>
      <c r="P34" s="2954">
        <f>'Phụ lục số 4'!P34</f>
        <v>0</v>
      </c>
      <c r="Q34" s="2954">
        <f>'Phụ lục số 4'!Q34</f>
        <v>0</v>
      </c>
      <c r="R34" s="2954">
        <f>'Phụ lục số 4'!R34</f>
        <v>0</v>
      </c>
      <c r="S34" s="2954">
        <f>'Phụ lục số 4'!S34</f>
        <v>0</v>
      </c>
      <c r="T34" s="2954">
        <f>'Phụ lục số 4'!T34</f>
        <v>0</v>
      </c>
      <c r="U34" s="2954">
        <f>'Phụ lục số 4'!U34</f>
        <v>0</v>
      </c>
      <c r="V34" s="2954">
        <f>'Phụ lục số 4'!V34</f>
        <v>0</v>
      </c>
      <c r="W34" s="2954">
        <f>'Phụ lục số 4'!W34</f>
        <v>0</v>
      </c>
      <c r="X34" s="2954">
        <f>'Phụ lục số 4'!X34</f>
        <v>0</v>
      </c>
      <c r="Y34" s="2954">
        <f>'Phụ lục số 4'!Y34</f>
        <v>0</v>
      </c>
      <c r="Z34" s="2954">
        <f>'Phụ lục số 4'!Z34</f>
        <v>0</v>
      </c>
      <c r="AA34" s="2954">
        <f>'Phụ lục số 4'!AA34</f>
        <v>0</v>
      </c>
      <c r="AB34" s="2954">
        <f t="shared" si="8"/>
        <v>0</v>
      </c>
      <c r="AC34" s="2954">
        <f>'Phụ lục số 4'!AC34</f>
        <v>0</v>
      </c>
      <c r="AD34" s="3142">
        <f>'Phụ lục số 4'!AD34</f>
        <v>0</v>
      </c>
      <c r="AE34" s="3153">
        <f>'Phụ lục số 4'!AE34</f>
        <v>0</v>
      </c>
    </row>
    <row r="35" spans="1:31" s="154" customFormat="1">
      <c r="A35" s="2110">
        <v>24</v>
      </c>
      <c r="B35" s="2787" t="str">
        <f>'Phụ lục số 4'!B35</f>
        <v>Ban Quản lý Khu Kinh tế</v>
      </c>
      <c r="C35" s="2954">
        <f t="shared" si="5"/>
        <v>5008</v>
      </c>
      <c r="D35" s="2954">
        <f t="shared" si="6"/>
        <v>0</v>
      </c>
      <c r="E35" s="2954">
        <f>'Phụ lục số 4'!E35</f>
        <v>0</v>
      </c>
      <c r="F35" s="2954">
        <f>'Phụ lục số 4'!F35</f>
        <v>0</v>
      </c>
      <c r="G35" s="2954">
        <f>'Phụ lục số 4'!G35</f>
        <v>0</v>
      </c>
      <c r="H35" s="2954">
        <f>'Phụ lục số 4'!H35</f>
        <v>0</v>
      </c>
      <c r="I35" s="2954"/>
      <c r="J35" s="2954">
        <f t="shared" si="7"/>
        <v>5008</v>
      </c>
      <c r="K35" s="2954">
        <f>'Phụ lục số 4'!K35</f>
        <v>0</v>
      </c>
      <c r="L35" s="2954">
        <f>'Phụ lục số 4'!L35</f>
        <v>88</v>
      </c>
      <c r="M35" s="2954">
        <f>'Phụ lục số 4'!M35</f>
        <v>0</v>
      </c>
      <c r="N35" s="2954">
        <f>'Phụ lục số 4'!N35</f>
        <v>191</v>
      </c>
      <c r="O35" s="2954">
        <f>'Phụ lục số 4'!O35</f>
        <v>0</v>
      </c>
      <c r="P35" s="2954">
        <f>'Phụ lục số 4'!P35</f>
        <v>0</v>
      </c>
      <c r="Q35" s="2954">
        <f>'Phụ lục số 4'!Q35</f>
        <v>0</v>
      </c>
      <c r="R35" s="2954">
        <f>'Phụ lục số 4'!R35</f>
        <v>0</v>
      </c>
      <c r="S35" s="2954">
        <f>'Phụ lục số 4'!S35</f>
        <v>0</v>
      </c>
      <c r="T35" s="2954">
        <f>'Phụ lục số 4'!T35</f>
        <v>4729</v>
      </c>
      <c r="U35" s="2954">
        <f>'Phụ lục số 4'!U35</f>
        <v>0</v>
      </c>
      <c r="V35" s="2954">
        <f>'Phụ lục số 4'!V35</f>
        <v>0</v>
      </c>
      <c r="W35" s="2954">
        <f>'Phụ lục số 4'!W35</f>
        <v>0</v>
      </c>
      <c r="X35" s="2954">
        <f>'Phụ lục số 4'!X35</f>
        <v>0</v>
      </c>
      <c r="Y35" s="2954">
        <f>'Phụ lục số 4'!Y35</f>
        <v>0</v>
      </c>
      <c r="Z35" s="2954">
        <f>'Phụ lục số 4'!Z35</f>
        <v>0</v>
      </c>
      <c r="AA35" s="2954">
        <f>'Phụ lục số 4'!AA35</f>
        <v>0</v>
      </c>
      <c r="AB35" s="2954">
        <f t="shared" si="8"/>
        <v>0</v>
      </c>
      <c r="AC35" s="2954">
        <f>'Phụ lục số 4'!AC35</f>
        <v>0</v>
      </c>
      <c r="AD35" s="3142">
        <f>'Phụ lục số 4'!AD35</f>
        <v>0</v>
      </c>
      <c r="AE35" s="3153">
        <f>'Phụ lục số 4'!AE35</f>
        <v>0</v>
      </c>
    </row>
    <row r="36" spans="1:31" s="154" customFormat="1">
      <c r="A36" s="2110">
        <v>25</v>
      </c>
      <c r="B36" s="2787" t="str">
        <f>'Phụ lục số 4'!B36</f>
        <v xml:space="preserve">Ban An toàn Giao thông </v>
      </c>
      <c r="C36" s="2954">
        <f t="shared" si="5"/>
        <v>9306</v>
      </c>
      <c r="D36" s="2954">
        <f t="shared" si="6"/>
        <v>0</v>
      </c>
      <c r="E36" s="2954">
        <f>'Phụ lục số 4'!E36</f>
        <v>0</v>
      </c>
      <c r="F36" s="2954">
        <f>'Phụ lục số 4'!F36</f>
        <v>0</v>
      </c>
      <c r="G36" s="2954">
        <f>'Phụ lục số 4'!G36</f>
        <v>0</v>
      </c>
      <c r="H36" s="2954">
        <f>'Phụ lục số 4'!H36</f>
        <v>0</v>
      </c>
      <c r="I36" s="2954"/>
      <c r="J36" s="2954">
        <f t="shared" si="7"/>
        <v>2200</v>
      </c>
      <c r="K36" s="2954">
        <f>'Phụ lục số 4'!K36</f>
        <v>2200</v>
      </c>
      <c r="L36" s="2954">
        <f>'Phụ lục số 4'!L36</f>
        <v>0</v>
      </c>
      <c r="M36" s="2954">
        <f>'Phụ lục số 4'!M36</f>
        <v>0</v>
      </c>
      <c r="N36" s="2954">
        <f>'Phụ lục số 4'!N36</f>
        <v>0</v>
      </c>
      <c r="O36" s="2954">
        <f>'Phụ lục số 4'!O36</f>
        <v>0</v>
      </c>
      <c r="P36" s="2954">
        <f>'Phụ lục số 4'!P36</f>
        <v>0</v>
      </c>
      <c r="Q36" s="2954">
        <f>'Phụ lục số 4'!Q36</f>
        <v>0</v>
      </c>
      <c r="R36" s="2954">
        <f>'Phụ lục số 4'!R36</f>
        <v>0</v>
      </c>
      <c r="S36" s="2954">
        <f>'Phụ lục số 4'!S36</f>
        <v>0</v>
      </c>
      <c r="T36" s="2954">
        <f>'Phụ lục số 4'!T36</f>
        <v>0</v>
      </c>
      <c r="U36" s="2954">
        <f>'Phụ lục số 4'!U36</f>
        <v>0</v>
      </c>
      <c r="V36" s="2954">
        <f>'Phụ lục số 4'!V36</f>
        <v>0</v>
      </c>
      <c r="W36" s="2954">
        <f>'Phụ lục số 4'!W36</f>
        <v>0</v>
      </c>
      <c r="X36" s="2954">
        <f>'Phụ lục số 4'!X36</f>
        <v>0</v>
      </c>
      <c r="Y36" s="2954">
        <f>'Phụ lục số 4'!Y36</f>
        <v>0</v>
      </c>
      <c r="Z36" s="2954">
        <f>'Phụ lục số 4'!Z36</f>
        <v>0</v>
      </c>
      <c r="AA36" s="2954">
        <f>'Phụ lục số 4'!AA36</f>
        <v>0</v>
      </c>
      <c r="AB36" s="2954">
        <f t="shared" si="8"/>
        <v>7106</v>
      </c>
      <c r="AC36" s="2954">
        <f>'Phụ lục số 4'!AC36</f>
        <v>0</v>
      </c>
      <c r="AD36" s="3142">
        <f>'Phụ lục số 4'!AD36</f>
        <v>7106</v>
      </c>
      <c r="AE36" s="3153">
        <f>'Phụ lục số 4'!AE36</f>
        <v>0</v>
      </c>
    </row>
    <row r="37" spans="1:31" s="154" customFormat="1" ht="36">
      <c r="A37" s="2110">
        <v>26</v>
      </c>
      <c r="B37" s="2787" t="str">
        <f>'Phụ lục số 4'!B37</f>
        <v>Ban Quản lý dự án Đầu tư xây dựng Công trình nông nghiệp và Phát triển nông thôn</v>
      </c>
      <c r="C37" s="2954">
        <f t="shared" si="5"/>
        <v>90829</v>
      </c>
      <c r="D37" s="2954">
        <f t="shared" si="6"/>
        <v>0</v>
      </c>
      <c r="E37" s="2954">
        <f>'Phụ lục số 4'!E37</f>
        <v>0</v>
      </c>
      <c r="F37" s="2954">
        <f>'Phụ lục số 4'!F37</f>
        <v>0</v>
      </c>
      <c r="G37" s="2954">
        <f>'Phụ lục số 4'!G37</f>
        <v>0</v>
      </c>
      <c r="H37" s="2954">
        <f>'Phụ lục số 4'!H37</f>
        <v>0</v>
      </c>
      <c r="I37" s="2954"/>
      <c r="J37" s="2954">
        <f t="shared" si="7"/>
        <v>90829</v>
      </c>
      <c r="K37" s="2954">
        <f>'Phụ lục số 4'!K37</f>
        <v>90829</v>
      </c>
      <c r="L37" s="2954">
        <f>'Phụ lục số 4'!L37</f>
        <v>0</v>
      </c>
      <c r="M37" s="2954">
        <f>'Phụ lục số 4'!M37</f>
        <v>0</v>
      </c>
      <c r="N37" s="2954">
        <f>'Phụ lục số 4'!N37</f>
        <v>0</v>
      </c>
      <c r="O37" s="2954">
        <f>'Phụ lục số 4'!O37</f>
        <v>0</v>
      </c>
      <c r="P37" s="2954">
        <f>'Phụ lục số 4'!P37</f>
        <v>0</v>
      </c>
      <c r="Q37" s="2954">
        <f>'Phụ lục số 4'!Q37</f>
        <v>0</v>
      </c>
      <c r="R37" s="2954">
        <f>'Phụ lục số 4'!R37</f>
        <v>0</v>
      </c>
      <c r="S37" s="2954">
        <f>'Phụ lục số 4'!S37</f>
        <v>0</v>
      </c>
      <c r="T37" s="2954">
        <f>'Phụ lục số 4'!T37</f>
        <v>0</v>
      </c>
      <c r="U37" s="2954">
        <f>'Phụ lục số 4'!U37</f>
        <v>0</v>
      </c>
      <c r="V37" s="2954">
        <f>'Phụ lục số 4'!V37</f>
        <v>0</v>
      </c>
      <c r="W37" s="2954">
        <f>'Phụ lục số 4'!W37</f>
        <v>0</v>
      </c>
      <c r="X37" s="2954">
        <f>'Phụ lục số 4'!X37</f>
        <v>0</v>
      </c>
      <c r="Y37" s="2954">
        <f>'Phụ lục số 4'!Y37</f>
        <v>0</v>
      </c>
      <c r="Z37" s="2954">
        <f>'Phụ lục số 4'!Z37</f>
        <v>0</v>
      </c>
      <c r="AA37" s="2954">
        <f>'Phụ lục số 4'!AA37</f>
        <v>0</v>
      </c>
      <c r="AB37" s="2954">
        <f t="shared" si="8"/>
        <v>0</v>
      </c>
      <c r="AC37" s="2954">
        <f>'Phụ lục số 4'!AC37</f>
        <v>0</v>
      </c>
      <c r="AD37" s="3142">
        <f>'Phụ lục số 4'!AD37</f>
        <v>0</v>
      </c>
      <c r="AE37" s="3153">
        <f>'Phụ lục số 4'!AE37</f>
        <v>0</v>
      </c>
    </row>
    <row r="38" spans="1:31" s="154" customFormat="1" ht="36">
      <c r="A38" s="2110">
        <v>27</v>
      </c>
      <c r="B38" s="2787" t="str">
        <f>'Phụ lục số 4'!B38</f>
        <v>Trung tâm xúc tiến Đầu tư - Thương mại và Du lịch</v>
      </c>
      <c r="C38" s="2954">
        <f t="shared" si="5"/>
        <v>18733</v>
      </c>
      <c r="D38" s="2954">
        <f t="shared" si="6"/>
        <v>0</v>
      </c>
      <c r="E38" s="2954">
        <f>'Phụ lục số 4'!E38</f>
        <v>0</v>
      </c>
      <c r="F38" s="2954">
        <f>'Phụ lục số 4'!F38</f>
        <v>0</v>
      </c>
      <c r="G38" s="2954">
        <f>'Phụ lục số 4'!G38</f>
        <v>0</v>
      </c>
      <c r="H38" s="2954">
        <f>'Phụ lục số 4'!H38</f>
        <v>0</v>
      </c>
      <c r="I38" s="2954"/>
      <c r="J38" s="2954">
        <f t="shared" si="7"/>
        <v>18733</v>
      </c>
      <c r="K38" s="2954">
        <f>'Phụ lục số 4'!K38</f>
        <v>17233</v>
      </c>
      <c r="L38" s="2954">
        <f>'Phụ lục số 4'!L38</f>
        <v>0</v>
      </c>
      <c r="M38" s="2954">
        <f>'Phụ lục số 4'!M38</f>
        <v>0</v>
      </c>
      <c r="N38" s="2954">
        <f>'Phụ lục số 4'!N38</f>
        <v>0</v>
      </c>
      <c r="O38" s="2954">
        <f>'Phụ lục số 4'!O38</f>
        <v>0</v>
      </c>
      <c r="P38" s="2954">
        <f>'Phụ lục số 4'!P38</f>
        <v>1500</v>
      </c>
      <c r="Q38" s="2954">
        <f>'Phụ lục số 4'!Q38</f>
        <v>0</v>
      </c>
      <c r="R38" s="2954">
        <f>'Phụ lục số 4'!R38</f>
        <v>0</v>
      </c>
      <c r="S38" s="2954">
        <f>'Phụ lục số 4'!S38</f>
        <v>0</v>
      </c>
      <c r="T38" s="2954">
        <f>'Phụ lục số 4'!T38</f>
        <v>0</v>
      </c>
      <c r="U38" s="2954">
        <f>'Phụ lục số 4'!U38</f>
        <v>0</v>
      </c>
      <c r="V38" s="2954">
        <f>'Phụ lục số 4'!V38</f>
        <v>0</v>
      </c>
      <c r="W38" s="2954">
        <f>'Phụ lục số 4'!W38</f>
        <v>0</v>
      </c>
      <c r="X38" s="2954">
        <f>'Phụ lục số 4'!X38</f>
        <v>0</v>
      </c>
      <c r="Y38" s="2954">
        <f>'Phụ lục số 4'!Y38</f>
        <v>0</v>
      </c>
      <c r="Z38" s="2954">
        <f>'Phụ lục số 4'!Z38</f>
        <v>0</v>
      </c>
      <c r="AA38" s="2954">
        <f>'Phụ lục số 4'!AA38</f>
        <v>0</v>
      </c>
      <c r="AB38" s="2954">
        <f t="shared" si="8"/>
        <v>0</v>
      </c>
      <c r="AC38" s="2954">
        <f>'Phụ lục số 4'!AC38</f>
        <v>0</v>
      </c>
      <c r="AD38" s="3142">
        <f>'Phụ lục số 4'!AD38</f>
        <v>0</v>
      </c>
      <c r="AE38" s="3153">
        <f>'Phụ lục số 4'!AE38</f>
        <v>0</v>
      </c>
    </row>
    <row r="39" spans="1:31" s="154" customFormat="1">
      <c r="A39" s="2110">
        <v>28</v>
      </c>
      <c r="B39" s="2787" t="str">
        <f>'Phụ lục số 4'!B39</f>
        <v>Vườn Quốc gia Tràm chim</v>
      </c>
      <c r="C39" s="2954">
        <f t="shared" si="5"/>
        <v>27221</v>
      </c>
      <c r="D39" s="2954">
        <f t="shared" si="6"/>
        <v>0</v>
      </c>
      <c r="E39" s="2954">
        <f>'Phụ lục số 4'!E39</f>
        <v>0</v>
      </c>
      <c r="F39" s="2954">
        <f>'Phụ lục số 4'!F39</f>
        <v>0</v>
      </c>
      <c r="G39" s="2954">
        <f>'Phụ lục số 4'!G39</f>
        <v>0</v>
      </c>
      <c r="H39" s="2954">
        <f>'Phụ lục số 4'!H39</f>
        <v>0</v>
      </c>
      <c r="I39" s="2954"/>
      <c r="J39" s="2954">
        <f t="shared" si="7"/>
        <v>27221</v>
      </c>
      <c r="K39" s="2954">
        <f>'Phụ lục số 4'!K39</f>
        <v>0</v>
      </c>
      <c r="L39" s="2954">
        <f>'Phụ lục số 4'!L39</f>
        <v>27221</v>
      </c>
      <c r="M39" s="2954">
        <f>'Phụ lục số 4'!M39</f>
        <v>0</v>
      </c>
      <c r="N39" s="2954">
        <f>'Phụ lục số 4'!N39</f>
        <v>0</v>
      </c>
      <c r="O39" s="2954">
        <f>'Phụ lục số 4'!O39</f>
        <v>0</v>
      </c>
      <c r="P39" s="2954">
        <f>'Phụ lục số 4'!P39</f>
        <v>0</v>
      </c>
      <c r="Q39" s="2954">
        <f>'Phụ lục số 4'!Q39</f>
        <v>0</v>
      </c>
      <c r="R39" s="2954">
        <f>'Phụ lục số 4'!R39</f>
        <v>0</v>
      </c>
      <c r="S39" s="2954">
        <f>'Phụ lục số 4'!S39</f>
        <v>0</v>
      </c>
      <c r="T39" s="2954">
        <f>'Phụ lục số 4'!T39</f>
        <v>0</v>
      </c>
      <c r="U39" s="2954">
        <f>'Phụ lục số 4'!U39</f>
        <v>0</v>
      </c>
      <c r="V39" s="2954">
        <f>'Phụ lục số 4'!V39</f>
        <v>0</v>
      </c>
      <c r="W39" s="2954">
        <f>'Phụ lục số 4'!W39</f>
        <v>0</v>
      </c>
      <c r="X39" s="2954">
        <f>'Phụ lục số 4'!X39</f>
        <v>0</v>
      </c>
      <c r="Y39" s="2954">
        <f>'Phụ lục số 4'!Y39</f>
        <v>0</v>
      </c>
      <c r="Z39" s="2954">
        <f>'Phụ lục số 4'!Z39</f>
        <v>0</v>
      </c>
      <c r="AA39" s="2954">
        <f>'Phụ lục số 4'!AA39</f>
        <v>0</v>
      </c>
      <c r="AB39" s="2954">
        <f t="shared" si="8"/>
        <v>0</v>
      </c>
      <c r="AC39" s="2954">
        <f>'Phụ lục số 4'!AC39</f>
        <v>0</v>
      </c>
      <c r="AD39" s="3142">
        <f>'Phụ lục số 4'!AD39</f>
        <v>0</v>
      </c>
      <c r="AE39" s="3153">
        <f>'Phụ lục số 4'!AE39</f>
        <v>0</v>
      </c>
    </row>
    <row r="40" spans="1:31" s="154" customFormat="1" hidden="1">
      <c r="A40" s="2110">
        <v>29</v>
      </c>
      <c r="B40" s="2788"/>
      <c r="C40" s="2954">
        <f t="shared" si="5"/>
        <v>0</v>
      </c>
      <c r="D40" s="2954">
        <f t="shared" si="6"/>
        <v>0</v>
      </c>
      <c r="E40" s="2954">
        <f>'Phụ lục số 4'!E40</f>
        <v>0</v>
      </c>
      <c r="F40" s="2954">
        <f>'Phụ lục số 4'!F40</f>
        <v>0</v>
      </c>
      <c r="G40" s="2954">
        <f>'Phụ lục số 4'!G40</f>
        <v>0</v>
      </c>
      <c r="H40" s="2954">
        <f>'Phụ lục số 4'!H40</f>
        <v>0</v>
      </c>
      <c r="I40" s="2954"/>
      <c r="J40" s="2954">
        <f>SUM(K40:V40)</f>
        <v>0</v>
      </c>
      <c r="K40" s="2954">
        <f>'Phụ lục số 4'!K40</f>
        <v>0</v>
      </c>
      <c r="L40" s="2954">
        <f>'Phụ lục số 4'!L40</f>
        <v>0</v>
      </c>
      <c r="M40" s="2954">
        <f>'Phụ lục số 4'!M40</f>
        <v>0</v>
      </c>
      <c r="N40" s="2954">
        <f>'Phụ lục số 4'!N40</f>
        <v>0</v>
      </c>
      <c r="O40" s="2954">
        <f>'Phụ lục số 4'!O40</f>
        <v>0</v>
      </c>
      <c r="P40" s="2954">
        <f>'Phụ lục số 4'!P40</f>
        <v>0</v>
      </c>
      <c r="Q40" s="2954">
        <f>'Phụ lục số 4'!Q40</f>
        <v>0</v>
      </c>
      <c r="R40" s="2954">
        <f>'Phụ lục số 4'!R40</f>
        <v>0</v>
      </c>
      <c r="S40" s="2954">
        <f>'Phụ lục số 4'!S40</f>
        <v>0</v>
      </c>
      <c r="T40" s="2954">
        <f>'Phụ lục số 4'!T40</f>
        <v>0</v>
      </c>
      <c r="U40" s="2954">
        <f>'Phụ lục số 4'!U40</f>
        <v>0</v>
      </c>
      <c r="V40" s="2954">
        <f>'Phụ lục số 4'!V40</f>
        <v>0</v>
      </c>
      <c r="W40" s="2954">
        <f>'Phụ lục số 4'!W40</f>
        <v>0</v>
      </c>
      <c r="X40" s="2954">
        <f>'Phụ lục số 4'!X40</f>
        <v>0</v>
      </c>
      <c r="Y40" s="2954">
        <f>'Phụ lục số 4'!Y40</f>
        <v>0</v>
      </c>
      <c r="Z40" s="2954">
        <f>'Phụ lục số 4'!Z40</f>
        <v>0</v>
      </c>
      <c r="AA40" s="2954">
        <f>'Phụ lục số 4'!AA40</f>
        <v>0</v>
      </c>
      <c r="AB40" s="2954">
        <f>SUM(AC40:AD40)</f>
        <v>0</v>
      </c>
      <c r="AC40" s="2954">
        <f>'Phụ lục số 4'!AC40</f>
        <v>0</v>
      </c>
      <c r="AD40" s="3142">
        <f>'Phụ lục số 4'!AD40</f>
        <v>0</v>
      </c>
      <c r="AE40" s="3153">
        <f>'Phụ lục số 4'!AE40</f>
        <v>0</v>
      </c>
    </row>
    <row r="41" spans="1:31" s="154" customFormat="1" ht="34.799999999999997">
      <c r="A41" s="2924" t="s">
        <v>20</v>
      </c>
      <c r="B41" s="3565" t="str">
        <f>'Phụ lục số 4'!B41</f>
        <v>CÁC TỔ CHỨC CHÍNH TRỊ - XÃ HỘI; XÃ HỘI NGHỀ NGHIỆP</v>
      </c>
      <c r="C41" s="3566">
        <f>SUM(C42,C48)</f>
        <v>68556</v>
      </c>
      <c r="D41" s="3566">
        <f t="shared" ref="D41:H41" si="9">SUM(D42,D48)</f>
        <v>0</v>
      </c>
      <c r="E41" s="3566">
        <f t="shared" si="9"/>
        <v>0</v>
      </c>
      <c r="F41" s="3566">
        <f t="shared" si="9"/>
        <v>0</v>
      </c>
      <c r="G41" s="3566">
        <f t="shared" si="9"/>
        <v>0</v>
      </c>
      <c r="H41" s="3566">
        <f t="shared" si="9"/>
        <v>0</v>
      </c>
      <c r="I41" s="3566"/>
      <c r="J41" s="3566">
        <f>SUM(J42,J48)</f>
        <v>68556</v>
      </c>
      <c r="K41" s="3566">
        <f>SUM(K42,K48)</f>
        <v>10310</v>
      </c>
      <c r="L41" s="3566">
        <f t="shared" ref="L41:AE41" si="10">SUM(L42,L48)</f>
        <v>192</v>
      </c>
      <c r="M41" s="3566">
        <f t="shared" si="10"/>
        <v>1160</v>
      </c>
      <c r="N41" s="3566">
        <f t="shared" si="10"/>
        <v>5267</v>
      </c>
      <c r="O41" s="3566">
        <f t="shared" si="10"/>
        <v>100</v>
      </c>
      <c r="P41" s="3566">
        <f t="shared" si="10"/>
        <v>0</v>
      </c>
      <c r="Q41" s="3566">
        <f t="shared" si="10"/>
        <v>477</v>
      </c>
      <c r="R41" s="3566">
        <f t="shared" si="10"/>
        <v>0</v>
      </c>
      <c r="S41" s="3566">
        <f t="shared" si="10"/>
        <v>0</v>
      </c>
      <c r="T41" s="3566">
        <f t="shared" si="10"/>
        <v>51050</v>
      </c>
      <c r="U41" s="3566">
        <f t="shared" si="10"/>
        <v>0</v>
      </c>
      <c r="V41" s="3566">
        <f t="shared" si="10"/>
        <v>0</v>
      </c>
      <c r="W41" s="3566"/>
      <c r="X41" s="3566"/>
      <c r="Y41" s="3566"/>
      <c r="Z41" s="3566"/>
      <c r="AA41" s="3566"/>
      <c r="AB41" s="3566">
        <f t="shared" si="10"/>
        <v>0</v>
      </c>
      <c r="AC41" s="3566">
        <f t="shared" si="10"/>
        <v>0</v>
      </c>
      <c r="AD41" s="3567">
        <f t="shared" si="10"/>
        <v>0</v>
      </c>
      <c r="AE41" s="3154">
        <f t="shared" si="10"/>
        <v>0</v>
      </c>
    </row>
    <row r="42" spans="1:31" s="154" customFormat="1">
      <c r="A42" s="2109" t="s">
        <v>1466</v>
      </c>
      <c r="B42" s="2788" t="str">
        <f>'Phụ lục số 4'!B42</f>
        <v>Khối đoàn thể</v>
      </c>
      <c r="C42" s="2956">
        <f>SUM(C43:C47)</f>
        <v>46462</v>
      </c>
      <c r="D42" s="2956">
        <f t="shared" ref="D42:H42" si="11">SUM(D43:D47)</f>
        <v>0</v>
      </c>
      <c r="E42" s="2956">
        <f t="shared" si="11"/>
        <v>0</v>
      </c>
      <c r="F42" s="2956">
        <f t="shared" si="11"/>
        <v>0</v>
      </c>
      <c r="G42" s="2956">
        <f t="shared" si="11"/>
        <v>0</v>
      </c>
      <c r="H42" s="2956">
        <f t="shared" si="11"/>
        <v>0</v>
      </c>
      <c r="I42" s="2956"/>
      <c r="J42" s="2956">
        <f t="shared" ref="J42:AE42" si="12">SUM(J43:J47)</f>
        <v>46462</v>
      </c>
      <c r="K42" s="2956">
        <f t="shared" si="12"/>
        <v>10310</v>
      </c>
      <c r="L42" s="2956">
        <f t="shared" si="12"/>
        <v>132</v>
      </c>
      <c r="M42" s="2956">
        <f t="shared" si="12"/>
        <v>450</v>
      </c>
      <c r="N42" s="2956">
        <f t="shared" si="12"/>
        <v>2852</v>
      </c>
      <c r="O42" s="2956">
        <f t="shared" si="12"/>
        <v>0</v>
      </c>
      <c r="P42" s="2956">
        <f t="shared" si="12"/>
        <v>0</v>
      </c>
      <c r="Q42" s="2956">
        <f t="shared" si="12"/>
        <v>0</v>
      </c>
      <c r="R42" s="2956">
        <f t="shared" si="12"/>
        <v>0</v>
      </c>
      <c r="S42" s="2956">
        <f t="shared" si="12"/>
        <v>0</v>
      </c>
      <c r="T42" s="2956">
        <f t="shared" si="12"/>
        <v>32718</v>
      </c>
      <c r="U42" s="2956">
        <f t="shared" si="12"/>
        <v>0</v>
      </c>
      <c r="V42" s="2956">
        <f t="shared" si="12"/>
        <v>0</v>
      </c>
      <c r="W42" s="2956"/>
      <c r="X42" s="2956"/>
      <c r="Y42" s="2956"/>
      <c r="Z42" s="2956"/>
      <c r="AA42" s="2956"/>
      <c r="AB42" s="2956">
        <f t="shared" si="12"/>
        <v>0</v>
      </c>
      <c r="AC42" s="2956">
        <f t="shared" si="12"/>
        <v>0</v>
      </c>
      <c r="AD42" s="3143">
        <f t="shared" si="12"/>
        <v>0</v>
      </c>
      <c r="AE42" s="3154">
        <f t="shared" si="12"/>
        <v>0</v>
      </c>
    </row>
    <row r="43" spans="1:31" s="154" customFormat="1">
      <c r="A43" s="2110">
        <f>A39+1</f>
        <v>29</v>
      </c>
      <c r="B43" s="2787" t="str">
        <f>'Phụ lục số 4'!B43</f>
        <v>Ủy ban Mặt trận tổ quốc Tỉnh</v>
      </c>
      <c r="C43" s="2954">
        <f>D43+J43+AB43+W43+X43+AA43</f>
        <v>12640</v>
      </c>
      <c r="D43" s="2954">
        <f>SUM(E43:H43)</f>
        <v>0</v>
      </c>
      <c r="E43" s="2954">
        <f>'Phụ lục số 4'!E43</f>
        <v>0</v>
      </c>
      <c r="F43" s="2954">
        <f>'Phụ lục số 4'!F43</f>
        <v>0</v>
      </c>
      <c r="G43" s="2954">
        <f>'Phụ lục số 4'!G43</f>
        <v>0</v>
      </c>
      <c r="H43" s="2954">
        <f>'Phụ lục số 4'!H43</f>
        <v>0</v>
      </c>
      <c r="I43" s="2954"/>
      <c r="J43" s="2954">
        <f>SUM(K43:V43)</f>
        <v>12640</v>
      </c>
      <c r="K43" s="2954">
        <f>'Phụ lục số 4'!K43</f>
        <v>0</v>
      </c>
      <c r="L43" s="2954">
        <f>'Phụ lục số 4'!L43</f>
        <v>41</v>
      </c>
      <c r="M43" s="2954">
        <f>'Phụ lục số 4'!M43</f>
        <v>175</v>
      </c>
      <c r="N43" s="2954">
        <f>'Phụ lục số 4'!N43</f>
        <v>496</v>
      </c>
      <c r="O43" s="2954">
        <f>'Phụ lục số 4'!O43</f>
        <v>0</v>
      </c>
      <c r="P43" s="2954">
        <f>'Phụ lục số 4'!P43</f>
        <v>0</v>
      </c>
      <c r="Q43" s="2954">
        <f>'Phụ lục số 4'!Q43</f>
        <v>0</v>
      </c>
      <c r="R43" s="2954">
        <f>'Phụ lục số 4'!R43</f>
        <v>0</v>
      </c>
      <c r="S43" s="2954">
        <f>'Phụ lục số 4'!S43</f>
        <v>0</v>
      </c>
      <c r="T43" s="2954">
        <f>'Phụ lục số 4'!T43</f>
        <v>11928</v>
      </c>
      <c r="U43" s="2954">
        <f>'Phụ lục số 4'!U43</f>
        <v>0</v>
      </c>
      <c r="V43" s="2954">
        <f>'Phụ lục số 4'!V43</f>
        <v>0</v>
      </c>
      <c r="W43" s="2954">
        <f>'Phụ lục số 4'!W43</f>
        <v>0</v>
      </c>
      <c r="X43" s="2954">
        <f>'Phụ lục số 4'!X43</f>
        <v>0</v>
      </c>
      <c r="Y43" s="2954">
        <f>'Phụ lục số 4'!Y43</f>
        <v>0</v>
      </c>
      <c r="Z43" s="2954">
        <f>'Phụ lục số 4'!Z43</f>
        <v>0</v>
      </c>
      <c r="AA43" s="2954">
        <f>'Phụ lục số 4'!AA43</f>
        <v>0</v>
      </c>
      <c r="AB43" s="2954">
        <f>SUM(AC43:AD43)</f>
        <v>0</v>
      </c>
      <c r="AC43" s="2954">
        <f>'Phụ lục số 4'!AC43</f>
        <v>0</v>
      </c>
      <c r="AD43" s="3142">
        <f>'Phụ lục số 4'!AD43</f>
        <v>0</v>
      </c>
      <c r="AE43" s="3153">
        <f>'Phụ lục số 4'!AE43</f>
        <v>0</v>
      </c>
    </row>
    <row r="44" spans="1:31" s="154" customFormat="1">
      <c r="A44" s="2110">
        <f>A43+1</f>
        <v>30</v>
      </c>
      <c r="B44" s="2787" t="str">
        <f>'Phụ lục số 4'!B44</f>
        <v>Tỉnh đoàn</v>
      </c>
      <c r="C44" s="2954">
        <f>D44+J44+AB44+W44+X44+AA44</f>
        <v>8603.5</v>
      </c>
      <c r="D44" s="2954">
        <f>SUM(E44:H44)</f>
        <v>0</v>
      </c>
      <c r="E44" s="2954">
        <f>'Phụ lục số 4'!E44</f>
        <v>0</v>
      </c>
      <c r="F44" s="2954">
        <f>'Phụ lục số 4'!F44</f>
        <v>0</v>
      </c>
      <c r="G44" s="2954">
        <f>'Phụ lục số 4'!G44</f>
        <v>0</v>
      </c>
      <c r="H44" s="2954">
        <f>'Phụ lục số 4'!H44</f>
        <v>0</v>
      </c>
      <c r="I44" s="2954"/>
      <c r="J44" s="2954">
        <f t="shared" ref="J44:J118" si="13">SUM(K44:V44)</f>
        <v>8603.5</v>
      </c>
      <c r="K44" s="2954">
        <f>'Phụ lục số 4'!K44</f>
        <v>310</v>
      </c>
      <c r="L44" s="2954">
        <f>'Phụ lục số 4'!L44</f>
        <v>21</v>
      </c>
      <c r="M44" s="2954">
        <f>'Phụ lục số 4'!M44</f>
        <v>100</v>
      </c>
      <c r="N44" s="2954">
        <f>'Phụ lục số 4'!N44</f>
        <v>493</v>
      </c>
      <c r="O44" s="2954">
        <f>'Phụ lục số 4'!O44</f>
        <v>0</v>
      </c>
      <c r="P44" s="2954">
        <f>'Phụ lục số 4'!P44</f>
        <v>0</v>
      </c>
      <c r="Q44" s="2954">
        <f>'Phụ lục số 4'!Q44</f>
        <v>0</v>
      </c>
      <c r="R44" s="2954">
        <f>'Phụ lục số 4'!R44</f>
        <v>0</v>
      </c>
      <c r="S44" s="2954">
        <f>'Phụ lục số 4'!S44</f>
        <v>0</v>
      </c>
      <c r="T44" s="2954">
        <f>'Phụ lục số 4'!T44</f>
        <v>7679.5</v>
      </c>
      <c r="U44" s="2954">
        <f>'Phụ lục số 4'!U44</f>
        <v>0</v>
      </c>
      <c r="V44" s="2954">
        <f>'Phụ lục số 4'!V44</f>
        <v>0</v>
      </c>
      <c r="W44" s="2954">
        <f>'Phụ lục số 4'!W44</f>
        <v>0</v>
      </c>
      <c r="X44" s="2954">
        <f>'Phụ lục số 4'!X44</f>
        <v>0</v>
      </c>
      <c r="Y44" s="2954">
        <f>'Phụ lục số 4'!Y44</f>
        <v>0</v>
      </c>
      <c r="Z44" s="2954">
        <f>'Phụ lục số 4'!Z44</f>
        <v>0</v>
      </c>
      <c r="AA44" s="2954">
        <f>'Phụ lục số 4'!AA44</f>
        <v>0</v>
      </c>
      <c r="AB44" s="2954">
        <f>SUM(AC44:AD44)</f>
        <v>0</v>
      </c>
      <c r="AC44" s="2954">
        <f>'Phụ lục số 4'!AC44</f>
        <v>0</v>
      </c>
      <c r="AD44" s="3142">
        <f>'Phụ lục số 4'!AD44</f>
        <v>0</v>
      </c>
      <c r="AE44" s="3153">
        <f>'Phụ lục số 4'!AE44</f>
        <v>0</v>
      </c>
    </row>
    <row r="45" spans="1:31" s="154" customFormat="1">
      <c r="A45" s="2110">
        <f>A44+1</f>
        <v>31</v>
      </c>
      <c r="B45" s="2787" t="str">
        <f>'Phụ lục số 4'!B45</f>
        <v>Hội Liên hiệp Phụ nữ</v>
      </c>
      <c r="C45" s="2954">
        <f>D45+J45+AB45+W45+X45+AA45</f>
        <v>6448</v>
      </c>
      <c r="D45" s="2954">
        <f>SUM(E45:H45)</f>
        <v>0</v>
      </c>
      <c r="E45" s="2954">
        <f>'Phụ lục số 4'!E45</f>
        <v>0</v>
      </c>
      <c r="F45" s="2954">
        <f>'Phụ lục số 4'!F45</f>
        <v>0</v>
      </c>
      <c r="G45" s="2954">
        <f>'Phụ lục số 4'!G45</f>
        <v>0</v>
      </c>
      <c r="H45" s="2954">
        <f>'Phụ lục số 4'!H45</f>
        <v>0</v>
      </c>
      <c r="I45" s="2954"/>
      <c r="J45" s="2954">
        <f t="shared" si="13"/>
        <v>6448</v>
      </c>
      <c r="K45" s="2954">
        <f>'Phụ lục số 4'!K45</f>
        <v>0</v>
      </c>
      <c r="L45" s="2954">
        <f>'Phụ lục số 4'!L45</f>
        <v>70</v>
      </c>
      <c r="M45" s="2954">
        <f>'Phụ lục số 4'!M45</f>
        <v>0</v>
      </c>
      <c r="N45" s="2954">
        <f>'Phụ lục số 4'!N45</f>
        <v>1100</v>
      </c>
      <c r="O45" s="2954">
        <f>'Phụ lục số 4'!O45</f>
        <v>0</v>
      </c>
      <c r="P45" s="2954">
        <f>'Phụ lục số 4'!P45</f>
        <v>0</v>
      </c>
      <c r="Q45" s="2954">
        <f>'Phụ lục số 4'!Q45</f>
        <v>0</v>
      </c>
      <c r="R45" s="2954">
        <f>'Phụ lục số 4'!R45</f>
        <v>0</v>
      </c>
      <c r="S45" s="2954">
        <f>'Phụ lục số 4'!S45</f>
        <v>0</v>
      </c>
      <c r="T45" s="2954">
        <f>'Phụ lục số 4'!T45</f>
        <v>5278</v>
      </c>
      <c r="U45" s="2954">
        <f>'Phụ lục số 4'!U45</f>
        <v>0</v>
      </c>
      <c r="V45" s="2954">
        <f>'Phụ lục số 4'!V45</f>
        <v>0</v>
      </c>
      <c r="W45" s="2954">
        <f>'Phụ lục số 4'!W45</f>
        <v>0</v>
      </c>
      <c r="X45" s="2954">
        <f>'Phụ lục số 4'!X45</f>
        <v>0</v>
      </c>
      <c r="Y45" s="2954">
        <f>'Phụ lục số 4'!Y45</f>
        <v>0</v>
      </c>
      <c r="Z45" s="2954">
        <f>'Phụ lục số 4'!Z45</f>
        <v>0</v>
      </c>
      <c r="AA45" s="2954">
        <f>'Phụ lục số 4'!AA45</f>
        <v>0</v>
      </c>
      <c r="AB45" s="2954">
        <f>SUM(AC45:AD45)</f>
        <v>0</v>
      </c>
      <c r="AC45" s="2954">
        <f>'Phụ lục số 4'!AC45</f>
        <v>0</v>
      </c>
      <c r="AD45" s="3142">
        <f>'Phụ lục số 4'!AD45</f>
        <v>0</v>
      </c>
      <c r="AE45" s="3153">
        <f>'Phụ lục số 4'!AE45</f>
        <v>0</v>
      </c>
    </row>
    <row r="46" spans="1:31" s="154" customFormat="1">
      <c r="A46" s="2110">
        <f>A45+1</f>
        <v>32</v>
      </c>
      <c r="B46" s="2787" t="str">
        <f>'Phụ lục số 4'!B46</f>
        <v>Hội Nông dân</v>
      </c>
      <c r="C46" s="2954">
        <f>D46+J46+AB46+W46+X46+AA46</f>
        <v>15292.5</v>
      </c>
      <c r="D46" s="2954">
        <f>SUM(E46:H46)</f>
        <v>0</v>
      </c>
      <c r="E46" s="2954">
        <f>'Phụ lục số 4'!E46</f>
        <v>0</v>
      </c>
      <c r="F46" s="2954">
        <f>'Phụ lục số 4'!F46</f>
        <v>0</v>
      </c>
      <c r="G46" s="2954">
        <f>'Phụ lục số 4'!G46</f>
        <v>0</v>
      </c>
      <c r="H46" s="2954">
        <f>'Phụ lục số 4'!H46</f>
        <v>0</v>
      </c>
      <c r="I46" s="2954"/>
      <c r="J46" s="2954">
        <f t="shared" si="13"/>
        <v>15292.5</v>
      </c>
      <c r="K46" s="2954">
        <f>'Phụ lục số 4'!K46</f>
        <v>10000</v>
      </c>
      <c r="L46" s="2954">
        <f>'Phụ lục số 4'!L46</f>
        <v>0</v>
      </c>
      <c r="M46" s="2954">
        <f>'Phụ lục số 4'!M46</f>
        <v>75</v>
      </c>
      <c r="N46" s="2954">
        <f>'Phụ lục số 4'!N46</f>
        <v>500</v>
      </c>
      <c r="O46" s="2954">
        <f>'Phụ lục số 4'!O46</f>
        <v>0</v>
      </c>
      <c r="P46" s="2954">
        <f>'Phụ lục số 4'!P46</f>
        <v>0</v>
      </c>
      <c r="Q46" s="2954">
        <f>'Phụ lục số 4'!Q46</f>
        <v>0</v>
      </c>
      <c r="R46" s="2954">
        <f>'Phụ lục số 4'!R46</f>
        <v>0</v>
      </c>
      <c r="S46" s="2954">
        <f>'Phụ lục số 4'!S46</f>
        <v>0</v>
      </c>
      <c r="T46" s="2954">
        <f>'Phụ lục số 4'!T46</f>
        <v>4717.5</v>
      </c>
      <c r="U46" s="2954">
        <f>'Phụ lục số 4'!U46</f>
        <v>0</v>
      </c>
      <c r="V46" s="2954">
        <f>'Phụ lục số 4'!V46</f>
        <v>0</v>
      </c>
      <c r="W46" s="2954">
        <f>'Phụ lục số 4'!W46</f>
        <v>0</v>
      </c>
      <c r="X46" s="2954">
        <f>'Phụ lục số 4'!X46</f>
        <v>0</v>
      </c>
      <c r="Y46" s="2954">
        <f>'Phụ lục số 4'!Y46</f>
        <v>0</v>
      </c>
      <c r="Z46" s="2954">
        <f>'Phụ lục số 4'!Z46</f>
        <v>0</v>
      </c>
      <c r="AA46" s="2954">
        <f>'Phụ lục số 4'!AA46</f>
        <v>0</v>
      </c>
      <c r="AB46" s="2954">
        <f>SUM(AC46:AD46)</f>
        <v>0</v>
      </c>
      <c r="AC46" s="2954">
        <f>'Phụ lục số 4'!AC46</f>
        <v>0</v>
      </c>
      <c r="AD46" s="3142">
        <f>'Phụ lục số 4'!AD46</f>
        <v>0</v>
      </c>
      <c r="AE46" s="3153">
        <f>'Phụ lục số 4'!AE46</f>
        <v>0</v>
      </c>
    </row>
    <row r="47" spans="1:31" s="154" customFormat="1">
      <c r="A47" s="2110">
        <f>A46+1</f>
        <v>33</v>
      </c>
      <c r="B47" s="2787" t="str">
        <f>'Phụ lục số 4'!B47</f>
        <v>Hội Cựu Chiến binh</v>
      </c>
      <c r="C47" s="2954">
        <f>D47+J47+AB47+W47+X47+AA47</f>
        <v>3478</v>
      </c>
      <c r="D47" s="2954">
        <f>SUM(E47:H47)</f>
        <v>0</v>
      </c>
      <c r="E47" s="2954">
        <f>'Phụ lục số 4'!E47</f>
        <v>0</v>
      </c>
      <c r="F47" s="2954">
        <f>'Phụ lục số 4'!F47</f>
        <v>0</v>
      </c>
      <c r="G47" s="2954">
        <f>'Phụ lục số 4'!G47</f>
        <v>0</v>
      </c>
      <c r="H47" s="2954">
        <f>'Phụ lục số 4'!H47</f>
        <v>0</v>
      </c>
      <c r="I47" s="2954"/>
      <c r="J47" s="2954">
        <f t="shared" si="13"/>
        <v>3478</v>
      </c>
      <c r="K47" s="2954">
        <f>'Phụ lục số 4'!K47</f>
        <v>0</v>
      </c>
      <c r="L47" s="2954">
        <f>'Phụ lục số 4'!L47</f>
        <v>0</v>
      </c>
      <c r="M47" s="2954">
        <f>'Phụ lục số 4'!M47</f>
        <v>100</v>
      </c>
      <c r="N47" s="2954">
        <f>'Phụ lục số 4'!N47</f>
        <v>263</v>
      </c>
      <c r="O47" s="2954">
        <f>'Phụ lục số 4'!O47</f>
        <v>0</v>
      </c>
      <c r="P47" s="2954">
        <f>'Phụ lục số 4'!P47</f>
        <v>0</v>
      </c>
      <c r="Q47" s="2954">
        <f>'Phụ lục số 4'!Q47</f>
        <v>0</v>
      </c>
      <c r="R47" s="2954">
        <f>'Phụ lục số 4'!R47</f>
        <v>0</v>
      </c>
      <c r="S47" s="2954">
        <f>'Phụ lục số 4'!S47</f>
        <v>0</v>
      </c>
      <c r="T47" s="2954">
        <f>'Phụ lục số 4'!T47</f>
        <v>3115</v>
      </c>
      <c r="U47" s="2954">
        <f>'Phụ lục số 4'!U47</f>
        <v>0</v>
      </c>
      <c r="V47" s="2954">
        <f>'Phụ lục số 4'!V47</f>
        <v>0</v>
      </c>
      <c r="W47" s="2954">
        <f>'Phụ lục số 4'!W47</f>
        <v>0</v>
      </c>
      <c r="X47" s="2954">
        <f>'Phụ lục số 4'!X47</f>
        <v>0</v>
      </c>
      <c r="Y47" s="2954">
        <f>'Phụ lục số 4'!Y47</f>
        <v>0</v>
      </c>
      <c r="Z47" s="2954">
        <f>'Phụ lục số 4'!Z47</f>
        <v>0</v>
      </c>
      <c r="AA47" s="2954">
        <f>'Phụ lục số 4'!AA47</f>
        <v>0</v>
      </c>
      <c r="AB47" s="2954">
        <f>SUM(AC47:AD47)</f>
        <v>0</v>
      </c>
      <c r="AC47" s="2954">
        <f>'Phụ lục số 4'!AC47</f>
        <v>0</v>
      </c>
      <c r="AD47" s="3142">
        <f>'Phụ lục số 4'!AD47</f>
        <v>0</v>
      </c>
      <c r="AE47" s="3153">
        <f>'Phụ lục số 4'!AE47</f>
        <v>0</v>
      </c>
    </row>
    <row r="48" spans="1:31" s="1319" customFormat="1" ht="34.799999999999997">
      <c r="A48" s="2109" t="s">
        <v>1473</v>
      </c>
      <c r="B48" s="2788" t="str">
        <f>'Phụ lục số 4'!B48</f>
        <v>Các tổ chức, các hội được nhà nước giao biên chế</v>
      </c>
      <c r="C48" s="2956">
        <f>SUM(C49:C55)</f>
        <v>22094</v>
      </c>
      <c r="D48" s="2956">
        <f t="shared" ref="D48:AE48" si="14">SUM(D49:D55)</f>
        <v>0</v>
      </c>
      <c r="E48" s="2956">
        <f t="shared" si="14"/>
        <v>0</v>
      </c>
      <c r="F48" s="2956">
        <f t="shared" si="14"/>
        <v>0</v>
      </c>
      <c r="G48" s="2956">
        <f t="shared" si="14"/>
        <v>0</v>
      </c>
      <c r="H48" s="2956">
        <f t="shared" si="14"/>
        <v>0</v>
      </c>
      <c r="I48" s="2956"/>
      <c r="J48" s="2956">
        <f t="shared" si="14"/>
        <v>22094</v>
      </c>
      <c r="K48" s="2956">
        <f t="shared" si="14"/>
        <v>0</v>
      </c>
      <c r="L48" s="2956">
        <f t="shared" si="14"/>
        <v>60</v>
      </c>
      <c r="M48" s="2956">
        <f t="shared" si="14"/>
        <v>710</v>
      </c>
      <c r="N48" s="2956">
        <f t="shared" si="14"/>
        <v>2415</v>
      </c>
      <c r="O48" s="2956">
        <f t="shared" si="14"/>
        <v>100</v>
      </c>
      <c r="P48" s="2956">
        <f t="shared" si="14"/>
        <v>0</v>
      </c>
      <c r="Q48" s="2956">
        <f t="shared" si="14"/>
        <v>477</v>
      </c>
      <c r="R48" s="2956">
        <f t="shared" si="14"/>
        <v>0</v>
      </c>
      <c r="S48" s="2956">
        <f t="shared" si="14"/>
        <v>0</v>
      </c>
      <c r="T48" s="2956">
        <f t="shared" si="14"/>
        <v>18332</v>
      </c>
      <c r="U48" s="2956">
        <f t="shared" si="14"/>
        <v>0</v>
      </c>
      <c r="V48" s="2956">
        <f t="shared" si="14"/>
        <v>0</v>
      </c>
      <c r="W48" s="2956"/>
      <c r="X48" s="2956"/>
      <c r="Y48" s="2956"/>
      <c r="Z48" s="2956"/>
      <c r="AA48" s="2956"/>
      <c r="AB48" s="2956">
        <f t="shared" si="14"/>
        <v>0</v>
      </c>
      <c r="AC48" s="2956">
        <f t="shared" si="14"/>
        <v>0</v>
      </c>
      <c r="AD48" s="3143">
        <f t="shared" si="14"/>
        <v>0</v>
      </c>
      <c r="AE48" s="3154">
        <f t="shared" si="14"/>
        <v>0</v>
      </c>
    </row>
    <row r="49" spans="1:31" s="154" customFormat="1">
      <c r="A49" s="2931">
        <v>35</v>
      </c>
      <c r="B49" s="2787" t="str">
        <f>'Phụ lục số 4'!B49</f>
        <v>Liên minh hợp tác xã</v>
      </c>
      <c r="C49" s="2954">
        <f t="shared" ref="C49:C55" si="15">D49+J49+AB49+W49+X49+AA49</f>
        <v>3593</v>
      </c>
      <c r="D49" s="2954">
        <f t="shared" ref="D49:D55" si="16">SUM(E49:H49)</f>
        <v>0</v>
      </c>
      <c r="E49" s="2954">
        <f>'Phụ lục số 4'!E49</f>
        <v>0</v>
      </c>
      <c r="F49" s="2954">
        <f>'Phụ lục số 4'!F49</f>
        <v>0</v>
      </c>
      <c r="G49" s="2954">
        <f>'Phụ lục số 4'!G49</f>
        <v>0</v>
      </c>
      <c r="H49" s="2954">
        <f>'Phụ lục số 4'!H49</f>
        <v>0</v>
      </c>
      <c r="I49" s="2954"/>
      <c r="J49" s="2954">
        <f t="shared" si="13"/>
        <v>3593</v>
      </c>
      <c r="K49" s="2954">
        <f>'Phụ lục số 4'!K49</f>
        <v>0</v>
      </c>
      <c r="L49" s="2954">
        <f>'Phụ lục số 4'!L49</f>
        <v>0</v>
      </c>
      <c r="M49" s="2954">
        <f>'Phụ lục số 4'!M49</f>
        <v>0</v>
      </c>
      <c r="N49" s="2954">
        <f>'Phụ lục số 4'!N49</f>
        <v>1240</v>
      </c>
      <c r="O49" s="2954">
        <f>'Phụ lục số 4'!O49</f>
        <v>0</v>
      </c>
      <c r="P49" s="2954">
        <f>'Phụ lục số 4'!P49</f>
        <v>0</v>
      </c>
      <c r="Q49" s="2954">
        <f>'Phụ lục số 4'!Q49</f>
        <v>50</v>
      </c>
      <c r="R49" s="2954">
        <f>'Phụ lục số 4'!R49</f>
        <v>0</v>
      </c>
      <c r="S49" s="2954">
        <f>'Phụ lục số 4'!S49</f>
        <v>0</v>
      </c>
      <c r="T49" s="2954">
        <f>'Phụ lục số 4'!T49</f>
        <v>2303</v>
      </c>
      <c r="U49" s="2954">
        <f>'Phụ lục số 4'!U49</f>
        <v>0</v>
      </c>
      <c r="V49" s="2954">
        <f>'Phụ lục số 4'!V49</f>
        <v>0</v>
      </c>
      <c r="W49" s="2954">
        <f>'Phụ lục số 4'!W49</f>
        <v>0</v>
      </c>
      <c r="X49" s="2954">
        <f>'Phụ lục số 4'!X49</f>
        <v>0</v>
      </c>
      <c r="Y49" s="2954">
        <f>'Phụ lục số 4'!Y49</f>
        <v>0</v>
      </c>
      <c r="Z49" s="2954">
        <f>'Phụ lục số 4'!Z49</f>
        <v>0</v>
      </c>
      <c r="AA49" s="2954">
        <f>'Phụ lục số 4'!AA49</f>
        <v>0</v>
      </c>
      <c r="AB49" s="2954">
        <f>SUM(AC49:AD49)</f>
        <v>0</v>
      </c>
      <c r="AC49" s="2954">
        <f>'Phụ lục số 4'!AC49</f>
        <v>0</v>
      </c>
      <c r="AD49" s="3142">
        <f>'Phụ lục số 4'!AD49</f>
        <v>0</v>
      </c>
      <c r="AE49" s="3153">
        <f>'Phụ lục số 4'!AE49</f>
        <v>0</v>
      </c>
    </row>
    <row r="50" spans="1:31" s="154" customFormat="1">
      <c r="A50" s="2931">
        <v>36</v>
      </c>
      <c r="B50" s="2787" t="str">
        <f>'Phụ lục số 4'!B50</f>
        <v>Liên hiệp các Hội khoa học Kỹ thuật</v>
      </c>
      <c r="C50" s="2954">
        <f t="shared" si="15"/>
        <v>3298</v>
      </c>
      <c r="D50" s="2954">
        <f t="shared" si="16"/>
        <v>0</v>
      </c>
      <c r="E50" s="2954">
        <f>'Phụ lục số 4'!E50</f>
        <v>0</v>
      </c>
      <c r="F50" s="2954">
        <f>'Phụ lục số 4'!F50</f>
        <v>0</v>
      </c>
      <c r="G50" s="2954">
        <f>'Phụ lục số 4'!G50</f>
        <v>0</v>
      </c>
      <c r="H50" s="2954">
        <f>'Phụ lục số 4'!H50</f>
        <v>0</v>
      </c>
      <c r="I50" s="2954"/>
      <c r="J50" s="2954">
        <f t="shared" si="13"/>
        <v>3298</v>
      </c>
      <c r="K50" s="2954">
        <f>'Phụ lục số 4'!K50</f>
        <v>0</v>
      </c>
      <c r="L50" s="2954">
        <f>'Phụ lục số 4'!L50</f>
        <v>60</v>
      </c>
      <c r="M50" s="2954">
        <f>'Phụ lục số 4'!M50</f>
        <v>710</v>
      </c>
      <c r="N50" s="2954">
        <f>'Phụ lục số 4'!N50</f>
        <v>93</v>
      </c>
      <c r="O50" s="2954">
        <f>'Phụ lục số 4'!O50</f>
        <v>0</v>
      </c>
      <c r="P50" s="2954">
        <f>'Phụ lục số 4'!P50</f>
        <v>0</v>
      </c>
      <c r="Q50" s="2954">
        <f>'Phụ lục số 4'!Q50</f>
        <v>124</v>
      </c>
      <c r="R50" s="2954">
        <f>'Phụ lục số 4'!R50</f>
        <v>0</v>
      </c>
      <c r="S50" s="2954">
        <f>'Phụ lục số 4'!S50</f>
        <v>0</v>
      </c>
      <c r="T50" s="2954">
        <f>'Phụ lục số 4'!T50</f>
        <v>2311</v>
      </c>
      <c r="U50" s="2954">
        <f>'Phụ lục số 4'!U50</f>
        <v>0</v>
      </c>
      <c r="V50" s="2954">
        <f>'Phụ lục số 4'!V50</f>
        <v>0</v>
      </c>
      <c r="W50" s="2954">
        <f>'Phụ lục số 4'!W50</f>
        <v>0</v>
      </c>
      <c r="X50" s="2954">
        <f>'Phụ lục số 4'!X50</f>
        <v>0</v>
      </c>
      <c r="Y50" s="2954">
        <f>'Phụ lục số 4'!Y50</f>
        <v>0</v>
      </c>
      <c r="Z50" s="2954">
        <f>'Phụ lục số 4'!Z50</f>
        <v>0</v>
      </c>
      <c r="AA50" s="2954">
        <f>'Phụ lục số 4'!AA50</f>
        <v>0</v>
      </c>
      <c r="AB50" s="2954">
        <f t="shared" ref="AB50:AB55" si="17">SUM(AC50:AD50)</f>
        <v>0</v>
      </c>
      <c r="AC50" s="2954">
        <f>'Phụ lục số 4'!AC50</f>
        <v>0</v>
      </c>
      <c r="AD50" s="3142">
        <f>'Phụ lục số 4'!AD50</f>
        <v>0</v>
      </c>
      <c r="AE50" s="3153">
        <f>'Phụ lục số 4'!AE50</f>
        <v>0</v>
      </c>
    </row>
    <row r="51" spans="1:31" s="154" customFormat="1">
      <c r="A51" s="2931">
        <v>37</v>
      </c>
      <c r="B51" s="2787" t="str">
        <f>'Phụ lục số 4'!B51</f>
        <v>Liên hiệp các tổ chức Hữu Nghị</v>
      </c>
      <c r="C51" s="2954">
        <f t="shared" si="15"/>
        <v>2675</v>
      </c>
      <c r="D51" s="2954">
        <f t="shared" si="16"/>
        <v>0</v>
      </c>
      <c r="E51" s="2954">
        <f>'Phụ lục số 4'!E51</f>
        <v>0</v>
      </c>
      <c r="F51" s="2954">
        <f>'Phụ lục số 4'!F51</f>
        <v>0</v>
      </c>
      <c r="G51" s="2954">
        <f>'Phụ lục số 4'!G51</f>
        <v>0</v>
      </c>
      <c r="H51" s="2954">
        <f>'Phụ lục số 4'!H51</f>
        <v>0</v>
      </c>
      <c r="I51" s="2954"/>
      <c r="J51" s="2954">
        <f t="shared" si="13"/>
        <v>2675</v>
      </c>
      <c r="K51" s="2954">
        <f>'Phụ lục số 4'!K51</f>
        <v>0</v>
      </c>
      <c r="L51" s="2954">
        <f>'Phụ lục số 4'!L51</f>
        <v>0</v>
      </c>
      <c r="M51" s="2954">
        <f>'Phụ lục số 4'!M51</f>
        <v>0</v>
      </c>
      <c r="N51" s="2954">
        <f>'Phụ lục số 4'!N51</f>
        <v>0</v>
      </c>
      <c r="O51" s="2954">
        <f>'Phụ lục số 4'!O51</f>
        <v>0</v>
      </c>
      <c r="P51" s="2954">
        <f>'Phụ lục số 4'!P51</f>
        <v>0</v>
      </c>
      <c r="Q51" s="2954">
        <f>'Phụ lục số 4'!Q51</f>
        <v>0</v>
      </c>
      <c r="R51" s="2954">
        <f>'Phụ lục số 4'!R51</f>
        <v>0</v>
      </c>
      <c r="S51" s="2954">
        <f>'Phụ lục số 4'!S51</f>
        <v>0</v>
      </c>
      <c r="T51" s="2954">
        <f>'Phụ lục số 4'!T51</f>
        <v>2675</v>
      </c>
      <c r="U51" s="2954">
        <f>'Phụ lục số 4'!U51</f>
        <v>0</v>
      </c>
      <c r="V51" s="2954">
        <f>'Phụ lục số 4'!V51</f>
        <v>0</v>
      </c>
      <c r="W51" s="2954">
        <f>'Phụ lục số 4'!W51</f>
        <v>0</v>
      </c>
      <c r="X51" s="2954">
        <f>'Phụ lục số 4'!X51</f>
        <v>0</v>
      </c>
      <c r="Y51" s="2954">
        <f>'Phụ lục số 4'!Y51</f>
        <v>0</v>
      </c>
      <c r="Z51" s="2954">
        <f>'Phụ lục số 4'!Z51</f>
        <v>0</v>
      </c>
      <c r="AA51" s="2954">
        <f>'Phụ lục số 4'!AA51</f>
        <v>0</v>
      </c>
      <c r="AB51" s="2954">
        <f t="shared" si="17"/>
        <v>0</v>
      </c>
      <c r="AC51" s="2954">
        <f>'Phụ lục số 4'!AC51</f>
        <v>0</v>
      </c>
      <c r="AD51" s="3142">
        <f>'Phụ lục số 4'!AD51</f>
        <v>0</v>
      </c>
      <c r="AE51" s="3153">
        <f>'Phụ lục số 4'!AE51</f>
        <v>0</v>
      </c>
    </row>
    <row r="52" spans="1:31" s="154" customFormat="1">
      <c r="A52" s="2931">
        <v>38</v>
      </c>
      <c r="B52" s="2787" t="str">
        <f>'Phụ lục số 4'!B52</f>
        <v>Hội Liên hiệp Văn học Nghệ thuật</v>
      </c>
      <c r="C52" s="2954">
        <f t="shared" si="15"/>
        <v>5903</v>
      </c>
      <c r="D52" s="2954">
        <f t="shared" si="16"/>
        <v>0</v>
      </c>
      <c r="E52" s="2954">
        <f>'Phụ lục số 4'!E52</f>
        <v>0</v>
      </c>
      <c r="F52" s="2954">
        <f>'Phụ lục số 4'!F52</f>
        <v>0</v>
      </c>
      <c r="G52" s="2954">
        <f>'Phụ lục số 4'!G52</f>
        <v>0</v>
      </c>
      <c r="H52" s="2954">
        <f>'Phụ lục số 4'!H52</f>
        <v>0</v>
      </c>
      <c r="I52" s="2954"/>
      <c r="J52" s="2954">
        <f t="shared" si="13"/>
        <v>5903</v>
      </c>
      <c r="K52" s="2954">
        <f>'Phụ lục số 4'!K52</f>
        <v>0</v>
      </c>
      <c r="L52" s="2954">
        <f>'Phụ lục số 4'!L52</f>
        <v>0</v>
      </c>
      <c r="M52" s="2954">
        <f>'Phụ lục số 4'!M52</f>
        <v>0</v>
      </c>
      <c r="N52" s="2954">
        <f>'Phụ lục số 4'!N52</f>
        <v>662</v>
      </c>
      <c r="O52" s="2954">
        <f>'Phụ lục số 4'!O52</f>
        <v>0</v>
      </c>
      <c r="P52" s="2954">
        <f>'Phụ lục số 4'!P52</f>
        <v>0</v>
      </c>
      <c r="Q52" s="2954">
        <f>'Phụ lục số 4'!Q52</f>
        <v>303</v>
      </c>
      <c r="R52" s="2954">
        <f>'Phụ lục số 4'!R52</f>
        <v>0</v>
      </c>
      <c r="S52" s="2954">
        <f>'Phụ lục số 4'!S52</f>
        <v>0</v>
      </c>
      <c r="T52" s="2954">
        <f>'Phụ lục số 4'!T52</f>
        <v>4938</v>
      </c>
      <c r="U52" s="2954">
        <f>'Phụ lục số 4'!U52</f>
        <v>0</v>
      </c>
      <c r="V52" s="2954">
        <f>'Phụ lục số 4'!V52</f>
        <v>0</v>
      </c>
      <c r="W52" s="2954">
        <f>'Phụ lục số 4'!W52</f>
        <v>0</v>
      </c>
      <c r="X52" s="2954">
        <f>'Phụ lục số 4'!X52</f>
        <v>0</v>
      </c>
      <c r="Y52" s="2954">
        <f>'Phụ lục số 4'!Y52</f>
        <v>0</v>
      </c>
      <c r="Z52" s="2954">
        <f>'Phụ lục số 4'!Z52</f>
        <v>0</v>
      </c>
      <c r="AA52" s="2954">
        <f>'Phụ lục số 4'!AA52</f>
        <v>0</v>
      </c>
      <c r="AB52" s="2954">
        <f t="shared" si="17"/>
        <v>0</v>
      </c>
      <c r="AC52" s="2954">
        <f>'Phụ lục số 4'!AC52</f>
        <v>0</v>
      </c>
      <c r="AD52" s="3142">
        <f>'Phụ lục số 4'!AD52</f>
        <v>0</v>
      </c>
      <c r="AE52" s="3153">
        <f>'Phụ lục số 4'!AE52</f>
        <v>0</v>
      </c>
    </row>
    <row r="53" spans="1:31" s="154" customFormat="1">
      <c r="A53" s="2931">
        <v>39</v>
      </c>
      <c r="B53" s="2787" t="str">
        <f>'Phụ lục số 4'!B53</f>
        <v>Hội chữ thập đỏ</v>
      </c>
      <c r="C53" s="2954">
        <f t="shared" si="15"/>
        <v>6625</v>
      </c>
      <c r="D53" s="2954">
        <f t="shared" si="16"/>
        <v>0</v>
      </c>
      <c r="E53" s="2954">
        <f>'Phụ lục số 4'!E53</f>
        <v>0</v>
      </c>
      <c r="F53" s="2954">
        <f>'Phụ lục số 4'!F53</f>
        <v>0</v>
      </c>
      <c r="G53" s="2954">
        <f>'Phụ lục số 4'!G53</f>
        <v>0</v>
      </c>
      <c r="H53" s="2954">
        <f>'Phụ lục số 4'!H53</f>
        <v>0</v>
      </c>
      <c r="I53" s="2954"/>
      <c r="J53" s="2954">
        <f t="shared" si="13"/>
        <v>6625</v>
      </c>
      <c r="K53" s="2954">
        <f>'Phụ lục số 4'!K53</f>
        <v>0</v>
      </c>
      <c r="L53" s="2954">
        <f>'Phụ lục số 4'!L53</f>
        <v>0</v>
      </c>
      <c r="M53" s="2954">
        <f>'Phụ lục số 4'!M53</f>
        <v>0</v>
      </c>
      <c r="N53" s="2954">
        <f>'Phụ lục số 4'!N53</f>
        <v>420</v>
      </c>
      <c r="O53" s="2954">
        <f>'Phụ lục số 4'!O53</f>
        <v>100</v>
      </c>
      <c r="P53" s="2954">
        <f>'Phụ lục số 4'!P53</f>
        <v>0</v>
      </c>
      <c r="Q53" s="2954">
        <f>'Phụ lục số 4'!Q53</f>
        <v>0</v>
      </c>
      <c r="R53" s="2954">
        <f>'Phụ lục số 4'!R53</f>
        <v>0</v>
      </c>
      <c r="S53" s="2954">
        <f>'Phụ lục số 4'!S53</f>
        <v>0</v>
      </c>
      <c r="T53" s="2954">
        <f>'Phụ lục số 4'!T53</f>
        <v>6105</v>
      </c>
      <c r="U53" s="2954">
        <f>'Phụ lục số 4'!U53</f>
        <v>0</v>
      </c>
      <c r="V53" s="2954">
        <f>'Phụ lục số 4'!V53</f>
        <v>0</v>
      </c>
      <c r="W53" s="2954">
        <f>'Phụ lục số 4'!W53</f>
        <v>0</v>
      </c>
      <c r="X53" s="2954">
        <f>'Phụ lục số 4'!X53</f>
        <v>0</v>
      </c>
      <c r="Y53" s="2954">
        <f>'Phụ lục số 4'!Y53</f>
        <v>0</v>
      </c>
      <c r="Z53" s="2954">
        <f>'Phụ lục số 4'!Z53</f>
        <v>0</v>
      </c>
      <c r="AA53" s="2954">
        <f>'Phụ lục số 4'!AA53</f>
        <v>0</v>
      </c>
      <c r="AB53" s="2954">
        <f t="shared" si="17"/>
        <v>0</v>
      </c>
      <c r="AC53" s="2954">
        <f>'Phụ lục số 4'!AC53</f>
        <v>0</v>
      </c>
      <c r="AD53" s="3142">
        <f>'Phụ lục số 4'!AD53</f>
        <v>0</v>
      </c>
      <c r="AE53" s="3153">
        <f>'Phụ lục số 4'!AE53</f>
        <v>0</v>
      </c>
    </row>
    <row r="54" spans="1:31" s="154" customFormat="1">
      <c r="A54" s="2931">
        <v>40</v>
      </c>
      <c r="B54" s="2787" t="str">
        <f>'Phụ lục số 4'!B54</f>
        <v>Hội đông y</v>
      </c>
      <c r="C54" s="2954">
        <f t="shared" si="15"/>
        <v>0</v>
      </c>
      <c r="D54" s="2954">
        <f t="shared" si="16"/>
        <v>0</v>
      </c>
      <c r="E54" s="2954">
        <f>'Phụ lục số 4'!E54</f>
        <v>0</v>
      </c>
      <c r="F54" s="2954">
        <f>'Phụ lục số 4'!F54</f>
        <v>0</v>
      </c>
      <c r="G54" s="2954">
        <f>'Phụ lục số 4'!G54</f>
        <v>0</v>
      </c>
      <c r="H54" s="2954">
        <f>'Phụ lục số 4'!H54</f>
        <v>0</v>
      </c>
      <c r="I54" s="2954"/>
      <c r="J54" s="2954">
        <f t="shared" si="13"/>
        <v>0</v>
      </c>
      <c r="K54" s="2954">
        <f>'Phụ lục số 4'!K54</f>
        <v>0</v>
      </c>
      <c r="L54" s="2954">
        <f>'Phụ lục số 4'!L54</f>
        <v>0</v>
      </c>
      <c r="M54" s="2954">
        <f>'Phụ lục số 4'!M54</f>
        <v>0</v>
      </c>
      <c r="N54" s="2954">
        <f>'Phụ lục số 4'!N54</f>
        <v>0</v>
      </c>
      <c r="O54" s="2954">
        <f>'Phụ lục số 4'!O54</f>
        <v>0</v>
      </c>
      <c r="P54" s="2954">
        <f>'Phụ lục số 4'!P54</f>
        <v>0</v>
      </c>
      <c r="Q54" s="2954">
        <f>'Phụ lục số 4'!Q54</f>
        <v>0</v>
      </c>
      <c r="R54" s="2954">
        <f>'Phụ lục số 4'!R54</f>
        <v>0</v>
      </c>
      <c r="S54" s="2954">
        <f>'Phụ lục số 4'!S54</f>
        <v>0</v>
      </c>
      <c r="T54" s="2954">
        <f>'Phụ lục số 4'!T54</f>
        <v>0</v>
      </c>
      <c r="U54" s="2954">
        <f>'Phụ lục số 4'!U54</f>
        <v>0</v>
      </c>
      <c r="V54" s="2954">
        <f>'Phụ lục số 4'!V54</f>
        <v>0</v>
      </c>
      <c r="W54" s="2954">
        <f>'Phụ lục số 4'!W54</f>
        <v>0</v>
      </c>
      <c r="X54" s="2954">
        <f>'Phụ lục số 4'!X54</f>
        <v>0</v>
      </c>
      <c r="Y54" s="2954">
        <f>'Phụ lục số 4'!Y54</f>
        <v>0</v>
      </c>
      <c r="Z54" s="2954">
        <f>'Phụ lục số 4'!Z54</f>
        <v>0</v>
      </c>
      <c r="AA54" s="2954">
        <f>'Phụ lục số 4'!AA54</f>
        <v>0</v>
      </c>
      <c r="AB54" s="2954">
        <f t="shared" si="17"/>
        <v>0</v>
      </c>
      <c r="AC54" s="2954">
        <f>'Phụ lục số 4'!AC54</f>
        <v>0</v>
      </c>
      <c r="AD54" s="3142">
        <f>'Phụ lục số 4'!AD54</f>
        <v>0</v>
      </c>
      <c r="AE54" s="3153">
        <f>'Phụ lục số 4'!AE54</f>
        <v>0</v>
      </c>
    </row>
    <row r="55" spans="1:31" s="154" customFormat="1">
      <c r="A55" s="2931">
        <v>41</v>
      </c>
      <c r="B55" s="2787" t="str">
        <f>'Phụ lục số 4'!B55</f>
        <v>Hội người mù</v>
      </c>
      <c r="C55" s="2954">
        <f t="shared" si="15"/>
        <v>0</v>
      </c>
      <c r="D55" s="2954">
        <f t="shared" si="16"/>
        <v>0</v>
      </c>
      <c r="E55" s="2954">
        <f>'Phụ lục số 4'!E55</f>
        <v>0</v>
      </c>
      <c r="F55" s="2954">
        <f>'Phụ lục số 4'!F55</f>
        <v>0</v>
      </c>
      <c r="G55" s="2954">
        <f>'Phụ lục số 4'!G55</f>
        <v>0</v>
      </c>
      <c r="H55" s="2954">
        <f>'Phụ lục số 4'!H55</f>
        <v>0</v>
      </c>
      <c r="I55" s="2954"/>
      <c r="J55" s="2954">
        <f t="shared" si="13"/>
        <v>0</v>
      </c>
      <c r="K55" s="2954">
        <f>'Phụ lục số 4'!K55</f>
        <v>0</v>
      </c>
      <c r="L55" s="2954">
        <f>'Phụ lục số 4'!L55</f>
        <v>0</v>
      </c>
      <c r="M55" s="2954">
        <f>'Phụ lục số 4'!M55</f>
        <v>0</v>
      </c>
      <c r="N55" s="2954">
        <f>'Phụ lục số 4'!N55</f>
        <v>0</v>
      </c>
      <c r="O55" s="2954">
        <f>'Phụ lục số 4'!O55</f>
        <v>0</v>
      </c>
      <c r="P55" s="2954">
        <f>'Phụ lục số 4'!P55</f>
        <v>0</v>
      </c>
      <c r="Q55" s="2954">
        <f>'Phụ lục số 4'!Q55</f>
        <v>0</v>
      </c>
      <c r="R55" s="2954">
        <f>'Phụ lục số 4'!R55</f>
        <v>0</v>
      </c>
      <c r="S55" s="2954">
        <f>'Phụ lục số 4'!S55</f>
        <v>0</v>
      </c>
      <c r="T55" s="2954">
        <f>'Phụ lục số 4'!T55</f>
        <v>0</v>
      </c>
      <c r="U55" s="2954">
        <f>'Phụ lục số 4'!U55</f>
        <v>0</v>
      </c>
      <c r="V55" s="2954">
        <f>'Phụ lục số 4'!V55</f>
        <v>0</v>
      </c>
      <c r="W55" s="2954">
        <f>'Phụ lục số 4'!W55</f>
        <v>0</v>
      </c>
      <c r="X55" s="2954">
        <f>'Phụ lục số 4'!X55</f>
        <v>0</v>
      </c>
      <c r="Y55" s="2954">
        <f>'Phụ lục số 4'!Y55</f>
        <v>0</v>
      </c>
      <c r="Z55" s="2954">
        <f>'Phụ lục số 4'!Z55</f>
        <v>0</v>
      </c>
      <c r="AA55" s="2954">
        <f>'Phụ lục số 4'!AA55</f>
        <v>0</v>
      </c>
      <c r="AB55" s="2954">
        <f t="shared" si="17"/>
        <v>0</v>
      </c>
      <c r="AC55" s="2954">
        <f>'Phụ lục số 4'!AC55</f>
        <v>0</v>
      </c>
      <c r="AD55" s="3142">
        <f>'Phụ lục số 4'!AD55</f>
        <v>0</v>
      </c>
      <c r="AE55" s="3153">
        <f>'Phụ lục số 4'!AE55</f>
        <v>0</v>
      </c>
    </row>
    <row r="56" spans="1:31" s="1319" customFormat="1" ht="17.399999999999999">
      <c r="A56" s="2933" t="s">
        <v>49</v>
      </c>
      <c r="B56" s="3565" t="str">
        <f>'Phụ lục số 4'!B56</f>
        <v>KHỐI AN NINH - QUỐC PHÒNG</v>
      </c>
      <c r="C56" s="3563">
        <f>SUM(C57:C59)</f>
        <v>152607.4</v>
      </c>
      <c r="D56" s="3563">
        <f t="shared" ref="D56:H56" si="18">SUM(D57:D59)</f>
        <v>0</v>
      </c>
      <c r="E56" s="3563">
        <f t="shared" si="18"/>
        <v>0</v>
      </c>
      <c r="F56" s="3563">
        <f t="shared" si="18"/>
        <v>0</v>
      </c>
      <c r="G56" s="3563">
        <f t="shared" si="18"/>
        <v>0</v>
      </c>
      <c r="H56" s="3563">
        <f t="shared" si="18"/>
        <v>0</v>
      </c>
      <c r="I56" s="3563"/>
      <c r="J56" s="3563">
        <f t="shared" ref="J56:AE56" si="19">SUM(J57:J59)</f>
        <v>152607.4</v>
      </c>
      <c r="K56" s="3563">
        <f t="shared" si="19"/>
        <v>0</v>
      </c>
      <c r="L56" s="3563">
        <f t="shared" si="19"/>
        <v>280</v>
      </c>
      <c r="M56" s="3563">
        <f t="shared" si="19"/>
        <v>0</v>
      </c>
      <c r="N56" s="3563">
        <f t="shared" si="19"/>
        <v>4000</v>
      </c>
      <c r="O56" s="3563">
        <f t="shared" si="19"/>
        <v>0</v>
      </c>
      <c r="P56" s="3563">
        <f t="shared" si="19"/>
        <v>0</v>
      </c>
      <c r="Q56" s="3563">
        <f t="shared" si="19"/>
        <v>0</v>
      </c>
      <c r="R56" s="3563">
        <f t="shared" si="19"/>
        <v>0</v>
      </c>
      <c r="S56" s="3563">
        <f t="shared" si="19"/>
        <v>0</v>
      </c>
      <c r="T56" s="3563">
        <f t="shared" si="19"/>
        <v>0</v>
      </c>
      <c r="U56" s="3563">
        <f t="shared" si="19"/>
        <v>148327.4</v>
      </c>
      <c r="V56" s="3563">
        <f t="shared" si="19"/>
        <v>0</v>
      </c>
      <c r="W56" s="3563"/>
      <c r="X56" s="3563"/>
      <c r="Y56" s="3563"/>
      <c r="Z56" s="3563"/>
      <c r="AA56" s="3563"/>
      <c r="AB56" s="3563">
        <f t="shared" si="19"/>
        <v>0</v>
      </c>
      <c r="AC56" s="3563">
        <f t="shared" si="19"/>
        <v>0</v>
      </c>
      <c r="AD56" s="3564">
        <f t="shared" si="19"/>
        <v>0</v>
      </c>
      <c r="AE56" s="3154">
        <f t="shared" si="19"/>
        <v>0</v>
      </c>
    </row>
    <row r="57" spans="1:31" s="154" customFormat="1">
      <c r="A57" s="2931">
        <v>42</v>
      </c>
      <c r="B57" s="2787" t="str">
        <f>'Phụ lục số 4'!B57</f>
        <v>Công an Tỉnh</v>
      </c>
      <c r="C57" s="2954">
        <f>D57+J57+AB57+W57+X57+AA57</f>
        <v>51280</v>
      </c>
      <c r="D57" s="2954">
        <f>SUM(E57:H57)</f>
        <v>0</v>
      </c>
      <c r="E57" s="2954">
        <f>'Phụ lục số 4'!E57</f>
        <v>0</v>
      </c>
      <c r="F57" s="2954">
        <f>'Phụ lục số 4'!F57</f>
        <v>0</v>
      </c>
      <c r="G57" s="2954">
        <f>'Phụ lục số 4'!G57</f>
        <v>0</v>
      </c>
      <c r="H57" s="2954">
        <f>'Phụ lục số 4'!H57</f>
        <v>0</v>
      </c>
      <c r="I57" s="2954"/>
      <c r="J57" s="2954">
        <f t="shared" si="13"/>
        <v>51280</v>
      </c>
      <c r="K57" s="2954">
        <f>'Phụ lục số 4'!K57</f>
        <v>0</v>
      </c>
      <c r="L57" s="2954">
        <f>'Phụ lục số 4'!L57</f>
        <v>280</v>
      </c>
      <c r="M57" s="2954">
        <f>'Phụ lục số 4'!M57</f>
        <v>0</v>
      </c>
      <c r="N57" s="2954">
        <f>'Phụ lục số 4'!N57</f>
        <v>0</v>
      </c>
      <c r="O57" s="2954">
        <f>'Phụ lục số 4'!O57</f>
        <v>0</v>
      </c>
      <c r="P57" s="2954">
        <f>'Phụ lục số 4'!P57</f>
        <v>0</v>
      </c>
      <c r="Q57" s="2954">
        <f>'Phụ lục số 4'!Q57</f>
        <v>0</v>
      </c>
      <c r="R57" s="2954">
        <f>'Phụ lục số 4'!R57</f>
        <v>0</v>
      </c>
      <c r="S57" s="2954">
        <f>'Phụ lục số 4'!S57</f>
        <v>0</v>
      </c>
      <c r="T57" s="2954">
        <f>'Phụ lục số 4'!T57</f>
        <v>0</v>
      </c>
      <c r="U57" s="2954">
        <f>'Phụ lục số 4'!U57</f>
        <v>51000</v>
      </c>
      <c r="V57" s="2954">
        <f>'Phụ lục số 4'!V57</f>
        <v>0</v>
      </c>
      <c r="W57" s="2954">
        <f>'Phụ lục số 4'!W57</f>
        <v>0</v>
      </c>
      <c r="X57" s="2954">
        <f>'Phụ lục số 4'!X57</f>
        <v>0</v>
      </c>
      <c r="Y57" s="2954">
        <f>'Phụ lục số 4'!Y57</f>
        <v>0</v>
      </c>
      <c r="Z57" s="2954">
        <f>'Phụ lục số 4'!Z57</f>
        <v>0</v>
      </c>
      <c r="AA57" s="2954">
        <f>'Phụ lục số 4'!AA57</f>
        <v>0</v>
      </c>
      <c r="AB57" s="2954">
        <f t="shared" ref="AB57:AB59" si="20">SUM(AC57:AD57)</f>
        <v>0</v>
      </c>
      <c r="AC57" s="2954">
        <f>'Phụ lục số 4'!AC57</f>
        <v>0</v>
      </c>
      <c r="AD57" s="3142">
        <f>'Phụ lục số 4'!AD57</f>
        <v>0</v>
      </c>
      <c r="AE57" s="3153">
        <f>'Phụ lục số 4'!AE57</f>
        <v>0</v>
      </c>
    </row>
    <row r="58" spans="1:31" s="154" customFormat="1">
      <c r="A58" s="2931">
        <v>43</v>
      </c>
      <c r="B58" s="2787" t="str">
        <f>'Phụ lục số 4'!B58</f>
        <v>Bộ Chỉ huy Quân sự Tỉnh</v>
      </c>
      <c r="C58" s="2954">
        <f>D58+J58+AB58+W58+X58+AA58</f>
        <v>87000</v>
      </c>
      <c r="D58" s="2954">
        <f>SUM(E58:H58)</f>
        <v>0</v>
      </c>
      <c r="E58" s="2954">
        <f>'Phụ lục số 4'!E58</f>
        <v>0</v>
      </c>
      <c r="F58" s="2954">
        <f>'Phụ lục số 4'!F58</f>
        <v>0</v>
      </c>
      <c r="G58" s="2954">
        <f>'Phụ lục số 4'!G58</f>
        <v>0</v>
      </c>
      <c r="H58" s="2954">
        <f>'Phụ lục số 4'!H58</f>
        <v>0</v>
      </c>
      <c r="I58" s="2954"/>
      <c r="J58" s="2954">
        <f t="shared" si="13"/>
        <v>87000</v>
      </c>
      <c r="K58" s="2954">
        <f>'Phụ lục số 4'!K58</f>
        <v>0</v>
      </c>
      <c r="L58" s="2954">
        <f>'Phụ lục số 4'!L58</f>
        <v>0</v>
      </c>
      <c r="M58" s="2954">
        <f>'Phụ lục số 4'!M58</f>
        <v>0</v>
      </c>
      <c r="N58" s="2954">
        <f>'Phụ lục số 4'!N58</f>
        <v>4000</v>
      </c>
      <c r="O58" s="2954">
        <f>'Phụ lục số 4'!O58</f>
        <v>0</v>
      </c>
      <c r="P58" s="2954">
        <f>'Phụ lục số 4'!P58</f>
        <v>0</v>
      </c>
      <c r="Q58" s="2954">
        <f>'Phụ lục số 4'!Q58</f>
        <v>0</v>
      </c>
      <c r="R58" s="2954">
        <f>'Phụ lục số 4'!R58</f>
        <v>0</v>
      </c>
      <c r="S58" s="2954">
        <f>'Phụ lục số 4'!S58</f>
        <v>0</v>
      </c>
      <c r="T58" s="2954">
        <f>'Phụ lục số 4'!T58</f>
        <v>0</v>
      </c>
      <c r="U58" s="2954">
        <f>'Phụ lục số 4'!U58</f>
        <v>83000</v>
      </c>
      <c r="V58" s="2954">
        <f>'Phụ lục số 4'!V58</f>
        <v>0</v>
      </c>
      <c r="W58" s="2954">
        <f>'Phụ lục số 4'!W58</f>
        <v>0</v>
      </c>
      <c r="X58" s="2954">
        <f>'Phụ lục số 4'!X58</f>
        <v>0</v>
      </c>
      <c r="Y58" s="2954">
        <f>'Phụ lục số 4'!Y58</f>
        <v>0</v>
      </c>
      <c r="Z58" s="2954">
        <f>'Phụ lục số 4'!Z58</f>
        <v>0</v>
      </c>
      <c r="AA58" s="2954">
        <f>'Phụ lục số 4'!AA58</f>
        <v>0</v>
      </c>
      <c r="AB58" s="2954">
        <f t="shared" si="20"/>
        <v>0</v>
      </c>
      <c r="AC58" s="2954">
        <f>'Phụ lục số 4'!AC58</f>
        <v>0</v>
      </c>
      <c r="AD58" s="3142">
        <f>'Phụ lục số 4'!AD58</f>
        <v>0</v>
      </c>
      <c r="AE58" s="3153">
        <f>'Phụ lục số 4'!AE58</f>
        <v>0</v>
      </c>
    </row>
    <row r="59" spans="1:31" s="154" customFormat="1">
      <c r="A59" s="2931">
        <v>44</v>
      </c>
      <c r="B59" s="2787" t="str">
        <f>'Phụ lục số 4'!B59</f>
        <v>Bộ Chỉ huy Bộ đội biên phòng</v>
      </c>
      <c r="C59" s="2954">
        <f>D59+J59+AB59+W59+X59+AA59</f>
        <v>14327.4</v>
      </c>
      <c r="D59" s="2954">
        <f>SUM(E59:H59)</f>
        <v>0</v>
      </c>
      <c r="E59" s="2954">
        <f>'Phụ lục số 4'!E59</f>
        <v>0</v>
      </c>
      <c r="F59" s="2954">
        <f>'Phụ lục số 4'!F59</f>
        <v>0</v>
      </c>
      <c r="G59" s="2954">
        <f>'Phụ lục số 4'!G59</f>
        <v>0</v>
      </c>
      <c r="H59" s="2954">
        <f>'Phụ lục số 4'!H59</f>
        <v>0</v>
      </c>
      <c r="I59" s="2954"/>
      <c r="J59" s="2954">
        <f t="shared" si="13"/>
        <v>14327.4</v>
      </c>
      <c r="K59" s="2954">
        <f>'Phụ lục số 4'!K59</f>
        <v>0</v>
      </c>
      <c r="L59" s="2954">
        <f>'Phụ lục số 4'!L59</f>
        <v>0</v>
      </c>
      <c r="M59" s="2954">
        <f>'Phụ lục số 4'!M59</f>
        <v>0</v>
      </c>
      <c r="N59" s="2954">
        <f>'Phụ lục số 4'!N59</f>
        <v>0</v>
      </c>
      <c r="O59" s="2954">
        <f>'Phụ lục số 4'!O59</f>
        <v>0</v>
      </c>
      <c r="P59" s="2954">
        <f>'Phụ lục số 4'!P59</f>
        <v>0</v>
      </c>
      <c r="Q59" s="2954">
        <f>'Phụ lục số 4'!Q59</f>
        <v>0</v>
      </c>
      <c r="R59" s="2954">
        <f>'Phụ lục số 4'!R59</f>
        <v>0</v>
      </c>
      <c r="S59" s="2954">
        <f>'Phụ lục số 4'!S59</f>
        <v>0</v>
      </c>
      <c r="T59" s="2954">
        <f>'Phụ lục số 4'!T59</f>
        <v>0</v>
      </c>
      <c r="U59" s="2954">
        <f>'Phụ lục số 4'!U59</f>
        <v>14327.4</v>
      </c>
      <c r="V59" s="2954">
        <f>'Phụ lục số 4'!V59</f>
        <v>0</v>
      </c>
      <c r="W59" s="2954">
        <f>'Phụ lục số 4'!W59</f>
        <v>0</v>
      </c>
      <c r="X59" s="2954">
        <f>'Phụ lục số 4'!X59</f>
        <v>0</v>
      </c>
      <c r="Y59" s="2954">
        <f>'Phụ lục số 4'!Y59</f>
        <v>0</v>
      </c>
      <c r="Z59" s="2954">
        <f>'Phụ lục số 4'!Z59</f>
        <v>0</v>
      </c>
      <c r="AA59" s="2954">
        <f>'Phụ lục số 4'!AA59</f>
        <v>0</v>
      </c>
      <c r="AB59" s="2954">
        <f t="shared" si="20"/>
        <v>0</v>
      </c>
      <c r="AC59" s="2954">
        <f>'Phụ lục số 4'!AC59</f>
        <v>0</v>
      </c>
      <c r="AD59" s="3142">
        <f>'Phụ lục số 4'!AD59</f>
        <v>0</v>
      </c>
      <c r="AE59" s="3153">
        <f>'Phụ lục số 4'!AE59</f>
        <v>0</v>
      </c>
    </row>
    <row r="60" spans="1:31" s="1319" customFormat="1" ht="17.399999999999999">
      <c r="A60" s="2933" t="s">
        <v>50</v>
      </c>
      <c r="B60" s="3565" t="str">
        <f>'Phụ lục số 4'!B60</f>
        <v>CÁC ĐƠN VỊ KHÁC</v>
      </c>
      <c r="C60" s="3563">
        <f>SUM(C61:C74)</f>
        <v>373777</v>
      </c>
      <c r="D60" s="3563">
        <f t="shared" ref="D60:U60" si="21">SUM(D61:D74)</f>
        <v>0</v>
      </c>
      <c r="E60" s="3563">
        <f t="shared" si="21"/>
        <v>0</v>
      </c>
      <c r="F60" s="3563">
        <f t="shared" si="21"/>
        <v>0</v>
      </c>
      <c r="G60" s="3563">
        <f t="shared" si="21"/>
        <v>0</v>
      </c>
      <c r="H60" s="3563">
        <f t="shared" si="21"/>
        <v>0</v>
      </c>
      <c r="I60" s="3563">
        <f t="shared" si="21"/>
        <v>0</v>
      </c>
      <c r="J60" s="3563">
        <f t="shared" si="21"/>
        <v>373777</v>
      </c>
      <c r="K60" s="3563">
        <f t="shared" si="21"/>
        <v>0</v>
      </c>
      <c r="L60" s="3563">
        <f t="shared" si="21"/>
        <v>68</v>
      </c>
      <c r="M60" s="3563">
        <f t="shared" si="21"/>
        <v>0</v>
      </c>
      <c r="N60" s="3563">
        <f t="shared" si="21"/>
        <v>0</v>
      </c>
      <c r="O60" s="3563">
        <f t="shared" si="21"/>
        <v>367885</v>
      </c>
      <c r="P60" s="3563">
        <f t="shared" si="21"/>
        <v>0</v>
      </c>
      <c r="Q60" s="3563">
        <f t="shared" si="21"/>
        <v>0</v>
      </c>
      <c r="R60" s="3563">
        <f t="shared" si="21"/>
        <v>0</v>
      </c>
      <c r="S60" s="3563">
        <f t="shared" si="21"/>
        <v>0</v>
      </c>
      <c r="T60" s="3563">
        <f t="shared" si="21"/>
        <v>0</v>
      </c>
      <c r="U60" s="3563">
        <f t="shared" si="21"/>
        <v>0</v>
      </c>
      <c r="V60" s="3563">
        <f>SUM(V61:V74)</f>
        <v>5824</v>
      </c>
      <c r="W60" s="3563">
        <f t="shared" ref="W60:AB60" si="22">SUM(W61:W74)</f>
        <v>0</v>
      </c>
      <c r="X60" s="3563">
        <f t="shared" si="22"/>
        <v>0</v>
      </c>
      <c r="Y60" s="3563">
        <f t="shared" si="22"/>
        <v>0</v>
      </c>
      <c r="Z60" s="3563">
        <f t="shared" si="22"/>
        <v>0</v>
      </c>
      <c r="AA60" s="3563">
        <f t="shared" si="22"/>
        <v>0</v>
      </c>
      <c r="AB60" s="3563">
        <f t="shared" si="22"/>
        <v>0</v>
      </c>
      <c r="AC60" s="3563">
        <f>SUM(AC61:AC74)</f>
        <v>0</v>
      </c>
      <c r="AD60" s="3564">
        <f>SUM(AD61:AD74)</f>
        <v>0</v>
      </c>
      <c r="AE60" s="3154">
        <f>SUM(AE61:AE74)</f>
        <v>0</v>
      </c>
    </row>
    <row r="61" spans="1:31" s="154" customFormat="1">
      <c r="A61" s="2931">
        <v>45</v>
      </c>
      <c r="B61" s="2787" t="str">
        <f>'Phụ lục số 4'!B61</f>
        <v>Bảo hiểm Xã hội tỉnh</v>
      </c>
      <c r="C61" s="2954">
        <f t="shared" ref="C61:C74" si="23">D61+J61+AB61+W61+X61+AA61</f>
        <v>367885</v>
      </c>
      <c r="D61" s="2954">
        <f t="shared" ref="D61:D69" si="24">SUM(E61:H61)</f>
        <v>0</v>
      </c>
      <c r="E61" s="2954">
        <f>'Phụ lục số 4'!E61</f>
        <v>0</v>
      </c>
      <c r="F61" s="2954">
        <f>'Phụ lục số 4'!F61</f>
        <v>0</v>
      </c>
      <c r="G61" s="2954">
        <f>'Phụ lục số 4'!G61</f>
        <v>0</v>
      </c>
      <c r="H61" s="2954">
        <f>'Phụ lục số 4'!H61</f>
        <v>0</v>
      </c>
      <c r="I61" s="2954"/>
      <c r="J61" s="2954">
        <f>SUM(K61:V61)</f>
        <v>367885</v>
      </c>
      <c r="K61" s="2954">
        <f>'Phụ lục số 4'!K61</f>
        <v>0</v>
      </c>
      <c r="L61" s="2954">
        <f>'Phụ lục số 4'!L61</f>
        <v>0</v>
      </c>
      <c r="M61" s="2954">
        <f>'Phụ lục số 4'!M61</f>
        <v>0</v>
      </c>
      <c r="N61" s="2954">
        <f>'Phụ lục số 4'!N61</f>
        <v>0</v>
      </c>
      <c r="O61" s="2954">
        <f>'Phụ lục số 4'!O61</f>
        <v>367885</v>
      </c>
      <c r="P61" s="2954">
        <f>'Phụ lục số 4'!P61</f>
        <v>0</v>
      </c>
      <c r="Q61" s="2954">
        <f>'Phụ lục số 4'!Q61</f>
        <v>0</v>
      </c>
      <c r="R61" s="2954">
        <f>'Phụ lục số 4'!R61</f>
        <v>0</v>
      </c>
      <c r="S61" s="2954">
        <f>'Phụ lục số 4'!S61</f>
        <v>0</v>
      </c>
      <c r="T61" s="2954">
        <f>'Phụ lục số 4'!T61</f>
        <v>0</v>
      </c>
      <c r="U61" s="2954">
        <f>'Phụ lục số 4'!U61</f>
        <v>0</v>
      </c>
      <c r="V61" s="2954">
        <f>'Phụ lục số 4'!V61</f>
        <v>0</v>
      </c>
      <c r="W61" s="2954">
        <f>'Phụ lục số 4'!W61</f>
        <v>0</v>
      </c>
      <c r="X61" s="2954">
        <f>'Phụ lục số 4'!X61</f>
        <v>0</v>
      </c>
      <c r="Y61" s="2954">
        <f>'Phụ lục số 4'!Y61</f>
        <v>0</v>
      </c>
      <c r="Z61" s="2954">
        <f>'Phụ lục số 4'!Z61</f>
        <v>0</v>
      </c>
      <c r="AA61" s="2954">
        <f>'Phụ lục số 4'!AA61</f>
        <v>0</v>
      </c>
      <c r="AB61" s="2954">
        <f t="shared" ref="AB61:AB69" si="25">SUM(AC61:AD61)</f>
        <v>0</v>
      </c>
      <c r="AC61" s="2954">
        <f>'Phụ lục số 4'!AC61</f>
        <v>0</v>
      </c>
      <c r="AD61" s="3142">
        <f>'Phụ lục số 4'!AD61</f>
        <v>0</v>
      </c>
      <c r="AE61" s="3153">
        <f>'Phụ lục số 4'!AE61</f>
        <v>0</v>
      </c>
    </row>
    <row r="62" spans="1:31" s="154" customFormat="1">
      <c r="A62" s="2931">
        <v>46</v>
      </c>
      <c r="B62" s="2787" t="str">
        <f>'Phụ lục số 4'!B62</f>
        <v>Chi nhánh Ngân hàng chính sách xã hội</v>
      </c>
      <c r="C62" s="2954">
        <f t="shared" si="23"/>
        <v>0</v>
      </c>
      <c r="D62" s="2954">
        <f t="shared" si="24"/>
        <v>0</v>
      </c>
      <c r="E62" s="2954">
        <f>'Phụ lục số 4'!E62</f>
        <v>0</v>
      </c>
      <c r="F62" s="2954">
        <f>'Phụ lục số 4'!F62</f>
        <v>0</v>
      </c>
      <c r="G62" s="2954">
        <f>'Phụ lục số 4'!G62</f>
        <v>0</v>
      </c>
      <c r="H62" s="2954">
        <f>'Phụ lục số 4'!H62</f>
        <v>0</v>
      </c>
      <c r="I62" s="2954"/>
      <c r="J62" s="2954">
        <f t="shared" si="13"/>
        <v>0</v>
      </c>
      <c r="K62" s="2954">
        <f>'Phụ lục số 4'!K62</f>
        <v>0</v>
      </c>
      <c r="L62" s="2954">
        <f>'Phụ lục số 4'!L62</f>
        <v>0</v>
      </c>
      <c r="M62" s="2954">
        <f>'Phụ lục số 4'!M62</f>
        <v>0</v>
      </c>
      <c r="N62" s="2954">
        <f>'Phụ lục số 4'!N62</f>
        <v>0</v>
      </c>
      <c r="O62" s="2954">
        <f>'Phụ lục số 4'!O62</f>
        <v>0</v>
      </c>
      <c r="P62" s="2954">
        <f>'Phụ lục số 4'!P62</f>
        <v>0</v>
      </c>
      <c r="Q62" s="2954">
        <f>'Phụ lục số 4'!Q62</f>
        <v>0</v>
      </c>
      <c r="R62" s="2954">
        <f>'Phụ lục số 4'!R62</f>
        <v>0</v>
      </c>
      <c r="S62" s="2954">
        <f>'Phụ lục số 4'!S62</f>
        <v>0</v>
      </c>
      <c r="T62" s="2954">
        <f>'Phụ lục số 4'!T62</f>
        <v>0</v>
      </c>
      <c r="U62" s="2954">
        <f>'Phụ lục số 4'!U62</f>
        <v>0</v>
      </c>
      <c r="V62" s="2954">
        <f>'Phụ lục số 4'!V62</f>
        <v>0</v>
      </c>
      <c r="W62" s="2954">
        <f>'Phụ lục số 4'!W62</f>
        <v>0</v>
      </c>
      <c r="X62" s="2954">
        <f>'Phụ lục số 4'!X62</f>
        <v>0</v>
      </c>
      <c r="Y62" s="2954">
        <f>'Phụ lục số 4'!Y62</f>
        <v>0</v>
      </c>
      <c r="Z62" s="2954">
        <f>'Phụ lục số 4'!Z62</f>
        <v>0</v>
      </c>
      <c r="AA62" s="2954">
        <f>'Phụ lục số 4'!AA62</f>
        <v>0</v>
      </c>
      <c r="AB62" s="2954">
        <f t="shared" si="25"/>
        <v>0</v>
      </c>
      <c r="AC62" s="2954">
        <f>'Phụ lục số 4'!AC62</f>
        <v>0</v>
      </c>
      <c r="AD62" s="3142">
        <f>'Phụ lục số 4'!AD62</f>
        <v>0</v>
      </c>
      <c r="AE62" s="3153">
        <f>'Phụ lục số 4'!AE62</f>
        <v>0</v>
      </c>
    </row>
    <row r="63" spans="1:31" s="154" customFormat="1">
      <c r="A63" s="2931">
        <v>47</v>
      </c>
      <c r="B63" s="2787" t="str">
        <f>'Phụ lục số 4'!B63</f>
        <v>Hội nhà báo</v>
      </c>
      <c r="C63" s="2954">
        <f t="shared" si="23"/>
        <v>1257</v>
      </c>
      <c r="D63" s="2954">
        <f t="shared" si="24"/>
        <v>0</v>
      </c>
      <c r="E63" s="2954">
        <f>'Phụ lục số 4'!E63</f>
        <v>0</v>
      </c>
      <c r="F63" s="2954">
        <f>'Phụ lục số 4'!F63</f>
        <v>0</v>
      </c>
      <c r="G63" s="2954">
        <f>'Phụ lục số 4'!G63</f>
        <v>0</v>
      </c>
      <c r="H63" s="2954">
        <f>'Phụ lục số 4'!H63</f>
        <v>0</v>
      </c>
      <c r="I63" s="2954"/>
      <c r="J63" s="2954">
        <f t="shared" si="13"/>
        <v>1257</v>
      </c>
      <c r="K63" s="2954">
        <f>'Phụ lục số 4'!K63</f>
        <v>0</v>
      </c>
      <c r="L63" s="2954">
        <f>'Phụ lục số 4'!L63</f>
        <v>0</v>
      </c>
      <c r="M63" s="2954">
        <f>'Phụ lục số 4'!M63</f>
        <v>0</v>
      </c>
      <c r="N63" s="2954">
        <f>'Phụ lục số 4'!N63</f>
        <v>0</v>
      </c>
      <c r="O63" s="2954">
        <f>'Phụ lục số 4'!O63</f>
        <v>0</v>
      </c>
      <c r="P63" s="2954">
        <f>'Phụ lục số 4'!P63</f>
        <v>0</v>
      </c>
      <c r="Q63" s="2954">
        <f>'Phụ lục số 4'!Q63</f>
        <v>0</v>
      </c>
      <c r="R63" s="2954">
        <f>'Phụ lục số 4'!R63</f>
        <v>0</v>
      </c>
      <c r="S63" s="2954">
        <f>'Phụ lục số 4'!S63</f>
        <v>0</v>
      </c>
      <c r="T63" s="2954">
        <f>'Phụ lục số 4'!T63</f>
        <v>0</v>
      </c>
      <c r="U63" s="2954">
        <f>'Phụ lục số 4'!U63</f>
        <v>0</v>
      </c>
      <c r="V63" s="2954">
        <f>'Phụ lục số 4'!V63</f>
        <v>1257</v>
      </c>
      <c r="W63" s="2954">
        <f>'Phụ lục số 4'!W63</f>
        <v>0</v>
      </c>
      <c r="X63" s="2954">
        <f>'Phụ lục số 4'!X63</f>
        <v>0</v>
      </c>
      <c r="Y63" s="2954">
        <f>'Phụ lục số 4'!Y63</f>
        <v>0</v>
      </c>
      <c r="Z63" s="2954">
        <f>'Phụ lục số 4'!Z63</f>
        <v>0</v>
      </c>
      <c r="AA63" s="2954">
        <f>'Phụ lục số 4'!AA63</f>
        <v>0</v>
      </c>
      <c r="AB63" s="2954">
        <f t="shared" si="25"/>
        <v>0</v>
      </c>
      <c r="AC63" s="2954">
        <f>'Phụ lục số 4'!AC63</f>
        <v>0</v>
      </c>
      <c r="AD63" s="3142">
        <f>'Phụ lục số 4'!AD63</f>
        <v>0</v>
      </c>
      <c r="AE63" s="3153">
        <f>'Phụ lục số 4'!AE63</f>
        <v>0</v>
      </c>
    </row>
    <row r="64" spans="1:31" s="154" customFormat="1">
      <c r="A64" s="2931">
        <v>48</v>
      </c>
      <c r="B64" s="2787" t="str">
        <f>'Phụ lục số 4'!B64</f>
        <v>Hội Luật gia Tỉnh</v>
      </c>
      <c r="C64" s="2954">
        <f t="shared" si="23"/>
        <v>530</v>
      </c>
      <c r="D64" s="2954">
        <f t="shared" si="24"/>
        <v>0</v>
      </c>
      <c r="E64" s="2954">
        <f>'Phụ lục số 4'!E64</f>
        <v>0</v>
      </c>
      <c r="F64" s="2954">
        <f>'Phụ lục số 4'!F64</f>
        <v>0</v>
      </c>
      <c r="G64" s="2954">
        <f>'Phụ lục số 4'!G64</f>
        <v>0</v>
      </c>
      <c r="H64" s="2954">
        <f>'Phụ lục số 4'!H64</f>
        <v>0</v>
      </c>
      <c r="I64" s="2954"/>
      <c r="J64" s="2954">
        <f t="shared" si="13"/>
        <v>530</v>
      </c>
      <c r="K64" s="2954">
        <f>'Phụ lục số 4'!K64</f>
        <v>0</v>
      </c>
      <c r="L64" s="2954">
        <f>'Phụ lục số 4'!L64</f>
        <v>30</v>
      </c>
      <c r="M64" s="2954">
        <f>'Phụ lục số 4'!M64</f>
        <v>0</v>
      </c>
      <c r="N64" s="2954">
        <f>'Phụ lục số 4'!N64</f>
        <v>0</v>
      </c>
      <c r="O64" s="2954">
        <f>'Phụ lục số 4'!O64</f>
        <v>0</v>
      </c>
      <c r="P64" s="2954">
        <f>'Phụ lục số 4'!P64</f>
        <v>0</v>
      </c>
      <c r="Q64" s="2954">
        <f>'Phụ lục số 4'!Q64</f>
        <v>0</v>
      </c>
      <c r="R64" s="2954">
        <f>'Phụ lục số 4'!R64</f>
        <v>0</v>
      </c>
      <c r="S64" s="2954">
        <f>'Phụ lục số 4'!S64</f>
        <v>0</v>
      </c>
      <c r="T64" s="2954">
        <f>'Phụ lục số 4'!T64</f>
        <v>0</v>
      </c>
      <c r="U64" s="2954">
        <f>'Phụ lục số 4'!U64</f>
        <v>0</v>
      </c>
      <c r="V64" s="2954">
        <f>'Phụ lục số 4'!V64</f>
        <v>500</v>
      </c>
      <c r="W64" s="2954">
        <f>'Phụ lục số 4'!W64</f>
        <v>0</v>
      </c>
      <c r="X64" s="2954">
        <f>'Phụ lục số 4'!X64</f>
        <v>0</v>
      </c>
      <c r="Y64" s="2954">
        <f>'Phụ lục số 4'!Y64</f>
        <v>0</v>
      </c>
      <c r="Z64" s="2954">
        <f>'Phụ lục số 4'!Z64</f>
        <v>0</v>
      </c>
      <c r="AA64" s="2954">
        <f>'Phụ lục số 4'!AA64</f>
        <v>0</v>
      </c>
      <c r="AB64" s="2954">
        <f t="shared" si="25"/>
        <v>0</v>
      </c>
      <c r="AC64" s="2954">
        <f>'Phụ lục số 4'!AC64</f>
        <v>0</v>
      </c>
      <c r="AD64" s="3142">
        <f>'Phụ lục số 4'!AD64</f>
        <v>0</v>
      </c>
      <c r="AE64" s="3153">
        <f>'Phụ lục số 4'!AE64</f>
        <v>0</v>
      </c>
    </row>
    <row r="65" spans="1:31" s="154" customFormat="1" ht="54">
      <c r="A65" s="2931">
        <v>49</v>
      </c>
      <c r="B65" s="2787" t="str">
        <f>'Phụ lục số 4'!B65</f>
        <v>Hội Bảo trợ người khuyết tật, Nạn nhân chất độc da cam/dioxin và Bệnh nhân nghèo tỉnh Đồng Tháp</v>
      </c>
      <c r="C65" s="2954">
        <f t="shared" si="23"/>
        <v>500</v>
      </c>
      <c r="D65" s="2954">
        <f t="shared" si="24"/>
        <v>0</v>
      </c>
      <c r="E65" s="2954">
        <f>'Phụ lục số 4'!E65</f>
        <v>0</v>
      </c>
      <c r="F65" s="2954">
        <f>'Phụ lục số 4'!F65</f>
        <v>0</v>
      </c>
      <c r="G65" s="2954">
        <f>'Phụ lục số 4'!G65</f>
        <v>0</v>
      </c>
      <c r="H65" s="2954">
        <f>'Phụ lục số 4'!H65</f>
        <v>0</v>
      </c>
      <c r="I65" s="2954"/>
      <c r="J65" s="2954">
        <f t="shared" si="13"/>
        <v>500</v>
      </c>
      <c r="K65" s="2954">
        <f>'Phụ lục số 4'!K65</f>
        <v>0</v>
      </c>
      <c r="L65" s="2954">
        <f>'Phụ lục số 4'!L65</f>
        <v>0</v>
      </c>
      <c r="M65" s="2954">
        <f>'Phụ lục số 4'!M65</f>
        <v>0</v>
      </c>
      <c r="N65" s="2954">
        <f>'Phụ lục số 4'!N65</f>
        <v>0</v>
      </c>
      <c r="O65" s="2954">
        <f>'Phụ lục số 4'!O65</f>
        <v>0</v>
      </c>
      <c r="P65" s="2954">
        <f>'Phụ lục số 4'!P65</f>
        <v>0</v>
      </c>
      <c r="Q65" s="2954">
        <f>'Phụ lục số 4'!Q65</f>
        <v>0</v>
      </c>
      <c r="R65" s="2954">
        <f>'Phụ lục số 4'!R65</f>
        <v>0</v>
      </c>
      <c r="S65" s="2954">
        <f>'Phụ lục số 4'!S65</f>
        <v>0</v>
      </c>
      <c r="T65" s="2954">
        <f>'Phụ lục số 4'!T65</f>
        <v>0</v>
      </c>
      <c r="U65" s="2954">
        <f>'Phụ lục số 4'!U65</f>
        <v>0</v>
      </c>
      <c r="V65" s="2954">
        <f>'Phụ lục số 4'!V65</f>
        <v>500</v>
      </c>
      <c r="W65" s="2954">
        <f>'Phụ lục số 4'!W65</f>
        <v>0</v>
      </c>
      <c r="X65" s="2954">
        <f>'Phụ lục số 4'!X65</f>
        <v>0</v>
      </c>
      <c r="Y65" s="2954">
        <f>'Phụ lục số 4'!Y65</f>
        <v>0</v>
      </c>
      <c r="Z65" s="2954">
        <f>'Phụ lục số 4'!Z65</f>
        <v>0</v>
      </c>
      <c r="AA65" s="2954">
        <f>'Phụ lục số 4'!AA65</f>
        <v>0</v>
      </c>
      <c r="AB65" s="2954">
        <f t="shared" si="25"/>
        <v>0</v>
      </c>
      <c r="AC65" s="2954">
        <f>'Phụ lục số 4'!AC65</f>
        <v>0</v>
      </c>
      <c r="AD65" s="3142">
        <f>'Phụ lục số 4'!AD65</f>
        <v>0</v>
      </c>
      <c r="AE65" s="3153">
        <f>'Phụ lục số 4'!AE65</f>
        <v>0</v>
      </c>
    </row>
    <row r="66" spans="1:31" s="154" customFormat="1">
      <c r="A66" s="2931">
        <v>50</v>
      </c>
      <c r="B66" s="2787" t="str">
        <f>'Phụ lục số 4'!B66</f>
        <v>Hội Khuyến học tỉnh</v>
      </c>
      <c r="C66" s="2954">
        <f t="shared" si="23"/>
        <v>400</v>
      </c>
      <c r="D66" s="2954">
        <f t="shared" si="24"/>
        <v>0</v>
      </c>
      <c r="E66" s="2954">
        <f>'Phụ lục số 4'!E66</f>
        <v>0</v>
      </c>
      <c r="F66" s="2954">
        <f>'Phụ lục số 4'!F66</f>
        <v>0</v>
      </c>
      <c r="G66" s="2954">
        <f>'Phụ lục số 4'!G66</f>
        <v>0</v>
      </c>
      <c r="H66" s="2954">
        <f>'Phụ lục số 4'!H66</f>
        <v>0</v>
      </c>
      <c r="I66" s="2954"/>
      <c r="J66" s="2954">
        <f t="shared" si="13"/>
        <v>400</v>
      </c>
      <c r="K66" s="2954">
        <f>'Phụ lục số 4'!K66</f>
        <v>0</v>
      </c>
      <c r="L66" s="2954">
        <f>'Phụ lục số 4'!L66</f>
        <v>0</v>
      </c>
      <c r="M66" s="2954">
        <f>'Phụ lục số 4'!M66</f>
        <v>0</v>
      </c>
      <c r="N66" s="2954">
        <f>'Phụ lục số 4'!N66</f>
        <v>0</v>
      </c>
      <c r="O66" s="2954">
        <f>'Phụ lục số 4'!O66</f>
        <v>0</v>
      </c>
      <c r="P66" s="2954">
        <f>'Phụ lục số 4'!P66</f>
        <v>0</v>
      </c>
      <c r="Q66" s="2954">
        <f>'Phụ lục số 4'!Q66</f>
        <v>0</v>
      </c>
      <c r="R66" s="2954">
        <f>'Phụ lục số 4'!R66</f>
        <v>0</v>
      </c>
      <c r="S66" s="2954">
        <f>'Phụ lục số 4'!S66</f>
        <v>0</v>
      </c>
      <c r="T66" s="2954">
        <f>'Phụ lục số 4'!T66</f>
        <v>0</v>
      </c>
      <c r="U66" s="2954">
        <f>'Phụ lục số 4'!U66</f>
        <v>0</v>
      </c>
      <c r="V66" s="2954">
        <f>'Phụ lục số 4'!V66</f>
        <v>400</v>
      </c>
      <c r="W66" s="2954">
        <f>'Phụ lục số 4'!W66</f>
        <v>0</v>
      </c>
      <c r="X66" s="2954">
        <f>'Phụ lục số 4'!X66</f>
        <v>0</v>
      </c>
      <c r="Y66" s="2954">
        <f>'Phụ lục số 4'!Y66</f>
        <v>0</v>
      </c>
      <c r="Z66" s="2954">
        <f>'Phụ lục số 4'!Z66</f>
        <v>0</v>
      </c>
      <c r="AA66" s="2954">
        <f>'Phụ lục số 4'!AA66</f>
        <v>0</v>
      </c>
      <c r="AB66" s="2954">
        <f t="shared" si="25"/>
        <v>0</v>
      </c>
      <c r="AC66" s="2954">
        <f>'Phụ lục số 4'!AC66</f>
        <v>0</v>
      </c>
      <c r="AD66" s="3142">
        <f>'Phụ lục số 4'!AD66</f>
        <v>0</v>
      </c>
      <c r="AE66" s="3153">
        <f>'Phụ lục số 4'!AE66</f>
        <v>0</v>
      </c>
    </row>
    <row r="67" spans="1:31" s="154" customFormat="1">
      <c r="A67" s="2931">
        <v>51</v>
      </c>
      <c r="B67" s="2787" t="str">
        <f>'Phụ lục số 4'!B67</f>
        <v>Hội Y học tỉnh</v>
      </c>
      <c r="C67" s="2954">
        <f t="shared" si="23"/>
        <v>400</v>
      </c>
      <c r="D67" s="2954">
        <f t="shared" si="24"/>
        <v>0</v>
      </c>
      <c r="E67" s="2954">
        <f>'Phụ lục số 4'!E67</f>
        <v>0</v>
      </c>
      <c r="F67" s="2954">
        <f>'Phụ lục số 4'!F67</f>
        <v>0</v>
      </c>
      <c r="G67" s="2954">
        <f>'Phụ lục số 4'!G67</f>
        <v>0</v>
      </c>
      <c r="H67" s="2954">
        <f>'Phụ lục số 4'!H67</f>
        <v>0</v>
      </c>
      <c r="I67" s="2954"/>
      <c r="J67" s="2954">
        <f t="shared" si="13"/>
        <v>400</v>
      </c>
      <c r="K67" s="2954">
        <f>'Phụ lục số 4'!K67</f>
        <v>0</v>
      </c>
      <c r="L67" s="2954">
        <f>'Phụ lục số 4'!L67</f>
        <v>0</v>
      </c>
      <c r="M67" s="2954">
        <f>'Phụ lục số 4'!M67</f>
        <v>0</v>
      </c>
      <c r="N67" s="2954">
        <f>'Phụ lục số 4'!N67</f>
        <v>0</v>
      </c>
      <c r="O67" s="2954">
        <f>'Phụ lục số 4'!O67</f>
        <v>0</v>
      </c>
      <c r="P67" s="2954">
        <f>'Phụ lục số 4'!P67</f>
        <v>0</v>
      </c>
      <c r="Q67" s="2954">
        <f>'Phụ lục số 4'!Q67</f>
        <v>0</v>
      </c>
      <c r="R67" s="2954">
        <f>'Phụ lục số 4'!R67</f>
        <v>0</v>
      </c>
      <c r="S67" s="2954">
        <f>'Phụ lục số 4'!S67</f>
        <v>0</v>
      </c>
      <c r="T67" s="2954">
        <f>'Phụ lục số 4'!T67</f>
        <v>0</v>
      </c>
      <c r="U67" s="2954">
        <f>'Phụ lục số 4'!U67</f>
        <v>0</v>
      </c>
      <c r="V67" s="2954">
        <f>'Phụ lục số 4'!V67</f>
        <v>400</v>
      </c>
      <c r="W67" s="2954">
        <f>'Phụ lục số 4'!W67</f>
        <v>0</v>
      </c>
      <c r="X67" s="2954">
        <f>'Phụ lục số 4'!X67</f>
        <v>0</v>
      </c>
      <c r="Y67" s="2954">
        <f>'Phụ lục số 4'!Y67</f>
        <v>0</v>
      </c>
      <c r="Z67" s="2954">
        <f>'Phụ lục số 4'!Z67</f>
        <v>0</v>
      </c>
      <c r="AA67" s="2954">
        <f>'Phụ lục số 4'!AA67</f>
        <v>0</v>
      </c>
      <c r="AB67" s="2954">
        <f t="shared" si="25"/>
        <v>0</v>
      </c>
      <c r="AC67" s="2954">
        <f>'Phụ lục số 4'!AC67</f>
        <v>0</v>
      </c>
      <c r="AD67" s="3142">
        <f>'Phụ lục số 4'!AD67</f>
        <v>0</v>
      </c>
      <c r="AE67" s="3153">
        <f>'Phụ lục số 4'!AE67</f>
        <v>0</v>
      </c>
    </row>
    <row r="68" spans="1:31" s="154" customFormat="1">
      <c r="A68" s="2931">
        <v>52</v>
      </c>
      <c r="B68" s="2787" t="str">
        <f>'Phụ lục số 4'!B68</f>
        <v>Ban đại diện Hội Người Cao tuổi</v>
      </c>
      <c r="C68" s="2954">
        <f t="shared" si="23"/>
        <v>718</v>
      </c>
      <c r="D68" s="2954">
        <f t="shared" si="24"/>
        <v>0</v>
      </c>
      <c r="E68" s="2954">
        <f>'Phụ lục số 4'!E68</f>
        <v>0</v>
      </c>
      <c r="F68" s="2954">
        <f>'Phụ lục số 4'!F68</f>
        <v>0</v>
      </c>
      <c r="G68" s="2954">
        <f>'Phụ lục số 4'!G68</f>
        <v>0</v>
      </c>
      <c r="H68" s="2954">
        <f>'Phụ lục số 4'!H68</f>
        <v>0</v>
      </c>
      <c r="I68" s="2954"/>
      <c r="J68" s="2954">
        <f t="shared" si="13"/>
        <v>718</v>
      </c>
      <c r="K68" s="2954">
        <f>'Phụ lục số 4'!K68</f>
        <v>0</v>
      </c>
      <c r="L68" s="2954">
        <f>'Phụ lục số 4'!L68</f>
        <v>38</v>
      </c>
      <c r="M68" s="2954">
        <f>'Phụ lục số 4'!M68</f>
        <v>0</v>
      </c>
      <c r="N68" s="2954">
        <f>'Phụ lục số 4'!N68</f>
        <v>0</v>
      </c>
      <c r="O68" s="2954">
        <f>'Phụ lục số 4'!O68</f>
        <v>0</v>
      </c>
      <c r="P68" s="2954">
        <f>'Phụ lục số 4'!P68</f>
        <v>0</v>
      </c>
      <c r="Q68" s="2954">
        <f>'Phụ lục số 4'!Q68</f>
        <v>0</v>
      </c>
      <c r="R68" s="2954">
        <f>'Phụ lục số 4'!R68</f>
        <v>0</v>
      </c>
      <c r="S68" s="2954">
        <f>'Phụ lục số 4'!S68</f>
        <v>0</v>
      </c>
      <c r="T68" s="2954">
        <f>'Phụ lục số 4'!T68</f>
        <v>0</v>
      </c>
      <c r="U68" s="2954">
        <f>'Phụ lục số 4'!U68</f>
        <v>0</v>
      </c>
      <c r="V68" s="2954">
        <f>'Phụ lục số 4'!V68</f>
        <v>680</v>
      </c>
      <c r="W68" s="2954">
        <f>'Phụ lục số 4'!W68</f>
        <v>0</v>
      </c>
      <c r="X68" s="2954">
        <f>'Phụ lục số 4'!X68</f>
        <v>0</v>
      </c>
      <c r="Y68" s="2954">
        <f>'Phụ lục số 4'!Y68</f>
        <v>0</v>
      </c>
      <c r="Z68" s="2954">
        <f>'Phụ lục số 4'!Z68</f>
        <v>0</v>
      </c>
      <c r="AA68" s="2954">
        <f>'Phụ lục số 4'!AA68</f>
        <v>0</v>
      </c>
      <c r="AB68" s="2954">
        <f t="shared" si="25"/>
        <v>0</v>
      </c>
      <c r="AC68" s="2954">
        <f>'Phụ lục số 4'!AC68</f>
        <v>0</v>
      </c>
      <c r="AD68" s="3142">
        <f>'Phụ lục số 4'!AD68</f>
        <v>0</v>
      </c>
      <c r="AE68" s="3153">
        <f>'Phụ lục số 4'!AE68</f>
        <v>0</v>
      </c>
    </row>
    <row r="69" spans="1:31" s="154" customFormat="1">
      <c r="A69" s="2931">
        <v>53</v>
      </c>
      <c r="B69" s="2787" t="str">
        <f>'Phụ lục số 4'!B69</f>
        <v>Hội Khoa học Lịch sử tỉnh</v>
      </c>
      <c r="C69" s="2954">
        <f t="shared" si="23"/>
        <v>1050</v>
      </c>
      <c r="D69" s="2954">
        <f t="shared" si="24"/>
        <v>0</v>
      </c>
      <c r="E69" s="2954">
        <f>'Phụ lục số 4'!E69</f>
        <v>0</v>
      </c>
      <c r="F69" s="2954">
        <f>'Phụ lục số 4'!F69</f>
        <v>0</v>
      </c>
      <c r="G69" s="2954">
        <f>'Phụ lục số 4'!G69</f>
        <v>0</v>
      </c>
      <c r="H69" s="2954">
        <f>'Phụ lục số 4'!H69</f>
        <v>0</v>
      </c>
      <c r="I69" s="2954"/>
      <c r="J69" s="2954">
        <f t="shared" si="13"/>
        <v>1050</v>
      </c>
      <c r="K69" s="2954">
        <f>'Phụ lục số 4'!K69</f>
        <v>0</v>
      </c>
      <c r="L69" s="2954">
        <f>'Phụ lục số 4'!L69</f>
        <v>0</v>
      </c>
      <c r="M69" s="2954">
        <f>'Phụ lục số 4'!M69</f>
        <v>0</v>
      </c>
      <c r="N69" s="2954">
        <f>'Phụ lục số 4'!N69</f>
        <v>0</v>
      </c>
      <c r="O69" s="2954">
        <f>'Phụ lục số 4'!O69</f>
        <v>0</v>
      </c>
      <c r="P69" s="2954">
        <f>'Phụ lục số 4'!P69</f>
        <v>0</v>
      </c>
      <c r="Q69" s="2954">
        <f>'Phụ lục số 4'!Q69</f>
        <v>0</v>
      </c>
      <c r="R69" s="2954">
        <f>'Phụ lục số 4'!R69</f>
        <v>0</v>
      </c>
      <c r="S69" s="2954">
        <f>'Phụ lục số 4'!S69</f>
        <v>0</v>
      </c>
      <c r="T69" s="2954">
        <f>'Phụ lục số 4'!T69</f>
        <v>0</v>
      </c>
      <c r="U69" s="2954">
        <f>'Phụ lục số 4'!U69</f>
        <v>0</v>
      </c>
      <c r="V69" s="2954">
        <f>'Phụ lục số 4'!V69</f>
        <v>1050</v>
      </c>
      <c r="W69" s="2954">
        <f>'Phụ lục số 4'!W69</f>
        <v>0</v>
      </c>
      <c r="X69" s="2954">
        <f>'Phụ lục số 4'!X69</f>
        <v>0</v>
      </c>
      <c r="Y69" s="2954">
        <f>'Phụ lục số 4'!Y69</f>
        <v>0</v>
      </c>
      <c r="Z69" s="2954">
        <f>'Phụ lục số 4'!Z69</f>
        <v>0</v>
      </c>
      <c r="AA69" s="2954">
        <f>'Phụ lục số 4'!AA69</f>
        <v>0</v>
      </c>
      <c r="AB69" s="2954">
        <f t="shared" si="25"/>
        <v>0</v>
      </c>
      <c r="AC69" s="2954">
        <f>'Phụ lục số 4'!AC69</f>
        <v>0</v>
      </c>
      <c r="AD69" s="3142">
        <f>'Phụ lục số 4'!AD69</f>
        <v>0</v>
      </c>
      <c r="AE69" s="3153">
        <f>'Phụ lục số 4'!AE69</f>
        <v>0</v>
      </c>
    </row>
    <row r="70" spans="1:31" s="154" customFormat="1">
      <c r="A70" s="2931">
        <v>54</v>
      </c>
      <c r="B70" s="2787" t="str">
        <f>'Phụ lục số 4'!B70</f>
        <v>Cục Thi hành án dân sự tỉnh Đồng Tháp</v>
      </c>
      <c r="C70" s="2954">
        <f t="shared" si="23"/>
        <v>150</v>
      </c>
      <c r="D70" s="2954"/>
      <c r="E70" s="2954"/>
      <c r="F70" s="2954"/>
      <c r="G70" s="2954"/>
      <c r="H70" s="2954"/>
      <c r="I70" s="2954"/>
      <c r="J70" s="2954">
        <f t="shared" si="13"/>
        <v>150</v>
      </c>
      <c r="K70" s="2954"/>
      <c r="L70" s="2954"/>
      <c r="M70" s="2954"/>
      <c r="N70" s="2954"/>
      <c r="O70" s="2954"/>
      <c r="P70" s="2954"/>
      <c r="Q70" s="2954"/>
      <c r="R70" s="2954"/>
      <c r="S70" s="2954"/>
      <c r="T70" s="2954"/>
      <c r="U70" s="2954"/>
      <c r="V70" s="2954">
        <f>'Phụ lục số 4'!V70</f>
        <v>150</v>
      </c>
      <c r="W70" s="2954"/>
      <c r="X70" s="2954"/>
      <c r="Y70" s="2954"/>
      <c r="Z70" s="2954"/>
      <c r="AA70" s="2954"/>
      <c r="AB70" s="2954"/>
      <c r="AC70" s="2954"/>
      <c r="AD70" s="3142"/>
      <c r="AE70" s="3153"/>
    </row>
    <row r="71" spans="1:31" s="154" customFormat="1">
      <c r="A71" s="2931">
        <v>55</v>
      </c>
      <c r="B71" s="2787" t="str">
        <f>'Phụ lục số 4'!B71</f>
        <v>Cục Thuế tỉnh Đồng Tháp</v>
      </c>
      <c r="C71" s="2954">
        <f t="shared" si="23"/>
        <v>300</v>
      </c>
      <c r="D71" s="2954"/>
      <c r="E71" s="2954"/>
      <c r="F71" s="2954"/>
      <c r="G71" s="2954"/>
      <c r="H71" s="2954"/>
      <c r="I71" s="2954"/>
      <c r="J71" s="2954">
        <f t="shared" si="13"/>
        <v>300</v>
      </c>
      <c r="K71" s="2954"/>
      <c r="L71" s="2954"/>
      <c r="M71" s="2954"/>
      <c r="N71" s="2954"/>
      <c r="O71" s="2954"/>
      <c r="P71" s="2954"/>
      <c r="Q71" s="2954"/>
      <c r="R71" s="2954"/>
      <c r="S71" s="2954"/>
      <c r="T71" s="2954"/>
      <c r="U71" s="2954"/>
      <c r="V71" s="2954">
        <f>'Phụ lục số 4'!V71</f>
        <v>300</v>
      </c>
      <c r="W71" s="2954"/>
      <c r="X71" s="2954"/>
      <c r="Y71" s="2954"/>
      <c r="Z71" s="2954"/>
      <c r="AA71" s="2954"/>
      <c r="AB71" s="2954"/>
      <c r="AC71" s="2954"/>
      <c r="AD71" s="3142"/>
      <c r="AE71" s="3153"/>
    </row>
    <row r="72" spans="1:31" s="154" customFormat="1">
      <c r="A72" s="2931">
        <v>56</v>
      </c>
      <c r="B72" s="2787" t="str">
        <f>'Phụ lục số 4'!B72</f>
        <v>Cục Thống kê tỉnh Đồng Tháp</v>
      </c>
      <c r="C72" s="2954">
        <f t="shared" si="23"/>
        <v>100</v>
      </c>
      <c r="D72" s="2954"/>
      <c r="E72" s="2954"/>
      <c r="F72" s="2954"/>
      <c r="G72" s="2954"/>
      <c r="H72" s="2954"/>
      <c r="I72" s="2954"/>
      <c r="J72" s="2954">
        <f t="shared" si="13"/>
        <v>100</v>
      </c>
      <c r="K72" s="2954"/>
      <c r="L72" s="2954"/>
      <c r="M72" s="2954"/>
      <c r="N72" s="2954"/>
      <c r="O72" s="2954"/>
      <c r="P72" s="2954"/>
      <c r="Q72" s="2954"/>
      <c r="R72" s="2954"/>
      <c r="S72" s="2954"/>
      <c r="T72" s="2954"/>
      <c r="U72" s="2954"/>
      <c r="V72" s="2954">
        <f>'Phụ lục số 4'!V72</f>
        <v>100</v>
      </c>
      <c r="W72" s="2954"/>
      <c r="X72" s="2954"/>
      <c r="Y72" s="2954"/>
      <c r="Z72" s="2954"/>
      <c r="AA72" s="2954"/>
      <c r="AB72" s="2954"/>
      <c r="AC72" s="2954"/>
      <c r="AD72" s="3142"/>
      <c r="AE72" s="3153"/>
    </row>
    <row r="73" spans="1:31" s="154" customFormat="1">
      <c r="A73" s="2931">
        <v>57</v>
      </c>
      <c r="B73" s="2787" t="str">
        <f>'Phụ lục số 4'!B73</f>
        <v>Cục Quản lý thị trường Tỉnh</v>
      </c>
      <c r="C73" s="2954">
        <f t="shared" si="23"/>
        <v>300</v>
      </c>
      <c r="D73" s="2954"/>
      <c r="E73" s="2954"/>
      <c r="F73" s="2954"/>
      <c r="G73" s="2954"/>
      <c r="H73" s="2954"/>
      <c r="I73" s="2954"/>
      <c r="J73" s="2954">
        <f t="shared" si="13"/>
        <v>300</v>
      </c>
      <c r="K73" s="2954"/>
      <c r="L73" s="2954"/>
      <c r="M73" s="2954"/>
      <c r="N73" s="2954"/>
      <c r="O73" s="2954"/>
      <c r="P73" s="2954"/>
      <c r="Q73" s="2954"/>
      <c r="R73" s="2954"/>
      <c r="S73" s="2954"/>
      <c r="T73" s="2954"/>
      <c r="U73" s="2954"/>
      <c r="V73" s="2954">
        <f>'Phụ lục số 4'!V73</f>
        <v>300</v>
      </c>
      <c r="W73" s="2954"/>
      <c r="X73" s="2954"/>
      <c r="Y73" s="2954"/>
      <c r="Z73" s="2954"/>
      <c r="AA73" s="2954"/>
      <c r="AB73" s="2954"/>
      <c r="AC73" s="2954"/>
      <c r="AD73" s="3142"/>
      <c r="AE73" s="3153"/>
    </row>
    <row r="74" spans="1:31">
      <c r="A74" s="3063">
        <v>57</v>
      </c>
      <c r="B74" s="3580" t="str">
        <f>'Phụ lục số 4'!B74</f>
        <v>Tòa án Nhân dân tỉnh Đồng Tháp</v>
      </c>
      <c r="C74" s="3581">
        <f t="shared" si="23"/>
        <v>187</v>
      </c>
      <c r="D74" s="3581"/>
      <c r="E74" s="3581"/>
      <c r="F74" s="3581"/>
      <c r="G74" s="3581"/>
      <c r="H74" s="3581"/>
      <c r="I74" s="3581"/>
      <c r="J74" s="3581">
        <f t="shared" si="13"/>
        <v>187</v>
      </c>
      <c r="K74" s="3581"/>
      <c r="L74" s="3581"/>
      <c r="M74" s="3581"/>
      <c r="N74" s="3581"/>
      <c r="O74" s="3581"/>
      <c r="P74" s="3581"/>
      <c r="Q74" s="3581"/>
      <c r="R74" s="3581"/>
      <c r="S74" s="3581"/>
      <c r="T74" s="3581"/>
      <c r="U74" s="3581"/>
      <c r="V74" s="2954">
        <f>'Phụ lục số 4'!V74</f>
        <v>187</v>
      </c>
      <c r="W74" s="3581"/>
      <c r="X74" s="3581"/>
      <c r="Y74" s="3581"/>
      <c r="Z74" s="3581"/>
      <c r="AA74" s="3581"/>
      <c r="AB74" s="3581"/>
      <c r="AC74" s="3581"/>
      <c r="AD74" s="3582"/>
      <c r="AE74" s="3583"/>
    </row>
    <row r="75" spans="1:31" s="1319" customFormat="1" ht="69.599999999999994">
      <c r="A75" s="3028" t="s">
        <v>72</v>
      </c>
      <c r="B75" s="3562" t="str">
        <f>'Phụ lục số 4'!B75</f>
        <v>CÁC KHOẢN CHI ĐÃ GIAO THEO LĨNH VỰC (CHƯA GIAO CỤ THỂ ĐẦU NĂM) CHO ĐƠN VỊ TRÊN ĐỊA BÀN TỈNH</v>
      </c>
      <c r="C75" s="3563">
        <f>D75+J75+AB75+W75+X75</f>
        <v>330590.55099999998</v>
      </c>
      <c r="D75" s="3563">
        <f t="shared" ref="D75:D108" si="26">SUM(E75:H75)</f>
        <v>0</v>
      </c>
      <c r="E75" s="3563">
        <f>'Phụ lục số 4'!E75</f>
        <v>0</v>
      </c>
      <c r="F75" s="3563">
        <f>'Phụ lục số 4'!F75</f>
        <v>0</v>
      </c>
      <c r="G75" s="3563">
        <f>'Phụ lục số 4'!G75</f>
        <v>0</v>
      </c>
      <c r="H75" s="3563">
        <f>'Phụ lục số 4'!H75</f>
        <v>0</v>
      </c>
      <c r="I75" s="3563"/>
      <c r="J75" s="3563">
        <f t="shared" si="13"/>
        <v>318964.55099999998</v>
      </c>
      <c r="K75" s="3563">
        <f>'Phụ lục số 4'!K75</f>
        <v>195500</v>
      </c>
      <c r="L75" s="3563">
        <f>'Phụ lục số 4'!L75</f>
        <v>1152</v>
      </c>
      <c r="M75" s="3563">
        <f>'Phụ lục số 4'!M75</f>
        <v>1892</v>
      </c>
      <c r="N75" s="3563">
        <f>'Phụ lục số 4'!N75</f>
        <v>74667</v>
      </c>
      <c r="O75" s="3563">
        <f>'Phụ lục số 4'!O75</f>
        <v>0</v>
      </c>
      <c r="P75" s="3563">
        <f>'Phụ lục số 4'!P75</f>
        <v>2694</v>
      </c>
      <c r="Q75" s="3563">
        <f>'Phụ lục số 4'!Q75</f>
        <v>0</v>
      </c>
      <c r="R75" s="3563">
        <f>'Phụ lục số 4'!R75</f>
        <v>0</v>
      </c>
      <c r="S75" s="3563">
        <f>'Phụ lục số 4'!S75</f>
        <v>23385</v>
      </c>
      <c r="T75" s="3563">
        <f>'Phụ lục số 4'!T75</f>
        <v>5498.9510000000009</v>
      </c>
      <c r="U75" s="3563">
        <f>'Phụ lục số 4'!U75</f>
        <v>-0.39999999999417923</v>
      </c>
      <c r="V75" s="3563">
        <f>'Phụ lục số 4'!V75</f>
        <v>14176</v>
      </c>
      <c r="W75" s="3563">
        <f>'Phụ lục số 4'!W75</f>
        <v>0</v>
      </c>
      <c r="X75" s="3563">
        <f>'Phụ lục số 4'!X75</f>
        <v>0</v>
      </c>
      <c r="Y75" s="3563">
        <f>'Phụ lục số 4'!Y75</f>
        <v>0</v>
      </c>
      <c r="Z75" s="3563">
        <f>'Phụ lục số 4'!Z75</f>
        <v>0</v>
      </c>
      <c r="AA75" s="3563">
        <f>'Phụ lục số 4'!AA75</f>
        <v>0</v>
      </c>
      <c r="AB75" s="3563">
        <f t="shared" ref="AB75" si="27">SUM(AC75:AD75)</f>
        <v>11626</v>
      </c>
      <c r="AC75" s="3563">
        <f>'Phụ lục số 4'!AC75</f>
        <v>0</v>
      </c>
      <c r="AD75" s="3564">
        <f>'Phụ lục số 4'!AD75</f>
        <v>11626</v>
      </c>
      <c r="AE75" s="3154">
        <f>'Phụ lục số 4'!AE75</f>
        <v>0</v>
      </c>
    </row>
    <row r="76" spans="1:31" s="1319" customFormat="1" ht="17.399999999999999">
      <c r="A76" s="3671">
        <f>'Phụ lục số 4'!A76</f>
        <v>1</v>
      </c>
      <c r="B76" s="3612" t="str">
        <f>'Phụ lục số 4'!B76</f>
        <v>Các nhiệm vụ chi hoạt động kinh tế</v>
      </c>
      <c r="C76" s="2956">
        <f t="shared" ref="C76:C105" si="28">D76+J76+AB76+W76+X76+AA76</f>
        <v>195500</v>
      </c>
      <c r="D76" s="3563"/>
      <c r="E76" s="3563"/>
      <c r="F76" s="3563"/>
      <c r="G76" s="3563"/>
      <c r="H76" s="3563"/>
      <c r="I76" s="3563"/>
      <c r="J76" s="2956">
        <f>SUM(K76:V76)</f>
        <v>195500</v>
      </c>
      <c r="K76" s="2956">
        <f>'Phụ lục số 4'!K76</f>
        <v>195500</v>
      </c>
      <c r="L76" s="2956">
        <f>'Phụ lục số 4'!L76</f>
        <v>0</v>
      </c>
      <c r="M76" s="2956">
        <f>'Phụ lục số 4'!M76</f>
        <v>0</v>
      </c>
      <c r="N76" s="2956">
        <f>'Phụ lục số 4'!N76</f>
        <v>0</v>
      </c>
      <c r="O76" s="2956">
        <f>'Phụ lục số 4'!O76</f>
        <v>0</v>
      </c>
      <c r="P76" s="2956">
        <f>'Phụ lục số 4'!P76</f>
        <v>0</v>
      </c>
      <c r="Q76" s="2956">
        <f>'Phụ lục số 4'!Q76</f>
        <v>0</v>
      </c>
      <c r="R76" s="2956">
        <f>'Phụ lục số 4'!R76</f>
        <v>0</v>
      </c>
      <c r="S76" s="2956">
        <f>'Phụ lục số 4'!S76</f>
        <v>0</v>
      </c>
      <c r="T76" s="2956">
        <f>'Phụ lục số 4'!T76</f>
        <v>0</v>
      </c>
      <c r="U76" s="2956">
        <f>'Phụ lục số 4'!U76</f>
        <v>0</v>
      </c>
      <c r="V76" s="2956">
        <f>'Phụ lục số 4'!V76</f>
        <v>0</v>
      </c>
      <c r="W76" s="2956">
        <f>'Phụ lục số 4'!W76</f>
        <v>0</v>
      </c>
      <c r="X76" s="2956">
        <f>'Phụ lục số 4'!X76</f>
        <v>0</v>
      </c>
      <c r="Y76" s="2956">
        <f>'Phụ lục số 4'!Y76</f>
        <v>0</v>
      </c>
      <c r="Z76" s="2956">
        <f>'Phụ lục số 4'!Z76</f>
        <v>0</v>
      </c>
      <c r="AA76" s="2956">
        <f>'Phụ lục số 4'!AA76</f>
        <v>0</v>
      </c>
      <c r="AB76" s="2956">
        <f>'Phụ lục số 4'!AB76</f>
        <v>0</v>
      </c>
      <c r="AC76" s="2956">
        <f>'Phụ lục số 4'!AC76</f>
        <v>0</v>
      </c>
      <c r="AD76" s="3143">
        <f>'Phụ lục số 4'!AD76</f>
        <v>0</v>
      </c>
      <c r="AE76" s="3154"/>
    </row>
    <row r="77" spans="1:31" s="154" customFormat="1" ht="36">
      <c r="A77" s="3031" t="str">
        <f>'Phụ lục số 4'!A77</f>
        <v>a</v>
      </c>
      <c r="B77" s="3593" t="str">
        <f>'Phụ lục số 4'!B77</f>
        <v>Kinh phí phát triển cây xanh, chiếu sáng đô thị toàn tỉnh</v>
      </c>
      <c r="C77" s="2954">
        <f t="shared" si="28"/>
        <v>70000</v>
      </c>
      <c r="D77" s="2954">
        <f t="shared" si="26"/>
        <v>0</v>
      </c>
      <c r="E77" s="2954">
        <f>'Phụ lục số 4'!E77</f>
        <v>0</v>
      </c>
      <c r="F77" s="2954">
        <f>'Phụ lục số 4'!F77</f>
        <v>0</v>
      </c>
      <c r="G77" s="2954">
        <f>'Phụ lục số 4'!G77</f>
        <v>0</v>
      </c>
      <c r="H77" s="2954">
        <f>'Phụ lục số 4'!H77</f>
        <v>0</v>
      </c>
      <c r="I77" s="2954"/>
      <c r="J77" s="2954">
        <f t="shared" si="13"/>
        <v>70000</v>
      </c>
      <c r="K77" s="2954">
        <f>'Phụ lục số 4'!K77</f>
        <v>70000</v>
      </c>
      <c r="L77" s="2954">
        <f>'Phụ lục số 4'!L77</f>
        <v>0</v>
      </c>
      <c r="M77" s="2954">
        <f>'Phụ lục số 4'!M77</f>
        <v>0</v>
      </c>
      <c r="N77" s="2954">
        <f>'Phụ lục số 4'!N77</f>
        <v>0</v>
      </c>
      <c r="O77" s="2954">
        <f>'Phụ lục số 4'!O77</f>
        <v>0</v>
      </c>
      <c r="P77" s="2954">
        <f>'Phụ lục số 4'!P77</f>
        <v>0</v>
      </c>
      <c r="Q77" s="2954">
        <f>'Phụ lục số 4'!Q77</f>
        <v>0</v>
      </c>
      <c r="R77" s="2954">
        <f>'Phụ lục số 4'!R77</f>
        <v>0</v>
      </c>
      <c r="S77" s="2954">
        <f>'Phụ lục số 4'!S77</f>
        <v>0</v>
      </c>
      <c r="T77" s="2954">
        <f>'Phụ lục số 4'!T77</f>
        <v>0</v>
      </c>
      <c r="U77" s="2954">
        <f>'Phụ lục số 4'!U77</f>
        <v>0</v>
      </c>
      <c r="V77" s="2954">
        <f>'Phụ lục số 4'!V77</f>
        <v>0</v>
      </c>
      <c r="W77" s="2954">
        <f>'Phụ lục số 4'!W77</f>
        <v>0</v>
      </c>
      <c r="X77" s="2954">
        <f>'Phụ lục số 4'!X77</f>
        <v>0</v>
      </c>
      <c r="Y77" s="2954">
        <f>'Phụ lục số 4'!Y77</f>
        <v>0</v>
      </c>
      <c r="Z77" s="2954">
        <f>'Phụ lục số 4'!Z77</f>
        <v>0</v>
      </c>
      <c r="AA77" s="2954">
        <f>'Phụ lục số 4'!AA77</f>
        <v>0</v>
      </c>
      <c r="AB77" s="2954">
        <f>'Phụ lục số 4'!AB77</f>
        <v>0</v>
      </c>
      <c r="AC77" s="2954">
        <f>'Phụ lục số 4'!AC77</f>
        <v>0</v>
      </c>
      <c r="AD77" s="3142">
        <f>'Phụ lục số 4'!AD77</f>
        <v>0</v>
      </c>
      <c r="AE77" s="3153">
        <f>'Phụ lục số 4'!AE77</f>
        <v>0</v>
      </c>
    </row>
    <row r="78" spans="1:31" s="154" customFormat="1" ht="36">
      <c r="A78" s="3031" t="str">
        <f>'Phụ lục số 4'!A78</f>
        <v>b</v>
      </c>
      <c r="B78" s="3593" t="str">
        <f>'Phụ lục số 4'!B78</f>
        <v>Kinh phí đối ứng nông thôn mới và giảm nghèo bền vững</v>
      </c>
      <c r="C78" s="2954">
        <f t="shared" si="28"/>
        <v>55000</v>
      </c>
      <c r="D78" s="2954"/>
      <c r="E78" s="2954"/>
      <c r="F78" s="2954"/>
      <c r="G78" s="2954"/>
      <c r="H78" s="2954"/>
      <c r="I78" s="2954"/>
      <c r="J78" s="2954">
        <f t="shared" si="13"/>
        <v>55000</v>
      </c>
      <c r="K78" s="2954">
        <f>'Phụ lục số 4'!K78</f>
        <v>55000</v>
      </c>
      <c r="L78" s="2954">
        <f>'Phụ lục số 4'!L78</f>
        <v>0</v>
      </c>
      <c r="M78" s="2954">
        <f>'Phụ lục số 4'!M78</f>
        <v>0</v>
      </c>
      <c r="N78" s="2954">
        <f>'Phụ lục số 4'!N78</f>
        <v>0</v>
      </c>
      <c r="O78" s="2954">
        <f>'Phụ lục số 4'!O78</f>
        <v>0</v>
      </c>
      <c r="P78" s="2954">
        <f>'Phụ lục số 4'!P78</f>
        <v>0</v>
      </c>
      <c r="Q78" s="2954">
        <f>'Phụ lục số 4'!Q78</f>
        <v>0</v>
      </c>
      <c r="R78" s="2954">
        <f>'Phụ lục số 4'!R78</f>
        <v>0</v>
      </c>
      <c r="S78" s="2954">
        <f>'Phụ lục số 4'!S78</f>
        <v>0</v>
      </c>
      <c r="T78" s="2954">
        <f>'Phụ lục số 4'!T78</f>
        <v>0</v>
      </c>
      <c r="U78" s="2954">
        <f>'Phụ lục số 4'!U78</f>
        <v>0</v>
      </c>
      <c r="V78" s="2954">
        <f>'Phụ lục số 4'!V78</f>
        <v>0</v>
      </c>
      <c r="W78" s="2954">
        <f>'Phụ lục số 4'!W78</f>
        <v>0</v>
      </c>
      <c r="X78" s="2954">
        <f>'Phụ lục số 4'!X78</f>
        <v>0</v>
      </c>
      <c r="Y78" s="2954">
        <f>'Phụ lục số 4'!Y78</f>
        <v>0</v>
      </c>
      <c r="Z78" s="2954">
        <f>'Phụ lục số 4'!Z78</f>
        <v>0</v>
      </c>
      <c r="AA78" s="2954">
        <f>'Phụ lục số 4'!AA78</f>
        <v>0</v>
      </c>
      <c r="AB78" s="2954">
        <f>'Phụ lục số 4'!AB78</f>
        <v>0</v>
      </c>
      <c r="AC78" s="2954">
        <f>'Phụ lục số 4'!AC78</f>
        <v>0</v>
      </c>
      <c r="AD78" s="3142">
        <f>'Phụ lục số 4'!AD78</f>
        <v>0</v>
      </c>
      <c r="AE78" s="3153"/>
    </row>
    <row r="79" spans="1:31" s="154" customFormat="1" ht="36">
      <c r="A79" s="3031" t="str">
        <f>'Phụ lục số 4'!A79</f>
        <v>c</v>
      </c>
      <c r="B79" s="3593" t="str">
        <f>'Phụ lục số 4'!B79</f>
        <v>Chính sách ưu đãi (hỗ trợ lãi suất, cấp bù lãi suất); kinh phí quy hoạch</v>
      </c>
      <c r="C79" s="2954">
        <f t="shared" si="28"/>
        <v>15000</v>
      </c>
      <c r="D79" s="2954"/>
      <c r="E79" s="2954"/>
      <c r="F79" s="2954"/>
      <c r="G79" s="2954"/>
      <c r="H79" s="2954"/>
      <c r="I79" s="2954"/>
      <c r="J79" s="2954">
        <f t="shared" si="13"/>
        <v>15000</v>
      </c>
      <c r="K79" s="2954">
        <f>'Phụ lục số 4'!K79</f>
        <v>15000</v>
      </c>
      <c r="L79" s="2954">
        <f>'Phụ lục số 4'!L79</f>
        <v>0</v>
      </c>
      <c r="M79" s="2954">
        <f>'Phụ lục số 4'!M79</f>
        <v>0</v>
      </c>
      <c r="N79" s="2954">
        <f>'Phụ lục số 4'!N79</f>
        <v>0</v>
      </c>
      <c r="O79" s="2954">
        <f>'Phụ lục số 4'!O79</f>
        <v>0</v>
      </c>
      <c r="P79" s="2954">
        <f>'Phụ lục số 4'!P79</f>
        <v>0</v>
      </c>
      <c r="Q79" s="2954">
        <f>'Phụ lục số 4'!Q79</f>
        <v>0</v>
      </c>
      <c r="R79" s="2954">
        <f>'Phụ lục số 4'!R79</f>
        <v>0</v>
      </c>
      <c r="S79" s="2954">
        <f>'Phụ lục số 4'!S79</f>
        <v>0</v>
      </c>
      <c r="T79" s="2954">
        <f>'Phụ lục số 4'!T79</f>
        <v>0</v>
      </c>
      <c r="U79" s="2954">
        <f>'Phụ lục số 4'!U79</f>
        <v>0</v>
      </c>
      <c r="V79" s="2954">
        <f>'Phụ lục số 4'!V79</f>
        <v>0</v>
      </c>
      <c r="W79" s="2954">
        <f>'Phụ lục số 4'!W79</f>
        <v>0</v>
      </c>
      <c r="X79" s="2954">
        <f>'Phụ lục số 4'!X79</f>
        <v>0</v>
      </c>
      <c r="Y79" s="2954">
        <f>'Phụ lục số 4'!Y79</f>
        <v>0</v>
      </c>
      <c r="Z79" s="2954">
        <f>'Phụ lục số 4'!Z79</f>
        <v>0</v>
      </c>
      <c r="AA79" s="2954">
        <f>'Phụ lục số 4'!AA79</f>
        <v>0</v>
      </c>
      <c r="AB79" s="2954">
        <f>'Phụ lục số 4'!AB79</f>
        <v>0</v>
      </c>
      <c r="AC79" s="2954">
        <f>'Phụ lục số 4'!AC79</f>
        <v>0</v>
      </c>
      <c r="AD79" s="3142">
        <f>'Phụ lục số 4'!AD79</f>
        <v>0</v>
      </c>
      <c r="AE79" s="3153"/>
    </row>
    <row r="80" spans="1:31" s="2351" customFormat="1" ht="54">
      <c r="A80" s="3033" t="str">
        <f>'Phụ lục số 4'!A80</f>
        <v>d</v>
      </c>
      <c r="B80" s="3673" t="str">
        <f>'Phụ lục số 4'!B80</f>
        <v>Trong đó; Một số nhiệm vụ chi phải báo cáo cấp có thẩm quyền xem xét, quyết định cho phép thực hiện</v>
      </c>
      <c r="C80" s="3651">
        <f t="shared" si="28"/>
        <v>55500</v>
      </c>
      <c r="D80" s="3651"/>
      <c r="E80" s="3651"/>
      <c r="F80" s="3651"/>
      <c r="G80" s="3651"/>
      <c r="H80" s="3651"/>
      <c r="I80" s="3651"/>
      <c r="J80" s="3651">
        <f t="shared" si="13"/>
        <v>55500</v>
      </c>
      <c r="K80" s="3651">
        <f>'Phụ lục số 4'!K80</f>
        <v>55500</v>
      </c>
      <c r="L80" s="3651">
        <f>'Phụ lục số 4'!L80</f>
        <v>0</v>
      </c>
      <c r="M80" s="3651">
        <f>'Phụ lục số 4'!M80</f>
        <v>0</v>
      </c>
      <c r="N80" s="3651">
        <f>'Phụ lục số 4'!N80</f>
        <v>0</v>
      </c>
      <c r="O80" s="3651">
        <f>'Phụ lục số 4'!O80</f>
        <v>0</v>
      </c>
      <c r="P80" s="3651">
        <f>'Phụ lục số 4'!P80</f>
        <v>0</v>
      </c>
      <c r="Q80" s="3651">
        <f>'Phụ lục số 4'!Q80</f>
        <v>0</v>
      </c>
      <c r="R80" s="3651">
        <f>'Phụ lục số 4'!R80</f>
        <v>0</v>
      </c>
      <c r="S80" s="3651">
        <f>'Phụ lục số 4'!S80</f>
        <v>0</v>
      </c>
      <c r="T80" s="3651">
        <f>'Phụ lục số 4'!T80</f>
        <v>0</v>
      </c>
      <c r="U80" s="3651">
        <f>'Phụ lục số 4'!U80</f>
        <v>0</v>
      </c>
      <c r="V80" s="3651">
        <f>'Phụ lục số 4'!V80</f>
        <v>0</v>
      </c>
      <c r="W80" s="3651">
        <f>'Phụ lục số 4'!W80</f>
        <v>0</v>
      </c>
      <c r="X80" s="3651">
        <f>'Phụ lục số 4'!X80</f>
        <v>0</v>
      </c>
      <c r="Y80" s="3651">
        <f>'Phụ lục số 4'!Y80</f>
        <v>0</v>
      </c>
      <c r="Z80" s="3651">
        <f>'Phụ lục số 4'!Z80</f>
        <v>0</v>
      </c>
      <c r="AA80" s="3651">
        <f>'Phụ lục số 4'!AA80</f>
        <v>0</v>
      </c>
      <c r="AB80" s="3651">
        <f>'Phụ lục số 4'!AB80</f>
        <v>0</v>
      </c>
      <c r="AC80" s="3651">
        <f>'Phụ lục số 4'!AC80</f>
        <v>0</v>
      </c>
      <c r="AD80" s="3674">
        <f>'Phụ lục số 4'!AD80</f>
        <v>0</v>
      </c>
      <c r="AE80" s="3675"/>
    </row>
    <row r="81" spans="1:31" s="1319" customFormat="1" ht="17.399999999999999">
      <c r="A81" s="3671">
        <f>'Phụ lục số 4'!A81</f>
        <v>2</v>
      </c>
      <c r="B81" s="3592" t="str">
        <f>'Phụ lục số 4'!B81</f>
        <v>Chi sự nghiệp môi trường</v>
      </c>
      <c r="C81" s="2956">
        <f t="shared" si="28"/>
        <v>1152</v>
      </c>
      <c r="D81" s="2956"/>
      <c r="E81" s="2956"/>
      <c r="F81" s="2956"/>
      <c r="G81" s="2956"/>
      <c r="H81" s="2956"/>
      <c r="I81" s="2956"/>
      <c r="J81" s="2956">
        <f t="shared" si="13"/>
        <v>1152</v>
      </c>
      <c r="K81" s="2956">
        <f>'Phụ lục số 4'!K81</f>
        <v>0</v>
      </c>
      <c r="L81" s="2956">
        <f>'Phụ lục số 4'!L81</f>
        <v>1152</v>
      </c>
      <c r="M81" s="2956">
        <f>'Phụ lục số 4'!M81</f>
        <v>0</v>
      </c>
      <c r="N81" s="2956">
        <f>'Phụ lục số 4'!N81</f>
        <v>0</v>
      </c>
      <c r="O81" s="2956">
        <f>'Phụ lục số 4'!O81</f>
        <v>0</v>
      </c>
      <c r="P81" s="2956">
        <f>'Phụ lục số 4'!P81</f>
        <v>0</v>
      </c>
      <c r="Q81" s="2956">
        <f>'Phụ lục số 4'!Q81</f>
        <v>0</v>
      </c>
      <c r="R81" s="2956">
        <f>'Phụ lục số 4'!R81</f>
        <v>0</v>
      </c>
      <c r="S81" s="2956">
        <f>'Phụ lục số 4'!S81</f>
        <v>0</v>
      </c>
      <c r="T81" s="2956">
        <f>'Phụ lục số 4'!T81</f>
        <v>0</v>
      </c>
      <c r="U81" s="2956">
        <f>'Phụ lục số 4'!U81</f>
        <v>0</v>
      </c>
      <c r="V81" s="2956">
        <f>'Phụ lục số 4'!V81</f>
        <v>0</v>
      </c>
      <c r="W81" s="2956">
        <f>'Phụ lục số 4'!W81</f>
        <v>0</v>
      </c>
      <c r="X81" s="2956">
        <f>'Phụ lục số 4'!X81</f>
        <v>0</v>
      </c>
      <c r="Y81" s="2956">
        <f>'Phụ lục số 4'!Y81</f>
        <v>0</v>
      </c>
      <c r="Z81" s="2956">
        <f>'Phụ lục số 4'!Z81</f>
        <v>0</v>
      </c>
      <c r="AA81" s="2956">
        <f>'Phụ lục số 4'!AA81</f>
        <v>0</v>
      </c>
      <c r="AB81" s="2956">
        <f>'Phụ lục số 4'!AB81</f>
        <v>0</v>
      </c>
      <c r="AC81" s="2956">
        <f>'Phụ lục số 4'!AC81</f>
        <v>0</v>
      </c>
      <c r="AD81" s="3143">
        <f>'Phụ lục số 4'!AD81</f>
        <v>0</v>
      </c>
      <c r="AE81" s="3154"/>
    </row>
    <row r="82" spans="1:31" s="2351" customFormat="1" ht="54">
      <c r="A82" s="3033"/>
      <c r="B82" s="3673" t="str">
        <f>'Phụ lục số 4'!B82</f>
        <v>Trong đó; Một số nhiệm vụ chi phải báo cáo cấp có thẩm quyền xem xét, quyết định cho phép thực hiện</v>
      </c>
      <c r="C82" s="3651">
        <f t="shared" si="28"/>
        <v>1152</v>
      </c>
      <c r="D82" s="3651"/>
      <c r="E82" s="3651"/>
      <c r="F82" s="3651"/>
      <c r="G82" s="3651"/>
      <c r="H82" s="3651"/>
      <c r="I82" s="3651"/>
      <c r="J82" s="3651">
        <f t="shared" si="13"/>
        <v>1152</v>
      </c>
      <c r="K82" s="3651">
        <f>'Phụ lục số 4'!K82</f>
        <v>0</v>
      </c>
      <c r="L82" s="3651">
        <f>'Phụ lục số 4'!L82</f>
        <v>1152</v>
      </c>
      <c r="M82" s="3651">
        <f>'Phụ lục số 4'!M82</f>
        <v>0</v>
      </c>
      <c r="N82" s="3651">
        <f>'Phụ lục số 4'!N82</f>
        <v>0</v>
      </c>
      <c r="O82" s="3651">
        <f>'Phụ lục số 4'!O82</f>
        <v>0</v>
      </c>
      <c r="P82" s="3651">
        <f>'Phụ lục số 4'!P82</f>
        <v>0</v>
      </c>
      <c r="Q82" s="3651">
        <f>'Phụ lục số 4'!Q82</f>
        <v>0</v>
      </c>
      <c r="R82" s="3651">
        <f>'Phụ lục số 4'!R82</f>
        <v>0</v>
      </c>
      <c r="S82" s="3651">
        <f>'Phụ lục số 4'!S82</f>
        <v>0</v>
      </c>
      <c r="T82" s="3651">
        <f>'Phụ lục số 4'!T82</f>
        <v>0</v>
      </c>
      <c r="U82" s="3651">
        <f>'Phụ lục số 4'!U82</f>
        <v>0</v>
      </c>
      <c r="V82" s="3651">
        <f>'Phụ lục số 4'!V82</f>
        <v>0</v>
      </c>
      <c r="W82" s="3651">
        <f>'Phụ lục số 4'!W82</f>
        <v>0</v>
      </c>
      <c r="X82" s="3651">
        <f>'Phụ lục số 4'!X82</f>
        <v>0</v>
      </c>
      <c r="Y82" s="3651">
        <f>'Phụ lục số 4'!Y82</f>
        <v>0</v>
      </c>
      <c r="Z82" s="3651">
        <f>'Phụ lục số 4'!Z82</f>
        <v>0</v>
      </c>
      <c r="AA82" s="3651">
        <f>'Phụ lục số 4'!AA82</f>
        <v>0</v>
      </c>
      <c r="AB82" s="3651">
        <f>'Phụ lục số 4'!AB82</f>
        <v>0</v>
      </c>
      <c r="AC82" s="3651">
        <f>'Phụ lục số 4'!AC82</f>
        <v>0</v>
      </c>
      <c r="AD82" s="3674">
        <f>'Phụ lục số 4'!AD82</f>
        <v>0</v>
      </c>
      <c r="AE82" s="3675"/>
    </row>
    <row r="83" spans="1:31" s="1319" customFormat="1" ht="17.399999999999999">
      <c r="A83" s="3671">
        <f>'Phụ lục số 4'!A83</f>
        <v>3</v>
      </c>
      <c r="B83" s="3592" t="str">
        <f>'Phụ lục số 4'!B83</f>
        <v>Chi sự nghiệp khoa học và công nghệ</v>
      </c>
      <c r="C83" s="2956">
        <f t="shared" si="28"/>
        <v>1892</v>
      </c>
      <c r="D83" s="2956"/>
      <c r="E83" s="2956"/>
      <c r="F83" s="2956"/>
      <c r="G83" s="2956"/>
      <c r="H83" s="2956"/>
      <c r="I83" s="2956"/>
      <c r="J83" s="2956">
        <f t="shared" si="13"/>
        <v>1892</v>
      </c>
      <c r="K83" s="2956">
        <f>'Phụ lục số 4'!K83</f>
        <v>0</v>
      </c>
      <c r="L83" s="2956">
        <f>'Phụ lục số 4'!L83</f>
        <v>0</v>
      </c>
      <c r="M83" s="2956">
        <f>'Phụ lục số 4'!M83</f>
        <v>1892</v>
      </c>
      <c r="N83" s="2956">
        <f>'Phụ lục số 4'!N83</f>
        <v>0</v>
      </c>
      <c r="O83" s="2956">
        <f>'Phụ lục số 4'!O83</f>
        <v>0</v>
      </c>
      <c r="P83" s="2956">
        <f>'Phụ lục số 4'!P83</f>
        <v>0</v>
      </c>
      <c r="Q83" s="2956">
        <f>'Phụ lục số 4'!Q83</f>
        <v>0</v>
      </c>
      <c r="R83" s="2956">
        <f>'Phụ lục số 4'!R83</f>
        <v>0</v>
      </c>
      <c r="S83" s="2956">
        <f>'Phụ lục số 4'!S83</f>
        <v>0</v>
      </c>
      <c r="T83" s="2956">
        <f>'Phụ lục số 4'!T83</f>
        <v>0</v>
      </c>
      <c r="U83" s="2956">
        <f>'Phụ lục số 4'!U83</f>
        <v>0</v>
      </c>
      <c r="V83" s="2956">
        <f>'Phụ lục số 4'!V83</f>
        <v>0</v>
      </c>
      <c r="W83" s="2956">
        <f>'Phụ lục số 4'!W83</f>
        <v>0</v>
      </c>
      <c r="X83" s="2956">
        <f>'Phụ lục số 4'!X83</f>
        <v>0</v>
      </c>
      <c r="Y83" s="2956">
        <f>'Phụ lục số 4'!Y83</f>
        <v>0</v>
      </c>
      <c r="Z83" s="2956">
        <f>'Phụ lục số 4'!Z83</f>
        <v>0</v>
      </c>
      <c r="AA83" s="2956">
        <f>'Phụ lục số 4'!AA83</f>
        <v>0</v>
      </c>
      <c r="AB83" s="2956">
        <f>'Phụ lục số 4'!AB83</f>
        <v>0</v>
      </c>
      <c r="AC83" s="2956">
        <f>'Phụ lục số 4'!AC83</f>
        <v>0</v>
      </c>
      <c r="AD83" s="3143">
        <f>'Phụ lục số 4'!AD83</f>
        <v>0</v>
      </c>
      <c r="AE83" s="3154"/>
    </row>
    <row r="84" spans="1:31" s="2351" customFormat="1" ht="54">
      <c r="A84" s="3033"/>
      <c r="B84" s="3673" t="str">
        <f>'Phụ lục số 4'!B84</f>
        <v>Trong đó; Một số nhiệm vụ chi phải báo cáo cấp có thẩm quyền xem xét, quyết định cho phép thực hiện</v>
      </c>
      <c r="C84" s="3651">
        <f t="shared" si="28"/>
        <v>1892</v>
      </c>
      <c r="D84" s="3651"/>
      <c r="E84" s="3651"/>
      <c r="F84" s="3651"/>
      <c r="G84" s="3651"/>
      <c r="H84" s="3651"/>
      <c r="I84" s="3651"/>
      <c r="J84" s="3651">
        <f t="shared" si="13"/>
        <v>1892</v>
      </c>
      <c r="K84" s="3651">
        <f>'Phụ lục số 4'!K84</f>
        <v>0</v>
      </c>
      <c r="L84" s="3651">
        <f>'Phụ lục số 4'!L84</f>
        <v>0</v>
      </c>
      <c r="M84" s="3651">
        <f>'Phụ lục số 4'!M84</f>
        <v>1892</v>
      </c>
      <c r="N84" s="3651">
        <f>'Phụ lục số 4'!N84</f>
        <v>0</v>
      </c>
      <c r="O84" s="3651">
        <f>'Phụ lục số 4'!O84</f>
        <v>0</v>
      </c>
      <c r="P84" s="3651">
        <f>'Phụ lục số 4'!P84</f>
        <v>0</v>
      </c>
      <c r="Q84" s="3651">
        <f>'Phụ lục số 4'!Q84</f>
        <v>0</v>
      </c>
      <c r="R84" s="3651">
        <f>'Phụ lục số 4'!R84</f>
        <v>0</v>
      </c>
      <c r="S84" s="3651">
        <f>'Phụ lục số 4'!S84</f>
        <v>0</v>
      </c>
      <c r="T84" s="3651">
        <f>'Phụ lục số 4'!T84</f>
        <v>0</v>
      </c>
      <c r="U84" s="3651">
        <f>'Phụ lục số 4'!U84</f>
        <v>0</v>
      </c>
      <c r="V84" s="3651">
        <f>'Phụ lục số 4'!V84</f>
        <v>0</v>
      </c>
      <c r="W84" s="3651">
        <f>'Phụ lục số 4'!W84</f>
        <v>0</v>
      </c>
      <c r="X84" s="3651">
        <f>'Phụ lục số 4'!X84</f>
        <v>0</v>
      </c>
      <c r="Y84" s="3651">
        <f>'Phụ lục số 4'!Y84</f>
        <v>0</v>
      </c>
      <c r="Z84" s="3651">
        <f>'Phụ lục số 4'!Z84</f>
        <v>0</v>
      </c>
      <c r="AA84" s="3651">
        <f>'Phụ lục số 4'!AA84</f>
        <v>0</v>
      </c>
      <c r="AB84" s="3651">
        <f>'Phụ lục số 4'!AB84</f>
        <v>0</v>
      </c>
      <c r="AC84" s="3651">
        <f>'Phụ lục số 4'!AC84</f>
        <v>0</v>
      </c>
      <c r="AD84" s="3674">
        <f>'Phụ lục số 4'!AD84</f>
        <v>0</v>
      </c>
      <c r="AE84" s="3675"/>
    </row>
    <row r="85" spans="1:31" s="1319" customFormat="1" ht="17.399999999999999">
      <c r="A85" s="3671">
        <f>'Phụ lục số 4'!A85</f>
        <v>4</v>
      </c>
      <c r="B85" s="3592" t="str">
        <f>'Phụ lục số 4'!B85</f>
        <v>Chi sự nghiệp giáo dục và đào tạo</v>
      </c>
      <c r="C85" s="2956">
        <f t="shared" si="28"/>
        <v>86293</v>
      </c>
      <c r="D85" s="2956"/>
      <c r="E85" s="2956"/>
      <c r="F85" s="2956"/>
      <c r="G85" s="2956"/>
      <c r="H85" s="2956"/>
      <c r="I85" s="2956"/>
      <c r="J85" s="2956">
        <f t="shared" si="13"/>
        <v>74667</v>
      </c>
      <c r="K85" s="2956">
        <f>'Phụ lục số 4'!K85</f>
        <v>0</v>
      </c>
      <c r="L85" s="2956">
        <f>'Phụ lục số 4'!L85</f>
        <v>0</v>
      </c>
      <c r="M85" s="2956">
        <f>'Phụ lục số 4'!M85</f>
        <v>0</v>
      </c>
      <c r="N85" s="2956">
        <f>'Phụ lục số 4'!N85</f>
        <v>74667</v>
      </c>
      <c r="O85" s="2956">
        <f>'Phụ lục số 4'!O85</f>
        <v>0</v>
      </c>
      <c r="P85" s="2956">
        <f>'Phụ lục số 4'!P85</f>
        <v>0</v>
      </c>
      <c r="Q85" s="2956">
        <f>'Phụ lục số 4'!Q85</f>
        <v>0</v>
      </c>
      <c r="R85" s="2956">
        <f>'Phụ lục số 4'!R85</f>
        <v>0</v>
      </c>
      <c r="S85" s="2956">
        <f>'Phụ lục số 4'!S85</f>
        <v>0</v>
      </c>
      <c r="T85" s="2956">
        <f>'Phụ lục số 4'!T85</f>
        <v>0</v>
      </c>
      <c r="U85" s="2956">
        <f>'Phụ lục số 4'!U85</f>
        <v>0</v>
      </c>
      <c r="V85" s="2956">
        <f>'Phụ lục số 4'!V85</f>
        <v>0</v>
      </c>
      <c r="W85" s="2956">
        <f>'Phụ lục số 4'!W85</f>
        <v>0</v>
      </c>
      <c r="X85" s="2956">
        <f>'Phụ lục số 4'!X85</f>
        <v>0</v>
      </c>
      <c r="Y85" s="2956">
        <f>'Phụ lục số 4'!Y85</f>
        <v>0</v>
      </c>
      <c r="Z85" s="2956">
        <f>'Phụ lục số 4'!Z85</f>
        <v>0</v>
      </c>
      <c r="AA85" s="2956">
        <f>'Phụ lục số 4'!AA85</f>
        <v>0</v>
      </c>
      <c r="AB85" s="2956">
        <f>'Phụ lục số 4'!AB85</f>
        <v>11626</v>
      </c>
      <c r="AC85" s="2956">
        <f>'Phụ lục số 4'!AC85</f>
        <v>0</v>
      </c>
      <c r="AD85" s="3143">
        <f>'Phụ lục số 4'!AD85</f>
        <v>11626</v>
      </c>
      <c r="AE85" s="3154"/>
    </row>
    <row r="86" spans="1:31" s="2351" customFormat="1" ht="54">
      <c r="A86" s="3033"/>
      <c r="B86" s="3673" t="str">
        <f>'Phụ lục số 4'!B86</f>
        <v>Trong đó; Một số nhiệm vụ chi phải báo cáo cấp có thẩm quyền xem xét, quyết định cho phép thực hiện</v>
      </c>
      <c r="C86" s="3651">
        <f t="shared" si="28"/>
        <v>86293</v>
      </c>
      <c r="D86" s="3651"/>
      <c r="E86" s="3651"/>
      <c r="F86" s="3651"/>
      <c r="G86" s="3651"/>
      <c r="H86" s="3651"/>
      <c r="I86" s="3651"/>
      <c r="J86" s="3651">
        <f t="shared" si="13"/>
        <v>74667</v>
      </c>
      <c r="K86" s="3651">
        <f>'Phụ lục số 4'!K86</f>
        <v>0</v>
      </c>
      <c r="L86" s="3651">
        <f>'Phụ lục số 4'!L86</f>
        <v>0</v>
      </c>
      <c r="M86" s="3651">
        <f>'Phụ lục số 4'!M86</f>
        <v>0</v>
      </c>
      <c r="N86" s="3651">
        <f>'Phụ lục số 4'!N86</f>
        <v>74667</v>
      </c>
      <c r="O86" s="3651">
        <f>'Phụ lục số 4'!O86</f>
        <v>0</v>
      </c>
      <c r="P86" s="3651">
        <f>'Phụ lục số 4'!P86</f>
        <v>0</v>
      </c>
      <c r="Q86" s="3651">
        <f>'Phụ lục số 4'!Q86</f>
        <v>0</v>
      </c>
      <c r="R86" s="3651">
        <f>'Phụ lục số 4'!R86</f>
        <v>0</v>
      </c>
      <c r="S86" s="3651">
        <f>'Phụ lục số 4'!S86</f>
        <v>0</v>
      </c>
      <c r="T86" s="3651">
        <f>'Phụ lục số 4'!T86</f>
        <v>0</v>
      </c>
      <c r="U86" s="3651">
        <f>'Phụ lục số 4'!U86</f>
        <v>0</v>
      </c>
      <c r="V86" s="3651">
        <f>'Phụ lục số 4'!V86</f>
        <v>0</v>
      </c>
      <c r="W86" s="3651">
        <f>'Phụ lục số 4'!W86</f>
        <v>0</v>
      </c>
      <c r="X86" s="3651">
        <f>'Phụ lục số 4'!X86</f>
        <v>0</v>
      </c>
      <c r="Y86" s="3651">
        <f>'Phụ lục số 4'!Y86</f>
        <v>0</v>
      </c>
      <c r="Z86" s="3651">
        <f>'Phụ lục số 4'!Z86</f>
        <v>0</v>
      </c>
      <c r="AA86" s="3651">
        <f>'Phụ lục số 4'!AA86</f>
        <v>0</v>
      </c>
      <c r="AB86" s="3651">
        <f>'Phụ lục số 4'!AB86</f>
        <v>11626</v>
      </c>
      <c r="AC86" s="3651">
        <f>'Phụ lục số 4'!AC86</f>
        <v>0</v>
      </c>
      <c r="AD86" s="3674">
        <f>'Phụ lục số 4'!AD86</f>
        <v>11626</v>
      </c>
      <c r="AE86" s="3675"/>
    </row>
    <row r="87" spans="1:31" s="3684" customFormat="1" hidden="1">
      <c r="A87" s="3699">
        <v>5</v>
      </c>
      <c r="B87" s="3700" t="str">
        <f>'Phụ lục số 4'!B87</f>
        <v>Sự nghiệp y tế</v>
      </c>
      <c r="C87" s="3701">
        <f t="shared" si="28"/>
        <v>0</v>
      </c>
      <c r="D87" s="3680"/>
      <c r="E87" s="3680"/>
      <c r="F87" s="3680"/>
      <c r="G87" s="3680"/>
      <c r="H87" s="3680"/>
      <c r="I87" s="3680"/>
      <c r="J87" s="3701">
        <f t="shared" si="13"/>
        <v>0</v>
      </c>
      <c r="K87" s="3680"/>
      <c r="L87" s="3680"/>
      <c r="M87" s="3680"/>
      <c r="N87" s="3680"/>
      <c r="O87" s="3680">
        <f>O88</f>
        <v>0</v>
      </c>
      <c r="P87" s="3680"/>
      <c r="Q87" s="3680"/>
      <c r="R87" s="3680"/>
      <c r="S87" s="3680"/>
      <c r="T87" s="3680"/>
      <c r="U87" s="3680"/>
      <c r="V87" s="3680"/>
      <c r="W87" s="3680"/>
      <c r="X87" s="3680"/>
      <c r="Y87" s="3680"/>
      <c r="Z87" s="3680"/>
      <c r="AA87" s="3680"/>
      <c r="AB87" s="3680"/>
      <c r="AC87" s="3680"/>
      <c r="AD87" s="3702"/>
      <c r="AE87" s="3703"/>
    </row>
    <row r="88" spans="1:31" s="3684" customFormat="1" ht="54" hidden="1">
      <c r="A88" s="3704"/>
      <c r="B88" s="3705" t="str">
        <f>'Phụ lục số 4'!B88</f>
        <v>Trong đó; Một số nhiệm vụ chi phải báo cáo cấp có thẩm quyền xem xét, quyết định cho phép thực hiện</v>
      </c>
      <c r="C88" s="3680">
        <f t="shared" si="28"/>
        <v>0</v>
      </c>
      <c r="D88" s="3680"/>
      <c r="E88" s="3680"/>
      <c r="F88" s="3680"/>
      <c r="G88" s="3680"/>
      <c r="H88" s="3680"/>
      <c r="I88" s="3680"/>
      <c r="J88" s="3680">
        <f t="shared" si="13"/>
        <v>0</v>
      </c>
      <c r="K88" s="3680"/>
      <c r="L88" s="3680"/>
      <c r="M88" s="3680"/>
      <c r="N88" s="3680"/>
      <c r="O88" s="3687">
        <f>'Phụ lục số 4'!O88</f>
        <v>0</v>
      </c>
      <c r="P88" s="3680"/>
      <c r="Q88" s="3680"/>
      <c r="R88" s="3680"/>
      <c r="S88" s="3680"/>
      <c r="T88" s="3680"/>
      <c r="U88" s="3680"/>
      <c r="V88" s="3680"/>
      <c r="W88" s="3680"/>
      <c r="X88" s="3680"/>
      <c r="Y88" s="3680"/>
      <c r="Z88" s="3680"/>
      <c r="AA88" s="3680"/>
      <c r="AB88" s="3680"/>
      <c r="AC88" s="3680"/>
      <c r="AD88" s="3702"/>
      <c r="AE88" s="3703"/>
    </row>
    <row r="89" spans="1:31" s="1319" customFormat="1" ht="17.399999999999999">
      <c r="A89" s="3671">
        <f>'Phụ lục số 4'!A89</f>
        <v>5</v>
      </c>
      <c r="B89" s="3592" t="str">
        <f>'Phụ lục số 4'!B89</f>
        <v>Chi sự nghiệp văn hóa thông tin</v>
      </c>
      <c r="C89" s="2956">
        <f t="shared" si="28"/>
        <v>2694</v>
      </c>
      <c r="D89" s="2956"/>
      <c r="E89" s="2956"/>
      <c r="F89" s="2956"/>
      <c r="G89" s="2956"/>
      <c r="H89" s="2956"/>
      <c r="I89" s="2956"/>
      <c r="J89" s="2956">
        <f t="shared" si="13"/>
        <v>2694</v>
      </c>
      <c r="K89" s="2956">
        <f>'Phụ lục số 4'!K89</f>
        <v>0</v>
      </c>
      <c r="L89" s="2956">
        <f>'Phụ lục số 4'!L89</f>
        <v>0</v>
      </c>
      <c r="M89" s="2956">
        <f>'Phụ lục số 4'!M89</f>
        <v>0</v>
      </c>
      <c r="N89" s="2956">
        <f>'Phụ lục số 4'!N89</f>
        <v>0</v>
      </c>
      <c r="O89" s="2956">
        <f>'Phụ lục số 4'!O89</f>
        <v>0</v>
      </c>
      <c r="P89" s="2956">
        <f>'Phụ lục số 4'!P89</f>
        <v>2694</v>
      </c>
      <c r="Q89" s="2956">
        <f>'Phụ lục số 4'!Q89</f>
        <v>0</v>
      </c>
      <c r="R89" s="2956">
        <f>'Phụ lục số 4'!R89</f>
        <v>0</v>
      </c>
      <c r="S89" s="2956">
        <f>'Phụ lục số 4'!S89</f>
        <v>0</v>
      </c>
      <c r="T89" s="2956">
        <f>'Phụ lục số 4'!T89</f>
        <v>0</v>
      </c>
      <c r="U89" s="2956">
        <f>'Phụ lục số 4'!U89</f>
        <v>0</v>
      </c>
      <c r="V89" s="2956">
        <f>'Phụ lục số 4'!V89</f>
        <v>0</v>
      </c>
      <c r="W89" s="2956">
        <f>'Phụ lục số 4'!W89</f>
        <v>0</v>
      </c>
      <c r="X89" s="2956">
        <f>'Phụ lục số 4'!X89</f>
        <v>0</v>
      </c>
      <c r="Y89" s="2956">
        <f>'Phụ lục số 4'!Y89</f>
        <v>0</v>
      </c>
      <c r="Z89" s="2956">
        <f>'Phụ lục số 4'!Z89</f>
        <v>0</v>
      </c>
      <c r="AA89" s="2956">
        <f>'Phụ lục số 4'!AA89</f>
        <v>0</v>
      </c>
      <c r="AB89" s="2956">
        <f>'Phụ lục số 4'!AB89</f>
        <v>0</v>
      </c>
      <c r="AC89" s="2956">
        <f>'Phụ lục số 4'!AC89</f>
        <v>0</v>
      </c>
      <c r="AD89" s="3143">
        <f>'Phụ lục số 4'!AD89</f>
        <v>0</v>
      </c>
      <c r="AE89" s="3154"/>
    </row>
    <row r="90" spans="1:31" s="2351" customFormat="1" ht="54">
      <c r="A90" s="3033"/>
      <c r="B90" s="3673" t="str">
        <f>'Phụ lục số 4'!B90</f>
        <v>Trong đó; Một số nhiệm vụ chi phải báo cáo cấp có thẩm quyền xem xét, quyết định cho phép thực hiện</v>
      </c>
      <c r="C90" s="3651">
        <f t="shared" si="28"/>
        <v>2694</v>
      </c>
      <c r="D90" s="3651">
        <f t="shared" si="26"/>
        <v>0</v>
      </c>
      <c r="E90" s="3651">
        <f>'Phụ lục số 4'!E96</f>
        <v>0</v>
      </c>
      <c r="F90" s="3651">
        <f>'Phụ lục số 4'!F96</f>
        <v>0</v>
      </c>
      <c r="G90" s="3651">
        <f>'Phụ lục số 4'!G96</f>
        <v>0</v>
      </c>
      <c r="H90" s="3651">
        <f>'Phụ lục số 4'!H96</f>
        <v>0</v>
      </c>
      <c r="I90" s="3651"/>
      <c r="J90" s="3651">
        <f t="shared" si="13"/>
        <v>2694</v>
      </c>
      <c r="K90" s="3651">
        <f>'Phụ lục số 4'!K90</f>
        <v>0</v>
      </c>
      <c r="L90" s="3651">
        <f>'Phụ lục số 4'!L90</f>
        <v>0</v>
      </c>
      <c r="M90" s="3651">
        <f>'Phụ lục số 4'!M90</f>
        <v>0</v>
      </c>
      <c r="N90" s="3651">
        <f>'Phụ lục số 4'!N90</f>
        <v>0</v>
      </c>
      <c r="O90" s="3651">
        <f>'Phụ lục số 4'!O90</f>
        <v>0</v>
      </c>
      <c r="P90" s="3651">
        <f>'Phụ lục số 4'!P90</f>
        <v>2694</v>
      </c>
      <c r="Q90" s="3651">
        <f>'Phụ lục số 4'!Q90</f>
        <v>0</v>
      </c>
      <c r="R90" s="3651">
        <f>'Phụ lục số 4'!R90</f>
        <v>0</v>
      </c>
      <c r="S90" s="3651">
        <f>'Phụ lục số 4'!S90</f>
        <v>0</v>
      </c>
      <c r="T90" s="3651">
        <f>'Phụ lục số 4'!T90</f>
        <v>0</v>
      </c>
      <c r="U90" s="3651">
        <f>'Phụ lục số 4'!U90</f>
        <v>0</v>
      </c>
      <c r="V90" s="3651">
        <f>'Phụ lục số 4'!V90</f>
        <v>0</v>
      </c>
      <c r="W90" s="3651">
        <f>'Phụ lục số 4'!W90</f>
        <v>0</v>
      </c>
      <c r="X90" s="3651">
        <f>'Phụ lục số 4'!X90</f>
        <v>0</v>
      </c>
      <c r="Y90" s="3651">
        <f>'Phụ lục số 4'!Y90</f>
        <v>0</v>
      </c>
      <c r="Z90" s="3651">
        <f>'Phụ lục số 4'!Z90</f>
        <v>0</v>
      </c>
      <c r="AA90" s="3651">
        <f>'Phụ lục số 4'!AA90</f>
        <v>0</v>
      </c>
      <c r="AB90" s="3651">
        <f>'Phụ lục số 4'!AB90</f>
        <v>0</v>
      </c>
      <c r="AC90" s="3651">
        <f>'Phụ lục số 4'!AC90</f>
        <v>0</v>
      </c>
      <c r="AD90" s="3674">
        <f>'Phụ lục số 4'!AD90</f>
        <v>0</v>
      </c>
      <c r="AE90" s="3675">
        <f>'Phụ lục số 4'!AE96</f>
        <v>0</v>
      </c>
    </row>
    <row r="91" spans="1:31" s="3708" customFormat="1" ht="17.399999999999999" hidden="1">
      <c r="A91" s="3699">
        <v>7</v>
      </c>
      <c r="B91" s="3700" t="str">
        <f>'Phụ lục số 4'!B91</f>
        <v>Chi sự nghiệp phát thanh truyền hình</v>
      </c>
      <c r="C91" s="3701">
        <f t="shared" si="28"/>
        <v>0</v>
      </c>
      <c r="D91" s="3701"/>
      <c r="E91" s="3701"/>
      <c r="F91" s="3701"/>
      <c r="G91" s="3701"/>
      <c r="H91" s="3701"/>
      <c r="I91" s="3701"/>
      <c r="J91" s="3701">
        <f t="shared" si="13"/>
        <v>0</v>
      </c>
      <c r="K91" s="3701"/>
      <c r="L91" s="3701"/>
      <c r="M91" s="3701"/>
      <c r="N91" s="3701"/>
      <c r="O91" s="3701"/>
      <c r="P91" s="3701"/>
      <c r="Q91" s="3701">
        <f>Q92</f>
        <v>0</v>
      </c>
      <c r="R91" s="3701"/>
      <c r="S91" s="3701"/>
      <c r="T91" s="3701"/>
      <c r="U91" s="3701"/>
      <c r="V91" s="3701"/>
      <c r="W91" s="3701"/>
      <c r="X91" s="3701"/>
      <c r="Y91" s="3701"/>
      <c r="Z91" s="3701"/>
      <c r="AA91" s="3701"/>
      <c r="AB91" s="3701"/>
      <c r="AC91" s="3701"/>
      <c r="AD91" s="3706"/>
      <c r="AE91" s="3707"/>
    </row>
    <row r="92" spans="1:31" s="3684" customFormat="1" ht="54" hidden="1">
      <c r="A92" s="3704"/>
      <c r="B92" s="3705" t="str">
        <f>'Phụ lục số 4'!B92</f>
        <v>Trong đó; Một số nhiệm vụ chi phải báo cáo cấp có thẩm quyền xem xét, quyết định cho phép thực hiện</v>
      </c>
      <c r="C92" s="3680">
        <f t="shared" si="28"/>
        <v>0</v>
      </c>
      <c r="D92" s="3680"/>
      <c r="E92" s="3680"/>
      <c r="F92" s="3680"/>
      <c r="G92" s="3680"/>
      <c r="H92" s="3680"/>
      <c r="I92" s="3680"/>
      <c r="J92" s="3680">
        <f t="shared" si="13"/>
        <v>0</v>
      </c>
      <c r="K92" s="3680"/>
      <c r="L92" s="3680"/>
      <c r="M92" s="3680"/>
      <c r="N92" s="3680"/>
      <c r="O92" s="3680"/>
      <c r="P92" s="3680"/>
      <c r="Q92" s="3687">
        <f>'Phụ lục số 4'!Q92</f>
        <v>0</v>
      </c>
      <c r="R92" s="3680"/>
      <c r="S92" s="3680"/>
      <c r="T92" s="3680"/>
      <c r="U92" s="3680"/>
      <c r="V92" s="3680"/>
      <c r="W92" s="3680"/>
      <c r="X92" s="3680"/>
      <c r="Y92" s="3680"/>
      <c r="Z92" s="3680"/>
      <c r="AA92" s="3680"/>
      <c r="AB92" s="3680"/>
      <c r="AC92" s="3680"/>
      <c r="AD92" s="3702"/>
      <c r="AE92" s="3703"/>
    </row>
    <row r="93" spans="1:31" s="3708" customFormat="1" ht="17.399999999999999" hidden="1">
      <c r="A93" s="3699">
        <v>8</v>
      </c>
      <c r="B93" s="3700" t="str">
        <f>'Phụ lục số 4'!B93</f>
        <v>Chi sự nghiệp thể dục thể thao</v>
      </c>
      <c r="C93" s="3701">
        <f t="shared" si="28"/>
        <v>0</v>
      </c>
      <c r="D93" s="3701"/>
      <c r="E93" s="3701"/>
      <c r="F93" s="3701"/>
      <c r="G93" s="3701"/>
      <c r="H93" s="3701"/>
      <c r="I93" s="3701"/>
      <c r="J93" s="3701">
        <f t="shared" si="13"/>
        <v>0</v>
      </c>
      <c r="K93" s="3701"/>
      <c r="L93" s="3701"/>
      <c r="M93" s="3701"/>
      <c r="N93" s="3701"/>
      <c r="O93" s="3701"/>
      <c r="P93" s="3701"/>
      <c r="Q93" s="3701"/>
      <c r="R93" s="3701">
        <f>R94</f>
        <v>0</v>
      </c>
      <c r="S93" s="3701"/>
      <c r="T93" s="3701"/>
      <c r="U93" s="3701"/>
      <c r="V93" s="3701"/>
      <c r="W93" s="3701"/>
      <c r="X93" s="3701"/>
      <c r="Y93" s="3701"/>
      <c r="Z93" s="3701"/>
      <c r="AA93" s="3701"/>
      <c r="AB93" s="3701"/>
      <c r="AC93" s="3701"/>
      <c r="AD93" s="3706"/>
      <c r="AE93" s="3707"/>
    </row>
    <row r="94" spans="1:31" s="3684" customFormat="1" ht="54" hidden="1">
      <c r="A94" s="3704"/>
      <c r="B94" s="3705" t="str">
        <f>'Phụ lục số 4'!B94</f>
        <v>Trong đó; Một số nhiệm vụ chi phải báo cáo cấp có thẩm quyền xem xét, quyết định cho phép thực hiện</v>
      </c>
      <c r="C94" s="3680">
        <f t="shared" si="28"/>
        <v>0</v>
      </c>
      <c r="D94" s="3680"/>
      <c r="E94" s="3680"/>
      <c r="F94" s="3680"/>
      <c r="G94" s="3680"/>
      <c r="H94" s="3680"/>
      <c r="I94" s="3680"/>
      <c r="J94" s="3680">
        <f t="shared" si="13"/>
        <v>0</v>
      </c>
      <c r="K94" s="3680"/>
      <c r="L94" s="3680"/>
      <c r="M94" s="3680"/>
      <c r="N94" s="3680"/>
      <c r="O94" s="3680"/>
      <c r="P94" s="3680"/>
      <c r="Q94" s="3680"/>
      <c r="R94" s="3687">
        <f>'Phụ lục số 4'!R94</f>
        <v>0</v>
      </c>
      <c r="S94" s="3680"/>
      <c r="T94" s="3680"/>
      <c r="U94" s="3680"/>
      <c r="V94" s="3680"/>
      <c r="W94" s="3680"/>
      <c r="X94" s="3680"/>
      <c r="Y94" s="3680"/>
      <c r="Z94" s="3680"/>
      <c r="AA94" s="3680"/>
      <c r="AB94" s="3680"/>
      <c r="AC94" s="3680"/>
      <c r="AD94" s="3702"/>
      <c r="AE94" s="3703"/>
    </row>
    <row r="95" spans="1:31" s="1319" customFormat="1" ht="17.399999999999999">
      <c r="A95" s="3671">
        <f>'Phụ lục số 4'!A95</f>
        <v>6</v>
      </c>
      <c r="B95" s="3592" t="str">
        <f>'Phụ lục số 4'!B95</f>
        <v>Chi sự nghiệp đảm bảo xã hội</v>
      </c>
      <c r="C95" s="2956">
        <f t="shared" si="28"/>
        <v>23385</v>
      </c>
      <c r="D95" s="2956">
        <f t="shared" si="26"/>
        <v>0</v>
      </c>
      <c r="E95" s="2956">
        <f>'Phụ lục số 4'!E97</f>
        <v>0</v>
      </c>
      <c r="F95" s="2956">
        <f>'Phụ lục số 4'!F97</f>
        <v>0</v>
      </c>
      <c r="G95" s="2956">
        <f>'Phụ lục số 4'!G97</f>
        <v>0</v>
      </c>
      <c r="H95" s="2956">
        <f>'Phụ lục số 4'!H97</f>
        <v>0</v>
      </c>
      <c r="I95" s="2956"/>
      <c r="J95" s="2956">
        <f t="shared" si="13"/>
        <v>23385</v>
      </c>
      <c r="K95" s="2956">
        <f>'Phụ lục số 4'!K95</f>
        <v>0</v>
      </c>
      <c r="L95" s="2956">
        <f>'Phụ lục số 4'!L95</f>
        <v>0</v>
      </c>
      <c r="M95" s="2956">
        <f>'Phụ lục số 4'!M95</f>
        <v>0</v>
      </c>
      <c r="N95" s="2956">
        <f>'Phụ lục số 4'!N95</f>
        <v>0</v>
      </c>
      <c r="O95" s="2956">
        <f>'Phụ lục số 4'!O95</f>
        <v>0</v>
      </c>
      <c r="P95" s="2956">
        <f>'Phụ lục số 4'!P95</f>
        <v>0</v>
      </c>
      <c r="Q95" s="2956">
        <f>'Phụ lục số 4'!Q95</f>
        <v>0</v>
      </c>
      <c r="R95" s="2956">
        <f>'Phụ lục số 4'!R95</f>
        <v>0</v>
      </c>
      <c r="S95" s="2956">
        <f>'Phụ lục số 4'!S95</f>
        <v>23385</v>
      </c>
      <c r="T95" s="2956">
        <f>'Phụ lục số 4'!T95</f>
        <v>0</v>
      </c>
      <c r="U95" s="2956">
        <f>'Phụ lục số 4'!U95</f>
        <v>0</v>
      </c>
      <c r="V95" s="2956">
        <f>'Phụ lục số 4'!V95</f>
        <v>0</v>
      </c>
      <c r="W95" s="2956">
        <f>'Phụ lục số 4'!W95</f>
        <v>0</v>
      </c>
      <c r="X95" s="2956">
        <f>'Phụ lục số 4'!X95</f>
        <v>0</v>
      </c>
      <c r="Y95" s="2956">
        <f>'Phụ lục số 4'!Y95</f>
        <v>0</v>
      </c>
      <c r="Z95" s="2956">
        <f>'Phụ lục số 4'!Z95</f>
        <v>0</v>
      </c>
      <c r="AA95" s="2956">
        <f>'Phụ lục số 4'!AA95</f>
        <v>0</v>
      </c>
      <c r="AB95" s="2956">
        <f>'Phụ lục số 4'!AB95</f>
        <v>0</v>
      </c>
      <c r="AC95" s="2956">
        <f>'Phụ lục số 4'!AC95</f>
        <v>0</v>
      </c>
      <c r="AD95" s="3143">
        <f>'Phụ lục số 4'!AD95</f>
        <v>0</v>
      </c>
      <c r="AE95" s="3154">
        <f>'Phụ lục số 4'!AE97</f>
        <v>0</v>
      </c>
    </row>
    <row r="96" spans="1:31" s="154" customFormat="1" ht="144">
      <c r="A96" s="3031" t="str">
        <f>'Phụ lục số 4'!A96</f>
        <v>a</v>
      </c>
      <c r="B96" s="3593" t="str">
        <f>'Phụ lục số 4'!B96</f>
        <v>Chính sách hỗ trợ thường xuyên cho đối tượng bảo trợ xã hội theo quy định tại Nghị định số 20/2021/NĐ-CP ngày 15/03/2021 của Chính phủ; Chính sách hỗ trợ tiền điện cho hộ nghèo, hộ chính sách xã hội theo quy định tại Quyết định số 28/2014/QĐ-TTg ngày 07/4/2014 của Thủ tướng Chính phủ</v>
      </c>
      <c r="C96" s="2954">
        <f t="shared" si="28"/>
        <v>21000</v>
      </c>
      <c r="D96" s="2954">
        <f t="shared" si="26"/>
        <v>0</v>
      </c>
      <c r="E96" s="2954">
        <f>'Phụ lục số 4'!E98</f>
        <v>0</v>
      </c>
      <c r="F96" s="2954">
        <f>'Phụ lục số 4'!F98</f>
        <v>0</v>
      </c>
      <c r="G96" s="2954">
        <f>'Phụ lục số 4'!G98</f>
        <v>0</v>
      </c>
      <c r="H96" s="2954">
        <f>'Phụ lục số 4'!H98</f>
        <v>0</v>
      </c>
      <c r="I96" s="2954"/>
      <c r="J96" s="2954">
        <f t="shared" si="13"/>
        <v>21000</v>
      </c>
      <c r="K96" s="2954">
        <f>'Phụ lục số 4'!K96</f>
        <v>0</v>
      </c>
      <c r="L96" s="2954">
        <f>'Phụ lục số 4'!L96</f>
        <v>0</v>
      </c>
      <c r="M96" s="2954">
        <f>'Phụ lục số 4'!M96</f>
        <v>0</v>
      </c>
      <c r="N96" s="2954">
        <f>'Phụ lục số 4'!N96</f>
        <v>0</v>
      </c>
      <c r="O96" s="2954">
        <f>'Phụ lục số 4'!O96</f>
        <v>0</v>
      </c>
      <c r="P96" s="2954">
        <f>'Phụ lục số 4'!P96</f>
        <v>0</v>
      </c>
      <c r="Q96" s="2954">
        <f>'Phụ lục số 4'!Q96</f>
        <v>0</v>
      </c>
      <c r="R96" s="2954">
        <f>'Phụ lục số 4'!R96</f>
        <v>0</v>
      </c>
      <c r="S96" s="2954">
        <f>'Phụ lục số 4'!S96</f>
        <v>21000</v>
      </c>
      <c r="T96" s="2954">
        <f>'Phụ lục số 4'!T96</f>
        <v>0</v>
      </c>
      <c r="U96" s="2954">
        <f>'Phụ lục số 4'!U96</f>
        <v>0</v>
      </c>
      <c r="V96" s="2954">
        <f>'Phụ lục số 4'!V96</f>
        <v>0</v>
      </c>
      <c r="W96" s="2954">
        <f>'Phụ lục số 4'!W96</f>
        <v>0</v>
      </c>
      <c r="X96" s="2954">
        <f>'Phụ lục số 4'!X96</f>
        <v>0</v>
      </c>
      <c r="Y96" s="2954">
        <f>'Phụ lục số 4'!Y96</f>
        <v>0</v>
      </c>
      <c r="Z96" s="2954">
        <f>'Phụ lục số 4'!Z96</f>
        <v>0</v>
      </c>
      <c r="AA96" s="2954">
        <f>'Phụ lục số 4'!AA96</f>
        <v>0</v>
      </c>
      <c r="AB96" s="2954">
        <f>'Phụ lục số 4'!AB96</f>
        <v>0</v>
      </c>
      <c r="AC96" s="2954">
        <f>'Phụ lục số 4'!AC96</f>
        <v>0</v>
      </c>
      <c r="AD96" s="3142">
        <f>'Phụ lục số 4'!AD96</f>
        <v>0</v>
      </c>
      <c r="AE96" s="3153">
        <f>'Phụ lục số 4'!AE98</f>
        <v>0</v>
      </c>
    </row>
    <row r="97" spans="1:31" s="2351" customFormat="1" ht="52.95" customHeight="1">
      <c r="A97" s="3033" t="str">
        <f>'Phụ lục số 4'!A97</f>
        <v>b</v>
      </c>
      <c r="B97" s="3673" t="str">
        <f>'Phụ lục số 4'!B97</f>
        <v>Trong đó; Một số nhiệm vụ chi phải báo cáo cấp có thẩm quyền xem xét, quyết định cho phép thực hiện</v>
      </c>
      <c r="C97" s="3651">
        <f t="shared" si="28"/>
        <v>2385</v>
      </c>
      <c r="D97" s="3651">
        <f t="shared" si="26"/>
        <v>0</v>
      </c>
      <c r="E97" s="3651">
        <f>'Phụ lục số 4'!E99</f>
        <v>0</v>
      </c>
      <c r="F97" s="3651">
        <f>'Phụ lục số 4'!F99</f>
        <v>0</v>
      </c>
      <c r="G97" s="3651">
        <f>'Phụ lục số 4'!G99</f>
        <v>0</v>
      </c>
      <c r="H97" s="3651">
        <f>'Phụ lục số 4'!H99</f>
        <v>0</v>
      </c>
      <c r="I97" s="3651"/>
      <c r="J97" s="3651">
        <f t="shared" si="13"/>
        <v>2385</v>
      </c>
      <c r="K97" s="3651">
        <f>'Phụ lục số 4'!K97</f>
        <v>0</v>
      </c>
      <c r="L97" s="3651">
        <f>'Phụ lục số 4'!L97</f>
        <v>0</v>
      </c>
      <c r="M97" s="3651">
        <f>'Phụ lục số 4'!M97</f>
        <v>0</v>
      </c>
      <c r="N97" s="3651">
        <f>'Phụ lục số 4'!N97</f>
        <v>0</v>
      </c>
      <c r="O97" s="3651">
        <f>'Phụ lục số 4'!O97</f>
        <v>0</v>
      </c>
      <c r="P97" s="3651">
        <f>'Phụ lục số 4'!P97</f>
        <v>0</v>
      </c>
      <c r="Q97" s="3651">
        <f>'Phụ lục số 4'!Q97</f>
        <v>0</v>
      </c>
      <c r="R97" s="3651">
        <f>'Phụ lục số 4'!R97</f>
        <v>0</v>
      </c>
      <c r="S97" s="3651">
        <f>'Phụ lục số 4'!S97</f>
        <v>2385</v>
      </c>
      <c r="T97" s="3651">
        <f>'Phụ lục số 4'!T97</f>
        <v>0</v>
      </c>
      <c r="U97" s="3651">
        <f>'Phụ lục số 4'!U97</f>
        <v>0</v>
      </c>
      <c r="V97" s="3651">
        <f>'Phụ lục số 4'!V97</f>
        <v>0</v>
      </c>
      <c r="W97" s="3651">
        <f>'Phụ lục số 4'!W97</f>
        <v>0</v>
      </c>
      <c r="X97" s="3651">
        <f>'Phụ lục số 4'!X97</f>
        <v>0</v>
      </c>
      <c r="Y97" s="3651">
        <f>'Phụ lục số 4'!Y97</f>
        <v>0</v>
      </c>
      <c r="Z97" s="3651">
        <f>'Phụ lục số 4'!Z97</f>
        <v>0</v>
      </c>
      <c r="AA97" s="3651">
        <f>'Phụ lục số 4'!AA97</f>
        <v>0</v>
      </c>
      <c r="AB97" s="3651">
        <f>'Phụ lục số 4'!AB97</f>
        <v>0</v>
      </c>
      <c r="AC97" s="3651">
        <f>'Phụ lục số 4'!AC97</f>
        <v>0</v>
      </c>
      <c r="AD97" s="3674">
        <f>'Phụ lục số 4'!AD97</f>
        <v>0</v>
      </c>
      <c r="AE97" s="3675">
        <f>'Phụ lục số 4'!AE99</f>
        <v>0</v>
      </c>
    </row>
    <row r="98" spans="1:31" s="1319" customFormat="1" ht="17.399999999999999">
      <c r="A98" s="3671">
        <f>'Phụ lục số 4'!A98</f>
        <v>7</v>
      </c>
      <c r="B98" s="3592" t="str">
        <f>'Phụ lục số 4'!B98</f>
        <v>Chi quản lý hành chính (QLNN, Đảng…)</v>
      </c>
      <c r="C98" s="2956">
        <f t="shared" si="28"/>
        <v>5498.9510000000009</v>
      </c>
      <c r="D98" s="2956">
        <f t="shared" si="26"/>
        <v>0</v>
      </c>
      <c r="E98" s="2956">
        <f>'Phụ lục số 4'!E102</f>
        <v>0</v>
      </c>
      <c r="F98" s="2956">
        <f>'Phụ lục số 4'!F102</f>
        <v>0</v>
      </c>
      <c r="G98" s="2956">
        <f>'Phụ lục số 4'!G102</f>
        <v>0</v>
      </c>
      <c r="H98" s="2956">
        <f>'Phụ lục số 4'!H102</f>
        <v>0</v>
      </c>
      <c r="I98" s="2956"/>
      <c r="J98" s="2956">
        <f t="shared" si="13"/>
        <v>5498.9510000000009</v>
      </c>
      <c r="K98" s="2956">
        <f>'Phụ lục số 4'!K98</f>
        <v>0</v>
      </c>
      <c r="L98" s="2956">
        <f>'Phụ lục số 4'!L98</f>
        <v>0</v>
      </c>
      <c r="M98" s="2956">
        <f>'Phụ lục số 4'!M98</f>
        <v>0</v>
      </c>
      <c r="N98" s="2956">
        <f>'Phụ lục số 4'!N98</f>
        <v>0</v>
      </c>
      <c r="O98" s="2956">
        <f>'Phụ lục số 4'!O98</f>
        <v>0</v>
      </c>
      <c r="P98" s="2956">
        <f>'Phụ lục số 4'!P98</f>
        <v>0</v>
      </c>
      <c r="Q98" s="2956">
        <f>'Phụ lục số 4'!Q98</f>
        <v>0</v>
      </c>
      <c r="R98" s="2956">
        <f>'Phụ lục số 4'!R98</f>
        <v>0</v>
      </c>
      <c r="S98" s="2956">
        <f>'Phụ lục số 4'!S98</f>
        <v>0</v>
      </c>
      <c r="T98" s="2956">
        <f>'Phụ lục số 4'!T98</f>
        <v>5498.9510000000009</v>
      </c>
      <c r="U98" s="2956">
        <f>'Phụ lục số 4'!U98</f>
        <v>0</v>
      </c>
      <c r="V98" s="2956">
        <f>'Phụ lục số 4'!V98</f>
        <v>0</v>
      </c>
      <c r="W98" s="2956">
        <f>'Phụ lục số 4'!W98</f>
        <v>0</v>
      </c>
      <c r="X98" s="2956">
        <f>'Phụ lục số 4'!X98</f>
        <v>0</v>
      </c>
      <c r="Y98" s="2956">
        <f>'Phụ lục số 4'!Y98</f>
        <v>0</v>
      </c>
      <c r="Z98" s="2956">
        <f>'Phụ lục số 4'!Z98</f>
        <v>0</v>
      </c>
      <c r="AA98" s="2956">
        <f>'Phụ lục số 4'!AA98</f>
        <v>0</v>
      </c>
      <c r="AB98" s="2956">
        <f>'Phụ lục số 4'!AB98</f>
        <v>0</v>
      </c>
      <c r="AC98" s="2956">
        <f>'Phụ lục số 4'!AC98</f>
        <v>0</v>
      </c>
      <c r="AD98" s="3143">
        <f>'Phụ lục số 4'!AD98</f>
        <v>0</v>
      </c>
      <c r="AE98" s="3154">
        <f>'Phụ lục số 4'!AE102</f>
        <v>0</v>
      </c>
    </row>
    <row r="99" spans="1:31" s="2351" customFormat="1" ht="54">
      <c r="A99" s="3033"/>
      <c r="B99" s="3673" t="str">
        <f>'Phụ lục số 4'!B99</f>
        <v>Trong đó; Một số nhiệm vụ chi phải báo cáo cấp có thẩm quyền xem xét, quyết định cho phép thực hiện</v>
      </c>
      <c r="C99" s="3651">
        <f t="shared" si="28"/>
        <v>5498.9510000000009</v>
      </c>
      <c r="D99" s="3651">
        <f t="shared" si="26"/>
        <v>0</v>
      </c>
      <c r="E99" s="3651">
        <f>'Phụ lục số 4'!E103</f>
        <v>0</v>
      </c>
      <c r="F99" s="3651">
        <f>'Phụ lục số 4'!F103</f>
        <v>0</v>
      </c>
      <c r="G99" s="3651">
        <f>'Phụ lục số 4'!G103</f>
        <v>0</v>
      </c>
      <c r="H99" s="3651">
        <f>'Phụ lục số 4'!H103</f>
        <v>0</v>
      </c>
      <c r="I99" s="3651"/>
      <c r="J99" s="3651">
        <f t="shared" si="13"/>
        <v>5498.9510000000009</v>
      </c>
      <c r="K99" s="3651">
        <f>'Phụ lục số 4'!K99</f>
        <v>0</v>
      </c>
      <c r="L99" s="3651">
        <f>'Phụ lục số 4'!L99</f>
        <v>0</v>
      </c>
      <c r="M99" s="3651">
        <f>'Phụ lục số 4'!M99</f>
        <v>0</v>
      </c>
      <c r="N99" s="3651">
        <f>'Phụ lục số 4'!N99</f>
        <v>0</v>
      </c>
      <c r="O99" s="3651">
        <f>'Phụ lục số 4'!O99</f>
        <v>0</v>
      </c>
      <c r="P99" s="3651">
        <f>'Phụ lục số 4'!P99</f>
        <v>0</v>
      </c>
      <c r="Q99" s="3651">
        <f>'Phụ lục số 4'!Q99</f>
        <v>0</v>
      </c>
      <c r="R99" s="3651">
        <f>'Phụ lục số 4'!R99</f>
        <v>0</v>
      </c>
      <c r="S99" s="3651">
        <f>'Phụ lục số 4'!S99</f>
        <v>0</v>
      </c>
      <c r="T99" s="3651">
        <f>'Phụ lục số 4'!T99</f>
        <v>5498.9510000000009</v>
      </c>
      <c r="U99" s="3651">
        <f>'Phụ lục số 4'!U99</f>
        <v>0</v>
      </c>
      <c r="V99" s="3651">
        <f>'Phụ lục số 4'!V99</f>
        <v>0</v>
      </c>
      <c r="W99" s="3651">
        <f>'Phụ lục số 4'!W99</f>
        <v>0</v>
      </c>
      <c r="X99" s="3651">
        <f>'Phụ lục số 4'!X99</f>
        <v>0</v>
      </c>
      <c r="Y99" s="3651">
        <f>'Phụ lục số 4'!Y99</f>
        <v>0</v>
      </c>
      <c r="Z99" s="3651">
        <f>'Phụ lục số 4'!Z99</f>
        <v>0</v>
      </c>
      <c r="AA99" s="3651">
        <f>'Phụ lục số 4'!AA99</f>
        <v>0</v>
      </c>
      <c r="AB99" s="3651">
        <f>'Phụ lục số 4'!AB99</f>
        <v>0</v>
      </c>
      <c r="AC99" s="3651">
        <f>'Phụ lục số 4'!AC99</f>
        <v>0</v>
      </c>
      <c r="AD99" s="3674">
        <f>'Phụ lục số 4'!AD99</f>
        <v>0</v>
      </c>
      <c r="AE99" s="3675">
        <f>'Phụ lục số 4'!AE103</f>
        <v>0</v>
      </c>
    </row>
    <row r="100" spans="1:31" s="3684" customFormat="1" hidden="1">
      <c r="A100" s="3704"/>
      <c r="B100" s="3700" t="str">
        <f>'Phụ lục số 4'!B100</f>
        <v>Chi an ninh - quốc phòng</v>
      </c>
      <c r="C100" s="3701">
        <f t="shared" si="28"/>
        <v>-0.39999999999417923</v>
      </c>
      <c r="D100" s="3680"/>
      <c r="E100" s="3680"/>
      <c r="F100" s="3680"/>
      <c r="G100" s="3680"/>
      <c r="H100" s="3680"/>
      <c r="I100" s="3680"/>
      <c r="J100" s="3701">
        <f t="shared" si="13"/>
        <v>-0.39999999999417923</v>
      </c>
      <c r="K100" s="3680"/>
      <c r="L100" s="3680"/>
      <c r="M100" s="3680"/>
      <c r="N100" s="3680"/>
      <c r="O100" s="3680"/>
      <c r="P100" s="3680"/>
      <c r="Q100" s="3680"/>
      <c r="R100" s="3680"/>
      <c r="S100" s="3680"/>
      <c r="T100" s="3680"/>
      <c r="U100" s="3687">
        <f>U101</f>
        <v>-0.39999999999417923</v>
      </c>
      <c r="V100" s="3680"/>
      <c r="W100" s="3680"/>
      <c r="X100" s="3680"/>
      <c r="Y100" s="3680"/>
      <c r="Z100" s="3680"/>
      <c r="AA100" s="3680"/>
      <c r="AB100" s="3680"/>
      <c r="AC100" s="3680"/>
      <c r="AD100" s="3702"/>
      <c r="AE100" s="3703"/>
    </row>
    <row r="101" spans="1:31" s="3684" customFormat="1" ht="54" hidden="1">
      <c r="A101" s="3704"/>
      <c r="B101" s="3705" t="str">
        <f>'Phụ lục số 4'!B101</f>
        <v>Trong đó; Một số nhiệm vụ chi phải báo cáo cấp có thẩm quyền xem xét, quyết định cho phép thực hiện</v>
      </c>
      <c r="C101" s="3680">
        <f t="shared" si="28"/>
        <v>-0.39999999999417923</v>
      </c>
      <c r="D101" s="3680"/>
      <c r="E101" s="3680"/>
      <c r="F101" s="3680"/>
      <c r="G101" s="3680"/>
      <c r="H101" s="3680"/>
      <c r="I101" s="3680"/>
      <c r="J101" s="3680">
        <f t="shared" si="13"/>
        <v>-0.39999999999417923</v>
      </c>
      <c r="K101" s="3680"/>
      <c r="L101" s="3680"/>
      <c r="M101" s="3680"/>
      <c r="N101" s="3680"/>
      <c r="O101" s="3680"/>
      <c r="P101" s="3680"/>
      <c r="Q101" s="3680"/>
      <c r="R101" s="3680"/>
      <c r="S101" s="3680"/>
      <c r="T101" s="3680"/>
      <c r="U101" s="3687">
        <f>'Phụ lục số 4'!U101</f>
        <v>-0.39999999999417923</v>
      </c>
      <c r="V101" s="3680"/>
      <c r="W101" s="3680"/>
      <c r="X101" s="3680"/>
      <c r="Y101" s="3680"/>
      <c r="Z101" s="3680"/>
      <c r="AA101" s="3680"/>
      <c r="AB101" s="3680"/>
      <c r="AC101" s="3680"/>
      <c r="AD101" s="3702"/>
      <c r="AE101" s="3703"/>
    </row>
    <row r="102" spans="1:31" s="1319" customFormat="1" ht="17.399999999999999">
      <c r="A102" s="3671">
        <f>'Phụ lục số 4'!A102</f>
        <v>8</v>
      </c>
      <c r="B102" s="3592" t="str">
        <f>'Phụ lục số 4'!B102</f>
        <v>Chi khác ngân sách</v>
      </c>
      <c r="C102" s="2956">
        <f t="shared" si="28"/>
        <v>14176</v>
      </c>
      <c r="D102" s="2956">
        <f t="shared" si="26"/>
        <v>0</v>
      </c>
      <c r="E102" s="2956">
        <f>'Phụ lục số 4'!E104</f>
        <v>0</v>
      </c>
      <c r="F102" s="2956">
        <f>'Phụ lục số 4'!F104</f>
        <v>0</v>
      </c>
      <c r="G102" s="2956">
        <f>'Phụ lục số 4'!G104</f>
        <v>0</v>
      </c>
      <c r="H102" s="2956">
        <f>'Phụ lục số 4'!H104</f>
        <v>0</v>
      </c>
      <c r="I102" s="2956"/>
      <c r="J102" s="2956">
        <f t="shared" si="13"/>
        <v>14176</v>
      </c>
      <c r="K102" s="2956">
        <f>'Phụ lục số 4'!K102</f>
        <v>0</v>
      </c>
      <c r="L102" s="2956">
        <f>'Phụ lục số 4'!L102</f>
        <v>0</v>
      </c>
      <c r="M102" s="2956">
        <f>'Phụ lục số 4'!M102</f>
        <v>0</v>
      </c>
      <c r="N102" s="2956">
        <f>'Phụ lục số 4'!N102</f>
        <v>0</v>
      </c>
      <c r="O102" s="2956">
        <f>'Phụ lục số 4'!O102</f>
        <v>0</v>
      </c>
      <c r="P102" s="2956">
        <f>'Phụ lục số 4'!P102</f>
        <v>0</v>
      </c>
      <c r="Q102" s="2956">
        <f>'Phụ lục số 4'!Q102</f>
        <v>0</v>
      </c>
      <c r="R102" s="2956">
        <f>'Phụ lục số 4'!R102</f>
        <v>0</v>
      </c>
      <c r="S102" s="2956">
        <f>'Phụ lục số 4'!S102</f>
        <v>0</v>
      </c>
      <c r="T102" s="2956">
        <f>'Phụ lục số 4'!T102</f>
        <v>0</v>
      </c>
      <c r="U102" s="2956">
        <f>'Phụ lục số 4'!U102</f>
        <v>0</v>
      </c>
      <c r="V102" s="2956">
        <f>'Phụ lục số 4'!V102</f>
        <v>14176</v>
      </c>
      <c r="W102" s="2956">
        <f>'Phụ lục số 4'!W102</f>
        <v>0</v>
      </c>
      <c r="X102" s="2956">
        <f>'Phụ lục số 4'!X102</f>
        <v>0</v>
      </c>
      <c r="Y102" s="2956">
        <f>'Phụ lục số 4'!Y102</f>
        <v>0</v>
      </c>
      <c r="Z102" s="2956">
        <f>'Phụ lục số 4'!Z102</f>
        <v>0</v>
      </c>
      <c r="AA102" s="2956">
        <f>'Phụ lục số 4'!AA102</f>
        <v>0</v>
      </c>
      <c r="AB102" s="2956">
        <f>'Phụ lục số 4'!AB102</f>
        <v>0</v>
      </c>
      <c r="AC102" s="2956">
        <f>'Phụ lục số 4'!AC102</f>
        <v>0</v>
      </c>
      <c r="AD102" s="3143">
        <f>'Phụ lục số 4'!AD102</f>
        <v>0</v>
      </c>
      <c r="AE102" s="3154">
        <f>'Phụ lục số 4'!AE104</f>
        <v>0</v>
      </c>
    </row>
    <row r="103" spans="1:31" s="2351" customFormat="1" ht="54">
      <c r="A103" s="3033"/>
      <c r="B103" s="3673" t="str">
        <f>'Phụ lục số 4'!B103</f>
        <v>Trong đó; Một số nhiệm vụ chi phải báo cáo cấp có thẩm quyền xem xét, quyết định cho phép thực hiện</v>
      </c>
      <c r="C103" s="3651">
        <f t="shared" si="28"/>
        <v>14176</v>
      </c>
      <c r="D103" s="3651"/>
      <c r="E103" s="3651"/>
      <c r="F103" s="3651"/>
      <c r="G103" s="3651"/>
      <c r="H103" s="3651"/>
      <c r="I103" s="3651"/>
      <c r="J103" s="3651">
        <f t="shared" si="13"/>
        <v>14176</v>
      </c>
      <c r="K103" s="3651">
        <f>'Phụ lục số 4'!K103</f>
        <v>0</v>
      </c>
      <c r="L103" s="3651">
        <f>'Phụ lục số 4'!L103</f>
        <v>0</v>
      </c>
      <c r="M103" s="3651">
        <f>'Phụ lục số 4'!M103</f>
        <v>0</v>
      </c>
      <c r="N103" s="3651">
        <f>'Phụ lục số 4'!N103</f>
        <v>0</v>
      </c>
      <c r="O103" s="3651">
        <f>'Phụ lục số 4'!O103</f>
        <v>0</v>
      </c>
      <c r="P103" s="3651">
        <f>'Phụ lục số 4'!P103</f>
        <v>0</v>
      </c>
      <c r="Q103" s="3651">
        <f>'Phụ lục số 4'!Q103</f>
        <v>0</v>
      </c>
      <c r="R103" s="3651">
        <f>'Phụ lục số 4'!R103</f>
        <v>0</v>
      </c>
      <c r="S103" s="3651">
        <f>'Phụ lục số 4'!S103</f>
        <v>0</v>
      </c>
      <c r="T103" s="3651">
        <f>'Phụ lục số 4'!T103</f>
        <v>0</v>
      </c>
      <c r="U103" s="3651">
        <f>'Phụ lục số 4'!U103</f>
        <v>0</v>
      </c>
      <c r="V103" s="3651">
        <f>'Phụ lục số 4'!V103</f>
        <v>14176</v>
      </c>
      <c r="W103" s="3651">
        <f>'Phụ lục số 4'!W103</f>
        <v>0</v>
      </c>
      <c r="X103" s="3651">
        <f>'Phụ lục số 4'!X103</f>
        <v>0</v>
      </c>
      <c r="Y103" s="3651">
        <f>'Phụ lục số 4'!Y103</f>
        <v>0</v>
      </c>
      <c r="Z103" s="3651">
        <f>'Phụ lục số 4'!Z103</f>
        <v>0</v>
      </c>
      <c r="AA103" s="3651">
        <f>'Phụ lục số 4'!AA103</f>
        <v>0</v>
      </c>
      <c r="AB103" s="3651">
        <f>'Phụ lục số 4'!AB103</f>
        <v>0</v>
      </c>
      <c r="AC103" s="3651">
        <f>'Phụ lục số 4'!AC103</f>
        <v>0</v>
      </c>
      <c r="AD103" s="3674">
        <f>'Phụ lục số 4'!AD103</f>
        <v>0</v>
      </c>
      <c r="AE103" s="3675"/>
    </row>
    <row r="104" spans="1:31" s="154" customFormat="1" hidden="1">
      <c r="A104" s="3031"/>
      <c r="B104" s="3593">
        <f>'Phụ lục số 4'!B104</f>
        <v>0</v>
      </c>
      <c r="C104" s="2954"/>
      <c r="D104" s="2954"/>
      <c r="E104" s="2954"/>
      <c r="F104" s="2954"/>
      <c r="G104" s="2954"/>
      <c r="H104" s="2954"/>
      <c r="I104" s="2954"/>
      <c r="J104" s="2954">
        <f t="shared" si="13"/>
        <v>0</v>
      </c>
      <c r="K104" s="2954">
        <f>'Phụ lục số 4'!K104</f>
        <v>0</v>
      </c>
      <c r="L104" s="2954">
        <f>'Phụ lục số 4'!L104</f>
        <v>0</v>
      </c>
      <c r="M104" s="2954">
        <f>'Phụ lục số 4'!M104</f>
        <v>0</v>
      </c>
      <c r="N104" s="2954">
        <f>'Phụ lục số 4'!N104</f>
        <v>0</v>
      </c>
      <c r="O104" s="2954">
        <f>'Phụ lục số 4'!O104</f>
        <v>0</v>
      </c>
      <c r="P104" s="2954">
        <f>'Phụ lục số 4'!P104</f>
        <v>0</v>
      </c>
      <c r="Q104" s="2954">
        <f>'Phụ lục số 4'!Q104</f>
        <v>0</v>
      </c>
      <c r="R104" s="2954">
        <f>'Phụ lục số 4'!R104</f>
        <v>0</v>
      </c>
      <c r="S104" s="2954">
        <f>'Phụ lục số 4'!S104</f>
        <v>0</v>
      </c>
      <c r="T104" s="2954">
        <f>'Phụ lục số 4'!T104</f>
        <v>0</v>
      </c>
      <c r="U104" s="2954">
        <f>'Phụ lục số 4'!U104</f>
        <v>0</v>
      </c>
      <c r="V104" s="2954">
        <f>'Phụ lục số 4'!V104</f>
        <v>0</v>
      </c>
      <c r="W104" s="2954">
        <f>'Phụ lục số 4'!W104</f>
        <v>0</v>
      </c>
      <c r="X104" s="2954">
        <f>'Phụ lục số 4'!X104</f>
        <v>0</v>
      </c>
      <c r="Y104" s="2954">
        <f>'Phụ lục số 4'!Y104</f>
        <v>0</v>
      </c>
      <c r="Z104" s="2954">
        <f>'Phụ lục số 4'!Z104</f>
        <v>0</v>
      </c>
      <c r="AA104" s="2954">
        <f>'Phụ lục số 4'!AA104</f>
        <v>0</v>
      </c>
      <c r="AB104" s="2954">
        <f>'Phụ lục số 4'!AB104</f>
        <v>0</v>
      </c>
      <c r="AC104" s="2954">
        <f>'Phụ lục số 4'!AC104</f>
        <v>0</v>
      </c>
      <c r="AD104" s="3142">
        <f>'Phụ lục số 4'!AD104</f>
        <v>0</v>
      </c>
      <c r="AE104" s="3153"/>
    </row>
    <row r="105" spans="1:31" s="1319" customFormat="1" ht="34.799999999999997" hidden="1">
      <c r="A105" s="3671">
        <f>'Phụ lục số 4'!A105</f>
        <v>9</v>
      </c>
      <c r="B105" s="3592" t="str">
        <f>'Phụ lục số 4'!B105</f>
        <v>10% tiết kiệm chi thường xuyên (phần giữ lại ngân sách)</v>
      </c>
      <c r="C105" s="2956">
        <f t="shared" si="28"/>
        <v>0</v>
      </c>
      <c r="D105" s="2956">
        <f t="shared" si="26"/>
        <v>0</v>
      </c>
      <c r="E105" s="2956">
        <f>'Phụ lục số 4'!E105</f>
        <v>0</v>
      </c>
      <c r="F105" s="2956">
        <f>'Phụ lục số 4'!F105</f>
        <v>0</v>
      </c>
      <c r="G105" s="2956">
        <f>'Phụ lục số 4'!G105</f>
        <v>0</v>
      </c>
      <c r="H105" s="2956">
        <f>'Phụ lục số 4'!H105</f>
        <v>0</v>
      </c>
      <c r="I105" s="2956"/>
      <c r="J105" s="2954">
        <f t="shared" si="13"/>
        <v>0</v>
      </c>
      <c r="K105" s="2956">
        <f>'Phụ lục số 4'!K105</f>
        <v>0</v>
      </c>
      <c r="L105" s="2956">
        <f>'Phụ lục số 4'!L105</f>
        <v>0</v>
      </c>
      <c r="M105" s="2956">
        <f>'Phụ lục số 4'!M105</f>
        <v>0</v>
      </c>
      <c r="N105" s="2956">
        <f>'Phụ lục số 4'!N105</f>
        <v>0</v>
      </c>
      <c r="O105" s="2956">
        <f>'Phụ lục số 4'!O105</f>
        <v>0</v>
      </c>
      <c r="P105" s="2956">
        <f>'Phụ lục số 4'!P105</f>
        <v>0</v>
      </c>
      <c r="Q105" s="2956">
        <f>'Phụ lục số 4'!Q105</f>
        <v>0</v>
      </c>
      <c r="R105" s="2956">
        <f>'Phụ lục số 4'!R105</f>
        <v>0</v>
      </c>
      <c r="S105" s="2956">
        <f>'Phụ lục số 4'!S105</f>
        <v>0</v>
      </c>
      <c r="T105" s="2956">
        <f>'Phụ lục số 4'!T105</f>
        <v>0</v>
      </c>
      <c r="U105" s="2956">
        <f>'Phụ lục số 4'!U105</f>
        <v>0</v>
      </c>
      <c r="V105" s="2956">
        <f>'Phụ lục số 4'!V105</f>
        <v>0</v>
      </c>
      <c r="W105" s="2956">
        <f>'Phụ lục số 4'!W105</f>
        <v>0</v>
      </c>
      <c r="X105" s="2956">
        <f>'Phụ lục số 4'!X105</f>
        <v>0</v>
      </c>
      <c r="Y105" s="2956">
        <f>'Phụ lục số 4'!Y105</f>
        <v>0</v>
      </c>
      <c r="Z105" s="2956">
        <f>'Phụ lục số 4'!Z105</f>
        <v>0</v>
      </c>
      <c r="AA105" s="2956">
        <f>'Phụ lục số 4'!AA105</f>
        <v>0</v>
      </c>
      <c r="AB105" s="2956">
        <f>'Phụ lục số 4'!AB105</f>
        <v>0</v>
      </c>
      <c r="AC105" s="2956">
        <f>'Phụ lục số 4'!AC105</f>
        <v>0</v>
      </c>
      <c r="AD105" s="3143">
        <f>'Phụ lục số 4'!AD105</f>
        <v>0</v>
      </c>
      <c r="AE105" s="3154">
        <f>'Phụ lục số 4'!AE105</f>
        <v>0</v>
      </c>
    </row>
    <row r="106" spans="1:31" s="154" customFormat="1" hidden="1">
      <c r="A106" s="3031"/>
      <c r="B106" s="3672" t="str">
        <f>'Phụ lục số 4'!B106</f>
        <v>Sự nghiệp toàn ngành trên địa bàn Tỉnh</v>
      </c>
      <c r="C106" s="3670">
        <f>D106+J106+AB106+W106+X106+AA106</f>
        <v>155579.55100000001</v>
      </c>
      <c r="D106" s="3670">
        <f t="shared" si="26"/>
        <v>0</v>
      </c>
      <c r="E106" s="3670">
        <f>'Phụ lục số 4'!E106</f>
        <v>0</v>
      </c>
      <c r="F106" s="3670">
        <f>'Phụ lục số 4'!F106</f>
        <v>0</v>
      </c>
      <c r="G106" s="3670">
        <f>'Phụ lục số 4'!G106</f>
        <v>0</v>
      </c>
      <c r="H106" s="3670">
        <f>'Phụ lục số 4'!H106</f>
        <v>0</v>
      </c>
      <c r="I106" s="3670"/>
      <c r="J106" s="3670">
        <f t="shared" si="13"/>
        <v>155579.55100000001</v>
      </c>
      <c r="K106" s="3670">
        <f>'Phụ lục số 4'!K106</f>
        <v>55500</v>
      </c>
      <c r="L106" s="3670">
        <f>'Phụ lục số 4'!L106</f>
        <v>1152</v>
      </c>
      <c r="M106" s="3670">
        <f>'Phụ lục số 4'!M106</f>
        <v>1892</v>
      </c>
      <c r="N106" s="3670">
        <f>'Phụ lục số 4'!N106</f>
        <v>74667</v>
      </c>
      <c r="O106" s="3670">
        <f>'Phụ lục số 4'!O106</f>
        <v>0</v>
      </c>
      <c r="P106" s="3670">
        <f>'Phụ lục số 4'!P106</f>
        <v>2694</v>
      </c>
      <c r="Q106" s="3670">
        <f>'Phụ lục số 4'!Q106</f>
        <v>0</v>
      </c>
      <c r="R106" s="3670">
        <f>'Phụ lục số 4'!R106</f>
        <v>0</v>
      </c>
      <c r="S106" s="3670">
        <f>'Phụ lục số 4'!S106</f>
        <v>0</v>
      </c>
      <c r="T106" s="3670">
        <f>'Phụ lục số 4'!T106</f>
        <v>5498.9510000000009</v>
      </c>
      <c r="U106" s="3670">
        <f>'Phụ lục số 4'!U106</f>
        <v>-0.39999999999417923</v>
      </c>
      <c r="V106" s="3670">
        <f>'Phụ lục số 4'!V106</f>
        <v>14176</v>
      </c>
      <c r="W106" s="3670">
        <f>'Phụ lục số 4'!W106</f>
        <v>0</v>
      </c>
      <c r="X106" s="3670">
        <f>'Phụ lục số 4'!X106</f>
        <v>0</v>
      </c>
      <c r="Y106" s="3670">
        <f>'Phụ lục số 4'!Y106</f>
        <v>0</v>
      </c>
      <c r="Z106" s="3670">
        <f>'Phụ lục số 4'!Z106</f>
        <v>0</v>
      </c>
      <c r="AA106" s="3670">
        <f>'Phụ lục số 4'!AA106</f>
        <v>0</v>
      </c>
      <c r="AB106" s="3670">
        <f t="shared" ref="AB106:AB118" si="29">SUM(AC106:AD106)</f>
        <v>0</v>
      </c>
      <c r="AC106" s="3670">
        <f>'Phụ lục số 4'!AC106</f>
        <v>0</v>
      </c>
      <c r="AD106" s="3629">
        <f>'Phụ lục số 4'!AD106</f>
        <v>0</v>
      </c>
      <c r="AE106" s="3153">
        <f>'Phụ lục số 4'!AE106</f>
        <v>0</v>
      </c>
    </row>
    <row r="107" spans="1:31" s="1319" customFormat="1" ht="34.799999999999997">
      <c r="A107" s="2930" t="s">
        <v>22</v>
      </c>
      <c r="B107" s="2788" t="str">
        <f>'Phụ lục số 4'!B107</f>
        <v>CHI BỔ SUNG QUỸ DỰ TRỮ TÀI CHÍNH</v>
      </c>
      <c r="C107" s="2956">
        <f t="shared" ref="C107:C117" si="30">D107+J107+AB107+W107+X107+AA107+Y107+Z107</f>
        <v>2000</v>
      </c>
      <c r="D107" s="2956">
        <f t="shared" si="26"/>
        <v>0</v>
      </c>
      <c r="E107" s="2956">
        <f>'Phụ lục số 4'!E107</f>
        <v>0</v>
      </c>
      <c r="F107" s="2956">
        <f>'Phụ lục số 4'!F107</f>
        <v>0</v>
      </c>
      <c r="G107" s="2956">
        <f>'Phụ lục số 4'!G107</f>
        <v>0</v>
      </c>
      <c r="H107" s="2956">
        <f>'Phụ lục số 4'!H107</f>
        <v>0</v>
      </c>
      <c r="I107" s="2956"/>
      <c r="J107" s="2956">
        <f t="shared" si="13"/>
        <v>0</v>
      </c>
      <c r="K107" s="2956">
        <f>'Phụ lục số 4'!K107</f>
        <v>0</v>
      </c>
      <c r="L107" s="2956">
        <f>'Phụ lục số 4'!L107</f>
        <v>0</v>
      </c>
      <c r="M107" s="2956">
        <f>'Phụ lục số 4'!M107</f>
        <v>0</v>
      </c>
      <c r="N107" s="2956">
        <f>'Phụ lục số 4'!N107</f>
        <v>0</v>
      </c>
      <c r="O107" s="2956">
        <f>'Phụ lục số 4'!O107</f>
        <v>0</v>
      </c>
      <c r="P107" s="2956">
        <f>'Phụ lục số 4'!P107</f>
        <v>0</v>
      </c>
      <c r="Q107" s="2956">
        <f>'Phụ lục số 4'!Q107</f>
        <v>0</v>
      </c>
      <c r="R107" s="2956">
        <f>'Phụ lục số 4'!R107</f>
        <v>0</v>
      </c>
      <c r="S107" s="2956">
        <f>'Phụ lục số 4'!S107</f>
        <v>0</v>
      </c>
      <c r="T107" s="2956">
        <f>'Phụ lục số 4'!T107</f>
        <v>0</v>
      </c>
      <c r="U107" s="2956">
        <f>'Phụ lục số 4'!U107</f>
        <v>0</v>
      </c>
      <c r="V107" s="2956">
        <f>'Phụ lục số 4'!V107</f>
        <v>0</v>
      </c>
      <c r="W107" s="2956">
        <f>'Phụ lục số 4'!W107</f>
        <v>2000</v>
      </c>
      <c r="X107" s="2956">
        <f>'Phụ lục số 4'!X107</f>
        <v>0</v>
      </c>
      <c r="Y107" s="2956">
        <f>'Phụ lục số 4'!Y107</f>
        <v>0</v>
      </c>
      <c r="Z107" s="2956">
        <f>'Phụ lục số 4'!Z107</f>
        <v>0</v>
      </c>
      <c r="AA107" s="2956">
        <f>'Phụ lục số 4'!AA107</f>
        <v>0</v>
      </c>
      <c r="AB107" s="2956">
        <f t="shared" si="29"/>
        <v>0</v>
      </c>
      <c r="AC107" s="2956">
        <f>'Phụ lục số 4'!AC107</f>
        <v>0</v>
      </c>
      <c r="AD107" s="3143">
        <f>'Phụ lục số 4'!AD107</f>
        <v>0</v>
      </c>
      <c r="AE107" s="3154">
        <f>'Phụ lục số 4'!AE107</f>
        <v>0</v>
      </c>
    </row>
    <row r="108" spans="1:31" s="1319" customFormat="1" ht="34.799999999999997">
      <c r="A108" s="2930" t="s">
        <v>26</v>
      </c>
      <c r="B108" s="2788" t="str">
        <f>'Phụ lục số 4'!B108</f>
        <v>CHI DỰ PHÒNG NGÂN SÁCH CẤP TỈNH</v>
      </c>
      <c r="C108" s="2956">
        <f t="shared" si="30"/>
        <v>152264.36799999999</v>
      </c>
      <c r="D108" s="2956">
        <f t="shared" si="26"/>
        <v>0</v>
      </c>
      <c r="E108" s="2956">
        <f>'Phụ lục số 4'!E108</f>
        <v>0</v>
      </c>
      <c r="F108" s="2956">
        <f>'Phụ lục số 4'!F108</f>
        <v>0</v>
      </c>
      <c r="G108" s="2956">
        <f>'Phụ lục số 4'!G108</f>
        <v>0</v>
      </c>
      <c r="H108" s="2956">
        <f>'Phụ lục số 4'!H108</f>
        <v>0</v>
      </c>
      <c r="I108" s="2956"/>
      <c r="J108" s="2956">
        <f t="shared" si="13"/>
        <v>0</v>
      </c>
      <c r="K108" s="2956">
        <f>'Phụ lục số 4'!K108</f>
        <v>0</v>
      </c>
      <c r="L108" s="2956">
        <f>'Phụ lục số 4'!L108</f>
        <v>0</v>
      </c>
      <c r="M108" s="2956">
        <f>'Phụ lục số 4'!M108</f>
        <v>0</v>
      </c>
      <c r="N108" s="2956">
        <f>'Phụ lục số 4'!N108</f>
        <v>0</v>
      </c>
      <c r="O108" s="2956">
        <f>'Phụ lục số 4'!O108</f>
        <v>0</v>
      </c>
      <c r="P108" s="2956">
        <f>'Phụ lục số 4'!P108</f>
        <v>0</v>
      </c>
      <c r="Q108" s="2956">
        <f>'Phụ lục số 4'!Q108</f>
        <v>0</v>
      </c>
      <c r="R108" s="2956">
        <f>'Phụ lục số 4'!R108</f>
        <v>0</v>
      </c>
      <c r="S108" s="2956">
        <f>'Phụ lục số 4'!S108</f>
        <v>0</v>
      </c>
      <c r="T108" s="2956">
        <f>'Phụ lục số 4'!T108</f>
        <v>0</v>
      </c>
      <c r="U108" s="2956">
        <f>'Phụ lục số 4'!U108</f>
        <v>0</v>
      </c>
      <c r="V108" s="2956">
        <f>'Phụ lục số 4'!V108</f>
        <v>0</v>
      </c>
      <c r="W108" s="2956">
        <f>'Phụ lục số 4'!W108</f>
        <v>0</v>
      </c>
      <c r="X108" s="2956">
        <f>'Phụ lục số 4'!X108</f>
        <v>152264.36799999999</v>
      </c>
      <c r="Y108" s="2956">
        <f>'Phụ lục số 4'!Y108</f>
        <v>0</v>
      </c>
      <c r="Z108" s="2956">
        <f>'Phụ lục số 4'!Z108</f>
        <v>0</v>
      </c>
      <c r="AA108" s="2956">
        <f>'Phụ lục số 4'!AA108</f>
        <v>0</v>
      </c>
      <c r="AB108" s="2956">
        <f t="shared" si="29"/>
        <v>0</v>
      </c>
      <c r="AC108" s="2956">
        <f>'Phụ lục số 4'!AC108</f>
        <v>0</v>
      </c>
      <c r="AD108" s="3143">
        <f>'Phụ lục số 4'!AD108</f>
        <v>0</v>
      </c>
      <c r="AE108" s="3154">
        <f>'Phụ lục số 4'!AE108</f>
        <v>0</v>
      </c>
    </row>
    <row r="109" spans="1:31" s="1319" customFormat="1" ht="52.2">
      <c r="A109" s="2930" t="s">
        <v>130</v>
      </c>
      <c r="B109" s="2788" t="s">
        <v>2622</v>
      </c>
      <c r="C109" s="2956">
        <f t="shared" si="30"/>
        <v>79139.200000000012</v>
      </c>
      <c r="D109" s="2956"/>
      <c r="E109" s="2956"/>
      <c r="F109" s="2956"/>
      <c r="G109" s="2956"/>
      <c r="H109" s="2956"/>
      <c r="I109" s="2956"/>
      <c r="J109" s="2956"/>
      <c r="K109" s="2956"/>
      <c r="L109" s="2956"/>
      <c r="M109" s="2956"/>
      <c r="N109" s="2956"/>
      <c r="O109" s="2956"/>
      <c r="P109" s="2956"/>
      <c r="Q109" s="2956"/>
      <c r="R109" s="2956"/>
      <c r="S109" s="2956"/>
      <c r="T109" s="2956"/>
      <c r="U109" s="2956"/>
      <c r="V109" s="2956"/>
      <c r="W109" s="2956"/>
      <c r="X109" s="2956">
        <f>'Phụ lục số 4'!X109</f>
        <v>0</v>
      </c>
      <c r="Y109" s="2956">
        <f>'Phụ lục số 4'!Y109</f>
        <v>0</v>
      </c>
      <c r="Z109" s="2956">
        <f>'Phụ lục số 4'!Z109</f>
        <v>79139.200000000012</v>
      </c>
      <c r="AA109" s="2956">
        <f>'Phụ lục số 4'!AA109</f>
        <v>0</v>
      </c>
      <c r="AB109" s="2956"/>
      <c r="AC109" s="2956"/>
      <c r="AD109" s="3143"/>
      <c r="AE109" s="3154"/>
    </row>
    <row r="110" spans="1:31" s="1319" customFormat="1" ht="34.799999999999997">
      <c r="A110" s="2930" t="s">
        <v>1504</v>
      </c>
      <c r="B110" s="2788" t="s">
        <v>2617</v>
      </c>
      <c r="C110" s="2956">
        <f t="shared" si="30"/>
        <v>3000</v>
      </c>
      <c r="D110" s="2956">
        <f>SUM(E110:H110)</f>
        <v>0</v>
      </c>
      <c r="E110" s="2956"/>
      <c r="F110" s="2956"/>
      <c r="G110" s="2956"/>
      <c r="H110" s="2956"/>
      <c r="I110" s="2956"/>
      <c r="J110" s="2956"/>
      <c r="K110" s="2956"/>
      <c r="L110" s="2956"/>
      <c r="M110" s="2956"/>
      <c r="N110" s="2956"/>
      <c r="O110" s="2956"/>
      <c r="P110" s="2956"/>
      <c r="Q110" s="2956"/>
      <c r="R110" s="2956"/>
      <c r="S110" s="2956"/>
      <c r="T110" s="2956"/>
      <c r="U110" s="2956"/>
      <c r="V110" s="2956"/>
      <c r="W110" s="2956"/>
      <c r="X110" s="2956"/>
      <c r="Y110" s="2956"/>
      <c r="Z110" s="2956"/>
      <c r="AA110" s="2956">
        <v>3000</v>
      </c>
      <c r="AB110" s="2956"/>
      <c r="AC110" s="2956"/>
      <c r="AD110" s="3143"/>
      <c r="AE110" s="3154"/>
    </row>
    <row r="111" spans="1:31" s="1319" customFormat="1" ht="17.399999999999999">
      <c r="A111" s="2930" t="s">
        <v>217</v>
      </c>
      <c r="B111" s="2788" t="str">
        <f>'Phụ lục số 4'!B111</f>
        <v>CHI ĐẦU TƯ XÂY DỰNG CƠ BẢN</v>
      </c>
      <c r="C111" s="2956">
        <f t="shared" si="30"/>
        <v>562186</v>
      </c>
      <c r="D111" s="2956">
        <f>SUM(E111:I111)</f>
        <v>562186</v>
      </c>
      <c r="E111" s="2956">
        <f>'Phụ lục số 4'!E111</f>
        <v>562186</v>
      </c>
      <c r="F111" s="2956">
        <f>'Phụ lục số 4'!F111</f>
        <v>0</v>
      </c>
      <c r="G111" s="2956">
        <f>'Phụ lục số 4'!G111</f>
        <v>0</v>
      </c>
      <c r="H111" s="2956">
        <f>'Phụ lục số 4'!H111</f>
        <v>0</v>
      </c>
      <c r="I111" s="2956"/>
      <c r="J111" s="2956">
        <f t="shared" si="13"/>
        <v>0</v>
      </c>
      <c r="K111" s="2956">
        <f>'Phụ lục số 4'!K111</f>
        <v>0</v>
      </c>
      <c r="L111" s="2956">
        <f>'Phụ lục số 4'!L111</f>
        <v>0</v>
      </c>
      <c r="M111" s="2956">
        <f>'Phụ lục số 4'!M111</f>
        <v>0</v>
      </c>
      <c r="N111" s="2956">
        <f>'Phụ lục số 4'!N111</f>
        <v>0</v>
      </c>
      <c r="O111" s="2956">
        <f>'Phụ lục số 4'!O111</f>
        <v>0</v>
      </c>
      <c r="P111" s="2956">
        <f>'Phụ lục số 4'!P111</f>
        <v>0</v>
      </c>
      <c r="Q111" s="2956">
        <f>'Phụ lục số 4'!Q111</f>
        <v>0</v>
      </c>
      <c r="R111" s="2956">
        <f>'Phụ lục số 4'!R111</f>
        <v>0</v>
      </c>
      <c r="S111" s="2956">
        <f>'Phụ lục số 4'!S111</f>
        <v>0</v>
      </c>
      <c r="T111" s="2956">
        <f>'Phụ lục số 4'!T111</f>
        <v>0</v>
      </c>
      <c r="U111" s="2956">
        <f>'Phụ lục số 4'!U111</f>
        <v>0</v>
      </c>
      <c r="V111" s="2956">
        <f>'Phụ lục số 4'!V111</f>
        <v>0</v>
      </c>
      <c r="W111" s="2956">
        <f>'Phụ lục số 4'!W111</f>
        <v>0</v>
      </c>
      <c r="X111" s="2956">
        <f>'Phụ lục số 4'!X111</f>
        <v>0</v>
      </c>
      <c r="Y111" s="2956">
        <f>'Phụ lục số 4'!Y111</f>
        <v>0</v>
      </c>
      <c r="Z111" s="2956">
        <f>'Phụ lục số 4'!Z111</f>
        <v>0</v>
      </c>
      <c r="AA111" s="2956">
        <f>'Phụ lục số 4'!AA111</f>
        <v>0</v>
      </c>
      <c r="AB111" s="2956">
        <f t="shared" si="29"/>
        <v>0</v>
      </c>
      <c r="AC111" s="2956">
        <f>'Phụ lục số 4'!AC111</f>
        <v>0</v>
      </c>
      <c r="AD111" s="3143">
        <f>'Phụ lục số 4'!AD111</f>
        <v>0</v>
      </c>
      <c r="AE111" s="3154">
        <f>'Phụ lục số 4'!AE111</f>
        <v>0</v>
      </c>
    </row>
    <row r="112" spans="1:31" s="1319" customFormat="1" ht="159.6" customHeight="1">
      <c r="A112" s="2930" t="s">
        <v>1505</v>
      </c>
      <c r="B112" s="2788" t="str">
        <f>'Phụ lục số 4'!B112</f>
        <v>CHI ĐẦU TƯ TỪ NGUỒN THU TIỀN SỬ DỤNG ĐẤT (CHI BỔ SUNG ĐẢM BẢO VỐN ĐIỀU LỆ QUỸ PHÁT TRIỂN ĐẤT TỪ NGUỒN THU TIỀN SỬ DỤNG ĐẤT CẤP TỈNH; CHI CÔNG TÁC DO ĐẠC…THEO NGHỊ QUYẾT SỐ 41/2023/NQ-HĐND NGÀY 18/7/2023)</v>
      </c>
      <c r="C112" s="2956">
        <f t="shared" si="30"/>
        <v>627000</v>
      </c>
      <c r="D112" s="2956">
        <f t="shared" ref="D112:D117" si="31">SUM(E112:I112)</f>
        <v>627000</v>
      </c>
      <c r="E112" s="2956">
        <f>'Phụ lục số 4'!E112</f>
        <v>0</v>
      </c>
      <c r="F112" s="2956">
        <f>'Phụ lục số 4'!F112</f>
        <v>627000</v>
      </c>
      <c r="G112" s="2956">
        <f>'Phụ lục số 4'!G112</f>
        <v>0</v>
      </c>
      <c r="H112" s="2956">
        <f>'Phụ lục số 4'!H112</f>
        <v>0</v>
      </c>
      <c r="I112" s="2956"/>
      <c r="J112" s="2956">
        <f>SUM(K112:V112)</f>
        <v>0</v>
      </c>
      <c r="K112" s="2956">
        <f>'Phụ lục số 4'!K112</f>
        <v>0</v>
      </c>
      <c r="L112" s="2956">
        <f>'Phụ lục số 4'!L112</f>
        <v>0</v>
      </c>
      <c r="M112" s="2956">
        <f>'Phụ lục số 4'!M112</f>
        <v>0</v>
      </c>
      <c r="N112" s="2956">
        <f>'Phụ lục số 4'!N112</f>
        <v>0</v>
      </c>
      <c r="O112" s="2956">
        <f>'Phụ lục số 4'!O112</f>
        <v>0</v>
      </c>
      <c r="P112" s="2956">
        <f>'Phụ lục số 4'!P112</f>
        <v>0</v>
      </c>
      <c r="Q112" s="2956">
        <f>'Phụ lục số 4'!Q112</f>
        <v>0</v>
      </c>
      <c r="R112" s="2956">
        <f>'Phụ lục số 4'!R112</f>
        <v>0</v>
      </c>
      <c r="S112" s="2956">
        <f>'Phụ lục số 4'!S112</f>
        <v>0</v>
      </c>
      <c r="T112" s="2956">
        <f>'Phụ lục số 4'!T112</f>
        <v>0</v>
      </c>
      <c r="U112" s="2956">
        <f>'Phụ lục số 4'!U112</f>
        <v>0</v>
      </c>
      <c r="V112" s="2956">
        <f>'Phụ lục số 4'!V112</f>
        <v>0</v>
      </c>
      <c r="W112" s="2956">
        <f>'Phụ lục số 4'!W112</f>
        <v>0</v>
      </c>
      <c r="X112" s="2956">
        <f>'Phụ lục số 4'!X112</f>
        <v>0</v>
      </c>
      <c r="Y112" s="2956">
        <f>'Phụ lục số 4'!Y112</f>
        <v>0</v>
      </c>
      <c r="Z112" s="2956">
        <f>'Phụ lục số 4'!Z112</f>
        <v>0</v>
      </c>
      <c r="AA112" s="2956">
        <f>'Phụ lục số 4'!AA112</f>
        <v>0</v>
      </c>
      <c r="AB112" s="2956">
        <f t="shared" si="29"/>
        <v>0</v>
      </c>
      <c r="AC112" s="2956">
        <f>'Phụ lục số 4'!AC112</f>
        <v>0</v>
      </c>
      <c r="AD112" s="3143">
        <f>'Phụ lục số 4'!AD112</f>
        <v>0</v>
      </c>
      <c r="AE112" s="3154">
        <f>'Phụ lục số 4'!AE112</f>
        <v>0</v>
      </c>
    </row>
    <row r="113" spans="1:31" s="1319" customFormat="1" ht="34.799999999999997">
      <c r="A113" s="2930" t="s">
        <v>884</v>
      </c>
      <c r="B113" s="2788" t="str">
        <f>'Phụ lục số 4'!B113</f>
        <v>CHI ĐẦU TƯ TỪ NGUỒN THU XỔ SỐ KIẾN THIẾT</v>
      </c>
      <c r="C113" s="2956">
        <f t="shared" si="30"/>
        <v>1950000</v>
      </c>
      <c r="D113" s="2956">
        <f t="shared" si="31"/>
        <v>1950000</v>
      </c>
      <c r="E113" s="2956">
        <f>'Phụ lục số 4'!E113</f>
        <v>0</v>
      </c>
      <c r="F113" s="2956">
        <f>'Phụ lục số 4'!F113</f>
        <v>0</v>
      </c>
      <c r="G113" s="2956">
        <f>'Phụ lục số 4'!G113</f>
        <v>1950000</v>
      </c>
      <c r="H113" s="2956">
        <f>'Phụ lục số 4'!H113</f>
        <v>0</v>
      </c>
      <c r="I113" s="2956"/>
      <c r="J113" s="2956">
        <f t="shared" si="13"/>
        <v>0</v>
      </c>
      <c r="K113" s="2956">
        <f>'Phụ lục số 4'!K113</f>
        <v>0</v>
      </c>
      <c r="L113" s="2956">
        <f>'Phụ lục số 4'!L113</f>
        <v>0</v>
      </c>
      <c r="M113" s="2956">
        <f>'Phụ lục số 4'!M113</f>
        <v>0</v>
      </c>
      <c r="N113" s="2956">
        <f>'Phụ lục số 4'!N113</f>
        <v>0</v>
      </c>
      <c r="O113" s="2956">
        <f>'Phụ lục số 4'!O113</f>
        <v>0</v>
      </c>
      <c r="P113" s="2956">
        <f>'Phụ lục số 4'!P113</f>
        <v>0</v>
      </c>
      <c r="Q113" s="2956">
        <f>'Phụ lục số 4'!Q113</f>
        <v>0</v>
      </c>
      <c r="R113" s="2956">
        <f>'Phụ lục số 4'!R113</f>
        <v>0</v>
      </c>
      <c r="S113" s="2956">
        <f>'Phụ lục số 4'!S113</f>
        <v>0</v>
      </c>
      <c r="T113" s="2956">
        <f>'Phụ lục số 4'!T113</f>
        <v>0</v>
      </c>
      <c r="U113" s="2956">
        <f>'Phụ lục số 4'!U113</f>
        <v>0</v>
      </c>
      <c r="V113" s="2956">
        <f>'Phụ lục số 4'!V113</f>
        <v>0</v>
      </c>
      <c r="W113" s="2956">
        <f>'Phụ lục số 4'!W113</f>
        <v>0</v>
      </c>
      <c r="X113" s="2956">
        <f>'Phụ lục số 4'!X113</f>
        <v>0</v>
      </c>
      <c r="Y113" s="2956">
        <f>'Phụ lục số 4'!Y113</f>
        <v>0</v>
      </c>
      <c r="Z113" s="2956">
        <f>'Phụ lục số 4'!Z113</f>
        <v>0</v>
      </c>
      <c r="AA113" s="2956">
        <f>'Phụ lục số 4'!AA113</f>
        <v>0</v>
      </c>
      <c r="AB113" s="2956">
        <f t="shared" si="29"/>
        <v>0</v>
      </c>
      <c r="AC113" s="2956">
        <f>'Phụ lục số 4'!AC113</f>
        <v>0</v>
      </c>
      <c r="AD113" s="3143">
        <f>'Phụ lục số 4'!AD113</f>
        <v>0</v>
      </c>
      <c r="AE113" s="3154">
        <f>'Phụ lục số 4'!AE113</f>
        <v>0</v>
      </c>
    </row>
    <row r="114" spans="1:31" s="1319" customFormat="1" ht="69.599999999999994" hidden="1">
      <c r="A114" s="2930" t="s">
        <v>2534</v>
      </c>
      <c r="B114" s="2789" t="str">
        <f>'Phụ lục số 4'!B114</f>
        <v>CHI ĐẦU TƯ TỪ NGUỒN THU CỔ PHẦN HÓA, THOÁI VỐN DOANH NGHIỆP NHÀ NƯỚC ĐỊA PHƯƠNG QUẢN LÝ</v>
      </c>
      <c r="C114" s="2956">
        <f t="shared" si="30"/>
        <v>0</v>
      </c>
      <c r="D114" s="2956">
        <f t="shared" si="31"/>
        <v>0</v>
      </c>
      <c r="E114" s="2956">
        <f>'Phụ lục số 4'!E114</f>
        <v>0</v>
      </c>
      <c r="F114" s="2956">
        <f>'Phụ lục số 4'!F114</f>
        <v>0</v>
      </c>
      <c r="G114" s="2956">
        <f>'Phụ lục số 4'!G114</f>
        <v>0</v>
      </c>
      <c r="H114" s="2956">
        <f>'Phụ lục số 4'!H114</f>
        <v>0</v>
      </c>
      <c r="I114" s="2956">
        <f>'Phụ lục số 4'!I114</f>
        <v>0</v>
      </c>
      <c r="J114" s="2956"/>
      <c r="K114" s="2956"/>
      <c r="L114" s="2956"/>
      <c r="M114" s="2956"/>
      <c r="N114" s="2956"/>
      <c r="O114" s="2956"/>
      <c r="P114" s="2956"/>
      <c r="Q114" s="2956"/>
      <c r="R114" s="2956"/>
      <c r="S114" s="2956"/>
      <c r="T114" s="2956"/>
      <c r="U114" s="2956"/>
      <c r="V114" s="2956"/>
      <c r="W114" s="2956"/>
      <c r="X114" s="2956"/>
      <c r="Y114" s="2956"/>
      <c r="Z114" s="2956"/>
      <c r="AA114" s="2956"/>
      <c r="AB114" s="2956"/>
      <c r="AC114" s="2956">
        <f>'Phụ lục số 4'!AC114</f>
        <v>0</v>
      </c>
      <c r="AD114" s="3143"/>
      <c r="AE114" s="3154"/>
    </row>
    <row r="115" spans="1:31" s="1319" customFormat="1" ht="52.2">
      <c r="A115" s="2930" t="s">
        <v>2534</v>
      </c>
      <c r="B115" s="2789" t="str">
        <f>'Phụ lục số 4'!B115</f>
        <v>CHI ĐẦU TƯ PHÁT TRIỂN KHÁC (ỦY THÁC QUA NH CHÍNH SÁCH XÃ HỘI CHI NHÁNH TỈNH ĐỒNG THÁP)</v>
      </c>
      <c r="C115" s="2956">
        <f t="shared" si="30"/>
        <v>60000</v>
      </c>
      <c r="D115" s="2956">
        <f t="shared" si="31"/>
        <v>60000</v>
      </c>
      <c r="E115" s="2956"/>
      <c r="F115" s="2956"/>
      <c r="G115" s="2956"/>
      <c r="H115" s="2956">
        <f>'Phụ lục số 4'!H115</f>
        <v>0</v>
      </c>
      <c r="I115" s="2956">
        <f>'Phụ lục số 4'!I115</f>
        <v>60000</v>
      </c>
      <c r="J115" s="2956"/>
      <c r="K115" s="2956"/>
      <c r="L115" s="2956"/>
      <c r="M115" s="2956"/>
      <c r="N115" s="2956"/>
      <c r="O115" s="2956"/>
      <c r="P115" s="2956"/>
      <c r="Q115" s="2956"/>
      <c r="R115" s="2956"/>
      <c r="S115" s="2956"/>
      <c r="T115" s="2956"/>
      <c r="U115" s="2956"/>
      <c r="V115" s="2956"/>
      <c r="W115" s="2956"/>
      <c r="X115" s="2956"/>
      <c r="Y115" s="2956"/>
      <c r="Z115" s="2956"/>
      <c r="AA115" s="2956"/>
      <c r="AB115" s="2956"/>
      <c r="AC115" s="2956"/>
      <c r="AD115" s="3143"/>
      <c r="AE115" s="3154"/>
    </row>
    <row r="116" spans="1:31" s="1319" customFormat="1" ht="52.2">
      <c r="A116" s="2930" t="s">
        <v>9</v>
      </c>
      <c r="B116" s="2788" t="str">
        <f>'Phụ lục số 4'!B116</f>
        <v>CHI ĐẦU TƯ TỪ NGUỒN NSTW BỔ SUNG CÓ MỤC TIÊU (VỐN ĐẦU TƯ PHÁT TRIỂN)</v>
      </c>
      <c r="C116" s="2956">
        <f t="shared" si="30"/>
        <v>1814491</v>
      </c>
      <c r="D116" s="2956">
        <f t="shared" si="31"/>
        <v>0</v>
      </c>
      <c r="E116" s="2956">
        <f>'Phụ lục số 4'!E116</f>
        <v>0</v>
      </c>
      <c r="F116" s="2956">
        <f>'Phụ lục số 4'!F116</f>
        <v>0</v>
      </c>
      <c r="G116" s="2956">
        <f>'Phụ lục số 4'!G116</f>
        <v>0</v>
      </c>
      <c r="H116" s="2956">
        <f>'Phụ lục số 4'!H116</f>
        <v>0</v>
      </c>
      <c r="I116" s="2956"/>
      <c r="J116" s="2956">
        <f t="shared" si="13"/>
        <v>0</v>
      </c>
      <c r="K116" s="2956">
        <f>'Phụ lục số 4'!K116</f>
        <v>0</v>
      </c>
      <c r="L116" s="2956">
        <f>'Phụ lục số 4'!L116</f>
        <v>0</v>
      </c>
      <c r="M116" s="2956">
        <f>'Phụ lục số 4'!M116</f>
        <v>0</v>
      </c>
      <c r="N116" s="2956">
        <f>'Phụ lục số 4'!N116</f>
        <v>0</v>
      </c>
      <c r="O116" s="2956">
        <f>'Phụ lục số 4'!O116</f>
        <v>0</v>
      </c>
      <c r="P116" s="2956">
        <f>'Phụ lục số 4'!P116</f>
        <v>0</v>
      </c>
      <c r="Q116" s="2956">
        <f>'Phụ lục số 4'!Q116</f>
        <v>0</v>
      </c>
      <c r="R116" s="2956">
        <f>'Phụ lục số 4'!R116</f>
        <v>0</v>
      </c>
      <c r="S116" s="2956">
        <f>'Phụ lục số 4'!S116</f>
        <v>0</v>
      </c>
      <c r="T116" s="2956">
        <f>'Phụ lục số 4'!T116</f>
        <v>0</v>
      </c>
      <c r="U116" s="2956">
        <f>'Phụ lục số 4'!U116</f>
        <v>0</v>
      </c>
      <c r="V116" s="2956">
        <f>'Phụ lục số 4'!V116</f>
        <v>0</v>
      </c>
      <c r="W116" s="2956">
        <f>'Phụ lục số 4'!W116</f>
        <v>0</v>
      </c>
      <c r="X116" s="2956">
        <f>'Phụ lục số 4'!X116</f>
        <v>0</v>
      </c>
      <c r="Y116" s="2956">
        <f>'Phụ lục số 4'!Y116</f>
        <v>0</v>
      </c>
      <c r="Z116" s="2956">
        <f>'Phụ lục số 4'!Z116</f>
        <v>0</v>
      </c>
      <c r="AA116" s="2956">
        <f>'Phụ lục số 4'!AA116</f>
        <v>0</v>
      </c>
      <c r="AB116" s="2956">
        <f t="shared" si="29"/>
        <v>1814491</v>
      </c>
      <c r="AC116" s="2956">
        <f>'Phụ lục số 4'!AC116</f>
        <v>1814491</v>
      </c>
      <c r="AD116" s="3143">
        <f>'Phụ lục số 4'!AD116</f>
        <v>0</v>
      </c>
      <c r="AE116" s="3154">
        <f>'Phụ lục số 4'!AE116</f>
        <v>0</v>
      </c>
    </row>
    <row r="117" spans="1:31" s="1319" customFormat="1" ht="34.799999999999997">
      <c r="A117" s="2930" t="s">
        <v>2610</v>
      </c>
      <c r="B117" s="2788" t="str">
        <f>'Phụ lục số 4'!B117</f>
        <v>CHI ĐẦU TƯ TỪ NGUỒN VỐN CHÍNH PHỦ VAY VỀ CHO VAY LẠI</v>
      </c>
      <c r="C117" s="2956">
        <f t="shared" si="30"/>
        <v>0</v>
      </c>
      <c r="D117" s="2956">
        <f t="shared" si="31"/>
        <v>0</v>
      </c>
      <c r="E117" s="2956">
        <f>'Phụ lục số 4'!E117</f>
        <v>0</v>
      </c>
      <c r="F117" s="2956">
        <f>'Phụ lục số 4'!F117</f>
        <v>0</v>
      </c>
      <c r="G117" s="2956">
        <f>'Phụ lục số 4'!G117</f>
        <v>0</v>
      </c>
      <c r="H117" s="2956">
        <f>'Phụ lục số 4'!H117</f>
        <v>0</v>
      </c>
      <c r="I117" s="2956"/>
      <c r="J117" s="2956">
        <f t="shared" si="13"/>
        <v>0</v>
      </c>
      <c r="K117" s="2956">
        <f>'Phụ lục số 4'!K117</f>
        <v>0</v>
      </c>
      <c r="L117" s="2956">
        <f>'Phụ lục số 4'!L117</f>
        <v>0</v>
      </c>
      <c r="M117" s="2956">
        <f>'Phụ lục số 4'!M117</f>
        <v>0</v>
      </c>
      <c r="N117" s="2956">
        <f>'Phụ lục số 4'!N117</f>
        <v>0</v>
      </c>
      <c r="O117" s="2956">
        <f>'Phụ lục số 4'!O117</f>
        <v>0</v>
      </c>
      <c r="P117" s="2956">
        <f>'Phụ lục số 4'!P117</f>
        <v>0</v>
      </c>
      <c r="Q117" s="2956">
        <f>'Phụ lục số 4'!Q117</f>
        <v>0</v>
      </c>
      <c r="R117" s="2956">
        <f>'Phụ lục số 4'!R117</f>
        <v>0</v>
      </c>
      <c r="S117" s="2956">
        <f>'Phụ lục số 4'!S117</f>
        <v>0</v>
      </c>
      <c r="T117" s="2956">
        <f>'Phụ lục số 4'!T117</f>
        <v>0</v>
      </c>
      <c r="U117" s="2956">
        <f>'Phụ lục số 4'!U117</f>
        <v>0</v>
      </c>
      <c r="V117" s="2956">
        <f>'Phụ lục số 4'!V117</f>
        <v>0</v>
      </c>
      <c r="W117" s="2956">
        <f>'Phụ lục số 4'!W117</f>
        <v>0</v>
      </c>
      <c r="X117" s="2956">
        <f>'Phụ lục số 4'!X117</f>
        <v>0</v>
      </c>
      <c r="Y117" s="2956">
        <f>'Phụ lục số 4'!Y117</f>
        <v>0</v>
      </c>
      <c r="Z117" s="2956">
        <f>'Phụ lục số 4'!Z117</f>
        <v>0</v>
      </c>
      <c r="AA117" s="2956">
        <f>'Phụ lục số 4'!AA117</f>
        <v>0</v>
      </c>
      <c r="AB117" s="2956">
        <f t="shared" si="29"/>
        <v>0</v>
      </c>
      <c r="AC117" s="2956">
        <f>'Phụ lục số 4'!AC117</f>
        <v>0</v>
      </c>
      <c r="AD117" s="3143">
        <f>'Phụ lục số 4'!AD117</f>
        <v>0</v>
      </c>
      <c r="AE117" s="3154">
        <f>'Phụ lục số 4'!AE117</f>
        <v>0</v>
      </c>
    </row>
    <row r="118" spans="1:31" s="1319" customFormat="1" ht="35.4" thickBot="1">
      <c r="A118" s="2936" t="s">
        <v>2624</v>
      </c>
      <c r="B118" s="3145" t="str">
        <f>'Phụ lục số 4'!B118</f>
        <v>CHI BỔ SUNG CHO NGÂN SÁCH HUYỆN, THÀNH PHỐ</v>
      </c>
      <c r="C118" s="3144">
        <f>D118+J118+AB118+W118+X118+AA118+Y118+Z118+AE118</f>
        <v>5083323.3480000002</v>
      </c>
      <c r="D118" s="3144">
        <f>SUM(E118:H118)</f>
        <v>0</v>
      </c>
      <c r="E118" s="3144">
        <f>'Phụ lục số 4'!E118</f>
        <v>0</v>
      </c>
      <c r="F118" s="3144">
        <f>'Phụ lục số 4'!F118</f>
        <v>0</v>
      </c>
      <c r="G118" s="3144">
        <f>'Phụ lục số 4'!G118</f>
        <v>0</v>
      </c>
      <c r="H118" s="3144">
        <f>'Phụ lục số 4'!H118</f>
        <v>0</v>
      </c>
      <c r="I118" s="3144"/>
      <c r="J118" s="3144">
        <f t="shared" si="13"/>
        <v>0</v>
      </c>
      <c r="K118" s="3144">
        <f>'Phụ lục số 4'!K118</f>
        <v>0</v>
      </c>
      <c r="L118" s="3144">
        <f>'Phụ lục số 4'!L118</f>
        <v>0</v>
      </c>
      <c r="M118" s="3144">
        <f>'Phụ lục số 4'!M118</f>
        <v>0</v>
      </c>
      <c r="N118" s="3144">
        <f>'Phụ lục số 4'!N118</f>
        <v>0</v>
      </c>
      <c r="O118" s="3144">
        <f>'Phụ lục số 4'!O118</f>
        <v>0</v>
      </c>
      <c r="P118" s="3144">
        <f>'Phụ lục số 4'!P118</f>
        <v>0</v>
      </c>
      <c r="Q118" s="3144">
        <f>'Phụ lục số 4'!Q118</f>
        <v>0</v>
      </c>
      <c r="R118" s="3144">
        <f>'Phụ lục số 4'!R118</f>
        <v>0</v>
      </c>
      <c r="S118" s="3144">
        <f>'Phụ lục số 4'!S118</f>
        <v>0</v>
      </c>
      <c r="T118" s="3144">
        <f>'Phụ lục số 4'!T118</f>
        <v>0</v>
      </c>
      <c r="U118" s="3144">
        <f>'Phụ lục số 4'!U118</f>
        <v>0</v>
      </c>
      <c r="V118" s="3144">
        <f>'Phụ lục số 4'!V118</f>
        <v>0</v>
      </c>
      <c r="W118" s="3144">
        <f>'Phụ lục số 4'!W118</f>
        <v>0</v>
      </c>
      <c r="X118" s="3144">
        <f>'Phụ lục số 4'!X118</f>
        <v>0</v>
      </c>
      <c r="Y118" s="3144">
        <f>'Phụ lục số 4'!Y118</f>
        <v>0</v>
      </c>
      <c r="Z118" s="3144">
        <f>'Phụ lục số 4'!Z118</f>
        <v>0</v>
      </c>
      <c r="AA118" s="3144">
        <f>'Phụ lục số 4'!AA118</f>
        <v>0</v>
      </c>
      <c r="AB118" s="3144">
        <f t="shared" si="29"/>
        <v>0</v>
      </c>
      <c r="AC118" s="3144">
        <f>'Phụ lục số 4'!AC118</f>
        <v>0</v>
      </c>
      <c r="AD118" s="3146">
        <f>'Phụ lục số 4'!AD118</f>
        <v>0</v>
      </c>
      <c r="AE118" s="3155">
        <f>'Phụ lục số 4'!AE118</f>
        <v>5083323.3480000002</v>
      </c>
    </row>
    <row r="119" spans="1:31" ht="18.600000000000001" thickTop="1"/>
  </sheetData>
  <mergeCells count="20">
    <mergeCell ref="E7:I7"/>
    <mergeCell ref="J7:J8"/>
    <mergeCell ref="K7:V7"/>
    <mergeCell ref="W6:W8"/>
    <mergeCell ref="A1:AE1"/>
    <mergeCell ref="A2:AE2"/>
    <mergeCell ref="AB4:AE4"/>
    <mergeCell ref="A5:A8"/>
    <mergeCell ref="B5:B8"/>
    <mergeCell ref="C5:AD5"/>
    <mergeCell ref="AE5:AE8"/>
    <mergeCell ref="C6:C8"/>
    <mergeCell ref="D6:I6"/>
    <mergeCell ref="J6:V6"/>
    <mergeCell ref="X6:X8"/>
    <mergeCell ref="Z6:Z8"/>
    <mergeCell ref="AA6:AA8"/>
    <mergeCell ref="AB6:AB8"/>
    <mergeCell ref="AC6:AD7"/>
    <mergeCell ref="D7:D8"/>
  </mergeCells>
  <hyperlinks>
    <hyperlink ref="A5:A8" location="'List danh mục'!A1" display="Số TT"/>
  </hyperlinks>
  <printOptions horizontalCentered="1"/>
  <pageMargins left="0" right="0" top="0.39370078740157483" bottom="0" header="0" footer="0"/>
  <pageSetup paperSize="9" scale="60" orientation="landscape" r:id="rId1"/>
  <headerFooter>
    <oddHeader>&amp;R&amp;A</oddHeader>
    <oddFooter>&amp;C&amp;P/&amp;N</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O47"/>
  <sheetViews>
    <sheetView topLeftCell="A3" zoomScale="77" zoomScaleNormal="77" workbookViewId="0">
      <selection activeCell="A30" sqref="A30:G30"/>
    </sheetView>
  </sheetViews>
  <sheetFormatPr defaultColWidth="10.19921875" defaultRowHeight="15.6"/>
  <cols>
    <col min="1" max="1" width="5.59765625" style="245" customWidth="1"/>
    <col min="2" max="2" width="23.5" style="245" customWidth="1"/>
    <col min="3" max="3" width="10.19921875" style="245" customWidth="1"/>
    <col min="4" max="10" width="8.8984375" style="245" customWidth="1"/>
    <col min="11" max="12" width="9.3984375" style="245" customWidth="1"/>
    <col min="13" max="13" width="9.19921875" style="245" customWidth="1"/>
    <col min="14" max="14" width="10.19921875" style="245" customWidth="1"/>
    <col min="15" max="15" width="8" style="245" customWidth="1"/>
    <col min="16" max="16384" width="10.19921875" style="245"/>
  </cols>
  <sheetData>
    <row r="1" spans="1:15">
      <c r="A1" s="4561" t="s">
        <v>1531</v>
      </c>
      <c r="B1" s="4561"/>
      <c r="C1" s="4561"/>
      <c r="D1" s="4561"/>
      <c r="N1" s="4562" t="s">
        <v>2824</v>
      </c>
      <c r="O1" s="4562"/>
    </row>
    <row r="3" spans="1:15">
      <c r="A3" s="4563" t="s">
        <v>2825</v>
      </c>
      <c r="B3" s="4564"/>
      <c r="C3" s="4564"/>
      <c r="D3" s="4564"/>
      <c r="E3" s="4564"/>
      <c r="F3" s="4564"/>
      <c r="G3" s="4564"/>
      <c r="H3" s="4564"/>
      <c r="I3" s="4564"/>
      <c r="J3" s="4564"/>
      <c r="K3" s="4564"/>
      <c r="L3" s="4564"/>
      <c r="M3" s="4564"/>
      <c r="N3" s="4564"/>
      <c r="O3" s="4564"/>
    </row>
    <row r="4" spans="1:15">
      <c r="A4" s="4565" t="s">
        <v>2826</v>
      </c>
      <c r="B4" s="4564"/>
      <c r="C4" s="4564"/>
      <c r="D4" s="4564"/>
      <c r="E4" s="4564"/>
      <c r="F4" s="4564"/>
      <c r="G4" s="4564"/>
      <c r="H4" s="4564"/>
      <c r="I4" s="4564"/>
      <c r="J4" s="4564"/>
      <c r="K4" s="4564"/>
      <c r="L4" s="4564"/>
      <c r="M4" s="4564"/>
      <c r="N4" s="4564"/>
      <c r="O4" s="4564"/>
    </row>
    <row r="5" spans="1:15">
      <c r="A5" s="4566" t="s">
        <v>2827</v>
      </c>
      <c r="B5" s="4567"/>
      <c r="C5" s="4567"/>
      <c r="D5" s="4567"/>
      <c r="E5" s="4567"/>
      <c r="F5" s="4567"/>
      <c r="G5" s="4567"/>
      <c r="H5" s="4567"/>
      <c r="I5" s="4567"/>
      <c r="J5" s="4567"/>
      <c r="K5" s="4567"/>
      <c r="L5" s="4567"/>
      <c r="M5" s="4567"/>
      <c r="N5" s="4567"/>
      <c r="O5" s="4567"/>
    </row>
    <row r="6" spans="1:15">
      <c r="A6" s="4559" t="s">
        <v>244</v>
      </c>
      <c r="B6" s="4559" t="s">
        <v>2828</v>
      </c>
      <c r="C6" s="4559" t="s">
        <v>363</v>
      </c>
      <c r="D6" s="4560" t="s">
        <v>2829</v>
      </c>
      <c r="E6" s="4560"/>
      <c r="F6" s="4560"/>
      <c r="G6" s="4560"/>
      <c r="H6" s="4560"/>
      <c r="I6" s="4560"/>
      <c r="J6" s="4560"/>
      <c r="K6" s="4560"/>
      <c r="L6" s="4560"/>
      <c r="M6" s="4560"/>
      <c r="N6" s="4560"/>
      <c r="O6" s="4560"/>
    </row>
    <row r="7" spans="1:15">
      <c r="A7" s="4559"/>
      <c r="B7" s="4559"/>
      <c r="C7" s="4559"/>
      <c r="D7" s="4559" t="s">
        <v>2830</v>
      </c>
      <c r="E7" s="4559" t="s">
        <v>2831</v>
      </c>
      <c r="F7" s="4559" t="s">
        <v>2832</v>
      </c>
      <c r="G7" s="4559" t="s">
        <v>2833</v>
      </c>
      <c r="H7" s="4559" t="s">
        <v>2834</v>
      </c>
      <c r="I7" s="4559" t="s">
        <v>2835</v>
      </c>
      <c r="J7" s="4559" t="s">
        <v>2836</v>
      </c>
      <c r="K7" s="4559" t="s">
        <v>2837</v>
      </c>
      <c r="L7" s="4559" t="s">
        <v>2829</v>
      </c>
      <c r="M7" s="4559"/>
      <c r="N7" s="4559" t="s">
        <v>2838</v>
      </c>
      <c r="O7" s="4560" t="s">
        <v>2839</v>
      </c>
    </row>
    <row r="8" spans="1:15" ht="155.4" customHeight="1">
      <c r="A8" s="4559"/>
      <c r="B8" s="4559"/>
      <c r="C8" s="4559"/>
      <c r="D8" s="4559"/>
      <c r="E8" s="4559"/>
      <c r="F8" s="4559"/>
      <c r="G8" s="4559"/>
      <c r="H8" s="4559"/>
      <c r="I8" s="4559"/>
      <c r="J8" s="4559"/>
      <c r="K8" s="4559"/>
      <c r="L8" s="3984" t="s">
        <v>2840</v>
      </c>
      <c r="M8" s="3984" t="s">
        <v>2841</v>
      </c>
      <c r="N8" s="4559"/>
      <c r="O8" s="4560"/>
    </row>
    <row r="9" spans="1:15">
      <c r="A9" s="3985" t="s">
        <v>7</v>
      </c>
      <c r="B9" s="3985" t="s">
        <v>22</v>
      </c>
      <c r="C9" s="3985">
        <v>1</v>
      </c>
      <c r="D9" s="4005">
        <v>2</v>
      </c>
      <c r="E9" s="3985">
        <v>3</v>
      </c>
      <c r="F9" s="3985">
        <v>4</v>
      </c>
      <c r="G9" s="3985">
        <v>5</v>
      </c>
      <c r="H9" s="3985">
        <v>6</v>
      </c>
      <c r="I9" s="3985">
        <v>7</v>
      </c>
      <c r="J9" s="3985">
        <v>8</v>
      </c>
      <c r="K9" s="3985">
        <v>9</v>
      </c>
      <c r="L9" s="3985">
        <v>10</v>
      </c>
      <c r="M9" s="3985">
        <v>11</v>
      </c>
      <c r="N9" s="3985">
        <v>12</v>
      </c>
      <c r="O9" s="3986">
        <v>13</v>
      </c>
    </row>
    <row r="10" spans="1:15" s="4008" customFormat="1" ht="31.5" customHeight="1">
      <c r="A10" s="4006"/>
      <c r="B10" s="4006" t="s">
        <v>363</v>
      </c>
      <c r="C10" s="4007">
        <f t="shared" ref="C10:O10" si="0">C11+C46</f>
        <v>6737677</v>
      </c>
      <c r="D10" s="4007">
        <f t="shared" si="0"/>
        <v>746570</v>
      </c>
      <c r="E10" s="4007">
        <f t="shared" si="0"/>
        <v>24000</v>
      </c>
      <c r="F10" s="4007">
        <f t="shared" si="0"/>
        <v>231919</v>
      </c>
      <c r="G10" s="4007">
        <f t="shared" si="0"/>
        <v>59200</v>
      </c>
      <c r="H10" s="4007">
        <f t="shared" si="0"/>
        <v>0</v>
      </c>
      <c r="I10" s="4007">
        <f t="shared" si="0"/>
        <v>21300</v>
      </c>
      <c r="J10" s="4007">
        <f t="shared" si="0"/>
        <v>42300</v>
      </c>
      <c r="K10" s="4007">
        <f t="shared" si="0"/>
        <v>3623059</v>
      </c>
      <c r="L10" s="4007">
        <f t="shared" si="0"/>
        <v>1818314</v>
      </c>
      <c r="M10" s="4007">
        <f t="shared" si="0"/>
        <v>534303</v>
      </c>
      <c r="N10" s="4007">
        <f t="shared" si="0"/>
        <v>22000</v>
      </c>
      <c r="O10" s="4007">
        <f t="shared" si="0"/>
        <v>5659</v>
      </c>
    </row>
    <row r="11" spans="1:15">
      <c r="A11" s="4009" t="s">
        <v>7</v>
      </c>
      <c r="B11" s="4010" t="s">
        <v>3403</v>
      </c>
      <c r="C11" s="3989">
        <f>SUM(C12:C45)</f>
        <v>5013677</v>
      </c>
      <c r="D11" s="3989">
        <f t="shared" ref="D11:O11" si="1">SUM(D12:D45)</f>
        <v>746570</v>
      </c>
      <c r="E11" s="3989">
        <f t="shared" si="1"/>
        <v>24000</v>
      </c>
      <c r="F11" s="3989">
        <f t="shared" si="1"/>
        <v>231919</v>
      </c>
      <c r="G11" s="3989">
        <f t="shared" si="1"/>
        <v>59200</v>
      </c>
      <c r="H11" s="3989">
        <f t="shared" si="1"/>
        <v>0</v>
      </c>
      <c r="I11" s="3989">
        <f t="shared" si="1"/>
        <v>21300</v>
      </c>
      <c r="J11" s="3989">
        <f t="shared" si="1"/>
        <v>42300</v>
      </c>
      <c r="K11" s="3989">
        <f>SUM(K12:K45)</f>
        <v>3623059</v>
      </c>
      <c r="L11" s="3989">
        <f t="shared" si="1"/>
        <v>1818314</v>
      </c>
      <c r="M11" s="3989">
        <f t="shared" si="1"/>
        <v>534303</v>
      </c>
      <c r="N11" s="3989">
        <f t="shared" si="1"/>
        <v>22000</v>
      </c>
      <c r="O11" s="3989">
        <f t="shared" si="1"/>
        <v>5659</v>
      </c>
    </row>
    <row r="12" spans="1:15" ht="31.2">
      <c r="A12" s="3987">
        <v>1</v>
      </c>
      <c r="B12" s="3988" t="s">
        <v>3404</v>
      </c>
      <c r="C12" s="3989">
        <f t="shared" ref="C12:C20" si="2">D12+E12+F12+G12+H12+I12+J12+K12+N12+O12</f>
        <v>5659</v>
      </c>
      <c r="D12" s="3991"/>
      <c r="E12" s="3991"/>
      <c r="F12" s="3992"/>
      <c r="G12" s="3991"/>
      <c r="H12" s="3991"/>
      <c r="I12" s="3991"/>
      <c r="J12" s="3991"/>
      <c r="K12" s="3992">
        <f>L12+M12</f>
        <v>0</v>
      </c>
      <c r="L12" s="3992"/>
      <c r="M12" s="3991"/>
      <c r="N12" s="3991"/>
      <c r="O12" s="3992">
        <f>'[25]Bieu 45'!S516</f>
        <v>5659</v>
      </c>
    </row>
    <row r="13" spans="1:15" ht="31.2">
      <c r="A13" s="3987">
        <v>2</v>
      </c>
      <c r="B13" s="3988" t="s">
        <v>2853</v>
      </c>
      <c r="C13" s="3989">
        <f t="shared" si="2"/>
        <v>50500</v>
      </c>
      <c r="D13" s="3991"/>
      <c r="E13" s="3991"/>
      <c r="F13" s="3991"/>
      <c r="G13" s="3991"/>
      <c r="H13" s="3991"/>
      <c r="I13" s="3991"/>
      <c r="J13" s="3992">
        <f>'[25]Bieu 45'!S229</f>
        <v>26500</v>
      </c>
      <c r="K13" s="3992">
        <f>L13+M13+'[25]Bieu 45'!S418</f>
        <v>24000</v>
      </c>
      <c r="L13" s="3992"/>
      <c r="M13" s="3992">
        <f>'[25]Bieu 45'!S243</f>
        <v>16000</v>
      </c>
      <c r="N13" s="3991"/>
      <c r="O13" s="3991"/>
    </row>
    <row r="14" spans="1:15">
      <c r="A14" s="3987">
        <v>3</v>
      </c>
      <c r="B14" s="3988" t="s">
        <v>1452</v>
      </c>
      <c r="C14" s="3989">
        <f t="shared" si="2"/>
        <v>24050</v>
      </c>
      <c r="D14" s="3992">
        <f>'[25]Bieu 45'!S34+'[25]Bieu 45'!S47</f>
        <v>24050</v>
      </c>
      <c r="E14" s="3991"/>
      <c r="F14" s="3991"/>
      <c r="G14" s="3991"/>
      <c r="H14" s="3991"/>
      <c r="I14" s="3991"/>
      <c r="J14" s="3991"/>
      <c r="K14" s="3992">
        <f>L14+M14</f>
        <v>0</v>
      </c>
      <c r="L14" s="3992"/>
      <c r="M14" s="3991"/>
      <c r="N14" s="3991"/>
      <c r="O14" s="3991"/>
    </row>
    <row r="15" spans="1:15">
      <c r="A15" s="3987">
        <v>4</v>
      </c>
      <c r="B15" s="3988" t="s">
        <v>2854</v>
      </c>
      <c r="C15" s="3989">
        <f t="shared" si="2"/>
        <v>359796</v>
      </c>
      <c r="D15" s="3991"/>
      <c r="E15" s="3991"/>
      <c r="F15" s="3991"/>
      <c r="G15" s="3991"/>
      <c r="H15" s="3991"/>
      <c r="I15" s="3991"/>
      <c r="J15" s="3991"/>
      <c r="K15" s="3992">
        <f>L15+M15</f>
        <v>359796</v>
      </c>
      <c r="L15" s="3992">
        <f>'[25]Bieu 45'!S366</f>
        <v>359796</v>
      </c>
      <c r="M15" s="3991"/>
      <c r="N15" s="3991"/>
      <c r="O15" s="3991"/>
    </row>
    <row r="16" spans="1:15" ht="31.2">
      <c r="A16" s="3987">
        <v>5</v>
      </c>
      <c r="B16" s="3988" t="s">
        <v>2855</v>
      </c>
      <c r="C16" s="3989">
        <f t="shared" si="2"/>
        <v>34200</v>
      </c>
      <c r="D16" s="3991"/>
      <c r="E16" s="3991"/>
      <c r="F16" s="3991"/>
      <c r="G16" s="3992">
        <f>'[25]Bieu 45'!S190</f>
        <v>34200</v>
      </c>
      <c r="H16" s="3991"/>
      <c r="I16" s="3991"/>
      <c r="J16" s="3991"/>
      <c r="K16" s="3992">
        <f>L16+M16</f>
        <v>0</v>
      </c>
      <c r="L16" s="3992"/>
      <c r="M16" s="3991"/>
      <c r="N16" s="3991"/>
      <c r="O16" s="3991"/>
    </row>
    <row r="17" spans="1:15">
      <c r="A17" s="3987">
        <v>6</v>
      </c>
      <c r="B17" s="3988" t="s">
        <v>1450</v>
      </c>
      <c r="C17" s="3989">
        <f t="shared" si="2"/>
        <v>16000</v>
      </c>
      <c r="D17" s="3991"/>
      <c r="E17" s="3991"/>
      <c r="F17" s="3991"/>
      <c r="G17" s="3991"/>
      <c r="H17" s="3991"/>
      <c r="I17" s="3991"/>
      <c r="J17" s="3991"/>
      <c r="K17" s="3992">
        <f>L17+M17+'[25]Bieu 45'!S414</f>
        <v>16000</v>
      </c>
      <c r="L17" s="3992"/>
      <c r="M17" s="3991"/>
      <c r="N17" s="3991"/>
      <c r="O17" s="3991"/>
    </row>
    <row r="18" spans="1:15">
      <c r="A18" s="3987">
        <v>7</v>
      </c>
      <c r="B18" s="3988" t="s">
        <v>1451</v>
      </c>
      <c r="C18" s="3989">
        <f t="shared" si="2"/>
        <v>56700</v>
      </c>
      <c r="D18" s="3991"/>
      <c r="E18" s="3991"/>
      <c r="F18" s="3992">
        <f>'[25]Bieu 45'!S178</f>
        <v>56700</v>
      </c>
      <c r="G18" s="3991"/>
      <c r="H18" s="3991"/>
      <c r="I18" s="3991"/>
      <c r="J18" s="3991"/>
      <c r="K18" s="3992">
        <f t="shared" ref="K18:K26" si="3">L18+M18</f>
        <v>0</v>
      </c>
      <c r="L18" s="3992"/>
      <c r="M18" s="3991"/>
      <c r="N18" s="3991"/>
      <c r="O18" s="3991"/>
    </row>
    <row r="19" spans="1:15" ht="31.2">
      <c r="A19" s="3987">
        <v>8</v>
      </c>
      <c r="B19" s="3988" t="s">
        <v>1455</v>
      </c>
      <c r="C19" s="3989">
        <f t="shared" si="2"/>
        <v>24000</v>
      </c>
      <c r="D19" s="3991"/>
      <c r="E19" s="3992">
        <f>'[25]Bieu 45'!S173</f>
        <v>24000</v>
      </c>
      <c r="F19" s="3992"/>
      <c r="G19" s="3991"/>
      <c r="H19" s="3991"/>
      <c r="I19" s="3991"/>
      <c r="J19" s="3991"/>
      <c r="K19" s="3992">
        <f t="shared" si="3"/>
        <v>0</v>
      </c>
      <c r="L19" s="3992"/>
      <c r="M19" s="3991"/>
      <c r="N19" s="3991"/>
      <c r="O19" s="3991"/>
    </row>
    <row r="20" spans="1:15" ht="31.2">
      <c r="A20" s="3987">
        <v>9</v>
      </c>
      <c r="B20" s="3988" t="s">
        <v>3405</v>
      </c>
      <c r="C20" s="3989">
        <f t="shared" si="2"/>
        <v>25000</v>
      </c>
      <c r="D20" s="3991"/>
      <c r="E20" s="3991"/>
      <c r="F20" s="3992"/>
      <c r="G20" s="3992">
        <f>'[25]Bieu 45'!S198</f>
        <v>25000</v>
      </c>
      <c r="H20" s="3991"/>
      <c r="I20" s="3991"/>
      <c r="J20" s="3991"/>
      <c r="K20" s="3992">
        <f t="shared" si="3"/>
        <v>0</v>
      </c>
      <c r="L20" s="3992"/>
      <c r="M20" s="3991"/>
      <c r="N20" s="3991"/>
      <c r="O20" s="3991"/>
    </row>
    <row r="21" spans="1:15" ht="31.2">
      <c r="A21" s="3987">
        <v>10</v>
      </c>
      <c r="B21" s="3988" t="s">
        <v>2845</v>
      </c>
      <c r="C21" s="3989">
        <f>D21+E21+F21+G21+H21+I21+J21+K21+N21+O21+'[25]Bieu 45'!S14</f>
        <v>20000</v>
      </c>
      <c r="D21" s="3991"/>
      <c r="E21" s="3991"/>
      <c r="F21" s="3991"/>
      <c r="G21" s="3991"/>
      <c r="H21" s="3991"/>
      <c r="I21" s="3991"/>
      <c r="J21" s="3991"/>
      <c r="K21" s="3992">
        <f t="shared" si="3"/>
        <v>0</v>
      </c>
      <c r="L21" s="3992"/>
      <c r="M21" s="3991"/>
      <c r="N21" s="3991"/>
      <c r="O21" s="3991"/>
    </row>
    <row r="22" spans="1:15">
      <c r="A22" s="3987">
        <v>11</v>
      </c>
      <c r="B22" s="3988" t="s">
        <v>1483</v>
      </c>
      <c r="C22" s="3989">
        <f>D22+E22+F22+G22+H22+I22+J22+K22+N22+O22+'[25]Bieu 45'!S18</f>
        <v>50300</v>
      </c>
      <c r="D22" s="3991"/>
      <c r="E22" s="3991"/>
      <c r="F22" s="3992"/>
      <c r="G22" s="3991"/>
      <c r="H22" s="3991"/>
      <c r="I22" s="3991"/>
      <c r="J22" s="3991"/>
      <c r="K22" s="3992">
        <f t="shared" si="3"/>
        <v>0</v>
      </c>
      <c r="L22" s="3992"/>
      <c r="M22" s="3991"/>
      <c r="N22" s="3991"/>
      <c r="O22" s="3991"/>
    </row>
    <row r="23" spans="1:15">
      <c r="A23" s="3987">
        <v>12</v>
      </c>
      <c r="B23" s="3988" t="s">
        <v>1482</v>
      </c>
      <c r="C23" s="3989">
        <f>D23+E23+F23+G23+H23+I23+J23+K23+N23+O23+'[25]Bieu 45'!S25</f>
        <v>59800</v>
      </c>
      <c r="D23" s="3991"/>
      <c r="E23" s="3991"/>
      <c r="F23" s="3992"/>
      <c r="G23" s="3991"/>
      <c r="H23" s="3991"/>
      <c r="I23" s="3991"/>
      <c r="J23" s="3991"/>
      <c r="K23" s="3992">
        <f t="shared" si="3"/>
        <v>0</v>
      </c>
      <c r="L23" s="3992"/>
      <c r="M23" s="3991"/>
      <c r="N23" s="3991"/>
      <c r="O23" s="3991"/>
    </row>
    <row r="24" spans="1:15" ht="31.2">
      <c r="A24" s="3987">
        <v>13</v>
      </c>
      <c r="B24" s="3988" t="s">
        <v>3406</v>
      </c>
      <c r="C24" s="3989">
        <f>D24+E24+F24+G24+H24+I24+J24+K24+N24+O24</f>
        <v>207519</v>
      </c>
      <c r="D24" s="3990">
        <f>'[25]Bieu 45'!S53</f>
        <v>31800</v>
      </c>
      <c r="E24" s="3990"/>
      <c r="F24" s="3990">
        <f>'[25]Bieu 45'!S182</f>
        <v>175219</v>
      </c>
      <c r="G24" s="3990"/>
      <c r="H24" s="3990"/>
      <c r="I24" s="3990"/>
      <c r="J24" s="3990"/>
      <c r="K24" s="3990">
        <f t="shared" si="3"/>
        <v>0</v>
      </c>
      <c r="L24" s="3990"/>
      <c r="M24" s="3990"/>
      <c r="N24" s="3990">
        <f>'[25]Bieu 45'!S491</f>
        <v>500</v>
      </c>
      <c r="O24" s="3990"/>
    </row>
    <row r="25" spans="1:15" ht="31.2">
      <c r="A25" s="3987">
        <v>14</v>
      </c>
      <c r="B25" s="3988" t="s">
        <v>2843</v>
      </c>
      <c r="C25" s="3989">
        <f>D25+E25+F25+G25+H25+I25+J25+K25+N25+O25</f>
        <v>1368219</v>
      </c>
      <c r="D25" s="3991"/>
      <c r="E25" s="3991"/>
      <c r="F25" s="3991"/>
      <c r="G25" s="3991"/>
      <c r="H25" s="3991"/>
      <c r="I25" s="3991"/>
      <c r="J25" s="3991"/>
      <c r="K25" s="3992">
        <f t="shared" si="3"/>
        <v>1368219</v>
      </c>
      <c r="L25" s="3992">
        <f>'[25]Bieu 45'!S370</f>
        <v>1368219</v>
      </c>
      <c r="M25" s="3991"/>
      <c r="N25" s="3991"/>
      <c r="O25" s="3991"/>
    </row>
    <row r="26" spans="1:15" ht="31.2">
      <c r="A26" s="3987">
        <v>15</v>
      </c>
      <c r="B26" s="3988" t="s">
        <v>3407</v>
      </c>
      <c r="C26" s="3989">
        <f>D26+E26+F26+G26+H26+I26+J26+K26+N26+O26</f>
        <v>157859</v>
      </c>
      <c r="D26" s="3991"/>
      <c r="E26" s="3991"/>
      <c r="F26" s="3992"/>
      <c r="G26" s="3991"/>
      <c r="H26" s="3991"/>
      <c r="I26" s="3991"/>
      <c r="J26" s="3991"/>
      <c r="K26" s="3992">
        <f t="shared" si="3"/>
        <v>157859</v>
      </c>
      <c r="L26" s="3992"/>
      <c r="M26" s="3992">
        <f>'[25]Bieu 45'!S281</f>
        <v>157859</v>
      </c>
      <c r="N26" s="3991"/>
      <c r="O26" s="3991"/>
    </row>
    <row r="27" spans="1:15" ht="31.2">
      <c r="A27" s="3987">
        <v>16</v>
      </c>
      <c r="B27" s="3988" t="s">
        <v>2844</v>
      </c>
      <c r="C27" s="3989">
        <f t="shared" ref="C27:C44" si="4">D27+E27+F27+G27+H27+I27+J27+K27+N27+O27</f>
        <v>147000</v>
      </c>
      <c r="D27" s="3991"/>
      <c r="E27" s="3991"/>
      <c r="F27" s="3991"/>
      <c r="G27" s="3991"/>
      <c r="H27" s="3991"/>
      <c r="I27" s="3991"/>
      <c r="J27" s="3991"/>
      <c r="K27" s="3992">
        <f>L27+M27+'[25]Bieu 45'!S404</f>
        <v>147000</v>
      </c>
      <c r="L27" s="3992"/>
      <c r="M27" s="3991"/>
      <c r="N27" s="3991"/>
      <c r="O27" s="3991"/>
    </row>
    <row r="28" spans="1:15" ht="31.2">
      <c r="A28" s="3987">
        <v>17</v>
      </c>
      <c r="B28" s="3988" t="s">
        <v>3408</v>
      </c>
      <c r="C28" s="3989">
        <f>D28+E28+F28+G28+H28+I28+J28+K28+N28+O28</f>
        <v>5800</v>
      </c>
      <c r="D28" s="3991"/>
      <c r="E28" s="3991"/>
      <c r="F28" s="3992"/>
      <c r="G28" s="3991"/>
      <c r="H28" s="3991"/>
      <c r="I28" s="3991"/>
      <c r="J28" s="3992">
        <f>'[25]Bieu 45'!S233</f>
        <v>5800</v>
      </c>
      <c r="K28" s="3992">
        <f>L28+M28</f>
        <v>0</v>
      </c>
      <c r="L28" s="3992"/>
      <c r="M28" s="3991"/>
      <c r="N28" s="3991"/>
      <c r="O28" s="3991"/>
    </row>
    <row r="29" spans="1:15">
      <c r="A29" s="3987">
        <v>18</v>
      </c>
      <c r="B29" s="3988" t="s">
        <v>3409</v>
      </c>
      <c r="C29" s="3989">
        <f>D29+E29+F29+G29+H29+I29+J29+K29+N29+O29</f>
        <v>43000</v>
      </c>
      <c r="D29" s="3991"/>
      <c r="E29" s="3991"/>
      <c r="F29" s="3992"/>
      <c r="G29" s="3991"/>
      <c r="H29" s="3991"/>
      <c r="I29" s="3991"/>
      <c r="J29" s="3992">
        <f>'[25]Bieu 45'!S237</f>
        <v>10000</v>
      </c>
      <c r="K29" s="3992">
        <f>L29+M29</f>
        <v>33000</v>
      </c>
      <c r="L29" s="3992"/>
      <c r="M29" s="3992">
        <f>'[25]Bieu 45'!S248</f>
        <v>33000</v>
      </c>
      <c r="N29" s="3991"/>
      <c r="O29" s="3991"/>
    </row>
    <row r="30" spans="1:15" ht="46.8">
      <c r="A30" s="3987">
        <v>19</v>
      </c>
      <c r="B30" s="3988" t="s">
        <v>3410</v>
      </c>
      <c r="C30" s="3989">
        <f>D30+E30+F30+G30+H30+I30+J30+K30+N30+O30</f>
        <v>46835</v>
      </c>
      <c r="D30" s="3991"/>
      <c r="E30" s="3991"/>
      <c r="F30" s="3992"/>
      <c r="G30" s="3991"/>
      <c r="H30" s="3991"/>
      <c r="I30" s="3991"/>
      <c r="J30" s="3991"/>
      <c r="K30" s="3992">
        <f>L30+M30+'[25]Bieu 45'!S409</f>
        <v>46835</v>
      </c>
      <c r="L30" s="3992"/>
      <c r="M30" s="3991"/>
      <c r="N30" s="3991"/>
      <c r="O30" s="3991"/>
    </row>
    <row r="31" spans="1:15">
      <c r="A31" s="3987">
        <v>20</v>
      </c>
      <c r="B31" s="3988" t="s">
        <v>3411</v>
      </c>
      <c r="C31" s="3989">
        <f>D31+E31+F31+G31+H31+I31+J31+K31+N31+O31</f>
        <v>8000</v>
      </c>
      <c r="D31" s="3992">
        <f>'[25]Bieu 45'!S38</f>
        <v>8000</v>
      </c>
      <c r="E31" s="3991"/>
      <c r="F31" s="3992"/>
      <c r="G31" s="3991"/>
      <c r="H31" s="3991"/>
      <c r="I31" s="3991"/>
      <c r="J31" s="3991"/>
      <c r="K31" s="3992">
        <f>L31+M31</f>
        <v>0</v>
      </c>
      <c r="L31" s="3992"/>
      <c r="M31" s="3991"/>
      <c r="N31" s="3991"/>
      <c r="O31" s="3991"/>
    </row>
    <row r="32" spans="1:15">
      <c r="A32" s="3987">
        <v>21</v>
      </c>
      <c r="B32" s="3988" t="s">
        <v>2846</v>
      </c>
      <c r="C32" s="3989">
        <f t="shared" si="4"/>
        <v>150506</v>
      </c>
      <c r="D32" s="3992">
        <f>'[25]Bieu 45'!S57</f>
        <v>104000</v>
      </c>
      <c r="E32" s="3991"/>
      <c r="F32" s="3991"/>
      <c r="G32" s="3991"/>
      <c r="H32" s="3991"/>
      <c r="I32" s="3991"/>
      <c r="J32" s="3991"/>
      <c r="K32" s="3992">
        <f>L32+M32+'[25]Bieu 45'!S423</f>
        <v>45506</v>
      </c>
      <c r="L32" s="3992">
        <f>'[25]Bieu 45'!S381</f>
        <v>22620</v>
      </c>
      <c r="M32" s="3992">
        <f>'[25]Bieu 45'!S252+'[25]Bieu 45'!S289</f>
        <v>11586</v>
      </c>
      <c r="N32" s="3992">
        <f>'[25]Bieu 45'!S494</f>
        <v>1000</v>
      </c>
      <c r="O32" s="3991"/>
    </row>
    <row r="33" spans="1:15">
      <c r="A33" s="3987">
        <v>22</v>
      </c>
      <c r="B33" s="3988" t="s">
        <v>2847</v>
      </c>
      <c r="C33" s="3989">
        <f t="shared" si="4"/>
        <v>79343</v>
      </c>
      <c r="D33" s="3992">
        <f>'[25]Bieu 45'!S68</f>
        <v>42053</v>
      </c>
      <c r="E33" s="3991"/>
      <c r="F33" s="3991"/>
      <c r="G33" s="3991"/>
      <c r="H33" s="3991"/>
      <c r="I33" s="3991"/>
      <c r="J33" s="3991"/>
      <c r="K33" s="3992">
        <f>L33+M33+'[25]Bieu 45'!S428</f>
        <v>33290</v>
      </c>
      <c r="L33" s="3992"/>
      <c r="M33" s="3992">
        <f>'[25]Bieu 45'!S361</f>
        <v>290</v>
      </c>
      <c r="N33" s="3992">
        <f>'[25]Bieu 45'!S498</f>
        <v>4000</v>
      </c>
      <c r="O33" s="3991"/>
    </row>
    <row r="34" spans="1:15">
      <c r="A34" s="3987">
        <v>23</v>
      </c>
      <c r="B34" s="3988" t="s">
        <v>2848</v>
      </c>
      <c r="C34" s="3989">
        <f t="shared" si="4"/>
        <v>115541</v>
      </c>
      <c r="D34" s="3992">
        <f>'[25]Bieu 45'!S76</f>
        <v>50508</v>
      </c>
      <c r="E34" s="3991"/>
      <c r="F34" s="3991"/>
      <c r="G34" s="3991"/>
      <c r="H34" s="3991"/>
      <c r="I34" s="3991"/>
      <c r="J34" s="3991"/>
      <c r="K34" s="3992">
        <f>L34+M34+'[25]Bieu 45'!S480</f>
        <v>65033</v>
      </c>
      <c r="L34" s="3992">
        <f>'[25]Bieu 45'!S387</f>
        <v>9370</v>
      </c>
      <c r="M34" s="3992">
        <f>'[25]Bieu 45'!S257+'[25]Bieu 45'!S295</f>
        <v>33663</v>
      </c>
      <c r="N34" s="3991"/>
      <c r="O34" s="3991"/>
    </row>
    <row r="35" spans="1:15">
      <c r="A35" s="3987">
        <v>24</v>
      </c>
      <c r="B35" s="3988" t="s">
        <v>2849</v>
      </c>
      <c r="C35" s="3989">
        <f t="shared" si="4"/>
        <v>42978</v>
      </c>
      <c r="D35" s="3992">
        <f>'[25]Bieu 45'!S85</f>
        <v>33848</v>
      </c>
      <c r="E35" s="3991"/>
      <c r="F35" s="3991"/>
      <c r="G35" s="3991"/>
      <c r="H35" s="3991"/>
      <c r="I35" s="3992">
        <f>'[25]Bieu 45'!S203</f>
        <v>3800</v>
      </c>
      <c r="J35" s="3991"/>
      <c r="K35" s="3992">
        <f>L35+M35+'[25]Bieu 45'!S432</f>
        <v>5330</v>
      </c>
      <c r="L35" s="3992"/>
      <c r="M35" s="3991"/>
      <c r="N35" s="3991"/>
      <c r="O35" s="3991"/>
    </row>
    <row r="36" spans="1:15">
      <c r="A36" s="3987">
        <v>25</v>
      </c>
      <c r="B36" s="3988" t="s">
        <v>2850</v>
      </c>
      <c r="C36" s="3989">
        <f t="shared" si="4"/>
        <v>39900</v>
      </c>
      <c r="D36" s="3992">
        <f>'[25]Bieu 45'!S94</f>
        <v>36000</v>
      </c>
      <c r="E36" s="3991"/>
      <c r="F36" s="3991"/>
      <c r="G36" s="3991"/>
      <c r="H36" s="3991"/>
      <c r="I36" s="3992">
        <f>'[25]Bieu 45'!S207</f>
        <v>1100</v>
      </c>
      <c r="J36" s="3991"/>
      <c r="K36" s="3992">
        <f>L36+M36+'[25]Bieu 45'!S437</f>
        <v>2800</v>
      </c>
      <c r="L36" s="3992"/>
      <c r="M36" s="3991"/>
      <c r="N36" s="3991"/>
      <c r="O36" s="3991"/>
    </row>
    <row r="37" spans="1:15">
      <c r="A37" s="3987">
        <v>26</v>
      </c>
      <c r="B37" s="3988" t="s">
        <v>2851</v>
      </c>
      <c r="C37" s="3989">
        <f t="shared" si="4"/>
        <v>318936</v>
      </c>
      <c r="D37" s="3992">
        <f>'[25]Bieu 45'!S105</f>
        <v>72274</v>
      </c>
      <c r="E37" s="3991"/>
      <c r="F37" s="3991"/>
      <c r="G37" s="3991"/>
      <c r="H37" s="3991"/>
      <c r="I37" s="3992">
        <f>'[25]Bieu 45'!S211</f>
        <v>7500</v>
      </c>
      <c r="J37" s="3991"/>
      <c r="K37" s="3992">
        <f>L37+M37+'[25]Bieu 45'!S441</f>
        <v>239162</v>
      </c>
      <c r="L37" s="3992">
        <f>'[25]Bieu 45'!S392</f>
        <v>37064</v>
      </c>
      <c r="M37" s="3992">
        <f>'[25]Bieu 45'!S305+'[25]Bieu 45'!S261</f>
        <v>188098</v>
      </c>
      <c r="N37" s="3991"/>
      <c r="O37" s="3991"/>
    </row>
    <row r="38" spans="1:15">
      <c r="A38" s="3987">
        <v>27</v>
      </c>
      <c r="B38" s="3988" t="s">
        <v>2852</v>
      </c>
      <c r="C38" s="3989">
        <f t="shared" si="4"/>
        <v>175306</v>
      </c>
      <c r="D38" s="3992">
        <f>'[25]Bieu 45'!S119+'[25]Bieu 45'!S42</f>
        <v>81449</v>
      </c>
      <c r="E38" s="3991"/>
      <c r="F38" s="3991"/>
      <c r="G38" s="3991"/>
      <c r="H38" s="3991"/>
      <c r="I38" s="3991"/>
      <c r="J38" s="3991"/>
      <c r="K38" s="3992">
        <f>L38+M38+'[25]Bieu 45'!S446</f>
        <v>89857</v>
      </c>
      <c r="L38" s="3992">
        <f>'[25]Bieu 45'!S398</f>
        <v>21245</v>
      </c>
      <c r="M38" s="3992">
        <f>'[25]Bieu 45'!S326+'[25]Bieu 45'!S267</f>
        <v>42746</v>
      </c>
      <c r="N38" s="3992">
        <f>'[25]Bieu 45'!S502</f>
        <v>4000</v>
      </c>
      <c r="O38" s="3991"/>
    </row>
    <row r="39" spans="1:15">
      <c r="A39" s="3987">
        <v>28</v>
      </c>
      <c r="B39" s="3988" t="s">
        <v>3174</v>
      </c>
      <c r="C39" s="3989">
        <f t="shared" si="4"/>
        <v>383146</v>
      </c>
      <c r="D39" s="3992">
        <f>'[25]Bieu 45'!S131</f>
        <v>12600</v>
      </c>
      <c r="E39" s="3991"/>
      <c r="F39" s="3992"/>
      <c r="G39" s="3991"/>
      <c r="H39" s="3991"/>
      <c r="I39" s="3991"/>
      <c r="J39" s="3991"/>
      <c r="K39" s="3992">
        <f>L39+M39+'[25]Bieu 45'!S453</f>
        <v>370546</v>
      </c>
      <c r="L39" s="3992"/>
      <c r="M39" s="3991">
        <f>'[25]Bieu 45'!S271</f>
        <v>10270</v>
      </c>
      <c r="N39" s="3991"/>
      <c r="O39" s="3991"/>
    </row>
    <row r="40" spans="1:15">
      <c r="A40" s="3987">
        <v>29</v>
      </c>
      <c r="B40" s="3988" t="s">
        <v>3412</v>
      </c>
      <c r="C40" s="3989">
        <f t="shared" si="4"/>
        <v>171422</v>
      </c>
      <c r="D40" s="3992">
        <f>'[25]Bieu 45'!S137</f>
        <v>18500</v>
      </c>
      <c r="E40" s="3991"/>
      <c r="F40" s="3992"/>
      <c r="G40" s="3991"/>
      <c r="H40" s="3991"/>
      <c r="I40" s="3992">
        <f>'[25]Bieu 45'!S218</f>
        <v>4200</v>
      </c>
      <c r="J40" s="3991"/>
      <c r="K40" s="3992">
        <f>L40+M40+'[25]Bieu 45'!S460</f>
        <v>148722</v>
      </c>
      <c r="L40" s="3992"/>
      <c r="M40" s="3991"/>
      <c r="N40" s="3991"/>
      <c r="O40" s="3991"/>
    </row>
    <row r="41" spans="1:15" ht="31.2">
      <c r="A41" s="3987">
        <v>30</v>
      </c>
      <c r="B41" s="3988" t="s">
        <v>3413</v>
      </c>
      <c r="C41" s="3989">
        <f t="shared" si="4"/>
        <v>471629</v>
      </c>
      <c r="D41" s="3992">
        <f>'[25]Bieu 45'!S141</f>
        <v>139200</v>
      </c>
      <c r="E41" s="3991"/>
      <c r="F41" s="3992"/>
      <c r="G41" s="3991"/>
      <c r="H41" s="3991"/>
      <c r="I41" s="3991"/>
      <c r="J41" s="3991"/>
      <c r="K41" s="3992">
        <f>L41+M41+'[25]Bieu 45'!S464</f>
        <v>332429</v>
      </c>
      <c r="L41" s="3992"/>
      <c r="M41" s="3992">
        <f>'[25]Bieu 45'!S338</f>
        <v>5116</v>
      </c>
      <c r="N41" s="3991"/>
      <c r="O41" s="3991"/>
    </row>
    <row r="42" spans="1:15">
      <c r="A42" s="3987">
        <v>31</v>
      </c>
      <c r="B42" s="3988" t="s">
        <v>3414</v>
      </c>
      <c r="C42" s="3989">
        <f t="shared" si="4"/>
        <v>73071</v>
      </c>
      <c r="D42" s="3992">
        <f>'[25]Bieu 45'!S148</f>
        <v>18000</v>
      </c>
      <c r="E42" s="3991"/>
      <c r="F42" s="3992"/>
      <c r="G42" s="3991"/>
      <c r="H42" s="3991"/>
      <c r="I42" s="3992">
        <f>'[25]Bieu 45'!S223</f>
        <v>4700</v>
      </c>
      <c r="J42" s="3991"/>
      <c r="K42" s="3992">
        <f>L42+M42+'[25]Bieu 45'!S486</f>
        <v>47871</v>
      </c>
      <c r="L42" s="3992"/>
      <c r="M42" s="3992">
        <f>'[25]Bieu 45'!S343+'[25]Bieu 45'!S277</f>
        <v>22871</v>
      </c>
      <c r="N42" s="3992">
        <f>'[25]Bieu 45'!S506</f>
        <v>2500</v>
      </c>
      <c r="O42" s="3991"/>
    </row>
    <row r="43" spans="1:15">
      <c r="A43" s="3987">
        <v>32</v>
      </c>
      <c r="B43" s="3988" t="s">
        <v>3415</v>
      </c>
      <c r="C43" s="3989">
        <f t="shared" si="4"/>
        <v>114092</v>
      </c>
      <c r="D43" s="3992">
        <f>'[25]Bieu 45'!S160</f>
        <v>74288</v>
      </c>
      <c r="E43" s="3991"/>
      <c r="F43" s="3992"/>
      <c r="G43" s="3991"/>
      <c r="H43" s="3991"/>
      <c r="I43" s="3991"/>
      <c r="J43" s="3991"/>
      <c r="K43" s="3992">
        <f>L43+M43+'[25]Bieu 45'!S475</f>
        <v>29804</v>
      </c>
      <c r="L43" s="3992"/>
      <c r="M43" s="3992">
        <f>'[25]Bieu 45'!S352</f>
        <v>12804</v>
      </c>
      <c r="N43" s="3992">
        <f>'[25]Bieu 45'!S510</f>
        <v>10000</v>
      </c>
      <c r="O43" s="3991"/>
    </row>
    <row r="44" spans="1:15" ht="31.2">
      <c r="A44" s="3987">
        <v>33</v>
      </c>
      <c r="B44" s="3988" t="s">
        <v>3707</v>
      </c>
      <c r="C44" s="3989">
        <f t="shared" si="4"/>
        <v>60000</v>
      </c>
      <c r="D44" s="3992"/>
      <c r="E44" s="3991"/>
      <c r="F44" s="3992"/>
      <c r="G44" s="3991"/>
      <c r="H44" s="3991"/>
      <c r="I44" s="3991"/>
      <c r="J44" s="3991"/>
      <c r="K44" s="4118">
        <v>60000</v>
      </c>
      <c r="L44" s="3992"/>
      <c r="M44" s="3992"/>
      <c r="N44" s="3992"/>
      <c r="O44" s="3991"/>
    </row>
    <row r="45" spans="1:15">
      <c r="A45" s="3987">
        <v>34</v>
      </c>
      <c r="B45" s="3988" t="s">
        <v>3416</v>
      </c>
      <c r="C45" s="3989">
        <f>D45+E45+F45+G45+H45+I45+J45+K45+N45+O45+'[25]Bieu 45'!S520</f>
        <v>107570</v>
      </c>
      <c r="D45" s="3991"/>
      <c r="E45" s="3991"/>
      <c r="F45" s="3992"/>
      <c r="G45" s="3991"/>
      <c r="H45" s="3991"/>
      <c r="I45" s="3991"/>
      <c r="J45" s="3991"/>
      <c r="K45" s="3992">
        <f t="shared" ref="K45" si="5">L45+M45</f>
        <v>0</v>
      </c>
      <c r="L45" s="3992"/>
      <c r="M45" s="3991"/>
      <c r="N45" s="3991"/>
      <c r="O45" s="3991"/>
    </row>
    <row r="46" spans="1:15">
      <c r="A46" s="4011" t="s">
        <v>22</v>
      </c>
      <c r="B46" s="4010" t="s">
        <v>3417</v>
      </c>
      <c r="C46" s="3989">
        <f>'[25]Bieu 45'!S525</f>
        <v>1724000</v>
      </c>
      <c r="D46" s="3991"/>
      <c r="E46" s="3991"/>
      <c r="F46" s="3992"/>
      <c r="G46" s="3991"/>
      <c r="H46" s="3991"/>
      <c r="I46" s="3991"/>
      <c r="J46" s="3991"/>
      <c r="K46" s="3992"/>
      <c r="L46" s="3992"/>
      <c r="M46" s="3991"/>
      <c r="N46" s="3991"/>
      <c r="O46" s="3991"/>
    </row>
    <row r="47" spans="1:15" ht="11.1" customHeight="1">
      <c r="A47" s="3993" t="s">
        <v>2552</v>
      </c>
      <c r="B47" s="3994"/>
      <c r="C47" s="3994"/>
      <c r="D47" s="3994"/>
      <c r="E47" s="3994"/>
      <c r="F47" s="3994"/>
      <c r="G47" s="3994"/>
      <c r="H47" s="3994"/>
      <c r="I47" s="3994"/>
      <c r="J47" s="3994"/>
      <c r="K47" s="3994"/>
      <c r="L47" s="3994"/>
      <c r="M47" s="3994"/>
      <c r="N47" s="3994"/>
      <c r="O47" s="3994"/>
    </row>
  </sheetData>
  <mergeCells count="20">
    <mergeCell ref="A1:D1"/>
    <mergeCell ref="N1:O1"/>
    <mergeCell ref="A3:O3"/>
    <mergeCell ref="A4:O4"/>
    <mergeCell ref="A5:O5"/>
    <mergeCell ref="A6:A8"/>
    <mergeCell ref="B6:B8"/>
    <mergeCell ref="C6:C8"/>
    <mergeCell ref="D6:O6"/>
    <mergeCell ref="D7:D8"/>
    <mergeCell ref="K7:K8"/>
    <mergeCell ref="L7:M7"/>
    <mergeCell ref="N7:N8"/>
    <mergeCell ref="O7:O8"/>
    <mergeCell ref="E7:E8"/>
    <mergeCell ref="F7:F8"/>
    <mergeCell ref="G7:G8"/>
    <mergeCell ref="H7:H8"/>
    <mergeCell ref="I7:I8"/>
    <mergeCell ref="J7:J8"/>
  </mergeCells>
  <pageMargins left="0.70866141732283472" right="0.70866141732283472" top="0.74803149606299213" bottom="0.74803149606299213" header="0.31496062992125984" footer="0.31496062992125984"/>
  <pageSetup scale="75"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AE119"/>
  <sheetViews>
    <sheetView zoomScale="50" zoomScaleNormal="50" workbookViewId="0">
      <selection activeCell="A30" sqref="A30:G30"/>
    </sheetView>
  </sheetViews>
  <sheetFormatPr defaultColWidth="8.69921875" defaultRowHeight="18"/>
  <cols>
    <col min="1" max="1" width="7.19921875" style="20" customWidth="1"/>
    <col min="2" max="2" width="43.19921875" style="37" customWidth="1"/>
    <col min="3" max="3" width="13.8984375" style="37" bestFit="1" customWidth="1"/>
    <col min="4" max="4" width="12.69921875" style="37" customWidth="1"/>
    <col min="5" max="9" width="12.69921875" style="37" hidden="1" customWidth="1"/>
    <col min="10" max="10" width="12.69921875" style="37" customWidth="1"/>
    <col min="11" max="22" width="12.69921875" style="37" hidden="1" customWidth="1"/>
    <col min="23" max="24" width="12.69921875" style="37" customWidth="1"/>
    <col min="25" max="25" width="12.69921875" style="37" hidden="1" customWidth="1"/>
    <col min="26" max="30" width="12.69921875" style="37" customWidth="1"/>
    <col min="31" max="31" width="12.69921875" style="37" hidden="1" customWidth="1"/>
    <col min="32" max="16384" width="8.69921875" style="37"/>
  </cols>
  <sheetData>
    <row r="1" spans="1:31">
      <c r="A1" s="4299" t="s">
        <v>2389</v>
      </c>
      <c r="B1" s="4299"/>
      <c r="C1" s="4299"/>
      <c r="D1" s="4299"/>
      <c r="E1" s="4299"/>
      <c r="F1" s="4299"/>
      <c r="G1" s="4299"/>
      <c r="H1" s="4299"/>
      <c r="I1" s="4299"/>
      <c r="J1" s="4299"/>
      <c r="K1" s="4299"/>
      <c r="L1" s="4299"/>
      <c r="M1" s="4299"/>
      <c r="N1" s="4299"/>
      <c r="O1" s="4299"/>
      <c r="P1" s="4299"/>
      <c r="Q1" s="4299"/>
      <c r="R1" s="4299"/>
      <c r="S1" s="4299"/>
      <c r="T1" s="4299"/>
      <c r="U1" s="4299"/>
      <c r="V1" s="4299"/>
      <c r="W1" s="4299"/>
      <c r="X1" s="4299"/>
      <c r="Y1" s="4299"/>
      <c r="Z1" s="4299"/>
      <c r="AA1" s="4299"/>
      <c r="AB1" s="4299"/>
      <c r="AC1" s="4299"/>
      <c r="AD1" s="4299"/>
      <c r="AE1" s="4299"/>
    </row>
    <row r="2" spans="1:31">
      <c r="A2" s="4540" t="str">
        <f>'Biểu số 37-CK-NSNN'!A5:C5</f>
        <v>(DỰ TOÁN TRÌNH HỘI ĐỒNG NHÂN DÂN TỈNH)</v>
      </c>
      <c r="B2" s="4540"/>
      <c r="C2" s="4540"/>
      <c r="D2" s="4540"/>
      <c r="E2" s="4540"/>
      <c r="F2" s="4540"/>
      <c r="G2" s="4540"/>
      <c r="H2" s="4540"/>
      <c r="I2" s="4540"/>
      <c r="J2" s="4540"/>
      <c r="K2" s="4540"/>
      <c r="L2" s="4540"/>
      <c r="M2" s="4540"/>
      <c r="N2" s="4540"/>
      <c r="O2" s="4540"/>
      <c r="P2" s="4540"/>
      <c r="Q2" s="4540"/>
      <c r="R2" s="4540"/>
      <c r="S2" s="4540"/>
      <c r="T2" s="4540"/>
      <c r="U2" s="4540"/>
      <c r="V2" s="4540"/>
      <c r="W2" s="4540"/>
      <c r="X2" s="4540"/>
      <c r="Y2" s="4540"/>
      <c r="Z2" s="4540"/>
      <c r="AA2" s="4540"/>
      <c r="AB2" s="4540"/>
      <c r="AC2" s="4540"/>
      <c r="AD2" s="4540"/>
      <c r="AE2" s="4540"/>
    </row>
    <row r="3" spans="1:31">
      <c r="A3" s="2907"/>
      <c r="B3" s="20"/>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row>
    <row r="4" spans="1:31" ht="18.600000000000001" thickBot="1">
      <c r="J4" s="1"/>
      <c r="AB4" s="4541" t="s">
        <v>64</v>
      </c>
      <c r="AC4" s="4541"/>
      <c r="AD4" s="4541"/>
      <c r="AE4" s="4541"/>
    </row>
    <row r="5" spans="1:31" s="2" customFormat="1" thickTop="1">
      <c r="A5" s="4542" t="s">
        <v>288</v>
      </c>
      <c r="B5" s="4545" t="s">
        <v>1346</v>
      </c>
      <c r="C5" s="4547" t="s">
        <v>176</v>
      </c>
      <c r="D5" s="4548"/>
      <c r="E5" s="4548"/>
      <c r="F5" s="4548"/>
      <c r="G5" s="4548"/>
      <c r="H5" s="4548"/>
      <c r="I5" s="4548"/>
      <c r="J5" s="4548"/>
      <c r="K5" s="4548"/>
      <c r="L5" s="4548"/>
      <c r="M5" s="4548"/>
      <c r="N5" s="4548"/>
      <c r="O5" s="4548"/>
      <c r="P5" s="4548"/>
      <c r="Q5" s="4548"/>
      <c r="R5" s="4548"/>
      <c r="S5" s="4548"/>
      <c r="T5" s="4548"/>
      <c r="U5" s="4548"/>
      <c r="V5" s="4548"/>
      <c r="W5" s="4548"/>
      <c r="X5" s="4548"/>
      <c r="Y5" s="4548"/>
      <c r="Z5" s="4548"/>
      <c r="AA5" s="4548"/>
      <c r="AB5" s="4548"/>
      <c r="AC5" s="4548"/>
      <c r="AD5" s="4549"/>
      <c r="AE5" s="4550" t="s">
        <v>1512</v>
      </c>
    </row>
    <row r="6" spans="1:31" s="2" customFormat="1" ht="17.399999999999999" customHeight="1">
      <c r="A6" s="4543"/>
      <c r="B6" s="4546"/>
      <c r="C6" s="4360" t="s">
        <v>1421</v>
      </c>
      <c r="D6" s="4424" t="s">
        <v>1511</v>
      </c>
      <c r="E6" s="4425"/>
      <c r="F6" s="4425"/>
      <c r="G6" s="4425"/>
      <c r="H6" s="4425"/>
      <c r="I6" s="4426"/>
      <c r="J6" s="4466" t="s">
        <v>1430</v>
      </c>
      <c r="K6" s="4467"/>
      <c r="L6" s="4467"/>
      <c r="M6" s="4467"/>
      <c r="N6" s="4467"/>
      <c r="O6" s="4467"/>
      <c r="P6" s="4467"/>
      <c r="Q6" s="4467"/>
      <c r="R6" s="4467"/>
      <c r="S6" s="4467"/>
      <c r="T6" s="4467"/>
      <c r="U6" s="4467"/>
      <c r="V6" s="4468"/>
      <c r="W6" s="4360" t="s">
        <v>60</v>
      </c>
      <c r="X6" s="4360" t="s">
        <v>1513</v>
      </c>
      <c r="Y6" s="129"/>
      <c r="Z6" s="4360" t="s">
        <v>2612</v>
      </c>
      <c r="AA6" s="4360" t="str">
        <f>'Phụ lục số 4'!AA6:AA8</f>
        <v>Chi trả lãi vay</v>
      </c>
      <c r="AB6" s="4360" t="s">
        <v>1427</v>
      </c>
      <c r="AC6" s="4553" t="s">
        <v>309</v>
      </c>
      <c r="AD6" s="4554"/>
      <c r="AE6" s="4551"/>
    </row>
    <row r="7" spans="1:31" s="2" customFormat="1" ht="15.6" customHeight="1">
      <c r="A7" s="4543"/>
      <c r="B7" s="4546"/>
      <c r="C7" s="4546"/>
      <c r="D7" s="4360" t="s">
        <v>1507</v>
      </c>
      <c r="E7" s="4556" t="s">
        <v>309</v>
      </c>
      <c r="F7" s="4557"/>
      <c r="G7" s="4557"/>
      <c r="H7" s="4557"/>
      <c r="I7" s="4558"/>
      <c r="J7" s="4360" t="s">
        <v>1422</v>
      </c>
      <c r="K7" s="4466" t="s">
        <v>309</v>
      </c>
      <c r="L7" s="4467"/>
      <c r="M7" s="4467"/>
      <c r="N7" s="4467"/>
      <c r="O7" s="4467"/>
      <c r="P7" s="4467"/>
      <c r="Q7" s="4467"/>
      <c r="R7" s="4467"/>
      <c r="S7" s="4467"/>
      <c r="T7" s="4467"/>
      <c r="U7" s="4467"/>
      <c r="V7" s="4468"/>
      <c r="W7" s="4546"/>
      <c r="X7" s="4546"/>
      <c r="Y7" s="129"/>
      <c r="Z7" s="4546"/>
      <c r="AA7" s="4546"/>
      <c r="AB7" s="4546"/>
      <c r="AC7" s="4521"/>
      <c r="AD7" s="4555"/>
      <c r="AE7" s="4551"/>
    </row>
    <row r="8" spans="1:31" s="70" customFormat="1" ht="139.19999999999999" customHeight="1">
      <c r="A8" s="4544"/>
      <c r="B8" s="4361"/>
      <c r="C8" s="4361"/>
      <c r="D8" s="4361"/>
      <c r="E8" s="7" t="s">
        <v>1508</v>
      </c>
      <c r="F8" s="7" t="s">
        <v>1509</v>
      </c>
      <c r="G8" s="7" t="s">
        <v>1378</v>
      </c>
      <c r="H8" s="7" t="s">
        <v>1510</v>
      </c>
      <c r="I8" s="3140" t="str">
        <f>'Phụ lục số 4'!I8</f>
        <v>Chi đầu tư phát triển khác (Ủy thác qua NH Chính sách xã hội chi nhánh tỉnh Đồng Tháp)</v>
      </c>
      <c r="J8" s="4361"/>
      <c r="K8" s="6" t="str">
        <f>'Phụ lục số 4'!K8</f>
        <v>Chi các hoạt động kinh tế</v>
      </c>
      <c r="L8" s="6" t="str">
        <f>'Phụ lục số 4'!L8</f>
        <v>Sự nghiệp môi trường</v>
      </c>
      <c r="M8" s="6" t="str">
        <f>'Phụ lục số 4'!M8</f>
        <v>Sự nghiệp khoa học và công nghệ</v>
      </c>
      <c r="N8" s="6" t="str">
        <f>'Phụ lục số 4'!N8</f>
        <v>Sự nghiệp giáo dục và đào tạo</v>
      </c>
      <c r="O8" s="6" t="str">
        <f>'Phụ lục số 4'!O8</f>
        <v>Sự nghiệp y tế</v>
      </c>
      <c r="P8" s="6" t="str">
        <f>'Phụ lục số 4'!P8</f>
        <v>Sự nghiệp văn hóa thông tin</v>
      </c>
      <c r="Q8" s="6" t="str">
        <f>'Phụ lục số 4'!Q8</f>
        <v>Sự nghiệp phát thanh truyền hình</v>
      </c>
      <c r="R8" s="6" t="str">
        <f>'Phụ lục số 4'!R8</f>
        <v>Sự ngiệp thể dục thể thao</v>
      </c>
      <c r="S8" s="6" t="str">
        <f>'Phụ lục số 4'!S8</f>
        <v>Sự nghiệp đảm bảo xã hội</v>
      </c>
      <c r="T8" s="6" t="str">
        <f>'Phụ lục số 4'!T8</f>
        <v>Quản lý hành chính (QLNN, Đảng….)</v>
      </c>
      <c r="U8" s="6" t="str">
        <f>'Phụ lục số 4'!U8</f>
        <v>An ninh - quốc phòng</v>
      </c>
      <c r="V8" s="6" t="str">
        <f>'Phụ lục số 4'!V8</f>
        <v>Khác</v>
      </c>
      <c r="W8" s="4361"/>
      <c r="X8" s="4361"/>
      <c r="Y8" s="7"/>
      <c r="Z8" s="4361"/>
      <c r="AA8" s="4361"/>
      <c r="AB8" s="4361"/>
      <c r="AC8" s="7" t="s">
        <v>1428</v>
      </c>
      <c r="AD8" s="3001" t="s">
        <v>1429</v>
      </c>
      <c r="AE8" s="4552"/>
    </row>
    <row r="9" spans="1:31">
      <c r="A9" s="3568"/>
      <c r="B9" s="3584" t="s">
        <v>247</v>
      </c>
      <c r="C9" s="3569">
        <f t="shared" ref="C9:AE9" si="0">C10+C107+C108+C111+C112+C113+C114+C116+C117+C118+C110+C109+C115</f>
        <v>13802328.916000001</v>
      </c>
      <c r="D9" s="3569">
        <f>D10+D107+D108+D111+D112+D113+D114+D116+D117+D118+D110+D109+D115</f>
        <v>3199186</v>
      </c>
      <c r="E9" s="3569">
        <f t="shared" si="0"/>
        <v>562186</v>
      </c>
      <c r="F9" s="3569">
        <f t="shared" si="0"/>
        <v>627000</v>
      </c>
      <c r="G9" s="3569">
        <f t="shared" si="0"/>
        <v>1950000</v>
      </c>
      <c r="H9" s="3569">
        <f t="shared" si="0"/>
        <v>0</v>
      </c>
      <c r="I9" s="3569">
        <f t="shared" si="0"/>
        <v>60000</v>
      </c>
      <c r="J9" s="3569">
        <f t="shared" si="0"/>
        <v>3294440</v>
      </c>
      <c r="K9" s="3569">
        <f t="shared" si="0"/>
        <v>545710</v>
      </c>
      <c r="L9" s="3569">
        <f t="shared" si="0"/>
        <v>67965</v>
      </c>
      <c r="M9" s="3569">
        <f t="shared" si="0"/>
        <v>31218</v>
      </c>
      <c r="N9" s="3569">
        <f t="shared" si="0"/>
        <v>956676</v>
      </c>
      <c r="O9" s="3569">
        <f t="shared" si="0"/>
        <v>828538</v>
      </c>
      <c r="P9" s="3569">
        <f t="shared" si="0"/>
        <v>47888</v>
      </c>
      <c r="Q9" s="3569">
        <f t="shared" si="0"/>
        <v>18073</v>
      </c>
      <c r="R9" s="3569">
        <f t="shared" si="0"/>
        <v>37202</v>
      </c>
      <c r="S9" s="3569">
        <f t="shared" si="0"/>
        <v>77385</v>
      </c>
      <c r="T9" s="3569">
        <f t="shared" si="0"/>
        <v>515458</v>
      </c>
      <c r="U9" s="3569">
        <f t="shared" si="0"/>
        <v>148327</v>
      </c>
      <c r="V9" s="3569">
        <f t="shared" si="0"/>
        <v>20000</v>
      </c>
      <c r="W9" s="3569">
        <f t="shared" si="0"/>
        <v>2000</v>
      </c>
      <c r="X9" s="3569">
        <f t="shared" si="0"/>
        <v>152264.36799999999</v>
      </c>
      <c r="Y9" s="3569">
        <f t="shared" si="0"/>
        <v>0</v>
      </c>
      <c r="Z9" s="3569">
        <f t="shared" si="0"/>
        <v>79139.200000000012</v>
      </c>
      <c r="AA9" s="3569">
        <f t="shared" si="0"/>
        <v>3000</v>
      </c>
      <c r="AB9" s="3569">
        <f t="shared" si="0"/>
        <v>1988976</v>
      </c>
      <c r="AC9" s="3569">
        <f t="shared" si="0"/>
        <v>1814491</v>
      </c>
      <c r="AD9" s="3570">
        <f t="shared" si="0"/>
        <v>174485</v>
      </c>
      <c r="AE9" s="3571">
        <f t="shared" si="0"/>
        <v>5083323.3480000002</v>
      </c>
    </row>
    <row r="10" spans="1:31" s="210" customFormat="1" ht="17.399999999999999">
      <c r="A10" s="3572" t="s">
        <v>7</v>
      </c>
      <c r="B10" s="3573" t="str">
        <f>'Phụ lục số 4'!B10</f>
        <v>CÁC CƠ QUAN, ĐƠN VỊ</v>
      </c>
      <c r="C10" s="3574">
        <f>D10+J10+W10+X10+AB10</f>
        <v>3468925</v>
      </c>
      <c r="D10" s="3574">
        <f>D11+D41+D56+D60+D75</f>
        <v>0</v>
      </c>
      <c r="E10" s="3574">
        <f>E11+E41+E56+E60+E75</f>
        <v>0</v>
      </c>
      <c r="F10" s="3574">
        <f t="shared" ref="F10:H10" si="1">F11+F41+F56+F60+F75</f>
        <v>0</v>
      </c>
      <c r="G10" s="3574">
        <f t="shared" si="1"/>
        <v>0</v>
      </c>
      <c r="H10" s="3574">
        <f t="shared" si="1"/>
        <v>0</v>
      </c>
      <c r="I10" s="3574"/>
      <c r="J10" s="3574">
        <f>J11+J41+J56+J60+J75</f>
        <v>3294440</v>
      </c>
      <c r="K10" s="3574">
        <f>K11+K41+K56+K60+K75</f>
        <v>545710</v>
      </c>
      <c r="L10" s="3574">
        <f t="shared" ref="L10:AE10" si="2">L11+L41+L56+L60+L75</f>
        <v>67965</v>
      </c>
      <c r="M10" s="3574">
        <f t="shared" si="2"/>
        <v>31218</v>
      </c>
      <c r="N10" s="3574">
        <f t="shared" si="2"/>
        <v>956676</v>
      </c>
      <c r="O10" s="3574">
        <f t="shared" si="2"/>
        <v>828538</v>
      </c>
      <c r="P10" s="3574">
        <f t="shared" si="2"/>
        <v>47888</v>
      </c>
      <c r="Q10" s="3574">
        <f t="shared" si="2"/>
        <v>18073</v>
      </c>
      <c r="R10" s="3574">
        <f t="shared" si="2"/>
        <v>37202</v>
      </c>
      <c r="S10" s="3574">
        <f t="shared" si="2"/>
        <v>77385</v>
      </c>
      <c r="T10" s="3574">
        <f t="shared" si="2"/>
        <v>515458</v>
      </c>
      <c r="U10" s="3574">
        <f t="shared" si="2"/>
        <v>148327</v>
      </c>
      <c r="V10" s="3574">
        <f t="shared" si="2"/>
        <v>20000</v>
      </c>
      <c r="W10" s="3574">
        <f t="shared" si="2"/>
        <v>0</v>
      </c>
      <c r="X10" s="3574">
        <f t="shared" si="2"/>
        <v>0</v>
      </c>
      <c r="Y10" s="3574">
        <f t="shared" si="2"/>
        <v>0</v>
      </c>
      <c r="Z10" s="3574">
        <f t="shared" si="2"/>
        <v>0</v>
      </c>
      <c r="AA10" s="3574">
        <f t="shared" si="2"/>
        <v>0</v>
      </c>
      <c r="AB10" s="3574">
        <f t="shared" si="2"/>
        <v>174485</v>
      </c>
      <c r="AC10" s="3574">
        <f t="shared" si="2"/>
        <v>0</v>
      </c>
      <c r="AD10" s="3575">
        <f t="shared" si="2"/>
        <v>174485</v>
      </c>
      <c r="AE10" s="3576">
        <f t="shared" si="2"/>
        <v>0</v>
      </c>
    </row>
    <row r="11" spans="1:31" s="210" customFormat="1" ht="17.399999999999999">
      <c r="A11" s="2940" t="s">
        <v>9</v>
      </c>
      <c r="B11" s="3562" t="str">
        <f>'Phụ lục số 4'!B11</f>
        <v>SỞ, BAN, NGÀNH CẤP TỈNH</v>
      </c>
      <c r="C11" s="3577">
        <f>D11+J11+W11+X11+AB11</f>
        <v>2543394.0490000001</v>
      </c>
      <c r="D11" s="3577">
        <f t="shared" ref="D11:H11" si="3">SUM(D12:D40)</f>
        <v>0</v>
      </c>
      <c r="E11" s="3577">
        <f t="shared" si="3"/>
        <v>0</v>
      </c>
      <c r="F11" s="3577">
        <f t="shared" si="3"/>
        <v>0</v>
      </c>
      <c r="G11" s="3577">
        <f t="shared" si="3"/>
        <v>0</v>
      </c>
      <c r="H11" s="3577">
        <f t="shared" si="3"/>
        <v>0</v>
      </c>
      <c r="I11" s="3577"/>
      <c r="J11" s="3577">
        <f>SUM(J12:J40)</f>
        <v>2380535.0490000001</v>
      </c>
      <c r="K11" s="3577">
        <f>SUM(K12:K40)</f>
        <v>339900</v>
      </c>
      <c r="L11" s="3577">
        <f t="shared" ref="L11:AE11" si="4">SUM(L12:L40)</f>
        <v>66273</v>
      </c>
      <c r="M11" s="3577">
        <f t="shared" si="4"/>
        <v>28166</v>
      </c>
      <c r="N11" s="3577">
        <f t="shared" si="4"/>
        <v>872742</v>
      </c>
      <c r="O11" s="3577">
        <f t="shared" si="4"/>
        <v>460553</v>
      </c>
      <c r="P11" s="3577">
        <f t="shared" si="4"/>
        <v>45194</v>
      </c>
      <c r="Q11" s="3577">
        <f t="shared" si="4"/>
        <v>17596</v>
      </c>
      <c r="R11" s="3577">
        <f t="shared" si="4"/>
        <v>37202</v>
      </c>
      <c r="S11" s="3577">
        <f t="shared" si="4"/>
        <v>54000</v>
      </c>
      <c r="T11" s="3577">
        <f t="shared" si="4"/>
        <v>458909.049</v>
      </c>
      <c r="U11" s="3577">
        <f t="shared" si="4"/>
        <v>0</v>
      </c>
      <c r="V11" s="3577">
        <f t="shared" si="4"/>
        <v>0</v>
      </c>
      <c r="W11" s="3577">
        <f t="shared" si="4"/>
        <v>0</v>
      </c>
      <c r="X11" s="3577">
        <f t="shared" si="4"/>
        <v>0</v>
      </c>
      <c r="Y11" s="3577">
        <f t="shared" si="4"/>
        <v>0</v>
      </c>
      <c r="Z11" s="3577">
        <f t="shared" si="4"/>
        <v>0</v>
      </c>
      <c r="AA11" s="3577">
        <f t="shared" si="4"/>
        <v>0</v>
      </c>
      <c r="AB11" s="3577">
        <f t="shared" si="4"/>
        <v>162859</v>
      </c>
      <c r="AC11" s="3577">
        <f t="shared" si="4"/>
        <v>0</v>
      </c>
      <c r="AD11" s="3578">
        <f t="shared" si="4"/>
        <v>162859</v>
      </c>
      <c r="AE11" s="3579">
        <f t="shared" si="4"/>
        <v>0</v>
      </c>
    </row>
    <row r="12" spans="1:31" s="154" customFormat="1">
      <c r="A12" s="2110">
        <v>1</v>
      </c>
      <c r="B12" s="2787" t="str">
        <f>'Phụ lục số 4'!B12</f>
        <v>Văn phòng Tỉnh ủy</v>
      </c>
      <c r="C12" s="2954">
        <f t="shared" ref="C12:C40" si="5">D12+J12+AB12+W12+X12+AA12</f>
        <v>229920.049</v>
      </c>
      <c r="D12" s="2954">
        <f t="shared" ref="D12:D40" si="6">SUM(E12:H12)</f>
        <v>0</v>
      </c>
      <c r="E12" s="2954">
        <f>'Phụ lục số 4'!E12</f>
        <v>0</v>
      </c>
      <c r="F12" s="2954">
        <f>'Phụ lục số 4'!F12</f>
        <v>0</v>
      </c>
      <c r="G12" s="2954">
        <f>'Phụ lục số 4'!G12</f>
        <v>0</v>
      </c>
      <c r="H12" s="2954">
        <f>'Phụ lục số 4'!H12</f>
        <v>0</v>
      </c>
      <c r="I12" s="2954"/>
      <c r="J12" s="2955">
        <f>SUM(K12:V12)</f>
        <v>229920.049</v>
      </c>
      <c r="K12" s="2955">
        <f>'Phụ lục số 4'!K12</f>
        <v>0</v>
      </c>
      <c r="L12" s="2955">
        <f>'Phụ lục số 4'!L12</f>
        <v>0</v>
      </c>
      <c r="M12" s="2955">
        <f>'Phụ lục số 4'!M12</f>
        <v>0</v>
      </c>
      <c r="N12" s="2955">
        <f>'Phụ lục số 4'!N12</f>
        <v>3103</v>
      </c>
      <c r="O12" s="2955">
        <f>'Phụ lục số 4'!O12</f>
        <v>14081</v>
      </c>
      <c r="P12" s="2955">
        <f>'Phụ lục số 4'!P12</f>
        <v>0</v>
      </c>
      <c r="Q12" s="2955">
        <f>'Phụ lục số 4'!Q12</f>
        <v>0</v>
      </c>
      <c r="R12" s="2955">
        <f>'Phụ lục số 4'!R12</f>
        <v>0</v>
      </c>
      <c r="S12" s="2955">
        <f>'Phụ lục số 4'!S12</f>
        <v>0</v>
      </c>
      <c r="T12" s="2955">
        <f>'Phụ lục số 4'!T12</f>
        <v>212736.049</v>
      </c>
      <c r="U12" s="2955">
        <f>'Phụ lục số 4'!U12</f>
        <v>0</v>
      </c>
      <c r="V12" s="2955">
        <f>'Phụ lục số 4'!V12</f>
        <v>0</v>
      </c>
      <c r="W12" s="2955">
        <f>'Phụ lục số 4'!W12</f>
        <v>0</v>
      </c>
      <c r="X12" s="2955">
        <f>'Phụ lục số 4'!X12</f>
        <v>0</v>
      </c>
      <c r="Y12" s="2955">
        <f>'Phụ lục số 4'!Y12</f>
        <v>0</v>
      </c>
      <c r="Z12" s="2955">
        <f>'Phụ lục số 4'!Z12</f>
        <v>0</v>
      </c>
      <c r="AA12" s="2955">
        <f>'Phụ lục số 4'!AA12</f>
        <v>0</v>
      </c>
      <c r="AB12" s="2955">
        <f>SUM(AC12:AD12)</f>
        <v>0</v>
      </c>
      <c r="AC12" s="2955">
        <f>'Phụ lục số 4'!AC12</f>
        <v>0</v>
      </c>
      <c r="AD12" s="3141">
        <f>'Phụ lục số 4'!AD12</f>
        <v>0</v>
      </c>
      <c r="AE12" s="3152">
        <f>'Phụ lục số 4'!AE12</f>
        <v>0</v>
      </c>
    </row>
    <row r="13" spans="1:31" s="154" customFormat="1">
      <c r="A13" s="2110">
        <v>2</v>
      </c>
      <c r="B13" s="2787" t="str">
        <f>'Phụ lục số 4'!B13</f>
        <v>Văn phòng Hội đồng nhân dân Tỉnh</v>
      </c>
      <c r="C13" s="2954">
        <f t="shared" si="5"/>
        <v>13947</v>
      </c>
      <c r="D13" s="2954">
        <f t="shared" si="6"/>
        <v>0</v>
      </c>
      <c r="E13" s="2954">
        <f>'Phụ lục số 4'!E13</f>
        <v>0</v>
      </c>
      <c r="F13" s="2954">
        <f>'Phụ lục số 4'!F13</f>
        <v>0</v>
      </c>
      <c r="G13" s="2954">
        <f>'Phụ lục số 4'!G13</f>
        <v>0</v>
      </c>
      <c r="H13" s="2954">
        <f>'Phụ lục số 4'!H13</f>
        <v>0</v>
      </c>
      <c r="I13" s="2954"/>
      <c r="J13" s="2954">
        <f t="shared" ref="J13:J39" si="7">SUM(K13:V13)</f>
        <v>13947</v>
      </c>
      <c r="K13" s="2954">
        <f>'Phụ lục số 4'!K13</f>
        <v>0</v>
      </c>
      <c r="L13" s="2954">
        <f>'Phụ lục số 4'!L13</f>
        <v>0</v>
      </c>
      <c r="M13" s="2954">
        <f>'Phụ lục số 4'!M13</f>
        <v>0</v>
      </c>
      <c r="N13" s="2954">
        <f>'Phụ lục số 4'!N13</f>
        <v>622</v>
      </c>
      <c r="O13" s="2954">
        <f>'Phụ lục số 4'!O13</f>
        <v>0</v>
      </c>
      <c r="P13" s="2954">
        <f>'Phụ lục số 4'!P13</f>
        <v>0</v>
      </c>
      <c r="Q13" s="2954">
        <f>'Phụ lục số 4'!Q13</f>
        <v>220</v>
      </c>
      <c r="R13" s="2954">
        <f>'Phụ lục số 4'!R13</f>
        <v>0</v>
      </c>
      <c r="S13" s="2954">
        <f>'Phụ lục số 4'!S13</f>
        <v>0</v>
      </c>
      <c r="T13" s="2954">
        <f>'Phụ lục số 4'!T13</f>
        <v>13105</v>
      </c>
      <c r="U13" s="2954">
        <f>'Phụ lục số 4'!U13</f>
        <v>0</v>
      </c>
      <c r="V13" s="2954">
        <f>'Phụ lục số 4'!V13</f>
        <v>0</v>
      </c>
      <c r="W13" s="2954">
        <f>'Phụ lục số 4'!W13</f>
        <v>0</v>
      </c>
      <c r="X13" s="2954">
        <f>'Phụ lục số 4'!X13</f>
        <v>0</v>
      </c>
      <c r="Y13" s="2954">
        <f>'Phụ lục số 4'!Y13</f>
        <v>0</v>
      </c>
      <c r="Z13" s="2954">
        <f>'Phụ lục số 4'!Z13</f>
        <v>0</v>
      </c>
      <c r="AA13" s="2954">
        <f>'Phụ lục số 4'!AA13</f>
        <v>0</v>
      </c>
      <c r="AB13" s="2954">
        <f t="shared" ref="AB13:AB39" si="8">SUM(AC13:AD13)</f>
        <v>0</v>
      </c>
      <c r="AC13" s="2954">
        <f>'Phụ lục số 4'!AC13</f>
        <v>0</v>
      </c>
      <c r="AD13" s="3142">
        <f>'Phụ lục số 4'!AD13</f>
        <v>0</v>
      </c>
      <c r="AE13" s="3153">
        <f>'Phụ lục số 4'!AE13</f>
        <v>0</v>
      </c>
    </row>
    <row r="14" spans="1:31" s="154" customFormat="1">
      <c r="A14" s="2110">
        <v>3</v>
      </c>
      <c r="B14" s="2787" t="str">
        <f>'Phụ lục số 4'!B14</f>
        <v>Văn phòng Ủy ban nhân dân Tỉnh</v>
      </c>
      <c r="C14" s="2954">
        <f t="shared" si="5"/>
        <v>27695</v>
      </c>
      <c r="D14" s="2954">
        <f t="shared" si="6"/>
        <v>0</v>
      </c>
      <c r="E14" s="2954">
        <f>'Phụ lục số 4'!E14</f>
        <v>0</v>
      </c>
      <c r="F14" s="2954">
        <f>'Phụ lục số 4'!F14</f>
        <v>0</v>
      </c>
      <c r="G14" s="2954">
        <f>'Phụ lục số 4'!G14</f>
        <v>0</v>
      </c>
      <c r="H14" s="2954">
        <f>'Phụ lục số 4'!H14</f>
        <v>0</v>
      </c>
      <c r="I14" s="2954"/>
      <c r="J14" s="2954">
        <f t="shared" si="7"/>
        <v>27695</v>
      </c>
      <c r="K14" s="2954">
        <f>'Phụ lục số 4'!K14</f>
        <v>2108</v>
      </c>
      <c r="L14" s="2954">
        <f>'Phụ lục số 4'!L14</f>
        <v>0</v>
      </c>
      <c r="M14" s="2954">
        <f>'Phụ lục số 4'!M14</f>
        <v>0</v>
      </c>
      <c r="N14" s="2954">
        <f>'Phụ lục số 4'!N14</f>
        <v>97</v>
      </c>
      <c r="O14" s="2954">
        <f>'Phụ lục số 4'!O14</f>
        <v>0</v>
      </c>
      <c r="P14" s="2954">
        <f>'Phụ lục số 4'!P14</f>
        <v>0</v>
      </c>
      <c r="Q14" s="2954">
        <f>'Phụ lục số 4'!Q14</f>
        <v>0</v>
      </c>
      <c r="R14" s="2954">
        <f>'Phụ lục số 4'!R14</f>
        <v>0</v>
      </c>
      <c r="S14" s="2954">
        <f>'Phụ lục số 4'!S14</f>
        <v>0</v>
      </c>
      <c r="T14" s="2954">
        <f>'Phụ lục số 4'!T14</f>
        <v>25490</v>
      </c>
      <c r="U14" s="2954">
        <f>'Phụ lục số 4'!U14</f>
        <v>0</v>
      </c>
      <c r="V14" s="2954">
        <f>'Phụ lục số 4'!V14</f>
        <v>0</v>
      </c>
      <c r="W14" s="2954">
        <f>'Phụ lục số 4'!W14</f>
        <v>0</v>
      </c>
      <c r="X14" s="2954">
        <f>'Phụ lục số 4'!X14</f>
        <v>0</v>
      </c>
      <c r="Y14" s="2954">
        <f>'Phụ lục số 4'!Y14</f>
        <v>0</v>
      </c>
      <c r="Z14" s="2954">
        <f>'Phụ lục số 4'!Z14</f>
        <v>0</v>
      </c>
      <c r="AA14" s="2954">
        <f>'Phụ lục số 4'!AA14</f>
        <v>0</v>
      </c>
      <c r="AB14" s="2954">
        <f t="shared" si="8"/>
        <v>0</v>
      </c>
      <c r="AC14" s="2954">
        <f>'Phụ lục số 4'!AC14</f>
        <v>0</v>
      </c>
      <c r="AD14" s="3142">
        <f>'Phụ lục số 4'!AD14</f>
        <v>0</v>
      </c>
      <c r="AE14" s="3153">
        <f>'Phụ lục số 4'!AE14</f>
        <v>0</v>
      </c>
    </row>
    <row r="15" spans="1:31" s="154" customFormat="1">
      <c r="A15" s="2110">
        <v>4</v>
      </c>
      <c r="B15" s="2787" t="str">
        <f>'Phụ lục số 4'!B15</f>
        <v>Sở Nông nghiệp và Phát triển Nông thôn</v>
      </c>
      <c r="C15" s="2954">
        <f t="shared" si="5"/>
        <v>122964</v>
      </c>
      <c r="D15" s="2954">
        <f t="shared" si="6"/>
        <v>0</v>
      </c>
      <c r="E15" s="2954">
        <f>'Phụ lục số 4'!E15</f>
        <v>0</v>
      </c>
      <c r="F15" s="2954">
        <f>'Phụ lục số 4'!F15</f>
        <v>0</v>
      </c>
      <c r="G15" s="2954">
        <f>'Phụ lục số 4'!G15</f>
        <v>0</v>
      </c>
      <c r="H15" s="2954">
        <f>'Phụ lục số 4'!H15</f>
        <v>0</v>
      </c>
      <c r="I15" s="2954"/>
      <c r="J15" s="2954">
        <f t="shared" si="7"/>
        <v>86124</v>
      </c>
      <c r="K15" s="2954">
        <f>'Phụ lục số 4'!K15</f>
        <v>61999</v>
      </c>
      <c r="L15" s="2954">
        <f>'Phụ lục số 4'!L15</f>
        <v>9323</v>
      </c>
      <c r="M15" s="2954">
        <f>'Phụ lục số 4'!M15</f>
        <v>2994</v>
      </c>
      <c r="N15" s="2954">
        <f>'Phụ lục số 4'!N15</f>
        <v>644</v>
      </c>
      <c r="O15" s="2954">
        <f>'Phụ lục số 4'!O15</f>
        <v>0</v>
      </c>
      <c r="P15" s="2954">
        <f>'Phụ lục số 4'!P15</f>
        <v>0</v>
      </c>
      <c r="Q15" s="2954">
        <f>'Phụ lục số 4'!Q15</f>
        <v>0</v>
      </c>
      <c r="R15" s="2954">
        <f>'Phụ lục số 4'!R15</f>
        <v>0</v>
      </c>
      <c r="S15" s="2954">
        <f>'Phụ lục số 4'!S15</f>
        <v>0</v>
      </c>
      <c r="T15" s="2954">
        <f>'Phụ lục số 4'!T15</f>
        <v>11164</v>
      </c>
      <c r="U15" s="2954">
        <f>'Phụ lục số 4'!U15</f>
        <v>0</v>
      </c>
      <c r="V15" s="2954">
        <f>'Phụ lục số 4'!V15</f>
        <v>0</v>
      </c>
      <c r="W15" s="2954">
        <f>'Phụ lục số 4'!W15</f>
        <v>0</v>
      </c>
      <c r="X15" s="2954">
        <f>'Phụ lục số 4'!X15</f>
        <v>0</v>
      </c>
      <c r="Y15" s="2954">
        <f>'Phụ lục số 4'!Y15</f>
        <v>0</v>
      </c>
      <c r="Z15" s="2954">
        <f>'Phụ lục số 4'!Z15</f>
        <v>0</v>
      </c>
      <c r="AA15" s="2954">
        <f>'Phụ lục số 4'!AA15</f>
        <v>0</v>
      </c>
      <c r="AB15" s="2954">
        <f t="shared" si="8"/>
        <v>36840</v>
      </c>
      <c r="AC15" s="2954">
        <f>'Phụ lục số 4'!AC15</f>
        <v>0</v>
      </c>
      <c r="AD15" s="3142">
        <f>'Phụ lục số 4'!AD15</f>
        <v>36840</v>
      </c>
      <c r="AE15" s="3153">
        <f>'Phụ lục số 4'!AE15</f>
        <v>0</v>
      </c>
    </row>
    <row r="16" spans="1:31" s="154" customFormat="1">
      <c r="A16" s="2110">
        <v>5</v>
      </c>
      <c r="B16" s="2787" t="str">
        <f>'Phụ lục số 4'!B16</f>
        <v>Sở Kế hoạch và Đầu tư</v>
      </c>
      <c r="C16" s="2954">
        <f t="shared" si="5"/>
        <v>14807</v>
      </c>
      <c r="D16" s="2954">
        <f t="shared" si="6"/>
        <v>0</v>
      </c>
      <c r="E16" s="2954">
        <f>'Phụ lục số 4'!E16</f>
        <v>0</v>
      </c>
      <c r="F16" s="2954">
        <f>'Phụ lục số 4'!F16</f>
        <v>0</v>
      </c>
      <c r="G16" s="2954">
        <f>'Phụ lục số 4'!G16</f>
        <v>0</v>
      </c>
      <c r="H16" s="2954">
        <f>'Phụ lục số 4'!H16</f>
        <v>0</v>
      </c>
      <c r="I16" s="2954"/>
      <c r="J16" s="2954">
        <f t="shared" si="7"/>
        <v>12807</v>
      </c>
      <c r="K16" s="2954">
        <f>'Phụ lục số 4'!K16</f>
        <v>3330</v>
      </c>
      <c r="L16" s="2954">
        <f>'Phụ lục số 4'!L16</f>
        <v>0</v>
      </c>
      <c r="M16" s="2954">
        <f>'Phụ lục số 4'!M16</f>
        <v>0</v>
      </c>
      <c r="N16" s="2954">
        <f>'Phụ lục số 4'!N16</f>
        <v>470</v>
      </c>
      <c r="O16" s="2954">
        <f>'Phụ lục số 4'!O16</f>
        <v>0</v>
      </c>
      <c r="P16" s="2954">
        <f>'Phụ lục số 4'!P16</f>
        <v>0</v>
      </c>
      <c r="Q16" s="2954">
        <f>'Phụ lục số 4'!Q16</f>
        <v>590</v>
      </c>
      <c r="R16" s="2954">
        <f>'Phụ lục số 4'!R16</f>
        <v>0</v>
      </c>
      <c r="S16" s="2954">
        <f>'Phụ lục số 4'!S16</f>
        <v>0</v>
      </c>
      <c r="T16" s="2954">
        <f>'Phụ lục số 4'!T16</f>
        <v>8417</v>
      </c>
      <c r="U16" s="2954">
        <f>'Phụ lục số 4'!U16</f>
        <v>0</v>
      </c>
      <c r="V16" s="2954">
        <f>'Phụ lục số 4'!V16</f>
        <v>0</v>
      </c>
      <c r="W16" s="2954">
        <f>'Phụ lục số 4'!W16</f>
        <v>0</v>
      </c>
      <c r="X16" s="2954">
        <f>'Phụ lục số 4'!X16</f>
        <v>0</v>
      </c>
      <c r="Y16" s="2954">
        <f>'Phụ lục số 4'!Y16</f>
        <v>0</v>
      </c>
      <c r="Z16" s="2954">
        <f>'Phụ lục số 4'!Z16</f>
        <v>0</v>
      </c>
      <c r="AA16" s="2954">
        <f>'Phụ lục số 4'!AA16</f>
        <v>0</v>
      </c>
      <c r="AB16" s="2954">
        <f t="shared" si="8"/>
        <v>2000</v>
      </c>
      <c r="AC16" s="2954">
        <f>'Phụ lục số 4'!AC16</f>
        <v>0</v>
      </c>
      <c r="AD16" s="3142">
        <f>'Phụ lục số 4'!AD16</f>
        <v>2000</v>
      </c>
      <c r="AE16" s="3153">
        <f>'Phụ lục số 4'!AE16</f>
        <v>0</v>
      </c>
    </row>
    <row r="17" spans="1:31" s="154" customFormat="1">
      <c r="A17" s="2110">
        <v>6</v>
      </c>
      <c r="B17" s="2787" t="str">
        <f>'Phụ lục số 4'!B17</f>
        <v>Sở Tài chính</v>
      </c>
      <c r="C17" s="2954">
        <f t="shared" si="5"/>
        <v>17300</v>
      </c>
      <c r="D17" s="2954">
        <f t="shared" si="6"/>
        <v>0</v>
      </c>
      <c r="E17" s="2954">
        <f>'Phụ lục số 4'!E17</f>
        <v>0</v>
      </c>
      <c r="F17" s="2954">
        <f>'Phụ lục số 4'!F17</f>
        <v>0</v>
      </c>
      <c r="G17" s="2954">
        <f>'Phụ lục số 4'!G17</f>
        <v>0</v>
      </c>
      <c r="H17" s="2954">
        <f>'Phụ lục số 4'!H17</f>
        <v>0</v>
      </c>
      <c r="I17" s="2954"/>
      <c r="J17" s="2954">
        <f t="shared" si="7"/>
        <v>17300</v>
      </c>
      <c r="K17" s="2954">
        <f>'Phụ lục số 4'!K17</f>
        <v>1115</v>
      </c>
      <c r="L17" s="2954">
        <f>'Phụ lục số 4'!L17</f>
        <v>0</v>
      </c>
      <c r="M17" s="2954">
        <f>'Phụ lục số 4'!M17</f>
        <v>0</v>
      </c>
      <c r="N17" s="2954">
        <f>'Phụ lục số 4'!N17</f>
        <v>1550</v>
      </c>
      <c r="O17" s="2954">
        <f>'Phụ lục số 4'!O17</f>
        <v>0</v>
      </c>
      <c r="P17" s="2954">
        <f>'Phụ lục số 4'!P17</f>
        <v>0</v>
      </c>
      <c r="Q17" s="2954">
        <f>'Phụ lục số 4'!Q17</f>
        <v>0</v>
      </c>
      <c r="R17" s="2954">
        <f>'Phụ lục số 4'!R17</f>
        <v>0</v>
      </c>
      <c r="S17" s="2954">
        <f>'Phụ lục số 4'!S17</f>
        <v>0</v>
      </c>
      <c r="T17" s="2954">
        <f>'Phụ lục số 4'!T17</f>
        <v>14635</v>
      </c>
      <c r="U17" s="2954">
        <f>'Phụ lục số 4'!U17</f>
        <v>0</v>
      </c>
      <c r="V17" s="2954">
        <f>'Phụ lục số 4'!V17</f>
        <v>0</v>
      </c>
      <c r="W17" s="2954">
        <f>'Phụ lục số 4'!W17</f>
        <v>0</v>
      </c>
      <c r="X17" s="2954">
        <f>'Phụ lục số 4'!X17</f>
        <v>0</v>
      </c>
      <c r="Y17" s="2954">
        <f>'Phụ lục số 4'!Y17</f>
        <v>0</v>
      </c>
      <c r="Z17" s="2954">
        <f>'Phụ lục số 4'!Z17</f>
        <v>0</v>
      </c>
      <c r="AA17" s="2954">
        <f>'Phụ lục số 4'!AA17</f>
        <v>0</v>
      </c>
      <c r="AB17" s="2954">
        <f t="shared" si="8"/>
        <v>0</v>
      </c>
      <c r="AC17" s="2954">
        <f>'Phụ lục số 4'!AC17</f>
        <v>0</v>
      </c>
      <c r="AD17" s="3142">
        <f>'Phụ lục số 4'!AD17</f>
        <v>0</v>
      </c>
      <c r="AE17" s="3153">
        <f>'Phụ lục số 4'!AE17</f>
        <v>0</v>
      </c>
    </row>
    <row r="18" spans="1:31" s="154" customFormat="1">
      <c r="A18" s="2110">
        <v>7</v>
      </c>
      <c r="B18" s="2787" t="str">
        <f>'Phụ lục số 4'!B18</f>
        <v>Sở Nội vụ</v>
      </c>
      <c r="C18" s="2954">
        <f t="shared" si="5"/>
        <v>50516</v>
      </c>
      <c r="D18" s="2954">
        <f t="shared" si="6"/>
        <v>0</v>
      </c>
      <c r="E18" s="2954">
        <f>'Phụ lục số 4'!E18</f>
        <v>0</v>
      </c>
      <c r="F18" s="2954">
        <f>'Phụ lục số 4'!F18</f>
        <v>0</v>
      </c>
      <c r="G18" s="2954">
        <f>'Phụ lục số 4'!G18</f>
        <v>0</v>
      </c>
      <c r="H18" s="2954">
        <f>'Phụ lục số 4'!H18</f>
        <v>0</v>
      </c>
      <c r="I18" s="2954"/>
      <c r="J18" s="2954">
        <f t="shared" si="7"/>
        <v>50516</v>
      </c>
      <c r="K18" s="2954">
        <f>'Phụ lục số 4'!K18</f>
        <v>17203</v>
      </c>
      <c r="L18" s="2954">
        <f>'Phụ lục số 4'!L18</f>
        <v>0</v>
      </c>
      <c r="M18" s="2954">
        <f>'Phụ lục số 4'!M18</f>
        <v>0</v>
      </c>
      <c r="N18" s="2954">
        <f>'Phụ lục số 4'!N18</f>
        <v>3188</v>
      </c>
      <c r="O18" s="2954">
        <f>'Phụ lục số 4'!O18</f>
        <v>0</v>
      </c>
      <c r="P18" s="2954">
        <f>'Phụ lục số 4'!P18</f>
        <v>0</v>
      </c>
      <c r="Q18" s="2954">
        <f>'Phụ lục số 4'!Q18</f>
        <v>0</v>
      </c>
      <c r="R18" s="2954">
        <f>'Phụ lục số 4'!R18</f>
        <v>0</v>
      </c>
      <c r="S18" s="2954">
        <f>'Phụ lục số 4'!S18</f>
        <v>0</v>
      </c>
      <c r="T18" s="2954">
        <f>'Phụ lục số 4'!T18</f>
        <v>30125</v>
      </c>
      <c r="U18" s="2954">
        <f>'Phụ lục số 4'!U18</f>
        <v>0</v>
      </c>
      <c r="V18" s="2954">
        <f>'Phụ lục số 4'!V18</f>
        <v>0</v>
      </c>
      <c r="W18" s="2954">
        <f>'Phụ lục số 4'!W18</f>
        <v>0</v>
      </c>
      <c r="X18" s="2954">
        <f>'Phụ lục số 4'!X18</f>
        <v>0</v>
      </c>
      <c r="Y18" s="2954">
        <f>'Phụ lục số 4'!Y18</f>
        <v>0</v>
      </c>
      <c r="Z18" s="2954">
        <f>'Phụ lục số 4'!Z18</f>
        <v>0</v>
      </c>
      <c r="AA18" s="2954">
        <f>'Phụ lục số 4'!AA18</f>
        <v>0</v>
      </c>
      <c r="AB18" s="2954">
        <f t="shared" si="8"/>
        <v>0</v>
      </c>
      <c r="AC18" s="2954">
        <f>'Phụ lục số 4'!AC18</f>
        <v>0</v>
      </c>
      <c r="AD18" s="3142">
        <f>'Phụ lục số 4'!AD18</f>
        <v>0</v>
      </c>
      <c r="AE18" s="3153">
        <f>'Phụ lục số 4'!AE18</f>
        <v>0</v>
      </c>
    </row>
    <row r="19" spans="1:31" s="154" customFormat="1">
      <c r="A19" s="2110">
        <v>8</v>
      </c>
      <c r="B19" s="2787" t="str">
        <f>'Phụ lục số 4'!B19</f>
        <v>Sở Ngoại vụ</v>
      </c>
      <c r="C19" s="2954">
        <f t="shared" si="5"/>
        <v>9940</v>
      </c>
      <c r="D19" s="2954">
        <f t="shared" si="6"/>
        <v>0</v>
      </c>
      <c r="E19" s="2954">
        <f>'Phụ lục số 4'!E19</f>
        <v>0</v>
      </c>
      <c r="F19" s="2954">
        <f>'Phụ lục số 4'!F19</f>
        <v>0</v>
      </c>
      <c r="G19" s="2954">
        <f>'Phụ lục số 4'!G19</f>
        <v>0</v>
      </c>
      <c r="H19" s="2954">
        <f>'Phụ lục số 4'!H19</f>
        <v>0</v>
      </c>
      <c r="I19" s="2954"/>
      <c r="J19" s="2954">
        <f t="shared" si="7"/>
        <v>9940</v>
      </c>
      <c r="K19" s="2954">
        <f>'Phụ lục số 4'!K19</f>
        <v>1500</v>
      </c>
      <c r="L19" s="2954">
        <f>'Phụ lục số 4'!L19</f>
        <v>0</v>
      </c>
      <c r="M19" s="2954">
        <f>'Phụ lục số 4'!M19</f>
        <v>0</v>
      </c>
      <c r="N19" s="2954">
        <f>'Phụ lục số 4'!N19</f>
        <v>115</v>
      </c>
      <c r="O19" s="2954">
        <f>'Phụ lục số 4'!O19</f>
        <v>0</v>
      </c>
      <c r="P19" s="2954">
        <f>'Phụ lục số 4'!P19</f>
        <v>0</v>
      </c>
      <c r="Q19" s="2954">
        <f>'Phụ lục số 4'!Q19</f>
        <v>0</v>
      </c>
      <c r="R19" s="2954">
        <f>'Phụ lục số 4'!R19</f>
        <v>0</v>
      </c>
      <c r="S19" s="2954">
        <f>'Phụ lục số 4'!S19</f>
        <v>0</v>
      </c>
      <c r="T19" s="2954">
        <f>'Phụ lục số 4'!T19</f>
        <v>8325</v>
      </c>
      <c r="U19" s="2954">
        <f>'Phụ lục số 4'!U19</f>
        <v>0</v>
      </c>
      <c r="V19" s="2954">
        <f>'Phụ lục số 4'!V19</f>
        <v>0</v>
      </c>
      <c r="W19" s="2954">
        <f>'Phụ lục số 4'!W19</f>
        <v>0</v>
      </c>
      <c r="X19" s="2954">
        <f>'Phụ lục số 4'!X19</f>
        <v>0</v>
      </c>
      <c r="Y19" s="2954">
        <f>'Phụ lục số 4'!Y19</f>
        <v>0</v>
      </c>
      <c r="Z19" s="2954">
        <f>'Phụ lục số 4'!Z19</f>
        <v>0</v>
      </c>
      <c r="AA19" s="2954">
        <f>'Phụ lục số 4'!AA19</f>
        <v>0</v>
      </c>
      <c r="AB19" s="2954">
        <f t="shared" si="8"/>
        <v>0</v>
      </c>
      <c r="AC19" s="2954">
        <f>'Phụ lục số 4'!AC19</f>
        <v>0</v>
      </c>
      <c r="AD19" s="3142">
        <f>'Phụ lục số 4'!AD19</f>
        <v>0</v>
      </c>
      <c r="AE19" s="3153">
        <f>'Phụ lục số 4'!AE19</f>
        <v>0</v>
      </c>
    </row>
    <row r="20" spans="1:31" s="154" customFormat="1">
      <c r="A20" s="2110">
        <v>9</v>
      </c>
      <c r="B20" s="2787" t="str">
        <f>'Phụ lục số 4'!B20</f>
        <v>Sở Tư pháp</v>
      </c>
      <c r="C20" s="2954">
        <f t="shared" si="5"/>
        <v>29691</v>
      </c>
      <c r="D20" s="2954">
        <f t="shared" si="6"/>
        <v>0</v>
      </c>
      <c r="E20" s="2954">
        <f>'Phụ lục số 4'!E20</f>
        <v>0</v>
      </c>
      <c r="F20" s="2954">
        <f>'Phụ lục số 4'!F20</f>
        <v>0</v>
      </c>
      <c r="G20" s="2954">
        <f>'Phụ lục số 4'!G20</f>
        <v>0</v>
      </c>
      <c r="H20" s="2954">
        <f>'Phụ lục số 4'!H20</f>
        <v>0</v>
      </c>
      <c r="I20" s="2954"/>
      <c r="J20" s="2954">
        <f t="shared" si="7"/>
        <v>29691</v>
      </c>
      <c r="K20" s="2954">
        <f>'Phụ lục số 4'!K20</f>
        <v>20733</v>
      </c>
      <c r="L20" s="2954">
        <f>'Phụ lục số 4'!L20</f>
        <v>0</v>
      </c>
      <c r="M20" s="2954">
        <f>'Phụ lục số 4'!M20</f>
        <v>0</v>
      </c>
      <c r="N20" s="2954">
        <f>'Phụ lục số 4'!N20</f>
        <v>1025</v>
      </c>
      <c r="O20" s="2954">
        <f>'Phụ lục số 4'!O20</f>
        <v>0</v>
      </c>
      <c r="P20" s="2954">
        <f>'Phụ lục số 4'!P20</f>
        <v>0</v>
      </c>
      <c r="Q20" s="2954">
        <f>'Phụ lục số 4'!Q20</f>
        <v>576</v>
      </c>
      <c r="R20" s="2954">
        <f>'Phụ lục số 4'!R20</f>
        <v>0</v>
      </c>
      <c r="S20" s="2954">
        <f>'Phụ lục số 4'!S20</f>
        <v>0</v>
      </c>
      <c r="T20" s="2954">
        <f>'Phụ lục số 4'!T20</f>
        <v>7357</v>
      </c>
      <c r="U20" s="2954">
        <f>'Phụ lục số 4'!U20</f>
        <v>0</v>
      </c>
      <c r="V20" s="2954">
        <f>'Phụ lục số 4'!V20</f>
        <v>0</v>
      </c>
      <c r="W20" s="2954">
        <f>'Phụ lục số 4'!W20</f>
        <v>0</v>
      </c>
      <c r="X20" s="2954">
        <f>'Phụ lục số 4'!X20</f>
        <v>0</v>
      </c>
      <c r="Y20" s="2954">
        <f>'Phụ lục số 4'!Y20</f>
        <v>0</v>
      </c>
      <c r="Z20" s="2954">
        <f>'Phụ lục số 4'!Z20</f>
        <v>0</v>
      </c>
      <c r="AA20" s="2954">
        <f>'Phụ lục số 4'!AA20</f>
        <v>0</v>
      </c>
      <c r="AB20" s="2954">
        <f t="shared" si="8"/>
        <v>0</v>
      </c>
      <c r="AC20" s="2954">
        <f>'Phụ lục số 4'!AC20</f>
        <v>0</v>
      </c>
      <c r="AD20" s="3142">
        <f>'Phụ lục số 4'!AD20</f>
        <v>0</v>
      </c>
      <c r="AE20" s="3153">
        <f>'Phụ lục số 4'!AE20</f>
        <v>0</v>
      </c>
    </row>
    <row r="21" spans="1:31" s="154" customFormat="1">
      <c r="A21" s="2110">
        <v>10</v>
      </c>
      <c r="B21" s="2787" t="str">
        <f>'Phụ lục số 4'!B21</f>
        <v>Sở Y tế</v>
      </c>
      <c r="C21" s="2954">
        <f t="shared" si="5"/>
        <v>465600</v>
      </c>
      <c r="D21" s="2954">
        <f t="shared" si="6"/>
        <v>0</v>
      </c>
      <c r="E21" s="2954">
        <f>'Phụ lục số 4'!E21</f>
        <v>0</v>
      </c>
      <c r="F21" s="2954">
        <f>'Phụ lục số 4'!F21</f>
        <v>0</v>
      </c>
      <c r="G21" s="2954">
        <f>'Phụ lục số 4'!G21</f>
        <v>0</v>
      </c>
      <c r="H21" s="2954">
        <f>'Phụ lục số 4'!H21</f>
        <v>0</v>
      </c>
      <c r="I21" s="2954"/>
      <c r="J21" s="2954">
        <f t="shared" si="7"/>
        <v>465600</v>
      </c>
      <c r="K21" s="2954">
        <f>'Phụ lục số 4'!K21</f>
        <v>0</v>
      </c>
      <c r="L21" s="2954">
        <f>'Phụ lục số 4'!L21</f>
        <v>0</v>
      </c>
      <c r="M21" s="2954">
        <f>'Phụ lục số 4'!M21</f>
        <v>0</v>
      </c>
      <c r="N21" s="2954">
        <f>'Phụ lục số 4'!N21</f>
        <v>8186</v>
      </c>
      <c r="O21" s="2954">
        <f>'Phụ lục số 4'!O21</f>
        <v>446472</v>
      </c>
      <c r="P21" s="2954">
        <f>'Phụ lục số 4'!P21</f>
        <v>0</v>
      </c>
      <c r="Q21" s="2954">
        <f>'Phụ lục số 4'!Q21</f>
        <v>0</v>
      </c>
      <c r="R21" s="2954">
        <f>'Phụ lục số 4'!R21</f>
        <v>0</v>
      </c>
      <c r="S21" s="2954">
        <f>'Phụ lục số 4'!S21</f>
        <v>0</v>
      </c>
      <c r="T21" s="2954">
        <f>'Phụ lục số 4'!T21</f>
        <v>10942</v>
      </c>
      <c r="U21" s="2954">
        <f>'Phụ lục số 4'!U21</f>
        <v>0</v>
      </c>
      <c r="V21" s="2954">
        <f>'Phụ lục số 4'!V21</f>
        <v>0</v>
      </c>
      <c r="W21" s="2954">
        <f>'Phụ lục số 4'!W21</f>
        <v>0</v>
      </c>
      <c r="X21" s="2954">
        <f>'Phụ lục số 4'!X21</f>
        <v>0</v>
      </c>
      <c r="Y21" s="2954">
        <f>'Phụ lục số 4'!Y21</f>
        <v>0</v>
      </c>
      <c r="Z21" s="2954">
        <f>'Phụ lục số 4'!Z21</f>
        <v>0</v>
      </c>
      <c r="AA21" s="2954">
        <f>'Phụ lục số 4'!AA21</f>
        <v>0</v>
      </c>
      <c r="AB21" s="2954">
        <f t="shared" si="8"/>
        <v>0</v>
      </c>
      <c r="AC21" s="2954">
        <f>'Phụ lục số 4'!AC21</f>
        <v>0</v>
      </c>
      <c r="AD21" s="3142">
        <f>'Phụ lục số 4'!AD21</f>
        <v>0</v>
      </c>
      <c r="AE21" s="3153">
        <f>'Phụ lục số 4'!AE21</f>
        <v>0</v>
      </c>
    </row>
    <row r="22" spans="1:31" s="154" customFormat="1">
      <c r="A22" s="2110">
        <v>11</v>
      </c>
      <c r="B22" s="2787" t="str">
        <f>'Phụ lục số 4'!B22</f>
        <v>Sở Công Thương</v>
      </c>
      <c r="C22" s="2954">
        <f t="shared" si="5"/>
        <v>20097</v>
      </c>
      <c r="D22" s="2954">
        <f t="shared" si="6"/>
        <v>0</v>
      </c>
      <c r="E22" s="2954">
        <f>'Phụ lục số 4'!E22</f>
        <v>0</v>
      </c>
      <c r="F22" s="2954">
        <f>'Phụ lục số 4'!F22</f>
        <v>0</v>
      </c>
      <c r="G22" s="2954">
        <f>'Phụ lục số 4'!G22</f>
        <v>0</v>
      </c>
      <c r="H22" s="2954">
        <f>'Phụ lục số 4'!H22</f>
        <v>0</v>
      </c>
      <c r="I22" s="2954"/>
      <c r="J22" s="2954">
        <f t="shared" si="7"/>
        <v>20097</v>
      </c>
      <c r="K22" s="2954">
        <f>'Phụ lục số 4'!K22</f>
        <v>8921</v>
      </c>
      <c r="L22" s="2954">
        <f>'Phụ lục số 4'!L22</f>
        <v>30</v>
      </c>
      <c r="M22" s="2954">
        <f>'Phụ lục số 4'!M22</f>
        <v>0</v>
      </c>
      <c r="N22" s="2954">
        <f>'Phụ lục số 4'!N22</f>
        <v>514</v>
      </c>
      <c r="O22" s="2954">
        <f>'Phụ lục số 4'!O22</f>
        <v>0</v>
      </c>
      <c r="P22" s="2954">
        <f>'Phụ lục số 4'!P22</f>
        <v>0</v>
      </c>
      <c r="Q22" s="2954">
        <f>'Phụ lục số 4'!Q22</f>
        <v>0</v>
      </c>
      <c r="R22" s="2954">
        <f>'Phụ lục số 4'!R22</f>
        <v>0</v>
      </c>
      <c r="S22" s="2954">
        <f>'Phụ lục số 4'!S22</f>
        <v>0</v>
      </c>
      <c r="T22" s="2954">
        <f>'Phụ lục số 4'!T22</f>
        <v>10632</v>
      </c>
      <c r="U22" s="2954">
        <f>'Phụ lục số 4'!U22</f>
        <v>0</v>
      </c>
      <c r="V22" s="2954">
        <f>'Phụ lục số 4'!V22</f>
        <v>0</v>
      </c>
      <c r="W22" s="2954">
        <f>'Phụ lục số 4'!W22</f>
        <v>0</v>
      </c>
      <c r="X22" s="2954">
        <f>'Phụ lục số 4'!X22</f>
        <v>0</v>
      </c>
      <c r="Y22" s="2954">
        <f>'Phụ lục số 4'!Y22</f>
        <v>0</v>
      </c>
      <c r="Z22" s="2954">
        <f>'Phụ lục số 4'!Z22</f>
        <v>0</v>
      </c>
      <c r="AA22" s="2954">
        <f>'Phụ lục số 4'!AA22</f>
        <v>0</v>
      </c>
      <c r="AB22" s="2954">
        <f t="shared" si="8"/>
        <v>0</v>
      </c>
      <c r="AC22" s="2954">
        <f>'Phụ lục số 4'!AC22</f>
        <v>0</v>
      </c>
      <c r="AD22" s="3142">
        <f>'Phụ lục số 4'!AD22</f>
        <v>0</v>
      </c>
      <c r="AE22" s="3153">
        <f>'Phụ lục số 4'!AE22</f>
        <v>0</v>
      </c>
    </row>
    <row r="23" spans="1:31" s="154" customFormat="1">
      <c r="A23" s="2110">
        <v>12</v>
      </c>
      <c r="B23" s="2787" t="str">
        <f>'Phụ lục số 4'!B23</f>
        <v>Sở Xây dựng</v>
      </c>
      <c r="C23" s="2954">
        <f t="shared" si="5"/>
        <v>18961</v>
      </c>
      <c r="D23" s="2954">
        <f t="shared" si="6"/>
        <v>0</v>
      </c>
      <c r="E23" s="2954">
        <f>'Phụ lục số 4'!E23</f>
        <v>0</v>
      </c>
      <c r="F23" s="2954">
        <f>'Phụ lục số 4'!F23</f>
        <v>0</v>
      </c>
      <c r="G23" s="2954">
        <f>'Phụ lục số 4'!G23</f>
        <v>0</v>
      </c>
      <c r="H23" s="2954">
        <f>'Phụ lục số 4'!H23</f>
        <v>0</v>
      </c>
      <c r="I23" s="2954"/>
      <c r="J23" s="2954">
        <f t="shared" si="7"/>
        <v>18961</v>
      </c>
      <c r="K23" s="2954">
        <f>'Phụ lục số 4'!K23</f>
        <v>3432</v>
      </c>
      <c r="L23" s="2954">
        <f>'Phụ lục số 4'!L23</f>
        <v>0</v>
      </c>
      <c r="M23" s="2954">
        <f>'Phụ lục số 4'!M23</f>
        <v>0</v>
      </c>
      <c r="N23" s="2954">
        <f>'Phụ lục số 4'!N23</f>
        <v>5944</v>
      </c>
      <c r="O23" s="2954">
        <f>'Phụ lục số 4'!O23</f>
        <v>0</v>
      </c>
      <c r="P23" s="2954">
        <f>'Phụ lục số 4'!P23</f>
        <v>0</v>
      </c>
      <c r="Q23" s="2954">
        <f>'Phụ lục số 4'!Q23</f>
        <v>0</v>
      </c>
      <c r="R23" s="2954">
        <f>'Phụ lục số 4'!R23</f>
        <v>0</v>
      </c>
      <c r="S23" s="2954">
        <f>'Phụ lục số 4'!S23</f>
        <v>0</v>
      </c>
      <c r="T23" s="2954">
        <f>'Phụ lục số 4'!T23</f>
        <v>9585</v>
      </c>
      <c r="U23" s="2954">
        <f>'Phụ lục số 4'!U23</f>
        <v>0</v>
      </c>
      <c r="V23" s="2954">
        <f>'Phụ lục số 4'!V23</f>
        <v>0</v>
      </c>
      <c r="W23" s="2954">
        <f>'Phụ lục số 4'!W23</f>
        <v>0</v>
      </c>
      <c r="X23" s="2954">
        <f>'Phụ lục số 4'!X23</f>
        <v>0</v>
      </c>
      <c r="Y23" s="2954">
        <f>'Phụ lục số 4'!Y23</f>
        <v>0</v>
      </c>
      <c r="Z23" s="2954">
        <f>'Phụ lục số 4'!Z23</f>
        <v>0</v>
      </c>
      <c r="AA23" s="2954">
        <f>'Phụ lục số 4'!AA23</f>
        <v>0</v>
      </c>
      <c r="AB23" s="2954">
        <f t="shared" si="8"/>
        <v>0</v>
      </c>
      <c r="AC23" s="2954">
        <f>'Phụ lục số 4'!AC23</f>
        <v>0</v>
      </c>
      <c r="AD23" s="3142">
        <f>'Phụ lục số 4'!AD23</f>
        <v>0</v>
      </c>
      <c r="AE23" s="3153">
        <f>'Phụ lục số 4'!AE23</f>
        <v>0</v>
      </c>
    </row>
    <row r="24" spans="1:31" s="154" customFormat="1">
      <c r="A24" s="2110">
        <v>13</v>
      </c>
      <c r="B24" s="2787" t="str">
        <f>'Phụ lục số 4'!B24</f>
        <v>Sở Khoa học và Công nghệ</v>
      </c>
      <c r="C24" s="2954">
        <f t="shared" si="5"/>
        <v>32717</v>
      </c>
      <c r="D24" s="2954">
        <f t="shared" si="6"/>
        <v>0</v>
      </c>
      <c r="E24" s="2954">
        <f>'Phụ lục số 4'!E24</f>
        <v>0</v>
      </c>
      <c r="F24" s="2954">
        <f>'Phụ lục số 4'!F24</f>
        <v>0</v>
      </c>
      <c r="G24" s="2954">
        <f>'Phụ lục số 4'!G24</f>
        <v>0</v>
      </c>
      <c r="H24" s="2954">
        <f>'Phụ lục số 4'!H24</f>
        <v>0</v>
      </c>
      <c r="I24" s="2954"/>
      <c r="J24" s="2954">
        <f t="shared" si="7"/>
        <v>32717</v>
      </c>
      <c r="K24" s="2954">
        <f>'Phụ lục số 4'!K24</f>
        <v>0</v>
      </c>
      <c r="L24" s="2954">
        <f>'Phụ lục số 4'!L24</f>
        <v>0</v>
      </c>
      <c r="M24" s="2954">
        <f>'Phụ lục số 4'!M24</f>
        <v>25172</v>
      </c>
      <c r="N24" s="2954">
        <f>'Phụ lục số 4'!N24</f>
        <v>100</v>
      </c>
      <c r="O24" s="2954">
        <f>'Phụ lục số 4'!O24</f>
        <v>0</v>
      </c>
      <c r="P24" s="2954">
        <f>'Phụ lục số 4'!P24</f>
        <v>0</v>
      </c>
      <c r="Q24" s="2954">
        <f>'Phụ lục số 4'!Q24</f>
        <v>0</v>
      </c>
      <c r="R24" s="2954">
        <f>'Phụ lục số 4'!R24</f>
        <v>0</v>
      </c>
      <c r="S24" s="2954">
        <f>'Phụ lục số 4'!S24</f>
        <v>0</v>
      </c>
      <c r="T24" s="2954">
        <f>'Phụ lục số 4'!T24</f>
        <v>7445</v>
      </c>
      <c r="U24" s="2954">
        <f>'Phụ lục số 4'!U24</f>
        <v>0</v>
      </c>
      <c r="V24" s="2954">
        <f>'Phụ lục số 4'!V24</f>
        <v>0</v>
      </c>
      <c r="W24" s="2954">
        <f>'Phụ lục số 4'!W24</f>
        <v>0</v>
      </c>
      <c r="X24" s="2954">
        <f>'Phụ lục số 4'!X24</f>
        <v>0</v>
      </c>
      <c r="Y24" s="2954">
        <f>'Phụ lục số 4'!Y24</f>
        <v>0</v>
      </c>
      <c r="Z24" s="2954">
        <f>'Phụ lục số 4'!Z24</f>
        <v>0</v>
      </c>
      <c r="AA24" s="2954">
        <f>'Phụ lục số 4'!AA24</f>
        <v>0</v>
      </c>
      <c r="AB24" s="2954">
        <f t="shared" si="8"/>
        <v>0</v>
      </c>
      <c r="AC24" s="2954">
        <f>'Phụ lục số 4'!AC24</f>
        <v>0</v>
      </c>
      <c r="AD24" s="3142">
        <f>'Phụ lục số 4'!AD24</f>
        <v>0</v>
      </c>
      <c r="AE24" s="3153">
        <f>'Phụ lục số 4'!AE24</f>
        <v>0</v>
      </c>
    </row>
    <row r="25" spans="1:31" s="154" customFormat="1">
      <c r="A25" s="2110">
        <v>14</v>
      </c>
      <c r="B25" s="2787" t="str">
        <f>'Phụ lục số 4'!B25</f>
        <v>Sở Giáo dục và Đào tạo</v>
      </c>
      <c r="C25" s="2954">
        <f t="shared" si="5"/>
        <v>648205</v>
      </c>
      <c r="D25" s="2954">
        <f t="shared" si="6"/>
        <v>0</v>
      </c>
      <c r="E25" s="2954">
        <f>'Phụ lục số 4'!E25</f>
        <v>0</v>
      </c>
      <c r="F25" s="2954">
        <f>'Phụ lục số 4'!F25</f>
        <v>0</v>
      </c>
      <c r="G25" s="2954">
        <f>'Phụ lục số 4'!G25</f>
        <v>0</v>
      </c>
      <c r="H25" s="2954">
        <f>'Phụ lục số 4'!H25</f>
        <v>0</v>
      </c>
      <c r="I25" s="2954"/>
      <c r="J25" s="2954">
        <f t="shared" si="7"/>
        <v>648205</v>
      </c>
      <c r="K25" s="2954">
        <f>'Phụ lục số 4'!K25</f>
        <v>0</v>
      </c>
      <c r="L25" s="2954">
        <f>'Phụ lục số 4'!L25</f>
        <v>126</v>
      </c>
      <c r="M25" s="2954">
        <f>'Phụ lục số 4'!M25</f>
        <v>0</v>
      </c>
      <c r="N25" s="2954">
        <f>'Phụ lục số 4'!N25</f>
        <v>618001</v>
      </c>
      <c r="O25" s="2954">
        <f>'Phụ lục số 4'!O25</f>
        <v>0</v>
      </c>
      <c r="P25" s="2954">
        <f>'Phụ lục số 4'!P25</f>
        <v>0</v>
      </c>
      <c r="Q25" s="2954">
        <f>'Phụ lục số 4'!Q25</f>
        <v>520</v>
      </c>
      <c r="R25" s="2954">
        <f>'Phụ lục số 4'!R25</f>
        <v>15000</v>
      </c>
      <c r="S25" s="2954">
        <f>'Phụ lục số 4'!S25</f>
        <v>0</v>
      </c>
      <c r="T25" s="2954">
        <f>'Phụ lục số 4'!T25</f>
        <v>14558</v>
      </c>
      <c r="U25" s="2954">
        <f>'Phụ lục số 4'!U25</f>
        <v>0</v>
      </c>
      <c r="V25" s="2954">
        <f>'Phụ lục số 4'!V25</f>
        <v>0</v>
      </c>
      <c r="W25" s="2954">
        <f>'Phụ lục số 4'!W25</f>
        <v>0</v>
      </c>
      <c r="X25" s="2954">
        <f>'Phụ lục số 4'!X25</f>
        <v>0</v>
      </c>
      <c r="Y25" s="2954">
        <f>'Phụ lục số 4'!Y25</f>
        <v>0</v>
      </c>
      <c r="Z25" s="2954">
        <f>'Phụ lục số 4'!Z25</f>
        <v>0</v>
      </c>
      <c r="AA25" s="2954">
        <f>'Phụ lục số 4'!AA25</f>
        <v>0</v>
      </c>
      <c r="AB25" s="2954">
        <f t="shared" si="8"/>
        <v>0</v>
      </c>
      <c r="AC25" s="2954">
        <f>'Phụ lục số 4'!AC25</f>
        <v>0</v>
      </c>
      <c r="AD25" s="3142">
        <f>'Phụ lục số 4'!AD25</f>
        <v>0</v>
      </c>
      <c r="AE25" s="3153">
        <f>'Phụ lục số 4'!AE25</f>
        <v>0</v>
      </c>
    </row>
    <row r="26" spans="1:31" s="154" customFormat="1">
      <c r="A26" s="2110">
        <v>15</v>
      </c>
      <c r="B26" s="2787" t="str">
        <f>'Phụ lục số 4'!B26</f>
        <v>Sở Tài nguyên và Môi trường</v>
      </c>
      <c r="C26" s="2954">
        <f t="shared" si="5"/>
        <v>96879</v>
      </c>
      <c r="D26" s="2954">
        <f t="shared" si="6"/>
        <v>0</v>
      </c>
      <c r="E26" s="2954">
        <f>'Phụ lục số 4'!E26</f>
        <v>0</v>
      </c>
      <c r="F26" s="2954">
        <f>'Phụ lục số 4'!F26</f>
        <v>0</v>
      </c>
      <c r="G26" s="2954">
        <f>'Phụ lục số 4'!G26</f>
        <v>0</v>
      </c>
      <c r="H26" s="2954">
        <f>'Phụ lục số 4'!H26</f>
        <v>0</v>
      </c>
      <c r="I26" s="2954"/>
      <c r="J26" s="2954">
        <f t="shared" si="7"/>
        <v>96879</v>
      </c>
      <c r="K26" s="2954">
        <f>'Phụ lục số 4'!K26</f>
        <v>57615</v>
      </c>
      <c r="L26" s="2954">
        <f>'Phụ lục số 4'!L26</f>
        <v>29005</v>
      </c>
      <c r="M26" s="2954">
        <f>'Phụ lục số 4'!M26</f>
        <v>0</v>
      </c>
      <c r="N26" s="2954">
        <f>'Phụ lục số 4'!N26</f>
        <v>85</v>
      </c>
      <c r="O26" s="2954">
        <f>'Phụ lục số 4'!O26</f>
        <v>0</v>
      </c>
      <c r="P26" s="2954">
        <f>'Phụ lục số 4'!P26</f>
        <v>0</v>
      </c>
      <c r="Q26" s="2954">
        <f>'Phụ lục số 4'!Q26</f>
        <v>0</v>
      </c>
      <c r="R26" s="2954">
        <f>'Phụ lục số 4'!R26</f>
        <v>0</v>
      </c>
      <c r="S26" s="2954">
        <f>'Phụ lục số 4'!S26</f>
        <v>0</v>
      </c>
      <c r="T26" s="2954">
        <f>'Phụ lục số 4'!T26</f>
        <v>10174</v>
      </c>
      <c r="U26" s="2954">
        <f>'Phụ lục số 4'!U26</f>
        <v>0</v>
      </c>
      <c r="V26" s="2954">
        <f>'Phụ lục số 4'!V26</f>
        <v>0</v>
      </c>
      <c r="W26" s="2954">
        <f>'Phụ lục số 4'!W26</f>
        <v>0</v>
      </c>
      <c r="X26" s="2954">
        <f>'Phụ lục số 4'!X26</f>
        <v>0</v>
      </c>
      <c r="Y26" s="2954">
        <f>'Phụ lục số 4'!Y26</f>
        <v>0</v>
      </c>
      <c r="Z26" s="2954">
        <f>'Phụ lục số 4'!Z26</f>
        <v>0</v>
      </c>
      <c r="AA26" s="2954">
        <f>'Phụ lục số 4'!AA26</f>
        <v>0</v>
      </c>
      <c r="AB26" s="2954">
        <f t="shared" si="8"/>
        <v>0</v>
      </c>
      <c r="AC26" s="2954">
        <f>'Phụ lục số 4'!AC26</f>
        <v>0</v>
      </c>
      <c r="AD26" s="3142">
        <f>'Phụ lục số 4'!AD26</f>
        <v>0</v>
      </c>
      <c r="AE26" s="3153">
        <f>'Phụ lục số 4'!AE26</f>
        <v>0</v>
      </c>
    </row>
    <row r="27" spans="1:31" s="154" customFormat="1">
      <c r="A27" s="2110">
        <v>16</v>
      </c>
      <c r="B27" s="2787" t="str">
        <f>'Phụ lục số 4'!B27</f>
        <v>Sở Văn hóa Thể thao và Du lịch</v>
      </c>
      <c r="C27" s="2954">
        <f t="shared" si="5"/>
        <v>141585</v>
      </c>
      <c r="D27" s="2954">
        <f t="shared" si="6"/>
        <v>0</v>
      </c>
      <c r="E27" s="2954">
        <f>'Phụ lục số 4'!E27</f>
        <v>0</v>
      </c>
      <c r="F27" s="2954">
        <f>'Phụ lục số 4'!F27</f>
        <v>0</v>
      </c>
      <c r="G27" s="2954">
        <f>'Phụ lục số 4'!G27</f>
        <v>0</v>
      </c>
      <c r="H27" s="2954">
        <f>'Phụ lục số 4'!H27</f>
        <v>0</v>
      </c>
      <c r="I27" s="2954"/>
      <c r="J27" s="2954">
        <f t="shared" si="7"/>
        <v>141585</v>
      </c>
      <c r="K27" s="2954">
        <f>'Phụ lục số 4'!K27</f>
        <v>150</v>
      </c>
      <c r="L27" s="2954">
        <f>'Phụ lục số 4'!L27</f>
        <v>0</v>
      </c>
      <c r="M27" s="2954">
        <f>'Phụ lục số 4'!M27</f>
        <v>0</v>
      </c>
      <c r="N27" s="2954">
        <f>'Phụ lục số 4'!N27</f>
        <v>66856</v>
      </c>
      <c r="O27" s="2954">
        <f>'Phụ lục số 4'!O27</f>
        <v>0</v>
      </c>
      <c r="P27" s="2954">
        <f>'Phụ lục số 4'!P27</f>
        <v>43694</v>
      </c>
      <c r="Q27" s="2954">
        <f>'Phụ lục số 4'!Q27</f>
        <v>0</v>
      </c>
      <c r="R27" s="2954">
        <f>'Phụ lục số 4'!R27</f>
        <v>22202</v>
      </c>
      <c r="S27" s="2954">
        <f>'Phụ lục số 4'!S27</f>
        <v>0</v>
      </c>
      <c r="T27" s="2954">
        <f>'Phụ lục số 4'!T27</f>
        <v>8683</v>
      </c>
      <c r="U27" s="2954">
        <f>'Phụ lục số 4'!U27</f>
        <v>0</v>
      </c>
      <c r="V27" s="2954">
        <f>'Phụ lục số 4'!V27</f>
        <v>0</v>
      </c>
      <c r="W27" s="2954">
        <f>'Phụ lục số 4'!W27</f>
        <v>0</v>
      </c>
      <c r="X27" s="2954">
        <f>'Phụ lục số 4'!X27</f>
        <v>0</v>
      </c>
      <c r="Y27" s="2954">
        <f>'Phụ lục số 4'!Y27</f>
        <v>0</v>
      </c>
      <c r="Z27" s="2954">
        <f>'Phụ lục số 4'!Z27</f>
        <v>0</v>
      </c>
      <c r="AA27" s="2954">
        <f>'Phụ lục số 4'!AA27</f>
        <v>0</v>
      </c>
      <c r="AB27" s="2954">
        <f t="shared" si="8"/>
        <v>0</v>
      </c>
      <c r="AC27" s="2954">
        <f>'Phụ lục số 4'!AC27</f>
        <v>0</v>
      </c>
      <c r="AD27" s="3142">
        <f>'Phụ lục số 4'!AD27</f>
        <v>0</v>
      </c>
      <c r="AE27" s="3153">
        <f>'Phụ lục số 4'!AE27</f>
        <v>0</v>
      </c>
    </row>
    <row r="28" spans="1:31" s="154" customFormat="1">
      <c r="A28" s="2110">
        <v>17</v>
      </c>
      <c r="B28" s="2787" t="str">
        <f>'Phụ lục số 4'!B28</f>
        <v>Sở Thông tin và Truyền thông</v>
      </c>
      <c r="C28" s="2954">
        <f t="shared" si="5"/>
        <v>51460</v>
      </c>
      <c r="D28" s="2954">
        <f t="shared" si="6"/>
        <v>0</v>
      </c>
      <c r="E28" s="2954">
        <f>'Phụ lục số 4'!E28</f>
        <v>0</v>
      </c>
      <c r="F28" s="2954">
        <f>'Phụ lục số 4'!F28</f>
        <v>0</v>
      </c>
      <c r="G28" s="2954">
        <f>'Phụ lục số 4'!G28</f>
        <v>0</v>
      </c>
      <c r="H28" s="2954">
        <f>'Phụ lục số 4'!H28</f>
        <v>0</v>
      </c>
      <c r="I28" s="2954"/>
      <c r="J28" s="2954">
        <f t="shared" si="7"/>
        <v>51460</v>
      </c>
      <c r="K28" s="2954">
        <f>'Phụ lục số 4'!K28</f>
        <v>20950</v>
      </c>
      <c r="L28" s="2954">
        <f>'Phụ lục số 4'!L28</f>
        <v>0</v>
      </c>
      <c r="M28" s="2954">
        <f>'Phụ lục số 4'!M28</f>
        <v>0</v>
      </c>
      <c r="N28" s="2954">
        <f>'Phụ lục số 4'!N28</f>
        <v>762</v>
      </c>
      <c r="O28" s="2954">
        <f>'Phụ lục số 4'!O28</f>
        <v>0</v>
      </c>
      <c r="P28" s="2954">
        <f>'Phụ lục số 4'!P28</f>
        <v>0</v>
      </c>
      <c r="Q28" s="2954">
        <f>'Phụ lục số 4'!Q28</f>
        <v>15690</v>
      </c>
      <c r="R28" s="2954">
        <f>'Phụ lục số 4'!R28</f>
        <v>0</v>
      </c>
      <c r="S28" s="2954">
        <f>'Phụ lục số 4'!S28</f>
        <v>0</v>
      </c>
      <c r="T28" s="2954">
        <f>'Phụ lục số 4'!T28</f>
        <v>14058</v>
      </c>
      <c r="U28" s="2954">
        <f>'Phụ lục số 4'!U28</f>
        <v>0</v>
      </c>
      <c r="V28" s="2954">
        <f>'Phụ lục số 4'!V28</f>
        <v>0</v>
      </c>
      <c r="W28" s="2954">
        <f>'Phụ lục số 4'!W28</f>
        <v>0</v>
      </c>
      <c r="X28" s="2954">
        <f>'Phụ lục số 4'!X28</f>
        <v>0</v>
      </c>
      <c r="Y28" s="2954">
        <f>'Phụ lục số 4'!Y28</f>
        <v>0</v>
      </c>
      <c r="Z28" s="2954">
        <f>'Phụ lục số 4'!Z28</f>
        <v>0</v>
      </c>
      <c r="AA28" s="2954">
        <f>'Phụ lục số 4'!AA28</f>
        <v>0</v>
      </c>
      <c r="AB28" s="2954">
        <f t="shared" si="8"/>
        <v>0</v>
      </c>
      <c r="AC28" s="2954">
        <f>'Phụ lục số 4'!AC28</f>
        <v>0</v>
      </c>
      <c r="AD28" s="3142">
        <f>'Phụ lục số 4'!AD28</f>
        <v>0</v>
      </c>
      <c r="AE28" s="3153">
        <f>'Phụ lục số 4'!AE28</f>
        <v>0</v>
      </c>
    </row>
    <row r="29" spans="1:31" s="154" customFormat="1">
      <c r="A29" s="2110">
        <v>18</v>
      </c>
      <c r="B29" s="2787" t="str">
        <f>'Phụ lục số 4'!B29</f>
        <v>Sở Giao thông và Vận tải</v>
      </c>
      <c r="C29" s="2954">
        <f t="shared" si="5"/>
        <v>97291</v>
      </c>
      <c r="D29" s="2954">
        <f t="shared" si="6"/>
        <v>0</v>
      </c>
      <c r="E29" s="2954">
        <f>'Phụ lục số 4'!E29</f>
        <v>0</v>
      </c>
      <c r="F29" s="2954">
        <f>'Phụ lục số 4'!F29</f>
        <v>0</v>
      </c>
      <c r="G29" s="2954">
        <f>'Phụ lục số 4'!G29</f>
        <v>0</v>
      </c>
      <c r="H29" s="2954">
        <f>'Phụ lục số 4'!H29</f>
        <v>0</v>
      </c>
      <c r="I29" s="2954"/>
      <c r="J29" s="2954">
        <f t="shared" si="7"/>
        <v>46033</v>
      </c>
      <c r="K29" s="2954">
        <f>'Phụ lục số 4'!K29</f>
        <v>30582</v>
      </c>
      <c r="L29" s="2954">
        <f>'Phụ lục số 4'!L29</f>
        <v>0</v>
      </c>
      <c r="M29" s="2954">
        <f>'Phụ lục số 4'!M29</f>
        <v>0</v>
      </c>
      <c r="N29" s="2954">
        <f>'Phụ lục số 4'!N29</f>
        <v>149</v>
      </c>
      <c r="O29" s="2954">
        <f>'Phụ lục số 4'!O29</f>
        <v>0</v>
      </c>
      <c r="P29" s="2954">
        <f>'Phụ lục số 4'!P29</f>
        <v>0</v>
      </c>
      <c r="Q29" s="2954">
        <f>'Phụ lục số 4'!Q29</f>
        <v>0</v>
      </c>
      <c r="R29" s="2954">
        <f>'Phụ lục số 4'!R29</f>
        <v>0</v>
      </c>
      <c r="S29" s="2954">
        <f>'Phụ lục số 4'!S29</f>
        <v>0</v>
      </c>
      <c r="T29" s="2954">
        <f>'Phụ lục số 4'!T29</f>
        <v>15302</v>
      </c>
      <c r="U29" s="2954">
        <f>'Phụ lục số 4'!U29</f>
        <v>0</v>
      </c>
      <c r="V29" s="2954">
        <f>'Phụ lục số 4'!V29</f>
        <v>0</v>
      </c>
      <c r="W29" s="2954">
        <f>'Phụ lục số 4'!W29</f>
        <v>0</v>
      </c>
      <c r="X29" s="2954">
        <f>'Phụ lục số 4'!X29</f>
        <v>0</v>
      </c>
      <c r="Y29" s="2954">
        <f>'Phụ lục số 4'!Y29</f>
        <v>0</v>
      </c>
      <c r="Z29" s="2954">
        <f>'Phụ lục số 4'!Z29</f>
        <v>0</v>
      </c>
      <c r="AA29" s="2954">
        <f>'Phụ lục số 4'!AA29</f>
        <v>0</v>
      </c>
      <c r="AB29" s="2954">
        <f t="shared" si="8"/>
        <v>51258</v>
      </c>
      <c r="AC29" s="2954">
        <f>'Phụ lục số 4'!AC29</f>
        <v>0</v>
      </c>
      <c r="AD29" s="3142">
        <f>'Phụ lục số 4'!AD29</f>
        <v>51258</v>
      </c>
      <c r="AE29" s="3153">
        <f>'Phụ lục số 4'!AE29</f>
        <v>0</v>
      </c>
    </row>
    <row r="30" spans="1:31" s="154" customFormat="1">
      <c r="A30" s="2110">
        <v>19</v>
      </c>
      <c r="B30" s="2787" t="str">
        <f>'Phụ lục số 4'!B30</f>
        <v>Sở Lao động Thương binh và Xã hội</v>
      </c>
      <c r="C30" s="2954">
        <f t="shared" si="5"/>
        <v>189048</v>
      </c>
      <c r="D30" s="2954">
        <f t="shared" si="6"/>
        <v>0</v>
      </c>
      <c r="E30" s="2954">
        <f>'Phụ lục số 4'!E30</f>
        <v>0</v>
      </c>
      <c r="F30" s="2954">
        <f>'Phụ lục số 4'!F30</f>
        <v>0</v>
      </c>
      <c r="G30" s="2954">
        <f>'Phụ lục số 4'!G30</f>
        <v>0</v>
      </c>
      <c r="H30" s="2954">
        <f>'Phụ lục số 4'!H30</f>
        <v>0</v>
      </c>
      <c r="I30" s="2954"/>
      <c r="J30" s="2954">
        <f t="shared" si="7"/>
        <v>123393</v>
      </c>
      <c r="K30" s="2954">
        <f>'Phụ lục số 4'!K30</f>
        <v>0</v>
      </c>
      <c r="L30" s="2954">
        <f>'Phụ lục số 4'!L30</f>
        <v>480</v>
      </c>
      <c r="M30" s="2954">
        <f>'Phụ lục số 4'!M30</f>
        <v>0</v>
      </c>
      <c r="N30" s="2954">
        <f>'Phụ lục số 4'!N30</f>
        <v>60000</v>
      </c>
      <c r="O30" s="2954">
        <f>'Phụ lục số 4'!O30</f>
        <v>0</v>
      </c>
      <c r="P30" s="2954">
        <f>'Phụ lục số 4'!P30</f>
        <v>0</v>
      </c>
      <c r="Q30" s="2954">
        <f>'Phụ lục số 4'!Q30</f>
        <v>0</v>
      </c>
      <c r="R30" s="2954">
        <f>'Phụ lục số 4'!R30</f>
        <v>0</v>
      </c>
      <c r="S30" s="2954">
        <f>'Phụ lục số 4'!S30</f>
        <v>54000</v>
      </c>
      <c r="T30" s="2954">
        <f>'Phụ lục số 4'!T30</f>
        <v>8913</v>
      </c>
      <c r="U30" s="2954">
        <f>'Phụ lục số 4'!U30</f>
        <v>0</v>
      </c>
      <c r="V30" s="2954">
        <f>'Phụ lục số 4'!V30</f>
        <v>0</v>
      </c>
      <c r="W30" s="2954">
        <f>'Phụ lục số 4'!W30</f>
        <v>0</v>
      </c>
      <c r="X30" s="2954">
        <f>'Phụ lục số 4'!X30</f>
        <v>0</v>
      </c>
      <c r="Y30" s="2954">
        <f>'Phụ lục số 4'!Y30</f>
        <v>0</v>
      </c>
      <c r="Z30" s="2954">
        <f>'Phụ lục số 4'!Z30</f>
        <v>0</v>
      </c>
      <c r="AA30" s="2954">
        <f>'Phụ lục số 4'!AA30</f>
        <v>0</v>
      </c>
      <c r="AB30" s="2954">
        <f t="shared" si="8"/>
        <v>65655</v>
      </c>
      <c r="AC30" s="2954">
        <f>'Phụ lục số 4'!AC30</f>
        <v>0</v>
      </c>
      <c r="AD30" s="3142">
        <f>'Phụ lục số 4'!AD30</f>
        <v>65655</v>
      </c>
      <c r="AE30" s="3153">
        <f>'Phụ lục số 4'!AE30</f>
        <v>0</v>
      </c>
    </row>
    <row r="31" spans="1:31" s="154" customFormat="1">
      <c r="A31" s="2110">
        <v>20</v>
      </c>
      <c r="B31" s="2787" t="str">
        <f>'Phụ lục số 4'!B31</f>
        <v>Thanh tra Tỉnh</v>
      </c>
      <c r="C31" s="2954">
        <f t="shared" si="5"/>
        <v>12698</v>
      </c>
      <c r="D31" s="2954">
        <f t="shared" si="6"/>
        <v>0</v>
      </c>
      <c r="E31" s="2954">
        <f>'Phụ lục số 4'!E31</f>
        <v>0</v>
      </c>
      <c r="F31" s="2954">
        <f>'Phụ lục số 4'!F31</f>
        <v>0</v>
      </c>
      <c r="G31" s="2954">
        <f>'Phụ lục số 4'!G31</f>
        <v>0</v>
      </c>
      <c r="H31" s="2954">
        <f>'Phụ lục số 4'!H31</f>
        <v>0</v>
      </c>
      <c r="I31" s="2954"/>
      <c r="J31" s="2954">
        <f t="shared" si="7"/>
        <v>12698</v>
      </c>
      <c r="K31" s="2954">
        <f>'Phụ lục số 4'!K31</f>
        <v>0</v>
      </c>
      <c r="L31" s="2954">
        <f>'Phụ lục số 4'!L31</f>
        <v>0</v>
      </c>
      <c r="M31" s="2954">
        <f>'Phụ lục số 4'!M31</f>
        <v>0</v>
      </c>
      <c r="N31" s="2954">
        <f>'Phụ lục số 4'!N31</f>
        <v>164</v>
      </c>
      <c r="O31" s="2954">
        <f>'Phụ lục số 4'!O31</f>
        <v>0</v>
      </c>
      <c r="P31" s="2954">
        <f>'Phụ lục số 4'!P31</f>
        <v>0</v>
      </c>
      <c r="Q31" s="2954">
        <f>'Phụ lục số 4'!Q31</f>
        <v>0</v>
      </c>
      <c r="R31" s="2954">
        <f>'Phụ lục số 4'!R31</f>
        <v>0</v>
      </c>
      <c r="S31" s="2954">
        <f>'Phụ lục số 4'!S31</f>
        <v>0</v>
      </c>
      <c r="T31" s="2954">
        <f>'Phụ lục số 4'!T31</f>
        <v>12534</v>
      </c>
      <c r="U31" s="2954">
        <f>'Phụ lục số 4'!U31</f>
        <v>0</v>
      </c>
      <c r="V31" s="2954">
        <f>'Phụ lục số 4'!V31</f>
        <v>0</v>
      </c>
      <c r="W31" s="2954">
        <f>'Phụ lục số 4'!W31</f>
        <v>0</v>
      </c>
      <c r="X31" s="2954">
        <f>'Phụ lục số 4'!X31</f>
        <v>0</v>
      </c>
      <c r="Y31" s="2954">
        <f>'Phụ lục số 4'!Y31</f>
        <v>0</v>
      </c>
      <c r="Z31" s="2954">
        <f>'Phụ lục số 4'!Z31</f>
        <v>0</v>
      </c>
      <c r="AA31" s="2954">
        <f>'Phụ lục số 4'!AA31</f>
        <v>0</v>
      </c>
      <c r="AB31" s="2954">
        <f t="shared" si="8"/>
        <v>0</v>
      </c>
      <c r="AC31" s="2954">
        <f>'Phụ lục số 4'!AC31</f>
        <v>0</v>
      </c>
      <c r="AD31" s="3142">
        <f>'Phụ lục số 4'!AD31</f>
        <v>0</v>
      </c>
      <c r="AE31" s="3153">
        <f>'Phụ lục số 4'!AE31</f>
        <v>0</v>
      </c>
    </row>
    <row r="32" spans="1:31" s="154" customFormat="1">
      <c r="A32" s="2110">
        <v>21</v>
      </c>
      <c r="B32" s="2787" t="str">
        <f>'Phụ lục số 4'!B32</f>
        <v>Trường Chính trị</v>
      </c>
      <c r="C32" s="2954">
        <f t="shared" si="5"/>
        <v>23281</v>
      </c>
      <c r="D32" s="2954">
        <f t="shared" si="6"/>
        <v>0</v>
      </c>
      <c r="E32" s="2954">
        <f>'Phụ lục số 4'!E32</f>
        <v>0</v>
      </c>
      <c r="F32" s="2954">
        <f>'Phụ lục số 4'!F32</f>
        <v>0</v>
      </c>
      <c r="G32" s="2954">
        <f>'Phụ lục số 4'!G32</f>
        <v>0</v>
      </c>
      <c r="H32" s="2954">
        <f>'Phụ lục số 4'!H32</f>
        <v>0</v>
      </c>
      <c r="I32" s="2954"/>
      <c r="J32" s="2954">
        <f t="shared" si="7"/>
        <v>23281</v>
      </c>
      <c r="K32" s="2954">
        <f>'Phụ lục số 4'!K32</f>
        <v>0</v>
      </c>
      <c r="L32" s="2954">
        <f>'Phụ lục số 4'!L32</f>
        <v>0</v>
      </c>
      <c r="M32" s="2954">
        <f>'Phụ lục số 4'!M32</f>
        <v>0</v>
      </c>
      <c r="N32" s="2954">
        <f>'Phụ lục số 4'!N32</f>
        <v>23281</v>
      </c>
      <c r="O32" s="2954">
        <f>'Phụ lục số 4'!O32</f>
        <v>0</v>
      </c>
      <c r="P32" s="2954">
        <f>'Phụ lục số 4'!P32</f>
        <v>0</v>
      </c>
      <c r="Q32" s="2954">
        <f>'Phụ lục số 4'!Q32</f>
        <v>0</v>
      </c>
      <c r="R32" s="2954">
        <f>'Phụ lục số 4'!R32</f>
        <v>0</v>
      </c>
      <c r="S32" s="2954">
        <f>'Phụ lục số 4'!S32</f>
        <v>0</v>
      </c>
      <c r="T32" s="2954">
        <f>'Phụ lục số 4'!T32</f>
        <v>0</v>
      </c>
      <c r="U32" s="2954">
        <f>'Phụ lục số 4'!U32</f>
        <v>0</v>
      </c>
      <c r="V32" s="2954">
        <f>'Phụ lục số 4'!V32</f>
        <v>0</v>
      </c>
      <c r="W32" s="2954">
        <f>'Phụ lục số 4'!W32</f>
        <v>0</v>
      </c>
      <c r="X32" s="2954">
        <f>'Phụ lục số 4'!X32</f>
        <v>0</v>
      </c>
      <c r="Y32" s="2954">
        <f>'Phụ lục số 4'!Y32</f>
        <v>0</v>
      </c>
      <c r="Z32" s="2954">
        <f>'Phụ lục số 4'!Z32</f>
        <v>0</v>
      </c>
      <c r="AA32" s="2954">
        <f>'Phụ lục số 4'!AA32</f>
        <v>0</v>
      </c>
      <c r="AB32" s="2954">
        <f t="shared" si="8"/>
        <v>0</v>
      </c>
      <c r="AC32" s="2954">
        <f>'Phụ lục số 4'!AC32</f>
        <v>0</v>
      </c>
      <c r="AD32" s="3142">
        <f>'Phụ lục số 4'!AD32</f>
        <v>0</v>
      </c>
      <c r="AE32" s="3153">
        <f>'Phụ lục số 4'!AE32</f>
        <v>0</v>
      </c>
    </row>
    <row r="33" spans="1:31" s="154" customFormat="1">
      <c r="A33" s="2110">
        <v>22</v>
      </c>
      <c r="B33" s="2787" t="str">
        <f>'Phụ lục số 4'!B33</f>
        <v>Trường Cao đẳng Cộng đồng</v>
      </c>
      <c r="C33" s="2954">
        <f t="shared" si="5"/>
        <v>61825</v>
      </c>
      <c r="D33" s="2954">
        <f t="shared" si="6"/>
        <v>0</v>
      </c>
      <c r="E33" s="2954">
        <f>'Phụ lục số 4'!E33</f>
        <v>0</v>
      </c>
      <c r="F33" s="2954">
        <f>'Phụ lục số 4'!F33</f>
        <v>0</v>
      </c>
      <c r="G33" s="2954">
        <f>'Phụ lục số 4'!G33</f>
        <v>0</v>
      </c>
      <c r="H33" s="2954">
        <f>'Phụ lục số 4'!H33</f>
        <v>0</v>
      </c>
      <c r="I33" s="2954"/>
      <c r="J33" s="2954">
        <f t="shared" si="7"/>
        <v>61825</v>
      </c>
      <c r="K33" s="2954">
        <f>'Phụ lục số 4'!K33</f>
        <v>0</v>
      </c>
      <c r="L33" s="2954">
        <f>'Phụ lục số 4'!L33</f>
        <v>0</v>
      </c>
      <c r="M33" s="2954">
        <f>'Phụ lục số 4'!M33</f>
        <v>0</v>
      </c>
      <c r="N33" s="2954">
        <f>'Phụ lục số 4'!N33</f>
        <v>61825</v>
      </c>
      <c r="O33" s="2954">
        <f>'Phụ lục số 4'!O33</f>
        <v>0</v>
      </c>
      <c r="P33" s="2954">
        <f>'Phụ lục số 4'!P33</f>
        <v>0</v>
      </c>
      <c r="Q33" s="2954">
        <f>'Phụ lục số 4'!Q33</f>
        <v>0</v>
      </c>
      <c r="R33" s="2954">
        <f>'Phụ lục số 4'!R33</f>
        <v>0</v>
      </c>
      <c r="S33" s="2954">
        <f>'Phụ lục số 4'!S33</f>
        <v>0</v>
      </c>
      <c r="T33" s="2954">
        <f>'Phụ lục số 4'!T33</f>
        <v>0</v>
      </c>
      <c r="U33" s="2954">
        <f>'Phụ lục số 4'!U33</f>
        <v>0</v>
      </c>
      <c r="V33" s="2954">
        <f>'Phụ lục số 4'!V33</f>
        <v>0</v>
      </c>
      <c r="W33" s="2954">
        <f>'Phụ lục số 4'!W33</f>
        <v>0</v>
      </c>
      <c r="X33" s="2954">
        <f>'Phụ lục số 4'!X33</f>
        <v>0</v>
      </c>
      <c r="Y33" s="2954">
        <f>'Phụ lục số 4'!Y33</f>
        <v>0</v>
      </c>
      <c r="Z33" s="2954">
        <f>'Phụ lục số 4'!Z33</f>
        <v>0</v>
      </c>
      <c r="AA33" s="2954">
        <f>'Phụ lục số 4'!AA33</f>
        <v>0</v>
      </c>
      <c r="AB33" s="2954">
        <f t="shared" si="8"/>
        <v>0</v>
      </c>
      <c r="AC33" s="2954">
        <f>'Phụ lục số 4'!AC33</f>
        <v>0</v>
      </c>
      <c r="AD33" s="3142">
        <f>'Phụ lục số 4'!AD33</f>
        <v>0</v>
      </c>
      <c r="AE33" s="3153">
        <f>'Phụ lục số 4'!AE33</f>
        <v>0</v>
      </c>
    </row>
    <row r="34" spans="1:31" s="154" customFormat="1">
      <c r="A34" s="2110">
        <v>23</v>
      </c>
      <c r="B34" s="2787" t="str">
        <f>'Phụ lục số 4'!B34</f>
        <v>Trường Cao đẳng Y tế</v>
      </c>
      <c r="C34" s="2954">
        <f t="shared" si="5"/>
        <v>15870</v>
      </c>
      <c r="D34" s="2954">
        <f t="shared" si="6"/>
        <v>0</v>
      </c>
      <c r="E34" s="2954">
        <f>'Phụ lục số 4'!E34</f>
        <v>0</v>
      </c>
      <c r="F34" s="2954">
        <f>'Phụ lục số 4'!F34</f>
        <v>0</v>
      </c>
      <c r="G34" s="2954">
        <f>'Phụ lục số 4'!G34</f>
        <v>0</v>
      </c>
      <c r="H34" s="2954">
        <f>'Phụ lục số 4'!H34</f>
        <v>0</v>
      </c>
      <c r="I34" s="2954"/>
      <c r="J34" s="2954">
        <f t="shared" si="7"/>
        <v>15870</v>
      </c>
      <c r="K34" s="2954">
        <f>'Phụ lục số 4'!K34</f>
        <v>0</v>
      </c>
      <c r="L34" s="2954">
        <f>'Phụ lục số 4'!L34</f>
        <v>0</v>
      </c>
      <c r="M34" s="2954">
        <f>'Phụ lục số 4'!M34</f>
        <v>0</v>
      </c>
      <c r="N34" s="2954">
        <f>'Phụ lục số 4'!N34</f>
        <v>15870</v>
      </c>
      <c r="O34" s="2954">
        <f>'Phụ lục số 4'!O34</f>
        <v>0</v>
      </c>
      <c r="P34" s="2954">
        <f>'Phụ lục số 4'!P34</f>
        <v>0</v>
      </c>
      <c r="Q34" s="2954">
        <f>'Phụ lục số 4'!Q34</f>
        <v>0</v>
      </c>
      <c r="R34" s="2954">
        <f>'Phụ lục số 4'!R34</f>
        <v>0</v>
      </c>
      <c r="S34" s="2954">
        <f>'Phụ lục số 4'!S34</f>
        <v>0</v>
      </c>
      <c r="T34" s="2954">
        <f>'Phụ lục số 4'!T34</f>
        <v>0</v>
      </c>
      <c r="U34" s="2954">
        <f>'Phụ lục số 4'!U34</f>
        <v>0</v>
      </c>
      <c r="V34" s="2954">
        <f>'Phụ lục số 4'!V34</f>
        <v>0</v>
      </c>
      <c r="W34" s="2954">
        <f>'Phụ lục số 4'!W34</f>
        <v>0</v>
      </c>
      <c r="X34" s="2954">
        <f>'Phụ lục số 4'!X34</f>
        <v>0</v>
      </c>
      <c r="Y34" s="2954">
        <f>'Phụ lục số 4'!Y34</f>
        <v>0</v>
      </c>
      <c r="Z34" s="2954">
        <f>'Phụ lục số 4'!Z34</f>
        <v>0</v>
      </c>
      <c r="AA34" s="2954">
        <f>'Phụ lục số 4'!AA34</f>
        <v>0</v>
      </c>
      <c r="AB34" s="2954">
        <f t="shared" si="8"/>
        <v>0</v>
      </c>
      <c r="AC34" s="2954">
        <f>'Phụ lục số 4'!AC34</f>
        <v>0</v>
      </c>
      <c r="AD34" s="3142">
        <f>'Phụ lục số 4'!AD34</f>
        <v>0</v>
      </c>
      <c r="AE34" s="3153">
        <f>'Phụ lục số 4'!AE34</f>
        <v>0</v>
      </c>
    </row>
    <row r="35" spans="1:31" s="154" customFormat="1">
      <c r="A35" s="2110">
        <v>24</v>
      </c>
      <c r="B35" s="2787" t="str">
        <f>'Phụ lục số 4'!B35</f>
        <v>Ban Quản lý Khu Kinh tế</v>
      </c>
      <c r="C35" s="2954">
        <f t="shared" si="5"/>
        <v>5008</v>
      </c>
      <c r="D35" s="2954">
        <f t="shared" si="6"/>
        <v>0</v>
      </c>
      <c r="E35" s="2954">
        <f>'Phụ lục số 4'!E35</f>
        <v>0</v>
      </c>
      <c r="F35" s="2954">
        <f>'Phụ lục số 4'!F35</f>
        <v>0</v>
      </c>
      <c r="G35" s="2954">
        <f>'Phụ lục số 4'!G35</f>
        <v>0</v>
      </c>
      <c r="H35" s="2954">
        <f>'Phụ lục số 4'!H35</f>
        <v>0</v>
      </c>
      <c r="I35" s="2954"/>
      <c r="J35" s="2954">
        <f t="shared" si="7"/>
        <v>5008</v>
      </c>
      <c r="K35" s="2954">
        <f>'Phụ lục số 4'!K35</f>
        <v>0</v>
      </c>
      <c r="L35" s="2954">
        <f>'Phụ lục số 4'!L35</f>
        <v>88</v>
      </c>
      <c r="M35" s="2954">
        <f>'Phụ lục số 4'!M35</f>
        <v>0</v>
      </c>
      <c r="N35" s="2954">
        <f>'Phụ lục số 4'!N35</f>
        <v>191</v>
      </c>
      <c r="O35" s="2954">
        <f>'Phụ lục số 4'!O35</f>
        <v>0</v>
      </c>
      <c r="P35" s="2954">
        <f>'Phụ lục số 4'!P35</f>
        <v>0</v>
      </c>
      <c r="Q35" s="2954">
        <f>'Phụ lục số 4'!Q35</f>
        <v>0</v>
      </c>
      <c r="R35" s="2954">
        <f>'Phụ lục số 4'!R35</f>
        <v>0</v>
      </c>
      <c r="S35" s="2954">
        <f>'Phụ lục số 4'!S35</f>
        <v>0</v>
      </c>
      <c r="T35" s="2954">
        <f>'Phụ lục số 4'!T35</f>
        <v>4729</v>
      </c>
      <c r="U35" s="2954">
        <f>'Phụ lục số 4'!U35</f>
        <v>0</v>
      </c>
      <c r="V35" s="2954">
        <f>'Phụ lục số 4'!V35</f>
        <v>0</v>
      </c>
      <c r="W35" s="2954">
        <f>'Phụ lục số 4'!W35</f>
        <v>0</v>
      </c>
      <c r="X35" s="2954">
        <f>'Phụ lục số 4'!X35</f>
        <v>0</v>
      </c>
      <c r="Y35" s="2954">
        <f>'Phụ lục số 4'!Y35</f>
        <v>0</v>
      </c>
      <c r="Z35" s="2954">
        <f>'Phụ lục số 4'!Z35</f>
        <v>0</v>
      </c>
      <c r="AA35" s="2954">
        <f>'Phụ lục số 4'!AA35</f>
        <v>0</v>
      </c>
      <c r="AB35" s="2954">
        <f t="shared" si="8"/>
        <v>0</v>
      </c>
      <c r="AC35" s="2954">
        <f>'Phụ lục số 4'!AC35</f>
        <v>0</v>
      </c>
      <c r="AD35" s="3142">
        <f>'Phụ lục số 4'!AD35</f>
        <v>0</v>
      </c>
      <c r="AE35" s="3153">
        <f>'Phụ lục số 4'!AE35</f>
        <v>0</v>
      </c>
    </row>
    <row r="36" spans="1:31" s="154" customFormat="1">
      <c r="A36" s="2110">
        <v>25</v>
      </c>
      <c r="B36" s="2787" t="str">
        <f>'Phụ lục số 4'!B36</f>
        <v xml:space="preserve">Ban An toàn Giao thông </v>
      </c>
      <c r="C36" s="2954">
        <f t="shared" si="5"/>
        <v>9306</v>
      </c>
      <c r="D36" s="2954">
        <f t="shared" si="6"/>
        <v>0</v>
      </c>
      <c r="E36" s="2954">
        <f>'Phụ lục số 4'!E36</f>
        <v>0</v>
      </c>
      <c r="F36" s="2954">
        <f>'Phụ lục số 4'!F36</f>
        <v>0</v>
      </c>
      <c r="G36" s="2954">
        <f>'Phụ lục số 4'!G36</f>
        <v>0</v>
      </c>
      <c r="H36" s="2954">
        <f>'Phụ lục số 4'!H36</f>
        <v>0</v>
      </c>
      <c r="I36" s="2954"/>
      <c r="J36" s="2954">
        <f t="shared" si="7"/>
        <v>2200</v>
      </c>
      <c r="K36" s="2954">
        <f>'Phụ lục số 4'!K36</f>
        <v>2200</v>
      </c>
      <c r="L36" s="2954">
        <f>'Phụ lục số 4'!L36</f>
        <v>0</v>
      </c>
      <c r="M36" s="2954">
        <f>'Phụ lục số 4'!M36</f>
        <v>0</v>
      </c>
      <c r="N36" s="2954">
        <f>'Phụ lục số 4'!N36</f>
        <v>0</v>
      </c>
      <c r="O36" s="2954">
        <f>'Phụ lục số 4'!O36</f>
        <v>0</v>
      </c>
      <c r="P36" s="2954">
        <f>'Phụ lục số 4'!P36</f>
        <v>0</v>
      </c>
      <c r="Q36" s="2954">
        <f>'Phụ lục số 4'!Q36</f>
        <v>0</v>
      </c>
      <c r="R36" s="2954">
        <f>'Phụ lục số 4'!R36</f>
        <v>0</v>
      </c>
      <c r="S36" s="2954">
        <f>'Phụ lục số 4'!S36</f>
        <v>0</v>
      </c>
      <c r="T36" s="2954">
        <f>'Phụ lục số 4'!T36</f>
        <v>0</v>
      </c>
      <c r="U36" s="2954">
        <f>'Phụ lục số 4'!U36</f>
        <v>0</v>
      </c>
      <c r="V36" s="2954">
        <f>'Phụ lục số 4'!V36</f>
        <v>0</v>
      </c>
      <c r="W36" s="2954">
        <f>'Phụ lục số 4'!W36</f>
        <v>0</v>
      </c>
      <c r="X36" s="2954">
        <f>'Phụ lục số 4'!X36</f>
        <v>0</v>
      </c>
      <c r="Y36" s="2954">
        <f>'Phụ lục số 4'!Y36</f>
        <v>0</v>
      </c>
      <c r="Z36" s="2954">
        <f>'Phụ lục số 4'!Z36</f>
        <v>0</v>
      </c>
      <c r="AA36" s="2954">
        <f>'Phụ lục số 4'!AA36</f>
        <v>0</v>
      </c>
      <c r="AB36" s="2954">
        <f t="shared" si="8"/>
        <v>7106</v>
      </c>
      <c r="AC36" s="2954">
        <f>'Phụ lục số 4'!AC36</f>
        <v>0</v>
      </c>
      <c r="AD36" s="3142">
        <f>'Phụ lục số 4'!AD36</f>
        <v>7106</v>
      </c>
      <c r="AE36" s="3153">
        <f>'Phụ lục số 4'!AE36</f>
        <v>0</v>
      </c>
    </row>
    <row r="37" spans="1:31" s="154" customFormat="1" ht="36">
      <c r="A37" s="2110">
        <v>26</v>
      </c>
      <c r="B37" s="2787" t="str">
        <f>'Phụ lục số 4'!B37</f>
        <v>Ban Quản lý dự án Đầu tư xây dựng Công trình nông nghiệp và Phát triển nông thôn</v>
      </c>
      <c r="C37" s="2954">
        <f t="shared" si="5"/>
        <v>90829</v>
      </c>
      <c r="D37" s="2954">
        <f t="shared" si="6"/>
        <v>0</v>
      </c>
      <c r="E37" s="2954">
        <f>'Phụ lục số 4'!E37</f>
        <v>0</v>
      </c>
      <c r="F37" s="2954">
        <f>'Phụ lục số 4'!F37</f>
        <v>0</v>
      </c>
      <c r="G37" s="2954">
        <f>'Phụ lục số 4'!G37</f>
        <v>0</v>
      </c>
      <c r="H37" s="2954">
        <f>'Phụ lục số 4'!H37</f>
        <v>0</v>
      </c>
      <c r="I37" s="2954"/>
      <c r="J37" s="2954">
        <f t="shared" si="7"/>
        <v>90829</v>
      </c>
      <c r="K37" s="2954">
        <f>'Phụ lục số 4'!K37</f>
        <v>90829</v>
      </c>
      <c r="L37" s="2954">
        <f>'Phụ lục số 4'!L37</f>
        <v>0</v>
      </c>
      <c r="M37" s="2954">
        <f>'Phụ lục số 4'!M37</f>
        <v>0</v>
      </c>
      <c r="N37" s="2954">
        <f>'Phụ lục số 4'!N37</f>
        <v>0</v>
      </c>
      <c r="O37" s="2954">
        <f>'Phụ lục số 4'!O37</f>
        <v>0</v>
      </c>
      <c r="P37" s="2954">
        <f>'Phụ lục số 4'!P37</f>
        <v>0</v>
      </c>
      <c r="Q37" s="2954">
        <f>'Phụ lục số 4'!Q37</f>
        <v>0</v>
      </c>
      <c r="R37" s="2954">
        <f>'Phụ lục số 4'!R37</f>
        <v>0</v>
      </c>
      <c r="S37" s="2954">
        <f>'Phụ lục số 4'!S37</f>
        <v>0</v>
      </c>
      <c r="T37" s="2954">
        <f>'Phụ lục số 4'!T37</f>
        <v>0</v>
      </c>
      <c r="U37" s="2954">
        <f>'Phụ lục số 4'!U37</f>
        <v>0</v>
      </c>
      <c r="V37" s="2954">
        <f>'Phụ lục số 4'!V37</f>
        <v>0</v>
      </c>
      <c r="W37" s="2954">
        <f>'Phụ lục số 4'!W37</f>
        <v>0</v>
      </c>
      <c r="X37" s="2954">
        <f>'Phụ lục số 4'!X37</f>
        <v>0</v>
      </c>
      <c r="Y37" s="2954">
        <f>'Phụ lục số 4'!Y37</f>
        <v>0</v>
      </c>
      <c r="Z37" s="2954">
        <f>'Phụ lục số 4'!Z37</f>
        <v>0</v>
      </c>
      <c r="AA37" s="2954">
        <f>'Phụ lục số 4'!AA37</f>
        <v>0</v>
      </c>
      <c r="AB37" s="2954">
        <f t="shared" si="8"/>
        <v>0</v>
      </c>
      <c r="AC37" s="2954">
        <f>'Phụ lục số 4'!AC37</f>
        <v>0</v>
      </c>
      <c r="AD37" s="3142">
        <f>'Phụ lục số 4'!AD37</f>
        <v>0</v>
      </c>
      <c r="AE37" s="3153">
        <f>'Phụ lục số 4'!AE37</f>
        <v>0</v>
      </c>
    </row>
    <row r="38" spans="1:31" s="154" customFormat="1" ht="36">
      <c r="A38" s="2110">
        <v>27</v>
      </c>
      <c r="B38" s="2787" t="str">
        <f>'Phụ lục số 4'!B38</f>
        <v>Trung tâm xúc tiến Đầu tư - Thương mại và Du lịch</v>
      </c>
      <c r="C38" s="2954">
        <f t="shared" si="5"/>
        <v>18733</v>
      </c>
      <c r="D38" s="2954">
        <f t="shared" si="6"/>
        <v>0</v>
      </c>
      <c r="E38" s="2954">
        <f>'Phụ lục số 4'!E38</f>
        <v>0</v>
      </c>
      <c r="F38" s="2954">
        <f>'Phụ lục số 4'!F38</f>
        <v>0</v>
      </c>
      <c r="G38" s="2954">
        <f>'Phụ lục số 4'!G38</f>
        <v>0</v>
      </c>
      <c r="H38" s="2954">
        <f>'Phụ lục số 4'!H38</f>
        <v>0</v>
      </c>
      <c r="I38" s="2954"/>
      <c r="J38" s="2954">
        <f t="shared" si="7"/>
        <v>18733</v>
      </c>
      <c r="K38" s="2954">
        <f>'Phụ lục số 4'!K38</f>
        <v>17233</v>
      </c>
      <c r="L38" s="2954">
        <f>'Phụ lục số 4'!L38</f>
        <v>0</v>
      </c>
      <c r="M38" s="2954">
        <f>'Phụ lục số 4'!M38</f>
        <v>0</v>
      </c>
      <c r="N38" s="2954">
        <f>'Phụ lục số 4'!N38</f>
        <v>0</v>
      </c>
      <c r="O38" s="2954">
        <f>'Phụ lục số 4'!O38</f>
        <v>0</v>
      </c>
      <c r="P38" s="2954">
        <f>'Phụ lục số 4'!P38</f>
        <v>1500</v>
      </c>
      <c r="Q38" s="2954">
        <f>'Phụ lục số 4'!Q38</f>
        <v>0</v>
      </c>
      <c r="R38" s="2954">
        <f>'Phụ lục số 4'!R38</f>
        <v>0</v>
      </c>
      <c r="S38" s="2954">
        <f>'Phụ lục số 4'!S38</f>
        <v>0</v>
      </c>
      <c r="T38" s="2954">
        <f>'Phụ lục số 4'!T38</f>
        <v>0</v>
      </c>
      <c r="U38" s="2954">
        <f>'Phụ lục số 4'!U38</f>
        <v>0</v>
      </c>
      <c r="V38" s="2954">
        <f>'Phụ lục số 4'!V38</f>
        <v>0</v>
      </c>
      <c r="W38" s="2954">
        <f>'Phụ lục số 4'!W38</f>
        <v>0</v>
      </c>
      <c r="X38" s="2954">
        <f>'Phụ lục số 4'!X38</f>
        <v>0</v>
      </c>
      <c r="Y38" s="2954">
        <f>'Phụ lục số 4'!Y38</f>
        <v>0</v>
      </c>
      <c r="Z38" s="2954">
        <f>'Phụ lục số 4'!Z38</f>
        <v>0</v>
      </c>
      <c r="AA38" s="2954">
        <f>'Phụ lục số 4'!AA38</f>
        <v>0</v>
      </c>
      <c r="AB38" s="2954">
        <f t="shared" si="8"/>
        <v>0</v>
      </c>
      <c r="AC38" s="2954">
        <f>'Phụ lục số 4'!AC38</f>
        <v>0</v>
      </c>
      <c r="AD38" s="3142">
        <f>'Phụ lục số 4'!AD38</f>
        <v>0</v>
      </c>
      <c r="AE38" s="3153">
        <f>'Phụ lục số 4'!AE38</f>
        <v>0</v>
      </c>
    </row>
    <row r="39" spans="1:31" s="154" customFormat="1">
      <c r="A39" s="2110">
        <v>28</v>
      </c>
      <c r="B39" s="2787" t="str">
        <f>'Phụ lục số 4'!B39</f>
        <v>Vườn Quốc gia Tràm chim</v>
      </c>
      <c r="C39" s="2954">
        <f t="shared" si="5"/>
        <v>27221</v>
      </c>
      <c r="D39" s="2954">
        <f t="shared" si="6"/>
        <v>0</v>
      </c>
      <c r="E39" s="2954">
        <f>'Phụ lục số 4'!E39</f>
        <v>0</v>
      </c>
      <c r="F39" s="2954">
        <f>'Phụ lục số 4'!F39</f>
        <v>0</v>
      </c>
      <c r="G39" s="2954">
        <f>'Phụ lục số 4'!G39</f>
        <v>0</v>
      </c>
      <c r="H39" s="2954">
        <f>'Phụ lục số 4'!H39</f>
        <v>0</v>
      </c>
      <c r="I39" s="2954"/>
      <c r="J39" s="2954">
        <f t="shared" si="7"/>
        <v>27221</v>
      </c>
      <c r="K39" s="2954">
        <f>'Phụ lục số 4'!K39</f>
        <v>0</v>
      </c>
      <c r="L39" s="2954">
        <f>'Phụ lục số 4'!L39</f>
        <v>27221</v>
      </c>
      <c r="M39" s="2954">
        <f>'Phụ lục số 4'!M39</f>
        <v>0</v>
      </c>
      <c r="N39" s="2954">
        <f>'Phụ lục số 4'!N39</f>
        <v>0</v>
      </c>
      <c r="O39" s="2954">
        <f>'Phụ lục số 4'!O39</f>
        <v>0</v>
      </c>
      <c r="P39" s="2954">
        <f>'Phụ lục số 4'!P39</f>
        <v>0</v>
      </c>
      <c r="Q39" s="2954">
        <f>'Phụ lục số 4'!Q39</f>
        <v>0</v>
      </c>
      <c r="R39" s="2954">
        <f>'Phụ lục số 4'!R39</f>
        <v>0</v>
      </c>
      <c r="S39" s="2954">
        <f>'Phụ lục số 4'!S39</f>
        <v>0</v>
      </c>
      <c r="T39" s="2954">
        <f>'Phụ lục số 4'!T39</f>
        <v>0</v>
      </c>
      <c r="U39" s="2954">
        <f>'Phụ lục số 4'!U39</f>
        <v>0</v>
      </c>
      <c r="V39" s="2954">
        <f>'Phụ lục số 4'!V39</f>
        <v>0</v>
      </c>
      <c r="W39" s="2954">
        <f>'Phụ lục số 4'!W39</f>
        <v>0</v>
      </c>
      <c r="X39" s="2954">
        <f>'Phụ lục số 4'!X39</f>
        <v>0</v>
      </c>
      <c r="Y39" s="2954">
        <f>'Phụ lục số 4'!Y39</f>
        <v>0</v>
      </c>
      <c r="Z39" s="2954">
        <f>'Phụ lục số 4'!Z39</f>
        <v>0</v>
      </c>
      <c r="AA39" s="2954">
        <f>'Phụ lục số 4'!AA39</f>
        <v>0</v>
      </c>
      <c r="AB39" s="2954">
        <f t="shared" si="8"/>
        <v>0</v>
      </c>
      <c r="AC39" s="2954">
        <f>'Phụ lục số 4'!AC39</f>
        <v>0</v>
      </c>
      <c r="AD39" s="3142">
        <f>'Phụ lục số 4'!AD39</f>
        <v>0</v>
      </c>
      <c r="AE39" s="3153">
        <f>'Phụ lục số 4'!AE39</f>
        <v>0</v>
      </c>
    </row>
    <row r="40" spans="1:31" s="154" customFormat="1" hidden="1">
      <c r="A40" s="2110">
        <v>29</v>
      </c>
      <c r="B40" s="2788"/>
      <c r="C40" s="2954">
        <f t="shared" si="5"/>
        <v>0</v>
      </c>
      <c r="D40" s="2954">
        <f t="shared" si="6"/>
        <v>0</v>
      </c>
      <c r="E40" s="2954">
        <f>'Phụ lục số 4'!E40</f>
        <v>0</v>
      </c>
      <c r="F40" s="2954">
        <f>'Phụ lục số 4'!F40</f>
        <v>0</v>
      </c>
      <c r="G40" s="2954">
        <f>'Phụ lục số 4'!G40</f>
        <v>0</v>
      </c>
      <c r="H40" s="2954">
        <f>'Phụ lục số 4'!H40</f>
        <v>0</v>
      </c>
      <c r="I40" s="2954"/>
      <c r="J40" s="2954">
        <f>SUM(K40:V40)</f>
        <v>0</v>
      </c>
      <c r="K40" s="2954">
        <f>'Phụ lục số 4'!K40</f>
        <v>0</v>
      </c>
      <c r="L40" s="2954">
        <f>'Phụ lục số 4'!L40</f>
        <v>0</v>
      </c>
      <c r="M40" s="2954">
        <f>'Phụ lục số 4'!M40</f>
        <v>0</v>
      </c>
      <c r="N40" s="2954">
        <f>'Phụ lục số 4'!N40</f>
        <v>0</v>
      </c>
      <c r="O40" s="2954">
        <f>'Phụ lục số 4'!O40</f>
        <v>0</v>
      </c>
      <c r="P40" s="2954">
        <f>'Phụ lục số 4'!P40</f>
        <v>0</v>
      </c>
      <c r="Q40" s="2954">
        <f>'Phụ lục số 4'!Q40</f>
        <v>0</v>
      </c>
      <c r="R40" s="2954">
        <f>'Phụ lục số 4'!R40</f>
        <v>0</v>
      </c>
      <c r="S40" s="2954">
        <f>'Phụ lục số 4'!S40</f>
        <v>0</v>
      </c>
      <c r="T40" s="2954">
        <f>'Phụ lục số 4'!T40</f>
        <v>0</v>
      </c>
      <c r="U40" s="2954">
        <f>'Phụ lục số 4'!U40</f>
        <v>0</v>
      </c>
      <c r="V40" s="2954">
        <f>'Phụ lục số 4'!V40</f>
        <v>0</v>
      </c>
      <c r="W40" s="2954">
        <f>'Phụ lục số 4'!W40</f>
        <v>0</v>
      </c>
      <c r="X40" s="2954">
        <f>'Phụ lục số 4'!X40</f>
        <v>0</v>
      </c>
      <c r="Y40" s="2954">
        <f>'Phụ lục số 4'!Y40</f>
        <v>0</v>
      </c>
      <c r="Z40" s="2954">
        <f>'Phụ lục số 4'!Z40</f>
        <v>0</v>
      </c>
      <c r="AA40" s="2954">
        <f>'Phụ lục số 4'!AA40</f>
        <v>0</v>
      </c>
      <c r="AB40" s="2954">
        <f>SUM(AC40:AD40)</f>
        <v>0</v>
      </c>
      <c r="AC40" s="2954">
        <f>'Phụ lục số 4'!AC40</f>
        <v>0</v>
      </c>
      <c r="AD40" s="3142">
        <f>'Phụ lục số 4'!AD40</f>
        <v>0</v>
      </c>
      <c r="AE40" s="3153">
        <f>'Phụ lục số 4'!AE40</f>
        <v>0</v>
      </c>
    </row>
    <row r="41" spans="1:31" s="154" customFormat="1" ht="34.799999999999997">
      <c r="A41" s="2924" t="s">
        <v>20</v>
      </c>
      <c r="B41" s="3565" t="str">
        <f>'Phụ lục số 4'!B41</f>
        <v>CÁC TỔ CHỨC CHÍNH TRỊ - XÃ HỘI; XÃ HỘI NGHỀ NGHIỆP</v>
      </c>
      <c r="C41" s="3566">
        <f>SUM(C42,C48)</f>
        <v>68556</v>
      </c>
      <c r="D41" s="3566">
        <f t="shared" ref="D41:H41" si="9">SUM(D42,D48)</f>
        <v>0</v>
      </c>
      <c r="E41" s="3566">
        <f t="shared" si="9"/>
        <v>0</v>
      </c>
      <c r="F41" s="3566">
        <f t="shared" si="9"/>
        <v>0</v>
      </c>
      <c r="G41" s="3566">
        <f t="shared" si="9"/>
        <v>0</v>
      </c>
      <c r="H41" s="3566">
        <f t="shared" si="9"/>
        <v>0</v>
      </c>
      <c r="I41" s="3566"/>
      <c r="J41" s="3566">
        <f>SUM(J42,J48)</f>
        <v>68556</v>
      </c>
      <c r="K41" s="3566">
        <f>SUM(K42,K48)</f>
        <v>10310</v>
      </c>
      <c r="L41" s="3566">
        <f t="shared" ref="L41:AE41" si="10">SUM(L42,L48)</f>
        <v>192</v>
      </c>
      <c r="M41" s="3566">
        <f t="shared" si="10"/>
        <v>1160</v>
      </c>
      <c r="N41" s="3566">
        <f t="shared" si="10"/>
        <v>5267</v>
      </c>
      <c r="O41" s="3566">
        <f t="shared" si="10"/>
        <v>100</v>
      </c>
      <c r="P41" s="3566">
        <f t="shared" si="10"/>
        <v>0</v>
      </c>
      <c r="Q41" s="3566">
        <f t="shared" si="10"/>
        <v>477</v>
      </c>
      <c r="R41" s="3566">
        <f t="shared" si="10"/>
        <v>0</v>
      </c>
      <c r="S41" s="3566">
        <f t="shared" si="10"/>
        <v>0</v>
      </c>
      <c r="T41" s="3566">
        <f t="shared" si="10"/>
        <v>51050</v>
      </c>
      <c r="U41" s="3566">
        <f t="shared" si="10"/>
        <v>0</v>
      </c>
      <c r="V41" s="3566">
        <f t="shared" si="10"/>
        <v>0</v>
      </c>
      <c r="W41" s="3566"/>
      <c r="X41" s="3566"/>
      <c r="Y41" s="3566"/>
      <c r="Z41" s="3566"/>
      <c r="AA41" s="3566"/>
      <c r="AB41" s="3566">
        <f t="shared" si="10"/>
        <v>0</v>
      </c>
      <c r="AC41" s="3566">
        <f t="shared" si="10"/>
        <v>0</v>
      </c>
      <c r="AD41" s="3567">
        <f t="shared" si="10"/>
        <v>0</v>
      </c>
      <c r="AE41" s="3154">
        <f t="shared" si="10"/>
        <v>0</v>
      </c>
    </row>
    <row r="42" spans="1:31" s="154" customFormat="1">
      <c r="A42" s="2109" t="s">
        <v>1466</v>
      </c>
      <c r="B42" s="2788" t="str">
        <f>'Phụ lục số 4'!B42</f>
        <v>Khối đoàn thể</v>
      </c>
      <c r="C42" s="2956">
        <f>SUM(C43:C47)</f>
        <v>46462</v>
      </c>
      <c r="D42" s="2956">
        <f t="shared" ref="D42:H42" si="11">SUM(D43:D47)</f>
        <v>0</v>
      </c>
      <c r="E42" s="2956">
        <f t="shared" si="11"/>
        <v>0</v>
      </c>
      <c r="F42" s="2956">
        <f t="shared" si="11"/>
        <v>0</v>
      </c>
      <c r="G42" s="2956">
        <f t="shared" si="11"/>
        <v>0</v>
      </c>
      <c r="H42" s="2956">
        <f t="shared" si="11"/>
        <v>0</v>
      </c>
      <c r="I42" s="2956"/>
      <c r="J42" s="2956">
        <f t="shared" ref="J42:AE42" si="12">SUM(J43:J47)</f>
        <v>46462</v>
      </c>
      <c r="K42" s="2956">
        <f t="shared" si="12"/>
        <v>10310</v>
      </c>
      <c r="L42" s="2956">
        <f t="shared" si="12"/>
        <v>132</v>
      </c>
      <c r="M42" s="2956">
        <f t="shared" si="12"/>
        <v>450</v>
      </c>
      <c r="N42" s="2956">
        <f t="shared" si="12"/>
        <v>2852</v>
      </c>
      <c r="O42" s="2956">
        <f t="shared" si="12"/>
        <v>0</v>
      </c>
      <c r="P42" s="2956">
        <f t="shared" si="12"/>
        <v>0</v>
      </c>
      <c r="Q42" s="2956">
        <f t="shared" si="12"/>
        <v>0</v>
      </c>
      <c r="R42" s="2956">
        <f t="shared" si="12"/>
        <v>0</v>
      </c>
      <c r="S42" s="2956">
        <f t="shared" si="12"/>
        <v>0</v>
      </c>
      <c r="T42" s="2956">
        <f t="shared" si="12"/>
        <v>32718</v>
      </c>
      <c r="U42" s="2956">
        <f t="shared" si="12"/>
        <v>0</v>
      </c>
      <c r="V42" s="2956">
        <f t="shared" si="12"/>
        <v>0</v>
      </c>
      <c r="W42" s="2956"/>
      <c r="X42" s="2956"/>
      <c r="Y42" s="2956"/>
      <c r="Z42" s="2956"/>
      <c r="AA42" s="2956"/>
      <c r="AB42" s="2956">
        <f t="shared" si="12"/>
        <v>0</v>
      </c>
      <c r="AC42" s="2956">
        <f t="shared" si="12"/>
        <v>0</v>
      </c>
      <c r="AD42" s="3143">
        <f t="shared" si="12"/>
        <v>0</v>
      </c>
      <c r="AE42" s="3154">
        <f t="shared" si="12"/>
        <v>0</v>
      </c>
    </row>
    <row r="43" spans="1:31" s="154" customFormat="1">
      <c r="A43" s="2110">
        <f>A39+1</f>
        <v>29</v>
      </c>
      <c r="B43" s="2787" t="str">
        <f>'Phụ lục số 4'!B43</f>
        <v>Ủy ban Mặt trận tổ quốc Tỉnh</v>
      </c>
      <c r="C43" s="2954">
        <f>D43+J43+AB43+W43+X43+AA43</f>
        <v>12640</v>
      </c>
      <c r="D43" s="2954">
        <f>SUM(E43:H43)</f>
        <v>0</v>
      </c>
      <c r="E43" s="2954">
        <f>'Phụ lục số 4'!E43</f>
        <v>0</v>
      </c>
      <c r="F43" s="2954">
        <f>'Phụ lục số 4'!F43</f>
        <v>0</v>
      </c>
      <c r="G43" s="2954">
        <f>'Phụ lục số 4'!G43</f>
        <v>0</v>
      </c>
      <c r="H43" s="2954">
        <f>'Phụ lục số 4'!H43</f>
        <v>0</v>
      </c>
      <c r="I43" s="2954"/>
      <c r="J43" s="2954">
        <f>SUM(K43:V43)</f>
        <v>12640</v>
      </c>
      <c r="K43" s="2954">
        <f>'Phụ lục số 4'!K43</f>
        <v>0</v>
      </c>
      <c r="L43" s="2954">
        <f>'Phụ lục số 4'!L43</f>
        <v>41</v>
      </c>
      <c r="M43" s="2954">
        <f>'Phụ lục số 4'!M43</f>
        <v>175</v>
      </c>
      <c r="N43" s="2954">
        <f>'Phụ lục số 4'!N43</f>
        <v>496</v>
      </c>
      <c r="O43" s="2954">
        <f>'Phụ lục số 4'!O43</f>
        <v>0</v>
      </c>
      <c r="P43" s="2954">
        <f>'Phụ lục số 4'!P43</f>
        <v>0</v>
      </c>
      <c r="Q43" s="2954">
        <f>'Phụ lục số 4'!Q43</f>
        <v>0</v>
      </c>
      <c r="R43" s="2954">
        <f>'Phụ lục số 4'!R43</f>
        <v>0</v>
      </c>
      <c r="S43" s="2954">
        <f>'Phụ lục số 4'!S43</f>
        <v>0</v>
      </c>
      <c r="T43" s="2954">
        <f>'Phụ lục số 4'!T43</f>
        <v>11928</v>
      </c>
      <c r="U43" s="2954">
        <f>'Phụ lục số 4'!U43</f>
        <v>0</v>
      </c>
      <c r="V43" s="2954">
        <f>'Phụ lục số 4'!V43</f>
        <v>0</v>
      </c>
      <c r="W43" s="2954">
        <f>'Phụ lục số 4'!W43</f>
        <v>0</v>
      </c>
      <c r="X43" s="2954">
        <f>'Phụ lục số 4'!X43</f>
        <v>0</v>
      </c>
      <c r="Y43" s="2954">
        <f>'Phụ lục số 4'!Y43</f>
        <v>0</v>
      </c>
      <c r="Z43" s="2954">
        <f>'Phụ lục số 4'!Z43</f>
        <v>0</v>
      </c>
      <c r="AA43" s="2954">
        <f>'Phụ lục số 4'!AA43</f>
        <v>0</v>
      </c>
      <c r="AB43" s="2954">
        <f>SUM(AC43:AD43)</f>
        <v>0</v>
      </c>
      <c r="AC43" s="2954">
        <f>'Phụ lục số 4'!AC43</f>
        <v>0</v>
      </c>
      <c r="AD43" s="3142">
        <f>'Phụ lục số 4'!AD43</f>
        <v>0</v>
      </c>
      <c r="AE43" s="3153">
        <f>'Phụ lục số 4'!AE43</f>
        <v>0</v>
      </c>
    </row>
    <row r="44" spans="1:31" s="154" customFormat="1">
      <c r="A44" s="2110">
        <f>A43+1</f>
        <v>30</v>
      </c>
      <c r="B44" s="2787" t="str">
        <f>'Phụ lục số 4'!B44</f>
        <v>Tỉnh đoàn</v>
      </c>
      <c r="C44" s="2954">
        <f>D44+J44+AB44+W44+X44+AA44</f>
        <v>8603.5</v>
      </c>
      <c r="D44" s="2954">
        <f>SUM(E44:H44)</f>
        <v>0</v>
      </c>
      <c r="E44" s="2954">
        <f>'Phụ lục số 4'!E44</f>
        <v>0</v>
      </c>
      <c r="F44" s="2954">
        <f>'Phụ lục số 4'!F44</f>
        <v>0</v>
      </c>
      <c r="G44" s="2954">
        <f>'Phụ lục số 4'!G44</f>
        <v>0</v>
      </c>
      <c r="H44" s="2954">
        <f>'Phụ lục số 4'!H44</f>
        <v>0</v>
      </c>
      <c r="I44" s="2954"/>
      <c r="J44" s="2954">
        <f t="shared" ref="J44:J118" si="13">SUM(K44:V44)</f>
        <v>8603.5</v>
      </c>
      <c r="K44" s="2954">
        <f>'Phụ lục số 4'!K44</f>
        <v>310</v>
      </c>
      <c r="L44" s="2954">
        <f>'Phụ lục số 4'!L44</f>
        <v>21</v>
      </c>
      <c r="M44" s="2954">
        <f>'Phụ lục số 4'!M44</f>
        <v>100</v>
      </c>
      <c r="N44" s="2954">
        <f>'Phụ lục số 4'!N44</f>
        <v>493</v>
      </c>
      <c r="O44" s="2954">
        <f>'Phụ lục số 4'!O44</f>
        <v>0</v>
      </c>
      <c r="P44" s="2954">
        <f>'Phụ lục số 4'!P44</f>
        <v>0</v>
      </c>
      <c r="Q44" s="2954">
        <f>'Phụ lục số 4'!Q44</f>
        <v>0</v>
      </c>
      <c r="R44" s="2954">
        <f>'Phụ lục số 4'!R44</f>
        <v>0</v>
      </c>
      <c r="S44" s="2954">
        <f>'Phụ lục số 4'!S44</f>
        <v>0</v>
      </c>
      <c r="T44" s="2954">
        <f>'Phụ lục số 4'!T44</f>
        <v>7679.5</v>
      </c>
      <c r="U44" s="2954">
        <f>'Phụ lục số 4'!U44</f>
        <v>0</v>
      </c>
      <c r="V44" s="2954">
        <f>'Phụ lục số 4'!V44</f>
        <v>0</v>
      </c>
      <c r="W44" s="2954">
        <f>'Phụ lục số 4'!W44</f>
        <v>0</v>
      </c>
      <c r="X44" s="2954">
        <f>'Phụ lục số 4'!X44</f>
        <v>0</v>
      </c>
      <c r="Y44" s="2954">
        <f>'Phụ lục số 4'!Y44</f>
        <v>0</v>
      </c>
      <c r="Z44" s="2954">
        <f>'Phụ lục số 4'!Z44</f>
        <v>0</v>
      </c>
      <c r="AA44" s="2954">
        <f>'Phụ lục số 4'!AA44</f>
        <v>0</v>
      </c>
      <c r="AB44" s="2954">
        <f>SUM(AC44:AD44)</f>
        <v>0</v>
      </c>
      <c r="AC44" s="2954">
        <f>'Phụ lục số 4'!AC44</f>
        <v>0</v>
      </c>
      <c r="AD44" s="3142">
        <f>'Phụ lục số 4'!AD44</f>
        <v>0</v>
      </c>
      <c r="AE44" s="3153">
        <f>'Phụ lục số 4'!AE44</f>
        <v>0</v>
      </c>
    </row>
    <row r="45" spans="1:31" s="154" customFormat="1">
      <c r="A45" s="2110">
        <f>A44+1</f>
        <v>31</v>
      </c>
      <c r="B45" s="2787" t="str">
        <f>'Phụ lục số 4'!B45</f>
        <v>Hội Liên hiệp Phụ nữ</v>
      </c>
      <c r="C45" s="2954">
        <f>D45+J45+AB45+W45+X45+AA45</f>
        <v>6448</v>
      </c>
      <c r="D45" s="2954">
        <f>SUM(E45:H45)</f>
        <v>0</v>
      </c>
      <c r="E45" s="2954">
        <f>'Phụ lục số 4'!E45</f>
        <v>0</v>
      </c>
      <c r="F45" s="2954">
        <f>'Phụ lục số 4'!F45</f>
        <v>0</v>
      </c>
      <c r="G45" s="2954">
        <f>'Phụ lục số 4'!G45</f>
        <v>0</v>
      </c>
      <c r="H45" s="2954">
        <f>'Phụ lục số 4'!H45</f>
        <v>0</v>
      </c>
      <c r="I45" s="2954"/>
      <c r="J45" s="2954">
        <f t="shared" si="13"/>
        <v>6448</v>
      </c>
      <c r="K45" s="2954">
        <f>'Phụ lục số 4'!K45</f>
        <v>0</v>
      </c>
      <c r="L45" s="2954">
        <f>'Phụ lục số 4'!L45</f>
        <v>70</v>
      </c>
      <c r="M45" s="2954">
        <f>'Phụ lục số 4'!M45</f>
        <v>0</v>
      </c>
      <c r="N45" s="2954">
        <f>'Phụ lục số 4'!N45</f>
        <v>1100</v>
      </c>
      <c r="O45" s="2954">
        <f>'Phụ lục số 4'!O45</f>
        <v>0</v>
      </c>
      <c r="P45" s="2954">
        <f>'Phụ lục số 4'!P45</f>
        <v>0</v>
      </c>
      <c r="Q45" s="2954">
        <f>'Phụ lục số 4'!Q45</f>
        <v>0</v>
      </c>
      <c r="R45" s="2954">
        <f>'Phụ lục số 4'!R45</f>
        <v>0</v>
      </c>
      <c r="S45" s="2954">
        <f>'Phụ lục số 4'!S45</f>
        <v>0</v>
      </c>
      <c r="T45" s="2954">
        <f>'Phụ lục số 4'!T45</f>
        <v>5278</v>
      </c>
      <c r="U45" s="2954">
        <f>'Phụ lục số 4'!U45</f>
        <v>0</v>
      </c>
      <c r="V45" s="2954">
        <f>'Phụ lục số 4'!V45</f>
        <v>0</v>
      </c>
      <c r="W45" s="2954">
        <f>'Phụ lục số 4'!W45</f>
        <v>0</v>
      </c>
      <c r="X45" s="2954">
        <f>'Phụ lục số 4'!X45</f>
        <v>0</v>
      </c>
      <c r="Y45" s="2954">
        <f>'Phụ lục số 4'!Y45</f>
        <v>0</v>
      </c>
      <c r="Z45" s="2954">
        <f>'Phụ lục số 4'!Z45</f>
        <v>0</v>
      </c>
      <c r="AA45" s="2954">
        <f>'Phụ lục số 4'!AA45</f>
        <v>0</v>
      </c>
      <c r="AB45" s="2954">
        <f>SUM(AC45:AD45)</f>
        <v>0</v>
      </c>
      <c r="AC45" s="2954">
        <f>'Phụ lục số 4'!AC45</f>
        <v>0</v>
      </c>
      <c r="AD45" s="3142">
        <f>'Phụ lục số 4'!AD45</f>
        <v>0</v>
      </c>
      <c r="AE45" s="3153">
        <f>'Phụ lục số 4'!AE45</f>
        <v>0</v>
      </c>
    </row>
    <row r="46" spans="1:31" s="154" customFormat="1">
      <c r="A46" s="2110">
        <f>A45+1</f>
        <v>32</v>
      </c>
      <c r="B46" s="2787" t="str">
        <f>'Phụ lục số 4'!B46</f>
        <v>Hội Nông dân</v>
      </c>
      <c r="C46" s="2954">
        <f>D46+J46+AB46+W46+X46+AA46</f>
        <v>15292.5</v>
      </c>
      <c r="D46" s="2954">
        <f>SUM(E46:H46)</f>
        <v>0</v>
      </c>
      <c r="E46" s="2954">
        <f>'Phụ lục số 4'!E46</f>
        <v>0</v>
      </c>
      <c r="F46" s="2954">
        <f>'Phụ lục số 4'!F46</f>
        <v>0</v>
      </c>
      <c r="G46" s="2954">
        <f>'Phụ lục số 4'!G46</f>
        <v>0</v>
      </c>
      <c r="H46" s="2954">
        <f>'Phụ lục số 4'!H46</f>
        <v>0</v>
      </c>
      <c r="I46" s="2954"/>
      <c r="J46" s="2954">
        <f t="shared" si="13"/>
        <v>15292.5</v>
      </c>
      <c r="K46" s="2954">
        <f>'Phụ lục số 4'!K46</f>
        <v>10000</v>
      </c>
      <c r="L46" s="2954">
        <f>'Phụ lục số 4'!L46</f>
        <v>0</v>
      </c>
      <c r="M46" s="2954">
        <f>'Phụ lục số 4'!M46</f>
        <v>75</v>
      </c>
      <c r="N46" s="2954">
        <f>'Phụ lục số 4'!N46</f>
        <v>500</v>
      </c>
      <c r="O46" s="2954">
        <f>'Phụ lục số 4'!O46</f>
        <v>0</v>
      </c>
      <c r="P46" s="2954">
        <f>'Phụ lục số 4'!P46</f>
        <v>0</v>
      </c>
      <c r="Q46" s="2954">
        <f>'Phụ lục số 4'!Q46</f>
        <v>0</v>
      </c>
      <c r="R46" s="2954">
        <f>'Phụ lục số 4'!R46</f>
        <v>0</v>
      </c>
      <c r="S46" s="2954">
        <f>'Phụ lục số 4'!S46</f>
        <v>0</v>
      </c>
      <c r="T46" s="2954">
        <f>'Phụ lục số 4'!T46</f>
        <v>4717.5</v>
      </c>
      <c r="U46" s="2954">
        <f>'Phụ lục số 4'!U46</f>
        <v>0</v>
      </c>
      <c r="V46" s="2954">
        <f>'Phụ lục số 4'!V46</f>
        <v>0</v>
      </c>
      <c r="W46" s="2954">
        <f>'Phụ lục số 4'!W46</f>
        <v>0</v>
      </c>
      <c r="X46" s="2954">
        <f>'Phụ lục số 4'!X46</f>
        <v>0</v>
      </c>
      <c r="Y46" s="2954">
        <f>'Phụ lục số 4'!Y46</f>
        <v>0</v>
      </c>
      <c r="Z46" s="2954">
        <f>'Phụ lục số 4'!Z46</f>
        <v>0</v>
      </c>
      <c r="AA46" s="2954">
        <f>'Phụ lục số 4'!AA46</f>
        <v>0</v>
      </c>
      <c r="AB46" s="2954">
        <f>SUM(AC46:AD46)</f>
        <v>0</v>
      </c>
      <c r="AC46" s="2954">
        <f>'Phụ lục số 4'!AC46</f>
        <v>0</v>
      </c>
      <c r="AD46" s="3142">
        <f>'Phụ lục số 4'!AD46</f>
        <v>0</v>
      </c>
      <c r="AE46" s="3153">
        <f>'Phụ lục số 4'!AE46</f>
        <v>0</v>
      </c>
    </row>
    <row r="47" spans="1:31" s="154" customFormat="1">
      <c r="A47" s="2110">
        <f>A46+1</f>
        <v>33</v>
      </c>
      <c r="B47" s="2787" t="str">
        <f>'Phụ lục số 4'!B47</f>
        <v>Hội Cựu Chiến binh</v>
      </c>
      <c r="C47" s="2954">
        <f>D47+J47+AB47+W47+X47+AA47</f>
        <v>3478</v>
      </c>
      <c r="D47" s="2954">
        <f>SUM(E47:H47)</f>
        <v>0</v>
      </c>
      <c r="E47" s="2954">
        <f>'Phụ lục số 4'!E47</f>
        <v>0</v>
      </c>
      <c r="F47" s="2954">
        <f>'Phụ lục số 4'!F47</f>
        <v>0</v>
      </c>
      <c r="G47" s="2954">
        <f>'Phụ lục số 4'!G47</f>
        <v>0</v>
      </c>
      <c r="H47" s="2954">
        <f>'Phụ lục số 4'!H47</f>
        <v>0</v>
      </c>
      <c r="I47" s="2954"/>
      <c r="J47" s="2954">
        <f t="shared" si="13"/>
        <v>3478</v>
      </c>
      <c r="K47" s="2954">
        <f>'Phụ lục số 4'!K47</f>
        <v>0</v>
      </c>
      <c r="L47" s="2954">
        <f>'Phụ lục số 4'!L47</f>
        <v>0</v>
      </c>
      <c r="M47" s="2954">
        <f>'Phụ lục số 4'!M47</f>
        <v>100</v>
      </c>
      <c r="N47" s="2954">
        <f>'Phụ lục số 4'!N47</f>
        <v>263</v>
      </c>
      <c r="O47" s="2954">
        <f>'Phụ lục số 4'!O47</f>
        <v>0</v>
      </c>
      <c r="P47" s="2954">
        <f>'Phụ lục số 4'!P47</f>
        <v>0</v>
      </c>
      <c r="Q47" s="2954">
        <f>'Phụ lục số 4'!Q47</f>
        <v>0</v>
      </c>
      <c r="R47" s="2954">
        <f>'Phụ lục số 4'!R47</f>
        <v>0</v>
      </c>
      <c r="S47" s="2954">
        <f>'Phụ lục số 4'!S47</f>
        <v>0</v>
      </c>
      <c r="T47" s="2954">
        <f>'Phụ lục số 4'!T47</f>
        <v>3115</v>
      </c>
      <c r="U47" s="2954">
        <f>'Phụ lục số 4'!U47</f>
        <v>0</v>
      </c>
      <c r="V47" s="2954">
        <f>'Phụ lục số 4'!V47</f>
        <v>0</v>
      </c>
      <c r="W47" s="2954">
        <f>'Phụ lục số 4'!W47</f>
        <v>0</v>
      </c>
      <c r="X47" s="2954">
        <f>'Phụ lục số 4'!X47</f>
        <v>0</v>
      </c>
      <c r="Y47" s="2954">
        <f>'Phụ lục số 4'!Y47</f>
        <v>0</v>
      </c>
      <c r="Z47" s="2954">
        <f>'Phụ lục số 4'!Z47</f>
        <v>0</v>
      </c>
      <c r="AA47" s="2954">
        <f>'Phụ lục số 4'!AA47</f>
        <v>0</v>
      </c>
      <c r="AB47" s="2954">
        <f>SUM(AC47:AD47)</f>
        <v>0</v>
      </c>
      <c r="AC47" s="2954">
        <f>'Phụ lục số 4'!AC47</f>
        <v>0</v>
      </c>
      <c r="AD47" s="3142">
        <f>'Phụ lục số 4'!AD47</f>
        <v>0</v>
      </c>
      <c r="AE47" s="3153">
        <f>'Phụ lục số 4'!AE47</f>
        <v>0</v>
      </c>
    </row>
    <row r="48" spans="1:31" s="1319" customFormat="1" ht="34.799999999999997">
      <c r="A48" s="2109" t="s">
        <v>1473</v>
      </c>
      <c r="B48" s="2788" t="str">
        <f>'Phụ lục số 4'!B48</f>
        <v>Các tổ chức, các hội được nhà nước giao biên chế</v>
      </c>
      <c r="C48" s="2956">
        <f>SUM(C49:C55)</f>
        <v>22094</v>
      </c>
      <c r="D48" s="2956">
        <f t="shared" ref="D48:AE48" si="14">SUM(D49:D55)</f>
        <v>0</v>
      </c>
      <c r="E48" s="2956">
        <f t="shared" si="14"/>
        <v>0</v>
      </c>
      <c r="F48" s="2956">
        <f t="shared" si="14"/>
        <v>0</v>
      </c>
      <c r="G48" s="2956">
        <f t="shared" si="14"/>
        <v>0</v>
      </c>
      <c r="H48" s="2956">
        <f t="shared" si="14"/>
        <v>0</v>
      </c>
      <c r="I48" s="2956"/>
      <c r="J48" s="2956">
        <f t="shared" si="14"/>
        <v>22094</v>
      </c>
      <c r="K48" s="2956">
        <f t="shared" si="14"/>
        <v>0</v>
      </c>
      <c r="L48" s="2956">
        <f t="shared" si="14"/>
        <v>60</v>
      </c>
      <c r="M48" s="2956">
        <f t="shared" si="14"/>
        <v>710</v>
      </c>
      <c r="N48" s="2956">
        <f t="shared" si="14"/>
        <v>2415</v>
      </c>
      <c r="O48" s="2956">
        <f t="shared" si="14"/>
        <v>100</v>
      </c>
      <c r="P48" s="2956">
        <f t="shared" si="14"/>
        <v>0</v>
      </c>
      <c r="Q48" s="2956">
        <f t="shared" si="14"/>
        <v>477</v>
      </c>
      <c r="R48" s="2956">
        <f t="shared" si="14"/>
        <v>0</v>
      </c>
      <c r="S48" s="2956">
        <f t="shared" si="14"/>
        <v>0</v>
      </c>
      <c r="T48" s="2956">
        <f t="shared" si="14"/>
        <v>18332</v>
      </c>
      <c r="U48" s="2956">
        <f t="shared" si="14"/>
        <v>0</v>
      </c>
      <c r="V48" s="2956">
        <f t="shared" si="14"/>
        <v>0</v>
      </c>
      <c r="W48" s="2956"/>
      <c r="X48" s="2956"/>
      <c r="Y48" s="2956"/>
      <c r="Z48" s="2956"/>
      <c r="AA48" s="2956"/>
      <c r="AB48" s="2956">
        <f t="shared" si="14"/>
        <v>0</v>
      </c>
      <c r="AC48" s="2956">
        <f t="shared" si="14"/>
        <v>0</v>
      </c>
      <c r="AD48" s="3143">
        <f t="shared" si="14"/>
        <v>0</v>
      </c>
      <c r="AE48" s="3154">
        <f t="shared" si="14"/>
        <v>0</v>
      </c>
    </row>
    <row r="49" spans="1:31" s="154" customFormat="1">
      <c r="A49" s="2931">
        <v>35</v>
      </c>
      <c r="B49" s="2787" t="str">
        <f>'Phụ lục số 4'!B49</f>
        <v>Liên minh hợp tác xã</v>
      </c>
      <c r="C49" s="2954">
        <f t="shared" ref="C49:C55" si="15">D49+J49+AB49+W49+X49+AA49</f>
        <v>3593</v>
      </c>
      <c r="D49" s="2954">
        <f t="shared" ref="D49:D55" si="16">SUM(E49:H49)</f>
        <v>0</v>
      </c>
      <c r="E49" s="2954">
        <f>'Phụ lục số 4'!E49</f>
        <v>0</v>
      </c>
      <c r="F49" s="2954">
        <f>'Phụ lục số 4'!F49</f>
        <v>0</v>
      </c>
      <c r="G49" s="2954">
        <f>'Phụ lục số 4'!G49</f>
        <v>0</v>
      </c>
      <c r="H49" s="2954">
        <f>'Phụ lục số 4'!H49</f>
        <v>0</v>
      </c>
      <c r="I49" s="2954"/>
      <c r="J49" s="2954">
        <f t="shared" si="13"/>
        <v>3593</v>
      </c>
      <c r="K49" s="2954">
        <f>'Phụ lục số 4'!K49</f>
        <v>0</v>
      </c>
      <c r="L49" s="2954">
        <f>'Phụ lục số 4'!L49</f>
        <v>0</v>
      </c>
      <c r="M49" s="2954">
        <f>'Phụ lục số 4'!M49</f>
        <v>0</v>
      </c>
      <c r="N49" s="2954">
        <f>'Phụ lục số 4'!N49</f>
        <v>1240</v>
      </c>
      <c r="O49" s="2954">
        <f>'Phụ lục số 4'!O49</f>
        <v>0</v>
      </c>
      <c r="P49" s="2954">
        <f>'Phụ lục số 4'!P49</f>
        <v>0</v>
      </c>
      <c r="Q49" s="2954">
        <f>'Phụ lục số 4'!Q49</f>
        <v>50</v>
      </c>
      <c r="R49" s="2954">
        <f>'Phụ lục số 4'!R49</f>
        <v>0</v>
      </c>
      <c r="S49" s="2954">
        <f>'Phụ lục số 4'!S49</f>
        <v>0</v>
      </c>
      <c r="T49" s="2954">
        <f>'Phụ lục số 4'!T49</f>
        <v>2303</v>
      </c>
      <c r="U49" s="2954">
        <f>'Phụ lục số 4'!U49</f>
        <v>0</v>
      </c>
      <c r="V49" s="2954">
        <f>'Phụ lục số 4'!V49</f>
        <v>0</v>
      </c>
      <c r="W49" s="2954">
        <f>'Phụ lục số 4'!W49</f>
        <v>0</v>
      </c>
      <c r="X49" s="2954">
        <f>'Phụ lục số 4'!X49</f>
        <v>0</v>
      </c>
      <c r="Y49" s="2954">
        <f>'Phụ lục số 4'!Y49</f>
        <v>0</v>
      </c>
      <c r="Z49" s="2954">
        <f>'Phụ lục số 4'!Z49</f>
        <v>0</v>
      </c>
      <c r="AA49" s="2954">
        <f>'Phụ lục số 4'!AA49</f>
        <v>0</v>
      </c>
      <c r="AB49" s="2954">
        <f>SUM(AC49:AD49)</f>
        <v>0</v>
      </c>
      <c r="AC49" s="2954">
        <f>'Phụ lục số 4'!AC49</f>
        <v>0</v>
      </c>
      <c r="AD49" s="3142">
        <f>'Phụ lục số 4'!AD49</f>
        <v>0</v>
      </c>
      <c r="AE49" s="3153">
        <f>'Phụ lục số 4'!AE49</f>
        <v>0</v>
      </c>
    </row>
    <row r="50" spans="1:31" s="154" customFormat="1">
      <c r="A50" s="2931">
        <v>36</v>
      </c>
      <c r="B50" s="2787" t="str">
        <f>'Phụ lục số 4'!B50</f>
        <v>Liên hiệp các Hội khoa học Kỹ thuật</v>
      </c>
      <c r="C50" s="2954">
        <f t="shared" si="15"/>
        <v>3298</v>
      </c>
      <c r="D50" s="2954">
        <f t="shared" si="16"/>
        <v>0</v>
      </c>
      <c r="E50" s="2954">
        <f>'Phụ lục số 4'!E50</f>
        <v>0</v>
      </c>
      <c r="F50" s="2954">
        <f>'Phụ lục số 4'!F50</f>
        <v>0</v>
      </c>
      <c r="G50" s="2954">
        <f>'Phụ lục số 4'!G50</f>
        <v>0</v>
      </c>
      <c r="H50" s="2954">
        <f>'Phụ lục số 4'!H50</f>
        <v>0</v>
      </c>
      <c r="I50" s="2954"/>
      <c r="J50" s="2954">
        <f t="shared" si="13"/>
        <v>3298</v>
      </c>
      <c r="K50" s="2954">
        <f>'Phụ lục số 4'!K50</f>
        <v>0</v>
      </c>
      <c r="L50" s="2954">
        <f>'Phụ lục số 4'!L50</f>
        <v>60</v>
      </c>
      <c r="M50" s="2954">
        <f>'Phụ lục số 4'!M50</f>
        <v>710</v>
      </c>
      <c r="N50" s="2954">
        <f>'Phụ lục số 4'!N50</f>
        <v>93</v>
      </c>
      <c r="O50" s="2954">
        <f>'Phụ lục số 4'!O50</f>
        <v>0</v>
      </c>
      <c r="P50" s="2954">
        <f>'Phụ lục số 4'!P50</f>
        <v>0</v>
      </c>
      <c r="Q50" s="2954">
        <f>'Phụ lục số 4'!Q50</f>
        <v>124</v>
      </c>
      <c r="R50" s="2954">
        <f>'Phụ lục số 4'!R50</f>
        <v>0</v>
      </c>
      <c r="S50" s="2954">
        <f>'Phụ lục số 4'!S50</f>
        <v>0</v>
      </c>
      <c r="T50" s="2954">
        <f>'Phụ lục số 4'!T50</f>
        <v>2311</v>
      </c>
      <c r="U50" s="2954">
        <f>'Phụ lục số 4'!U50</f>
        <v>0</v>
      </c>
      <c r="V50" s="2954">
        <f>'Phụ lục số 4'!V50</f>
        <v>0</v>
      </c>
      <c r="W50" s="2954">
        <f>'Phụ lục số 4'!W50</f>
        <v>0</v>
      </c>
      <c r="X50" s="2954">
        <f>'Phụ lục số 4'!X50</f>
        <v>0</v>
      </c>
      <c r="Y50" s="2954">
        <f>'Phụ lục số 4'!Y50</f>
        <v>0</v>
      </c>
      <c r="Z50" s="2954">
        <f>'Phụ lục số 4'!Z50</f>
        <v>0</v>
      </c>
      <c r="AA50" s="2954">
        <f>'Phụ lục số 4'!AA50</f>
        <v>0</v>
      </c>
      <c r="AB50" s="2954">
        <f t="shared" ref="AB50:AB55" si="17">SUM(AC50:AD50)</f>
        <v>0</v>
      </c>
      <c r="AC50" s="2954">
        <f>'Phụ lục số 4'!AC50</f>
        <v>0</v>
      </c>
      <c r="AD50" s="3142">
        <f>'Phụ lục số 4'!AD50</f>
        <v>0</v>
      </c>
      <c r="AE50" s="3153">
        <f>'Phụ lục số 4'!AE50</f>
        <v>0</v>
      </c>
    </row>
    <row r="51" spans="1:31" s="154" customFormat="1">
      <c r="A51" s="2931">
        <v>37</v>
      </c>
      <c r="B51" s="2787" t="str">
        <f>'Phụ lục số 4'!B51</f>
        <v>Liên hiệp các tổ chức Hữu Nghị</v>
      </c>
      <c r="C51" s="2954">
        <f t="shared" si="15"/>
        <v>2675</v>
      </c>
      <c r="D51" s="2954">
        <f t="shared" si="16"/>
        <v>0</v>
      </c>
      <c r="E51" s="2954">
        <f>'Phụ lục số 4'!E51</f>
        <v>0</v>
      </c>
      <c r="F51" s="2954">
        <f>'Phụ lục số 4'!F51</f>
        <v>0</v>
      </c>
      <c r="G51" s="2954">
        <f>'Phụ lục số 4'!G51</f>
        <v>0</v>
      </c>
      <c r="H51" s="2954">
        <f>'Phụ lục số 4'!H51</f>
        <v>0</v>
      </c>
      <c r="I51" s="2954"/>
      <c r="J51" s="2954">
        <f t="shared" si="13"/>
        <v>2675</v>
      </c>
      <c r="K51" s="2954">
        <f>'Phụ lục số 4'!K51</f>
        <v>0</v>
      </c>
      <c r="L51" s="2954">
        <f>'Phụ lục số 4'!L51</f>
        <v>0</v>
      </c>
      <c r="M51" s="2954">
        <f>'Phụ lục số 4'!M51</f>
        <v>0</v>
      </c>
      <c r="N51" s="2954">
        <f>'Phụ lục số 4'!N51</f>
        <v>0</v>
      </c>
      <c r="O51" s="2954">
        <f>'Phụ lục số 4'!O51</f>
        <v>0</v>
      </c>
      <c r="P51" s="2954">
        <f>'Phụ lục số 4'!P51</f>
        <v>0</v>
      </c>
      <c r="Q51" s="2954">
        <f>'Phụ lục số 4'!Q51</f>
        <v>0</v>
      </c>
      <c r="R51" s="2954">
        <f>'Phụ lục số 4'!R51</f>
        <v>0</v>
      </c>
      <c r="S51" s="2954">
        <f>'Phụ lục số 4'!S51</f>
        <v>0</v>
      </c>
      <c r="T51" s="2954">
        <f>'Phụ lục số 4'!T51</f>
        <v>2675</v>
      </c>
      <c r="U51" s="2954">
        <f>'Phụ lục số 4'!U51</f>
        <v>0</v>
      </c>
      <c r="V51" s="2954">
        <f>'Phụ lục số 4'!V51</f>
        <v>0</v>
      </c>
      <c r="W51" s="2954">
        <f>'Phụ lục số 4'!W51</f>
        <v>0</v>
      </c>
      <c r="X51" s="2954">
        <f>'Phụ lục số 4'!X51</f>
        <v>0</v>
      </c>
      <c r="Y51" s="2954">
        <f>'Phụ lục số 4'!Y51</f>
        <v>0</v>
      </c>
      <c r="Z51" s="2954">
        <f>'Phụ lục số 4'!Z51</f>
        <v>0</v>
      </c>
      <c r="AA51" s="2954">
        <f>'Phụ lục số 4'!AA51</f>
        <v>0</v>
      </c>
      <c r="AB51" s="2954">
        <f t="shared" si="17"/>
        <v>0</v>
      </c>
      <c r="AC51" s="2954">
        <f>'Phụ lục số 4'!AC51</f>
        <v>0</v>
      </c>
      <c r="AD51" s="3142">
        <f>'Phụ lục số 4'!AD51</f>
        <v>0</v>
      </c>
      <c r="AE51" s="3153">
        <f>'Phụ lục số 4'!AE51</f>
        <v>0</v>
      </c>
    </row>
    <row r="52" spans="1:31" s="154" customFormat="1">
      <c r="A52" s="2931">
        <v>38</v>
      </c>
      <c r="B52" s="2787" t="str">
        <f>'Phụ lục số 4'!B52</f>
        <v>Hội Liên hiệp Văn học Nghệ thuật</v>
      </c>
      <c r="C52" s="2954">
        <f t="shared" si="15"/>
        <v>5903</v>
      </c>
      <c r="D52" s="2954">
        <f t="shared" si="16"/>
        <v>0</v>
      </c>
      <c r="E52" s="2954">
        <f>'Phụ lục số 4'!E52</f>
        <v>0</v>
      </c>
      <c r="F52" s="2954">
        <f>'Phụ lục số 4'!F52</f>
        <v>0</v>
      </c>
      <c r="G52" s="2954">
        <f>'Phụ lục số 4'!G52</f>
        <v>0</v>
      </c>
      <c r="H52" s="2954">
        <f>'Phụ lục số 4'!H52</f>
        <v>0</v>
      </c>
      <c r="I52" s="2954"/>
      <c r="J52" s="2954">
        <f t="shared" si="13"/>
        <v>5903</v>
      </c>
      <c r="K52" s="2954">
        <f>'Phụ lục số 4'!K52</f>
        <v>0</v>
      </c>
      <c r="L52" s="2954">
        <f>'Phụ lục số 4'!L52</f>
        <v>0</v>
      </c>
      <c r="M52" s="2954">
        <f>'Phụ lục số 4'!M52</f>
        <v>0</v>
      </c>
      <c r="N52" s="2954">
        <f>'Phụ lục số 4'!N52</f>
        <v>662</v>
      </c>
      <c r="O52" s="2954">
        <f>'Phụ lục số 4'!O52</f>
        <v>0</v>
      </c>
      <c r="P52" s="2954">
        <f>'Phụ lục số 4'!P52</f>
        <v>0</v>
      </c>
      <c r="Q52" s="2954">
        <f>'Phụ lục số 4'!Q52</f>
        <v>303</v>
      </c>
      <c r="R52" s="2954">
        <f>'Phụ lục số 4'!R52</f>
        <v>0</v>
      </c>
      <c r="S52" s="2954">
        <f>'Phụ lục số 4'!S52</f>
        <v>0</v>
      </c>
      <c r="T52" s="2954">
        <f>'Phụ lục số 4'!T52</f>
        <v>4938</v>
      </c>
      <c r="U52" s="2954">
        <f>'Phụ lục số 4'!U52</f>
        <v>0</v>
      </c>
      <c r="V52" s="2954">
        <f>'Phụ lục số 4'!V52</f>
        <v>0</v>
      </c>
      <c r="W52" s="2954">
        <f>'Phụ lục số 4'!W52</f>
        <v>0</v>
      </c>
      <c r="X52" s="2954">
        <f>'Phụ lục số 4'!X52</f>
        <v>0</v>
      </c>
      <c r="Y52" s="2954">
        <f>'Phụ lục số 4'!Y52</f>
        <v>0</v>
      </c>
      <c r="Z52" s="2954">
        <f>'Phụ lục số 4'!Z52</f>
        <v>0</v>
      </c>
      <c r="AA52" s="2954">
        <f>'Phụ lục số 4'!AA52</f>
        <v>0</v>
      </c>
      <c r="AB52" s="2954">
        <f t="shared" si="17"/>
        <v>0</v>
      </c>
      <c r="AC52" s="2954">
        <f>'Phụ lục số 4'!AC52</f>
        <v>0</v>
      </c>
      <c r="AD52" s="3142">
        <f>'Phụ lục số 4'!AD52</f>
        <v>0</v>
      </c>
      <c r="AE52" s="3153">
        <f>'Phụ lục số 4'!AE52</f>
        <v>0</v>
      </c>
    </row>
    <row r="53" spans="1:31" s="154" customFormat="1">
      <c r="A53" s="2931">
        <v>39</v>
      </c>
      <c r="B53" s="2787" t="str">
        <f>'Phụ lục số 4'!B53</f>
        <v>Hội chữ thập đỏ</v>
      </c>
      <c r="C53" s="2954">
        <f t="shared" si="15"/>
        <v>6625</v>
      </c>
      <c r="D53" s="2954">
        <f t="shared" si="16"/>
        <v>0</v>
      </c>
      <c r="E53" s="2954">
        <f>'Phụ lục số 4'!E53</f>
        <v>0</v>
      </c>
      <c r="F53" s="2954">
        <f>'Phụ lục số 4'!F53</f>
        <v>0</v>
      </c>
      <c r="G53" s="2954">
        <f>'Phụ lục số 4'!G53</f>
        <v>0</v>
      </c>
      <c r="H53" s="2954">
        <f>'Phụ lục số 4'!H53</f>
        <v>0</v>
      </c>
      <c r="I53" s="2954"/>
      <c r="J53" s="2954">
        <f t="shared" si="13"/>
        <v>6625</v>
      </c>
      <c r="K53" s="2954">
        <f>'Phụ lục số 4'!K53</f>
        <v>0</v>
      </c>
      <c r="L53" s="2954">
        <f>'Phụ lục số 4'!L53</f>
        <v>0</v>
      </c>
      <c r="M53" s="2954">
        <f>'Phụ lục số 4'!M53</f>
        <v>0</v>
      </c>
      <c r="N53" s="2954">
        <f>'Phụ lục số 4'!N53</f>
        <v>420</v>
      </c>
      <c r="O53" s="2954">
        <f>'Phụ lục số 4'!O53</f>
        <v>100</v>
      </c>
      <c r="P53" s="2954">
        <f>'Phụ lục số 4'!P53</f>
        <v>0</v>
      </c>
      <c r="Q53" s="2954">
        <f>'Phụ lục số 4'!Q53</f>
        <v>0</v>
      </c>
      <c r="R53" s="2954">
        <f>'Phụ lục số 4'!R53</f>
        <v>0</v>
      </c>
      <c r="S53" s="2954">
        <f>'Phụ lục số 4'!S53</f>
        <v>0</v>
      </c>
      <c r="T53" s="2954">
        <f>'Phụ lục số 4'!T53</f>
        <v>6105</v>
      </c>
      <c r="U53" s="2954">
        <f>'Phụ lục số 4'!U53</f>
        <v>0</v>
      </c>
      <c r="V53" s="2954">
        <f>'Phụ lục số 4'!V53</f>
        <v>0</v>
      </c>
      <c r="W53" s="2954">
        <f>'Phụ lục số 4'!W53</f>
        <v>0</v>
      </c>
      <c r="X53" s="2954">
        <f>'Phụ lục số 4'!X53</f>
        <v>0</v>
      </c>
      <c r="Y53" s="2954">
        <f>'Phụ lục số 4'!Y53</f>
        <v>0</v>
      </c>
      <c r="Z53" s="2954">
        <f>'Phụ lục số 4'!Z53</f>
        <v>0</v>
      </c>
      <c r="AA53" s="2954">
        <f>'Phụ lục số 4'!AA53</f>
        <v>0</v>
      </c>
      <c r="AB53" s="2954">
        <f t="shared" si="17"/>
        <v>0</v>
      </c>
      <c r="AC53" s="2954">
        <f>'Phụ lục số 4'!AC53</f>
        <v>0</v>
      </c>
      <c r="AD53" s="3142">
        <f>'Phụ lục số 4'!AD53</f>
        <v>0</v>
      </c>
      <c r="AE53" s="3153">
        <f>'Phụ lục số 4'!AE53</f>
        <v>0</v>
      </c>
    </row>
    <row r="54" spans="1:31" s="154" customFormat="1">
      <c r="A54" s="2931">
        <v>40</v>
      </c>
      <c r="B54" s="2787" t="str">
        <f>'Phụ lục số 4'!B54</f>
        <v>Hội đông y</v>
      </c>
      <c r="C54" s="2954">
        <f t="shared" si="15"/>
        <v>0</v>
      </c>
      <c r="D54" s="2954">
        <f t="shared" si="16"/>
        <v>0</v>
      </c>
      <c r="E54" s="2954">
        <f>'Phụ lục số 4'!E54</f>
        <v>0</v>
      </c>
      <c r="F54" s="2954">
        <f>'Phụ lục số 4'!F54</f>
        <v>0</v>
      </c>
      <c r="G54" s="2954">
        <f>'Phụ lục số 4'!G54</f>
        <v>0</v>
      </c>
      <c r="H54" s="2954">
        <f>'Phụ lục số 4'!H54</f>
        <v>0</v>
      </c>
      <c r="I54" s="2954"/>
      <c r="J54" s="2954">
        <f t="shared" si="13"/>
        <v>0</v>
      </c>
      <c r="K54" s="2954">
        <f>'Phụ lục số 4'!K54</f>
        <v>0</v>
      </c>
      <c r="L54" s="2954">
        <f>'Phụ lục số 4'!L54</f>
        <v>0</v>
      </c>
      <c r="M54" s="2954">
        <f>'Phụ lục số 4'!M54</f>
        <v>0</v>
      </c>
      <c r="N54" s="2954">
        <f>'Phụ lục số 4'!N54</f>
        <v>0</v>
      </c>
      <c r="O54" s="2954">
        <f>'Phụ lục số 4'!O54</f>
        <v>0</v>
      </c>
      <c r="P54" s="2954">
        <f>'Phụ lục số 4'!P54</f>
        <v>0</v>
      </c>
      <c r="Q54" s="2954">
        <f>'Phụ lục số 4'!Q54</f>
        <v>0</v>
      </c>
      <c r="R54" s="2954">
        <f>'Phụ lục số 4'!R54</f>
        <v>0</v>
      </c>
      <c r="S54" s="2954">
        <f>'Phụ lục số 4'!S54</f>
        <v>0</v>
      </c>
      <c r="T54" s="2954">
        <f>'Phụ lục số 4'!T54</f>
        <v>0</v>
      </c>
      <c r="U54" s="2954">
        <f>'Phụ lục số 4'!U54</f>
        <v>0</v>
      </c>
      <c r="V54" s="2954">
        <f>'Phụ lục số 4'!V54</f>
        <v>0</v>
      </c>
      <c r="W54" s="2954">
        <f>'Phụ lục số 4'!W54</f>
        <v>0</v>
      </c>
      <c r="X54" s="2954">
        <f>'Phụ lục số 4'!X54</f>
        <v>0</v>
      </c>
      <c r="Y54" s="2954">
        <f>'Phụ lục số 4'!Y54</f>
        <v>0</v>
      </c>
      <c r="Z54" s="2954">
        <f>'Phụ lục số 4'!Z54</f>
        <v>0</v>
      </c>
      <c r="AA54" s="2954">
        <f>'Phụ lục số 4'!AA54</f>
        <v>0</v>
      </c>
      <c r="AB54" s="2954">
        <f t="shared" si="17"/>
        <v>0</v>
      </c>
      <c r="AC54" s="2954">
        <f>'Phụ lục số 4'!AC54</f>
        <v>0</v>
      </c>
      <c r="AD54" s="3142">
        <f>'Phụ lục số 4'!AD54</f>
        <v>0</v>
      </c>
      <c r="AE54" s="3153">
        <f>'Phụ lục số 4'!AE54</f>
        <v>0</v>
      </c>
    </row>
    <row r="55" spans="1:31" s="154" customFormat="1">
      <c r="A55" s="2931">
        <v>41</v>
      </c>
      <c r="B55" s="2787" t="str">
        <f>'Phụ lục số 4'!B55</f>
        <v>Hội người mù</v>
      </c>
      <c r="C55" s="2954">
        <f t="shared" si="15"/>
        <v>0</v>
      </c>
      <c r="D55" s="2954">
        <f t="shared" si="16"/>
        <v>0</v>
      </c>
      <c r="E55" s="2954">
        <f>'Phụ lục số 4'!E55</f>
        <v>0</v>
      </c>
      <c r="F55" s="2954">
        <f>'Phụ lục số 4'!F55</f>
        <v>0</v>
      </c>
      <c r="G55" s="2954">
        <f>'Phụ lục số 4'!G55</f>
        <v>0</v>
      </c>
      <c r="H55" s="2954">
        <f>'Phụ lục số 4'!H55</f>
        <v>0</v>
      </c>
      <c r="I55" s="2954"/>
      <c r="J55" s="2954">
        <f t="shared" si="13"/>
        <v>0</v>
      </c>
      <c r="K55" s="2954">
        <f>'Phụ lục số 4'!K55</f>
        <v>0</v>
      </c>
      <c r="L55" s="2954">
        <f>'Phụ lục số 4'!L55</f>
        <v>0</v>
      </c>
      <c r="M55" s="2954">
        <f>'Phụ lục số 4'!M55</f>
        <v>0</v>
      </c>
      <c r="N55" s="2954">
        <f>'Phụ lục số 4'!N55</f>
        <v>0</v>
      </c>
      <c r="O55" s="2954">
        <f>'Phụ lục số 4'!O55</f>
        <v>0</v>
      </c>
      <c r="P55" s="2954">
        <f>'Phụ lục số 4'!P55</f>
        <v>0</v>
      </c>
      <c r="Q55" s="2954">
        <f>'Phụ lục số 4'!Q55</f>
        <v>0</v>
      </c>
      <c r="R55" s="2954">
        <f>'Phụ lục số 4'!R55</f>
        <v>0</v>
      </c>
      <c r="S55" s="2954">
        <f>'Phụ lục số 4'!S55</f>
        <v>0</v>
      </c>
      <c r="T55" s="2954">
        <f>'Phụ lục số 4'!T55</f>
        <v>0</v>
      </c>
      <c r="U55" s="2954">
        <f>'Phụ lục số 4'!U55</f>
        <v>0</v>
      </c>
      <c r="V55" s="2954">
        <f>'Phụ lục số 4'!V55</f>
        <v>0</v>
      </c>
      <c r="W55" s="2954">
        <f>'Phụ lục số 4'!W55</f>
        <v>0</v>
      </c>
      <c r="X55" s="2954">
        <f>'Phụ lục số 4'!X55</f>
        <v>0</v>
      </c>
      <c r="Y55" s="2954">
        <f>'Phụ lục số 4'!Y55</f>
        <v>0</v>
      </c>
      <c r="Z55" s="2954">
        <f>'Phụ lục số 4'!Z55</f>
        <v>0</v>
      </c>
      <c r="AA55" s="2954">
        <f>'Phụ lục số 4'!AA55</f>
        <v>0</v>
      </c>
      <c r="AB55" s="2954">
        <f t="shared" si="17"/>
        <v>0</v>
      </c>
      <c r="AC55" s="2954">
        <f>'Phụ lục số 4'!AC55</f>
        <v>0</v>
      </c>
      <c r="AD55" s="3142">
        <f>'Phụ lục số 4'!AD55</f>
        <v>0</v>
      </c>
      <c r="AE55" s="3153">
        <f>'Phụ lục số 4'!AE55</f>
        <v>0</v>
      </c>
    </row>
    <row r="56" spans="1:31" s="1319" customFormat="1" ht="17.399999999999999">
      <c r="A56" s="2933" t="s">
        <v>49</v>
      </c>
      <c r="B56" s="3565" t="str">
        <f>'Phụ lục số 4'!B56</f>
        <v>KHỐI AN NINH - QUỐC PHÒNG</v>
      </c>
      <c r="C56" s="3563">
        <f>SUM(C57:C59)</f>
        <v>152607.4</v>
      </c>
      <c r="D56" s="3563">
        <f t="shared" ref="D56:H56" si="18">SUM(D57:D59)</f>
        <v>0</v>
      </c>
      <c r="E56" s="3563">
        <f t="shared" si="18"/>
        <v>0</v>
      </c>
      <c r="F56" s="3563">
        <f t="shared" si="18"/>
        <v>0</v>
      </c>
      <c r="G56" s="3563">
        <f t="shared" si="18"/>
        <v>0</v>
      </c>
      <c r="H56" s="3563">
        <f t="shared" si="18"/>
        <v>0</v>
      </c>
      <c r="I56" s="3563"/>
      <c r="J56" s="3563">
        <f t="shared" ref="J56:AE56" si="19">SUM(J57:J59)</f>
        <v>152607.4</v>
      </c>
      <c r="K56" s="3563">
        <f t="shared" si="19"/>
        <v>0</v>
      </c>
      <c r="L56" s="3563">
        <f t="shared" si="19"/>
        <v>280</v>
      </c>
      <c r="M56" s="3563">
        <f t="shared" si="19"/>
        <v>0</v>
      </c>
      <c r="N56" s="3563">
        <f t="shared" si="19"/>
        <v>4000</v>
      </c>
      <c r="O56" s="3563">
        <f t="shared" si="19"/>
        <v>0</v>
      </c>
      <c r="P56" s="3563">
        <f t="shared" si="19"/>
        <v>0</v>
      </c>
      <c r="Q56" s="3563">
        <f t="shared" si="19"/>
        <v>0</v>
      </c>
      <c r="R56" s="3563">
        <f t="shared" si="19"/>
        <v>0</v>
      </c>
      <c r="S56" s="3563">
        <f t="shared" si="19"/>
        <v>0</v>
      </c>
      <c r="T56" s="3563">
        <f t="shared" si="19"/>
        <v>0</v>
      </c>
      <c r="U56" s="3563">
        <f t="shared" si="19"/>
        <v>148327.4</v>
      </c>
      <c r="V56" s="3563">
        <f t="shared" si="19"/>
        <v>0</v>
      </c>
      <c r="W56" s="3563"/>
      <c r="X56" s="3563"/>
      <c r="Y56" s="3563"/>
      <c r="Z56" s="3563"/>
      <c r="AA56" s="3563"/>
      <c r="AB56" s="3563">
        <f t="shared" si="19"/>
        <v>0</v>
      </c>
      <c r="AC56" s="3563">
        <f t="shared" si="19"/>
        <v>0</v>
      </c>
      <c r="AD56" s="3564">
        <f t="shared" si="19"/>
        <v>0</v>
      </c>
      <c r="AE56" s="3154">
        <f t="shared" si="19"/>
        <v>0</v>
      </c>
    </row>
    <row r="57" spans="1:31" s="154" customFormat="1">
      <c r="A57" s="2931">
        <v>42</v>
      </c>
      <c r="B57" s="2787" t="str">
        <f>'Phụ lục số 4'!B57</f>
        <v>Công an Tỉnh</v>
      </c>
      <c r="C57" s="2954">
        <f>D57+J57+AB57+W57+X57+AA57</f>
        <v>51280</v>
      </c>
      <c r="D57" s="2954">
        <f>SUM(E57:H57)</f>
        <v>0</v>
      </c>
      <c r="E57" s="2954">
        <f>'Phụ lục số 4'!E57</f>
        <v>0</v>
      </c>
      <c r="F57" s="2954">
        <f>'Phụ lục số 4'!F57</f>
        <v>0</v>
      </c>
      <c r="G57" s="2954">
        <f>'Phụ lục số 4'!G57</f>
        <v>0</v>
      </c>
      <c r="H57" s="2954">
        <f>'Phụ lục số 4'!H57</f>
        <v>0</v>
      </c>
      <c r="I57" s="2954"/>
      <c r="J57" s="2954">
        <f t="shared" si="13"/>
        <v>51280</v>
      </c>
      <c r="K57" s="2954">
        <f>'Phụ lục số 4'!K57</f>
        <v>0</v>
      </c>
      <c r="L57" s="2954">
        <f>'Phụ lục số 4'!L57</f>
        <v>280</v>
      </c>
      <c r="M57" s="2954">
        <f>'Phụ lục số 4'!M57</f>
        <v>0</v>
      </c>
      <c r="N57" s="2954">
        <f>'Phụ lục số 4'!N57</f>
        <v>0</v>
      </c>
      <c r="O57" s="2954">
        <f>'Phụ lục số 4'!O57</f>
        <v>0</v>
      </c>
      <c r="P57" s="2954">
        <f>'Phụ lục số 4'!P57</f>
        <v>0</v>
      </c>
      <c r="Q57" s="2954">
        <f>'Phụ lục số 4'!Q57</f>
        <v>0</v>
      </c>
      <c r="R57" s="2954">
        <f>'Phụ lục số 4'!R57</f>
        <v>0</v>
      </c>
      <c r="S57" s="2954">
        <f>'Phụ lục số 4'!S57</f>
        <v>0</v>
      </c>
      <c r="T57" s="2954">
        <f>'Phụ lục số 4'!T57</f>
        <v>0</v>
      </c>
      <c r="U57" s="2954">
        <f>'Phụ lục số 4'!U57</f>
        <v>51000</v>
      </c>
      <c r="V57" s="2954">
        <f>'Phụ lục số 4'!V57</f>
        <v>0</v>
      </c>
      <c r="W57" s="2954">
        <f>'Phụ lục số 4'!W57</f>
        <v>0</v>
      </c>
      <c r="X57" s="2954">
        <f>'Phụ lục số 4'!X57</f>
        <v>0</v>
      </c>
      <c r="Y57" s="2954">
        <f>'Phụ lục số 4'!Y57</f>
        <v>0</v>
      </c>
      <c r="Z57" s="2954">
        <f>'Phụ lục số 4'!Z57</f>
        <v>0</v>
      </c>
      <c r="AA57" s="2954">
        <f>'Phụ lục số 4'!AA57</f>
        <v>0</v>
      </c>
      <c r="AB57" s="2954">
        <f t="shared" ref="AB57:AB59" si="20">SUM(AC57:AD57)</f>
        <v>0</v>
      </c>
      <c r="AC57" s="2954">
        <f>'Phụ lục số 4'!AC57</f>
        <v>0</v>
      </c>
      <c r="AD57" s="3142">
        <f>'Phụ lục số 4'!AD57</f>
        <v>0</v>
      </c>
      <c r="AE57" s="3153">
        <f>'Phụ lục số 4'!AE57</f>
        <v>0</v>
      </c>
    </row>
    <row r="58" spans="1:31" s="154" customFormat="1">
      <c r="A58" s="2931">
        <v>43</v>
      </c>
      <c r="B58" s="2787" t="str">
        <f>'Phụ lục số 4'!B58</f>
        <v>Bộ Chỉ huy Quân sự Tỉnh</v>
      </c>
      <c r="C58" s="2954">
        <f>D58+J58+AB58+W58+X58+AA58</f>
        <v>87000</v>
      </c>
      <c r="D58" s="2954">
        <f>SUM(E58:H58)</f>
        <v>0</v>
      </c>
      <c r="E58" s="2954">
        <f>'Phụ lục số 4'!E58</f>
        <v>0</v>
      </c>
      <c r="F58" s="2954">
        <f>'Phụ lục số 4'!F58</f>
        <v>0</v>
      </c>
      <c r="G58" s="2954">
        <f>'Phụ lục số 4'!G58</f>
        <v>0</v>
      </c>
      <c r="H58" s="2954">
        <f>'Phụ lục số 4'!H58</f>
        <v>0</v>
      </c>
      <c r="I58" s="2954"/>
      <c r="J58" s="2954">
        <f t="shared" si="13"/>
        <v>87000</v>
      </c>
      <c r="K58" s="2954">
        <f>'Phụ lục số 4'!K58</f>
        <v>0</v>
      </c>
      <c r="L58" s="2954">
        <f>'Phụ lục số 4'!L58</f>
        <v>0</v>
      </c>
      <c r="M58" s="2954">
        <f>'Phụ lục số 4'!M58</f>
        <v>0</v>
      </c>
      <c r="N58" s="2954">
        <f>'Phụ lục số 4'!N58</f>
        <v>4000</v>
      </c>
      <c r="O58" s="2954">
        <f>'Phụ lục số 4'!O58</f>
        <v>0</v>
      </c>
      <c r="P58" s="2954">
        <f>'Phụ lục số 4'!P58</f>
        <v>0</v>
      </c>
      <c r="Q58" s="2954">
        <f>'Phụ lục số 4'!Q58</f>
        <v>0</v>
      </c>
      <c r="R58" s="2954">
        <f>'Phụ lục số 4'!R58</f>
        <v>0</v>
      </c>
      <c r="S58" s="2954">
        <f>'Phụ lục số 4'!S58</f>
        <v>0</v>
      </c>
      <c r="T58" s="2954">
        <f>'Phụ lục số 4'!T58</f>
        <v>0</v>
      </c>
      <c r="U58" s="2954">
        <f>'Phụ lục số 4'!U58</f>
        <v>83000</v>
      </c>
      <c r="V58" s="2954">
        <f>'Phụ lục số 4'!V58</f>
        <v>0</v>
      </c>
      <c r="W58" s="2954">
        <f>'Phụ lục số 4'!W58</f>
        <v>0</v>
      </c>
      <c r="X58" s="2954">
        <f>'Phụ lục số 4'!X58</f>
        <v>0</v>
      </c>
      <c r="Y58" s="2954">
        <f>'Phụ lục số 4'!Y58</f>
        <v>0</v>
      </c>
      <c r="Z58" s="2954">
        <f>'Phụ lục số 4'!Z58</f>
        <v>0</v>
      </c>
      <c r="AA58" s="2954">
        <f>'Phụ lục số 4'!AA58</f>
        <v>0</v>
      </c>
      <c r="AB58" s="2954">
        <f t="shared" si="20"/>
        <v>0</v>
      </c>
      <c r="AC58" s="2954">
        <f>'Phụ lục số 4'!AC58</f>
        <v>0</v>
      </c>
      <c r="AD58" s="3142">
        <f>'Phụ lục số 4'!AD58</f>
        <v>0</v>
      </c>
      <c r="AE58" s="3153">
        <f>'Phụ lục số 4'!AE58</f>
        <v>0</v>
      </c>
    </row>
    <row r="59" spans="1:31" s="154" customFormat="1">
      <c r="A59" s="2931">
        <v>44</v>
      </c>
      <c r="B59" s="2787" t="str">
        <f>'Phụ lục số 4'!B59</f>
        <v>Bộ Chỉ huy Bộ đội biên phòng</v>
      </c>
      <c r="C59" s="2954">
        <f>D59+J59+AB59+W59+X59+AA59</f>
        <v>14327.4</v>
      </c>
      <c r="D59" s="2954">
        <f>SUM(E59:H59)</f>
        <v>0</v>
      </c>
      <c r="E59" s="2954">
        <f>'Phụ lục số 4'!E59</f>
        <v>0</v>
      </c>
      <c r="F59" s="2954">
        <f>'Phụ lục số 4'!F59</f>
        <v>0</v>
      </c>
      <c r="G59" s="2954">
        <f>'Phụ lục số 4'!G59</f>
        <v>0</v>
      </c>
      <c r="H59" s="2954">
        <f>'Phụ lục số 4'!H59</f>
        <v>0</v>
      </c>
      <c r="I59" s="2954"/>
      <c r="J59" s="2954">
        <f t="shared" si="13"/>
        <v>14327.4</v>
      </c>
      <c r="K59" s="2954">
        <f>'Phụ lục số 4'!K59</f>
        <v>0</v>
      </c>
      <c r="L59" s="2954">
        <f>'Phụ lục số 4'!L59</f>
        <v>0</v>
      </c>
      <c r="M59" s="2954">
        <f>'Phụ lục số 4'!M59</f>
        <v>0</v>
      </c>
      <c r="N59" s="2954">
        <f>'Phụ lục số 4'!N59</f>
        <v>0</v>
      </c>
      <c r="O59" s="2954">
        <f>'Phụ lục số 4'!O59</f>
        <v>0</v>
      </c>
      <c r="P59" s="2954">
        <f>'Phụ lục số 4'!P59</f>
        <v>0</v>
      </c>
      <c r="Q59" s="2954">
        <f>'Phụ lục số 4'!Q59</f>
        <v>0</v>
      </c>
      <c r="R59" s="2954">
        <f>'Phụ lục số 4'!R59</f>
        <v>0</v>
      </c>
      <c r="S59" s="2954">
        <f>'Phụ lục số 4'!S59</f>
        <v>0</v>
      </c>
      <c r="T59" s="2954">
        <f>'Phụ lục số 4'!T59</f>
        <v>0</v>
      </c>
      <c r="U59" s="2954">
        <f>'Phụ lục số 4'!U59</f>
        <v>14327.4</v>
      </c>
      <c r="V59" s="2954">
        <f>'Phụ lục số 4'!V59</f>
        <v>0</v>
      </c>
      <c r="W59" s="2954">
        <f>'Phụ lục số 4'!W59</f>
        <v>0</v>
      </c>
      <c r="X59" s="2954">
        <f>'Phụ lục số 4'!X59</f>
        <v>0</v>
      </c>
      <c r="Y59" s="2954">
        <f>'Phụ lục số 4'!Y59</f>
        <v>0</v>
      </c>
      <c r="Z59" s="2954">
        <f>'Phụ lục số 4'!Z59</f>
        <v>0</v>
      </c>
      <c r="AA59" s="2954">
        <f>'Phụ lục số 4'!AA59</f>
        <v>0</v>
      </c>
      <c r="AB59" s="2954">
        <f t="shared" si="20"/>
        <v>0</v>
      </c>
      <c r="AC59" s="2954">
        <f>'Phụ lục số 4'!AC59</f>
        <v>0</v>
      </c>
      <c r="AD59" s="3142">
        <f>'Phụ lục số 4'!AD59</f>
        <v>0</v>
      </c>
      <c r="AE59" s="3153">
        <f>'Phụ lục số 4'!AE59</f>
        <v>0</v>
      </c>
    </row>
    <row r="60" spans="1:31" s="1319" customFormat="1" ht="17.399999999999999">
      <c r="A60" s="2933" t="s">
        <v>50</v>
      </c>
      <c r="B60" s="3565" t="str">
        <f>'Phụ lục số 4'!B60</f>
        <v>CÁC ĐƠN VỊ KHÁC</v>
      </c>
      <c r="C60" s="3563">
        <f>SUM(C61:C74)</f>
        <v>373777</v>
      </c>
      <c r="D60" s="3563">
        <f t="shared" ref="D60:U60" si="21">SUM(D61:D74)</f>
        <v>0</v>
      </c>
      <c r="E60" s="3563">
        <f t="shared" si="21"/>
        <v>0</v>
      </c>
      <c r="F60" s="3563">
        <f t="shared" si="21"/>
        <v>0</v>
      </c>
      <c r="G60" s="3563">
        <f t="shared" si="21"/>
        <v>0</v>
      </c>
      <c r="H60" s="3563">
        <f t="shared" si="21"/>
        <v>0</v>
      </c>
      <c r="I60" s="3563">
        <f t="shared" si="21"/>
        <v>0</v>
      </c>
      <c r="J60" s="3563">
        <f t="shared" si="21"/>
        <v>373777</v>
      </c>
      <c r="K60" s="3563">
        <f t="shared" si="21"/>
        <v>0</v>
      </c>
      <c r="L60" s="3563">
        <f t="shared" si="21"/>
        <v>68</v>
      </c>
      <c r="M60" s="3563">
        <f t="shared" si="21"/>
        <v>0</v>
      </c>
      <c r="N60" s="3563">
        <f t="shared" si="21"/>
        <v>0</v>
      </c>
      <c r="O60" s="3563">
        <f t="shared" si="21"/>
        <v>367885</v>
      </c>
      <c r="P60" s="3563">
        <f t="shared" si="21"/>
        <v>0</v>
      </c>
      <c r="Q60" s="3563">
        <f t="shared" si="21"/>
        <v>0</v>
      </c>
      <c r="R60" s="3563">
        <f t="shared" si="21"/>
        <v>0</v>
      </c>
      <c r="S60" s="3563">
        <f t="shared" si="21"/>
        <v>0</v>
      </c>
      <c r="T60" s="3563">
        <f t="shared" si="21"/>
        <v>0</v>
      </c>
      <c r="U60" s="3563">
        <f t="shared" si="21"/>
        <v>0</v>
      </c>
      <c r="V60" s="3563">
        <f>SUM(V61:V74)</f>
        <v>5824</v>
      </c>
      <c r="W60" s="3563">
        <f t="shared" ref="W60:AB60" si="22">SUM(W61:W74)</f>
        <v>0</v>
      </c>
      <c r="X60" s="3563">
        <f t="shared" si="22"/>
        <v>0</v>
      </c>
      <c r="Y60" s="3563">
        <f t="shared" si="22"/>
        <v>0</v>
      </c>
      <c r="Z60" s="3563">
        <f t="shared" si="22"/>
        <v>0</v>
      </c>
      <c r="AA60" s="3563">
        <f t="shared" si="22"/>
        <v>0</v>
      </c>
      <c r="AB60" s="3563">
        <f t="shared" si="22"/>
        <v>0</v>
      </c>
      <c r="AC60" s="3563">
        <f>SUM(AC61:AC74)</f>
        <v>0</v>
      </c>
      <c r="AD60" s="3564">
        <f>SUM(AD61:AD74)</f>
        <v>0</v>
      </c>
      <c r="AE60" s="3154">
        <f>SUM(AE61:AE74)</f>
        <v>0</v>
      </c>
    </row>
    <row r="61" spans="1:31" s="154" customFormat="1">
      <c r="A61" s="2931">
        <v>45</v>
      </c>
      <c r="B61" s="2787" t="str">
        <f>'Phụ lục số 4'!B61</f>
        <v>Bảo hiểm Xã hội tỉnh</v>
      </c>
      <c r="C61" s="2954">
        <f t="shared" ref="C61:C74" si="23">D61+J61+AB61+W61+X61+AA61</f>
        <v>367885</v>
      </c>
      <c r="D61" s="2954">
        <f t="shared" ref="D61:D69" si="24">SUM(E61:H61)</f>
        <v>0</v>
      </c>
      <c r="E61" s="2954">
        <f>'Phụ lục số 4'!E61</f>
        <v>0</v>
      </c>
      <c r="F61" s="2954">
        <f>'Phụ lục số 4'!F61</f>
        <v>0</v>
      </c>
      <c r="G61" s="2954">
        <f>'Phụ lục số 4'!G61</f>
        <v>0</v>
      </c>
      <c r="H61" s="2954">
        <f>'Phụ lục số 4'!H61</f>
        <v>0</v>
      </c>
      <c r="I61" s="2954"/>
      <c r="J61" s="2954">
        <f>SUM(K61:V61)</f>
        <v>367885</v>
      </c>
      <c r="K61" s="2954">
        <f>'Phụ lục số 4'!K61</f>
        <v>0</v>
      </c>
      <c r="L61" s="2954">
        <f>'Phụ lục số 4'!L61</f>
        <v>0</v>
      </c>
      <c r="M61" s="2954">
        <f>'Phụ lục số 4'!M61</f>
        <v>0</v>
      </c>
      <c r="N61" s="2954">
        <f>'Phụ lục số 4'!N61</f>
        <v>0</v>
      </c>
      <c r="O61" s="2954">
        <f>'Phụ lục số 4'!O61</f>
        <v>367885</v>
      </c>
      <c r="P61" s="2954">
        <f>'Phụ lục số 4'!P61</f>
        <v>0</v>
      </c>
      <c r="Q61" s="2954">
        <f>'Phụ lục số 4'!Q61</f>
        <v>0</v>
      </c>
      <c r="R61" s="2954">
        <f>'Phụ lục số 4'!R61</f>
        <v>0</v>
      </c>
      <c r="S61" s="2954">
        <f>'Phụ lục số 4'!S61</f>
        <v>0</v>
      </c>
      <c r="T61" s="2954">
        <f>'Phụ lục số 4'!T61</f>
        <v>0</v>
      </c>
      <c r="U61" s="2954">
        <f>'Phụ lục số 4'!U61</f>
        <v>0</v>
      </c>
      <c r="V61" s="2954">
        <f>'Phụ lục số 4'!V61</f>
        <v>0</v>
      </c>
      <c r="W61" s="2954">
        <f>'Phụ lục số 4'!W61</f>
        <v>0</v>
      </c>
      <c r="X61" s="2954">
        <f>'Phụ lục số 4'!X61</f>
        <v>0</v>
      </c>
      <c r="Y61" s="2954">
        <f>'Phụ lục số 4'!Y61</f>
        <v>0</v>
      </c>
      <c r="Z61" s="2954">
        <f>'Phụ lục số 4'!Z61</f>
        <v>0</v>
      </c>
      <c r="AA61" s="2954">
        <f>'Phụ lục số 4'!AA61</f>
        <v>0</v>
      </c>
      <c r="AB61" s="2954">
        <f t="shared" ref="AB61:AB69" si="25">SUM(AC61:AD61)</f>
        <v>0</v>
      </c>
      <c r="AC61" s="2954">
        <f>'Phụ lục số 4'!AC61</f>
        <v>0</v>
      </c>
      <c r="AD61" s="3142">
        <f>'Phụ lục số 4'!AD61</f>
        <v>0</v>
      </c>
      <c r="AE61" s="3153">
        <f>'Phụ lục số 4'!AE61</f>
        <v>0</v>
      </c>
    </row>
    <row r="62" spans="1:31" s="154" customFormat="1">
      <c r="A62" s="2931">
        <v>46</v>
      </c>
      <c r="B62" s="2787" t="str">
        <f>'Phụ lục số 4'!B62</f>
        <v>Chi nhánh Ngân hàng chính sách xã hội</v>
      </c>
      <c r="C62" s="2954">
        <f t="shared" si="23"/>
        <v>0</v>
      </c>
      <c r="D62" s="2954">
        <f t="shared" si="24"/>
        <v>0</v>
      </c>
      <c r="E62" s="2954">
        <f>'Phụ lục số 4'!E62</f>
        <v>0</v>
      </c>
      <c r="F62" s="2954">
        <f>'Phụ lục số 4'!F62</f>
        <v>0</v>
      </c>
      <c r="G62" s="2954">
        <f>'Phụ lục số 4'!G62</f>
        <v>0</v>
      </c>
      <c r="H62" s="2954">
        <f>'Phụ lục số 4'!H62</f>
        <v>0</v>
      </c>
      <c r="I62" s="2954"/>
      <c r="J62" s="2954">
        <f t="shared" si="13"/>
        <v>0</v>
      </c>
      <c r="K62" s="2954">
        <f>'Phụ lục số 4'!K62</f>
        <v>0</v>
      </c>
      <c r="L62" s="2954">
        <f>'Phụ lục số 4'!L62</f>
        <v>0</v>
      </c>
      <c r="M62" s="2954">
        <f>'Phụ lục số 4'!M62</f>
        <v>0</v>
      </c>
      <c r="N62" s="2954">
        <f>'Phụ lục số 4'!N62</f>
        <v>0</v>
      </c>
      <c r="O62" s="2954">
        <f>'Phụ lục số 4'!O62</f>
        <v>0</v>
      </c>
      <c r="P62" s="2954">
        <f>'Phụ lục số 4'!P62</f>
        <v>0</v>
      </c>
      <c r="Q62" s="2954">
        <f>'Phụ lục số 4'!Q62</f>
        <v>0</v>
      </c>
      <c r="R62" s="2954">
        <f>'Phụ lục số 4'!R62</f>
        <v>0</v>
      </c>
      <c r="S62" s="2954">
        <f>'Phụ lục số 4'!S62</f>
        <v>0</v>
      </c>
      <c r="T62" s="2954">
        <f>'Phụ lục số 4'!T62</f>
        <v>0</v>
      </c>
      <c r="U62" s="2954">
        <f>'Phụ lục số 4'!U62</f>
        <v>0</v>
      </c>
      <c r="V62" s="2954">
        <f>'Phụ lục số 4'!V62</f>
        <v>0</v>
      </c>
      <c r="W62" s="2954">
        <f>'Phụ lục số 4'!W62</f>
        <v>0</v>
      </c>
      <c r="X62" s="2954">
        <f>'Phụ lục số 4'!X62</f>
        <v>0</v>
      </c>
      <c r="Y62" s="2954">
        <f>'Phụ lục số 4'!Y62</f>
        <v>0</v>
      </c>
      <c r="Z62" s="2954">
        <f>'Phụ lục số 4'!Z62</f>
        <v>0</v>
      </c>
      <c r="AA62" s="2954">
        <f>'Phụ lục số 4'!AA62</f>
        <v>0</v>
      </c>
      <c r="AB62" s="2954">
        <f t="shared" si="25"/>
        <v>0</v>
      </c>
      <c r="AC62" s="2954">
        <f>'Phụ lục số 4'!AC62</f>
        <v>0</v>
      </c>
      <c r="AD62" s="3142">
        <f>'Phụ lục số 4'!AD62</f>
        <v>0</v>
      </c>
      <c r="AE62" s="3153">
        <f>'Phụ lục số 4'!AE62</f>
        <v>0</v>
      </c>
    </row>
    <row r="63" spans="1:31" s="154" customFormat="1">
      <c r="A63" s="2931">
        <v>47</v>
      </c>
      <c r="B63" s="2787" t="str">
        <f>'Phụ lục số 4'!B63</f>
        <v>Hội nhà báo</v>
      </c>
      <c r="C63" s="2954">
        <f t="shared" si="23"/>
        <v>1257</v>
      </c>
      <c r="D63" s="2954">
        <f t="shared" si="24"/>
        <v>0</v>
      </c>
      <c r="E63" s="2954">
        <f>'Phụ lục số 4'!E63</f>
        <v>0</v>
      </c>
      <c r="F63" s="2954">
        <f>'Phụ lục số 4'!F63</f>
        <v>0</v>
      </c>
      <c r="G63" s="2954">
        <f>'Phụ lục số 4'!G63</f>
        <v>0</v>
      </c>
      <c r="H63" s="2954">
        <f>'Phụ lục số 4'!H63</f>
        <v>0</v>
      </c>
      <c r="I63" s="2954"/>
      <c r="J63" s="2954">
        <f t="shared" si="13"/>
        <v>1257</v>
      </c>
      <c r="K63" s="2954">
        <f>'Phụ lục số 4'!K63</f>
        <v>0</v>
      </c>
      <c r="L63" s="2954">
        <f>'Phụ lục số 4'!L63</f>
        <v>0</v>
      </c>
      <c r="M63" s="2954">
        <f>'Phụ lục số 4'!M63</f>
        <v>0</v>
      </c>
      <c r="N63" s="2954">
        <f>'Phụ lục số 4'!N63</f>
        <v>0</v>
      </c>
      <c r="O63" s="2954">
        <f>'Phụ lục số 4'!O63</f>
        <v>0</v>
      </c>
      <c r="P63" s="2954">
        <f>'Phụ lục số 4'!P63</f>
        <v>0</v>
      </c>
      <c r="Q63" s="2954">
        <f>'Phụ lục số 4'!Q63</f>
        <v>0</v>
      </c>
      <c r="R63" s="2954">
        <f>'Phụ lục số 4'!R63</f>
        <v>0</v>
      </c>
      <c r="S63" s="2954">
        <f>'Phụ lục số 4'!S63</f>
        <v>0</v>
      </c>
      <c r="T63" s="2954">
        <f>'Phụ lục số 4'!T63</f>
        <v>0</v>
      </c>
      <c r="U63" s="2954">
        <f>'Phụ lục số 4'!U63</f>
        <v>0</v>
      </c>
      <c r="V63" s="2954">
        <f>'Phụ lục số 4'!V63</f>
        <v>1257</v>
      </c>
      <c r="W63" s="2954">
        <f>'Phụ lục số 4'!W63</f>
        <v>0</v>
      </c>
      <c r="X63" s="2954">
        <f>'Phụ lục số 4'!X63</f>
        <v>0</v>
      </c>
      <c r="Y63" s="2954">
        <f>'Phụ lục số 4'!Y63</f>
        <v>0</v>
      </c>
      <c r="Z63" s="2954">
        <f>'Phụ lục số 4'!Z63</f>
        <v>0</v>
      </c>
      <c r="AA63" s="2954">
        <f>'Phụ lục số 4'!AA63</f>
        <v>0</v>
      </c>
      <c r="AB63" s="2954">
        <f t="shared" si="25"/>
        <v>0</v>
      </c>
      <c r="AC63" s="2954">
        <f>'Phụ lục số 4'!AC63</f>
        <v>0</v>
      </c>
      <c r="AD63" s="3142">
        <f>'Phụ lục số 4'!AD63</f>
        <v>0</v>
      </c>
      <c r="AE63" s="3153">
        <f>'Phụ lục số 4'!AE63</f>
        <v>0</v>
      </c>
    </row>
    <row r="64" spans="1:31" s="154" customFormat="1">
      <c r="A64" s="2931">
        <v>48</v>
      </c>
      <c r="B64" s="2787" t="str">
        <f>'Phụ lục số 4'!B64</f>
        <v>Hội Luật gia Tỉnh</v>
      </c>
      <c r="C64" s="2954">
        <f t="shared" si="23"/>
        <v>530</v>
      </c>
      <c r="D64" s="2954">
        <f t="shared" si="24"/>
        <v>0</v>
      </c>
      <c r="E64" s="2954">
        <f>'Phụ lục số 4'!E64</f>
        <v>0</v>
      </c>
      <c r="F64" s="2954">
        <f>'Phụ lục số 4'!F64</f>
        <v>0</v>
      </c>
      <c r="G64" s="2954">
        <f>'Phụ lục số 4'!G64</f>
        <v>0</v>
      </c>
      <c r="H64" s="2954">
        <f>'Phụ lục số 4'!H64</f>
        <v>0</v>
      </c>
      <c r="I64" s="2954"/>
      <c r="J64" s="2954">
        <f t="shared" si="13"/>
        <v>530</v>
      </c>
      <c r="K64" s="2954">
        <f>'Phụ lục số 4'!K64</f>
        <v>0</v>
      </c>
      <c r="L64" s="2954">
        <f>'Phụ lục số 4'!L64</f>
        <v>30</v>
      </c>
      <c r="M64" s="2954">
        <f>'Phụ lục số 4'!M64</f>
        <v>0</v>
      </c>
      <c r="N64" s="2954">
        <f>'Phụ lục số 4'!N64</f>
        <v>0</v>
      </c>
      <c r="O64" s="2954">
        <f>'Phụ lục số 4'!O64</f>
        <v>0</v>
      </c>
      <c r="P64" s="2954">
        <f>'Phụ lục số 4'!P64</f>
        <v>0</v>
      </c>
      <c r="Q64" s="2954">
        <f>'Phụ lục số 4'!Q64</f>
        <v>0</v>
      </c>
      <c r="R64" s="2954">
        <f>'Phụ lục số 4'!R64</f>
        <v>0</v>
      </c>
      <c r="S64" s="2954">
        <f>'Phụ lục số 4'!S64</f>
        <v>0</v>
      </c>
      <c r="T64" s="2954">
        <f>'Phụ lục số 4'!T64</f>
        <v>0</v>
      </c>
      <c r="U64" s="2954">
        <f>'Phụ lục số 4'!U64</f>
        <v>0</v>
      </c>
      <c r="V64" s="2954">
        <f>'Phụ lục số 4'!V64</f>
        <v>500</v>
      </c>
      <c r="W64" s="2954">
        <f>'Phụ lục số 4'!W64</f>
        <v>0</v>
      </c>
      <c r="X64" s="2954">
        <f>'Phụ lục số 4'!X64</f>
        <v>0</v>
      </c>
      <c r="Y64" s="2954">
        <f>'Phụ lục số 4'!Y64</f>
        <v>0</v>
      </c>
      <c r="Z64" s="2954">
        <f>'Phụ lục số 4'!Z64</f>
        <v>0</v>
      </c>
      <c r="AA64" s="2954">
        <f>'Phụ lục số 4'!AA64</f>
        <v>0</v>
      </c>
      <c r="AB64" s="2954">
        <f t="shared" si="25"/>
        <v>0</v>
      </c>
      <c r="AC64" s="2954">
        <f>'Phụ lục số 4'!AC64</f>
        <v>0</v>
      </c>
      <c r="AD64" s="3142">
        <f>'Phụ lục số 4'!AD64</f>
        <v>0</v>
      </c>
      <c r="AE64" s="3153">
        <f>'Phụ lục số 4'!AE64</f>
        <v>0</v>
      </c>
    </row>
    <row r="65" spans="1:31" s="154" customFormat="1" ht="54">
      <c r="A65" s="2931">
        <v>49</v>
      </c>
      <c r="B65" s="2787" t="str">
        <f>'Phụ lục số 4'!B65</f>
        <v>Hội Bảo trợ người khuyết tật, Nạn nhân chất độc da cam/dioxin và Bệnh nhân nghèo tỉnh Đồng Tháp</v>
      </c>
      <c r="C65" s="2954">
        <f t="shared" si="23"/>
        <v>500</v>
      </c>
      <c r="D65" s="2954">
        <f t="shared" si="24"/>
        <v>0</v>
      </c>
      <c r="E65" s="2954">
        <f>'Phụ lục số 4'!E65</f>
        <v>0</v>
      </c>
      <c r="F65" s="2954">
        <f>'Phụ lục số 4'!F65</f>
        <v>0</v>
      </c>
      <c r="G65" s="2954">
        <f>'Phụ lục số 4'!G65</f>
        <v>0</v>
      </c>
      <c r="H65" s="2954">
        <f>'Phụ lục số 4'!H65</f>
        <v>0</v>
      </c>
      <c r="I65" s="2954"/>
      <c r="J65" s="2954">
        <f t="shared" si="13"/>
        <v>500</v>
      </c>
      <c r="K65" s="2954">
        <f>'Phụ lục số 4'!K65</f>
        <v>0</v>
      </c>
      <c r="L65" s="2954">
        <f>'Phụ lục số 4'!L65</f>
        <v>0</v>
      </c>
      <c r="M65" s="2954">
        <f>'Phụ lục số 4'!M65</f>
        <v>0</v>
      </c>
      <c r="N65" s="2954">
        <f>'Phụ lục số 4'!N65</f>
        <v>0</v>
      </c>
      <c r="O65" s="2954">
        <f>'Phụ lục số 4'!O65</f>
        <v>0</v>
      </c>
      <c r="P65" s="2954">
        <f>'Phụ lục số 4'!P65</f>
        <v>0</v>
      </c>
      <c r="Q65" s="2954">
        <f>'Phụ lục số 4'!Q65</f>
        <v>0</v>
      </c>
      <c r="R65" s="2954">
        <f>'Phụ lục số 4'!R65</f>
        <v>0</v>
      </c>
      <c r="S65" s="2954">
        <f>'Phụ lục số 4'!S65</f>
        <v>0</v>
      </c>
      <c r="T65" s="2954">
        <f>'Phụ lục số 4'!T65</f>
        <v>0</v>
      </c>
      <c r="U65" s="2954">
        <f>'Phụ lục số 4'!U65</f>
        <v>0</v>
      </c>
      <c r="V65" s="2954">
        <f>'Phụ lục số 4'!V65</f>
        <v>500</v>
      </c>
      <c r="W65" s="2954">
        <f>'Phụ lục số 4'!W65</f>
        <v>0</v>
      </c>
      <c r="X65" s="2954">
        <f>'Phụ lục số 4'!X65</f>
        <v>0</v>
      </c>
      <c r="Y65" s="2954">
        <f>'Phụ lục số 4'!Y65</f>
        <v>0</v>
      </c>
      <c r="Z65" s="2954">
        <f>'Phụ lục số 4'!Z65</f>
        <v>0</v>
      </c>
      <c r="AA65" s="2954">
        <f>'Phụ lục số 4'!AA65</f>
        <v>0</v>
      </c>
      <c r="AB65" s="2954">
        <f t="shared" si="25"/>
        <v>0</v>
      </c>
      <c r="AC65" s="2954">
        <f>'Phụ lục số 4'!AC65</f>
        <v>0</v>
      </c>
      <c r="AD65" s="3142">
        <f>'Phụ lục số 4'!AD65</f>
        <v>0</v>
      </c>
      <c r="AE65" s="3153">
        <f>'Phụ lục số 4'!AE65</f>
        <v>0</v>
      </c>
    </row>
    <row r="66" spans="1:31" s="154" customFormat="1">
      <c r="A66" s="2931">
        <v>50</v>
      </c>
      <c r="B66" s="2787" t="str">
        <f>'Phụ lục số 4'!B66</f>
        <v>Hội Khuyến học tỉnh</v>
      </c>
      <c r="C66" s="2954">
        <f t="shared" si="23"/>
        <v>400</v>
      </c>
      <c r="D66" s="2954">
        <f t="shared" si="24"/>
        <v>0</v>
      </c>
      <c r="E66" s="2954">
        <f>'Phụ lục số 4'!E66</f>
        <v>0</v>
      </c>
      <c r="F66" s="2954">
        <f>'Phụ lục số 4'!F66</f>
        <v>0</v>
      </c>
      <c r="G66" s="2954">
        <f>'Phụ lục số 4'!G66</f>
        <v>0</v>
      </c>
      <c r="H66" s="2954">
        <f>'Phụ lục số 4'!H66</f>
        <v>0</v>
      </c>
      <c r="I66" s="2954"/>
      <c r="J66" s="2954">
        <f t="shared" si="13"/>
        <v>400</v>
      </c>
      <c r="K66" s="2954">
        <f>'Phụ lục số 4'!K66</f>
        <v>0</v>
      </c>
      <c r="L66" s="2954">
        <f>'Phụ lục số 4'!L66</f>
        <v>0</v>
      </c>
      <c r="M66" s="2954">
        <f>'Phụ lục số 4'!M66</f>
        <v>0</v>
      </c>
      <c r="N66" s="2954">
        <f>'Phụ lục số 4'!N66</f>
        <v>0</v>
      </c>
      <c r="O66" s="2954">
        <f>'Phụ lục số 4'!O66</f>
        <v>0</v>
      </c>
      <c r="P66" s="2954">
        <f>'Phụ lục số 4'!P66</f>
        <v>0</v>
      </c>
      <c r="Q66" s="2954">
        <f>'Phụ lục số 4'!Q66</f>
        <v>0</v>
      </c>
      <c r="R66" s="2954">
        <f>'Phụ lục số 4'!R66</f>
        <v>0</v>
      </c>
      <c r="S66" s="2954">
        <f>'Phụ lục số 4'!S66</f>
        <v>0</v>
      </c>
      <c r="T66" s="2954">
        <f>'Phụ lục số 4'!T66</f>
        <v>0</v>
      </c>
      <c r="U66" s="2954">
        <f>'Phụ lục số 4'!U66</f>
        <v>0</v>
      </c>
      <c r="V66" s="2954">
        <f>'Phụ lục số 4'!V66</f>
        <v>400</v>
      </c>
      <c r="W66" s="2954">
        <f>'Phụ lục số 4'!W66</f>
        <v>0</v>
      </c>
      <c r="X66" s="2954">
        <f>'Phụ lục số 4'!X66</f>
        <v>0</v>
      </c>
      <c r="Y66" s="2954">
        <f>'Phụ lục số 4'!Y66</f>
        <v>0</v>
      </c>
      <c r="Z66" s="2954">
        <f>'Phụ lục số 4'!Z66</f>
        <v>0</v>
      </c>
      <c r="AA66" s="2954">
        <f>'Phụ lục số 4'!AA66</f>
        <v>0</v>
      </c>
      <c r="AB66" s="2954">
        <f t="shared" si="25"/>
        <v>0</v>
      </c>
      <c r="AC66" s="2954">
        <f>'Phụ lục số 4'!AC66</f>
        <v>0</v>
      </c>
      <c r="AD66" s="3142">
        <f>'Phụ lục số 4'!AD66</f>
        <v>0</v>
      </c>
      <c r="AE66" s="3153">
        <f>'Phụ lục số 4'!AE66</f>
        <v>0</v>
      </c>
    </row>
    <row r="67" spans="1:31" s="154" customFormat="1">
      <c r="A67" s="2931">
        <v>51</v>
      </c>
      <c r="B67" s="2787" t="str">
        <f>'Phụ lục số 4'!B67</f>
        <v>Hội Y học tỉnh</v>
      </c>
      <c r="C67" s="2954">
        <f t="shared" si="23"/>
        <v>400</v>
      </c>
      <c r="D67" s="2954">
        <f t="shared" si="24"/>
        <v>0</v>
      </c>
      <c r="E67" s="2954">
        <f>'Phụ lục số 4'!E67</f>
        <v>0</v>
      </c>
      <c r="F67" s="2954">
        <f>'Phụ lục số 4'!F67</f>
        <v>0</v>
      </c>
      <c r="G67" s="2954">
        <f>'Phụ lục số 4'!G67</f>
        <v>0</v>
      </c>
      <c r="H67" s="2954">
        <f>'Phụ lục số 4'!H67</f>
        <v>0</v>
      </c>
      <c r="I67" s="2954"/>
      <c r="J67" s="2954">
        <f t="shared" si="13"/>
        <v>400</v>
      </c>
      <c r="K67" s="2954">
        <f>'Phụ lục số 4'!K67</f>
        <v>0</v>
      </c>
      <c r="L67" s="2954">
        <f>'Phụ lục số 4'!L67</f>
        <v>0</v>
      </c>
      <c r="M67" s="2954">
        <f>'Phụ lục số 4'!M67</f>
        <v>0</v>
      </c>
      <c r="N67" s="2954">
        <f>'Phụ lục số 4'!N67</f>
        <v>0</v>
      </c>
      <c r="O67" s="2954">
        <f>'Phụ lục số 4'!O67</f>
        <v>0</v>
      </c>
      <c r="P67" s="2954">
        <f>'Phụ lục số 4'!P67</f>
        <v>0</v>
      </c>
      <c r="Q67" s="2954">
        <f>'Phụ lục số 4'!Q67</f>
        <v>0</v>
      </c>
      <c r="R67" s="2954">
        <f>'Phụ lục số 4'!R67</f>
        <v>0</v>
      </c>
      <c r="S67" s="2954">
        <f>'Phụ lục số 4'!S67</f>
        <v>0</v>
      </c>
      <c r="T67" s="2954">
        <f>'Phụ lục số 4'!T67</f>
        <v>0</v>
      </c>
      <c r="U67" s="2954">
        <f>'Phụ lục số 4'!U67</f>
        <v>0</v>
      </c>
      <c r="V67" s="2954">
        <f>'Phụ lục số 4'!V67</f>
        <v>400</v>
      </c>
      <c r="W67" s="2954">
        <f>'Phụ lục số 4'!W67</f>
        <v>0</v>
      </c>
      <c r="X67" s="2954">
        <f>'Phụ lục số 4'!X67</f>
        <v>0</v>
      </c>
      <c r="Y67" s="2954">
        <f>'Phụ lục số 4'!Y67</f>
        <v>0</v>
      </c>
      <c r="Z67" s="2954">
        <f>'Phụ lục số 4'!Z67</f>
        <v>0</v>
      </c>
      <c r="AA67" s="2954">
        <f>'Phụ lục số 4'!AA67</f>
        <v>0</v>
      </c>
      <c r="AB67" s="2954">
        <f t="shared" si="25"/>
        <v>0</v>
      </c>
      <c r="AC67" s="2954">
        <f>'Phụ lục số 4'!AC67</f>
        <v>0</v>
      </c>
      <c r="AD67" s="3142">
        <f>'Phụ lục số 4'!AD67</f>
        <v>0</v>
      </c>
      <c r="AE67" s="3153">
        <f>'Phụ lục số 4'!AE67</f>
        <v>0</v>
      </c>
    </row>
    <row r="68" spans="1:31" s="154" customFormat="1">
      <c r="A68" s="2931">
        <v>52</v>
      </c>
      <c r="B68" s="2787" t="str">
        <f>'Phụ lục số 4'!B68</f>
        <v>Ban đại diện Hội Người Cao tuổi</v>
      </c>
      <c r="C68" s="2954">
        <f t="shared" si="23"/>
        <v>718</v>
      </c>
      <c r="D68" s="2954">
        <f t="shared" si="24"/>
        <v>0</v>
      </c>
      <c r="E68" s="2954">
        <f>'Phụ lục số 4'!E68</f>
        <v>0</v>
      </c>
      <c r="F68" s="2954">
        <f>'Phụ lục số 4'!F68</f>
        <v>0</v>
      </c>
      <c r="G68" s="2954">
        <f>'Phụ lục số 4'!G68</f>
        <v>0</v>
      </c>
      <c r="H68" s="2954">
        <f>'Phụ lục số 4'!H68</f>
        <v>0</v>
      </c>
      <c r="I68" s="2954"/>
      <c r="J68" s="2954">
        <f t="shared" si="13"/>
        <v>718</v>
      </c>
      <c r="K68" s="2954">
        <f>'Phụ lục số 4'!K68</f>
        <v>0</v>
      </c>
      <c r="L68" s="2954">
        <f>'Phụ lục số 4'!L68</f>
        <v>38</v>
      </c>
      <c r="M68" s="2954">
        <f>'Phụ lục số 4'!M68</f>
        <v>0</v>
      </c>
      <c r="N68" s="2954">
        <f>'Phụ lục số 4'!N68</f>
        <v>0</v>
      </c>
      <c r="O68" s="2954">
        <f>'Phụ lục số 4'!O68</f>
        <v>0</v>
      </c>
      <c r="P68" s="2954">
        <f>'Phụ lục số 4'!P68</f>
        <v>0</v>
      </c>
      <c r="Q68" s="2954">
        <f>'Phụ lục số 4'!Q68</f>
        <v>0</v>
      </c>
      <c r="R68" s="2954">
        <f>'Phụ lục số 4'!R68</f>
        <v>0</v>
      </c>
      <c r="S68" s="2954">
        <f>'Phụ lục số 4'!S68</f>
        <v>0</v>
      </c>
      <c r="T68" s="2954">
        <f>'Phụ lục số 4'!T68</f>
        <v>0</v>
      </c>
      <c r="U68" s="2954">
        <f>'Phụ lục số 4'!U68</f>
        <v>0</v>
      </c>
      <c r="V68" s="2954">
        <f>'Phụ lục số 4'!V68</f>
        <v>680</v>
      </c>
      <c r="W68" s="2954">
        <f>'Phụ lục số 4'!W68</f>
        <v>0</v>
      </c>
      <c r="X68" s="2954">
        <f>'Phụ lục số 4'!X68</f>
        <v>0</v>
      </c>
      <c r="Y68" s="2954">
        <f>'Phụ lục số 4'!Y68</f>
        <v>0</v>
      </c>
      <c r="Z68" s="2954">
        <f>'Phụ lục số 4'!Z68</f>
        <v>0</v>
      </c>
      <c r="AA68" s="2954">
        <f>'Phụ lục số 4'!AA68</f>
        <v>0</v>
      </c>
      <c r="AB68" s="2954">
        <f t="shared" si="25"/>
        <v>0</v>
      </c>
      <c r="AC68" s="2954">
        <f>'Phụ lục số 4'!AC68</f>
        <v>0</v>
      </c>
      <c r="AD68" s="3142">
        <f>'Phụ lục số 4'!AD68</f>
        <v>0</v>
      </c>
      <c r="AE68" s="3153">
        <f>'Phụ lục số 4'!AE68</f>
        <v>0</v>
      </c>
    </row>
    <row r="69" spans="1:31" s="154" customFormat="1">
      <c r="A69" s="2931">
        <v>53</v>
      </c>
      <c r="B69" s="2787" t="str">
        <f>'Phụ lục số 4'!B69</f>
        <v>Hội Khoa học Lịch sử tỉnh</v>
      </c>
      <c r="C69" s="2954">
        <f t="shared" si="23"/>
        <v>1050</v>
      </c>
      <c r="D69" s="2954">
        <f t="shared" si="24"/>
        <v>0</v>
      </c>
      <c r="E69" s="2954">
        <f>'Phụ lục số 4'!E69</f>
        <v>0</v>
      </c>
      <c r="F69" s="2954">
        <f>'Phụ lục số 4'!F69</f>
        <v>0</v>
      </c>
      <c r="G69" s="2954">
        <f>'Phụ lục số 4'!G69</f>
        <v>0</v>
      </c>
      <c r="H69" s="2954">
        <f>'Phụ lục số 4'!H69</f>
        <v>0</v>
      </c>
      <c r="I69" s="2954"/>
      <c r="J69" s="2954">
        <f t="shared" si="13"/>
        <v>1050</v>
      </c>
      <c r="K69" s="2954">
        <f>'Phụ lục số 4'!K69</f>
        <v>0</v>
      </c>
      <c r="L69" s="2954">
        <f>'Phụ lục số 4'!L69</f>
        <v>0</v>
      </c>
      <c r="M69" s="2954">
        <f>'Phụ lục số 4'!M69</f>
        <v>0</v>
      </c>
      <c r="N69" s="2954">
        <f>'Phụ lục số 4'!N69</f>
        <v>0</v>
      </c>
      <c r="O69" s="2954">
        <f>'Phụ lục số 4'!O69</f>
        <v>0</v>
      </c>
      <c r="P69" s="2954">
        <f>'Phụ lục số 4'!P69</f>
        <v>0</v>
      </c>
      <c r="Q69" s="2954">
        <f>'Phụ lục số 4'!Q69</f>
        <v>0</v>
      </c>
      <c r="R69" s="2954">
        <f>'Phụ lục số 4'!R69</f>
        <v>0</v>
      </c>
      <c r="S69" s="2954">
        <f>'Phụ lục số 4'!S69</f>
        <v>0</v>
      </c>
      <c r="T69" s="2954">
        <f>'Phụ lục số 4'!T69</f>
        <v>0</v>
      </c>
      <c r="U69" s="2954">
        <f>'Phụ lục số 4'!U69</f>
        <v>0</v>
      </c>
      <c r="V69" s="2954">
        <f>'Phụ lục số 4'!V69</f>
        <v>1050</v>
      </c>
      <c r="W69" s="2954">
        <f>'Phụ lục số 4'!W69</f>
        <v>0</v>
      </c>
      <c r="X69" s="2954">
        <f>'Phụ lục số 4'!X69</f>
        <v>0</v>
      </c>
      <c r="Y69" s="2954">
        <f>'Phụ lục số 4'!Y69</f>
        <v>0</v>
      </c>
      <c r="Z69" s="2954">
        <f>'Phụ lục số 4'!Z69</f>
        <v>0</v>
      </c>
      <c r="AA69" s="2954">
        <f>'Phụ lục số 4'!AA69</f>
        <v>0</v>
      </c>
      <c r="AB69" s="2954">
        <f t="shared" si="25"/>
        <v>0</v>
      </c>
      <c r="AC69" s="2954">
        <f>'Phụ lục số 4'!AC69</f>
        <v>0</v>
      </c>
      <c r="AD69" s="3142">
        <f>'Phụ lục số 4'!AD69</f>
        <v>0</v>
      </c>
      <c r="AE69" s="3153">
        <f>'Phụ lục số 4'!AE69</f>
        <v>0</v>
      </c>
    </row>
    <row r="70" spans="1:31" s="154" customFormat="1">
      <c r="A70" s="2931">
        <v>54</v>
      </c>
      <c r="B70" s="2787" t="str">
        <f>'Phụ lục số 4'!B70</f>
        <v>Cục Thi hành án dân sự tỉnh Đồng Tháp</v>
      </c>
      <c r="C70" s="2954">
        <f t="shared" si="23"/>
        <v>150</v>
      </c>
      <c r="D70" s="2954"/>
      <c r="E70" s="2954"/>
      <c r="F70" s="2954"/>
      <c r="G70" s="2954"/>
      <c r="H70" s="2954"/>
      <c r="I70" s="2954"/>
      <c r="J70" s="2954">
        <f t="shared" si="13"/>
        <v>150</v>
      </c>
      <c r="K70" s="2954"/>
      <c r="L70" s="2954"/>
      <c r="M70" s="2954"/>
      <c r="N70" s="2954"/>
      <c r="O70" s="2954"/>
      <c r="P70" s="2954"/>
      <c r="Q70" s="2954"/>
      <c r="R70" s="2954"/>
      <c r="S70" s="2954"/>
      <c r="T70" s="2954"/>
      <c r="U70" s="2954"/>
      <c r="V70" s="2954">
        <f>'Phụ lục số 4'!V70</f>
        <v>150</v>
      </c>
      <c r="W70" s="2954"/>
      <c r="X70" s="2954"/>
      <c r="Y70" s="2954"/>
      <c r="Z70" s="2954"/>
      <c r="AA70" s="2954"/>
      <c r="AB70" s="2954"/>
      <c r="AC70" s="2954"/>
      <c r="AD70" s="3142"/>
      <c r="AE70" s="3153"/>
    </row>
    <row r="71" spans="1:31" s="154" customFormat="1">
      <c r="A71" s="2931">
        <v>55</v>
      </c>
      <c r="B71" s="2787" t="str">
        <f>'Phụ lục số 4'!B71</f>
        <v>Cục Thuế tỉnh Đồng Tháp</v>
      </c>
      <c r="C71" s="2954">
        <f t="shared" si="23"/>
        <v>300</v>
      </c>
      <c r="D71" s="2954"/>
      <c r="E71" s="2954"/>
      <c r="F71" s="2954"/>
      <c r="G71" s="2954"/>
      <c r="H71" s="2954"/>
      <c r="I71" s="2954"/>
      <c r="J71" s="2954">
        <f t="shared" si="13"/>
        <v>300</v>
      </c>
      <c r="K71" s="2954"/>
      <c r="L71" s="2954"/>
      <c r="M71" s="2954"/>
      <c r="N71" s="2954"/>
      <c r="O71" s="2954"/>
      <c r="P71" s="2954"/>
      <c r="Q71" s="2954"/>
      <c r="R71" s="2954"/>
      <c r="S71" s="2954"/>
      <c r="T71" s="2954"/>
      <c r="U71" s="2954"/>
      <c r="V71" s="2954">
        <f>'Phụ lục số 4'!V71</f>
        <v>300</v>
      </c>
      <c r="W71" s="2954"/>
      <c r="X71" s="2954"/>
      <c r="Y71" s="2954"/>
      <c r="Z71" s="2954"/>
      <c r="AA71" s="2954"/>
      <c r="AB71" s="2954"/>
      <c r="AC71" s="2954"/>
      <c r="AD71" s="3142"/>
      <c r="AE71" s="3153"/>
    </row>
    <row r="72" spans="1:31" s="154" customFormat="1">
      <c r="A72" s="2931">
        <v>56</v>
      </c>
      <c r="B72" s="2787" t="str">
        <f>'Phụ lục số 4'!B72</f>
        <v>Cục Thống kê tỉnh Đồng Tháp</v>
      </c>
      <c r="C72" s="2954">
        <f t="shared" si="23"/>
        <v>100</v>
      </c>
      <c r="D72" s="2954"/>
      <c r="E72" s="2954"/>
      <c r="F72" s="2954"/>
      <c r="G72" s="2954"/>
      <c r="H72" s="2954"/>
      <c r="I72" s="2954"/>
      <c r="J72" s="2954">
        <f t="shared" si="13"/>
        <v>100</v>
      </c>
      <c r="K72" s="2954"/>
      <c r="L72" s="2954"/>
      <c r="M72" s="2954"/>
      <c r="N72" s="2954"/>
      <c r="O72" s="2954"/>
      <c r="P72" s="2954"/>
      <c r="Q72" s="2954"/>
      <c r="R72" s="2954"/>
      <c r="S72" s="2954"/>
      <c r="T72" s="2954"/>
      <c r="U72" s="2954"/>
      <c r="V72" s="2954">
        <f>'Phụ lục số 4'!V72</f>
        <v>100</v>
      </c>
      <c r="W72" s="2954"/>
      <c r="X72" s="2954"/>
      <c r="Y72" s="2954"/>
      <c r="Z72" s="2954"/>
      <c r="AA72" s="2954"/>
      <c r="AB72" s="2954"/>
      <c r="AC72" s="2954"/>
      <c r="AD72" s="3142"/>
      <c r="AE72" s="3153"/>
    </row>
    <row r="73" spans="1:31" s="154" customFormat="1">
      <c r="A73" s="2931">
        <v>57</v>
      </c>
      <c r="B73" s="2787" t="str">
        <f>'Phụ lục số 4'!B73</f>
        <v>Cục Quản lý thị trường Tỉnh</v>
      </c>
      <c r="C73" s="2954">
        <f t="shared" si="23"/>
        <v>300</v>
      </c>
      <c r="D73" s="2954"/>
      <c r="E73" s="2954"/>
      <c r="F73" s="2954"/>
      <c r="G73" s="2954"/>
      <c r="H73" s="2954"/>
      <c r="I73" s="2954"/>
      <c r="J73" s="2954">
        <f t="shared" si="13"/>
        <v>300</v>
      </c>
      <c r="K73" s="2954"/>
      <c r="L73" s="2954"/>
      <c r="M73" s="2954"/>
      <c r="N73" s="2954"/>
      <c r="O73" s="2954"/>
      <c r="P73" s="2954"/>
      <c r="Q73" s="2954"/>
      <c r="R73" s="2954"/>
      <c r="S73" s="2954"/>
      <c r="T73" s="2954"/>
      <c r="U73" s="2954"/>
      <c r="V73" s="2954">
        <f>'Phụ lục số 4'!V73</f>
        <v>300</v>
      </c>
      <c r="W73" s="2954"/>
      <c r="X73" s="2954"/>
      <c r="Y73" s="2954"/>
      <c r="Z73" s="2954"/>
      <c r="AA73" s="2954"/>
      <c r="AB73" s="2954"/>
      <c r="AC73" s="2954"/>
      <c r="AD73" s="3142"/>
      <c r="AE73" s="3153"/>
    </row>
    <row r="74" spans="1:31">
      <c r="A74" s="3063">
        <v>57</v>
      </c>
      <c r="B74" s="3580" t="str">
        <f>'Phụ lục số 4'!B74</f>
        <v>Tòa án Nhân dân tỉnh Đồng Tháp</v>
      </c>
      <c r="C74" s="3581">
        <f t="shared" si="23"/>
        <v>187</v>
      </c>
      <c r="D74" s="3581"/>
      <c r="E74" s="3581"/>
      <c r="F74" s="3581"/>
      <c r="G74" s="3581"/>
      <c r="H74" s="3581"/>
      <c r="I74" s="3581"/>
      <c r="J74" s="3581">
        <f t="shared" si="13"/>
        <v>187</v>
      </c>
      <c r="K74" s="3581"/>
      <c r="L74" s="3581"/>
      <c r="M74" s="3581"/>
      <c r="N74" s="3581"/>
      <c r="O74" s="3581"/>
      <c r="P74" s="3581"/>
      <c r="Q74" s="3581"/>
      <c r="R74" s="3581"/>
      <c r="S74" s="3581"/>
      <c r="T74" s="3581"/>
      <c r="U74" s="3581"/>
      <c r="V74" s="2954">
        <f>'Phụ lục số 4'!V74</f>
        <v>187</v>
      </c>
      <c r="W74" s="3581"/>
      <c r="X74" s="3581"/>
      <c r="Y74" s="3581"/>
      <c r="Z74" s="3581"/>
      <c r="AA74" s="3581"/>
      <c r="AB74" s="3581"/>
      <c r="AC74" s="3581"/>
      <c r="AD74" s="3582"/>
      <c r="AE74" s="3583"/>
    </row>
    <row r="75" spans="1:31" s="1319" customFormat="1" ht="69.599999999999994">
      <c r="A75" s="3028" t="s">
        <v>72</v>
      </c>
      <c r="B75" s="3562" t="str">
        <f>'Phụ lục số 4'!B75</f>
        <v>CÁC KHOẢN CHI ĐÃ GIAO THEO LĨNH VỰC (CHƯA GIAO CỤ THỂ ĐẦU NĂM) CHO ĐƠN VỊ TRÊN ĐỊA BÀN TỈNH</v>
      </c>
      <c r="C75" s="3563">
        <f>D75+J75+AB75+W75+X75</f>
        <v>330590.55099999998</v>
      </c>
      <c r="D75" s="3563">
        <f t="shared" ref="D75:D108" si="26">SUM(E75:H75)</f>
        <v>0</v>
      </c>
      <c r="E75" s="3563">
        <f>'Phụ lục số 4'!E75</f>
        <v>0</v>
      </c>
      <c r="F75" s="3563">
        <f>'Phụ lục số 4'!F75</f>
        <v>0</v>
      </c>
      <c r="G75" s="3563">
        <f>'Phụ lục số 4'!G75</f>
        <v>0</v>
      </c>
      <c r="H75" s="3563">
        <f>'Phụ lục số 4'!H75</f>
        <v>0</v>
      </c>
      <c r="I75" s="3563"/>
      <c r="J75" s="3563">
        <f t="shared" si="13"/>
        <v>318964.55099999998</v>
      </c>
      <c r="K75" s="3563">
        <f>'Phụ lục số 4'!K75</f>
        <v>195500</v>
      </c>
      <c r="L75" s="3563">
        <f>'Phụ lục số 4'!L75</f>
        <v>1152</v>
      </c>
      <c r="M75" s="3563">
        <f>'Phụ lục số 4'!M75</f>
        <v>1892</v>
      </c>
      <c r="N75" s="3563">
        <f>'Phụ lục số 4'!N75</f>
        <v>74667</v>
      </c>
      <c r="O75" s="3563">
        <f>'Phụ lục số 4'!O75</f>
        <v>0</v>
      </c>
      <c r="P75" s="3563">
        <f>'Phụ lục số 4'!P75</f>
        <v>2694</v>
      </c>
      <c r="Q75" s="3563">
        <f>'Phụ lục số 4'!Q75</f>
        <v>0</v>
      </c>
      <c r="R75" s="3563">
        <f>'Phụ lục số 4'!R75</f>
        <v>0</v>
      </c>
      <c r="S75" s="3563">
        <f>'Phụ lục số 4'!S75</f>
        <v>23385</v>
      </c>
      <c r="T75" s="3563">
        <f>'Phụ lục số 4'!T75</f>
        <v>5498.9510000000009</v>
      </c>
      <c r="U75" s="3563">
        <f>'Phụ lục số 4'!U75</f>
        <v>-0.39999999999417923</v>
      </c>
      <c r="V75" s="3563">
        <f>'Phụ lục số 4'!V75</f>
        <v>14176</v>
      </c>
      <c r="W75" s="3563">
        <f>'Phụ lục số 4'!W75</f>
        <v>0</v>
      </c>
      <c r="X75" s="3563">
        <f>'Phụ lục số 4'!X75</f>
        <v>0</v>
      </c>
      <c r="Y75" s="3563">
        <f>'Phụ lục số 4'!Y75</f>
        <v>0</v>
      </c>
      <c r="Z75" s="3563">
        <f>'Phụ lục số 4'!Z75</f>
        <v>0</v>
      </c>
      <c r="AA75" s="3563">
        <f>'Phụ lục số 4'!AA75</f>
        <v>0</v>
      </c>
      <c r="AB75" s="3563">
        <f t="shared" ref="AB75" si="27">SUM(AC75:AD75)</f>
        <v>11626</v>
      </c>
      <c r="AC75" s="3563">
        <f>'Phụ lục số 4'!AC75</f>
        <v>0</v>
      </c>
      <c r="AD75" s="3564">
        <f>'Phụ lục số 4'!AD75</f>
        <v>11626</v>
      </c>
      <c r="AE75" s="3154">
        <f>'Phụ lục số 4'!AE75</f>
        <v>0</v>
      </c>
    </row>
    <row r="76" spans="1:31" s="1319" customFormat="1" ht="17.399999999999999">
      <c r="A76" s="3671">
        <f>'Phụ lục số 4'!A76</f>
        <v>1</v>
      </c>
      <c r="B76" s="3612" t="str">
        <f>'Phụ lục số 4'!B76</f>
        <v>Các nhiệm vụ chi hoạt động kinh tế</v>
      </c>
      <c r="C76" s="2956">
        <f t="shared" ref="C76:C105" si="28">D76+J76+AB76+W76+X76+AA76</f>
        <v>195500</v>
      </c>
      <c r="D76" s="3563"/>
      <c r="E76" s="3563"/>
      <c r="F76" s="3563"/>
      <c r="G76" s="3563"/>
      <c r="H76" s="3563"/>
      <c r="I76" s="3563"/>
      <c r="J76" s="2956">
        <f>SUM(K76:V76)</f>
        <v>195500</v>
      </c>
      <c r="K76" s="2956">
        <f>'Phụ lục số 4'!K76</f>
        <v>195500</v>
      </c>
      <c r="L76" s="2956">
        <f>'Phụ lục số 4'!L76</f>
        <v>0</v>
      </c>
      <c r="M76" s="2956">
        <f>'Phụ lục số 4'!M76</f>
        <v>0</v>
      </c>
      <c r="N76" s="2956">
        <f>'Phụ lục số 4'!N76</f>
        <v>0</v>
      </c>
      <c r="O76" s="2956">
        <f>'Phụ lục số 4'!O76</f>
        <v>0</v>
      </c>
      <c r="P76" s="2956">
        <f>'Phụ lục số 4'!P76</f>
        <v>0</v>
      </c>
      <c r="Q76" s="2956">
        <f>'Phụ lục số 4'!Q76</f>
        <v>0</v>
      </c>
      <c r="R76" s="2956">
        <f>'Phụ lục số 4'!R76</f>
        <v>0</v>
      </c>
      <c r="S76" s="2956">
        <f>'Phụ lục số 4'!S76</f>
        <v>0</v>
      </c>
      <c r="T76" s="2956">
        <f>'Phụ lục số 4'!T76</f>
        <v>0</v>
      </c>
      <c r="U76" s="2956">
        <f>'Phụ lục số 4'!U76</f>
        <v>0</v>
      </c>
      <c r="V76" s="2956">
        <f>'Phụ lục số 4'!V76</f>
        <v>0</v>
      </c>
      <c r="W76" s="2956">
        <f>'Phụ lục số 4'!W76</f>
        <v>0</v>
      </c>
      <c r="X76" s="2956">
        <f>'Phụ lục số 4'!X76</f>
        <v>0</v>
      </c>
      <c r="Y76" s="2956">
        <f>'Phụ lục số 4'!Y76</f>
        <v>0</v>
      </c>
      <c r="Z76" s="2956">
        <f>'Phụ lục số 4'!Z76</f>
        <v>0</v>
      </c>
      <c r="AA76" s="2956">
        <f>'Phụ lục số 4'!AA76</f>
        <v>0</v>
      </c>
      <c r="AB76" s="2956">
        <f>'Phụ lục số 4'!AB76</f>
        <v>0</v>
      </c>
      <c r="AC76" s="2956">
        <f>'Phụ lục số 4'!AC76</f>
        <v>0</v>
      </c>
      <c r="AD76" s="3143">
        <f>'Phụ lục số 4'!AD76</f>
        <v>0</v>
      </c>
      <c r="AE76" s="3154"/>
    </row>
    <row r="77" spans="1:31" s="154" customFormat="1" ht="36">
      <c r="A77" s="3031" t="str">
        <f>'Phụ lục số 4'!A77</f>
        <v>a</v>
      </c>
      <c r="B77" s="3593" t="str">
        <f>'Phụ lục số 4'!B77</f>
        <v>Kinh phí phát triển cây xanh, chiếu sáng đô thị toàn tỉnh</v>
      </c>
      <c r="C77" s="2954">
        <f t="shared" si="28"/>
        <v>70000</v>
      </c>
      <c r="D77" s="2954">
        <f t="shared" si="26"/>
        <v>0</v>
      </c>
      <c r="E77" s="2954">
        <f>'Phụ lục số 4'!E77</f>
        <v>0</v>
      </c>
      <c r="F77" s="2954">
        <f>'Phụ lục số 4'!F77</f>
        <v>0</v>
      </c>
      <c r="G77" s="2954">
        <f>'Phụ lục số 4'!G77</f>
        <v>0</v>
      </c>
      <c r="H77" s="2954">
        <f>'Phụ lục số 4'!H77</f>
        <v>0</v>
      </c>
      <c r="I77" s="2954"/>
      <c r="J77" s="2954">
        <f t="shared" si="13"/>
        <v>70000</v>
      </c>
      <c r="K77" s="2954">
        <f>'Phụ lục số 4'!K77</f>
        <v>70000</v>
      </c>
      <c r="L77" s="2954">
        <f>'Phụ lục số 4'!L77</f>
        <v>0</v>
      </c>
      <c r="M77" s="2954">
        <f>'Phụ lục số 4'!M77</f>
        <v>0</v>
      </c>
      <c r="N77" s="2954">
        <f>'Phụ lục số 4'!N77</f>
        <v>0</v>
      </c>
      <c r="O77" s="2954">
        <f>'Phụ lục số 4'!O77</f>
        <v>0</v>
      </c>
      <c r="P77" s="2954">
        <f>'Phụ lục số 4'!P77</f>
        <v>0</v>
      </c>
      <c r="Q77" s="2954">
        <f>'Phụ lục số 4'!Q77</f>
        <v>0</v>
      </c>
      <c r="R77" s="2954">
        <f>'Phụ lục số 4'!R77</f>
        <v>0</v>
      </c>
      <c r="S77" s="2954">
        <f>'Phụ lục số 4'!S77</f>
        <v>0</v>
      </c>
      <c r="T77" s="2954">
        <f>'Phụ lục số 4'!T77</f>
        <v>0</v>
      </c>
      <c r="U77" s="2954">
        <f>'Phụ lục số 4'!U77</f>
        <v>0</v>
      </c>
      <c r="V77" s="2954">
        <f>'Phụ lục số 4'!V77</f>
        <v>0</v>
      </c>
      <c r="W77" s="2954">
        <f>'Phụ lục số 4'!W77</f>
        <v>0</v>
      </c>
      <c r="X77" s="2954">
        <f>'Phụ lục số 4'!X77</f>
        <v>0</v>
      </c>
      <c r="Y77" s="2954">
        <f>'Phụ lục số 4'!Y77</f>
        <v>0</v>
      </c>
      <c r="Z77" s="2954">
        <f>'Phụ lục số 4'!Z77</f>
        <v>0</v>
      </c>
      <c r="AA77" s="2954">
        <f>'Phụ lục số 4'!AA77</f>
        <v>0</v>
      </c>
      <c r="AB77" s="2954">
        <f>'Phụ lục số 4'!AB77</f>
        <v>0</v>
      </c>
      <c r="AC77" s="2954">
        <f>'Phụ lục số 4'!AC77</f>
        <v>0</v>
      </c>
      <c r="AD77" s="3142">
        <f>'Phụ lục số 4'!AD77</f>
        <v>0</v>
      </c>
      <c r="AE77" s="3153">
        <f>'Phụ lục số 4'!AE77</f>
        <v>0</v>
      </c>
    </row>
    <row r="78" spans="1:31" s="154" customFormat="1" ht="36">
      <c r="A78" s="3031" t="str">
        <f>'Phụ lục số 4'!A78</f>
        <v>b</v>
      </c>
      <c r="B78" s="3593" t="str">
        <f>'Phụ lục số 4'!B78</f>
        <v>Kinh phí đối ứng nông thôn mới và giảm nghèo bền vững</v>
      </c>
      <c r="C78" s="2954">
        <f t="shared" si="28"/>
        <v>55000</v>
      </c>
      <c r="D78" s="2954"/>
      <c r="E78" s="2954"/>
      <c r="F78" s="2954"/>
      <c r="G78" s="2954"/>
      <c r="H78" s="2954"/>
      <c r="I78" s="2954"/>
      <c r="J78" s="2954">
        <f t="shared" si="13"/>
        <v>55000</v>
      </c>
      <c r="K78" s="2954">
        <f>'Phụ lục số 4'!K78</f>
        <v>55000</v>
      </c>
      <c r="L78" s="2954">
        <f>'Phụ lục số 4'!L78</f>
        <v>0</v>
      </c>
      <c r="M78" s="2954">
        <f>'Phụ lục số 4'!M78</f>
        <v>0</v>
      </c>
      <c r="N78" s="2954">
        <f>'Phụ lục số 4'!N78</f>
        <v>0</v>
      </c>
      <c r="O78" s="2954">
        <f>'Phụ lục số 4'!O78</f>
        <v>0</v>
      </c>
      <c r="P78" s="2954">
        <f>'Phụ lục số 4'!P78</f>
        <v>0</v>
      </c>
      <c r="Q78" s="2954">
        <f>'Phụ lục số 4'!Q78</f>
        <v>0</v>
      </c>
      <c r="R78" s="2954">
        <f>'Phụ lục số 4'!R78</f>
        <v>0</v>
      </c>
      <c r="S78" s="2954">
        <f>'Phụ lục số 4'!S78</f>
        <v>0</v>
      </c>
      <c r="T78" s="2954">
        <f>'Phụ lục số 4'!T78</f>
        <v>0</v>
      </c>
      <c r="U78" s="2954">
        <f>'Phụ lục số 4'!U78</f>
        <v>0</v>
      </c>
      <c r="V78" s="2954">
        <f>'Phụ lục số 4'!V78</f>
        <v>0</v>
      </c>
      <c r="W78" s="2954">
        <f>'Phụ lục số 4'!W78</f>
        <v>0</v>
      </c>
      <c r="X78" s="2954">
        <f>'Phụ lục số 4'!X78</f>
        <v>0</v>
      </c>
      <c r="Y78" s="2954">
        <f>'Phụ lục số 4'!Y78</f>
        <v>0</v>
      </c>
      <c r="Z78" s="2954">
        <f>'Phụ lục số 4'!Z78</f>
        <v>0</v>
      </c>
      <c r="AA78" s="2954">
        <f>'Phụ lục số 4'!AA78</f>
        <v>0</v>
      </c>
      <c r="AB78" s="2954">
        <f>'Phụ lục số 4'!AB78</f>
        <v>0</v>
      </c>
      <c r="AC78" s="2954">
        <f>'Phụ lục số 4'!AC78</f>
        <v>0</v>
      </c>
      <c r="AD78" s="3142">
        <f>'Phụ lục số 4'!AD78</f>
        <v>0</v>
      </c>
      <c r="AE78" s="3153"/>
    </row>
    <row r="79" spans="1:31" s="154" customFormat="1" ht="36">
      <c r="A79" s="3031" t="str">
        <f>'Phụ lục số 4'!A79</f>
        <v>c</v>
      </c>
      <c r="B79" s="3593" t="str">
        <f>'Phụ lục số 4'!B79</f>
        <v>Chính sách ưu đãi (hỗ trợ lãi suất, cấp bù lãi suất); kinh phí quy hoạch</v>
      </c>
      <c r="C79" s="2954">
        <f t="shared" si="28"/>
        <v>15000</v>
      </c>
      <c r="D79" s="2954"/>
      <c r="E79" s="2954"/>
      <c r="F79" s="2954"/>
      <c r="G79" s="2954"/>
      <c r="H79" s="2954"/>
      <c r="I79" s="2954"/>
      <c r="J79" s="2954">
        <f t="shared" si="13"/>
        <v>15000</v>
      </c>
      <c r="K79" s="2954">
        <f>'Phụ lục số 4'!K79</f>
        <v>15000</v>
      </c>
      <c r="L79" s="2954">
        <f>'Phụ lục số 4'!L79</f>
        <v>0</v>
      </c>
      <c r="M79" s="2954">
        <f>'Phụ lục số 4'!M79</f>
        <v>0</v>
      </c>
      <c r="N79" s="2954">
        <f>'Phụ lục số 4'!N79</f>
        <v>0</v>
      </c>
      <c r="O79" s="2954">
        <f>'Phụ lục số 4'!O79</f>
        <v>0</v>
      </c>
      <c r="P79" s="2954">
        <f>'Phụ lục số 4'!P79</f>
        <v>0</v>
      </c>
      <c r="Q79" s="2954">
        <f>'Phụ lục số 4'!Q79</f>
        <v>0</v>
      </c>
      <c r="R79" s="2954">
        <f>'Phụ lục số 4'!R79</f>
        <v>0</v>
      </c>
      <c r="S79" s="2954">
        <f>'Phụ lục số 4'!S79</f>
        <v>0</v>
      </c>
      <c r="T79" s="2954">
        <f>'Phụ lục số 4'!T79</f>
        <v>0</v>
      </c>
      <c r="U79" s="2954">
        <f>'Phụ lục số 4'!U79</f>
        <v>0</v>
      </c>
      <c r="V79" s="2954">
        <f>'Phụ lục số 4'!V79</f>
        <v>0</v>
      </c>
      <c r="W79" s="2954">
        <f>'Phụ lục số 4'!W79</f>
        <v>0</v>
      </c>
      <c r="X79" s="2954">
        <f>'Phụ lục số 4'!X79</f>
        <v>0</v>
      </c>
      <c r="Y79" s="2954">
        <f>'Phụ lục số 4'!Y79</f>
        <v>0</v>
      </c>
      <c r="Z79" s="2954">
        <f>'Phụ lục số 4'!Z79</f>
        <v>0</v>
      </c>
      <c r="AA79" s="2954">
        <f>'Phụ lục số 4'!AA79</f>
        <v>0</v>
      </c>
      <c r="AB79" s="2954">
        <f>'Phụ lục số 4'!AB79</f>
        <v>0</v>
      </c>
      <c r="AC79" s="2954">
        <f>'Phụ lục số 4'!AC79</f>
        <v>0</v>
      </c>
      <c r="AD79" s="3142">
        <f>'Phụ lục số 4'!AD79</f>
        <v>0</v>
      </c>
      <c r="AE79" s="3153"/>
    </row>
    <row r="80" spans="1:31" s="2351" customFormat="1" ht="54">
      <c r="A80" s="3033" t="str">
        <f>'Phụ lục số 4'!A80</f>
        <v>d</v>
      </c>
      <c r="B80" s="3673" t="str">
        <f>'Phụ lục số 4'!B80</f>
        <v>Trong đó; Một số nhiệm vụ chi phải báo cáo cấp có thẩm quyền xem xét, quyết định cho phép thực hiện</v>
      </c>
      <c r="C80" s="3651">
        <f t="shared" si="28"/>
        <v>55500</v>
      </c>
      <c r="D80" s="3651"/>
      <c r="E80" s="3651"/>
      <c r="F80" s="3651"/>
      <c r="G80" s="3651"/>
      <c r="H80" s="3651"/>
      <c r="I80" s="3651"/>
      <c r="J80" s="3651">
        <f t="shared" si="13"/>
        <v>55500</v>
      </c>
      <c r="K80" s="3651">
        <f>'Phụ lục số 4'!K80</f>
        <v>55500</v>
      </c>
      <c r="L80" s="3651">
        <f>'Phụ lục số 4'!L80</f>
        <v>0</v>
      </c>
      <c r="M80" s="3651">
        <f>'Phụ lục số 4'!M80</f>
        <v>0</v>
      </c>
      <c r="N80" s="3651">
        <f>'Phụ lục số 4'!N80</f>
        <v>0</v>
      </c>
      <c r="O80" s="3651">
        <f>'Phụ lục số 4'!O80</f>
        <v>0</v>
      </c>
      <c r="P80" s="3651">
        <f>'Phụ lục số 4'!P80</f>
        <v>0</v>
      </c>
      <c r="Q80" s="3651">
        <f>'Phụ lục số 4'!Q80</f>
        <v>0</v>
      </c>
      <c r="R80" s="3651">
        <f>'Phụ lục số 4'!R80</f>
        <v>0</v>
      </c>
      <c r="S80" s="3651">
        <f>'Phụ lục số 4'!S80</f>
        <v>0</v>
      </c>
      <c r="T80" s="3651">
        <f>'Phụ lục số 4'!T80</f>
        <v>0</v>
      </c>
      <c r="U80" s="3651">
        <f>'Phụ lục số 4'!U80</f>
        <v>0</v>
      </c>
      <c r="V80" s="3651">
        <f>'Phụ lục số 4'!V80</f>
        <v>0</v>
      </c>
      <c r="W80" s="3651">
        <f>'Phụ lục số 4'!W80</f>
        <v>0</v>
      </c>
      <c r="X80" s="3651">
        <f>'Phụ lục số 4'!X80</f>
        <v>0</v>
      </c>
      <c r="Y80" s="3651">
        <f>'Phụ lục số 4'!Y80</f>
        <v>0</v>
      </c>
      <c r="Z80" s="3651">
        <f>'Phụ lục số 4'!Z80</f>
        <v>0</v>
      </c>
      <c r="AA80" s="3651">
        <f>'Phụ lục số 4'!AA80</f>
        <v>0</v>
      </c>
      <c r="AB80" s="3651">
        <f>'Phụ lục số 4'!AB80</f>
        <v>0</v>
      </c>
      <c r="AC80" s="3651">
        <f>'Phụ lục số 4'!AC80</f>
        <v>0</v>
      </c>
      <c r="AD80" s="3674">
        <f>'Phụ lục số 4'!AD80</f>
        <v>0</v>
      </c>
      <c r="AE80" s="3675"/>
    </row>
    <row r="81" spans="1:31" s="1319" customFormat="1" ht="17.399999999999999">
      <c r="A81" s="3671">
        <f>'Phụ lục số 4'!A81</f>
        <v>2</v>
      </c>
      <c r="B81" s="3592" t="str">
        <f>'Phụ lục số 4'!B81</f>
        <v>Chi sự nghiệp môi trường</v>
      </c>
      <c r="C81" s="2956">
        <f t="shared" si="28"/>
        <v>1152</v>
      </c>
      <c r="D81" s="2956"/>
      <c r="E81" s="2956"/>
      <c r="F81" s="2956"/>
      <c r="G81" s="2956"/>
      <c r="H81" s="2956"/>
      <c r="I81" s="2956"/>
      <c r="J81" s="2956">
        <f t="shared" si="13"/>
        <v>1152</v>
      </c>
      <c r="K81" s="2956">
        <f>'Phụ lục số 4'!K81</f>
        <v>0</v>
      </c>
      <c r="L81" s="2956">
        <f>'Phụ lục số 4'!L81</f>
        <v>1152</v>
      </c>
      <c r="M81" s="2956">
        <f>'Phụ lục số 4'!M81</f>
        <v>0</v>
      </c>
      <c r="N81" s="2956">
        <f>'Phụ lục số 4'!N81</f>
        <v>0</v>
      </c>
      <c r="O81" s="2956">
        <f>'Phụ lục số 4'!O81</f>
        <v>0</v>
      </c>
      <c r="P81" s="2956">
        <f>'Phụ lục số 4'!P81</f>
        <v>0</v>
      </c>
      <c r="Q81" s="2956">
        <f>'Phụ lục số 4'!Q81</f>
        <v>0</v>
      </c>
      <c r="R81" s="2956">
        <f>'Phụ lục số 4'!R81</f>
        <v>0</v>
      </c>
      <c r="S81" s="2956">
        <f>'Phụ lục số 4'!S81</f>
        <v>0</v>
      </c>
      <c r="T81" s="2956">
        <f>'Phụ lục số 4'!T81</f>
        <v>0</v>
      </c>
      <c r="U81" s="2956">
        <f>'Phụ lục số 4'!U81</f>
        <v>0</v>
      </c>
      <c r="V81" s="2956">
        <f>'Phụ lục số 4'!V81</f>
        <v>0</v>
      </c>
      <c r="W81" s="2956">
        <f>'Phụ lục số 4'!W81</f>
        <v>0</v>
      </c>
      <c r="X81" s="2956">
        <f>'Phụ lục số 4'!X81</f>
        <v>0</v>
      </c>
      <c r="Y81" s="2956">
        <f>'Phụ lục số 4'!Y81</f>
        <v>0</v>
      </c>
      <c r="Z81" s="2956">
        <f>'Phụ lục số 4'!Z81</f>
        <v>0</v>
      </c>
      <c r="AA81" s="2956">
        <f>'Phụ lục số 4'!AA81</f>
        <v>0</v>
      </c>
      <c r="AB81" s="2956">
        <f>'Phụ lục số 4'!AB81</f>
        <v>0</v>
      </c>
      <c r="AC81" s="2956">
        <f>'Phụ lục số 4'!AC81</f>
        <v>0</v>
      </c>
      <c r="AD81" s="3143">
        <f>'Phụ lục số 4'!AD81</f>
        <v>0</v>
      </c>
      <c r="AE81" s="3154"/>
    </row>
    <row r="82" spans="1:31" s="2351" customFormat="1" ht="54">
      <c r="A82" s="3033"/>
      <c r="B82" s="3673" t="str">
        <f>'Phụ lục số 4'!B82</f>
        <v>Trong đó; Một số nhiệm vụ chi phải báo cáo cấp có thẩm quyền xem xét, quyết định cho phép thực hiện</v>
      </c>
      <c r="C82" s="3651">
        <f t="shared" si="28"/>
        <v>1152</v>
      </c>
      <c r="D82" s="3651"/>
      <c r="E82" s="3651"/>
      <c r="F82" s="3651"/>
      <c r="G82" s="3651"/>
      <c r="H82" s="3651"/>
      <c r="I82" s="3651"/>
      <c r="J82" s="3651">
        <f t="shared" si="13"/>
        <v>1152</v>
      </c>
      <c r="K82" s="3651">
        <f>'Phụ lục số 4'!K82</f>
        <v>0</v>
      </c>
      <c r="L82" s="3651">
        <f>'Phụ lục số 4'!L82</f>
        <v>1152</v>
      </c>
      <c r="M82" s="3651">
        <f>'Phụ lục số 4'!M82</f>
        <v>0</v>
      </c>
      <c r="N82" s="3651">
        <f>'Phụ lục số 4'!N82</f>
        <v>0</v>
      </c>
      <c r="O82" s="3651">
        <f>'Phụ lục số 4'!O82</f>
        <v>0</v>
      </c>
      <c r="P82" s="3651">
        <f>'Phụ lục số 4'!P82</f>
        <v>0</v>
      </c>
      <c r="Q82" s="3651">
        <f>'Phụ lục số 4'!Q82</f>
        <v>0</v>
      </c>
      <c r="R82" s="3651">
        <f>'Phụ lục số 4'!R82</f>
        <v>0</v>
      </c>
      <c r="S82" s="3651">
        <f>'Phụ lục số 4'!S82</f>
        <v>0</v>
      </c>
      <c r="T82" s="3651">
        <f>'Phụ lục số 4'!T82</f>
        <v>0</v>
      </c>
      <c r="U82" s="3651">
        <f>'Phụ lục số 4'!U82</f>
        <v>0</v>
      </c>
      <c r="V82" s="3651">
        <f>'Phụ lục số 4'!V82</f>
        <v>0</v>
      </c>
      <c r="W82" s="3651">
        <f>'Phụ lục số 4'!W82</f>
        <v>0</v>
      </c>
      <c r="X82" s="3651">
        <f>'Phụ lục số 4'!X82</f>
        <v>0</v>
      </c>
      <c r="Y82" s="3651">
        <f>'Phụ lục số 4'!Y82</f>
        <v>0</v>
      </c>
      <c r="Z82" s="3651">
        <f>'Phụ lục số 4'!Z82</f>
        <v>0</v>
      </c>
      <c r="AA82" s="3651">
        <f>'Phụ lục số 4'!AA82</f>
        <v>0</v>
      </c>
      <c r="AB82" s="3651">
        <f>'Phụ lục số 4'!AB82</f>
        <v>0</v>
      </c>
      <c r="AC82" s="3651">
        <f>'Phụ lục số 4'!AC82</f>
        <v>0</v>
      </c>
      <c r="AD82" s="3674">
        <f>'Phụ lục số 4'!AD82</f>
        <v>0</v>
      </c>
      <c r="AE82" s="3675"/>
    </row>
    <row r="83" spans="1:31" s="1319" customFormat="1" ht="17.399999999999999">
      <c r="A83" s="3671">
        <f>'Phụ lục số 4'!A83</f>
        <v>3</v>
      </c>
      <c r="B83" s="3592" t="str">
        <f>'Phụ lục số 4'!B83</f>
        <v>Chi sự nghiệp khoa học và công nghệ</v>
      </c>
      <c r="C83" s="2956">
        <f t="shared" si="28"/>
        <v>1892</v>
      </c>
      <c r="D83" s="2956"/>
      <c r="E83" s="2956"/>
      <c r="F83" s="2956"/>
      <c r="G83" s="2956"/>
      <c r="H83" s="2956"/>
      <c r="I83" s="2956"/>
      <c r="J83" s="2956">
        <f t="shared" si="13"/>
        <v>1892</v>
      </c>
      <c r="K83" s="2956">
        <f>'Phụ lục số 4'!K83</f>
        <v>0</v>
      </c>
      <c r="L83" s="2956">
        <f>'Phụ lục số 4'!L83</f>
        <v>0</v>
      </c>
      <c r="M83" s="2956">
        <f>'Phụ lục số 4'!M83</f>
        <v>1892</v>
      </c>
      <c r="N83" s="2956">
        <f>'Phụ lục số 4'!N83</f>
        <v>0</v>
      </c>
      <c r="O83" s="2956">
        <f>'Phụ lục số 4'!O83</f>
        <v>0</v>
      </c>
      <c r="P83" s="2956">
        <f>'Phụ lục số 4'!P83</f>
        <v>0</v>
      </c>
      <c r="Q83" s="2956">
        <f>'Phụ lục số 4'!Q83</f>
        <v>0</v>
      </c>
      <c r="R83" s="2956">
        <f>'Phụ lục số 4'!R83</f>
        <v>0</v>
      </c>
      <c r="S83" s="2956">
        <f>'Phụ lục số 4'!S83</f>
        <v>0</v>
      </c>
      <c r="T83" s="2956">
        <f>'Phụ lục số 4'!T83</f>
        <v>0</v>
      </c>
      <c r="U83" s="2956">
        <f>'Phụ lục số 4'!U83</f>
        <v>0</v>
      </c>
      <c r="V83" s="2956">
        <f>'Phụ lục số 4'!V83</f>
        <v>0</v>
      </c>
      <c r="W83" s="2956">
        <f>'Phụ lục số 4'!W83</f>
        <v>0</v>
      </c>
      <c r="X83" s="2956">
        <f>'Phụ lục số 4'!X83</f>
        <v>0</v>
      </c>
      <c r="Y83" s="2956">
        <f>'Phụ lục số 4'!Y83</f>
        <v>0</v>
      </c>
      <c r="Z83" s="2956">
        <f>'Phụ lục số 4'!Z83</f>
        <v>0</v>
      </c>
      <c r="AA83" s="2956">
        <f>'Phụ lục số 4'!AA83</f>
        <v>0</v>
      </c>
      <c r="AB83" s="2956">
        <f>'Phụ lục số 4'!AB83</f>
        <v>0</v>
      </c>
      <c r="AC83" s="2956">
        <f>'Phụ lục số 4'!AC83</f>
        <v>0</v>
      </c>
      <c r="AD83" s="3143">
        <f>'Phụ lục số 4'!AD83</f>
        <v>0</v>
      </c>
      <c r="AE83" s="3154"/>
    </row>
    <row r="84" spans="1:31" s="2351" customFormat="1" ht="54">
      <c r="A84" s="3033"/>
      <c r="B84" s="3673" t="str">
        <f>'Phụ lục số 4'!B84</f>
        <v>Trong đó; Một số nhiệm vụ chi phải báo cáo cấp có thẩm quyền xem xét, quyết định cho phép thực hiện</v>
      </c>
      <c r="C84" s="3651">
        <f t="shared" si="28"/>
        <v>1892</v>
      </c>
      <c r="D84" s="3651"/>
      <c r="E84" s="3651"/>
      <c r="F84" s="3651"/>
      <c r="G84" s="3651"/>
      <c r="H84" s="3651"/>
      <c r="I84" s="3651"/>
      <c r="J84" s="3651">
        <f t="shared" si="13"/>
        <v>1892</v>
      </c>
      <c r="K84" s="3651">
        <f>'Phụ lục số 4'!K84</f>
        <v>0</v>
      </c>
      <c r="L84" s="3651">
        <f>'Phụ lục số 4'!L84</f>
        <v>0</v>
      </c>
      <c r="M84" s="3651">
        <f>'Phụ lục số 4'!M84</f>
        <v>1892</v>
      </c>
      <c r="N84" s="3651">
        <f>'Phụ lục số 4'!N84</f>
        <v>0</v>
      </c>
      <c r="O84" s="3651">
        <f>'Phụ lục số 4'!O84</f>
        <v>0</v>
      </c>
      <c r="P84" s="3651">
        <f>'Phụ lục số 4'!P84</f>
        <v>0</v>
      </c>
      <c r="Q84" s="3651">
        <f>'Phụ lục số 4'!Q84</f>
        <v>0</v>
      </c>
      <c r="R84" s="3651">
        <f>'Phụ lục số 4'!R84</f>
        <v>0</v>
      </c>
      <c r="S84" s="3651">
        <f>'Phụ lục số 4'!S84</f>
        <v>0</v>
      </c>
      <c r="T84" s="3651">
        <f>'Phụ lục số 4'!T84</f>
        <v>0</v>
      </c>
      <c r="U84" s="3651">
        <f>'Phụ lục số 4'!U84</f>
        <v>0</v>
      </c>
      <c r="V84" s="3651">
        <f>'Phụ lục số 4'!V84</f>
        <v>0</v>
      </c>
      <c r="W84" s="3651">
        <f>'Phụ lục số 4'!W84</f>
        <v>0</v>
      </c>
      <c r="X84" s="3651">
        <f>'Phụ lục số 4'!X84</f>
        <v>0</v>
      </c>
      <c r="Y84" s="3651">
        <f>'Phụ lục số 4'!Y84</f>
        <v>0</v>
      </c>
      <c r="Z84" s="3651">
        <f>'Phụ lục số 4'!Z84</f>
        <v>0</v>
      </c>
      <c r="AA84" s="3651">
        <f>'Phụ lục số 4'!AA84</f>
        <v>0</v>
      </c>
      <c r="AB84" s="3651">
        <f>'Phụ lục số 4'!AB84</f>
        <v>0</v>
      </c>
      <c r="AC84" s="3651">
        <f>'Phụ lục số 4'!AC84</f>
        <v>0</v>
      </c>
      <c r="AD84" s="3674">
        <f>'Phụ lục số 4'!AD84</f>
        <v>0</v>
      </c>
      <c r="AE84" s="3675"/>
    </row>
    <row r="85" spans="1:31" s="1319" customFormat="1" ht="17.399999999999999">
      <c r="A85" s="3671">
        <f>'Phụ lục số 4'!A85</f>
        <v>4</v>
      </c>
      <c r="B85" s="3592" t="str">
        <f>'Phụ lục số 4'!B85</f>
        <v>Chi sự nghiệp giáo dục và đào tạo</v>
      </c>
      <c r="C85" s="2956">
        <f t="shared" si="28"/>
        <v>86293</v>
      </c>
      <c r="D85" s="2956"/>
      <c r="E85" s="2956"/>
      <c r="F85" s="2956"/>
      <c r="G85" s="2956"/>
      <c r="H85" s="2956"/>
      <c r="I85" s="2956"/>
      <c r="J85" s="2956">
        <f t="shared" si="13"/>
        <v>74667</v>
      </c>
      <c r="K85" s="2956">
        <f>'Phụ lục số 4'!K85</f>
        <v>0</v>
      </c>
      <c r="L85" s="2956">
        <f>'Phụ lục số 4'!L85</f>
        <v>0</v>
      </c>
      <c r="M85" s="2956">
        <f>'Phụ lục số 4'!M85</f>
        <v>0</v>
      </c>
      <c r="N85" s="2956">
        <f>'Phụ lục số 4'!N85</f>
        <v>74667</v>
      </c>
      <c r="O85" s="2956">
        <f>'Phụ lục số 4'!O85</f>
        <v>0</v>
      </c>
      <c r="P85" s="2956">
        <f>'Phụ lục số 4'!P85</f>
        <v>0</v>
      </c>
      <c r="Q85" s="2956">
        <f>'Phụ lục số 4'!Q85</f>
        <v>0</v>
      </c>
      <c r="R85" s="2956">
        <f>'Phụ lục số 4'!R85</f>
        <v>0</v>
      </c>
      <c r="S85" s="2956">
        <f>'Phụ lục số 4'!S85</f>
        <v>0</v>
      </c>
      <c r="T85" s="2956">
        <f>'Phụ lục số 4'!T85</f>
        <v>0</v>
      </c>
      <c r="U85" s="2956">
        <f>'Phụ lục số 4'!U85</f>
        <v>0</v>
      </c>
      <c r="V85" s="2956">
        <f>'Phụ lục số 4'!V85</f>
        <v>0</v>
      </c>
      <c r="W85" s="2956">
        <f>'Phụ lục số 4'!W85</f>
        <v>0</v>
      </c>
      <c r="X85" s="2956">
        <f>'Phụ lục số 4'!X85</f>
        <v>0</v>
      </c>
      <c r="Y85" s="2956">
        <f>'Phụ lục số 4'!Y85</f>
        <v>0</v>
      </c>
      <c r="Z85" s="2956">
        <f>'Phụ lục số 4'!Z85</f>
        <v>0</v>
      </c>
      <c r="AA85" s="2956">
        <f>'Phụ lục số 4'!AA85</f>
        <v>0</v>
      </c>
      <c r="AB85" s="2956">
        <f>'Phụ lục số 4'!AB85</f>
        <v>11626</v>
      </c>
      <c r="AC85" s="2956">
        <f>'Phụ lục số 4'!AC85</f>
        <v>0</v>
      </c>
      <c r="AD85" s="3143">
        <f>'Phụ lục số 4'!AD85</f>
        <v>11626</v>
      </c>
      <c r="AE85" s="3154"/>
    </row>
    <row r="86" spans="1:31" s="2351" customFormat="1" ht="54">
      <c r="A86" s="3033"/>
      <c r="B86" s="3673" t="str">
        <f>'Phụ lục số 4'!B86</f>
        <v>Trong đó; Một số nhiệm vụ chi phải báo cáo cấp có thẩm quyền xem xét, quyết định cho phép thực hiện</v>
      </c>
      <c r="C86" s="3651">
        <f t="shared" si="28"/>
        <v>86293</v>
      </c>
      <c r="D86" s="3651"/>
      <c r="E86" s="3651"/>
      <c r="F86" s="3651"/>
      <c r="G86" s="3651"/>
      <c r="H86" s="3651"/>
      <c r="I86" s="3651"/>
      <c r="J86" s="3651">
        <f t="shared" si="13"/>
        <v>74667</v>
      </c>
      <c r="K86" s="3651">
        <f>'Phụ lục số 4'!K86</f>
        <v>0</v>
      </c>
      <c r="L86" s="3651">
        <f>'Phụ lục số 4'!L86</f>
        <v>0</v>
      </c>
      <c r="M86" s="3651">
        <f>'Phụ lục số 4'!M86</f>
        <v>0</v>
      </c>
      <c r="N86" s="3651">
        <f>'Phụ lục số 4'!N86</f>
        <v>74667</v>
      </c>
      <c r="O86" s="3651">
        <f>'Phụ lục số 4'!O86</f>
        <v>0</v>
      </c>
      <c r="P86" s="3651">
        <f>'Phụ lục số 4'!P86</f>
        <v>0</v>
      </c>
      <c r="Q86" s="3651">
        <f>'Phụ lục số 4'!Q86</f>
        <v>0</v>
      </c>
      <c r="R86" s="3651">
        <f>'Phụ lục số 4'!R86</f>
        <v>0</v>
      </c>
      <c r="S86" s="3651">
        <f>'Phụ lục số 4'!S86</f>
        <v>0</v>
      </c>
      <c r="T86" s="3651">
        <f>'Phụ lục số 4'!T86</f>
        <v>0</v>
      </c>
      <c r="U86" s="3651">
        <f>'Phụ lục số 4'!U86</f>
        <v>0</v>
      </c>
      <c r="V86" s="3651">
        <f>'Phụ lục số 4'!V86</f>
        <v>0</v>
      </c>
      <c r="W86" s="3651">
        <f>'Phụ lục số 4'!W86</f>
        <v>0</v>
      </c>
      <c r="X86" s="3651">
        <f>'Phụ lục số 4'!X86</f>
        <v>0</v>
      </c>
      <c r="Y86" s="3651">
        <f>'Phụ lục số 4'!Y86</f>
        <v>0</v>
      </c>
      <c r="Z86" s="3651">
        <f>'Phụ lục số 4'!Z86</f>
        <v>0</v>
      </c>
      <c r="AA86" s="3651">
        <f>'Phụ lục số 4'!AA86</f>
        <v>0</v>
      </c>
      <c r="AB86" s="3651">
        <f>'Phụ lục số 4'!AB86</f>
        <v>11626</v>
      </c>
      <c r="AC86" s="3651">
        <f>'Phụ lục số 4'!AC86</f>
        <v>0</v>
      </c>
      <c r="AD86" s="3674">
        <f>'Phụ lục số 4'!AD86</f>
        <v>11626</v>
      </c>
      <c r="AE86" s="3675"/>
    </row>
    <row r="87" spans="1:31" s="3684" customFormat="1" hidden="1">
      <c r="A87" s="3699">
        <v>5</v>
      </c>
      <c r="B87" s="3700" t="str">
        <f>'Phụ lục số 4'!B87</f>
        <v>Sự nghiệp y tế</v>
      </c>
      <c r="C87" s="3701">
        <f t="shared" si="28"/>
        <v>0</v>
      </c>
      <c r="D87" s="3680"/>
      <c r="E87" s="3680"/>
      <c r="F87" s="3680"/>
      <c r="G87" s="3680"/>
      <c r="H87" s="3680"/>
      <c r="I87" s="3680"/>
      <c r="J87" s="3701">
        <f t="shared" si="13"/>
        <v>0</v>
      </c>
      <c r="K87" s="3680"/>
      <c r="L87" s="3680"/>
      <c r="M87" s="3680"/>
      <c r="N87" s="3680"/>
      <c r="O87" s="3680">
        <f>O88</f>
        <v>0</v>
      </c>
      <c r="P87" s="3680"/>
      <c r="Q87" s="3680"/>
      <c r="R87" s="3680"/>
      <c r="S87" s="3680"/>
      <c r="T87" s="3680"/>
      <c r="U87" s="3680"/>
      <c r="V87" s="3680"/>
      <c r="W87" s="3680"/>
      <c r="X87" s="3680"/>
      <c r="Y87" s="3680"/>
      <c r="Z87" s="3680"/>
      <c r="AA87" s="3680"/>
      <c r="AB87" s="3680"/>
      <c r="AC87" s="3680"/>
      <c r="AD87" s="3702"/>
      <c r="AE87" s="3703"/>
    </row>
    <row r="88" spans="1:31" s="3684" customFormat="1" ht="54" hidden="1">
      <c r="A88" s="3704"/>
      <c r="B88" s="3705" t="str">
        <f>'Phụ lục số 4'!B88</f>
        <v>Trong đó; Một số nhiệm vụ chi phải báo cáo cấp có thẩm quyền xem xét, quyết định cho phép thực hiện</v>
      </c>
      <c r="C88" s="3680">
        <f t="shared" si="28"/>
        <v>0</v>
      </c>
      <c r="D88" s="3680"/>
      <c r="E88" s="3680"/>
      <c r="F88" s="3680"/>
      <c r="G88" s="3680"/>
      <c r="H88" s="3680"/>
      <c r="I88" s="3680"/>
      <c r="J88" s="3680">
        <f t="shared" si="13"/>
        <v>0</v>
      </c>
      <c r="K88" s="3680"/>
      <c r="L88" s="3680"/>
      <c r="M88" s="3680"/>
      <c r="N88" s="3680"/>
      <c r="O88" s="3687">
        <f>'Phụ lục số 4'!O88</f>
        <v>0</v>
      </c>
      <c r="P88" s="3680"/>
      <c r="Q88" s="3680"/>
      <c r="R88" s="3680"/>
      <c r="S88" s="3680"/>
      <c r="T88" s="3680"/>
      <c r="U88" s="3680"/>
      <c r="V88" s="3680"/>
      <c r="W88" s="3680"/>
      <c r="X88" s="3680"/>
      <c r="Y88" s="3680"/>
      <c r="Z88" s="3680"/>
      <c r="AA88" s="3680"/>
      <c r="AB88" s="3680"/>
      <c r="AC88" s="3680"/>
      <c r="AD88" s="3702"/>
      <c r="AE88" s="3703"/>
    </row>
    <row r="89" spans="1:31" s="1319" customFormat="1" ht="17.399999999999999">
      <c r="A89" s="3671">
        <f>'Phụ lục số 4'!A89</f>
        <v>5</v>
      </c>
      <c r="B89" s="3592" t="str">
        <f>'Phụ lục số 4'!B89</f>
        <v>Chi sự nghiệp văn hóa thông tin</v>
      </c>
      <c r="C89" s="2956">
        <f t="shared" si="28"/>
        <v>2694</v>
      </c>
      <c r="D89" s="2956"/>
      <c r="E89" s="2956"/>
      <c r="F89" s="2956"/>
      <c r="G89" s="2956"/>
      <c r="H89" s="2956"/>
      <c r="I89" s="2956"/>
      <c r="J89" s="2956">
        <f t="shared" si="13"/>
        <v>2694</v>
      </c>
      <c r="K89" s="2956">
        <f>'Phụ lục số 4'!K89</f>
        <v>0</v>
      </c>
      <c r="L89" s="2956">
        <f>'Phụ lục số 4'!L89</f>
        <v>0</v>
      </c>
      <c r="M89" s="2956">
        <f>'Phụ lục số 4'!M89</f>
        <v>0</v>
      </c>
      <c r="N89" s="2956">
        <f>'Phụ lục số 4'!N89</f>
        <v>0</v>
      </c>
      <c r="O89" s="2956">
        <f>'Phụ lục số 4'!O89</f>
        <v>0</v>
      </c>
      <c r="P89" s="2956">
        <f>'Phụ lục số 4'!P89</f>
        <v>2694</v>
      </c>
      <c r="Q89" s="2956">
        <f>'Phụ lục số 4'!Q89</f>
        <v>0</v>
      </c>
      <c r="R89" s="2956">
        <f>'Phụ lục số 4'!R89</f>
        <v>0</v>
      </c>
      <c r="S89" s="2956">
        <f>'Phụ lục số 4'!S89</f>
        <v>0</v>
      </c>
      <c r="T89" s="2956">
        <f>'Phụ lục số 4'!T89</f>
        <v>0</v>
      </c>
      <c r="U89" s="2956">
        <f>'Phụ lục số 4'!U89</f>
        <v>0</v>
      </c>
      <c r="V89" s="2956">
        <f>'Phụ lục số 4'!V89</f>
        <v>0</v>
      </c>
      <c r="W89" s="2956">
        <f>'Phụ lục số 4'!W89</f>
        <v>0</v>
      </c>
      <c r="X89" s="2956">
        <f>'Phụ lục số 4'!X89</f>
        <v>0</v>
      </c>
      <c r="Y89" s="2956">
        <f>'Phụ lục số 4'!Y89</f>
        <v>0</v>
      </c>
      <c r="Z89" s="2956">
        <f>'Phụ lục số 4'!Z89</f>
        <v>0</v>
      </c>
      <c r="AA89" s="2956">
        <f>'Phụ lục số 4'!AA89</f>
        <v>0</v>
      </c>
      <c r="AB89" s="2956">
        <f>'Phụ lục số 4'!AB89</f>
        <v>0</v>
      </c>
      <c r="AC89" s="2956">
        <f>'Phụ lục số 4'!AC89</f>
        <v>0</v>
      </c>
      <c r="AD89" s="3143">
        <f>'Phụ lục số 4'!AD89</f>
        <v>0</v>
      </c>
      <c r="AE89" s="3154"/>
    </row>
    <row r="90" spans="1:31" s="2351" customFormat="1" ht="54">
      <c r="A90" s="3033"/>
      <c r="B90" s="3673" t="str">
        <f>'Phụ lục số 4'!B90</f>
        <v>Trong đó; Một số nhiệm vụ chi phải báo cáo cấp có thẩm quyền xem xét, quyết định cho phép thực hiện</v>
      </c>
      <c r="C90" s="3651">
        <f t="shared" si="28"/>
        <v>2694</v>
      </c>
      <c r="D90" s="3651">
        <f t="shared" si="26"/>
        <v>0</v>
      </c>
      <c r="E90" s="3651">
        <f>'Phụ lục số 4'!E96</f>
        <v>0</v>
      </c>
      <c r="F90" s="3651">
        <f>'Phụ lục số 4'!F96</f>
        <v>0</v>
      </c>
      <c r="G90" s="3651">
        <f>'Phụ lục số 4'!G96</f>
        <v>0</v>
      </c>
      <c r="H90" s="3651">
        <f>'Phụ lục số 4'!H96</f>
        <v>0</v>
      </c>
      <c r="I90" s="3651"/>
      <c r="J90" s="3651">
        <f t="shared" si="13"/>
        <v>2694</v>
      </c>
      <c r="K90" s="3651">
        <f>'Phụ lục số 4'!K90</f>
        <v>0</v>
      </c>
      <c r="L90" s="3651">
        <f>'Phụ lục số 4'!L90</f>
        <v>0</v>
      </c>
      <c r="M90" s="3651">
        <f>'Phụ lục số 4'!M90</f>
        <v>0</v>
      </c>
      <c r="N90" s="3651">
        <f>'Phụ lục số 4'!N90</f>
        <v>0</v>
      </c>
      <c r="O90" s="3651">
        <f>'Phụ lục số 4'!O90</f>
        <v>0</v>
      </c>
      <c r="P90" s="3651">
        <f>'Phụ lục số 4'!P90</f>
        <v>2694</v>
      </c>
      <c r="Q90" s="3651">
        <f>'Phụ lục số 4'!Q90</f>
        <v>0</v>
      </c>
      <c r="R90" s="3651">
        <f>'Phụ lục số 4'!R90</f>
        <v>0</v>
      </c>
      <c r="S90" s="3651">
        <f>'Phụ lục số 4'!S90</f>
        <v>0</v>
      </c>
      <c r="T90" s="3651">
        <f>'Phụ lục số 4'!T90</f>
        <v>0</v>
      </c>
      <c r="U90" s="3651">
        <f>'Phụ lục số 4'!U90</f>
        <v>0</v>
      </c>
      <c r="V90" s="3651">
        <f>'Phụ lục số 4'!V90</f>
        <v>0</v>
      </c>
      <c r="W90" s="3651">
        <f>'Phụ lục số 4'!W90</f>
        <v>0</v>
      </c>
      <c r="X90" s="3651">
        <f>'Phụ lục số 4'!X90</f>
        <v>0</v>
      </c>
      <c r="Y90" s="3651">
        <f>'Phụ lục số 4'!Y90</f>
        <v>0</v>
      </c>
      <c r="Z90" s="3651">
        <f>'Phụ lục số 4'!Z90</f>
        <v>0</v>
      </c>
      <c r="AA90" s="3651">
        <f>'Phụ lục số 4'!AA90</f>
        <v>0</v>
      </c>
      <c r="AB90" s="3651">
        <f>'Phụ lục số 4'!AB90</f>
        <v>0</v>
      </c>
      <c r="AC90" s="3651">
        <f>'Phụ lục số 4'!AC90</f>
        <v>0</v>
      </c>
      <c r="AD90" s="3674">
        <f>'Phụ lục số 4'!AD90</f>
        <v>0</v>
      </c>
      <c r="AE90" s="3675">
        <f>'Phụ lục số 4'!AE96</f>
        <v>0</v>
      </c>
    </row>
    <row r="91" spans="1:31" s="3708" customFormat="1" ht="17.399999999999999" hidden="1">
      <c r="A91" s="3699">
        <v>7</v>
      </c>
      <c r="B91" s="3700" t="str">
        <f>'Phụ lục số 4'!B91</f>
        <v>Chi sự nghiệp phát thanh truyền hình</v>
      </c>
      <c r="C91" s="3701">
        <f t="shared" si="28"/>
        <v>0</v>
      </c>
      <c r="D91" s="3701"/>
      <c r="E91" s="3701"/>
      <c r="F91" s="3701"/>
      <c r="G91" s="3701"/>
      <c r="H91" s="3701"/>
      <c r="I91" s="3701"/>
      <c r="J91" s="3701">
        <f t="shared" si="13"/>
        <v>0</v>
      </c>
      <c r="K91" s="3701"/>
      <c r="L91" s="3701"/>
      <c r="M91" s="3701"/>
      <c r="N91" s="3701"/>
      <c r="O91" s="3701"/>
      <c r="P91" s="3701"/>
      <c r="Q91" s="3701">
        <f>Q92</f>
        <v>0</v>
      </c>
      <c r="R91" s="3701"/>
      <c r="S91" s="3701"/>
      <c r="T91" s="3701"/>
      <c r="U91" s="3701"/>
      <c r="V91" s="3701"/>
      <c r="W91" s="3701"/>
      <c r="X91" s="3701"/>
      <c r="Y91" s="3701"/>
      <c r="Z91" s="3701"/>
      <c r="AA91" s="3701"/>
      <c r="AB91" s="3701"/>
      <c r="AC91" s="3701"/>
      <c r="AD91" s="3706"/>
      <c r="AE91" s="3707"/>
    </row>
    <row r="92" spans="1:31" s="3684" customFormat="1" ht="54" hidden="1">
      <c r="A92" s="3704"/>
      <c r="B92" s="3705" t="str">
        <f>'Phụ lục số 4'!B92</f>
        <v>Trong đó; Một số nhiệm vụ chi phải báo cáo cấp có thẩm quyền xem xét, quyết định cho phép thực hiện</v>
      </c>
      <c r="C92" s="3680">
        <f t="shared" si="28"/>
        <v>0</v>
      </c>
      <c r="D92" s="3680"/>
      <c r="E92" s="3680"/>
      <c r="F92" s="3680"/>
      <c r="G92" s="3680"/>
      <c r="H92" s="3680"/>
      <c r="I92" s="3680"/>
      <c r="J92" s="3680">
        <f t="shared" si="13"/>
        <v>0</v>
      </c>
      <c r="K92" s="3680"/>
      <c r="L92" s="3680"/>
      <c r="M92" s="3680"/>
      <c r="N92" s="3680"/>
      <c r="O92" s="3680"/>
      <c r="P92" s="3680"/>
      <c r="Q92" s="3687">
        <f>'Phụ lục số 4'!Q92</f>
        <v>0</v>
      </c>
      <c r="R92" s="3680"/>
      <c r="S92" s="3680"/>
      <c r="T92" s="3680"/>
      <c r="U92" s="3680"/>
      <c r="V92" s="3680"/>
      <c r="W92" s="3680"/>
      <c r="X92" s="3680"/>
      <c r="Y92" s="3680"/>
      <c r="Z92" s="3680"/>
      <c r="AA92" s="3680"/>
      <c r="AB92" s="3680"/>
      <c r="AC92" s="3680"/>
      <c r="AD92" s="3702"/>
      <c r="AE92" s="3703"/>
    </row>
    <row r="93" spans="1:31" s="3708" customFormat="1" ht="17.399999999999999" hidden="1">
      <c r="A93" s="3699">
        <v>8</v>
      </c>
      <c r="B93" s="3700" t="str">
        <f>'Phụ lục số 4'!B93</f>
        <v>Chi sự nghiệp thể dục thể thao</v>
      </c>
      <c r="C93" s="3701">
        <f t="shared" si="28"/>
        <v>0</v>
      </c>
      <c r="D93" s="3701"/>
      <c r="E93" s="3701"/>
      <c r="F93" s="3701"/>
      <c r="G93" s="3701"/>
      <c r="H93" s="3701"/>
      <c r="I93" s="3701"/>
      <c r="J93" s="3701">
        <f t="shared" si="13"/>
        <v>0</v>
      </c>
      <c r="K93" s="3701"/>
      <c r="L93" s="3701"/>
      <c r="M93" s="3701"/>
      <c r="N93" s="3701"/>
      <c r="O93" s="3701"/>
      <c r="P93" s="3701"/>
      <c r="Q93" s="3701"/>
      <c r="R93" s="3701">
        <f>R94</f>
        <v>0</v>
      </c>
      <c r="S93" s="3701"/>
      <c r="T93" s="3701"/>
      <c r="U93" s="3701"/>
      <c r="V93" s="3701"/>
      <c r="W93" s="3701"/>
      <c r="X93" s="3701"/>
      <c r="Y93" s="3701"/>
      <c r="Z93" s="3701"/>
      <c r="AA93" s="3701"/>
      <c r="AB93" s="3701"/>
      <c r="AC93" s="3701"/>
      <c r="AD93" s="3706"/>
      <c r="AE93" s="3707"/>
    </row>
    <row r="94" spans="1:31" s="3684" customFormat="1" ht="54" hidden="1">
      <c r="A94" s="3704"/>
      <c r="B94" s="3705" t="str">
        <f>'Phụ lục số 4'!B94</f>
        <v>Trong đó; Một số nhiệm vụ chi phải báo cáo cấp có thẩm quyền xem xét, quyết định cho phép thực hiện</v>
      </c>
      <c r="C94" s="3680">
        <f t="shared" si="28"/>
        <v>0</v>
      </c>
      <c r="D94" s="3680"/>
      <c r="E94" s="3680"/>
      <c r="F94" s="3680"/>
      <c r="G94" s="3680"/>
      <c r="H94" s="3680"/>
      <c r="I94" s="3680"/>
      <c r="J94" s="3680">
        <f t="shared" si="13"/>
        <v>0</v>
      </c>
      <c r="K94" s="3680"/>
      <c r="L94" s="3680"/>
      <c r="M94" s="3680"/>
      <c r="N94" s="3680"/>
      <c r="O94" s="3680"/>
      <c r="P94" s="3680"/>
      <c r="Q94" s="3680"/>
      <c r="R94" s="3687">
        <f>'Phụ lục số 4'!R94</f>
        <v>0</v>
      </c>
      <c r="S94" s="3680"/>
      <c r="T94" s="3680"/>
      <c r="U94" s="3680"/>
      <c r="V94" s="3680"/>
      <c r="W94" s="3680"/>
      <c r="X94" s="3680"/>
      <c r="Y94" s="3680"/>
      <c r="Z94" s="3680"/>
      <c r="AA94" s="3680"/>
      <c r="AB94" s="3680"/>
      <c r="AC94" s="3680"/>
      <c r="AD94" s="3702"/>
      <c r="AE94" s="3703"/>
    </row>
    <row r="95" spans="1:31" s="1319" customFormat="1" ht="17.399999999999999">
      <c r="A95" s="3671">
        <f>'Phụ lục số 4'!A95</f>
        <v>6</v>
      </c>
      <c r="B95" s="3592" t="str">
        <f>'Phụ lục số 4'!B95</f>
        <v>Chi sự nghiệp đảm bảo xã hội</v>
      </c>
      <c r="C95" s="2956">
        <f t="shared" si="28"/>
        <v>23385</v>
      </c>
      <c r="D95" s="2956">
        <f t="shared" si="26"/>
        <v>0</v>
      </c>
      <c r="E95" s="2956">
        <f>'Phụ lục số 4'!E97</f>
        <v>0</v>
      </c>
      <c r="F95" s="2956">
        <f>'Phụ lục số 4'!F97</f>
        <v>0</v>
      </c>
      <c r="G95" s="2956">
        <f>'Phụ lục số 4'!G97</f>
        <v>0</v>
      </c>
      <c r="H95" s="2956">
        <f>'Phụ lục số 4'!H97</f>
        <v>0</v>
      </c>
      <c r="I95" s="2956"/>
      <c r="J95" s="2956">
        <f t="shared" si="13"/>
        <v>23385</v>
      </c>
      <c r="K95" s="2956">
        <f>'Phụ lục số 4'!K95</f>
        <v>0</v>
      </c>
      <c r="L95" s="2956">
        <f>'Phụ lục số 4'!L95</f>
        <v>0</v>
      </c>
      <c r="M95" s="2956">
        <f>'Phụ lục số 4'!M95</f>
        <v>0</v>
      </c>
      <c r="N95" s="2956">
        <f>'Phụ lục số 4'!N95</f>
        <v>0</v>
      </c>
      <c r="O95" s="2956">
        <f>'Phụ lục số 4'!O95</f>
        <v>0</v>
      </c>
      <c r="P95" s="2956">
        <f>'Phụ lục số 4'!P95</f>
        <v>0</v>
      </c>
      <c r="Q95" s="2956">
        <f>'Phụ lục số 4'!Q95</f>
        <v>0</v>
      </c>
      <c r="R95" s="2956">
        <f>'Phụ lục số 4'!R95</f>
        <v>0</v>
      </c>
      <c r="S95" s="2956">
        <f>'Phụ lục số 4'!S95</f>
        <v>23385</v>
      </c>
      <c r="T95" s="2956">
        <f>'Phụ lục số 4'!T95</f>
        <v>0</v>
      </c>
      <c r="U95" s="2956">
        <f>'Phụ lục số 4'!U95</f>
        <v>0</v>
      </c>
      <c r="V95" s="2956">
        <f>'Phụ lục số 4'!V95</f>
        <v>0</v>
      </c>
      <c r="W95" s="2956">
        <f>'Phụ lục số 4'!W95</f>
        <v>0</v>
      </c>
      <c r="X95" s="2956">
        <f>'Phụ lục số 4'!X95</f>
        <v>0</v>
      </c>
      <c r="Y95" s="2956">
        <f>'Phụ lục số 4'!Y95</f>
        <v>0</v>
      </c>
      <c r="Z95" s="2956">
        <f>'Phụ lục số 4'!Z95</f>
        <v>0</v>
      </c>
      <c r="AA95" s="2956">
        <f>'Phụ lục số 4'!AA95</f>
        <v>0</v>
      </c>
      <c r="AB95" s="2956">
        <f>'Phụ lục số 4'!AB95</f>
        <v>0</v>
      </c>
      <c r="AC95" s="2956">
        <f>'Phụ lục số 4'!AC95</f>
        <v>0</v>
      </c>
      <c r="AD95" s="3143">
        <f>'Phụ lục số 4'!AD95</f>
        <v>0</v>
      </c>
      <c r="AE95" s="3154">
        <f>'Phụ lục số 4'!AE97</f>
        <v>0</v>
      </c>
    </row>
    <row r="96" spans="1:31" s="154" customFormat="1" ht="144">
      <c r="A96" s="3031" t="str">
        <f>'Phụ lục số 4'!A96</f>
        <v>a</v>
      </c>
      <c r="B96" s="3593" t="str">
        <f>'Phụ lục số 4'!B96</f>
        <v>Chính sách hỗ trợ thường xuyên cho đối tượng bảo trợ xã hội theo quy định tại Nghị định số 20/2021/NĐ-CP ngày 15/03/2021 của Chính phủ; Chính sách hỗ trợ tiền điện cho hộ nghèo, hộ chính sách xã hội theo quy định tại Quyết định số 28/2014/QĐ-TTg ngày 07/4/2014 của Thủ tướng Chính phủ</v>
      </c>
      <c r="C96" s="2954">
        <f t="shared" si="28"/>
        <v>21000</v>
      </c>
      <c r="D96" s="2954">
        <f t="shared" si="26"/>
        <v>0</v>
      </c>
      <c r="E96" s="2954">
        <f>'Phụ lục số 4'!E98</f>
        <v>0</v>
      </c>
      <c r="F96" s="2954">
        <f>'Phụ lục số 4'!F98</f>
        <v>0</v>
      </c>
      <c r="G96" s="2954">
        <f>'Phụ lục số 4'!G98</f>
        <v>0</v>
      </c>
      <c r="H96" s="2954">
        <f>'Phụ lục số 4'!H98</f>
        <v>0</v>
      </c>
      <c r="I96" s="2954"/>
      <c r="J96" s="2954">
        <f t="shared" si="13"/>
        <v>21000</v>
      </c>
      <c r="K96" s="2954">
        <f>'Phụ lục số 4'!K96</f>
        <v>0</v>
      </c>
      <c r="L96" s="2954">
        <f>'Phụ lục số 4'!L96</f>
        <v>0</v>
      </c>
      <c r="M96" s="2954">
        <f>'Phụ lục số 4'!M96</f>
        <v>0</v>
      </c>
      <c r="N96" s="2954">
        <f>'Phụ lục số 4'!N96</f>
        <v>0</v>
      </c>
      <c r="O96" s="2954">
        <f>'Phụ lục số 4'!O96</f>
        <v>0</v>
      </c>
      <c r="P96" s="2954">
        <f>'Phụ lục số 4'!P96</f>
        <v>0</v>
      </c>
      <c r="Q96" s="2954">
        <f>'Phụ lục số 4'!Q96</f>
        <v>0</v>
      </c>
      <c r="R96" s="2954">
        <f>'Phụ lục số 4'!R96</f>
        <v>0</v>
      </c>
      <c r="S96" s="2954">
        <f>'Phụ lục số 4'!S96</f>
        <v>21000</v>
      </c>
      <c r="T96" s="2954">
        <f>'Phụ lục số 4'!T96</f>
        <v>0</v>
      </c>
      <c r="U96" s="2954">
        <f>'Phụ lục số 4'!U96</f>
        <v>0</v>
      </c>
      <c r="V96" s="2954">
        <f>'Phụ lục số 4'!V96</f>
        <v>0</v>
      </c>
      <c r="W96" s="2954">
        <f>'Phụ lục số 4'!W96</f>
        <v>0</v>
      </c>
      <c r="X96" s="2954">
        <f>'Phụ lục số 4'!X96</f>
        <v>0</v>
      </c>
      <c r="Y96" s="2954">
        <f>'Phụ lục số 4'!Y96</f>
        <v>0</v>
      </c>
      <c r="Z96" s="2954">
        <f>'Phụ lục số 4'!Z96</f>
        <v>0</v>
      </c>
      <c r="AA96" s="2954">
        <f>'Phụ lục số 4'!AA96</f>
        <v>0</v>
      </c>
      <c r="AB96" s="2954">
        <f>'Phụ lục số 4'!AB96</f>
        <v>0</v>
      </c>
      <c r="AC96" s="2954">
        <f>'Phụ lục số 4'!AC96</f>
        <v>0</v>
      </c>
      <c r="AD96" s="3142">
        <f>'Phụ lục số 4'!AD96</f>
        <v>0</v>
      </c>
      <c r="AE96" s="3153">
        <f>'Phụ lục số 4'!AE98</f>
        <v>0</v>
      </c>
    </row>
    <row r="97" spans="1:31" s="2351" customFormat="1" ht="52.95" customHeight="1">
      <c r="A97" s="3033" t="str">
        <f>'Phụ lục số 4'!A97</f>
        <v>b</v>
      </c>
      <c r="B97" s="3673" t="str">
        <f>'Phụ lục số 4'!B97</f>
        <v>Trong đó; Một số nhiệm vụ chi phải báo cáo cấp có thẩm quyền xem xét, quyết định cho phép thực hiện</v>
      </c>
      <c r="C97" s="3651">
        <f t="shared" si="28"/>
        <v>2385</v>
      </c>
      <c r="D97" s="3651">
        <f t="shared" si="26"/>
        <v>0</v>
      </c>
      <c r="E97" s="3651">
        <f>'Phụ lục số 4'!E99</f>
        <v>0</v>
      </c>
      <c r="F97" s="3651">
        <f>'Phụ lục số 4'!F99</f>
        <v>0</v>
      </c>
      <c r="G97" s="3651">
        <f>'Phụ lục số 4'!G99</f>
        <v>0</v>
      </c>
      <c r="H97" s="3651">
        <f>'Phụ lục số 4'!H99</f>
        <v>0</v>
      </c>
      <c r="I97" s="3651"/>
      <c r="J97" s="3651">
        <f t="shared" si="13"/>
        <v>2385</v>
      </c>
      <c r="K97" s="3651">
        <f>'Phụ lục số 4'!K97</f>
        <v>0</v>
      </c>
      <c r="L97" s="3651">
        <f>'Phụ lục số 4'!L97</f>
        <v>0</v>
      </c>
      <c r="M97" s="3651">
        <f>'Phụ lục số 4'!M97</f>
        <v>0</v>
      </c>
      <c r="N97" s="3651">
        <f>'Phụ lục số 4'!N97</f>
        <v>0</v>
      </c>
      <c r="O97" s="3651">
        <f>'Phụ lục số 4'!O97</f>
        <v>0</v>
      </c>
      <c r="P97" s="3651">
        <f>'Phụ lục số 4'!P97</f>
        <v>0</v>
      </c>
      <c r="Q97" s="3651">
        <f>'Phụ lục số 4'!Q97</f>
        <v>0</v>
      </c>
      <c r="R97" s="3651">
        <f>'Phụ lục số 4'!R97</f>
        <v>0</v>
      </c>
      <c r="S97" s="3651">
        <f>'Phụ lục số 4'!S97</f>
        <v>2385</v>
      </c>
      <c r="T97" s="3651">
        <f>'Phụ lục số 4'!T97</f>
        <v>0</v>
      </c>
      <c r="U97" s="3651">
        <f>'Phụ lục số 4'!U97</f>
        <v>0</v>
      </c>
      <c r="V97" s="3651">
        <f>'Phụ lục số 4'!V97</f>
        <v>0</v>
      </c>
      <c r="W97" s="3651">
        <f>'Phụ lục số 4'!W97</f>
        <v>0</v>
      </c>
      <c r="X97" s="3651">
        <f>'Phụ lục số 4'!X97</f>
        <v>0</v>
      </c>
      <c r="Y97" s="3651">
        <f>'Phụ lục số 4'!Y97</f>
        <v>0</v>
      </c>
      <c r="Z97" s="3651">
        <f>'Phụ lục số 4'!Z97</f>
        <v>0</v>
      </c>
      <c r="AA97" s="3651">
        <f>'Phụ lục số 4'!AA97</f>
        <v>0</v>
      </c>
      <c r="AB97" s="3651">
        <f>'Phụ lục số 4'!AB97</f>
        <v>0</v>
      </c>
      <c r="AC97" s="3651">
        <f>'Phụ lục số 4'!AC97</f>
        <v>0</v>
      </c>
      <c r="AD97" s="3674">
        <f>'Phụ lục số 4'!AD97</f>
        <v>0</v>
      </c>
      <c r="AE97" s="3675">
        <f>'Phụ lục số 4'!AE99</f>
        <v>0</v>
      </c>
    </row>
    <row r="98" spans="1:31" s="1319" customFormat="1" ht="17.399999999999999">
      <c r="A98" s="3671">
        <f>'Phụ lục số 4'!A98</f>
        <v>7</v>
      </c>
      <c r="B98" s="3592" t="str">
        <f>'Phụ lục số 4'!B98</f>
        <v>Chi quản lý hành chính (QLNN, Đảng…)</v>
      </c>
      <c r="C98" s="2956">
        <f t="shared" si="28"/>
        <v>5498.9510000000009</v>
      </c>
      <c r="D98" s="2956">
        <f t="shared" si="26"/>
        <v>0</v>
      </c>
      <c r="E98" s="2956">
        <f>'Phụ lục số 4'!E102</f>
        <v>0</v>
      </c>
      <c r="F98" s="2956">
        <f>'Phụ lục số 4'!F102</f>
        <v>0</v>
      </c>
      <c r="G98" s="2956">
        <f>'Phụ lục số 4'!G102</f>
        <v>0</v>
      </c>
      <c r="H98" s="2956">
        <f>'Phụ lục số 4'!H102</f>
        <v>0</v>
      </c>
      <c r="I98" s="2956"/>
      <c r="J98" s="2956">
        <f t="shared" si="13"/>
        <v>5498.9510000000009</v>
      </c>
      <c r="K98" s="2956">
        <f>'Phụ lục số 4'!K98</f>
        <v>0</v>
      </c>
      <c r="L98" s="2956">
        <f>'Phụ lục số 4'!L98</f>
        <v>0</v>
      </c>
      <c r="M98" s="2956">
        <f>'Phụ lục số 4'!M98</f>
        <v>0</v>
      </c>
      <c r="N98" s="2956">
        <f>'Phụ lục số 4'!N98</f>
        <v>0</v>
      </c>
      <c r="O98" s="2956">
        <f>'Phụ lục số 4'!O98</f>
        <v>0</v>
      </c>
      <c r="P98" s="2956">
        <f>'Phụ lục số 4'!P98</f>
        <v>0</v>
      </c>
      <c r="Q98" s="2956">
        <f>'Phụ lục số 4'!Q98</f>
        <v>0</v>
      </c>
      <c r="R98" s="2956">
        <f>'Phụ lục số 4'!R98</f>
        <v>0</v>
      </c>
      <c r="S98" s="2956">
        <f>'Phụ lục số 4'!S98</f>
        <v>0</v>
      </c>
      <c r="T98" s="2956">
        <f>'Phụ lục số 4'!T98</f>
        <v>5498.9510000000009</v>
      </c>
      <c r="U98" s="2956">
        <f>'Phụ lục số 4'!U98</f>
        <v>0</v>
      </c>
      <c r="V98" s="2956">
        <f>'Phụ lục số 4'!V98</f>
        <v>0</v>
      </c>
      <c r="W98" s="2956">
        <f>'Phụ lục số 4'!W98</f>
        <v>0</v>
      </c>
      <c r="X98" s="2956">
        <f>'Phụ lục số 4'!X98</f>
        <v>0</v>
      </c>
      <c r="Y98" s="2956">
        <f>'Phụ lục số 4'!Y98</f>
        <v>0</v>
      </c>
      <c r="Z98" s="2956">
        <f>'Phụ lục số 4'!Z98</f>
        <v>0</v>
      </c>
      <c r="AA98" s="2956">
        <f>'Phụ lục số 4'!AA98</f>
        <v>0</v>
      </c>
      <c r="AB98" s="2956">
        <f>'Phụ lục số 4'!AB98</f>
        <v>0</v>
      </c>
      <c r="AC98" s="2956">
        <f>'Phụ lục số 4'!AC98</f>
        <v>0</v>
      </c>
      <c r="AD98" s="3143">
        <f>'Phụ lục số 4'!AD98</f>
        <v>0</v>
      </c>
      <c r="AE98" s="3154">
        <f>'Phụ lục số 4'!AE102</f>
        <v>0</v>
      </c>
    </row>
    <row r="99" spans="1:31" s="2351" customFormat="1" ht="54">
      <c r="A99" s="3033"/>
      <c r="B99" s="3673" t="str">
        <f>'Phụ lục số 4'!B99</f>
        <v>Trong đó; Một số nhiệm vụ chi phải báo cáo cấp có thẩm quyền xem xét, quyết định cho phép thực hiện</v>
      </c>
      <c r="C99" s="3651">
        <f t="shared" si="28"/>
        <v>5498.9510000000009</v>
      </c>
      <c r="D99" s="3651">
        <f t="shared" si="26"/>
        <v>0</v>
      </c>
      <c r="E99" s="3651">
        <f>'Phụ lục số 4'!E103</f>
        <v>0</v>
      </c>
      <c r="F99" s="3651">
        <f>'Phụ lục số 4'!F103</f>
        <v>0</v>
      </c>
      <c r="G99" s="3651">
        <f>'Phụ lục số 4'!G103</f>
        <v>0</v>
      </c>
      <c r="H99" s="3651">
        <f>'Phụ lục số 4'!H103</f>
        <v>0</v>
      </c>
      <c r="I99" s="3651"/>
      <c r="J99" s="3651">
        <f t="shared" si="13"/>
        <v>5498.9510000000009</v>
      </c>
      <c r="K99" s="3651">
        <f>'Phụ lục số 4'!K99</f>
        <v>0</v>
      </c>
      <c r="L99" s="3651">
        <f>'Phụ lục số 4'!L99</f>
        <v>0</v>
      </c>
      <c r="M99" s="3651">
        <f>'Phụ lục số 4'!M99</f>
        <v>0</v>
      </c>
      <c r="N99" s="3651">
        <f>'Phụ lục số 4'!N99</f>
        <v>0</v>
      </c>
      <c r="O99" s="3651">
        <f>'Phụ lục số 4'!O99</f>
        <v>0</v>
      </c>
      <c r="P99" s="3651">
        <f>'Phụ lục số 4'!P99</f>
        <v>0</v>
      </c>
      <c r="Q99" s="3651">
        <f>'Phụ lục số 4'!Q99</f>
        <v>0</v>
      </c>
      <c r="R99" s="3651">
        <f>'Phụ lục số 4'!R99</f>
        <v>0</v>
      </c>
      <c r="S99" s="3651">
        <f>'Phụ lục số 4'!S99</f>
        <v>0</v>
      </c>
      <c r="T99" s="3651">
        <f>'Phụ lục số 4'!T99</f>
        <v>5498.9510000000009</v>
      </c>
      <c r="U99" s="3651">
        <f>'Phụ lục số 4'!U99</f>
        <v>0</v>
      </c>
      <c r="V99" s="3651">
        <f>'Phụ lục số 4'!V99</f>
        <v>0</v>
      </c>
      <c r="W99" s="3651">
        <f>'Phụ lục số 4'!W99</f>
        <v>0</v>
      </c>
      <c r="X99" s="3651">
        <f>'Phụ lục số 4'!X99</f>
        <v>0</v>
      </c>
      <c r="Y99" s="3651">
        <f>'Phụ lục số 4'!Y99</f>
        <v>0</v>
      </c>
      <c r="Z99" s="3651">
        <f>'Phụ lục số 4'!Z99</f>
        <v>0</v>
      </c>
      <c r="AA99" s="3651">
        <f>'Phụ lục số 4'!AA99</f>
        <v>0</v>
      </c>
      <c r="AB99" s="3651">
        <f>'Phụ lục số 4'!AB99</f>
        <v>0</v>
      </c>
      <c r="AC99" s="3651">
        <f>'Phụ lục số 4'!AC99</f>
        <v>0</v>
      </c>
      <c r="AD99" s="3674">
        <f>'Phụ lục số 4'!AD99</f>
        <v>0</v>
      </c>
      <c r="AE99" s="3675">
        <f>'Phụ lục số 4'!AE103</f>
        <v>0</v>
      </c>
    </row>
    <row r="100" spans="1:31" s="3684" customFormat="1" hidden="1">
      <c r="A100" s="3704"/>
      <c r="B100" s="3700" t="str">
        <f>'Phụ lục số 4'!B100</f>
        <v>Chi an ninh - quốc phòng</v>
      </c>
      <c r="C100" s="3701">
        <f t="shared" si="28"/>
        <v>-0.39999999999417923</v>
      </c>
      <c r="D100" s="3680"/>
      <c r="E100" s="3680"/>
      <c r="F100" s="3680"/>
      <c r="G100" s="3680"/>
      <c r="H100" s="3680"/>
      <c r="I100" s="3680"/>
      <c r="J100" s="3701">
        <f t="shared" si="13"/>
        <v>-0.39999999999417923</v>
      </c>
      <c r="K100" s="3680"/>
      <c r="L100" s="3680"/>
      <c r="M100" s="3680"/>
      <c r="N100" s="3680"/>
      <c r="O100" s="3680"/>
      <c r="P100" s="3680"/>
      <c r="Q100" s="3680"/>
      <c r="R100" s="3680"/>
      <c r="S100" s="3680"/>
      <c r="T100" s="3680"/>
      <c r="U100" s="3687">
        <f>U101</f>
        <v>-0.39999999999417923</v>
      </c>
      <c r="V100" s="3680"/>
      <c r="W100" s="3680"/>
      <c r="X100" s="3680"/>
      <c r="Y100" s="3680"/>
      <c r="Z100" s="3680"/>
      <c r="AA100" s="3680"/>
      <c r="AB100" s="3680"/>
      <c r="AC100" s="3680"/>
      <c r="AD100" s="3702"/>
      <c r="AE100" s="3703"/>
    </row>
    <row r="101" spans="1:31" s="3684" customFormat="1" ht="54" hidden="1">
      <c r="A101" s="3704"/>
      <c r="B101" s="3705" t="str">
        <f>'Phụ lục số 4'!B101</f>
        <v>Trong đó; Một số nhiệm vụ chi phải báo cáo cấp có thẩm quyền xem xét, quyết định cho phép thực hiện</v>
      </c>
      <c r="C101" s="3680">
        <f t="shared" si="28"/>
        <v>-0.39999999999417923</v>
      </c>
      <c r="D101" s="3680"/>
      <c r="E101" s="3680"/>
      <c r="F101" s="3680"/>
      <c r="G101" s="3680"/>
      <c r="H101" s="3680"/>
      <c r="I101" s="3680"/>
      <c r="J101" s="3680">
        <f t="shared" si="13"/>
        <v>-0.39999999999417923</v>
      </c>
      <c r="K101" s="3680"/>
      <c r="L101" s="3680"/>
      <c r="M101" s="3680"/>
      <c r="N101" s="3680"/>
      <c r="O101" s="3680"/>
      <c r="P101" s="3680"/>
      <c r="Q101" s="3680"/>
      <c r="R101" s="3680"/>
      <c r="S101" s="3680"/>
      <c r="T101" s="3680"/>
      <c r="U101" s="3687">
        <f>'Phụ lục số 4'!U101</f>
        <v>-0.39999999999417923</v>
      </c>
      <c r="V101" s="3680"/>
      <c r="W101" s="3680"/>
      <c r="X101" s="3680"/>
      <c r="Y101" s="3680"/>
      <c r="Z101" s="3680"/>
      <c r="AA101" s="3680"/>
      <c r="AB101" s="3680"/>
      <c r="AC101" s="3680"/>
      <c r="AD101" s="3702"/>
      <c r="AE101" s="3703"/>
    </row>
    <row r="102" spans="1:31" s="1319" customFormat="1" ht="17.399999999999999">
      <c r="A102" s="3671">
        <f>'Phụ lục số 4'!A102</f>
        <v>8</v>
      </c>
      <c r="B102" s="3592" t="str">
        <f>'Phụ lục số 4'!B102</f>
        <v>Chi khác ngân sách</v>
      </c>
      <c r="C102" s="2956">
        <f t="shared" si="28"/>
        <v>14176</v>
      </c>
      <c r="D102" s="2956">
        <f t="shared" si="26"/>
        <v>0</v>
      </c>
      <c r="E102" s="2956">
        <f>'Phụ lục số 4'!E104</f>
        <v>0</v>
      </c>
      <c r="F102" s="2956">
        <f>'Phụ lục số 4'!F104</f>
        <v>0</v>
      </c>
      <c r="G102" s="2956">
        <f>'Phụ lục số 4'!G104</f>
        <v>0</v>
      </c>
      <c r="H102" s="2956">
        <f>'Phụ lục số 4'!H104</f>
        <v>0</v>
      </c>
      <c r="I102" s="2956"/>
      <c r="J102" s="2956">
        <f t="shared" si="13"/>
        <v>14176</v>
      </c>
      <c r="K102" s="2956">
        <f>'Phụ lục số 4'!K102</f>
        <v>0</v>
      </c>
      <c r="L102" s="2956">
        <f>'Phụ lục số 4'!L102</f>
        <v>0</v>
      </c>
      <c r="M102" s="2956">
        <f>'Phụ lục số 4'!M102</f>
        <v>0</v>
      </c>
      <c r="N102" s="2956">
        <f>'Phụ lục số 4'!N102</f>
        <v>0</v>
      </c>
      <c r="O102" s="2956">
        <f>'Phụ lục số 4'!O102</f>
        <v>0</v>
      </c>
      <c r="P102" s="2956">
        <f>'Phụ lục số 4'!P102</f>
        <v>0</v>
      </c>
      <c r="Q102" s="2956">
        <f>'Phụ lục số 4'!Q102</f>
        <v>0</v>
      </c>
      <c r="R102" s="2956">
        <f>'Phụ lục số 4'!R102</f>
        <v>0</v>
      </c>
      <c r="S102" s="2956">
        <f>'Phụ lục số 4'!S102</f>
        <v>0</v>
      </c>
      <c r="T102" s="2956">
        <f>'Phụ lục số 4'!T102</f>
        <v>0</v>
      </c>
      <c r="U102" s="2956">
        <f>'Phụ lục số 4'!U102</f>
        <v>0</v>
      </c>
      <c r="V102" s="2956">
        <f>'Phụ lục số 4'!V102</f>
        <v>14176</v>
      </c>
      <c r="W102" s="2956">
        <f>'Phụ lục số 4'!W102</f>
        <v>0</v>
      </c>
      <c r="X102" s="2956">
        <f>'Phụ lục số 4'!X102</f>
        <v>0</v>
      </c>
      <c r="Y102" s="2956">
        <f>'Phụ lục số 4'!Y102</f>
        <v>0</v>
      </c>
      <c r="Z102" s="2956">
        <f>'Phụ lục số 4'!Z102</f>
        <v>0</v>
      </c>
      <c r="AA102" s="2956">
        <f>'Phụ lục số 4'!AA102</f>
        <v>0</v>
      </c>
      <c r="AB102" s="2956">
        <f>'Phụ lục số 4'!AB102</f>
        <v>0</v>
      </c>
      <c r="AC102" s="2956">
        <f>'Phụ lục số 4'!AC102</f>
        <v>0</v>
      </c>
      <c r="AD102" s="3143">
        <f>'Phụ lục số 4'!AD102</f>
        <v>0</v>
      </c>
      <c r="AE102" s="3154">
        <f>'Phụ lục số 4'!AE104</f>
        <v>0</v>
      </c>
    </row>
    <row r="103" spans="1:31" s="2351" customFormat="1" ht="54">
      <c r="A103" s="3033"/>
      <c r="B103" s="3673" t="str">
        <f>'Phụ lục số 4'!B103</f>
        <v>Trong đó; Một số nhiệm vụ chi phải báo cáo cấp có thẩm quyền xem xét, quyết định cho phép thực hiện</v>
      </c>
      <c r="C103" s="3651">
        <f t="shared" si="28"/>
        <v>14176</v>
      </c>
      <c r="D103" s="3651"/>
      <c r="E103" s="3651"/>
      <c r="F103" s="3651"/>
      <c r="G103" s="3651"/>
      <c r="H103" s="3651"/>
      <c r="I103" s="3651"/>
      <c r="J103" s="3651">
        <f t="shared" si="13"/>
        <v>14176</v>
      </c>
      <c r="K103" s="3651">
        <f>'Phụ lục số 4'!K103</f>
        <v>0</v>
      </c>
      <c r="L103" s="3651">
        <f>'Phụ lục số 4'!L103</f>
        <v>0</v>
      </c>
      <c r="M103" s="3651">
        <f>'Phụ lục số 4'!M103</f>
        <v>0</v>
      </c>
      <c r="N103" s="3651">
        <f>'Phụ lục số 4'!N103</f>
        <v>0</v>
      </c>
      <c r="O103" s="3651">
        <f>'Phụ lục số 4'!O103</f>
        <v>0</v>
      </c>
      <c r="P103" s="3651">
        <f>'Phụ lục số 4'!P103</f>
        <v>0</v>
      </c>
      <c r="Q103" s="3651">
        <f>'Phụ lục số 4'!Q103</f>
        <v>0</v>
      </c>
      <c r="R103" s="3651">
        <f>'Phụ lục số 4'!R103</f>
        <v>0</v>
      </c>
      <c r="S103" s="3651">
        <f>'Phụ lục số 4'!S103</f>
        <v>0</v>
      </c>
      <c r="T103" s="3651">
        <f>'Phụ lục số 4'!T103</f>
        <v>0</v>
      </c>
      <c r="U103" s="3651">
        <f>'Phụ lục số 4'!U103</f>
        <v>0</v>
      </c>
      <c r="V103" s="3651">
        <f>'Phụ lục số 4'!V103</f>
        <v>14176</v>
      </c>
      <c r="W103" s="3651">
        <f>'Phụ lục số 4'!W103</f>
        <v>0</v>
      </c>
      <c r="X103" s="3651">
        <f>'Phụ lục số 4'!X103</f>
        <v>0</v>
      </c>
      <c r="Y103" s="3651">
        <f>'Phụ lục số 4'!Y103</f>
        <v>0</v>
      </c>
      <c r="Z103" s="3651">
        <f>'Phụ lục số 4'!Z103</f>
        <v>0</v>
      </c>
      <c r="AA103" s="3651">
        <f>'Phụ lục số 4'!AA103</f>
        <v>0</v>
      </c>
      <c r="AB103" s="3651">
        <f>'Phụ lục số 4'!AB103</f>
        <v>0</v>
      </c>
      <c r="AC103" s="3651">
        <f>'Phụ lục số 4'!AC103</f>
        <v>0</v>
      </c>
      <c r="AD103" s="3674">
        <f>'Phụ lục số 4'!AD103</f>
        <v>0</v>
      </c>
      <c r="AE103" s="3675"/>
    </row>
    <row r="104" spans="1:31" s="154" customFormat="1" hidden="1">
      <c r="A104" s="3031"/>
      <c r="B104" s="3593">
        <f>'Phụ lục số 4'!B104</f>
        <v>0</v>
      </c>
      <c r="C104" s="2954"/>
      <c r="D104" s="2954"/>
      <c r="E104" s="2954"/>
      <c r="F104" s="2954"/>
      <c r="G104" s="2954"/>
      <c r="H104" s="2954"/>
      <c r="I104" s="2954"/>
      <c r="J104" s="2954">
        <f t="shared" si="13"/>
        <v>0</v>
      </c>
      <c r="K104" s="2954">
        <f>'Phụ lục số 4'!K104</f>
        <v>0</v>
      </c>
      <c r="L104" s="2954">
        <f>'Phụ lục số 4'!L104</f>
        <v>0</v>
      </c>
      <c r="M104" s="2954">
        <f>'Phụ lục số 4'!M104</f>
        <v>0</v>
      </c>
      <c r="N104" s="2954">
        <f>'Phụ lục số 4'!N104</f>
        <v>0</v>
      </c>
      <c r="O104" s="2954">
        <f>'Phụ lục số 4'!O104</f>
        <v>0</v>
      </c>
      <c r="P104" s="2954">
        <f>'Phụ lục số 4'!P104</f>
        <v>0</v>
      </c>
      <c r="Q104" s="2954">
        <f>'Phụ lục số 4'!Q104</f>
        <v>0</v>
      </c>
      <c r="R104" s="2954">
        <f>'Phụ lục số 4'!R104</f>
        <v>0</v>
      </c>
      <c r="S104" s="2954">
        <f>'Phụ lục số 4'!S104</f>
        <v>0</v>
      </c>
      <c r="T104" s="2954">
        <f>'Phụ lục số 4'!T104</f>
        <v>0</v>
      </c>
      <c r="U104" s="2954">
        <f>'Phụ lục số 4'!U104</f>
        <v>0</v>
      </c>
      <c r="V104" s="2954">
        <f>'Phụ lục số 4'!V104</f>
        <v>0</v>
      </c>
      <c r="W104" s="2954">
        <f>'Phụ lục số 4'!W104</f>
        <v>0</v>
      </c>
      <c r="X104" s="2954">
        <f>'Phụ lục số 4'!X104</f>
        <v>0</v>
      </c>
      <c r="Y104" s="2954">
        <f>'Phụ lục số 4'!Y104</f>
        <v>0</v>
      </c>
      <c r="Z104" s="2954">
        <f>'Phụ lục số 4'!Z104</f>
        <v>0</v>
      </c>
      <c r="AA104" s="2954">
        <f>'Phụ lục số 4'!AA104</f>
        <v>0</v>
      </c>
      <c r="AB104" s="2954">
        <f>'Phụ lục số 4'!AB104</f>
        <v>0</v>
      </c>
      <c r="AC104" s="2954">
        <f>'Phụ lục số 4'!AC104</f>
        <v>0</v>
      </c>
      <c r="AD104" s="3142">
        <f>'Phụ lục số 4'!AD104</f>
        <v>0</v>
      </c>
      <c r="AE104" s="3153"/>
    </row>
    <row r="105" spans="1:31" s="1319" customFormat="1" ht="34.799999999999997" hidden="1">
      <c r="A105" s="3671">
        <f>'Phụ lục số 4'!A105</f>
        <v>9</v>
      </c>
      <c r="B105" s="3592" t="str">
        <f>'Phụ lục số 4'!B105</f>
        <v>10% tiết kiệm chi thường xuyên (phần giữ lại ngân sách)</v>
      </c>
      <c r="C105" s="2956">
        <f t="shared" si="28"/>
        <v>0</v>
      </c>
      <c r="D105" s="2956">
        <f t="shared" si="26"/>
        <v>0</v>
      </c>
      <c r="E105" s="2956">
        <f>'Phụ lục số 4'!E105</f>
        <v>0</v>
      </c>
      <c r="F105" s="2956">
        <f>'Phụ lục số 4'!F105</f>
        <v>0</v>
      </c>
      <c r="G105" s="2956">
        <f>'Phụ lục số 4'!G105</f>
        <v>0</v>
      </c>
      <c r="H105" s="2956">
        <f>'Phụ lục số 4'!H105</f>
        <v>0</v>
      </c>
      <c r="I105" s="2956"/>
      <c r="J105" s="2954">
        <f t="shared" si="13"/>
        <v>0</v>
      </c>
      <c r="K105" s="2956">
        <f>'Phụ lục số 4'!K105</f>
        <v>0</v>
      </c>
      <c r="L105" s="2956">
        <f>'Phụ lục số 4'!L105</f>
        <v>0</v>
      </c>
      <c r="M105" s="2956">
        <f>'Phụ lục số 4'!M105</f>
        <v>0</v>
      </c>
      <c r="N105" s="2956">
        <f>'Phụ lục số 4'!N105</f>
        <v>0</v>
      </c>
      <c r="O105" s="2956">
        <f>'Phụ lục số 4'!O105</f>
        <v>0</v>
      </c>
      <c r="P105" s="2956">
        <f>'Phụ lục số 4'!P105</f>
        <v>0</v>
      </c>
      <c r="Q105" s="2956">
        <f>'Phụ lục số 4'!Q105</f>
        <v>0</v>
      </c>
      <c r="R105" s="2956">
        <f>'Phụ lục số 4'!R105</f>
        <v>0</v>
      </c>
      <c r="S105" s="2956">
        <f>'Phụ lục số 4'!S105</f>
        <v>0</v>
      </c>
      <c r="T105" s="2956">
        <f>'Phụ lục số 4'!T105</f>
        <v>0</v>
      </c>
      <c r="U105" s="2956">
        <f>'Phụ lục số 4'!U105</f>
        <v>0</v>
      </c>
      <c r="V105" s="2956">
        <f>'Phụ lục số 4'!V105</f>
        <v>0</v>
      </c>
      <c r="W105" s="2956">
        <f>'Phụ lục số 4'!W105</f>
        <v>0</v>
      </c>
      <c r="X105" s="2956">
        <f>'Phụ lục số 4'!X105</f>
        <v>0</v>
      </c>
      <c r="Y105" s="2956">
        <f>'Phụ lục số 4'!Y105</f>
        <v>0</v>
      </c>
      <c r="Z105" s="2956">
        <f>'Phụ lục số 4'!Z105</f>
        <v>0</v>
      </c>
      <c r="AA105" s="2956">
        <f>'Phụ lục số 4'!AA105</f>
        <v>0</v>
      </c>
      <c r="AB105" s="2956">
        <f>'Phụ lục số 4'!AB105</f>
        <v>0</v>
      </c>
      <c r="AC105" s="2956">
        <f>'Phụ lục số 4'!AC105</f>
        <v>0</v>
      </c>
      <c r="AD105" s="3143">
        <f>'Phụ lục số 4'!AD105</f>
        <v>0</v>
      </c>
      <c r="AE105" s="3154">
        <f>'Phụ lục số 4'!AE105</f>
        <v>0</v>
      </c>
    </row>
    <row r="106" spans="1:31" s="154" customFormat="1" hidden="1">
      <c r="A106" s="3031"/>
      <c r="B106" s="3672" t="str">
        <f>'Phụ lục số 4'!B106</f>
        <v>Sự nghiệp toàn ngành trên địa bàn Tỉnh</v>
      </c>
      <c r="C106" s="3670">
        <f>D106+J106+AB106+W106+X106+AA106</f>
        <v>155579.55100000001</v>
      </c>
      <c r="D106" s="3670">
        <f t="shared" si="26"/>
        <v>0</v>
      </c>
      <c r="E106" s="3670">
        <f>'Phụ lục số 4'!E106</f>
        <v>0</v>
      </c>
      <c r="F106" s="3670">
        <f>'Phụ lục số 4'!F106</f>
        <v>0</v>
      </c>
      <c r="G106" s="3670">
        <f>'Phụ lục số 4'!G106</f>
        <v>0</v>
      </c>
      <c r="H106" s="3670">
        <f>'Phụ lục số 4'!H106</f>
        <v>0</v>
      </c>
      <c r="I106" s="3670"/>
      <c r="J106" s="3670">
        <f t="shared" si="13"/>
        <v>155579.55100000001</v>
      </c>
      <c r="K106" s="3670">
        <f>'Phụ lục số 4'!K106</f>
        <v>55500</v>
      </c>
      <c r="L106" s="3670">
        <f>'Phụ lục số 4'!L106</f>
        <v>1152</v>
      </c>
      <c r="M106" s="3670">
        <f>'Phụ lục số 4'!M106</f>
        <v>1892</v>
      </c>
      <c r="N106" s="3670">
        <f>'Phụ lục số 4'!N106</f>
        <v>74667</v>
      </c>
      <c r="O106" s="3670">
        <f>'Phụ lục số 4'!O106</f>
        <v>0</v>
      </c>
      <c r="P106" s="3670">
        <f>'Phụ lục số 4'!P106</f>
        <v>2694</v>
      </c>
      <c r="Q106" s="3670">
        <f>'Phụ lục số 4'!Q106</f>
        <v>0</v>
      </c>
      <c r="R106" s="3670">
        <f>'Phụ lục số 4'!R106</f>
        <v>0</v>
      </c>
      <c r="S106" s="3670">
        <f>'Phụ lục số 4'!S106</f>
        <v>0</v>
      </c>
      <c r="T106" s="3670">
        <f>'Phụ lục số 4'!T106</f>
        <v>5498.9510000000009</v>
      </c>
      <c r="U106" s="3670">
        <f>'Phụ lục số 4'!U106</f>
        <v>-0.39999999999417923</v>
      </c>
      <c r="V106" s="3670">
        <f>'Phụ lục số 4'!V106</f>
        <v>14176</v>
      </c>
      <c r="W106" s="3670">
        <f>'Phụ lục số 4'!W106</f>
        <v>0</v>
      </c>
      <c r="X106" s="3670">
        <f>'Phụ lục số 4'!X106</f>
        <v>0</v>
      </c>
      <c r="Y106" s="3670">
        <f>'Phụ lục số 4'!Y106</f>
        <v>0</v>
      </c>
      <c r="Z106" s="3670">
        <f>'Phụ lục số 4'!Z106</f>
        <v>0</v>
      </c>
      <c r="AA106" s="3670">
        <f>'Phụ lục số 4'!AA106</f>
        <v>0</v>
      </c>
      <c r="AB106" s="3670">
        <f t="shared" ref="AB106:AB118" si="29">SUM(AC106:AD106)</f>
        <v>0</v>
      </c>
      <c r="AC106" s="3670">
        <f>'Phụ lục số 4'!AC106</f>
        <v>0</v>
      </c>
      <c r="AD106" s="3629">
        <f>'Phụ lục số 4'!AD106</f>
        <v>0</v>
      </c>
      <c r="AE106" s="3153">
        <f>'Phụ lục số 4'!AE106</f>
        <v>0</v>
      </c>
    </row>
    <row r="107" spans="1:31" s="1319" customFormat="1" ht="34.799999999999997">
      <c r="A107" s="2930" t="s">
        <v>22</v>
      </c>
      <c r="B107" s="2788" t="str">
        <f>'Phụ lục số 4'!B107</f>
        <v>CHI BỔ SUNG QUỸ DỰ TRỮ TÀI CHÍNH</v>
      </c>
      <c r="C107" s="2956">
        <f t="shared" ref="C107:C117" si="30">D107+J107+AB107+W107+X107+AA107+Y107+Z107</f>
        <v>2000</v>
      </c>
      <c r="D107" s="2956">
        <f t="shared" si="26"/>
        <v>0</v>
      </c>
      <c r="E107" s="2956">
        <f>'Phụ lục số 4'!E107</f>
        <v>0</v>
      </c>
      <c r="F107" s="2956">
        <f>'Phụ lục số 4'!F107</f>
        <v>0</v>
      </c>
      <c r="G107" s="2956">
        <f>'Phụ lục số 4'!G107</f>
        <v>0</v>
      </c>
      <c r="H107" s="2956">
        <f>'Phụ lục số 4'!H107</f>
        <v>0</v>
      </c>
      <c r="I107" s="2956"/>
      <c r="J107" s="2956">
        <f t="shared" si="13"/>
        <v>0</v>
      </c>
      <c r="K107" s="2956">
        <f>'Phụ lục số 4'!K107</f>
        <v>0</v>
      </c>
      <c r="L107" s="2956">
        <f>'Phụ lục số 4'!L107</f>
        <v>0</v>
      </c>
      <c r="M107" s="2956">
        <f>'Phụ lục số 4'!M107</f>
        <v>0</v>
      </c>
      <c r="N107" s="2956">
        <f>'Phụ lục số 4'!N107</f>
        <v>0</v>
      </c>
      <c r="O107" s="2956">
        <f>'Phụ lục số 4'!O107</f>
        <v>0</v>
      </c>
      <c r="P107" s="2956">
        <f>'Phụ lục số 4'!P107</f>
        <v>0</v>
      </c>
      <c r="Q107" s="2956">
        <f>'Phụ lục số 4'!Q107</f>
        <v>0</v>
      </c>
      <c r="R107" s="2956">
        <f>'Phụ lục số 4'!R107</f>
        <v>0</v>
      </c>
      <c r="S107" s="2956">
        <f>'Phụ lục số 4'!S107</f>
        <v>0</v>
      </c>
      <c r="T107" s="2956">
        <f>'Phụ lục số 4'!T107</f>
        <v>0</v>
      </c>
      <c r="U107" s="2956">
        <f>'Phụ lục số 4'!U107</f>
        <v>0</v>
      </c>
      <c r="V107" s="2956">
        <f>'Phụ lục số 4'!V107</f>
        <v>0</v>
      </c>
      <c r="W107" s="2956">
        <f>'Phụ lục số 4'!W107</f>
        <v>2000</v>
      </c>
      <c r="X107" s="2956">
        <f>'Phụ lục số 4'!X107</f>
        <v>0</v>
      </c>
      <c r="Y107" s="2956">
        <f>'Phụ lục số 4'!Y107</f>
        <v>0</v>
      </c>
      <c r="Z107" s="2956">
        <f>'Phụ lục số 4'!Z107</f>
        <v>0</v>
      </c>
      <c r="AA107" s="2956">
        <f>'Phụ lục số 4'!AA107</f>
        <v>0</v>
      </c>
      <c r="AB107" s="2956">
        <f t="shared" si="29"/>
        <v>0</v>
      </c>
      <c r="AC107" s="2956">
        <f>'Phụ lục số 4'!AC107</f>
        <v>0</v>
      </c>
      <c r="AD107" s="3143">
        <f>'Phụ lục số 4'!AD107</f>
        <v>0</v>
      </c>
      <c r="AE107" s="3154">
        <f>'Phụ lục số 4'!AE107</f>
        <v>0</v>
      </c>
    </row>
    <row r="108" spans="1:31" s="1319" customFormat="1" ht="34.799999999999997">
      <c r="A108" s="2930" t="s">
        <v>26</v>
      </c>
      <c r="B108" s="2788" t="str">
        <f>'Phụ lục số 4'!B108</f>
        <v>CHI DỰ PHÒNG NGÂN SÁCH CẤP TỈNH</v>
      </c>
      <c r="C108" s="2956">
        <f t="shared" si="30"/>
        <v>152264.36799999999</v>
      </c>
      <c r="D108" s="2956">
        <f t="shared" si="26"/>
        <v>0</v>
      </c>
      <c r="E108" s="2956">
        <f>'Phụ lục số 4'!E108</f>
        <v>0</v>
      </c>
      <c r="F108" s="2956">
        <f>'Phụ lục số 4'!F108</f>
        <v>0</v>
      </c>
      <c r="G108" s="2956">
        <f>'Phụ lục số 4'!G108</f>
        <v>0</v>
      </c>
      <c r="H108" s="2956">
        <f>'Phụ lục số 4'!H108</f>
        <v>0</v>
      </c>
      <c r="I108" s="2956"/>
      <c r="J108" s="2956">
        <f t="shared" si="13"/>
        <v>0</v>
      </c>
      <c r="K108" s="2956">
        <f>'Phụ lục số 4'!K108</f>
        <v>0</v>
      </c>
      <c r="L108" s="2956">
        <f>'Phụ lục số 4'!L108</f>
        <v>0</v>
      </c>
      <c r="M108" s="2956">
        <f>'Phụ lục số 4'!M108</f>
        <v>0</v>
      </c>
      <c r="N108" s="2956">
        <f>'Phụ lục số 4'!N108</f>
        <v>0</v>
      </c>
      <c r="O108" s="2956">
        <f>'Phụ lục số 4'!O108</f>
        <v>0</v>
      </c>
      <c r="P108" s="2956">
        <f>'Phụ lục số 4'!P108</f>
        <v>0</v>
      </c>
      <c r="Q108" s="2956">
        <f>'Phụ lục số 4'!Q108</f>
        <v>0</v>
      </c>
      <c r="R108" s="2956">
        <f>'Phụ lục số 4'!R108</f>
        <v>0</v>
      </c>
      <c r="S108" s="2956">
        <f>'Phụ lục số 4'!S108</f>
        <v>0</v>
      </c>
      <c r="T108" s="2956">
        <f>'Phụ lục số 4'!T108</f>
        <v>0</v>
      </c>
      <c r="U108" s="2956">
        <f>'Phụ lục số 4'!U108</f>
        <v>0</v>
      </c>
      <c r="V108" s="2956">
        <f>'Phụ lục số 4'!V108</f>
        <v>0</v>
      </c>
      <c r="W108" s="2956">
        <f>'Phụ lục số 4'!W108</f>
        <v>0</v>
      </c>
      <c r="X108" s="2956">
        <f>'Phụ lục số 4'!X108</f>
        <v>152264.36799999999</v>
      </c>
      <c r="Y108" s="2956">
        <f>'Phụ lục số 4'!Y108</f>
        <v>0</v>
      </c>
      <c r="Z108" s="2956">
        <f>'Phụ lục số 4'!Z108</f>
        <v>0</v>
      </c>
      <c r="AA108" s="2956">
        <f>'Phụ lục số 4'!AA108</f>
        <v>0</v>
      </c>
      <c r="AB108" s="2956">
        <f t="shared" si="29"/>
        <v>0</v>
      </c>
      <c r="AC108" s="2956">
        <f>'Phụ lục số 4'!AC108</f>
        <v>0</v>
      </c>
      <c r="AD108" s="3143">
        <f>'Phụ lục số 4'!AD108</f>
        <v>0</v>
      </c>
      <c r="AE108" s="3154">
        <f>'Phụ lục số 4'!AE108</f>
        <v>0</v>
      </c>
    </row>
    <row r="109" spans="1:31" s="1319" customFormat="1" ht="52.2">
      <c r="A109" s="2930" t="s">
        <v>130</v>
      </c>
      <c r="B109" s="2788" t="s">
        <v>2622</v>
      </c>
      <c r="C109" s="2956">
        <f t="shared" si="30"/>
        <v>79139.200000000012</v>
      </c>
      <c r="D109" s="2956"/>
      <c r="E109" s="2956"/>
      <c r="F109" s="2956"/>
      <c r="G109" s="2956"/>
      <c r="H109" s="2956"/>
      <c r="I109" s="2956"/>
      <c r="J109" s="2956"/>
      <c r="K109" s="2956"/>
      <c r="L109" s="2956"/>
      <c r="M109" s="2956"/>
      <c r="N109" s="2956"/>
      <c r="O109" s="2956"/>
      <c r="P109" s="2956"/>
      <c r="Q109" s="2956"/>
      <c r="R109" s="2956"/>
      <c r="S109" s="2956"/>
      <c r="T109" s="2956"/>
      <c r="U109" s="2956"/>
      <c r="V109" s="2956"/>
      <c r="W109" s="2956"/>
      <c r="X109" s="2956">
        <f>'Phụ lục số 4'!X109</f>
        <v>0</v>
      </c>
      <c r="Y109" s="2956">
        <f>'Phụ lục số 4'!Y109</f>
        <v>0</v>
      </c>
      <c r="Z109" s="2956">
        <f>'Phụ lục số 4'!Z109</f>
        <v>79139.200000000012</v>
      </c>
      <c r="AA109" s="2956">
        <f>'Phụ lục số 4'!AA109</f>
        <v>0</v>
      </c>
      <c r="AB109" s="2956"/>
      <c r="AC109" s="2956"/>
      <c r="AD109" s="3143"/>
      <c r="AE109" s="3154"/>
    </row>
    <row r="110" spans="1:31" s="1319" customFormat="1" ht="34.799999999999997">
      <c r="A110" s="2930" t="s">
        <v>1504</v>
      </c>
      <c r="B110" s="2788" t="s">
        <v>2617</v>
      </c>
      <c r="C110" s="2956">
        <f t="shared" si="30"/>
        <v>3000</v>
      </c>
      <c r="D110" s="2956">
        <f>SUM(E110:H110)</f>
        <v>0</v>
      </c>
      <c r="E110" s="2956"/>
      <c r="F110" s="2956"/>
      <c r="G110" s="2956"/>
      <c r="H110" s="2956"/>
      <c r="I110" s="2956"/>
      <c r="J110" s="2956"/>
      <c r="K110" s="2956"/>
      <c r="L110" s="2956"/>
      <c r="M110" s="2956"/>
      <c r="N110" s="2956"/>
      <c r="O110" s="2956"/>
      <c r="P110" s="2956"/>
      <c r="Q110" s="2956"/>
      <c r="R110" s="2956"/>
      <c r="S110" s="2956"/>
      <c r="T110" s="2956"/>
      <c r="U110" s="2956"/>
      <c r="V110" s="2956"/>
      <c r="W110" s="2956"/>
      <c r="X110" s="2956"/>
      <c r="Y110" s="2956"/>
      <c r="Z110" s="2956"/>
      <c r="AA110" s="2956">
        <v>3000</v>
      </c>
      <c r="AB110" s="2956"/>
      <c r="AC110" s="2956"/>
      <c r="AD110" s="3143"/>
      <c r="AE110" s="3154"/>
    </row>
    <row r="111" spans="1:31" s="1319" customFormat="1" ht="17.399999999999999">
      <c r="A111" s="2930" t="s">
        <v>217</v>
      </c>
      <c r="B111" s="2788" t="str">
        <f>'Phụ lục số 4'!B111</f>
        <v>CHI ĐẦU TƯ XÂY DỰNG CƠ BẢN</v>
      </c>
      <c r="C111" s="2956">
        <f t="shared" si="30"/>
        <v>562186</v>
      </c>
      <c r="D111" s="2956">
        <f>SUM(E111:I111)</f>
        <v>562186</v>
      </c>
      <c r="E111" s="2956">
        <f>'Phụ lục số 4'!E111</f>
        <v>562186</v>
      </c>
      <c r="F111" s="2956">
        <f>'Phụ lục số 4'!F111</f>
        <v>0</v>
      </c>
      <c r="G111" s="2956">
        <f>'Phụ lục số 4'!G111</f>
        <v>0</v>
      </c>
      <c r="H111" s="2956">
        <f>'Phụ lục số 4'!H111</f>
        <v>0</v>
      </c>
      <c r="I111" s="2956"/>
      <c r="J111" s="2956">
        <f t="shared" si="13"/>
        <v>0</v>
      </c>
      <c r="K111" s="2956">
        <f>'Phụ lục số 4'!K111</f>
        <v>0</v>
      </c>
      <c r="L111" s="2956">
        <f>'Phụ lục số 4'!L111</f>
        <v>0</v>
      </c>
      <c r="M111" s="2956">
        <f>'Phụ lục số 4'!M111</f>
        <v>0</v>
      </c>
      <c r="N111" s="2956">
        <f>'Phụ lục số 4'!N111</f>
        <v>0</v>
      </c>
      <c r="O111" s="2956">
        <f>'Phụ lục số 4'!O111</f>
        <v>0</v>
      </c>
      <c r="P111" s="2956">
        <f>'Phụ lục số 4'!P111</f>
        <v>0</v>
      </c>
      <c r="Q111" s="2956">
        <f>'Phụ lục số 4'!Q111</f>
        <v>0</v>
      </c>
      <c r="R111" s="2956">
        <f>'Phụ lục số 4'!R111</f>
        <v>0</v>
      </c>
      <c r="S111" s="2956">
        <f>'Phụ lục số 4'!S111</f>
        <v>0</v>
      </c>
      <c r="T111" s="2956">
        <f>'Phụ lục số 4'!T111</f>
        <v>0</v>
      </c>
      <c r="U111" s="2956">
        <f>'Phụ lục số 4'!U111</f>
        <v>0</v>
      </c>
      <c r="V111" s="2956">
        <f>'Phụ lục số 4'!V111</f>
        <v>0</v>
      </c>
      <c r="W111" s="2956">
        <f>'Phụ lục số 4'!W111</f>
        <v>0</v>
      </c>
      <c r="X111" s="2956">
        <f>'Phụ lục số 4'!X111</f>
        <v>0</v>
      </c>
      <c r="Y111" s="2956">
        <f>'Phụ lục số 4'!Y111</f>
        <v>0</v>
      </c>
      <c r="Z111" s="2956">
        <f>'Phụ lục số 4'!Z111</f>
        <v>0</v>
      </c>
      <c r="AA111" s="2956">
        <f>'Phụ lục số 4'!AA111</f>
        <v>0</v>
      </c>
      <c r="AB111" s="2956">
        <f t="shared" si="29"/>
        <v>0</v>
      </c>
      <c r="AC111" s="2956">
        <f>'Phụ lục số 4'!AC111</f>
        <v>0</v>
      </c>
      <c r="AD111" s="3143">
        <f>'Phụ lục số 4'!AD111</f>
        <v>0</v>
      </c>
      <c r="AE111" s="3154">
        <f>'Phụ lục số 4'!AE111</f>
        <v>0</v>
      </c>
    </row>
    <row r="112" spans="1:31" s="1319" customFormat="1" ht="159.6" customHeight="1">
      <c r="A112" s="2930" t="s">
        <v>1505</v>
      </c>
      <c r="B112" s="2788" t="str">
        <f>'Phụ lục số 4'!B112</f>
        <v>CHI ĐẦU TƯ TỪ NGUỒN THU TIỀN SỬ DỤNG ĐẤT (CHI BỔ SUNG ĐẢM BẢO VỐN ĐIỀU LỆ QUỸ PHÁT TRIỂN ĐẤT TỪ NGUỒN THU TIỀN SỬ DỤNG ĐẤT CẤP TỈNH; CHI CÔNG TÁC DO ĐẠC…THEO NGHỊ QUYẾT SỐ 41/2023/NQ-HĐND NGÀY 18/7/2023)</v>
      </c>
      <c r="C112" s="2956">
        <f t="shared" si="30"/>
        <v>627000</v>
      </c>
      <c r="D112" s="2956">
        <f t="shared" ref="D112:D117" si="31">SUM(E112:I112)</f>
        <v>627000</v>
      </c>
      <c r="E112" s="2956">
        <f>'Phụ lục số 4'!E112</f>
        <v>0</v>
      </c>
      <c r="F112" s="2956">
        <f>'Phụ lục số 4'!F112</f>
        <v>627000</v>
      </c>
      <c r="G112" s="2956">
        <f>'Phụ lục số 4'!G112</f>
        <v>0</v>
      </c>
      <c r="H112" s="2956">
        <f>'Phụ lục số 4'!H112</f>
        <v>0</v>
      </c>
      <c r="I112" s="2956"/>
      <c r="J112" s="2956">
        <f>SUM(K112:V112)</f>
        <v>0</v>
      </c>
      <c r="K112" s="2956">
        <f>'Phụ lục số 4'!K112</f>
        <v>0</v>
      </c>
      <c r="L112" s="2956">
        <f>'Phụ lục số 4'!L112</f>
        <v>0</v>
      </c>
      <c r="M112" s="2956">
        <f>'Phụ lục số 4'!M112</f>
        <v>0</v>
      </c>
      <c r="N112" s="2956">
        <f>'Phụ lục số 4'!N112</f>
        <v>0</v>
      </c>
      <c r="O112" s="2956">
        <f>'Phụ lục số 4'!O112</f>
        <v>0</v>
      </c>
      <c r="P112" s="2956">
        <f>'Phụ lục số 4'!P112</f>
        <v>0</v>
      </c>
      <c r="Q112" s="2956">
        <f>'Phụ lục số 4'!Q112</f>
        <v>0</v>
      </c>
      <c r="R112" s="2956">
        <f>'Phụ lục số 4'!R112</f>
        <v>0</v>
      </c>
      <c r="S112" s="2956">
        <f>'Phụ lục số 4'!S112</f>
        <v>0</v>
      </c>
      <c r="T112" s="2956">
        <f>'Phụ lục số 4'!T112</f>
        <v>0</v>
      </c>
      <c r="U112" s="2956">
        <f>'Phụ lục số 4'!U112</f>
        <v>0</v>
      </c>
      <c r="V112" s="2956">
        <f>'Phụ lục số 4'!V112</f>
        <v>0</v>
      </c>
      <c r="W112" s="2956">
        <f>'Phụ lục số 4'!W112</f>
        <v>0</v>
      </c>
      <c r="X112" s="2956">
        <f>'Phụ lục số 4'!X112</f>
        <v>0</v>
      </c>
      <c r="Y112" s="2956">
        <f>'Phụ lục số 4'!Y112</f>
        <v>0</v>
      </c>
      <c r="Z112" s="2956">
        <f>'Phụ lục số 4'!Z112</f>
        <v>0</v>
      </c>
      <c r="AA112" s="2956">
        <f>'Phụ lục số 4'!AA112</f>
        <v>0</v>
      </c>
      <c r="AB112" s="2956">
        <f t="shared" si="29"/>
        <v>0</v>
      </c>
      <c r="AC112" s="2956">
        <f>'Phụ lục số 4'!AC112</f>
        <v>0</v>
      </c>
      <c r="AD112" s="3143">
        <f>'Phụ lục số 4'!AD112</f>
        <v>0</v>
      </c>
      <c r="AE112" s="3154">
        <f>'Phụ lục số 4'!AE112</f>
        <v>0</v>
      </c>
    </row>
    <row r="113" spans="1:31" s="1319" customFormat="1" ht="34.799999999999997">
      <c r="A113" s="2930" t="s">
        <v>884</v>
      </c>
      <c r="B113" s="2788" t="str">
        <f>'Phụ lục số 4'!B113</f>
        <v>CHI ĐẦU TƯ TỪ NGUỒN THU XỔ SỐ KIẾN THIẾT</v>
      </c>
      <c r="C113" s="2956">
        <f t="shared" si="30"/>
        <v>1950000</v>
      </c>
      <c r="D113" s="2956">
        <f t="shared" si="31"/>
        <v>1950000</v>
      </c>
      <c r="E113" s="2956">
        <f>'Phụ lục số 4'!E113</f>
        <v>0</v>
      </c>
      <c r="F113" s="2956">
        <f>'Phụ lục số 4'!F113</f>
        <v>0</v>
      </c>
      <c r="G113" s="2956">
        <f>'Phụ lục số 4'!G113</f>
        <v>1950000</v>
      </c>
      <c r="H113" s="2956">
        <f>'Phụ lục số 4'!H113</f>
        <v>0</v>
      </c>
      <c r="I113" s="2956"/>
      <c r="J113" s="2956">
        <f t="shared" si="13"/>
        <v>0</v>
      </c>
      <c r="K113" s="2956">
        <f>'Phụ lục số 4'!K113</f>
        <v>0</v>
      </c>
      <c r="L113" s="2956">
        <f>'Phụ lục số 4'!L113</f>
        <v>0</v>
      </c>
      <c r="M113" s="2956">
        <f>'Phụ lục số 4'!M113</f>
        <v>0</v>
      </c>
      <c r="N113" s="2956">
        <f>'Phụ lục số 4'!N113</f>
        <v>0</v>
      </c>
      <c r="O113" s="2956">
        <f>'Phụ lục số 4'!O113</f>
        <v>0</v>
      </c>
      <c r="P113" s="2956">
        <f>'Phụ lục số 4'!P113</f>
        <v>0</v>
      </c>
      <c r="Q113" s="2956">
        <f>'Phụ lục số 4'!Q113</f>
        <v>0</v>
      </c>
      <c r="R113" s="2956">
        <f>'Phụ lục số 4'!R113</f>
        <v>0</v>
      </c>
      <c r="S113" s="2956">
        <f>'Phụ lục số 4'!S113</f>
        <v>0</v>
      </c>
      <c r="T113" s="2956">
        <f>'Phụ lục số 4'!T113</f>
        <v>0</v>
      </c>
      <c r="U113" s="2956">
        <f>'Phụ lục số 4'!U113</f>
        <v>0</v>
      </c>
      <c r="V113" s="2956">
        <f>'Phụ lục số 4'!V113</f>
        <v>0</v>
      </c>
      <c r="W113" s="2956">
        <f>'Phụ lục số 4'!W113</f>
        <v>0</v>
      </c>
      <c r="X113" s="2956">
        <f>'Phụ lục số 4'!X113</f>
        <v>0</v>
      </c>
      <c r="Y113" s="2956">
        <f>'Phụ lục số 4'!Y113</f>
        <v>0</v>
      </c>
      <c r="Z113" s="2956">
        <f>'Phụ lục số 4'!Z113</f>
        <v>0</v>
      </c>
      <c r="AA113" s="2956">
        <f>'Phụ lục số 4'!AA113</f>
        <v>0</v>
      </c>
      <c r="AB113" s="2956">
        <f t="shared" si="29"/>
        <v>0</v>
      </c>
      <c r="AC113" s="2956">
        <f>'Phụ lục số 4'!AC113</f>
        <v>0</v>
      </c>
      <c r="AD113" s="3143">
        <f>'Phụ lục số 4'!AD113</f>
        <v>0</v>
      </c>
      <c r="AE113" s="3154">
        <f>'Phụ lục số 4'!AE113</f>
        <v>0</v>
      </c>
    </row>
    <row r="114" spans="1:31" s="1319" customFormat="1" ht="69.599999999999994" hidden="1">
      <c r="A114" s="2930" t="s">
        <v>2534</v>
      </c>
      <c r="B114" s="2789" t="str">
        <f>'Phụ lục số 4'!B114</f>
        <v>CHI ĐẦU TƯ TỪ NGUỒN THU CỔ PHẦN HÓA, THOÁI VỐN DOANH NGHIỆP NHÀ NƯỚC ĐỊA PHƯƠNG QUẢN LÝ</v>
      </c>
      <c r="C114" s="2956">
        <f t="shared" si="30"/>
        <v>0</v>
      </c>
      <c r="D114" s="2956">
        <f t="shared" si="31"/>
        <v>0</v>
      </c>
      <c r="E114" s="2956">
        <f>'Phụ lục số 4'!E114</f>
        <v>0</v>
      </c>
      <c r="F114" s="2956">
        <f>'Phụ lục số 4'!F114</f>
        <v>0</v>
      </c>
      <c r="G114" s="2956">
        <f>'Phụ lục số 4'!G114</f>
        <v>0</v>
      </c>
      <c r="H114" s="2956">
        <f>'Phụ lục số 4'!H114</f>
        <v>0</v>
      </c>
      <c r="I114" s="2956">
        <f>'Phụ lục số 4'!I114</f>
        <v>0</v>
      </c>
      <c r="J114" s="2956"/>
      <c r="K114" s="2956"/>
      <c r="L114" s="2956"/>
      <c r="M114" s="2956"/>
      <c r="N114" s="2956"/>
      <c r="O114" s="2956"/>
      <c r="P114" s="2956"/>
      <c r="Q114" s="2956"/>
      <c r="R114" s="2956"/>
      <c r="S114" s="2956"/>
      <c r="T114" s="2956"/>
      <c r="U114" s="2956"/>
      <c r="V114" s="2956"/>
      <c r="W114" s="2956"/>
      <c r="X114" s="2956"/>
      <c r="Y114" s="2956"/>
      <c r="Z114" s="2956"/>
      <c r="AA114" s="2956"/>
      <c r="AB114" s="2956"/>
      <c r="AC114" s="2956">
        <f>'Phụ lục số 4'!AC114</f>
        <v>0</v>
      </c>
      <c r="AD114" s="3143"/>
      <c r="AE114" s="3154"/>
    </row>
    <row r="115" spans="1:31" s="1319" customFormat="1" ht="52.2">
      <c r="A115" s="2930" t="s">
        <v>2534</v>
      </c>
      <c r="B115" s="2789" t="str">
        <f>'Phụ lục số 4'!B115</f>
        <v>CHI ĐẦU TƯ PHÁT TRIỂN KHÁC (ỦY THÁC QUA NH CHÍNH SÁCH XÃ HỘI CHI NHÁNH TỈNH ĐỒNG THÁP)</v>
      </c>
      <c r="C115" s="2956">
        <f t="shared" si="30"/>
        <v>60000</v>
      </c>
      <c r="D115" s="2956">
        <f t="shared" si="31"/>
        <v>60000</v>
      </c>
      <c r="E115" s="2956"/>
      <c r="F115" s="2956"/>
      <c r="G115" s="2956"/>
      <c r="H115" s="2956">
        <f>'Phụ lục số 4'!H115</f>
        <v>0</v>
      </c>
      <c r="I115" s="2956">
        <f>'Phụ lục số 4'!I115</f>
        <v>60000</v>
      </c>
      <c r="J115" s="2956"/>
      <c r="K115" s="2956"/>
      <c r="L115" s="2956"/>
      <c r="M115" s="2956"/>
      <c r="N115" s="2956"/>
      <c r="O115" s="2956"/>
      <c r="P115" s="2956"/>
      <c r="Q115" s="2956"/>
      <c r="R115" s="2956"/>
      <c r="S115" s="2956"/>
      <c r="T115" s="2956"/>
      <c r="U115" s="2956"/>
      <c r="V115" s="2956"/>
      <c r="W115" s="2956"/>
      <c r="X115" s="2956"/>
      <c r="Y115" s="2956"/>
      <c r="Z115" s="2956"/>
      <c r="AA115" s="2956"/>
      <c r="AB115" s="2956"/>
      <c r="AC115" s="2956"/>
      <c r="AD115" s="3143"/>
      <c r="AE115" s="3154"/>
    </row>
    <row r="116" spans="1:31" s="1319" customFormat="1" ht="52.2">
      <c r="A116" s="2930" t="s">
        <v>9</v>
      </c>
      <c r="B116" s="2788" t="str">
        <f>'Phụ lục số 4'!B116</f>
        <v>CHI ĐẦU TƯ TỪ NGUỒN NSTW BỔ SUNG CÓ MỤC TIÊU (VỐN ĐẦU TƯ PHÁT TRIỂN)</v>
      </c>
      <c r="C116" s="2956">
        <f t="shared" si="30"/>
        <v>1814491</v>
      </c>
      <c r="D116" s="2956">
        <f t="shared" si="31"/>
        <v>0</v>
      </c>
      <c r="E116" s="2956">
        <f>'Phụ lục số 4'!E116</f>
        <v>0</v>
      </c>
      <c r="F116" s="2956">
        <f>'Phụ lục số 4'!F116</f>
        <v>0</v>
      </c>
      <c r="G116" s="2956">
        <f>'Phụ lục số 4'!G116</f>
        <v>0</v>
      </c>
      <c r="H116" s="2956">
        <f>'Phụ lục số 4'!H116</f>
        <v>0</v>
      </c>
      <c r="I116" s="2956"/>
      <c r="J116" s="2956">
        <f t="shared" si="13"/>
        <v>0</v>
      </c>
      <c r="K116" s="2956">
        <f>'Phụ lục số 4'!K116</f>
        <v>0</v>
      </c>
      <c r="L116" s="2956">
        <f>'Phụ lục số 4'!L116</f>
        <v>0</v>
      </c>
      <c r="M116" s="2956">
        <f>'Phụ lục số 4'!M116</f>
        <v>0</v>
      </c>
      <c r="N116" s="2956">
        <f>'Phụ lục số 4'!N116</f>
        <v>0</v>
      </c>
      <c r="O116" s="2956">
        <f>'Phụ lục số 4'!O116</f>
        <v>0</v>
      </c>
      <c r="P116" s="2956">
        <f>'Phụ lục số 4'!P116</f>
        <v>0</v>
      </c>
      <c r="Q116" s="2956">
        <f>'Phụ lục số 4'!Q116</f>
        <v>0</v>
      </c>
      <c r="R116" s="2956">
        <f>'Phụ lục số 4'!R116</f>
        <v>0</v>
      </c>
      <c r="S116" s="2956">
        <f>'Phụ lục số 4'!S116</f>
        <v>0</v>
      </c>
      <c r="T116" s="2956">
        <f>'Phụ lục số 4'!T116</f>
        <v>0</v>
      </c>
      <c r="U116" s="2956">
        <f>'Phụ lục số 4'!U116</f>
        <v>0</v>
      </c>
      <c r="V116" s="2956">
        <f>'Phụ lục số 4'!V116</f>
        <v>0</v>
      </c>
      <c r="W116" s="2956">
        <f>'Phụ lục số 4'!W116</f>
        <v>0</v>
      </c>
      <c r="X116" s="2956">
        <f>'Phụ lục số 4'!X116</f>
        <v>0</v>
      </c>
      <c r="Y116" s="2956">
        <f>'Phụ lục số 4'!Y116</f>
        <v>0</v>
      </c>
      <c r="Z116" s="2956">
        <f>'Phụ lục số 4'!Z116</f>
        <v>0</v>
      </c>
      <c r="AA116" s="2956">
        <f>'Phụ lục số 4'!AA116</f>
        <v>0</v>
      </c>
      <c r="AB116" s="2956">
        <f t="shared" si="29"/>
        <v>1814491</v>
      </c>
      <c r="AC116" s="2956">
        <f>'Phụ lục số 4'!AC116</f>
        <v>1814491</v>
      </c>
      <c r="AD116" s="3143">
        <f>'Phụ lục số 4'!AD116</f>
        <v>0</v>
      </c>
      <c r="AE116" s="3154">
        <f>'Phụ lục số 4'!AE116</f>
        <v>0</v>
      </c>
    </row>
    <row r="117" spans="1:31" s="1319" customFormat="1" ht="34.799999999999997">
      <c r="A117" s="2930" t="s">
        <v>2610</v>
      </c>
      <c r="B117" s="2788" t="str">
        <f>'Phụ lục số 4'!B117</f>
        <v>CHI ĐẦU TƯ TỪ NGUỒN VỐN CHÍNH PHỦ VAY VỀ CHO VAY LẠI</v>
      </c>
      <c r="C117" s="2956">
        <f t="shared" si="30"/>
        <v>0</v>
      </c>
      <c r="D117" s="2956">
        <f t="shared" si="31"/>
        <v>0</v>
      </c>
      <c r="E117" s="2956">
        <f>'Phụ lục số 4'!E117</f>
        <v>0</v>
      </c>
      <c r="F117" s="2956">
        <f>'Phụ lục số 4'!F117</f>
        <v>0</v>
      </c>
      <c r="G117" s="2956">
        <f>'Phụ lục số 4'!G117</f>
        <v>0</v>
      </c>
      <c r="H117" s="2956">
        <f>'Phụ lục số 4'!H117</f>
        <v>0</v>
      </c>
      <c r="I117" s="2956"/>
      <c r="J117" s="2956">
        <f t="shared" si="13"/>
        <v>0</v>
      </c>
      <c r="K117" s="2956">
        <f>'Phụ lục số 4'!K117</f>
        <v>0</v>
      </c>
      <c r="L117" s="2956">
        <f>'Phụ lục số 4'!L117</f>
        <v>0</v>
      </c>
      <c r="M117" s="2956">
        <f>'Phụ lục số 4'!M117</f>
        <v>0</v>
      </c>
      <c r="N117" s="2956">
        <f>'Phụ lục số 4'!N117</f>
        <v>0</v>
      </c>
      <c r="O117" s="2956">
        <f>'Phụ lục số 4'!O117</f>
        <v>0</v>
      </c>
      <c r="P117" s="2956">
        <f>'Phụ lục số 4'!P117</f>
        <v>0</v>
      </c>
      <c r="Q117" s="2956">
        <f>'Phụ lục số 4'!Q117</f>
        <v>0</v>
      </c>
      <c r="R117" s="2956">
        <f>'Phụ lục số 4'!R117</f>
        <v>0</v>
      </c>
      <c r="S117" s="2956">
        <f>'Phụ lục số 4'!S117</f>
        <v>0</v>
      </c>
      <c r="T117" s="2956">
        <f>'Phụ lục số 4'!T117</f>
        <v>0</v>
      </c>
      <c r="U117" s="2956">
        <f>'Phụ lục số 4'!U117</f>
        <v>0</v>
      </c>
      <c r="V117" s="2956">
        <f>'Phụ lục số 4'!V117</f>
        <v>0</v>
      </c>
      <c r="W117" s="2956">
        <f>'Phụ lục số 4'!W117</f>
        <v>0</v>
      </c>
      <c r="X117" s="2956">
        <f>'Phụ lục số 4'!X117</f>
        <v>0</v>
      </c>
      <c r="Y117" s="2956">
        <f>'Phụ lục số 4'!Y117</f>
        <v>0</v>
      </c>
      <c r="Z117" s="2956">
        <f>'Phụ lục số 4'!Z117</f>
        <v>0</v>
      </c>
      <c r="AA117" s="2956">
        <f>'Phụ lục số 4'!AA117</f>
        <v>0</v>
      </c>
      <c r="AB117" s="2956">
        <f t="shared" si="29"/>
        <v>0</v>
      </c>
      <c r="AC117" s="2956">
        <f>'Phụ lục số 4'!AC117</f>
        <v>0</v>
      </c>
      <c r="AD117" s="3143">
        <f>'Phụ lục số 4'!AD117</f>
        <v>0</v>
      </c>
      <c r="AE117" s="3154">
        <f>'Phụ lục số 4'!AE117</f>
        <v>0</v>
      </c>
    </row>
    <row r="118" spans="1:31" s="1319" customFormat="1" ht="35.4" thickBot="1">
      <c r="A118" s="2936" t="s">
        <v>2624</v>
      </c>
      <c r="B118" s="3145" t="str">
        <f>'Phụ lục số 4'!B118</f>
        <v>CHI BỔ SUNG CHO NGÂN SÁCH HUYỆN, THÀNH PHỐ</v>
      </c>
      <c r="C118" s="3144">
        <f>D118+J118+AB118+W118+X118+AA118+Y118+Z118+AE118</f>
        <v>5083323.3480000002</v>
      </c>
      <c r="D118" s="3144">
        <f>SUM(E118:H118)</f>
        <v>0</v>
      </c>
      <c r="E118" s="3144">
        <f>'Phụ lục số 4'!E118</f>
        <v>0</v>
      </c>
      <c r="F118" s="3144">
        <f>'Phụ lục số 4'!F118</f>
        <v>0</v>
      </c>
      <c r="G118" s="3144">
        <f>'Phụ lục số 4'!G118</f>
        <v>0</v>
      </c>
      <c r="H118" s="3144">
        <f>'Phụ lục số 4'!H118</f>
        <v>0</v>
      </c>
      <c r="I118" s="3144"/>
      <c r="J118" s="3144">
        <f t="shared" si="13"/>
        <v>0</v>
      </c>
      <c r="K118" s="3144">
        <f>'Phụ lục số 4'!K118</f>
        <v>0</v>
      </c>
      <c r="L118" s="3144">
        <f>'Phụ lục số 4'!L118</f>
        <v>0</v>
      </c>
      <c r="M118" s="3144">
        <f>'Phụ lục số 4'!M118</f>
        <v>0</v>
      </c>
      <c r="N118" s="3144">
        <f>'Phụ lục số 4'!N118</f>
        <v>0</v>
      </c>
      <c r="O118" s="3144">
        <f>'Phụ lục số 4'!O118</f>
        <v>0</v>
      </c>
      <c r="P118" s="3144">
        <f>'Phụ lục số 4'!P118</f>
        <v>0</v>
      </c>
      <c r="Q118" s="3144">
        <f>'Phụ lục số 4'!Q118</f>
        <v>0</v>
      </c>
      <c r="R118" s="3144">
        <f>'Phụ lục số 4'!R118</f>
        <v>0</v>
      </c>
      <c r="S118" s="3144">
        <f>'Phụ lục số 4'!S118</f>
        <v>0</v>
      </c>
      <c r="T118" s="3144">
        <f>'Phụ lục số 4'!T118</f>
        <v>0</v>
      </c>
      <c r="U118" s="3144">
        <f>'Phụ lục số 4'!U118</f>
        <v>0</v>
      </c>
      <c r="V118" s="3144">
        <f>'Phụ lục số 4'!V118</f>
        <v>0</v>
      </c>
      <c r="W118" s="3144">
        <f>'Phụ lục số 4'!W118</f>
        <v>0</v>
      </c>
      <c r="X118" s="3144">
        <f>'Phụ lục số 4'!X118</f>
        <v>0</v>
      </c>
      <c r="Y118" s="3144">
        <f>'Phụ lục số 4'!Y118</f>
        <v>0</v>
      </c>
      <c r="Z118" s="3144">
        <f>'Phụ lục số 4'!Z118</f>
        <v>0</v>
      </c>
      <c r="AA118" s="3144">
        <f>'Phụ lục số 4'!AA118</f>
        <v>0</v>
      </c>
      <c r="AB118" s="3144">
        <f t="shared" si="29"/>
        <v>0</v>
      </c>
      <c r="AC118" s="3144">
        <f>'Phụ lục số 4'!AC118</f>
        <v>0</v>
      </c>
      <c r="AD118" s="3146">
        <f>'Phụ lục số 4'!AD118</f>
        <v>0</v>
      </c>
      <c r="AE118" s="3155">
        <f>'Phụ lục số 4'!AE118</f>
        <v>5083323.3480000002</v>
      </c>
    </row>
    <row r="119" spans="1:31" ht="18.600000000000001" thickTop="1"/>
  </sheetData>
  <mergeCells count="20">
    <mergeCell ref="E7:I7"/>
    <mergeCell ref="J7:J8"/>
    <mergeCell ref="K7:V7"/>
    <mergeCell ref="W6:W8"/>
    <mergeCell ref="A1:AE1"/>
    <mergeCell ref="A2:AE2"/>
    <mergeCell ref="AB4:AE4"/>
    <mergeCell ref="A5:A8"/>
    <mergeCell ref="B5:B8"/>
    <mergeCell ref="C5:AD5"/>
    <mergeCell ref="AE5:AE8"/>
    <mergeCell ref="C6:C8"/>
    <mergeCell ref="D6:I6"/>
    <mergeCell ref="J6:V6"/>
    <mergeCell ref="X6:X8"/>
    <mergeCell ref="Z6:Z8"/>
    <mergeCell ref="AA6:AA8"/>
    <mergeCell ref="AB6:AB8"/>
    <mergeCell ref="AC6:AD7"/>
    <mergeCell ref="D7:D8"/>
  </mergeCells>
  <hyperlinks>
    <hyperlink ref="A5:A8" location="'List danh mục'!A1" display="Số TT"/>
  </hyperlinks>
  <printOptions horizontalCentered="1"/>
  <pageMargins left="0" right="0" top="0.39370078740157483" bottom="0" header="0" footer="0"/>
  <pageSetup paperSize="9" scale="70" orientation="landscape" r:id="rId1"/>
  <headerFooter>
    <oddHeader>&amp;R&amp;A</oddHeader>
    <oddFooter>&amp;C&amp;P/&amp;N</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D49"/>
  <sheetViews>
    <sheetView topLeftCell="A26" zoomScale="80" zoomScaleNormal="80" workbookViewId="0">
      <selection activeCell="A30" sqref="A30:G30"/>
    </sheetView>
  </sheetViews>
  <sheetFormatPr defaultColWidth="9" defaultRowHeight="18"/>
  <cols>
    <col min="1" max="1" width="7.59765625" style="37" customWidth="1"/>
    <col min="2" max="2" width="91.5" style="37" customWidth="1"/>
    <col min="3" max="3" width="29.5" style="37" customWidth="1"/>
    <col min="4" max="16384" width="9" style="37"/>
  </cols>
  <sheetData>
    <row r="1" spans="1:4" s="2" customFormat="1" ht="17.399999999999999" hidden="1">
      <c r="B1" s="4568" t="s">
        <v>1368</v>
      </c>
      <c r="C1" s="4568"/>
    </row>
    <row r="2" spans="1:4" s="2" customFormat="1" ht="17.399999999999999" hidden="1">
      <c r="B2" s="4568" t="s">
        <v>1369</v>
      </c>
      <c r="C2" s="4568"/>
    </row>
    <row r="3" spans="1:4" s="2" customFormat="1" ht="15.9" hidden="1" customHeight="1">
      <c r="B3" s="38"/>
      <c r="C3" s="38"/>
    </row>
    <row r="4" spans="1:4" s="2" customFormat="1" ht="17.399999999999999">
      <c r="A4" s="4475" t="s">
        <v>2435</v>
      </c>
      <c r="B4" s="4191"/>
      <c r="C4" s="4191"/>
    </row>
    <row r="5" spans="1:4" s="2" customFormat="1">
      <c r="A5" s="4515" t="str">
        <f>'Phụ lục 36-CK-NSNN'!A5:E5</f>
        <v>(DỰ TOÁN TRÌNH HỘI ĐỒNG NHÂN DÂN TỈNH)</v>
      </c>
      <c r="B5" s="4514"/>
      <c r="C5" s="4514"/>
    </row>
    <row r="6" spans="1:4" s="2" customFormat="1" ht="17.399999999999999">
      <c r="A6" s="70"/>
      <c r="B6" s="210"/>
      <c r="C6" s="210"/>
    </row>
    <row r="7" spans="1:4">
      <c r="C7" s="39" t="s">
        <v>64</v>
      </c>
    </row>
    <row r="8" spans="1:4" s="2" customFormat="1" ht="15.9" customHeight="1">
      <c r="A8" s="4569" t="s">
        <v>1370</v>
      </c>
      <c r="B8" s="4480" t="s">
        <v>791</v>
      </c>
      <c r="C8" s="4360" t="s">
        <v>1700</v>
      </c>
    </row>
    <row r="9" spans="1:4" s="2" customFormat="1" ht="17.399999999999999">
      <c r="A9" s="4570"/>
      <c r="B9" s="4480"/>
      <c r="C9" s="4546"/>
    </row>
    <row r="10" spans="1:4" s="70" customFormat="1" ht="17.399999999999999">
      <c r="A10" s="4570"/>
      <c r="B10" s="4480"/>
      <c r="C10" s="4361"/>
    </row>
    <row r="11" spans="1:4" s="1319" customFormat="1" ht="36" customHeight="1">
      <c r="A11" s="3960"/>
      <c r="B11" s="3961" t="s">
        <v>2272</v>
      </c>
      <c r="C11" s="3962">
        <f>'Phụ lục số 2'!X7</f>
        <v>18627408.915999997</v>
      </c>
      <c r="D11" s="3963"/>
    </row>
    <row r="12" spans="1:4" s="1319" customFormat="1" ht="36" customHeight="1">
      <c r="A12" s="3964" t="s">
        <v>7</v>
      </c>
      <c r="B12" s="3965" t="s">
        <v>1506</v>
      </c>
      <c r="C12" s="3966">
        <f>'Phụ lục số 3.1'!K15+'Phụ lục số 3.1'!K16</f>
        <v>5083323.3480000002</v>
      </c>
    </row>
    <row r="13" spans="1:4" s="1319" customFormat="1" ht="36" customHeight="1">
      <c r="A13" s="3964" t="s">
        <v>22</v>
      </c>
      <c r="B13" s="159" t="s">
        <v>2302</v>
      </c>
      <c r="C13" s="3967">
        <f>SUM(C14,C21,C35,C36,C37,C38,C39,C40)</f>
        <v>6730029.568</v>
      </c>
    </row>
    <row r="14" spans="1:4" s="1319" customFormat="1" ht="36" customHeight="1">
      <c r="A14" s="133" t="s">
        <v>9</v>
      </c>
      <c r="B14" s="2224" t="s">
        <v>93</v>
      </c>
      <c r="C14" s="3968">
        <f>SUM(C16:C20)</f>
        <v>3199186</v>
      </c>
    </row>
    <row r="15" spans="1:4" s="2351" customFormat="1" ht="36" customHeight="1">
      <c r="A15" s="136"/>
      <c r="B15" s="2213" t="s">
        <v>2299</v>
      </c>
      <c r="C15" s="3969"/>
    </row>
    <row r="16" spans="1:4" s="154" customFormat="1" ht="36" customHeight="1">
      <c r="A16" s="136">
        <v>1</v>
      </c>
      <c r="B16" s="2225" t="s">
        <v>1305</v>
      </c>
      <c r="C16" s="3969">
        <f>'Phụ lục số 2'!AA10</f>
        <v>562186</v>
      </c>
    </row>
    <row r="17" spans="1:3" s="154" customFormat="1" ht="36" customHeight="1">
      <c r="A17" s="136">
        <v>2</v>
      </c>
      <c r="B17" s="2225" t="s">
        <v>391</v>
      </c>
      <c r="C17" s="3969">
        <f>'Phụ lục số 2'!AA11</f>
        <v>627000</v>
      </c>
    </row>
    <row r="18" spans="1:3" s="154" customFormat="1" ht="36" customHeight="1">
      <c r="A18" s="136">
        <v>3</v>
      </c>
      <c r="B18" s="2225" t="s">
        <v>1378</v>
      </c>
      <c r="C18" s="3969">
        <f>'Phụ lục số 2'!AA12</f>
        <v>1950000</v>
      </c>
    </row>
    <row r="19" spans="1:3" s="154" customFormat="1" ht="36" customHeight="1">
      <c r="A19" s="136">
        <v>4</v>
      </c>
      <c r="B19" s="12" t="s">
        <v>1792</v>
      </c>
      <c r="C19" s="3969">
        <f>'Phụ lục số 2'!AA13</f>
        <v>0</v>
      </c>
    </row>
    <row r="20" spans="1:3" s="154" customFormat="1" ht="36" customHeight="1">
      <c r="A20" s="136">
        <v>5</v>
      </c>
      <c r="B20" s="12" t="str">
        <f>'Phụ lục số 2'!B14</f>
        <v>Chi đầu tư phát triển khác (Ủy thác qua NH Chính sách xã hội chi nhánh tỉnh Đồng Tháp)</v>
      </c>
      <c r="C20" s="3969">
        <f>'Phụ lục số 2'!AA14</f>
        <v>60000</v>
      </c>
    </row>
    <row r="21" spans="1:3" s="1319" customFormat="1" ht="36" customHeight="1">
      <c r="A21" s="133" t="s">
        <v>20</v>
      </c>
      <c r="B21" s="2224" t="s">
        <v>58</v>
      </c>
      <c r="C21" s="3968">
        <f>'Phụ lục số 2'!AA15</f>
        <v>3294440</v>
      </c>
    </row>
    <row r="22" spans="1:3" s="1319" customFormat="1" ht="36" customHeight="1">
      <c r="A22" s="133"/>
      <c r="B22" s="2213" t="s">
        <v>718</v>
      </c>
      <c r="C22" s="3968"/>
    </row>
    <row r="23" spans="1:3" s="154" customFormat="1" ht="36" customHeight="1">
      <c r="A23" s="136">
        <v>1</v>
      </c>
      <c r="B23" s="2225" t="s">
        <v>1415</v>
      </c>
      <c r="C23" s="3969">
        <f>'Phụ lục số 2'!AA20</f>
        <v>956676</v>
      </c>
    </row>
    <row r="24" spans="1:3" s="154" customFormat="1" ht="36" customHeight="1">
      <c r="A24" s="136">
        <v>2</v>
      </c>
      <c r="B24" s="2225" t="s">
        <v>1038</v>
      </c>
      <c r="C24" s="3969">
        <f>'Phụ lục số 2'!AA19</f>
        <v>31218</v>
      </c>
    </row>
    <row r="25" spans="1:3" s="154" customFormat="1" ht="36" customHeight="1">
      <c r="A25" s="136">
        <v>3</v>
      </c>
      <c r="B25" s="2225" t="s">
        <v>2044</v>
      </c>
      <c r="C25" s="3969">
        <f>'Phụ lục số 2'!AA17</f>
        <v>67965</v>
      </c>
    </row>
    <row r="26" spans="1:3" s="154" customFormat="1" ht="36" customHeight="1">
      <c r="A26" s="136">
        <v>4</v>
      </c>
      <c r="B26" s="11" t="s">
        <v>63</v>
      </c>
      <c r="C26" s="3969">
        <f>'Phụ lục số 2'!AA16</f>
        <v>545710</v>
      </c>
    </row>
    <row r="27" spans="1:3" s="154" customFormat="1" ht="36" customHeight="1">
      <c r="A27" s="136">
        <v>5</v>
      </c>
      <c r="B27" s="11" t="s">
        <v>39</v>
      </c>
      <c r="C27" s="3969">
        <f>'Phụ lục số 2'!AA21</f>
        <v>828538</v>
      </c>
    </row>
    <row r="28" spans="1:3" s="154" customFormat="1" ht="36" customHeight="1">
      <c r="A28" s="136">
        <v>6</v>
      </c>
      <c r="B28" s="11" t="s">
        <v>41</v>
      </c>
      <c r="C28" s="3969">
        <f>'Phụ lục số 2'!AA22</f>
        <v>47888</v>
      </c>
    </row>
    <row r="29" spans="1:3" s="154" customFormat="1" ht="36" customHeight="1">
      <c r="A29" s="136">
        <v>7</v>
      </c>
      <c r="B29" s="11" t="s">
        <v>43</v>
      </c>
      <c r="C29" s="3969">
        <f>'Phụ lục số 2'!AA23</f>
        <v>18073</v>
      </c>
    </row>
    <row r="30" spans="1:3" s="154" customFormat="1" ht="36" customHeight="1">
      <c r="A30" s="136">
        <v>8</v>
      </c>
      <c r="B30" s="11" t="s">
        <v>45</v>
      </c>
      <c r="C30" s="3969">
        <f>'Phụ lục số 2'!AA24</f>
        <v>37202</v>
      </c>
    </row>
    <row r="31" spans="1:3" s="154" customFormat="1" ht="36" customHeight="1">
      <c r="A31" s="136">
        <v>9</v>
      </c>
      <c r="B31" s="11" t="s">
        <v>46</v>
      </c>
      <c r="C31" s="3969">
        <f>'Phụ lục số 2'!AA25</f>
        <v>77385</v>
      </c>
    </row>
    <row r="32" spans="1:3" s="154" customFormat="1" ht="36" customHeight="1">
      <c r="A32" s="136">
        <v>10</v>
      </c>
      <c r="B32" s="11" t="s">
        <v>47</v>
      </c>
      <c r="C32" s="3969">
        <f>'Phụ lục số 2'!AA26</f>
        <v>515458</v>
      </c>
    </row>
    <row r="33" spans="1:3" s="154" customFormat="1" ht="36" customHeight="1">
      <c r="A33" s="136">
        <v>11</v>
      </c>
      <c r="B33" s="11" t="s">
        <v>2045</v>
      </c>
      <c r="C33" s="3969">
        <f>'Phụ lục số 2'!AA27</f>
        <v>148327</v>
      </c>
    </row>
    <row r="34" spans="1:3" s="154" customFormat="1" ht="36" customHeight="1">
      <c r="A34" s="136">
        <v>12</v>
      </c>
      <c r="B34" s="11" t="s">
        <v>90</v>
      </c>
      <c r="C34" s="3969">
        <f>'Phụ lục số 2'!AA28</f>
        <v>20000</v>
      </c>
    </row>
    <row r="35" spans="1:3" s="1319" customFormat="1" ht="36" customHeight="1">
      <c r="A35" s="133" t="s">
        <v>49</v>
      </c>
      <c r="B35" s="134" t="s">
        <v>1274</v>
      </c>
      <c r="C35" s="3968">
        <f>'Phụ lục số 2'!AA29</f>
        <v>2000</v>
      </c>
    </row>
    <row r="36" spans="1:3" s="1319" customFormat="1" ht="36" customHeight="1">
      <c r="A36" s="133" t="s">
        <v>50</v>
      </c>
      <c r="B36" s="2224" t="s">
        <v>87</v>
      </c>
      <c r="C36" s="3968">
        <f>'Phụ lục số 2'!AA30</f>
        <v>152264.36799999999</v>
      </c>
    </row>
    <row r="37" spans="1:3" s="1319" customFormat="1" ht="36" customHeight="1">
      <c r="A37" s="1883" t="s">
        <v>72</v>
      </c>
      <c r="B37" s="208" t="s">
        <v>146</v>
      </c>
      <c r="C37" s="3968">
        <f>'Phụ lục số 2'!AA31</f>
        <v>0</v>
      </c>
    </row>
    <row r="38" spans="1:3" s="1319" customFormat="1" ht="36" customHeight="1">
      <c r="A38" s="1883" t="s">
        <v>100</v>
      </c>
      <c r="B38" s="208" t="s">
        <v>228</v>
      </c>
      <c r="C38" s="3968">
        <f>'Phụ lục số 2'!AA32</f>
        <v>79139.200000000012</v>
      </c>
    </row>
    <row r="39" spans="1:3" s="1319" customFormat="1" ht="36" customHeight="1">
      <c r="A39" s="1883" t="s">
        <v>151</v>
      </c>
      <c r="B39" s="208" t="s">
        <v>231</v>
      </c>
      <c r="C39" s="3968">
        <f>'Phụ lục số 2'!AA33</f>
        <v>0</v>
      </c>
    </row>
    <row r="40" spans="1:3" s="1319" customFormat="1" ht="36" customHeight="1">
      <c r="A40" s="1883" t="s">
        <v>229</v>
      </c>
      <c r="B40" s="208" t="s">
        <v>126</v>
      </c>
      <c r="C40" s="3968">
        <f>'Phụ lục số 2'!AA34</f>
        <v>3000</v>
      </c>
    </row>
    <row r="41" spans="1:3" s="1319" customFormat="1" ht="36" customHeight="1">
      <c r="A41" s="3970" t="s">
        <v>26</v>
      </c>
      <c r="B41" s="2380" t="s">
        <v>2303</v>
      </c>
      <c r="C41" s="3968">
        <f>'Phụ lục số 2'!AA35</f>
        <v>1988976</v>
      </c>
    </row>
    <row r="42" spans="1:3" s="2351" customFormat="1" ht="36" customHeight="1">
      <c r="A42" s="3971">
        <v>1</v>
      </c>
      <c r="B42" s="2374" t="s">
        <v>1306</v>
      </c>
      <c r="C42" s="3972">
        <f>'Phụ lục số 2'!AA36</f>
        <v>1814491</v>
      </c>
    </row>
    <row r="43" spans="1:3" s="2351" customFormat="1" ht="36" customHeight="1">
      <c r="A43" s="3971">
        <v>2</v>
      </c>
      <c r="B43" s="2374" t="s">
        <v>92</v>
      </c>
      <c r="C43" s="3972">
        <f>'Phụ lục số 2'!AA37</f>
        <v>174485</v>
      </c>
    </row>
    <row r="44" spans="1:3" s="154" customFormat="1" ht="36" customHeight="1">
      <c r="A44" s="3973" t="s">
        <v>130</v>
      </c>
      <c r="B44" s="3974" t="s">
        <v>2304</v>
      </c>
      <c r="C44" s="3975">
        <f>'Phụ lục số 2'!AA39</f>
        <v>0</v>
      </c>
    </row>
    <row r="45" spans="1:3" s="154" customFormat="1" ht="36" customHeight="1"/>
    <row r="46" spans="1:3">
      <c r="C46" s="2399">
        <f>C12+C13</f>
        <v>11813352.916000001</v>
      </c>
    </row>
    <row r="47" spans="1:3">
      <c r="C47" s="2400">
        <f>'Phụ lục số 2'!X8</f>
        <v>16638432.915999997</v>
      </c>
    </row>
    <row r="48" spans="1:3">
      <c r="C48" s="2399">
        <f>C47-C46</f>
        <v>4825079.9999999963</v>
      </c>
    </row>
    <row r="49" spans="3:3">
      <c r="C49" s="2399"/>
    </row>
  </sheetData>
  <mergeCells count="7">
    <mergeCell ref="B1:C1"/>
    <mergeCell ref="B2:C2"/>
    <mergeCell ref="A4:C4"/>
    <mergeCell ref="A8:A10"/>
    <mergeCell ref="B8:B10"/>
    <mergeCell ref="C8:C10"/>
    <mergeCell ref="A5:C5"/>
  </mergeCells>
  <hyperlinks>
    <hyperlink ref="A8:A10" location="'List danh mục'!A1" display="'List danh mục'!A1"/>
  </hyperlinks>
  <printOptions horizontalCentered="1"/>
  <pageMargins left="0" right="0" top="0.39370078740157483" bottom="0" header="0.19685039370078741" footer="0.19685039370078741"/>
  <pageSetup paperSize="9" scale="70" orientation="portrait" r:id="rId1"/>
  <headerFooter>
    <oddHeader>&amp;R&amp;A</oddHeader>
    <oddFooter>&amp;C&amp;P/&amp;N</oddFooter>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66FF"/>
  </sheetPr>
  <dimension ref="A1:E55"/>
  <sheetViews>
    <sheetView topLeftCell="A7" zoomScale="77" zoomScaleNormal="77" workbookViewId="0">
      <selection activeCell="A30" sqref="A30:G30"/>
    </sheetView>
  </sheetViews>
  <sheetFormatPr defaultColWidth="9" defaultRowHeight="18"/>
  <cols>
    <col min="1" max="1" width="5.19921875" style="37" bestFit="1" customWidth="1"/>
    <col min="2" max="2" width="61.3984375" style="37" customWidth="1"/>
    <col min="3" max="5" width="11.8984375" style="37" customWidth="1"/>
    <col min="6" max="16384" width="9" style="37"/>
  </cols>
  <sheetData>
    <row r="1" spans="1:5" s="2" customFormat="1" ht="17.399999999999999" hidden="1">
      <c r="B1" s="4568" t="s">
        <v>1368</v>
      </c>
      <c r="C1" s="4568"/>
      <c r="D1" s="4568"/>
    </row>
    <row r="2" spans="1:5" s="2" customFormat="1" ht="17.399999999999999" hidden="1">
      <c r="B2" s="4568" t="s">
        <v>1369</v>
      </c>
      <c r="C2" s="4568"/>
      <c r="D2" s="4568"/>
    </row>
    <row r="3" spans="1:5" s="2" customFormat="1" ht="17.399999999999999" hidden="1">
      <c r="B3" s="38"/>
      <c r="C3" s="4299"/>
      <c r="D3" s="4299"/>
      <c r="E3" s="4299"/>
    </row>
    <row r="4" spans="1:5" s="2" customFormat="1" ht="17.399999999999999">
      <c r="A4" s="4316" t="s">
        <v>2355</v>
      </c>
      <c r="B4" s="4299"/>
      <c r="C4" s="4299"/>
      <c r="D4" s="4299"/>
      <c r="E4" s="4299"/>
    </row>
    <row r="5" spans="1:5" s="2" customFormat="1">
      <c r="A5" s="4523" t="str">
        <f>'Biểu số 35-CK-NSNN'!A5:J5</f>
        <v>(DỰ TOÁN TRÌNH HỘI ĐỒNG NHÂN DÂN TỈNH)</v>
      </c>
      <c r="B5" s="4571"/>
      <c r="C5" s="4571"/>
      <c r="D5" s="4571"/>
      <c r="E5" s="4571"/>
    </row>
    <row r="6" spans="1:5" s="2" customFormat="1" ht="17.399999999999999">
      <c r="A6" s="2206"/>
      <c r="B6" s="38"/>
      <c r="C6" s="38"/>
      <c r="D6" s="38"/>
      <c r="E6" s="38"/>
    </row>
    <row r="7" spans="1:5">
      <c r="E7" s="39" t="s">
        <v>64</v>
      </c>
    </row>
    <row r="8" spans="1:5" s="2" customFormat="1" ht="17.399999999999999">
      <c r="A8" s="4569" t="s">
        <v>1370</v>
      </c>
      <c r="B8" s="4480" t="s">
        <v>791</v>
      </c>
      <c r="C8" s="4362" t="s">
        <v>1700</v>
      </c>
      <c r="D8" s="4362"/>
      <c r="E8" s="4362"/>
    </row>
    <row r="9" spans="1:5" s="2" customFormat="1" ht="17.399999999999999">
      <c r="A9" s="4570"/>
      <c r="B9" s="4480"/>
      <c r="C9" s="4480" t="s">
        <v>4</v>
      </c>
      <c r="D9" s="4362" t="s">
        <v>1409</v>
      </c>
      <c r="E9" s="4362"/>
    </row>
    <row r="10" spans="1:5" s="70" customFormat="1" ht="78.75" customHeight="1">
      <c r="A10" s="4570"/>
      <c r="B10" s="4480"/>
      <c r="C10" s="4480"/>
      <c r="D10" s="7" t="s">
        <v>1410</v>
      </c>
      <c r="E10" s="7" t="s">
        <v>1411</v>
      </c>
    </row>
    <row r="11" spans="1:5" s="48" customFormat="1" ht="20.100000000000001" customHeight="1">
      <c r="A11" s="1427"/>
      <c r="B11" s="2253" t="s">
        <v>1412</v>
      </c>
      <c r="C11" s="2254">
        <f>SUM(C12,C19,C34,C35,C38,C42,C36,C37)</f>
        <v>18627408.915999997</v>
      </c>
      <c r="D11" s="2254">
        <f t="shared" ref="D11:E11" si="0">SUM(D12,D19,D34,D35,D38,D42,D36,D37)</f>
        <v>8719005.568</v>
      </c>
      <c r="E11" s="2254">
        <f t="shared" si="0"/>
        <v>9908403.3479999993</v>
      </c>
    </row>
    <row r="12" spans="1:5" s="48" customFormat="1" ht="20.100000000000001" customHeight="1">
      <c r="A12" s="2255" t="s">
        <v>9</v>
      </c>
      <c r="B12" s="2256" t="s">
        <v>1413</v>
      </c>
      <c r="C12" s="1445">
        <f>SUM(C14:C18)</f>
        <v>4923186.4089698764</v>
      </c>
      <c r="D12" s="1445">
        <f>SUM(D14:D18)</f>
        <v>3199186</v>
      </c>
      <c r="E12" s="1445">
        <f>SUM(E14:E18)</f>
        <v>1724000.4089698761</v>
      </c>
    </row>
    <row r="13" spans="1:5" ht="20.100000000000001" customHeight="1">
      <c r="A13" s="1437"/>
      <c r="B13" s="1438" t="s">
        <v>299</v>
      </c>
      <c r="C13" s="78"/>
      <c r="D13" s="78"/>
      <c r="E13" s="78"/>
    </row>
    <row r="14" spans="1:5" ht="20.100000000000001" customHeight="1">
      <c r="A14" s="1437" t="s">
        <v>34</v>
      </c>
      <c r="B14" s="1438" t="s">
        <v>1305</v>
      </c>
      <c r="C14" s="78">
        <f t="shared" ref="C14:C19" si="1">SUM(D14:E14)</f>
        <v>1143186.4089698761</v>
      </c>
      <c r="D14" s="78">
        <f>'Phụ lục số 2'!AA10</f>
        <v>562186</v>
      </c>
      <c r="E14" s="78">
        <f>'Phụ lục số 2'!AB10</f>
        <v>581000.40896987612</v>
      </c>
    </row>
    <row r="15" spans="1:5" ht="20.100000000000001" customHeight="1">
      <c r="A15" s="1437" t="s">
        <v>35</v>
      </c>
      <c r="B15" s="1438" t="s">
        <v>391</v>
      </c>
      <c r="C15" s="78">
        <f t="shared" si="1"/>
        <v>1770000</v>
      </c>
      <c r="D15" s="78">
        <f>'Phụ lục số 2'!AA11</f>
        <v>627000</v>
      </c>
      <c r="E15" s="78">
        <f>'Phụ lục số 2'!AB11</f>
        <v>1143000</v>
      </c>
    </row>
    <row r="16" spans="1:5" ht="20.100000000000001" customHeight="1">
      <c r="A16" s="1437" t="s">
        <v>36</v>
      </c>
      <c r="B16" s="1438" t="s">
        <v>1378</v>
      </c>
      <c r="C16" s="78">
        <f t="shared" si="1"/>
        <v>1950000</v>
      </c>
      <c r="D16" s="78">
        <f>'Phụ lục số 2'!AA12</f>
        <v>1950000</v>
      </c>
      <c r="E16" s="78">
        <f>'Phụ lục số 2'!AB12</f>
        <v>0</v>
      </c>
    </row>
    <row r="17" spans="1:5" ht="20.100000000000001" customHeight="1">
      <c r="A17" s="2257" t="s">
        <v>37</v>
      </c>
      <c r="B17" s="1444" t="s">
        <v>1792</v>
      </c>
      <c r="C17" s="78">
        <f t="shared" si="1"/>
        <v>0</v>
      </c>
      <c r="D17" s="78">
        <f>'Phụ lục số 2'!AA13</f>
        <v>0</v>
      </c>
      <c r="E17" s="78">
        <f>'Phụ lục số 2'!AB13</f>
        <v>0</v>
      </c>
    </row>
    <row r="18" spans="1:5" ht="20.100000000000001" customHeight="1">
      <c r="A18" s="2257" t="s">
        <v>1327</v>
      </c>
      <c r="B18" s="78" t="str">
        <f>'Phụ lục 4-HĐND'!B18</f>
        <v>Chi đầu tư phát triển khác (Ủy thác qua NH Chính sách xã hội chi nhánh tỉnh Đồng Tháp)</v>
      </c>
      <c r="C18" s="78">
        <f t="shared" si="1"/>
        <v>60000</v>
      </c>
      <c r="D18" s="78">
        <f>'Phụ lục số 2'!AA14</f>
        <v>60000</v>
      </c>
      <c r="E18" s="78"/>
    </row>
    <row r="19" spans="1:5" s="2247" customFormat="1" ht="20.100000000000001" customHeight="1">
      <c r="A19" s="2255" t="s">
        <v>20</v>
      </c>
      <c r="B19" s="2256" t="s">
        <v>1414</v>
      </c>
      <c r="C19" s="1445">
        <f t="shared" si="1"/>
        <v>10664978.394711081</v>
      </c>
      <c r="D19" s="1445">
        <f>'Phụ lục số 2'!AA15</f>
        <v>3294440</v>
      </c>
      <c r="E19" s="1445">
        <f>'Phụ lục số 2'!AB15</f>
        <v>7370538.3947110809</v>
      </c>
    </row>
    <row r="20" spans="1:5" s="2248" customFormat="1" ht="20.100000000000001" customHeight="1">
      <c r="A20" s="1433"/>
      <c r="B20" s="1438" t="s">
        <v>299</v>
      </c>
      <c r="C20" s="76"/>
      <c r="D20" s="76"/>
      <c r="E20" s="76"/>
    </row>
    <row r="21" spans="1:5" s="2249" customFormat="1" ht="20.100000000000001" customHeight="1">
      <c r="A21" s="1437" t="s">
        <v>34</v>
      </c>
      <c r="B21" s="1438" t="s">
        <v>1415</v>
      </c>
      <c r="C21" s="78">
        <f t="shared" ref="C21:C42" si="2">SUM(D21:E21)</f>
        <v>4797945.7831797441</v>
      </c>
      <c r="D21" s="78">
        <f>'Phụ lục số 2'!AA20</f>
        <v>956676</v>
      </c>
      <c r="E21" s="78">
        <f>'Phụ lục số 2'!AB20</f>
        <v>3841269.7831797441</v>
      </c>
    </row>
    <row r="22" spans="1:5" s="2249" customFormat="1" ht="20.100000000000001" customHeight="1">
      <c r="A22" s="1437" t="s">
        <v>35</v>
      </c>
      <c r="B22" s="1438" t="s">
        <v>1038</v>
      </c>
      <c r="C22" s="78">
        <f t="shared" si="2"/>
        <v>31218</v>
      </c>
      <c r="D22" s="78">
        <f>'Phụ lục số 2'!AA19</f>
        <v>31218</v>
      </c>
      <c r="E22" s="78">
        <f>'[1]Phụ lục số 2'!O18</f>
        <v>0</v>
      </c>
    </row>
    <row r="23" spans="1:5" s="2249" customFormat="1" ht="20.100000000000001" customHeight="1">
      <c r="A23" s="1437" t="s">
        <v>36</v>
      </c>
      <c r="B23" s="1438" t="s">
        <v>301</v>
      </c>
      <c r="C23" s="78">
        <f>SUM(D23:E23)</f>
        <v>5835814.6115313368</v>
      </c>
      <c r="D23" s="78">
        <f>D19-D21-D22</f>
        <v>2306546</v>
      </c>
      <c r="E23" s="78">
        <f>E19-E21-E22</f>
        <v>3529268.6115313368</v>
      </c>
    </row>
    <row r="24" spans="1:5" s="2249" customFormat="1" ht="20.100000000000001" hidden="1" customHeight="1">
      <c r="A24" s="3976">
        <v>3</v>
      </c>
      <c r="B24" s="2341" t="s">
        <v>2044</v>
      </c>
      <c r="C24" s="2158">
        <f>SUM(D24:E24)</f>
        <v>151965</v>
      </c>
      <c r="D24" s="2342">
        <f>'Phụ lục số 2'!AA17</f>
        <v>67965</v>
      </c>
      <c r="E24" s="2342">
        <f>'Phụ lục số 2'!AB17</f>
        <v>84000</v>
      </c>
    </row>
    <row r="25" spans="1:5" s="2249" customFormat="1" ht="20.100000000000001" hidden="1" customHeight="1">
      <c r="A25" s="3977">
        <v>4</v>
      </c>
      <c r="B25" s="2342" t="s">
        <v>63</v>
      </c>
      <c r="C25" s="2158">
        <f t="shared" ref="C25:C33" si="3">SUM(D25:E25)</f>
        <v>2068978.6115313373</v>
      </c>
      <c r="D25" s="2342">
        <f>'Phụ lục số 2'!AA16</f>
        <v>545710</v>
      </c>
      <c r="E25" s="2342">
        <f>'Phụ lục số 2'!AB16</f>
        <v>1523268.6115313373</v>
      </c>
    </row>
    <row r="26" spans="1:5" s="2249" customFormat="1" ht="20.100000000000001" hidden="1" customHeight="1">
      <c r="A26" s="3977">
        <v>5</v>
      </c>
      <c r="B26" s="2342" t="s">
        <v>39</v>
      </c>
      <c r="C26" s="2158">
        <f t="shared" si="3"/>
        <v>828538</v>
      </c>
      <c r="D26" s="2342">
        <f>'Phụ lục số 2'!AA21</f>
        <v>828538</v>
      </c>
      <c r="E26" s="2342">
        <f>'Phụ lục số 2'!AB21</f>
        <v>0</v>
      </c>
    </row>
    <row r="27" spans="1:5" s="2249" customFormat="1" ht="20.100000000000001" hidden="1" customHeight="1">
      <c r="A27" s="3977">
        <v>6</v>
      </c>
      <c r="B27" s="2342" t="s">
        <v>41</v>
      </c>
      <c r="C27" s="2158">
        <f t="shared" si="3"/>
        <v>91888</v>
      </c>
      <c r="D27" s="2342">
        <f>'Phụ lục số 2'!AA22</f>
        <v>47888</v>
      </c>
      <c r="E27" s="2342">
        <f>'Phụ lục số 2'!AB22</f>
        <v>44000</v>
      </c>
    </row>
    <row r="28" spans="1:5" s="2249" customFormat="1" ht="20.100000000000001" hidden="1" customHeight="1">
      <c r="A28" s="3977">
        <v>7</v>
      </c>
      <c r="B28" s="2342" t="s">
        <v>43</v>
      </c>
      <c r="C28" s="2158">
        <f t="shared" si="3"/>
        <v>50073</v>
      </c>
      <c r="D28" s="2342">
        <f>'Phụ lục số 2'!AA23</f>
        <v>18073</v>
      </c>
      <c r="E28" s="2342">
        <f>'Phụ lục số 2'!AB23</f>
        <v>32000</v>
      </c>
    </row>
    <row r="29" spans="1:5" s="2249" customFormat="1" ht="20.100000000000001" hidden="1" customHeight="1">
      <c r="A29" s="3977">
        <v>8</v>
      </c>
      <c r="B29" s="2342" t="s">
        <v>45</v>
      </c>
      <c r="C29" s="2158">
        <f t="shared" si="3"/>
        <v>53202</v>
      </c>
      <c r="D29" s="2342">
        <f>'Phụ lục số 2'!AA24</f>
        <v>37202</v>
      </c>
      <c r="E29" s="2342">
        <f>'Phụ lục số 2'!AB24</f>
        <v>16000</v>
      </c>
    </row>
    <row r="30" spans="1:5" s="2249" customFormat="1" ht="20.100000000000001" hidden="1" customHeight="1">
      <c r="A30" s="3977">
        <v>9</v>
      </c>
      <c r="B30" s="2342" t="s">
        <v>46</v>
      </c>
      <c r="C30" s="2158">
        <f t="shared" si="3"/>
        <v>601385</v>
      </c>
      <c r="D30" s="2342">
        <f>'Phụ lục số 2'!AA25</f>
        <v>77385</v>
      </c>
      <c r="E30" s="2342">
        <f>'Phụ lục số 2'!AB25</f>
        <v>524000</v>
      </c>
    </row>
    <row r="31" spans="1:5" s="2249" customFormat="1" ht="20.100000000000001" hidden="1" customHeight="1">
      <c r="A31" s="3977">
        <v>10</v>
      </c>
      <c r="B31" s="2342" t="s">
        <v>47</v>
      </c>
      <c r="C31" s="2158">
        <f t="shared" si="3"/>
        <v>1570458</v>
      </c>
      <c r="D31" s="2342">
        <f>'Phụ lục số 2'!AA26</f>
        <v>515458</v>
      </c>
      <c r="E31" s="2342">
        <f>'Phụ lục số 2'!AB26</f>
        <v>1055000</v>
      </c>
    </row>
    <row r="32" spans="1:5" s="2249" customFormat="1" ht="20.100000000000001" hidden="1" customHeight="1">
      <c r="A32" s="3977">
        <v>11</v>
      </c>
      <c r="B32" s="2342" t="s">
        <v>2045</v>
      </c>
      <c r="C32" s="2158">
        <f t="shared" si="3"/>
        <v>367327</v>
      </c>
      <c r="D32" s="2342">
        <f>'Phụ lục số 2'!AA27</f>
        <v>148327</v>
      </c>
      <c r="E32" s="2342">
        <f>'Phụ lục số 2'!AB27</f>
        <v>219000</v>
      </c>
    </row>
    <row r="33" spans="1:5" s="2249" customFormat="1" ht="20.100000000000001" hidden="1" customHeight="1">
      <c r="A33" s="3977">
        <v>12</v>
      </c>
      <c r="B33" s="2342" t="s">
        <v>90</v>
      </c>
      <c r="C33" s="2158">
        <f t="shared" si="3"/>
        <v>52000</v>
      </c>
      <c r="D33" s="2342">
        <f>'Phụ lục số 2'!AA28</f>
        <v>20000</v>
      </c>
      <c r="E33" s="2342">
        <f>'Phụ lục số 2'!AB28</f>
        <v>32000</v>
      </c>
    </row>
    <row r="34" spans="1:5" s="2247" customFormat="1" ht="20.100000000000001" customHeight="1">
      <c r="A34" s="2255" t="s">
        <v>49</v>
      </c>
      <c r="B34" s="2258" t="s">
        <v>1274</v>
      </c>
      <c r="C34" s="1445">
        <f>SUM(D34:E34)</f>
        <v>2000</v>
      </c>
      <c r="D34" s="1445">
        <f>'Phụ lục số 2'!AA29</f>
        <v>2000</v>
      </c>
      <c r="E34" s="1445">
        <f>'Phụ lục số 2'!AB29</f>
        <v>0</v>
      </c>
    </row>
    <row r="35" spans="1:5" s="2247" customFormat="1" ht="20.100000000000001" customHeight="1">
      <c r="A35" s="2255" t="s">
        <v>50</v>
      </c>
      <c r="B35" s="2256" t="s">
        <v>87</v>
      </c>
      <c r="C35" s="1445">
        <f>SUM(D35:E35)</f>
        <v>327868.91231904214</v>
      </c>
      <c r="D35" s="1445">
        <f>'Phụ lục số 2'!AA30</f>
        <v>152264.36799999999</v>
      </c>
      <c r="E35" s="1445">
        <f>'Phụ lục số 2'!AB30</f>
        <v>175604.54431904212</v>
      </c>
    </row>
    <row r="36" spans="1:5" s="2247" customFormat="1" ht="20.100000000000001" customHeight="1">
      <c r="A36" s="2255" t="s">
        <v>72</v>
      </c>
      <c r="B36" s="1896" t="s">
        <v>228</v>
      </c>
      <c r="C36" s="1445">
        <f>SUM(D36:E36)</f>
        <v>717399.2</v>
      </c>
      <c r="D36" s="1445">
        <f>'Phụ lục số 2'!AA32</f>
        <v>79139.200000000012</v>
      </c>
      <c r="E36" s="1445">
        <f>'Phụ lục số 2'!AB32</f>
        <v>638260</v>
      </c>
    </row>
    <row r="37" spans="1:5" s="2247" customFormat="1" ht="20.100000000000001" customHeight="1">
      <c r="A37" s="2255" t="s">
        <v>100</v>
      </c>
      <c r="B37" s="1896" t="str">
        <f>'Phụ lục 4-HĐND'!B27</f>
        <v>Chi trả lãi khoản vay của ngân sách cấp tỉnh</v>
      </c>
      <c r="C37" s="1445">
        <f>SUM(D37:E37)</f>
        <v>3000</v>
      </c>
      <c r="D37" s="1445">
        <f>'Phụ lục số 2'!AA34</f>
        <v>3000</v>
      </c>
      <c r="E37" s="1445"/>
    </row>
    <row r="38" spans="1:5" s="2247" customFormat="1" ht="20.100000000000001" customHeight="1">
      <c r="A38" s="2259" t="s">
        <v>151</v>
      </c>
      <c r="B38" s="2260" t="s">
        <v>1416</v>
      </c>
      <c r="C38" s="1445">
        <f>SUM(C39:C41)</f>
        <v>1988976</v>
      </c>
      <c r="D38" s="1445">
        <f>SUM(D39:D41)</f>
        <v>1988976</v>
      </c>
      <c r="E38" s="1445">
        <f>SUM(E39:E41)</f>
        <v>0</v>
      </c>
    </row>
    <row r="39" spans="1:5" ht="20.100000000000001" customHeight="1">
      <c r="A39" s="2261" t="s">
        <v>34</v>
      </c>
      <c r="B39" s="78" t="s">
        <v>91</v>
      </c>
      <c r="C39" s="2262">
        <f>SUM(D39:E39)</f>
        <v>1814491</v>
      </c>
      <c r="D39" s="2262">
        <f>'Phụ lục số 2'!AA36</f>
        <v>1814491</v>
      </c>
      <c r="E39" s="2262"/>
    </row>
    <row r="40" spans="1:5" ht="20.100000000000001" customHeight="1">
      <c r="A40" s="2261" t="s">
        <v>35</v>
      </c>
      <c r="B40" s="78" t="s">
        <v>92</v>
      </c>
      <c r="C40" s="2262">
        <f t="shared" ref="C40:C41" si="4">SUM(D40:E40)</f>
        <v>174485</v>
      </c>
      <c r="D40" s="2262">
        <f>'Phụ lục số 2'!AA37</f>
        <v>174485</v>
      </c>
      <c r="E40" s="2262"/>
    </row>
    <row r="41" spans="1:5" ht="20.100000000000001" customHeight="1">
      <c r="A41" s="2261" t="s">
        <v>36</v>
      </c>
      <c r="B41" s="2263" t="s">
        <v>1534</v>
      </c>
      <c r="C41" s="2262">
        <f t="shared" si="4"/>
        <v>0</v>
      </c>
      <c r="D41" s="2262"/>
      <c r="E41" s="2262"/>
    </row>
    <row r="42" spans="1:5" s="2" customFormat="1" ht="20.100000000000001" customHeight="1">
      <c r="A42" s="2265" t="s">
        <v>229</v>
      </c>
      <c r="B42" s="2264" t="s">
        <v>133</v>
      </c>
      <c r="C42" s="1450">
        <f t="shared" si="2"/>
        <v>0</v>
      </c>
      <c r="D42" s="1450">
        <f>'Phụ lục số 2'!AA39</f>
        <v>0</v>
      </c>
      <c r="E42" s="1450">
        <f>'Phụ lục số 2'!AB39</f>
        <v>0</v>
      </c>
    </row>
    <row r="43" spans="1:5" s="48" customFormat="1" ht="20.100000000000001" customHeight="1">
      <c r="A43" s="2251"/>
      <c r="B43" s="2221"/>
      <c r="C43" s="2252"/>
      <c r="D43" s="2252"/>
      <c r="E43" s="2252"/>
    </row>
    <row r="44" spans="1:5">
      <c r="B44" s="48" t="s">
        <v>1050</v>
      </c>
    </row>
    <row r="45" spans="1:5" s="154" customFormat="1" ht="36">
      <c r="B45" s="3978" t="s">
        <v>2543</v>
      </c>
      <c r="D45" s="191">
        <f>'Phụ lục số 5'!E36</f>
        <v>5083323.3480000002</v>
      </c>
      <c r="E45" s="1319" t="s">
        <v>1417</v>
      </c>
    </row>
    <row r="46" spans="1:5" s="154" customFormat="1">
      <c r="B46" s="3978" t="s">
        <v>299</v>
      </c>
      <c r="D46" s="191"/>
      <c r="E46" s="1319"/>
    </row>
    <row r="47" spans="1:5" s="154" customFormat="1">
      <c r="B47" s="3979" t="s">
        <v>2356</v>
      </c>
      <c r="D47" s="166">
        <f>'Phụ lục số 5'!E37</f>
        <v>4430923</v>
      </c>
      <c r="E47" s="154" t="s">
        <v>1417</v>
      </c>
    </row>
    <row r="48" spans="1:5" s="154" customFormat="1" ht="54">
      <c r="B48" s="3979" t="s">
        <v>2619</v>
      </c>
      <c r="D48" s="166">
        <f>'Phụ lục số 5'!E38</f>
        <v>652400.348</v>
      </c>
      <c r="E48" s="154" t="s">
        <v>1417</v>
      </c>
    </row>
    <row r="49" spans="2:5" s="154" customFormat="1" ht="36">
      <c r="B49" s="3978" t="s">
        <v>2544</v>
      </c>
      <c r="D49" s="166">
        <f>'Phụ lục 4-HĐND'!D39</f>
        <v>13000</v>
      </c>
      <c r="E49" s="154" t="s">
        <v>1417</v>
      </c>
    </row>
    <row r="54" spans="2:5">
      <c r="D54" s="37">
        <f>'Phụ lục số 2'!X7</f>
        <v>18627408.915999997</v>
      </c>
    </row>
    <row r="55" spans="2:5">
      <c r="D55" s="2250">
        <f>D54-C11</f>
        <v>0</v>
      </c>
    </row>
  </sheetData>
  <mergeCells count="10">
    <mergeCell ref="B1:D1"/>
    <mergeCell ref="B2:D2"/>
    <mergeCell ref="C3:E3"/>
    <mergeCell ref="A4:E4"/>
    <mergeCell ref="A5:E5"/>
    <mergeCell ref="A8:A10"/>
    <mergeCell ref="B8:B10"/>
    <mergeCell ref="C8:E8"/>
    <mergeCell ref="C9:C10"/>
    <mergeCell ref="D9:E9"/>
  </mergeCells>
  <hyperlinks>
    <hyperlink ref="A8:A10" location="'List danh mục'!A1" display="'List danh mục'!A1"/>
  </hyperlinks>
  <printOptions horizontalCentered="1"/>
  <pageMargins left="0" right="0" top="0.39370078740157483" bottom="0" header="0.19685039370078741" footer="0.19685039370078741"/>
  <pageSetup paperSize="9" scale="90" orientation="portrait" r:id="rId1"/>
  <headerFooter>
    <oddHeader>&amp;R&amp;A</oddHeader>
    <oddFooter>&amp;C&amp;P/&amp;N</oddFooter>
  </headerFooter>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J82"/>
  <sheetViews>
    <sheetView topLeftCell="A37" zoomScale="84" zoomScaleNormal="84" workbookViewId="0">
      <selection activeCell="A30" sqref="A30:G30"/>
    </sheetView>
  </sheetViews>
  <sheetFormatPr defaultColWidth="9" defaultRowHeight="15.6"/>
  <cols>
    <col min="1" max="1" width="4.5" style="1220" customWidth="1"/>
    <col min="2" max="2" width="40.5" style="1220" customWidth="1"/>
    <col min="3" max="8" width="12.5" style="1220" customWidth="1"/>
    <col min="9" max="9" width="8.5" style="1220" customWidth="1"/>
    <col min="10" max="10" width="9.69921875" style="1220" customWidth="1"/>
    <col min="11" max="16384" width="9" style="1220"/>
  </cols>
  <sheetData>
    <row r="1" spans="1:10" s="1219" customFormat="1" ht="21" hidden="1" customHeight="1">
      <c r="B1" s="1214" t="s">
        <v>1368</v>
      </c>
      <c r="C1" s="1214"/>
      <c r="D1" s="1214"/>
      <c r="E1" s="1214"/>
      <c r="F1" s="1214"/>
      <c r="G1" s="248"/>
      <c r="H1" s="248"/>
    </row>
    <row r="2" spans="1:10" s="1219" customFormat="1" ht="21" hidden="1" customHeight="1">
      <c r="B2" s="1214" t="s">
        <v>1369</v>
      </c>
      <c r="C2" s="1214"/>
      <c r="D2" s="1214"/>
      <c r="E2" s="1214"/>
      <c r="F2" s="1214"/>
      <c r="G2" s="248"/>
      <c r="H2" s="248"/>
    </row>
    <row r="3" spans="1:10" hidden="1">
      <c r="B3" s="1221"/>
      <c r="C3" s="1221"/>
      <c r="D3" s="1221"/>
      <c r="E3" s="1221"/>
      <c r="F3" s="1221"/>
      <c r="G3" s="2169"/>
      <c r="H3" s="2169"/>
    </row>
    <row r="4" spans="1:10" s="1219" customFormat="1">
      <c r="A4" s="4572" t="s">
        <v>2353</v>
      </c>
      <c r="B4" s="4572"/>
      <c r="C4" s="4572"/>
      <c r="D4" s="4572"/>
      <c r="E4" s="4572"/>
      <c r="F4" s="4572"/>
      <c r="G4" s="4572"/>
      <c r="H4" s="4572"/>
      <c r="I4" s="4572"/>
      <c r="J4" s="4572"/>
    </row>
    <row r="5" spans="1:10" s="1219" customFormat="1">
      <c r="A5" s="4573" t="str">
        <f>'Biểu số 34-CK-NSNN'!A5:G5</f>
        <v>(DỰ TOÁN TRÌNH HỘI ĐỒNG NHÂN DÂN TỈNH)</v>
      </c>
      <c r="B5" s="4573"/>
      <c r="C5" s="4573"/>
      <c r="D5" s="4573"/>
      <c r="E5" s="4573"/>
      <c r="F5" s="4573"/>
      <c r="G5" s="4573"/>
      <c r="H5" s="4573"/>
      <c r="I5" s="4573"/>
      <c r="J5" s="4573"/>
    </row>
    <row r="6" spans="1:10" s="1219" customFormat="1">
      <c r="A6" s="2385"/>
      <c r="B6" s="2385"/>
      <c r="C6" s="2385"/>
      <c r="D6" s="2385"/>
      <c r="E6" s="2385"/>
      <c r="F6" s="2385"/>
      <c r="G6" s="2385"/>
      <c r="H6" s="2385"/>
      <c r="I6" s="2385"/>
      <c r="J6" s="2385"/>
    </row>
    <row r="7" spans="1:10" s="1219" customFormat="1">
      <c r="A7" s="1222"/>
      <c r="B7" s="1222"/>
      <c r="C7" s="1222"/>
      <c r="D7" s="1222"/>
      <c r="E7" s="1222"/>
      <c r="F7" s="1222"/>
      <c r="J7" s="2192" t="s">
        <v>64</v>
      </c>
    </row>
    <row r="8" spans="1:10" s="1223" customFormat="1">
      <c r="A8" s="4277" t="s">
        <v>1370</v>
      </c>
      <c r="B8" s="4574" t="s">
        <v>52</v>
      </c>
      <c r="C8" s="4334" t="s">
        <v>449</v>
      </c>
      <c r="D8" s="4334"/>
      <c r="E8" s="4334" t="s">
        <v>1699</v>
      </c>
      <c r="F8" s="4334"/>
      <c r="G8" s="4575" t="s">
        <v>1700</v>
      </c>
      <c r="H8" s="4575"/>
      <c r="I8" s="4575" t="s">
        <v>2268</v>
      </c>
      <c r="J8" s="4575"/>
    </row>
    <row r="9" spans="1:10" s="1223" customFormat="1">
      <c r="A9" s="4277"/>
      <c r="B9" s="4574"/>
      <c r="C9" s="249" t="s">
        <v>339</v>
      </c>
      <c r="D9" s="249" t="s">
        <v>887</v>
      </c>
      <c r="E9" s="249" t="s">
        <v>339</v>
      </c>
      <c r="F9" s="249" t="s">
        <v>887</v>
      </c>
      <c r="G9" s="2361" t="s">
        <v>339</v>
      </c>
      <c r="H9" s="2361" t="s">
        <v>887</v>
      </c>
      <c r="I9" s="2361" t="s">
        <v>339</v>
      </c>
      <c r="J9" s="2361" t="s">
        <v>887</v>
      </c>
    </row>
    <row r="10" spans="1:10" s="1219" customFormat="1">
      <c r="A10" s="2193"/>
      <c r="B10" s="2194" t="s">
        <v>2288</v>
      </c>
      <c r="C10" s="2195">
        <f t="shared" ref="C10:H10" si="0">SUM(C11,C51,C55,C56)</f>
        <v>7590000</v>
      </c>
      <c r="D10" s="2195">
        <f t="shared" si="0"/>
        <v>6537000</v>
      </c>
      <c r="E10" s="2195">
        <f t="shared" si="0"/>
        <v>8150405.8199999994</v>
      </c>
      <c r="F10" s="2195">
        <f t="shared" si="0"/>
        <v>7450060.2999999998</v>
      </c>
      <c r="G10" s="2195">
        <f t="shared" si="0"/>
        <v>9266000</v>
      </c>
      <c r="H10" s="2195">
        <f t="shared" si="0"/>
        <v>8484930</v>
      </c>
      <c r="I10" s="2196">
        <f>G10/E10</f>
        <v>1.1368759058920088</v>
      </c>
      <c r="J10" s="2196">
        <f>H10/F10</f>
        <v>1.1389075602515593</v>
      </c>
    </row>
    <row r="11" spans="1:10" s="1219" customFormat="1">
      <c r="A11" s="1227" t="s">
        <v>9</v>
      </c>
      <c r="B11" s="1228" t="s">
        <v>10</v>
      </c>
      <c r="C11" s="1229">
        <f t="shared" ref="C11:H11" si="1">SUM(C12,C18,C24,C29,C35,C36,C37,C38,C41,C44,C45,C46,C47,C48,C49,C50)</f>
        <v>7440000</v>
      </c>
      <c r="D11" s="1229">
        <f t="shared" si="1"/>
        <v>6537000</v>
      </c>
      <c r="E11" s="1229">
        <f t="shared" si="1"/>
        <v>7999660.2999999998</v>
      </c>
      <c r="F11" s="1229">
        <f t="shared" si="1"/>
        <v>7450060.2999999998</v>
      </c>
      <c r="G11" s="1229">
        <f t="shared" si="1"/>
        <v>9066000</v>
      </c>
      <c r="H11" s="1229">
        <f t="shared" si="1"/>
        <v>8484930</v>
      </c>
      <c r="I11" s="1154">
        <f t="shared" ref="I11:J53" si="2">G11/E11</f>
        <v>1.133298122671534</v>
      </c>
      <c r="J11" s="1154">
        <f t="shared" si="2"/>
        <v>1.1389075602515593</v>
      </c>
    </row>
    <row r="12" spans="1:10">
      <c r="A12" s="1224">
        <v>1</v>
      </c>
      <c r="B12" s="1225" t="s">
        <v>2039</v>
      </c>
      <c r="C12" s="1226">
        <f>'Phụ lục số 1'!C11</f>
        <v>250000</v>
      </c>
      <c r="D12" s="1226">
        <f>'Phụ lục số 1'!E11</f>
        <v>250000</v>
      </c>
      <c r="E12" s="1226">
        <f>'Phụ lục số 1'!T11</f>
        <v>210000</v>
      </c>
      <c r="F12" s="1226">
        <f>'Phụ lục số 1'!W11</f>
        <v>210000</v>
      </c>
      <c r="G12" s="1226">
        <f>'Phụ lục số 1'!AE11</f>
        <v>230000</v>
      </c>
      <c r="H12" s="1226">
        <f>'Phụ lục số 1'!AH11</f>
        <v>230000</v>
      </c>
      <c r="I12" s="2197">
        <f t="shared" si="2"/>
        <v>1.0952380952380953</v>
      </c>
      <c r="J12" s="2197">
        <f t="shared" si="2"/>
        <v>1.0952380952380953</v>
      </c>
    </row>
    <row r="13" spans="1:10" s="3923" customFormat="1">
      <c r="A13" s="3920" t="s">
        <v>137</v>
      </c>
      <c r="B13" s="509" t="s">
        <v>11</v>
      </c>
      <c r="C13" s="3921">
        <f>'Phụ lục số 1'!C12</f>
        <v>196000</v>
      </c>
      <c r="D13" s="3921">
        <f>'Phụ lục số 1'!E12</f>
        <v>196000</v>
      </c>
      <c r="E13" s="3921">
        <f>'Phụ lục số 1'!T12</f>
        <v>154000</v>
      </c>
      <c r="F13" s="3921">
        <f>'Phụ lục số 1'!T12</f>
        <v>154000</v>
      </c>
      <c r="G13" s="3921">
        <f>'Phụ lục số 1'!AE12</f>
        <v>170000</v>
      </c>
      <c r="H13" s="3921">
        <f>'Phụ lục số 1'!AH12</f>
        <v>170000</v>
      </c>
      <c r="I13" s="3922">
        <f t="shared" si="2"/>
        <v>1.1038961038961039</v>
      </c>
      <c r="J13" s="3922">
        <f t="shared" si="2"/>
        <v>1.1038961038961039</v>
      </c>
    </row>
    <row r="14" spans="1:10" s="3923" customFormat="1">
      <c r="A14" s="3920" t="s">
        <v>137</v>
      </c>
      <c r="B14" s="509" t="s">
        <v>12</v>
      </c>
      <c r="C14" s="3921">
        <f>'Phụ lục số 1'!C13</f>
        <v>12000</v>
      </c>
      <c r="D14" s="3921">
        <f>'Phụ lục số 1'!E13</f>
        <v>12000</v>
      </c>
      <c r="E14" s="3921">
        <f>'Phụ lục số 1'!T13</f>
        <v>37000</v>
      </c>
      <c r="F14" s="3921">
        <f>'Phụ lục số 1'!T13</f>
        <v>37000</v>
      </c>
      <c r="G14" s="3921">
        <f>'Phụ lục số 1'!AE13</f>
        <v>20000</v>
      </c>
      <c r="H14" s="3921">
        <f>'Phụ lục số 1'!AH13</f>
        <v>20000</v>
      </c>
      <c r="I14" s="3922">
        <f t="shared" si="2"/>
        <v>0.54054054054054057</v>
      </c>
      <c r="J14" s="3922">
        <f t="shared" si="2"/>
        <v>0.54054054054054057</v>
      </c>
    </row>
    <row r="15" spans="1:10" s="3923" customFormat="1">
      <c r="A15" s="3920" t="s">
        <v>137</v>
      </c>
      <c r="B15" s="509" t="s">
        <v>13</v>
      </c>
      <c r="C15" s="3921">
        <f>'Phụ lục số 1'!C14</f>
        <v>42000</v>
      </c>
      <c r="D15" s="3921">
        <f>'Phụ lục số 1'!E14</f>
        <v>42000</v>
      </c>
      <c r="E15" s="3921">
        <f>'Phụ lục số 1'!T14</f>
        <v>18990</v>
      </c>
      <c r="F15" s="3921">
        <f>'Phụ lục số 1'!T14</f>
        <v>18990</v>
      </c>
      <c r="G15" s="3921">
        <f>'Phụ lục số 1'!AE14</f>
        <v>40000</v>
      </c>
      <c r="H15" s="3921">
        <f>'Phụ lục số 1'!AH14</f>
        <v>40000</v>
      </c>
      <c r="I15" s="3922">
        <f t="shared" si="2"/>
        <v>2.10637177461822</v>
      </c>
      <c r="J15" s="3922">
        <f t="shared" si="2"/>
        <v>2.10637177461822</v>
      </c>
    </row>
    <row r="16" spans="1:10" s="3923" customFormat="1">
      <c r="A16" s="3920" t="s">
        <v>137</v>
      </c>
      <c r="B16" s="509" t="s">
        <v>14</v>
      </c>
      <c r="C16" s="3921">
        <f>'Phụ lục số 1'!C15</f>
        <v>0</v>
      </c>
      <c r="D16" s="3921">
        <f>'Phụ lục số 1'!E15</f>
        <v>0</v>
      </c>
      <c r="E16" s="3921">
        <f>'Phụ lục số 1'!T15</f>
        <v>10</v>
      </c>
      <c r="F16" s="3921">
        <f>'Phụ lục số 1'!T15</f>
        <v>10</v>
      </c>
      <c r="G16" s="3921">
        <f>'Phụ lục số 1'!AE15</f>
        <v>0</v>
      </c>
      <c r="H16" s="3921">
        <f>'Phụ lục số 1'!AH15</f>
        <v>0</v>
      </c>
      <c r="I16" s="3922"/>
      <c r="J16" s="3922"/>
    </row>
    <row r="17" spans="1:10" s="3923" customFormat="1">
      <c r="A17" s="3920" t="s">
        <v>137</v>
      </c>
      <c r="B17" s="509" t="s">
        <v>67</v>
      </c>
      <c r="C17" s="3921">
        <f>'Phụ lục số 1'!C16</f>
        <v>0</v>
      </c>
      <c r="D17" s="3921">
        <f>'Phụ lục số 1'!E16</f>
        <v>0</v>
      </c>
      <c r="E17" s="3921">
        <f>'Phụ lục số 1'!T16</f>
        <v>0</v>
      </c>
      <c r="F17" s="3921">
        <f>'Phụ lục số 1'!T16</f>
        <v>0</v>
      </c>
      <c r="G17" s="3921">
        <f>'Phụ lục số 1'!AE16</f>
        <v>0</v>
      </c>
      <c r="H17" s="3921">
        <f>'Phụ lục số 1'!AH16</f>
        <v>0</v>
      </c>
      <c r="I17" s="3922"/>
      <c r="J17" s="3922"/>
    </row>
    <row r="18" spans="1:10" s="3914" customFormat="1">
      <c r="A18" s="3911">
        <v>2</v>
      </c>
      <c r="B18" s="3924" t="s">
        <v>2040</v>
      </c>
      <c r="C18" s="3925">
        <f>'Phụ lục số 1'!C17</f>
        <v>350000</v>
      </c>
      <c r="D18" s="3925">
        <f>'Phụ lục số 1'!E17</f>
        <v>350000</v>
      </c>
      <c r="E18" s="3925">
        <f>'Phụ lục số 1'!T17</f>
        <v>270000</v>
      </c>
      <c r="F18" s="3925">
        <f>'Phụ lục số 1'!W17</f>
        <v>270000</v>
      </c>
      <c r="G18" s="3925">
        <f>'Phụ lục số 1'!AE17</f>
        <v>300000</v>
      </c>
      <c r="H18" s="3925">
        <f>'Phụ lục số 1'!AH17</f>
        <v>300000</v>
      </c>
      <c r="I18" s="3926">
        <f t="shared" si="2"/>
        <v>1.1111111111111112</v>
      </c>
      <c r="J18" s="3926">
        <f t="shared" si="2"/>
        <v>1.1111111111111112</v>
      </c>
    </row>
    <row r="19" spans="1:10" s="3923" customFormat="1">
      <c r="A19" s="3920" t="s">
        <v>137</v>
      </c>
      <c r="B19" s="509" t="s">
        <v>11</v>
      </c>
      <c r="C19" s="3921">
        <f>'Phụ lục số 1'!C18</f>
        <v>183000</v>
      </c>
      <c r="D19" s="3921">
        <f>'Phụ lục số 1'!E18</f>
        <v>183000</v>
      </c>
      <c r="E19" s="3921">
        <f>'Phụ lục số 1'!T18</f>
        <v>100000</v>
      </c>
      <c r="F19" s="3921">
        <f>'Phụ lục số 1'!W18</f>
        <v>100000</v>
      </c>
      <c r="G19" s="3921">
        <f>'Phụ lục số 1'!AE18</f>
        <v>110000</v>
      </c>
      <c r="H19" s="3921">
        <f>'Phụ lục số 1'!AH18</f>
        <v>110000</v>
      </c>
      <c r="I19" s="3922">
        <f t="shared" si="2"/>
        <v>1.1000000000000001</v>
      </c>
      <c r="J19" s="3922">
        <f t="shared" si="2"/>
        <v>1.1000000000000001</v>
      </c>
    </row>
    <row r="20" spans="1:10" s="3923" customFormat="1">
      <c r="A20" s="3920" t="s">
        <v>137</v>
      </c>
      <c r="B20" s="509" t="s">
        <v>12</v>
      </c>
      <c r="C20" s="3921">
        <f>'Phụ lục số 1'!C19</f>
        <v>65000</v>
      </c>
      <c r="D20" s="3921">
        <f>'Phụ lục số 1'!E19</f>
        <v>65000</v>
      </c>
      <c r="E20" s="3921">
        <f>'Phụ lục số 1'!T19</f>
        <v>100000</v>
      </c>
      <c r="F20" s="3921">
        <f>'Phụ lục số 1'!W19</f>
        <v>100000</v>
      </c>
      <c r="G20" s="3921">
        <f>'Phụ lục số 1'!AE19</f>
        <v>105970</v>
      </c>
      <c r="H20" s="3921">
        <f>'Phụ lục số 1'!AH19</f>
        <v>105970</v>
      </c>
      <c r="I20" s="3922">
        <f t="shared" si="2"/>
        <v>1.0597000000000001</v>
      </c>
      <c r="J20" s="3922">
        <f t="shared" si="2"/>
        <v>1.0597000000000001</v>
      </c>
    </row>
    <row r="21" spans="1:10" s="3923" customFormat="1">
      <c r="A21" s="3920" t="s">
        <v>137</v>
      </c>
      <c r="B21" s="509" t="s">
        <v>13</v>
      </c>
      <c r="C21" s="3921">
        <f>'Phụ lục số 1'!C20</f>
        <v>0</v>
      </c>
      <c r="D21" s="3921">
        <f>'Phụ lục số 1'!E20</f>
        <v>0</v>
      </c>
      <c r="E21" s="3921">
        <f>'Phụ lục số 1'!T20</f>
        <v>0</v>
      </c>
      <c r="F21" s="3921">
        <f>'Phụ lục số 1'!W20</f>
        <v>0</v>
      </c>
      <c r="G21" s="3921">
        <f>'Phụ lục số 1'!AE20</f>
        <v>0</v>
      </c>
      <c r="H21" s="3921">
        <f>'Phụ lục số 1'!AH20</f>
        <v>0</v>
      </c>
      <c r="I21" s="3922"/>
      <c r="J21" s="3922"/>
    </row>
    <row r="22" spans="1:10" s="3923" customFormat="1">
      <c r="A22" s="3920" t="s">
        <v>137</v>
      </c>
      <c r="B22" s="509" t="s">
        <v>14</v>
      </c>
      <c r="C22" s="3921">
        <f>'Phụ lục số 1'!C21</f>
        <v>102000</v>
      </c>
      <c r="D22" s="3921">
        <f>'Phụ lục số 1'!E21</f>
        <v>102000</v>
      </c>
      <c r="E22" s="3921">
        <f>'Phụ lục số 1'!T21</f>
        <v>70000</v>
      </c>
      <c r="F22" s="3921">
        <f>'Phụ lục số 1'!W21</f>
        <v>70000</v>
      </c>
      <c r="G22" s="3921">
        <f>'Phụ lục số 1'!AE21</f>
        <v>84030</v>
      </c>
      <c r="H22" s="3921">
        <f>'Phụ lục số 1'!AH21</f>
        <v>84030</v>
      </c>
      <c r="I22" s="3922">
        <f t="shared" si="2"/>
        <v>1.2004285714285714</v>
      </c>
      <c r="J22" s="3922">
        <f t="shared" si="2"/>
        <v>1.2004285714285714</v>
      </c>
    </row>
    <row r="23" spans="1:10" s="3923" customFormat="1">
      <c r="A23" s="3920" t="s">
        <v>137</v>
      </c>
      <c r="B23" s="509" t="s">
        <v>67</v>
      </c>
      <c r="C23" s="3921">
        <f>'Phụ lục số 1'!C22</f>
        <v>0</v>
      </c>
      <c r="D23" s="3921">
        <f>'Phụ lục số 1'!E22</f>
        <v>0</v>
      </c>
      <c r="E23" s="3921">
        <f>'Phụ lục số 1'!T22</f>
        <v>0</v>
      </c>
      <c r="F23" s="3921">
        <f>'Phụ lục số 1'!W22</f>
        <v>0</v>
      </c>
      <c r="G23" s="3921">
        <f>'Phụ lục số 1'!AE22</f>
        <v>0</v>
      </c>
      <c r="H23" s="3921">
        <f>'Phụ lục số 1'!AH22</f>
        <v>0</v>
      </c>
      <c r="I23" s="3922"/>
      <c r="J23" s="3922"/>
    </row>
    <row r="24" spans="1:10" s="3914" customFormat="1">
      <c r="A24" s="3911">
        <v>3</v>
      </c>
      <c r="B24" s="3924" t="s">
        <v>2041</v>
      </c>
      <c r="C24" s="3925">
        <f>'Phụ lục số 1'!C23</f>
        <v>70000</v>
      </c>
      <c r="D24" s="3925">
        <f>'Phụ lục số 1'!E23</f>
        <v>70000</v>
      </c>
      <c r="E24" s="3925">
        <f>'Phụ lục số 1'!T23</f>
        <v>70000</v>
      </c>
      <c r="F24" s="3925">
        <f>'Phụ lục số 1'!W23</f>
        <v>70000</v>
      </c>
      <c r="G24" s="3925">
        <f>'Phụ lục số 1'!AE23</f>
        <v>75000</v>
      </c>
      <c r="H24" s="3925">
        <f>'Phụ lục số 1'!AH23</f>
        <v>75000</v>
      </c>
      <c r="I24" s="3926">
        <f t="shared" si="2"/>
        <v>1.0714285714285714</v>
      </c>
      <c r="J24" s="3926">
        <f t="shared" si="2"/>
        <v>1.0714285714285714</v>
      </c>
    </row>
    <row r="25" spans="1:10" s="3923" customFormat="1">
      <c r="A25" s="3920" t="s">
        <v>137</v>
      </c>
      <c r="B25" s="509" t="s">
        <v>11</v>
      </c>
      <c r="C25" s="3921">
        <f>'Phụ lục số 1'!C24</f>
        <v>18000</v>
      </c>
      <c r="D25" s="3921">
        <f>'Phụ lục số 1'!E24</f>
        <v>18000</v>
      </c>
      <c r="E25" s="3921">
        <f>'Phụ lục số 1'!T24</f>
        <v>15000</v>
      </c>
      <c r="F25" s="3921">
        <f>'Phụ lục số 1'!W24</f>
        <v>15000</v>
      </c>
      <c r="G25" s="3921">
        <f>'Phụ lục số 1'!AE24</f>
        <v>16000</v>
      </c>
      <c r="H25" s="3921">
        <f>'Phụ lục số 1'!AH24</f>
        <v>16000</v>
      </c>
      <c r="I25" s="3922">
        <f t="shared" si="2"/>
        <v>1.0666666666666667</v>
      </c>
      <c r="J25" s="3922">
        <f t="shared" si="2"/>
        <v>1.0666666666666667</v>
      </c>
    </row>
    <row r="26" spans="1:10" s="3923" customFormat="1">
      <c r="A26" s="3920" t="s">
        <v>137</v>
      </c>
      <c r="B26" s="509" t="s">
        <v>12</v>
      </c>
      <c r="C26" s="3921">
        <f>'Phụ lục số 1'!C25</f>
        <v>52000</v>
      </c>
      <c r="D26" s="3921">
        <f>'Phụ lục số 1'!E25</f>
        <v>52000</v>
      </c>
      <c r="E26" s="3921">
        <f>'Phụ lục số 1'!T25</f>
        <v>54990</v>
      </c>
      <c r="F26" s="3921">
        <f>'Phụ lục số 1'!W25</f>
        <v>54990</v>
      </c>
      <c r="G26" s="3921">
        <f>'Phụ lục số 1'!AE25</f>
        <v>59000</v>
      </c>
      <c r="H26" s="3921">
        <f>'Phụ lục số 1'!AH25</f>
        <v>59000</v>
      </c>
      <c r="I26" s="3922">
        <f t="shared" si="2"/>
        <v>1.0729223495180942</v>
      </c>
      <c r="J26" s="3922">
        <f t="shared" si="2"/>
        <v>1.0729223495180942</v>
      </c>
    </row>
    <row r="27" spans="1:10" s="3923" customFormat="1">
      <c r="A27" s="3920" t="s">
        <v>137</v>
      </c>
      <c r="B27" s="509" t="s">
        <v>14</v>
      </c>
      <c r="C27" s="3921">
        <f>'Phụ lục số 1'!C26</f>
        <v>0</v>
      </c>
      <c r="D27" s="3921">
        <f>'Phụ lục số 1'!E26</f>
        <v>0</v>
      </c>
      <c r="E27" s="3921">
        <f>'Phụ lục số 1'!T26</f>
        <v>0</v>
      </c>
      <c r="F27" s="3921">
        <f>'Phụ lục số 1'!W26</f>
        <v>0</v>
      </c>
      <c r="G27" s="3921">
        <f>'Phụ lục số 1'!AE26</f>
        <v>0</v>
      </c>
      <c r="H27" s="3921">
        <f>'Phụ lục số 1'!AH26</f>
        <v>0</v>
      </c>
      <c r="I27" s="3922"/>
      <c r="J27" s="3922"/>
    </row>
    <row r="28" spans="1:10" s="3923" customFormat="1">
      <c r="A28" s="3920" t="s">
        <v>137</v>
      </c>
      <c r="B28" s="509" t="s">
        <v>105</v>
      </c>
      <c r="C28" s="3921">
        <f>'Phụ lục số 1'!C27</f>
        <v>0</v>
      </c>
      <c r="D28" s="3921">
        <f>'Phụ lục số 1'!E27</f>
        <v>0</v>
      </c>
      <c r="E28" s="3921">
        <f>'Phụ lục số 1'!T27</f>
        <v>10</v>
      </c>
      <c r="F28" s="3921">
        <f>'Phụ lục số 1'!W27</f>
        <v>10</v>
      </c>
      <c r="G28" s="3921">
        <f>'Phụ lục số 1'!AE27</f>
        <v>0</v>
      </c>
      <c r="H28" s="3921">
        <f>'Phụ lục số 1'!AH27</f>
        <v>0</v>
      </c>
      <c r="I28" s="3922"/>
      <c r="J28" s="3922"/>
    </row>
    <row r="29" spans="1:10" s="3927" customFormat="1">
      <c r="A29" s="3911">
        <v>4</v>
      </c>
      <c r="B29" s="3924" t="s">
        <v>352</v>
      </c>
      <c r="C29" s="3925">
        <f>'Phụ lục số 1'!C28</f>
        <v>1265000</v>
      </c>
      <c r="D29" s="3925">
        <f>'Phụ lục số 1'!E28</f>
        <v>1265000</v>
      </c>
      <c r="E29" s="3925">
        <f>'Phụ lục số 1'!T28</f>
        <v>1600000.2999999998</v>
      </c>
      <c r="F29" s="3925">
        <f>'Phụ lục số 1'!W28</f>
        <v>1600000.2999999998</v>
      </c>
      <c r="G29" s="3925">
        <f>'Phụ lục số 1'!AE28</f>
        <v>1701000</v>
      </c>
      <c r="H29" s="3925">
        <f>'Phụ lục số 1'!AH28</f>
        <v>1701000</v>
      </c>
      <c r="I29" s="3926">
        <f t="shared" si="2"/>
        <v>1.0631248006641001</v>
      </c>
      <c r="J29" s="3926">
        <f t="shared" si="2"/>
        <v>1.0631248006641001</v>
      </c>
    </row>
    <row r="30" spans="1:10" s="3928" customFormat="1" ht="16.2">
      <c r="A30" s="3920" t="s">
        <v>137</v>
      </c>
      <c r="B30" s="509" t="s">
        <v>11</v>
      </c>
      <c r="C30" s="3921">
        <f>'Phụ lục số 1'!C29</f>
        <v>651170</v>
      </c>
      <c r="D30" s="3921">
        <f>'Phụ lục số 1'!E29</f>
        <v>651170</v>
      </c>
      <c r="E30" s="3921">
        <f>'Phụ lục số 1'!T29</f>
        <v>728899.9</v>
      </c>
      <c r="F30" s="3921">
        <f>'Phụ lục số 1'!W29</f>
        <v>728899.9</v>
      </c>
      <c r="G30" s="3921">
        <f>'Phụ lục số 1'!AE29</f>
        <v>724290</v>
      </c>
      <c r="H30" s="3921">
        <f>'Phụ lục số 1'!AH29</f>
        <v>724290</v>
      </c>
      <c r="I30" s="3922">
        <f t="shared" si="2"/>
        <v>0.99367553761497285</v>
      </c>
      <c r="J30" s="3922">
        <f t="shared" si="2"/>
        <v>0.99367553761497285</v>
      </c>
    </row>
    <row r="31" spans="1:10" s="3928" customFormat="1" ht="16.2">
      <c r="A31" s="3920" t="s">
        <v>137</v>
      </c>
      <c r="B31" s="509" t="s">
        <v>12</v>
      </c>
      <c r="C31" s="3921">
        <f>'Phụ lục số 1'!C30</f>
        <v>524980</v>
      </c>
      <c r="D31" s="3921">
        <f>'Phụ lục số 1'!E30</f>
        <v>524980</v>
      </c>
      <c r="E31" s="3921">
        <f>'Phụ lục số 1'!T30</f>
        <v>790000</v>
      </c>
      <c r="F31" s="3921">
        <f>'Phụ lục số 1'!W30</f>
        <v>790000</v>
      </c>
      <c r="G31" s="3921">
        <f>'Phụ lục số 1'!AE30</f>
        <v>905790</v>
      </c>
      <c r="H31" s="3921">
        <f>'Phụ lục số 1'!AH30</f>
        <v>905790</v>
      </c>
      <c r="I31" s="3922">
        <f t="shared" si="2"/>
        <v>1.1465696202531646</v>
      </c>
      <c r="J31" s="3922">
        <f t="shared" si="2"/>
        <v>1.1465696202531646</v>
      </c>
    </row>
    <row r="32" spans="1:10" s="3928" customFormat="1" ht="16.2">
      <c r="A32" s="3920" t="s">
        <v>137</v>
      </c>
      <c r="B32" s="509" t="s">
        <v>13</v>
      </c>
      <c r="C32" s="3921">
        <f>'Phụ lục số 1'!C31</f>
        <v>85120</v>
      </c>
      <c r="D32" s="3921">
        <f>'Phụ lục số 1'!E31</f>
        <v>85120</v>
      </c>
      <c r="E32" s="3921">
        <f>'Phụ lục số 1'!T31</f>
        <v>76000.2</v>
      </c>
      <c r="F32" s="3921">
        <f>'Phụ lục số 1'!W31</f>
        <v>76000.2</v>
      </c>
      <c r="G32" s="3921">
        <f>'Phụ lục số 1'!AE31</f>
        <v>63450</v>
      </c>
      <c r="H32" s="3921">
        <f>'Phụ lục số 1'!AH31</f>
        <v>63450</v>
      </c>
      <c r="I32" s="3922">
        <f t="shared" si="2"/>
        <v>0.83486622403625255</v>
      </c>
      <c r="J32" s="3922">
        <f t="shared" si="2"/>
        <v>0.83486622403625255</v>
      </c>
    </row>
    <row r="33" spans="1:10" s="3928" customFormat="1" ht="16.2">
      <c r="A33" s="3920" t="s">
        <v>137</v>
      </c>
      <c r="B33" s="509" t="s">
        <v>14</v>
      </c>
      <c r="C33" s="3921">
        <f>'Phụ lục số 1'!C32</f>
        <v>3730</v>
      </c>
      <c r="D33" s="3921">
        <f>'Phụ lục số 1'!E32</f>
        <v>3730</v>
      </c>
      <c r="E33" s="3921">
        <f>'Phụ lục số 1'!T32</f>
        <v>4950.2</v>
      </c>
      <c r="F33" s="3921">
        <f>'Phụ lục số 1'!W32</f>
        <v>4950.2</v>
      </c>
      <c r="G33" s="3921">
        <f>'Phụ lục số 1'!AE32</f>
        <v>5970</v>
      </c>
      <c r="H33" s="3921">
        <f>'Phụ lục số 1'!AH32</f>
        <v>5970</v>
      </c>
      <c r="I33" s="3922">
        <f t="shared" si="2"/>
        <v>1.2060118783079472</v>
      </c>
      <c r="J33" s="3922">
        <f t="shared" si="2"/>
        <v>1.2060118783079472</v>
      </c>
    </row>
    <row r="34" spans="1:10" s="3928" customFormat="1" ht="16.2">
      <c r="A34" s="3920" t="s">
        <v>137</v>
      </c>
      <c r="B34" s="509" t="s">
        <v>15</v>
      </c>
      <c r="C34" s="3921">
        <f>'Phụ lục số 1'!C33</f>
        <v>0</v>
      </c>
      <c r="D34" s="3921">
        <f>'Phụ lục số 1'!E33</f>
        <v>0</v>
      </c>
      <c r="E34" s="3921">
        <f>'Phụ lục số 1'!T33</f>
        <v>150</v>
      </c>
      <c r="F34" s="3921">
        <f>'Phụ lục số 1'!W33</f>
        <v>150</v>
      </c>
      <c r="G34" s="3921">
        <f>'Phụ lục số 1'!AE33</f>
        <v>1500</v>
      </c>
      <c r="H34" s="3921">
        <f>'Phụ lục số 1'!AH33</f>
        <v>1500</v>
      </c>
      <c r="I34" s="3922"/>
      <c r="J34" s="3922"/>
    </row>
    <row r="35" spans="1:10" s="3914" customFormat="1">
      <c r="A35" s="3911">
        <v>5</v>
      </c>
      <c r="B35" s="3924" t="s">
        <v>16</v>
      </c>
      <c r="C35" s="3925">
        <f>'Phụ lục số 1'!C34</f>
        <v>295000</v>
      </c>
      <c r="D35" s="3925">
        <f>'Phụ lục số 1'!E34</f>
        <v>295000</v>
      </c>
      <c r="E35" s="3925">
        <f>'Phụ lục số 1'!T34</f>
        <v>340000</v>
      </c>
      <c r="F35" s="3925">
        <f>'Phụ lục số 1'!W34</f>
        <v>340000</v>
      </c>
      <c r="G35" s="3925">
        <f>'Phụ lục số 1'!AE34</f>
        <v>350000</v>
      </c>
      <c r="H35" s="3925">
        <f>'Phụ lục số 1'!AH34</f>
        <v>350000</v>
      </c>
      <c r="I35" s="3926">
        <f t="shared" si="2"/>
        <v>1.0294117647058822</v>
      </c>
      <c r="J35" s="3926">
        <f t="shared" si="2"/>
        <v>1.0294117647058822</v>
      </c>
    </row>
    <row r="36" spans="1:10" s="3914" customFormat="1">
      <c r="A36" s="3911">
        <v>6</v>
      </c>
      <c r="B36" s="3924" t="s">
        <v>271</v>
      </c>
      <c r="C36" s="3925">
        <f>'Phụ lục số 1'!C36</f>
        <v>10000</v>
      </c>
      <c r="D36" s="3925">
        <f>'Phụ lục số 1'!E36</f>
        <v>10000</v>
      </c>
      <c r="E36" s="3925">
        <f>'Phụ lục số 1'!T36</f>
        <v>14660.1</v>
      </c>
      <c r="F36" s="3925">
        <f>'Phụ lục số 1'!W36</f>
        <v>14660.1</v>
      </c>
      <c r="G36" s="3925">
        <f>'Phụ lục số 1'!AE36</f>
        <v>15000</v>
      </c>
      <c r="H36" s="3925">
        <f>'Phụ lục số 1'!AH36</f>
        <v>15000</v>
      </c>
      <c r="I36" s="3926">
        <f t="shared" si="2"/>
        <v>1.0231853807272802</v>
      </c>
      <c r="J36" s="3926">
        <f t="shared" si="2"/>
        <v>1.0231853807272802</v>
      </c>
    </row>
    <row r="37" spans="1:10" s="3914" customFormat="1">
      <c r="A37" s="3911">
        <v>7</v>
      </c>
      <c r="B37" s="3924" t="s">
        <v>97</v>
      </c>
      <c r="C37" s="3925">
        <f>'Phụ lục số 1'!C37</f>
        <v>600000</v>
      </c>
      <c r="D37" s="3925">
        <f>'Phụ lục số 1'!E37</f>
        <v>600000</v>
      </c>
      <c r="E37" s="3925">
        <f>'Phụ lục số 1'!T37</f>
        <v>710000</v>
      </c>
      <c r="F37" s="3925">
        <f>'Phụ lục số 1'!W37</f>
        <v>710000</v>
      </c>
      <c r="G37" s="3925">
        <f>'Phụ lục số 1'!AE37</f>
        <v>730000</v>
      </c>
      <c r="H37" s="3925">
        <f>'Phụ lục số 1'!AH37</f>
        <v>730000</v>
      </c>
      <c r="I37" s="3926">
        <f t="shared" si="2"/>
        <v>1.028169014084507</v>
      </c>
      <c r="J37" s="3926">
        <f t="shared" si="2"/>
        <v>1.028169014084507</v>
      </c>
    </row>
    <row r="38" spans="1:10" s="3914" customFormat="1">
      <c r="A38" s="3911">
        <v>8</v>
      </c>
      <c r="B38" s="3924" t="s">
        <v>1288</v>
      </c>
      <c r="C38" s="3925">
        <f>'Phụ lục số 1'!C38</f>
        <v>1500000</v>
      </c>
      <c r="D38" s="3925">
        <f>'[1]Phụ lục số 1'!E38</f>
        <v>733000</v>
      </c>
      <c r="E38" s="3925">
        <f>'Phụ lục số 1'!T38</f>
        <v>980000</v>
      </c>
      <c r="F38" s="3925">
        <f>'Phụ lục số 1'!W38</f>
        <v>588000</v>
      </c>
      <c r="G38" s="3925">
        <f>'Phụ lục số 1'!AE38</f>
        <v>1065000</v>
      </c>
      <c r="H38" s="3925">
        <f>'Phụ lục số 1'!AH38</f>
        <v>639000</v>
      </c>
      <c r="I38" s="3926">
        <f t="shared" si="2"/>
        <v>1.0867346938775511</v>
      </c>
      <c r="J38" s="3926">
        <f t="shared" si="2"/>
        <v>1.0867346938775511</v>
      </c>
    </row>
    <row r="39" spans="1:10" s="3923" customFormat="1">
      <c r="A39" s="3920" t="s">
        <v>137</v>
      </c>
      <c r="B39" s="3929" t="s">
        <v>2289</v>
      </c>
      <c r="C39" s="3921">
        <f>'Phụ lục số 1'!E38</f>
        <v>900000</v>
      </c>
      <c r="D39" s="3921">
        <f>C39</f>
        <v>900000</v>
      </c>
      <c r="E39" s="3921">
        <f>'Phụ lục số 1'!W38</f>
        <v>588000</v>
      </c>
      <c r="F39" s="3921">
        <f>E39</f>
        <v>588000</v>
      </c>
      <c r="G39" s="3921">
        <f>'Phụ lục số 1'!AH38</f>
        <v>639000</v>
      </c>
      <c r="H39" s="3921">
        <f>G39</f>
        <v>639000</v>
      </c>
      <c r="I39" s="3922">
        <f t="shared" si="2"/>
        <v>1.0867346938775511</v>
      </c>
      <c r="J39" s="3922">
        <f t="shared" si="2"/>
        <v>1.0867346938775511</v>
      </c>
    </row>
    <row r="40" spans="1:10" s="3923" customFormat="1">
      <c r="A40" s="3920" t="s">
        <v>137</v>
      </c>
      <c r="B40" s="3929" t="s">
        <v>2290</v>
      </c>
      <c r="C40" s="3921">
        <f>C38-C39</f>
        <v>600000</v>
      </c>
      <c r="D40" s="3921">
        <v>0</v>
      </c>
      <c r="E40" s="3921">
        <f>E38-E39</f>
        <v>392000</v>
      </c>
      <c r="F40" s="3921">
        <v>0</v>
      </c>
      <c r="G40" s="3921">
        <f>G38-G39</f>
        <v>426000</v>
      </c>
      <c r="H40" s="3921">
        <v>0</v>
      </c>
      <c r="I40" s="3922">
        <f t="shared" si="2"/>
        <v>1.0867346938775511</v>
      </c>
      <c r="J40" s="3922"/>
    </row>
    <row r="41" spans="1:10" s="3914" customFormat="1">
      <c r="A41" s="3911">
        <v>9</v>
      </c>
      <c r="B41" s="3924" t="s">
        <v>17</v>
      </c>
      <c r="C41" s="3912">
        <f>'Phụ lục số 1'!C39</f>
        <v>160000</v>
      </c>
      <c r="D41" s="3912">
        <f>'Phụ lục số 1'!E39</f>
        <v>78000</v>
      </c>
      <c r="E41" s="3912">
        <f>'Phụ lục số 1'!T39</f>
        <v>160000</v>
      </c>
      <c r="F41" s="3912">
        <f>'Phụ lục số 1'!W39</f>
        <v>78000</v>
      </c>
      <c r="G41" s="3912">
        <f>'Phụ lục số 1'!AE39</f>
        <v>170000</v>
      </c>
      <c r="H41" s="3912">
        <f>'Phụ lục số 1'!AH39</f>
        <v>83000</v>
      </c>
      <c r="I41" s="3913">
        <f t="shared" si="2"/>
        <v>1.0625</v>
      </c>
      <c r="J41" s="3913">
        <f t="shared" si="2"/>
        <v>1.0641025641025641</v>
      </c>
    </row>
    <row r="42" spans="1:10" s="3923" customFormat="1">
      <c r="A42" s="3920" t="s">
        <v>137</v>
      </c>
      <c r="B42" s="3929" t="s">
        <v>2291</v>
      </c>
      <c r="C42" s="3930">
        <f>'Phụ lục số 1'!D39</f>
        <v>82000</v>
      </c>
      <c r="D42" s="3930">
        <v>0</v>
      </c>
      <c r="E42" s="3930">
        <f>'Phụ lục số 1'!V39</f>
        <v>82000</v>
      </c>
      <c r="F42" s="3930">
        <v>0</v>
      </c>
      <c r="G42" s="3930">
        <f>'Phụ lục số 1'!AG39</f>
        <v>87000</v>
      </c>
      <c r="H42" s="3930">
        <v>0</v>
      </c>
      <c r="I42" s="3931">
        <f t="shared" si="2"/>
        <v>1.0609756097560976</v>
      </c>
      <c r="J42" s="3931"/>
    </row>
    <row r="43" spans="1:10" s="3923" customFormat="1">
      <c r="A43" s="3920" t="s">
        <v>137</v>
      </c>
      <c r="B43" s="3929" t="s">
        <v>2292</v>
      </c>
      <c r="C43" s="3930">
        <f>C41-C42</f>
        <v>78000</v>
      </c>
      <c r="D43" s="3930">
        <f>C43</f>
        <v>78000</v>
      </c>
      <c r="E43" s="3930">
        <f>E41-E42</f>
        <v>78000</v>
      </c>
      <c r="F43" s="3930">
        <f>E43</f>
        <v>78000</v>
      </c>
      <c r="G43" s="3930">
        <f>G41-G42</f>
        <v>83000</v>
      </c>
      <c r="H43" s="3930">
        <f>G43</f>
        <v>83000</v>
      </c>
      <c r="I43" s="3931">
        <f t="shared" si="2"/>
        <v>1.0641025641025641</v>
      </c>
      <c r="J43" s="3931">
        <f t="shared" si="2"/>
        <v>1.0641025641025641</v>
      </c>
    </row>
    <row r="44" spans="1:10" s="3914" customFormat="1">
      <c r="A44" s="3911">
        <v>10</v>
      </c>
      <c r="B44" s="3924" t="s">
        <v>18</v>
      </c>
      <c r="C44" s="3925">
        <f>'Phụ lục số 1'!C40</f>
        <v>900000</v>
      </c>
      <c r="D44" s="3925">
        <f>'Phụ lục số 1'!E40</f>
        <v>900000</v>
      </c>
      <c r="E44" s="3925">
        <f>'Phụ lục số 1'!T40</f>
        <v>1080000</v>
      </c>
      <c r="F44" s="3925">
        <f>'Phụ lục số 1'!W40</f>
        <v>1080000</v>
      </c>
      <c r="G44" s="3925">
        <f>'Phụ lục số 1'!AE40</f>
        <v>1770000</v>
      </c>
      <c r="H44" s="3925">
        <f>'Phụ lục số 1'!AH40</f>
        <v>1770000</v>
      </c>
      <c r="I44" s="3926">
        <f t="shared" si="2"/>
        <v>1.6388888888888888</v>
      </c>
      <c r="J44" s="3926">
        <f t="shared" si="2"/>
        <v>1.6388888888888888</v>
      </c>
    </row>
    <row r="45" spans="1:10" s="3914" customFormat="1">
      <c r="A45" s="3911">
        <v>11</v>
      </c>
      <c r="B45" s="3924" t="s">
        <v>98</v>
      </c>
      <c r="C45" s="3925">
        <f>'Phụ lục số 1'!C41</f>
        <v>115000</v>
      </c>
      <c r="D45" s="3925">
        <f>'Phụ lục số 1'!E41</f>
        <v>115000</v>
      </c>
      <c r="E45" s="3925">
        <f>'Phụ lục số 1'!T41</f>
        <v>125999.8</v>
      </c>
      <c r="F45" s="3925">
        <f>'Phụ lục số 1'!W41</f>
        <v>125999.8</v>
      </c>
      <c r="G45" s="3925">
        <f>'Phụ lục số 1'!AE41</f>
        <v>315000</v>
      </c>
      <c r="H45" s="3925">
        <f>'Phụ lục số 1'!AH41</f>
        <v>315000</v>
      </c>
      <c r="I45" s="3926">
        <f t="shared" si="2"/>
        <v>2.5000039682602671</v>
      </c>
      <c r="J45" s="3926">
        <f t="shared" si="2"/>
        <v>2.5000039682602671</v>
      </c>
    </row>
    <row r="46" spans="1:10" s="3914" customFormat="1">
      <c r="A46" s="3911">
        <v>12</v>
      </c>
      <c r="B46" s="3924" t="s">
        <v>279</v>
      </c>
      <c r="C46" s="3925">
        <f>'Phụ lục số 1'!C43</f>
        <v>250000</v>
      </c>
      <c r="D46" s="3925">
        <f>'Phụ lục số 1'!E43</f>
        <v>196000</v>
      </c>
      <c r="E46" s="3925">
        <f>'Phụ lục số 1'!T43</f>
        <v>350000</v>
      </c>
      <c r="F46" s="3925">
        <f>'Phụ lục số 1'!W43</f>
        <v>274400</v>
      </c>
      <c r="G46" s="3925">
        <f>'Phụ lục số 1'!AE43</f>
        <v>326000</v>
      </c>
      <c r="H46" s="3925">
        <f>'Phụ lục số 1'!AH43</f>
        <v>257930</v>
      </c>
      <c r="I46" s="3926">
        <f t="shared" si="2"/>
        <v>0.93142857142857138</v>
      </c>
      <c r="J46" s="3926">
        <f t="shared" si="2"/>
        <v>0.93997813411078712</v>
      </c>
    </row>
    <row r="47" spans="1:10" s="3914" customFormat="1">
      <c r="A47" s="3911">
        <v>13</v>
      </c>
      <c r="B47" s="3924" t="s">
        <v>2042</v>
      </c>
      <c r="C47" s="3925">
        <f>'Phụ lục số 1'!C47</f>
        <v>3000</v>
      </c>
      <c r="D47" s="3925">
        <f>C47</f>
        <v>3000</v>
      </c>
      <c r="E47" s="3925">
        <f>'Phụ lục số 1'!T47</f>
        <v>2000.1</v>
      </c>
      <c r="F47" s="3925">
        <f>E47</f>
        <v>2000.1</v>
      </c>
      <c r="G47" s="3925">
        <f>'Phụ lục số 1'!AE47</f>
        <v>2000</v>
      </c>
      <c r="H47" s="3925">
        <f>G47</f>
        <v>2000</v>
      </c>
      <c r="I47" s="3926">
        <f t="shared" si="2"/>
        <v>0.99995000249987509</v>
      </c>
      <c r="J47" s="3926">
        <f t="shared" si="2"/>
        <v>0.99995000249987509</v>
      </c>
    </row>
    <row r="48" spans="1:10" s="3914" customFormat="1">
      <c r="A48" s="3911">
        <v>14</v>
      </c>
      <c r="B48" s="495" t="s">
        <v>101</v>
      </c>
      <c r="C48" s="3925">
        <f>'Phụ lục số 1'!C48</f>
        <v>1600000</v>
      </c>
      <c r="D48" s="3925">
        <f>C48</f>
        <v>1600000</v>
      </c>
      <c r="E48" s="3925">
        <f>'Phụ lục số 1'!T48</f>
        <v>1950000</v>
      </c>
      <c r="F48" s="3925">
        <f>E48</f>
        <v>1950000</v>
      </c>
      <c r="G48" s="3925">
        <f>'Phụ lục số 1'!AE48</f>
        <v>1950000</v>
      </c>
      <c r="H48" s="3925">
        <f>G48</f>
        <v>1950000</v>
      </c>
      <c r="I48" s="3926">
        <f t="shared" si="2"/>
        <v>1</v>
      </c>
      <c r="J48" s="3926">
        <f t="shared" si="2"/>
        <v>1</v>
      </c>
    </row>
    <row r="49" spans="1:10" s="3914" customFormat="1">
      <c r="A49" s="3911">
        <v>15</v>
      </c>
      <c r="B49" s="495" t="s">
        <v>2043</v>
      </c>
      <c r="C49" s="3925">
        <f>'Phụ lục số 1'!C44</f>
        <v>22000</v>
      </c>
      <c r="D49" s="3925">
        <f>'Phụ lục số 1'!E44</f>
        <v>22000</v>
      </c>
      <c r="E49" s="3925">
        <f>'Phụ lục số 1'!T44</f>
        <v>37000</v>
      </c>
      <c r="F49" s="3925">
        <f>E49</f>
        <v>37000</v>
      </c>
      <c r="G49" s="3925">
        <f>'Phụ lục số 1'!AE44</f>
        <v>30000</v>
      </c>
      <c r="H49" s="3925">
        <f>'Phụ lục số 1'!AH44</f>
        <v>30000</v>
      </c>
      <c r="I49" s="3926">
        <f t="shared" si="2"/>
        <v>0.81081081081081086</v>
      </c>
      <c r="J49" s="3926">
        <f t="shared" si="2"/>
        <v>0.81081081081081086</v>
      </c>
    </row>
    <row r="50" spans="1:10" s="3914" customFormat="1">
      <c r="A50" s="3911">
        <v>16</v>
      </c>
      <c r="B50" s="495" t="s">
        <v>129</v>
      </c>
      <c r="C50" s="3925">
        <f>'Phụ lục số 1'!C45</f>
        <v>50000</v>
      </c>
      <c r="D50" s="3925">
        <f>'Phụ lục số 1'!E45</f>
        <v>50000</v>
      </c>
      <c r="E50" s="3925">
        <f>'Phụ lục số 1'!T45</f>
        <v>100000</v>
      </c>
      <c r="F50" s="3925">
        <f>'Phụ lục số 1'!W45</f>
        <v>100000</v>
      </c>
      <c r="G50" s="3925">
        <f>'Phụ lục số 1'!AE45</f>
        <v>37000</v>
      </c>
      <c r="H50" s="3925">
        <f>'Phụ lục số 1'!AH45</f>
        <v>37000</v>
      </c>
      <c r="I50" s="3926">
        <f t="shared" si="2"/>
        <v>0.37</v>
      </c>
      <c r="J50" s="3926">
        <f t="shared" si="2"/>
        <v>0.37</v>
      </c>
    </row>
    <row r="51" spans="1:10" s="3927" customFormat="1">
      <c r="A51" s="3915" t="s">
        <v>20</v>
      </c>
      <c r="B51" s="3919" t="s">
        <v>107</v>
      </c>
      <c r="C51" s="3917">
        <f t="shared" ref="C51:G51" si="3">SUM(C52:C54)</f>
        <v>150000</v>
      </c>
      <c r="D51" s="3917">
        <f t="shared" si="3"/>
        <v>0</v>
      </c>
      <c r="E51" s="3917">
        <f t="shared" si="3"/>
        <v>150745.51999999999</v>
      </c>
      <c r="F51" s="3917">
        <f t="shared" si="3"/>
        <v>0</v>
      </c>
      <c r="G51" s="3917">
        <f t="shared" si="3"/>
        <v>200000</v>
      </c>
      <c r="H51" s="3917">
        <f>SUM(H52:H54)</f>
        <v>0</v>
      </c>
      <c r="I51" s="3918">
        <f>G51/E51</f>
        <v>1.3267392623011285</v>
      </c>
      <c r="J51" s="3918"/>
    </row>
    <row r="52" spans="1:10" s="3914" customFormat="1">
      <c r="A52" s="3911">
        <v>1</v>
      </c>
      <c r="B52" s="495" t="s">
        <v>2293</v>
      </c>
      <c r="C52" s="3912">
        <f>'Phụ lục số 1'!C49-C53</f>
        <v>80000</v>
      </c>
      <c r="D52" s="3912">
        <f>'Phụ lục số 1'!E49</f>
        <v>0</v>
      </c>
      <c r="E52" s="3912">
        <f>'Phụ lục số 1'!T49-E53</f>
        <v>48245.51999999999</v>
      </c>
      <c r="F52" s="3912">
        <f>'Phụ lục số 1'!W49</f>
        <v>0</v>
      </c>
      <c r="G52" s="3912">
        <v>45000</v>
      </c>
      <c r="H52" s="3912">
        <f>'Phụ lục số 1'!AH49</f>
        <v>0</v>
      </c>
      <c r="I52" s="3913"/>
      <c r="J52" s="3913"/>
    </row>
    <row r="53" spans="1:10" s="3914" customFormat="1">
      <c r="A53" s="3911">
        <v>2</v>
      </c>
      <c r="B53" s="495" t="s">
        <v>2294</v>
      </c>
      <c r="C53" s="3912">
        <f>'[1]Phụ lục số 1'!C51</f>
        <v>70000</v>
      </c>
      <c r="D53" s="3912">
        <f>'[1]Phụ lục số 1'!E51</f>
        <v>0</v>
      </c>
      <c r="E53" s="3912">
        <f>'[1]Phụ lục số 1'!H51</f>
        <v>102500</v>
      </c>
      <c r="F53" s="3912">
        <f>'[1]Phụ lục số 1'!K51</f>
        <v>0</v>
      </c>
      <c r="G53" s="3912">
        <v>154000</v>
      </c>
      <c r="H53" s="3912">
        <f>'[1]Phụ lục số 1'!Q51</f>
        <v>0</v>
      </c>
      <c r="I53" s="3913">
        <f t="shared" si="2"/>
        <v>1.5024390243902439</v>
      </c>
      <c r="J53" s="3913"/>
    </row>
    <row r="54" spans="1:10" s="3914" customFormat="1">
      <c r="A54" s="3911">
        <v>3</v>
      </c>
      <c r="B54" s="495" t="s">
        <v>2822</v>
      </c>
      <c r="C54" s="3912"/>
      <c r="D54" s="3912"/>
      <c r="E54" s="3912"/>
      <c r="F54" s="3912"/>
      <c r="G54" s="3912">
        <v>1000</v>
      </c>
      <c r="H54" s="3912"/>
      <c r="I54" s="3913"/>
      <c r="J54" s="3913"/>
    </row>
    <row r="55" spans="1:10" s="3914" customFormat="1" ht="15.9" customHeight="1">
      <c r="A55" s="3915" t="s">
        <v>49</v>
      </c>
      <c r="B55" s="3916" t="s">
        <v>2295</v>
      </c>
      <c r="C55" s="3917">
        <v>0</v>
      </c>
      <c r="D55" s="3917">
        <v>0</v>
      </c>
      <c r="E55" s="3917">
        <v>0</v>
      </c>
      <c r="F55" s="3917">
        <v>0</v>
      </c>
      <c r="G55" s="3917">
        <v>0</v>
      </c>
      <c r="H55" s="3917">
        <v>0</v>
      </c>
      <c r="I55" s="3918"/>
      <c r="J55" s="3918"/>
    </row>
    <row r="56" spans="1:10" s="3914" customFormat="1">
      <c r="A56" s="3915" t="s">
        <v>50</v>
      </c>
      <c r="B56" s="3919" t="s">
        <v>2296</v>
      </c>
      <c r="C56" s="3917">
        <v>0</v>
      </c>
      <c r="D56" s="3917">
        <v>0</v>
      </c>
      <c r="E56" s="3917">
        <v>0</v>
      </c>
      <c r="F56" s="3917">
        <v>0</v>
      </c>
      <c r="G56" s="3917">
        <v>0</v>
      </c>
      <c r="H56" s="3917">
        <v>0</v>
      </c>
      <c r="I56" s="3918"/>
      <c r="J56" s="3918"/>
    </row>
    <row r="57" spans="1:10" s="3927" customFormat="1">
      <c r="A57" s="3932"/>
      <c r="B57" s="3933"/>
      <c r="C57" s="3934"/>
      <c r="D57" s="3934"/>
      <c r="E57" s="3934"/>
      <c r="F57" s="3934"/>
      <c r="G57" s="3934"/>
      <c r="H57" s="3934"/>
      <c r="I57" s="3935"/>
      <c r="J57" s="3935"/>
    </row>
    <row r="58" spans="1:10" s="3914" customFormat="1"/>
    <row r="82" spans="2:2">
      <c r="B82" s="1230"/>
    </row>
  </sheetData>
  <mergeCells count="8">
    <mergeCell ref="A4:J4"/>
    <mergeCell ref="A5:J5"/>
    <mergeCell ref="A8:A9"/>
    <mergeCell ref="B8:B9"/>
    <mergeCell ref="C8:D8"/>
    <mergeCell ref="E8:F8"/>
    <mergeCell ref="G8:H8"/>
    <mergeCell ref="I8:J8"/>
  </mergeCells>
  <hyperlinks>
    <hyperlink ref="A8:A9" location="'List danh mục'!A1" display="'List danh mục'!A1"/>
  </hyperlinks>
  <printOptions horizontalCentered="1"/>
  <pageMargins left="0" right="0" top="0.39370078740157483" bottom="0" header="0" footer="0"/>
  <pageSetup paperSize="9" scale="85" orientation="landscape" r:id="rId1"/>
  <headerFooter>
    <oddHeader>&amp;R&amp;A</oddHeader>
    <oddFooter>&amp;C&amp;P/&amp;N</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J34"/>
  <sheetViews>
    <sheetView topLeftCell="A7" zoomScale="77" zoomScaleNormal="77" workbookViewId="0">
      <selection activeCell="A30" sqref="A30:G30"/>
    </sheetView>
  </sheetViews>
  <sheetFormatPr defaultColWidth="8.59765625" defaultRowHeight="18"/>
  <cols>
    <col min="1" max="1" width="5.5" style="37" customWidth="1"/>
    <col min="2" max="2" width="67" style="37" customWidth="1"/>
    <col min="3" max="5" width="13.69921875" style="37" customWidth="1"/>
    <col min="6" max="6" width="13.69921875" style="37" hidden="1" customWidth="1"/>
    <col min="7" max="7" width="13.69921875" style="37" customWidth="1"/>
    <col min="8" max="9" width="8.59765625" style="37"/>
    <col min="10" max="10" width="10.3984375" style="37" bestFit="1" customWidth="1"/>
    <col min="11" max="16384" width="8.59765625" style="37"/>
  </cols>
  <sheetData>
    <row r="1" spans="1:10" hidden="1">
      <c r="A1" s="2"/>
      <c r="B1" s="2208" t="s">
        <v>1368</v>
      </c>
      <c r="C1" s="2208"/>
      <c r="D1" s="2208"/>
      <c r="E1" s="2"/>
    </row>
    <row r="2" spans="1:10" hidden="1">
      <c r="A2" s="2"/>
      <c r="B2" s="2208" t="s">
        <v>1369</v>
      </c>
      <c r="C2" s="2208"/>
      <c r="D2" s="2208"/>
      <c r="E2" s="2"/>
    </row>
    <row r="3" spans="1:10" hidden="1">
      <c r="A3" s="2"/>
      <c r="B3" s="2"/>
      <c r="C3" s="2"/>
      <c r="D3" s="2"/>
      <c r="E3" s="2"/>
    </row>
    <row r="4" spans="1:10" ht="39" customHeight="1">
      <c r="A4" s="4475" t="s">
        <v>2431</v>
      </c>
      <c r="B4" s="4475"/>
      <c r="C4" s="4475"/>
      <c r="D4" s="4475"/>
      <c r="E4" s="4475"/>
      <c r="F4" s="4475"/>
      <c r="G4" s="4475"/>
    </row>
    <row r="5" spans="1:10">
      <c r="A5" s="4514" t="str">
        <f>'Biểu số 33-CK-NSNN'!A5:F5</f>
        <v>(DỰ TOÁN TRÌNH HỘI ĐỒNG NHÂN DÂN TỈNH)</v>
      </c>
      <c r="B5" s="4514"/>
      <c r="C5" s="4514"/>
      <c r="D5" s="4514"/>
      <c r="E5" s="4514"/>
      <c r="F5" s="4514"/>
      <c r="G5" s="4514"/>
    </row>
    <row r="6" spans="1:10">
      <c r="A6" s="70"/>
      <c r="B6" s="70"/>
      <c r="C6" s="70"/>
      <c r="D6" s="70"/>
      <c r="E6" s="70"/>
      <c r="F6" s="70"/>
      <c r="G6" s="70"/>
    </row>
    <row r="7" spans="1:10">
      <c r="G7" s="2340" t="s">
        <v>64</v>
      </c>
    </row>
    <row r="8" spans="1:10" s="70" customFormat="1" ht="55.95" customHeight="1">
      <c r="A8" s="2297" t="s">
        <v>1370</v>
      </c>
      <c r="B8" s="7" t="s">
        <v>52</v>
      </c>
      <c r="C8" s="7" t="s">
        <v>449</v>
      </c>
      <c r="D8" s="7" t="s">
        <v>1699</v>
      </c>
      <c r="E8" s="7" t="s">
        <v>1700</v>
      </c>
      <c r="G8" s="7" t="s">
        <v>2268</v>
      </c>
    </row>
    <row r="9" spans="1:10" s="70" customFormat="1" ht="36" customHeight="1">
      <c r="A9" s="3936" t="s">
        <v>7</v>
      </c>
      <c r="B9" s="3937" t="s">
        <v>2278</v>
      </c>
      <c r="C9" s="3938"/>
      <c r="D9" s="3938"/>
      <c r="E9" s="3938"/>
      <c r="F9" s="125"/>
      <c r="G9" s="2387"/>
    </row>
    <row r="10" spans="1:10" s="2" customFormat="1" ht="36" customHeight="1">
      <c r="A10" s="1433" t="s">
        <v>9</v>
      </c>
      <c r="B10" s="2055" t="s">
        <v>2279</v>
      </c>
      <c r="C10" s="3939">
        <f>SUM(C11,C12,C15,C16)</f>
        <v>15819995</v>
      </c>
      <c r="D10" s="3939">
        <f>SUM(D11,D12,D15,D16)</f>
        <v>16997394.800000001</v>
      </c>
      <c r="E10" s="3939">
        <f>SUM(E11,E12,E15,E16)</f>
        <v>18627409</v>
      </c>
      <c r="F10" s="191"/>
      <c r="G10" s="2372">
        <f>E10/D10</f>
        <v>1.095897884304011</v>
      </c>
      <c r="J10" s="2228"/>
    </row>
    <row r="11" spans="1:10" s="2" customFormat="1" ht="36" customHeight="1">
      <c r="A11" s="1433">
        <v>1</v>
      </c>
      <c r="B11" s="2055" t="s">
        <v>1383</v>
      </c>
      <c r="C11" s="3939">
        <f>'Phụ lục số 1'!E8</f>
        <v>6704000</v>
      </c>
      <c r="D11" s="3939">
        <f>'Phụ lục số 1'!W8</f>
        <v>7450399.7999999998</v>
      </c>
      <c r="E11" s="3939">
        <f>'Phụ lục số 1'!AH8</f>
        <v>8484930</v>
      </c>
      <c r="F11" s="1319"/>
      <c r="G11" s="2372">
        <f t="shared" ref="G11:G16" si="0">E11/D11</f>
        <v>1.1388556624840456</v>
      </c>
    </row>
    <row r="12" spans="1:10" s="2" customFormat="1" ht="36" customHeight="1">
      <c r="A12" s="1433">
        <v>2</v>
      </c>
      <c r="B12" s="2055" t="s">
        <v>1385</v>
      </c>
      <c r="C12" s="3939">
        <f>SUM(C13:C14)</f>
        <v>9084495</v>
      </c>
      <c r="D12" s="3939">
        <f>SUM(D13:D14)</f>
        <v>9084495</v>
      </c>
      <c r="E12" s="3939">
        <f>SUM(E13:E14)</f>
        <v>9256479</v>
      </c>
      <c r="F12" s="191"/>
      <c r="G12" s="2372">
        <f t="shared" si="0"/>
        <v>1.0189315971883963</v>
      </c>
    </row>
    <row r="13" spans="1:10" s="47" customFormat="1" ht="36" customHeight="1">
      <c r="A13" s="3902" t="s">
        <v>34</v>
      </c>
      <c r="B13" s="1440" t="s">
        <v>238</v>
      </c>
      <c r="C13" s="3940">
        <f>'Phụ lục số 1'!E53</f>
        <v>6487488</v>
      </c>
      <c r="D13" s="3940">
        <f>'Phụ lục số 1'!W53</f>
        <v>6487488</v>
      </c>
      <c r="E13" s="3940">
        <f>'Phụ lục số 1'!AH53</f>
        <v>6617188</v>
      </c>
      <c r="F13" s="2351"/>
      <c r="G13" s="2373">
        <f t="shared" si="0"/>
        <v>1.0199923298509377</v>
      </c>
    </row>
    <row r="14" spans="1:10" s="47" customFormat="1" ht="36" customHeight="1">
      <c r="A14" s="3902" t="s">
        <v>35</v>
      </c>
      <c r="B14" s="1440" t="s">
        <v>25</v>
      </c>
      <c r="C14" s="3940">
        <f>'Phụ lục số 1'!E55</f>
        <v>2597007</v>
      </c>
      <c r="D14" s="3940">
        <f>'Phụ lục số 1'!W55</f>
        <v>2597007</v>
      </c>
      <c r="E14" s="3940">
        <f>'Phụ lục số 1'!AH55</f>
        <v>2639291</v>
      </c>
      <c r="F14" s="2351"/>
      <c r="G14" s="2373">
        <f t="shared" si="0"/>
        <v>1.0162818198025649</v>
      </c>
    </row>
    <row r="15" spans="1:10" s="2" customFormat="1" ht="36" customHeight="1">
      <c r="A15" s="1433">
        <v>3</v>
      </c>
      <c r="B15" s="1434" t="s">
        <v>1295</v>
      </c>
      <c r="C15" s="3939">
        <f>'Phụ lục số 1'!E59</f>
        <v>0</v>
      </c>
      <c r="D15" s="3939">
        <f>'Phụ lục số 1'!W59</f>
        <v>431000</v>
      </c>
      <c r="E15" s="3939">
        <f>'Phụ lục số 1'!AH59</f>
        <v>886000</v>
      </c>
      <c r="F15" s="1319"/>
      <c r="G15" s="2372">
        <f t="shared" si="0"/>
        <v>2.0556844547563804</v>
      </c>
    </row>
    <row r="16" spans="1:10" s="2" customFormat="1" ht="36" customHeight="1">
      <c r="A16" s="1433">
        <v>4</v>
      </c>
      <c r="B16" s="76" t="s">
        <v>132</v>
      </c>
      <c r="C16" s="3939">
        <f>'Phụ lục số 1'!E60</f>
        <v>31500</v>
      </c>
      <c r="D16" s="3939">
        <f>'Phụ lục số 1'!W60</f>
        <v>31500</v>
      </c>
      <c r="E16" s="3939">
        <f>'Phụ lục số 1'!AH60</f>
        <v>0</v>
      </c>
      <c r="F16" s="1319"/>
      <c r="G16" s="2372">
        <f t="shared" si="0"/>
        <v>0</v>
      </c>
    </row>
    <row r="17" spans="1:8" s="2" customFormat="1" ht="36" customHeight="1">
      <c r="A17" s="1433" t="s">
        <v>20</v>
      </c>
      <c r="B17" s="2055" t="s">
        <v>2280</v>
      </c>
      <c r="C17" s="1261">
        <f>SUM(C18,C19)</f>
        <v>12922645</v>
      </c>
      <c r="D17" s="1261">
        <f>SUM(D18,D19)</f>
        <v>13362345</v>
      </c>
      <c r="E17" s="1261">
        <f>SUM(E18,E19)</f>
        <v>13802328.916000001</v>
      </c>
      <c r="F17" s="2388">
        <f>+E10-E17</f>
        <v>4825080.0839999989</v>
      </c>
      <c r="G17" s="2389">
        <f t="shared" ref="G17:G22" si="1">E17/C17</f>
        <v>1.0680730543940502</v>
      </c>
      <c r="H17" s="2228"/>
    </row>
    <row r="18" spans="1:8" s="125" customFormat="1" ht="36" customHeight="1">
      <c r="A18" s="3941">
        <v>1</v>
      </c>
      <c r="B18" s="3903" t="s">
        <v>1387</v>
      </c>
      <c r="C18" s="3942">
        <f>'Phụ lục số 2'!D7</f>
        <v>8173924</v>
      </c>
      <c r="D18" s="3942">
        <f>'Phụ lục số 2'!S7</f>
        <v>8613624</v>
      </c>
      <c r="E18" s="3942">
        <f>'Phụ lục số 2'!AA7</f>
        <v>8719005.568</v>
      </c>
      <c r="F18" s="2390"/>
      <c r="G18" s="2391">
        <f>E18/C18</f>
        <v>1.0666854215918817</v>
      </c>
    </row>
    <row r="19" spans="1:8" s="2" customFormat="1" ht="36" customHeight="1">
      <c r="A19" s="1433">
        <v>2</v>
      </c>
      <c r="B19" s="2055" t="s">
        <v>1397</v>
      </c>
      <c r="C19" s="1261">
        <f>SUM(C20:C21)</f>
        <v>4748721</v>
      </c>
      <c r="D19" s="1261">
        <f>SUM(D20:D21)</f>
        <v>4748721</v>
      </c>
      <c r="E19" s="1261">
        <f>SUM(E20:E21)</f>
        <v>5083323.3480000002</v>
      </c>
      <c r="F19" s="2388"/>
      <c r="G19" s="2389">
        <f t="shared" si="1"/>
        <v>1.0704615722844109</v>
      </c>
    </row>
    <row r="20" spans="1:8" s="47" customFormat="1" ht="36" customHeight="1">
      <c r="A20" s="3902">
        <v>1</v>
      </c>
      <c r="B20" s="1440" t="s">
        <v>238</v>
      </c>
      <c r="C20" s="3904">
        <f>C27</f>
        <v>4430923</v>
      </c>
      <c r="D20" s="3904">
        <f t="shared" ref="C20:E21" si="2">D27</f>
        <v>4430923</v>
      </c>
      <c r="E20" s="3904">
        <f t="shared" si="2"/>
        <v>4430923</v>
      </c>
      <c r="F20" s="2392"/>
      <c r="G20" s="2393">
        <f t="shared" si="1"/>
        <v>1</v>
      </c>
    </row>
    <row r="21" spans="1:8" s="47" customFormat="1" ht="36" customHeight="1">
      <c r="A21" s="3902">
        <v>2</v>
      </c>
      <c r="B21" s="1440" t="s">
        <v>25</v>
      </c>
      <c r="C21" s="3904">
        <f t="shared" si="2"/>
        <v>317798</v>
      </c>
      <c r="D21" s="3904">
        <f t="shared" si="2"/>
        <v>317798</v>
      </c>
      <c r="E21" s="3904">
        <f>E28</f>
        <v>652400.348</v>
      </c>
      <c r="F21" s="2392"/>
      <c r="G21" s="2393">
        <f t="shared" si="1"/>
        <v>2.0528774504559499</v>
      </c>
    </row>
    <row r="22" spans="1:8" ht="36" customHeight="1">
      <c r="A22" s="1433" t="s">
        <v>49</v>
      </c>
      <c r="B22" s="2055" t="s">
        <v>2281</v>
      </c>
      <c r="C22" s="1261">
        <f>247800</f>
        <v>247800</v>
      </c>
      <c r="D22" s="1261">
        <f>C22</f>
        <v>247800</v>
      </c>
      <c r="E22" s="1261">
        <f>'Biểu số 33-CK-NSNN'!E32</f>
        <v>13000</v>
      </c>
      <c r="F22" s="154"/>
      <c r="G22" s="2372">
        <f t="shared" si="1"/>
        <v>5.2461662631154156E-2</v>
      </c>
    </row>
    <row r="23" spans="1:8" s="2" customFormat="1" ht="36" customHeight="1">
      <c r="A23" s="1433" t="s">
        <v>22</v>
      </c>
      <c r="B23" s="2055" t="s">
        <v>2282</v>
      </c>
      <c r="C23" s="1261"/>
      <c r="D23" s="1261"/>
      <c r="E23" s="1261"/>
      <c r="F23" s="1319"/>
      <c r="G23" s="2372"/>
    </row>
    <row r="24" spans="1:8" s="2" customFormat="1" ht="36" customHeight="1">
      <c r="A24" s="1433" t="s">
        <v>9</v>
      </c>
      <c r="B24" s="3903" t="s">
        <v>2279</v>
      </c>
      <c r="C24" s="1261">
        <f>SUM(C25,C26,C29)</f>
        <v>7646071</v>
      </c>
      <c r="D24" s="1261">
        <f t="shared" ref="D24:E24" si="3">SUM(D25,D26,D29)</f>
        <v>8678070.0666666664</v>
      </c>
      <c r="E24" s="1261">
        <f t="shared" si="3"/>
        <v>9908403.3480000012</v>
      </c>
      <c r="F24" s="1319"/>
      <c r="G24" s="2372">
        <f>E24/D24</f>
        <v>1.1417749882037906</v>
      </c>
    </row>
    <row r="25" spans="1:8" s="2" customFormat="1" ht="36" customHeight="1">
      <c r="A25" s="1433">
        <v>1</v>
      </c>
      <c r="B25" s="3903" t="s">
        <v>2283</v>
      </c>
      <c r="C25" s="1261">
        <f>'Phụ lục số 1'!G8</f>
        <v>2897350</v>
      </c>
      <c r="D25" s="1261">
        <f>'Phụ lục số 1'!Y8</f>
        <v>3588049.0666666664</v>
      </c>
      <c r="E25" s="1261">
        <f>'Phụ lục số 1'!AJ8</f>
        <v>3939080</v>
      </c>
      <c r="F25" s="1319"/>
      <c r="G25" s="2372">
        <f>E25/D25</f>
        <v>1.0978333703946375</v>
      </c>
    </row>
    <row r="26" spans="1:8" s="2" customFormat="1" ht="36" customHeight="1">
      <c r="A26" s="1433">
        <v>2</v>
      </c>
      <c r="B26" s="3903" t="s">
        <v>2284</v>
      </c>
      <c r="C26" s="1261">
        <f>'Phụ lục số 3.1'!E14</f>
        <v>4748721</v>
      </c>
      <c r="D26" s="1261">
        <f>'Phụ lục số 3.1'!H14</f>
        <v>4748721</v>
      </c>
      <c r="E26" s="1261">
        <f>'Phụ lục số 3.1'!K14</f>
        <v>5083323.3480000002</v>
      </c>
      <c r="F26" s="1319"/>
      <c r="G26" s="2372">
        <f>E26/D26</f>
        <v>1.0704615722844109</v>
      </c>
    </row>
    <row r="27" spans="1:8" s="47" customFormat="1" ht="36" customHeight="1">
      <c r="A27" s="3902" t="s">
        <v>34</v>
      </c>
      <c r="B27" s="1440" t="s">
        <v>238</v>
      </c>
      <c r="C27" s="3904">
        <f>'Phụ lục số 3.1'!E15</f>
        <v>4430923</v>
      </c>
      <c r="D27" s="3904">
        <f>'Phụ lục số 3.1'!H15</f>
        <v>4430923</v>
      </c>
      <c r="E27" s="3904">
        <f>'Phụ lục số 3.1'!K15</f>
        <v>4430923</v>
      </c>
      <c r="F27" s="2351"/>
      <c r="G27" s="2373">
        <f>E27/D27</f>
        <v>1</v>
      </c>
    </row>
    <row r="28" spans="1:8" s="47" customFormat="1" ht="36" customHeight="1">
      <c r="A28" s="3902" t="s">
        <v>35</v>
      </c>
      <c r="B28" s="1440" t="s">
        <v>25</v>
      </c>
      <c r="C28" s="3904">
        <f>C26-C27</f>
        <v>317798</v>
      </c>
      <c r="D28" s="3904">
        <f>D26-D27</f>
        <v>317798</v>
      </c>
      <c r="E28" s="3904">
        <f>'Phụ lục số 3.1'!K16</f>
        <v>652400.348</v>
      </c>
      <c r="F28" s="2351"/>
      <c r="G28" s="2373">
        <f>E28/D28</f>
        <v>2.0528774504559499</v>
      </c>
    </row>
    <row r="29" spans="1:8" s="2375" customFormat="1" ht="36" customHeight="1">
      <c r="A29" s="3905">
        <v>3</v>
      </c>
      <c r="B29" s="3906" t="s">
        <v>1702</v>
      </c>
      <c r="C29" s="3907">
        <f>'Phụ lục số 1'!G59</f>
        <v>0</v>
      </c>
      <c r="D29" s="3907">
        <f>'Phụ lục số 1'!Y59</f>
        <v>341300</v>
      </c>
      <c r="E29" s="3907">
        <f>'Phụ lục số 1'!AJ59</f>
        <v>886000</v>
      </c>
      <c r="F29" s="2394"/>
      <c r="G29" s="2395"/>
    </row>
    <row r="30" spans="1:8" s="2" customFormat="1" ht="36" customHeight="1">
      <c r="A30" s="3908" t="s">
        <v>20</v>
      </c>
      <c r="B30" s="3909" t="s">
        <v>2285</v>
      </c>
      <c r="C30" s="3910">
        <f>'Phụ lục số 2'!E7</f>
        <v>7646071</v>
      </c>
      <c r="D30" s="3910">
        <f>'Phụ lục số 2'!T7</f>
        <v>8678070.0666666664</v>
      </c>
      <c r="E30" s="3910">
        <f>'Phụ lục số 2'!AB7</f>
        <v>9908403.3479999993</v>
      </c>
      <c r="F30" s="1319"/>
      <c r="G30" s="2396">
        <f>E30/C30</f>
        <v>1.2958816819775802</v>
      </c>
    </row>
    <row r="31" spans="1:8">
      <c r="E31" s="2250"/>
    </row>
    <row r="32" spans="1:8" hidden="1">
      <c r="C32" s="2250">
        <f>C10-C17</f>
        <v>2897350</v>
      </c>
      <c r="D32" s="2250">
        <f>D10-D17</f>
        <v>3635049.8000000007</v>
      </c>
      <c r="E32" s="2250">
        <f t="shared" ref="E32" si="4">E10-E17</f>
        <v>4825080.0839999989</v>
      </c>
    </row>
    <row r="33" spans="3:5" hidden="1">
      <c r="C33" s="2250">
        <f>C25+C29</f>
        <v>2897350</v>
      </c>
      <c r="D33" s="2250">
        <f>D25+D29</f>
        <v>3929349.0666666664</v>
      </c>
      <c r="E33" s="2250">
        <f>E25+E29</f>
        <v>4825080</v>
      </c>
    </row>
    <row r="34" spans="3:5" hidden="1">
      <c r="C34" s="2250">
        <f>C33-C32</f>
        <v>0</v>
      </c>
      <c r="D34" s="2250">
        <f>D33-D32</f>
        <v>294299.26666666567</v>
      </c>
      <c r="E34" s="2250">
        <f>E33-E32</f>
        <v>-8.3999998867511749E-2</v>
      </c>
    </row>
  </sheetData>
  <mergeCells count="2">
    <mergeCell ref="A4:G4"/>
    <mergeCell ref="A5:G5"/>
  </mergeCells>
  <hyperlinks>
    <hyperlink ref="A8" location="'List danh mục'!A1" display="'List danh mục'!A1"/>
  </hyperlinks>
  <printOptions horizontalCentered="1"/>
  <pageMargins left="0" right="0" top="0.39370078740157483" bottom="0" header="0.19685039370078741" footer="0.19685039370078741"/>
  <pageSetup paperSize="9" scale="70" orientation="portrait" r:id="rId1"/>
  <headerFooter>
    <oddHeader>&amp;R&amp;A</oddHeader>
    <oddFooter>&amp;C&amp;P/&amp;N</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DW233"/>
  <sheetViews>
    <sheetView zoomScale="60" zoomScaleNormal="60" workbookViewId="0">
      <pane xSplit="32" ySplit="7" topLeftCell="AG8" activePane="bottomRight" state="frozen"/>
      <selection activeCell="AH11" sqref="AH11"/>
      <selection pane="topRight" activeCell="AH11" sqref="AH11"/>
      <selection pane="bottomLeft" activeCell="AH11" sqref="AH11"/>
      <selection pane="bottomRight" activeCell="AH11" sqref="AH11"/>
    </sheetView>
  </sheetViews>
  <sheetFormatPr defaultColWidth="9" defaultRowHeight="15.6"/>
  <cols>
    <col min="1" max="1" width="6.19921875" style="290" customWidth="1"/>
    <col min="2" max="2" width="43.69921875" style="220" customWidth="1"/>
    <col min="3" max="3" width="9.09765625" style="294" hidden="1" customWidth="1"/>
    <col min="4" max="17" width="8.59765625" style="294" hidden="1" customWidth="1"/>
    <col min="18" max="18" width="7.59765625" style="294" hidden="1" customWidth="1"/>
    <col min="19" max="20" width="7.19921875" style="294" hidden="1" customWidth="1"/>
    <col min="21" max="26" width="12.59765625" style="220" customWidth="1"/>
    <col min="27" max="30" width="12.59765625" style="220" hidden="1" customWidth="1"/>
    <col min="31" max="34" width="12.59765625" style="553" customWidth="1"/>
    <col min="35" max="35" width="12.59765625" style="553" hidden="1" customWidth="1"/>
    <col min="36" max="36" width="13.5" style="553" hidden="1" customWidth="1"/>
    <col min="37" max="37" width="13.3984375" style="553" hidden="1" customWidth="1"/>
    <col min="38" max="38" width="8.19921875" style="553" hidden="1" customWidth="1"/>
    <col min="39" max="39" width="5.69921875" style="553" hidden="1" customWidth="1"/>
    <col min="40" max="40" width="7.3984375" style="553" hidden="1" customWidth="1"/>
    <col min="41" max="44" width="10.8984375" style="220" customWidth="1"/>
    <col min="45" max="47" width="10.8984375" style="220" hidden="1" customWidth="1"/>
    <col min="48" max="51" width="11.69921875" style="294" hidden="1" customWidth="1"/>
    <col min="52" max="52" width="10.59765625" style="220" customWidth="1"/>
    <col min="53" max="60" width="10.59765625" style="220" hidden="1" customWidth="1"/>
    <col min="61" max="63" width="7.69921875" style="220" hidden="1" customWidth="1"/>
    <col min="64" max="64" width="9.69921875" style="220" hidden="1" customWidth="1"/>
    <col min="65" max="65" width="10.19921875" style="220" hidden="1" customWidth="1"/>
    <col min="66" max="68" width="0" style="220" hidden="1" customWidth="1"/>
    <col min="69" max="69" width="13.19921875" style="220" hidden="1" customWidth="1"/>
    <col min="70" max="70" width="10.09765625" style="220" hidden="1" customWidth="1"/>
    <col min="71" max="74" width="0" style="220" hidden="1" customWidth="1"/>
    <col min="75" max="16384" width="9" style="220"/>
  </cols>
  <sheetData>
    <row r="1" spans="1:127" s="289" customFormat="1" ht="15" customHeight="1">
      <c r="A1" s="4201" t="s">
        <v>422</v>
      </c>
      <c r="B1" s="4201"/>
      <c r="C1" s="4201"/>
      <c r="D1" s="4201"/>
      <c r="E1" s="4201"/>
      <c r="F1" s="4201"/>
      <c r="G1" s="4201"/>
      <c r="H1" s="4201"/>
      <c r="I1" s="4201"/>
      <c r="J1" s="4201"/>
      <c r="K1" s="4201"/>
      <c r="L1" s="4201"/>
      <c r="M1" s="4201"/>
      <c r="N1" s="4201"/>
      <c r="O1" s="4201"/>
      <c r="P1" s="4201"/>
      <c r="Q1" s="4201"/>
      <c r="R1" s="4201"/>
      <c r="S1" s="4201"/>
      <c r="T1" s="4201"/>
      <c r="U1" s="4201"/>
      <c r="V1" s="4201"/>
      <c r="W1" s="4201"/>
      <c r="X1" s="4201"/>
      <c r="Y1" s="4201"/>
      <c r="Z1" s="4201"/>
      <c r="AA1" s="4201"/>
      <c r="AB1" s="4201"/>
      <c r="AC1" s="4201"/>
      <c r="AD1" s="4201"/>
      <c r="AE1" s="4201"/>
      <c r="AF1" s="4201"/>
      <c r="AG1" s="4201"/>
      <c r="AH1" s="4201"/>
      <c r="AI1" s="4201"/>
      <c r="AJ1" s="4201"/>
      <c r="AK1" s="4201"/>
      <c r="AL1" s="287"/>
      <c r="AM1" s="287"/>
      <c r="AN1" s="287"/>
      <c r="AO1" s="287"/>
      <c r="AP1" s="287"/>
      <c r="AQ1" s="287"/>
      <c r="AR1" s="287"/>
      <c r="AS1" s="287"/>
      <c r="AT1" s="287"/>
      <c r="AU1" s="287"/>
      <c r="AV1" s="287"/>
      <c r="AW1" s="287"/>
      <c r="AX1" s="287"/>
      <c r="AY1" s="287"/>
      <c r="AZ1" s="287"/>
      <c r="BA1" s="287"/>
      <c r="BB1" s="287"/>
      <c r="BC1" s="287"/>
      <c r="BD1" s="287"/>
      <c r="BE1" s="287"/>
      <c r="BF1" s="287"/>
      <c r="BG1" s="287"/>
      <c r="BH1" s="287"/>
      <c r="BI1" s="288"/>
      <c r="BJ1" s="288"/>
      <c r="BK1" s="288"/>
      <c r="BS1" s="288"/>
      <c r="CA1" s="288"/>
      <c r="CI1" s="288"/>
      <c r="CQ1" s="288"/>
      <c r="CY1" s="288"/>
      <c r="DG1" s="288"/>
      <c r="DO1" s="288"/>
      <c r="DW1" s="288"/>
    </row>
    <row r="2" spans="1:127" ht="16.2" thickBot="1">
      <c r="B2" s="290"/>
      <c r="C2" s="291"/>
      <c r="D2" s="291"/>
      <c r="E2" s="291"/>
      <c r="F2" s="291"/>
      <c r="G2" s="291"/>
      <c r="H2" s="291"/>
      <c r="I2" s="291"/>
      <c r="J2" s="291"/>
      <c r="K2" s="291"/>
      <c r="L2" s="291"/>
      <c r="M2" s="291"/>
      <c r="N2" s="291"/>
      <c r="O2" s="291"/>
      <c r="P2" s="291"/>
      <c r="Q2" s="291"/>
      <c r="R2" s="291"/>
      <c r="S2" s="291"/>
      <c r="T2" s="291"/>
      <c r="U2" s="290"/>
      <c r="V2" s="290"/>
      <c r="W2" s="290"/>
      <c r="X2" s="290"/>
      <c r="Y2" s="290"/>
      <c r="Z2" s="290"/>
      <c r="AA2" s="290"/>
      <c r="AB2" s="290"/>
      <c r="AC2" s="292"/>
      <c r="AD2" s="292"/>
      <c r="AE2" s="293"/>
      <c r="AF2" s="293"/>
      <c r="AG2" s="293"/>
      <c r="AH2" s="293"/>
      <c r="AI2" s="293"/>
      <c r="AJ2" s="293"/>
      <c r="AK2" s="293"/>
      <c r="AL2" s="293"/>
      <c r="AM2" s="293"/>
      <c r="AN2" s="293"/>
      <c r="AP2" s="230"/>
      <c r="AQ2" s="230"/>
      <c r="AR2" s="230"/>
      <c r="AU2" s="230"/>
    </row>
    <row r="3" spans="1:127" s="295" customFormat="1" ht="15.75" customHeight="1">
      <c r="A3" s="4260" t="s">
        <v>0</v>
      </c>
      <c r="B3" s="4253" t="s">
        <v>1</v>
      </c>
      <c r="C3" s="4246" t="s">
        <v>423</v>
      </c>
      <c r="D3" s="4246" t="s">
        <v>424</v>
      </c>
      <c r="E3" s="4246" t="s">
        <v>425</v>
      </c>
      <c r="F3" s="4246" t="s">
        <v>426</v>
      </c>
      <c r="G3" s="4246" t="s">
        <v>427</v>
      </c>
      <c r="H3" s="4246" t="s">
        <v>428</v>
      </c>
      <c r="I3" s="4240" t="s">
        <v>429</v>
      </c>
      <c r="J3" s="4246" t="s">
        <v>430</v>
      </c>
      <c r="K3" s="4246" t="s">
        <v>431</v>
      </c>
      <c r="L3" s="4246" t="s">
        <v>432</v>
      </c>
      <c r="M3" s="4246" t="s">
        <v>433</v>
      </c>
      <c r="N3" s="4246" t="s">
        <v>434</v>
      </c>
      <c r="O3" s="4246" t="s">
        <v>435</v>
      </c>
      <c r="P3" s="4240" t="s">
        <v>436</v>
      </c>
      <c r="Q3" s="4246" t="s">
        <v>437</v>
      </c>
      <c r="R3" s="4246" t="s">
        <v>29</v>
      </c>
      <c r="S3" s="4246" t="s">
        <v>438</v>
      </c>
      <c r="T3" s="4246" t="s">
        <v>439</v>
      </c>
      <c r="U3" s="4253" t="s">
        <v>163</v>
      </c>
      <c r="V3" s="4253"/>
      <c r="W3" s="4253" t="s">
        <v>164</v>
      </c>
      <c r="X3" s="4253"/>
      <c r="Y3" s="4253" t="s">
        <v>440</v>
      </c>
      <c r="Z3" s="4253"/>
      <c r="AA3" s="4240" t="s">
        <v>441</v>
      </c>
      <c r="AB3" s="4246" t="s">
        <v>442</v>
      </c>
      <c r="AC3" s="4246" t="s">
        <v>29</v>
      </c>
      <c r="AD3" s="4246" t="s">
        <v>443</v>
      </c>
      <c r="AE3" s="4255" t="s">
        <v>444</v>
      </c>
      <c r="AF3" s="4255"/>
      <c r="AG3" s="4255" t="s">
        <v>445</v>
      </c>
      <c r="AH3" s="4255"/>
      <c r="AI3" s="4257" t="s">
        <v>446</v>
      </c>
      <c r="AJ3" s="4257" t="s">
        <v>29</v>
      </c>
      <c r="AK3" s="4257" t="s">
        <v>447</v>
      </c>
      <c r="AL3" s="4246" t="s">
        <v>448</v>
      </c>
      <c r="AM3" s="4246" t="s">
        <v>29</v>
      </c>
      <c r="AN3" s="4246"/>
      <c r="AO3" s="4249" t="s">
        <v>449</v>
      </c>
      <c r="AP3" s="4250"/>
      <c r="AQ3" s="4244" t="s">
        <v>450</v>
      </c>
      <c r="AR3" s="4244" t="s">
        <v>451</v>
      </c>
      <c r="AS3" s="4246" t="s">
        <v>452</v>
      </c>
      <c r="AT3" s="4246" t="s">
        <v>29</v>
      </c>
      <c r="AU3" s="4246" t="s">
        <v>453</v>
      </c>
      <c r="AV3" s="4240" t="s">
        <v>454</v>
      </c>
      <c r="AW3" s="4240" t="s">
        <v>455</v>
      </c>
      <c r="AX3" s="4240" t="s">
        <v>29</v>
      </c>
      <c r="AY3" s="4240" t="s">
        <v>456</v>
      </c>
      <c r="AZ3" s="4244" t="s">
        <v>457</v>
      </c>
      <c r="BA3" s="4240" t="s">
        <v>458</v>
      </c>
      <c r="BB3" s="4240" t="s">
        <v>459</v>
      </c>
      <c r="BC3" s="4240" t="s">
        <v>460</v>
      </c>
      <c r="BD3" s="4240" t="s">
        <v>461</v>
      </c>
      <c r="BE3" s="4240" t="s">
        <v>462</v>
      </c>
      <c r="BF3" s="4240" t="s">
        <v>463</v>
      </c>
      <c r="BG3" s="4240" t="s">
        <v>29</v>
      </c>
      <c r="BH3" s="4242" t="s">
        <v>464</v>
      </c>
      <c r="BI3" s="288"/>
      <c r="BJ3" s="288"/>
      <c r="BK3" s="288"/>
    </row>
    <row r="4" spans="1:127" s="295" customFormat="1" ht="15.6" customHeight="1">
      <c r="A4" s="4261"/>
      <c r="B4" s="4262"/>
      <c r="C4" s="4247"/>
      <c r="D4" s="4247"/>
      <c r="E4" s="4247"/>
      <c r="F4" s="4247"/>
      <c r="G4" s="4247"/>
      <c r="H4" s="4247"/>
      <c r="I4" s="4241"/>
      <c r="J4" s="4247"/>
      <c r="K4" s="4247"/>
      <c r="L4" s="4247"/>
      <c r="M4" s="4247"/>
      <c r="N4" s="4247"/>
      <c r="O4" s="4247"/>
      <c r="P4" s="4241"/>
      <c r="Q4" s="4247"/>
      <c r="R4" s="4247"/>
      <c r="S4" s="4247"/>
      <c r="T4" s="4247"/>
      <c r="U4" s="4254"/>
      <c r="V4" s="4254"/>
      <c r="W4" s="4254"/>
      <c r="X4" s="4254"/>
      <c r="Y4" s="4254"/>
      <c r="Z4" s="4254"/>
      <c r="AA4" s="4241"/>
      <c r="AB4" s="4247"/>
      <c r="AC4" s="4247"/>
      <c r="AD4" s="4247"/>
      <c r="AE4" s="4256"/>
      <c r="AF4" s="4256"/>
      <c r="AG4" s="4256"/>
      <c r="AH4" s="4256"/>
      <c r="AI4" s="4258"/>
      <c r="AJ4" s="4258"/>
      <c r="AK4" s="4258"/>
      <c r="AL4" s="4247"/>
      <c r="AM4" s="4247"/>
      <c r="AN4" s="4247"/>
      <c r="AO4" s="4251"/>
      <c r="AP4" s="4252"/>
      <c r="AQ4" s="4245"/>
      <c r="AR4" s="4245"/>
      <c r="AS4" s="4247"/>
      <c r="AT4" s="4247"/>
      <c r="AU4" s="4247"/>
      <c r="AV4" s="4241"/>
      <c r="AW4" s="4241"/>
      <c r="AX4" s="4241"/>
      <c r="AY4" s="4241"/>
      <c r="AZ4" s="4245"/>
      <c r="BA4" s="4241"/>
      <c r="BB4" s="4241"/>
      <c r="BC4" s="4241"/>
      <c r="BD4" s="4241"/>
      <c r="BE4" s="4241"/>
      <c r="BF4" s="4241"/>
      <c r="BG4" s="4241"/>
      <c r="BH4" s="4243"/>
      <c r="BI4" s="288"/>
      <c r="BJ4" s="288"/>
      <c r="BK4" s="288"/>
    </row>
    <row r="5" spans="1:127" s="295" customFormat="1" ht="97.95" customHeight="1">
      <c r="A5" s="4261"/>
      <c r="B5" s="4262"/>
      <c r="C5" s="4248"/>
      <c r="D5" s="4248"/>
      <c r="E5" s="4248"/>
      <c r="F5" s="4248"/>
      <c r="G5" s="4248"/>
      <c r="H5" s="4248"/>
      <c r="I5" s="4241"/>
      <c r="J5" s="4248"/>
      <c r="K5" s="4248"/>
      <c r="L5" s="4248"/>
      <c r="M5" s="4248"/>
      <c r="N5" s="4248"/>
      <c r="O5" s="4248"/>
      <c r="P5" s="4241"/>
      <c r="Q5" s="4248"/>
      <c r="R5" s="4248"/>
      <c r="S5" s="4248"/>
      <c r="T5" s="4248"/>
      <c r="U5" s="1381" t="s">
        <v>465</v>
      </c>
      <c r="V5" s="1381" t="s">
        <v>466</v>
      </c>
      <c r="W5" s="1381" t="s">
        <v>465</v>
      </c>
      <c r="X5" s="1381" t="s">
        <v>467</v>
      </c>
      <c r="Y5" s="1381" t="s">
        <v>465</v>
      </c>
      <c r="Z5" s="1381" t="s">
        <v>467</v>
      </c>
      <c r="AA5" s="4241"/>
      <c r="AB5" s="4248"/>
      <c r="AC5" s="4248"/>
      <c r="AD5" s="4248"/>
      <c r="AE5" s="562" t="s">
        <v>465</v>
      </c>
      <c r="AF5" s="562" t="s">
        <v>467</v>
      </c>
      <c r="AG5" s="562" t="s">
        <v>465</v>
      </c>
      <c r="AH5" s="562" t="s">
        <v>467</v>
      </c>
      <c r="AI5" s="4259"/>
      <c r="AJ5" s="4259"/>
      <c r="AK5" s="4259"/>
      <c r="AL5" s="4248"/>
      <c r="AM5" s="4248"/>
      <c r="AN5" s="4248"/>
      <c r="AO5" s="1629" t="s">
        <v>468</v>
      </c>
      <c r="AP5" s="1629" t="s">
        <v>469</v>
      </c>
      <c r="AQ5" s="4245"/>
      <c r="AR5" s="4245"/>
      <c r="AS5" s="4248"/>
      <c r="AT5" s="4248"/>
      <c r="AU5" s="4248"/>
      <c r="AV5" s="4241"/>
      <c r="AW5" s="4241"/>
      <c r="AX5" s="4241"/>
      <c r="AY5" s="4241"/>
      <c r="AZ5" s="4245"/>
      <c r="BA5" s="4241"/>
      <c r="BB5" s="4241"/>
      <c r="BC5" s="4241"/>
      <c r="BD5" s="4241"/>
      <c r="BE5" s="4241"/>
      <c r="BF5" s="4241"/>
      <c r="BG5" s="4241"/>
      <c r="BH5" s="4243"/>
      <c r="BI5" s="288"/>
      <c r="BJ5" s="288"/>
      <c r="BK5" s="288"/>
    </row>
    <row r="6" spans="1:127" s="301" customFormat="1">
      <c r="A6" s="296">
        <v>1</v>
      </c>
      <c r="B6" s="297">
        <v>2</v>
      </c>
      <c r="C6" s="298"/>
      <c r="D6" s="298"/>
      <c r="E6" s="298"/>
      <c r="F6" s="298"/>
      <c r="G6" s="298"/>
      <c r="H6" s="298"/>
      <c r="I6" s="298"/>
      <c r="J6" s="298"/>
      <c r="K6" s="298"/>
      <c r="L6" s="298"/>
      <c r="M6" s="298"/>
      <c r="N6" s="298"/>
      <c r="O6" s="298"/>
      <c r="P6" s="298"/>
      <c r="Q6" s="298"/>
      <c r="R6" s="298"/>
      <c r="S6" s="298"/>
      <c r="T6" s="298"/>
      <c r="U6" s="297"/>
      <c r="V6" s="297"/>
      <c r="W6" s="297"/>
      <c r="X6" s="297"/>
      <c r="Y6" s="297"/>
      <c r="Z6" s="297"/>
      <c r="AA6" s="298"/>
      <c r="AB6" s="298"/>
      <c r="AC6" s="298"/>
      <c r="AD6" s="298"/>
      <c r="AE6" s="297"/>
      <c r="AF6" s="297"/>
      <c r="AG6" s="297"/>
      <c r="AH6" s="297"/>
      <c r="AI6" s="297"/>
      <c r="AJ6" s="297"/>
      <c r="AK6" s="297"/>
      <c r="AL6" s="297"/>
      <c r="AM6" s="297"/>
      <c r="AN6" s="297"/>
      <c r="AO6" s="1630"/>
      <c r="AP6" s="1630"/>
      <c r="AQ6" s="1635"/>
      <c r="AR6" s="1630"/>
      <c r="AS6" s="298"/>
      <c r="AT6" s="298"/>
      <c r="AU6" s="298"/>
      <c r="AV6" s="298"/>
      <c r="AW6" s="299"/>
      <c r="AX6" s="298"/>
      <c r="AY6" s="298"/>
      <c r="AZ6" s="1675"/>
      <c r="BA6" s="1660"/>
      <c r="BB6" s="1660"/>
      <c r="BC6" s="1660"/>
      <c r="BD6" s="1660"/>
      <c r="BE6" s="1660"/>
      <c r="BF6" s="1660"/>
      <c r="BG6" s="1660"/>
      <c r="BH6" s="1661"/>
      <c r="BI6" s="300"/>
      <c r="BJ6" s="300"/>
      <c r="BK6" s="300"/>
    </row>
    <row r="7" spans="1:127" s="314" customFormat="1" ht="30" customHeight="1">
      <c r="A7" s="302" t="s">
        <v>7</v>
      </c>
      <c r="B7" s="303" t="s">
        <v>8</v>
      </c>
      <c r="C7" s="304">
        <f t="shared" ref="C7:O7" si="0">SUM(C8,C28)</f>
        <v>1267830.2123589995</v>
      </c>
      <c r="D7" s="304">
        <f t="shared" si="0"/>
        <v>1553480</v>
      </c>
      <c r="E7" s="304">
        <f t="shared" si="0"/>
        <v>2543746.399896</v>
      </c>
      <c r="F7" s="304">
        <f t="shared" si="0"/>
        <v>2504230</v>
      </c>
      <c r="G7" s="304">
        <f t="shared" si="0"/>
        <v>2936820</v>
      </c>
      <c r="H7" s="304">
        <f t="shared" si="0"/>
        <v>3970508.1362620005</v>
      </c>
      <c r="I7" s="304">
        <f>SUM(D7:H7)</f>
        <v>13508784.536157999</v>
      </c>
      <c r="J7" s="304"/>
      <c r="K7" s="304">
        <f t="shared" si="0"/>
        <v>4156306.1199669996</v>
      </c>
      <c r="L7" s="304">
        <f t="shared" si="0"/>
        <v>4518654.2436259994</v>
      </c>
      <c r="M7" s="304">
        <f t="shared" si="0"/>
        <v>4583182.5757370004</v>
      </c>
      <c r="N7" s="304">
        <f t="shared" si="0"/>
        <v>4112417.5781439999</v>
      </c>
      <c r="O7" s="304">
        <f t="shared" si="0"/>
        <v>5174957</v>
      </c>
      <c r="P7" s="304">
        <f>SUM(K7:O7)</f>
        <v>22545517.517473999</v>
      </c>
      <c r="Q7" s="305"/>
      <c r="R7" s="305">
        <f t="shared" ref="R7:R28" si="1">P7/$P$7</f>
        <v>1</v>
      </c>
      <c r="S7" s="304">
        <f t="shared" ref="S7:V7" si="2">SUM(S8,S28)</f>
        <v>6334779</v>
      </c>
      <c r="T7" s="304">
        <f t="shared" si="2"/>
        <v>6851996</v>
      </c>
      <c r="U7" s="306">
        <f t="shared" si="2"/>
        <v>6691300</v>
      </c>
      <c r="V7" s="306">
        <f t="shared" si="2"/>
        <v>6983868</v>
      </c>
      <c r="W7" s="306">
        <f>W8+W28</f>
        <v>7085000</v>
      </c>
      <c r="X7" s="306">
        <f>X8+X28</f>
        <v>8771013</v>
      </c>
      <c r="Y7" s="306">
        <f>Y8+Y28</f>
        <v>8495000</v>
      </c>
      <c r="Z7" s="306">
        <f>Z8+Z28</f>
        <v>8430824.4000000022</v>
      </c>
      <c r="AA7" s="304">
        <f t="shared" ref="AA7:AA28" si="3">+Z7+X7+V7+T7+S7</f>
        <v>37372480.400000006</v>
      </c>
      <c r="AB7" s="305">
        <f t="shared" ref="AB7:AB28" si="4">(((S7/O7)*(T7/S7)*(V7/T7)*(X7/V7)*(Z7/X7))^(1/5))-1</f>
        <v>0.1025356971451945</v>
      </c>
      <c r="AC7" s="305">
        <f>AA7/$AA$7</f>
        <v>1</v>
      </c>
      <c r="AD7" s="305">
        <f t="shared" ref="AD7:AD23" si="5">AA7/P7-1</f>
        <v>0.65764571032952812</v>
      </c>
      <c r="AE7" s="306">
        <f t="shared" ref="AE7:AS7" si="6">AE8+AE28</f>
        <v>8140900</v>
      </c>
      <c r="AF7" s="306">
        <f t="shared" si="6"/>
        <v>7213306</v>
      </c>
      <c r="AG7" s="1610">
        <f t="shared" si="6"/>
        <v>6818777</v>
      </c>
      <c r="AH7" s="1628">
        <f t="shared" si="6"/>
        <v>7877094.2005829997</v>
      </c>
      <c r="AI7" s="306">
        <f t="shared" si="6"/>
        <v>39276105.600583002</v>
      </c>
      <c r="AJ7" s="307">
        <f>AI7/$AI$7</f>
        <v>1</v>
      </c>
      <c r="AK7" s="308">
        <f>((V7/T7)*(X7/V7)*(Z7/X7)*(AF7/Z7)*(AH7/AF7)^(1/5))-1</f>
        <v>7.1429480600242901E-2</v>
      </c>
      <c r="AL7" s="304">
        <f>AH7+AF7+Z7</f>
        <v>23521224.600583002</v>
      </c>
      <c r="AM7" s="309">
        <f>AL7/$AL$7</f>
        <v>1</v>
      </c>
      <c r="AN7" s="310">
        <f>((Z7/X7)*(AF7/Z7)*(AH7/AF7)^(1/3))-1</f>
        <v>-0.15310709263725053</v>
      </c>
      <c r="AO7" s="1628">
        <f t="shared" si="6"/>
        <v>7590000</v>
      </c>
      <c r="AP7" s="1628">
        <f t="shared" si="6"/>
        <v>8150745.3199999994</v>
      </c>
      <c r="AQ7" s="1628">
        <f t="shared" si="6"/>
        <v>9266000</v>
      </c>
      <c r="AR7" s="1628">
        <f t="shared" si="6"/>
        <v>10162499.699999999</v>
      </c>
      <c r="AS7" s="304">
        <f t="shared" si="6"/>
        <v>27579245.020000003</v>
      </c>
      <c r="AT7" s="1607">
        <f>AS7/$AS$7</f>
        <v>1</v>
      </c>
      <c r="AU7" s="309">
        <f>((AP7/AH7)*(AQ7/AP7)*(AR7/AQ7))^(1/3)-1</f>
        <v>8.8624662406572297E-2</v>
      </c>
      <c r="AV7" s="304">
        <f t="shared" ref="AV7:AV44" si="7">AF7+AH7+AP7+AQ7+AR7</f>
        <v>42669645.220582999</v>
      </c>
      <c r="AW7" s="1597">
        <f t="shared" ref="AW7:AW28" si="8">(((AF7/Z7)*(AH7/AF7)*(AP7/AH7)*(AQ7/AP7)*(AR7/AQ7))^(1/5))-1</f>
        <v>3.8068709737855144E-2</v>
      </c>
      <c r="AX7" s="305">
        <f>AV7/$AV$7</f>
        <v>1</v>
      </c>
      <c r="AY7" s="305">
        <f t="shared" ref="AY7:AY28" si="9">AV7/AA7-1</f>
        <v>0.14173971767158888</v>
      </c>
      <c r="AZ7" s="1628">
        <f t="shared" ref="AZ7:BD7" si="10">AZ8+AZ28</f>
        <v>11039000</v>
      </c>
      <c r="BA7" s="304">
        <f t="shared" si="10"/>
        <v>11935999.816611201</v>
      </c>
      <c r="BB7" s="304">
        <f t="shared" si="10"/>
        <v>12893500.408798838</v>
      </c>
      <c r="BC7" s="304">
        <f t="shared" si="10"/>
        <v>13961500.026622467</v>
      </c>
      <c r="BD7" s="304">
        <f t="shared" si="10"/>
        <v>15200000.027793854</v>
      </c>
      <c r="BE7" s="1662">
        <f>AZ7+BA7+BB7+BC7+BD7</f>
        <v>65030000.279826358</v>
      </c>
      <c r="BF7" s="310">
        <f t="shared" ref="BF7:BF28" si="11">(((AZ7/AR7)*(BA7/AZ7)*(BB7/BA7)*(BC7/BB7)*(BD7/BC7))^(1/5))-1</f>
        <v>8.3848569109363336E-2</v>
      </c>
      <c r="BG7" s="1597">
        <f>BE7/$BE$7</f>
        <v>1</v>
      </c>
      <c r="BH7" s="1663">
        <f>BE7/AV7-1</f>
        <v>0.52403423894551526</v>
      </c>
      <c r="BI7" s="313"/>
      <c r="BJ7" s="313"/>
      <c r="BK7" s="313"/>
      <c r="BL7" s="314">
        <f>AF7</f>
        <v>7213306</v>
      </c>
      <c r="BM7" s="314">
        <f>AH7</f>
        <v>7877094.2005829997</v>
      </c>
      <c r="BN7" s="314">
        <f>BM7/BL7%</f>
        <v>109.20227424960206</v>
      </c>
      <c r="BO7" s="314">
        <f>BN7-100</f>
        <v>9.2022742496020555</v>
      </c>
    </row>
    <row r="8" spans="1:127" s="314" customFormat="1" ht="30" customHeight="1">
      <c r="A8" s="315" t="s">
        <v>9</v>
      </c>
      <c r="B8" s="316" t="s">
        <v>10</v>
      </c>
      <c r="C8" s="317">
        <f t="shared" ref="C8:V8" si="12">SUM(C10,C11,C12,C13,C14:C27)</f>
        <v>1114091.7969199996</v>
      </c>
      <c r="D8" s="317">
        <f t="shared" si="12"/>
        <v>1322540</v>
      </c>
      <c r="E8" s="317">
        <f t="shared" si="12"/>
        <v>2238026.399896</v>
      </c>
      <c r="F8" s="317">
        <f t="shared" si="12"/>
        <v>2175030</v>
      </c>
      <c r="G8" s="317">
        <f t="shared" si="12"/>
        <v>2627990</v>
      </c>
      <c r="H8" s="317">
        <f t="shared" si="12"/>
        <v>3663943.1287150006</v>
      </c>
      <c r="I8" s="317">
        <f>SUM(D8:H8)</f>
        <v>12027529.528611001</v>
      </c>
      <c r="J8" s="317"/>
      <c r="K8" s="317">
        <f t="shared" si="12"/>
        <v>3798739.5013269996</v>
      </c>
      <c r="L8" s="317">
        <f t="shared" si="12"/>
        <v>4099702.3977709995</v>
      </c>
      <c r="M8" s="317">
        <f t="shared" si="12"/>
        <v>4126341.428791</v>
      </c>
      <c r="N8" s="317">
        <f t="shared" si="12"/>
        <v>3972338.7808679999</v>
      </c>
      <c r="O8" s="317">
        <f t="shared" si="12"/>
        <v>4931116</v>
      </c>
      <c r="P8" s="317">
        <f>SUM(K8:O8)</f>
        <v>20928238.108756997</v>
      </c>
      <c r="Q8" s="318"/>
      <c r="R8" s="318">
        <f t="shared" si="1"/>
        <v>0.92826603303900546</v>
      </c>
      <c r="S8" s="317">
        <f t="shared" si="12"/>
        <v>6237814</v>
      </c>
      <c r="T8" s="317">
        <f t="shared" si="12"/>
        <v>6744580</v>
      </c>
      <c r="U8" s="319">
        <f t="shared" si="12"/>
        <v>6625300</v>
      </c>
      <c r="V8" s="319">
        <f t="shared" si="12"/>
        <v>6909606</v>
      </c>
      <c r="W8" s="319">
        <f>SUM(W10:W27)</f>
        <v>7007000</v>
      </c>
      <c r="X8" s="319">
        <f>SUM(X10:X27)</f>
        <v>8644723</v>
      </c>
      <c r="Y8" s="319">
        <f>SUM(Y10:Y27)</f>
        <v>8425000</v>
      </c>
      <c r="Z8" s="319">
        <f>SUM(Z10:Z27)</f>
        <v>8337065.4000000022</v>
      </c>
      <c r="AA8" s="317">
        <f t="shared" si="3"/>
        <v>36873788.400000006</v>
      </c>
      <c r="AB8" s="318">
        <f t="shared" si="4"/>
        <v>0.11074303299162214</v>
      </c>
      <c r="AC8" s="318">
        <f t="shared" ref="AC8:AC49" si="13">AA8/$AA$7</f>
        <v>0.9866561706725786</v>
      </c>
      <c r="AD8" s="318">
        <f t="shared" si="5"/>
        <v>0.76191556156707319</v>
      </c>
      <c r="AE8" s="319">
        <f>SUM(AE10:AE27)</f>
        <v>8035900</v>
      </c>
      <c r="AF8" s="319">
        <f t="shared" ref="AF8:AR8" si="14">SUM(AF10:AF27)</f>
        <v>7016452</v>
      </c>
      <c r="AG8" s="1611">
        <f t="shared" si="14"/>
        <v>6708777</v>
      </c>
      <c r="AH8" s="1257">
        <f t="shared" si="14"/>
        <v>7487310.8303279998</v>
      </c>
      <c r="AI8" s="319">
        <f t="shared" si="14"/>
        <v>38395157.230328001</v>
      </c>
      <c r="AJ8" s="320">
        <f>AI8/$AI$7</f>
        <v>0.9775703737225433</v>
      </c>
      <c r="AK8" s="321">
        <f t="shared" ref="AK8:AK26" si="15">((V8/T8)*(X8/V8)*(Z8/X8)*(AF8/Z8)*(AH8/AF8)^(1/5))-1</f>
        <v>5.3911901845232313E-2</v>
      </c>
      <c r="AL8" s="317">
        <f>AH8+AF8+Z8</f>
        <v>22840828.230328001</v>
      </c>
      <c r="AM8" s="322">
        <f>AL8/$AL$7</f>
        <v>0.97107308901603118</v>
      </c>
      <c r="AN8" s="461">
        <f>((Z8/X8)*(AF8/Z8)*(AH8/AF8)^(1/3))-1</f>
        <v>-0.1705900429105025</v>
      </c>
      <c r="AO8" s="1257">
        <f t="shared" si="14"/>
        <v>7440000</v>
      </c>
      <c r="AP8" s="1257">
        <f t="shared" ref="AP8" si="16">SUM(AP10:AP27)</f>
        <v>7999999.7999999998</v>
      </c>
      <c r="AQ8" s="1257">
        <f t="shared" si="14"/>
        <v>9066000</v>
      </c>
      <c r="AR8" s="1257">
        <f t="shared" si="14"/>
        <v>9999999.6999999993</v>
      </c>
      <c r="AS8" s="317">
        <f t="shared" ref="AS8" si="17">SUM(AS10:AS27)</f>
        <v>27065999.500000004</v>
      </c>
      <c r="AT8" s="1608">
        <f>AS8/$AS$7</f>
        <v>0.98139015336976043</v>
      </c>
      <c r="AU8" s="322">
        <f t="shared" ref="AU8:AU28" si="18">((AP8/AH8)*(AQ8/AP8)*(AR8/AQ8))^(1/3)-1</f>
        <v>0.10126382804172129</v>
      </c>
      <c r="AV8" s="317">
        <f t="shared" si="7"/>
        <v>41569762.330328003</v>
      </c>
      <c r="AW8" s="323">
        <f t="shared" si="8"/>
        <v>3.7044412096000512E-2</v>
      </c>
      <c r="AX8" s="318">
        <f>AV8/$AV$7</f>
        <v>0.97422329422780307</v>
      </c>
      <c r="AY8" s="318">
        <f t="shared" si="9"/>
        <v>0.12735262998710484</v>
      </c>
      <c r="AZ8" s="1257">
        <f t="shared" ref="AZ8:BD8" si="19">SUM(AZ10:AZ27)</f>
        <v>10870000</v>
      </c>
      <c r="BA8" s="317">
        <f t="shared" si="19"/>
        <v>11760000</v>
      </c>
      <c r="BB8" s="317">
        <f t="shared" si="19"/>
        <v>12710000</v>
      </c>
      <c r="BC8" s="317">
        <f t="shared" si="19"/>
        <v>13770000</v>
      </c>
      <c r="BD8" s="317">
        <f t="shared" si="19"/>
        <v>15000000</v>
      </c>
      <c r="BE8" s="1664">
        <f>AZ8+BA8+BB8+BC8+BD8</f>
        <v>64110000</v>
      </c>
      <c r="BF8" s="461">
        <f t="shared" si="11"/>
        <v>8.4471777704529405E-2</v>
      </c>
      <c r="BG8" s="422">
        <f t="shared" ref="BG8:BG28" si="20">BE8/$BE$7</f>
        <v>0.9858526791347445</v>
      </c>
      <c r="BH8" s="1600">
        <f>BE8/AV8-1</f>
        <v>0.54222676306300022</v>
      </c>
      <c r="BI8" s="313"/>
      <c r="BJ8" s="313"/>
      <c r="BK8" s="313"/>
      <c r="BL8" s="314">
        <f>AF8</f>
        <v>7016452</v>
      </c>
      <c r="BM8" s="314">
        <f>AH8</f>
        <v>7487310.8303279998</v>
      </c>
      <c r="BN8" s="314">
        <f>BM8/BL8%</f>
        <v>106.71078246281738</v>
      </c>
      <c r="BO8" s="314">
        <f t="shared" ref="BO8:BO28" si="21">BN8-100</f>
        <v>6.7107824628173773</v>
      </c>
    </row>
    <row r="9" spans="1:127" s="335" customFormat="1" ht="30" customHeight="1">
      <c r="A9" s="325"/>
      <c r="B9" s="326" t="s">
        <v>470</v>
      </c>
      <c r="C9" s="327">
        <f>C8-C20-C27</f>
        <v>680419.64697399968</v>
      </c>
      <c r="D9" s="327">
        <f>D8-D20-D27</f>
        <v>781630</v>
      </c>
      <c r="E9" s="327">
        <f>E8-E20-E27</f>
        <v>1012420</v>
      </c>
      <c r="F9" s="327">
        <f>F8-F20-F27</f>
        <v>1278230</v>
      </c>
      <c r="G9" s="327">
        <f>G8-G20-G27</f>
        <v>1827240</v>
      </c>
      <c r="H9" s="327">
        <f t="shared" ref="H9:O9" si="22">H8-H20-H27</f>
        <v>2445921.4765880005</v>
      </c>
      <c r="I9" s="327">
        <f>SUM(D9:H9)</f>
        <v>7345441.4765880005</v>
      </c>
      <c r="J9" s="327"/>
      <c r="K9" s="327">
        <f t="shared" si="22"/>
        <v>2716706.9705919996</v>
      </c>
      <c r="L9" s="327">
        <f t="shared" si="22"/>
        <v>2881335.0339119998</v>
      </c>
      <c r="M9" s="327">
        <f t="shared" si="22"/>
        <v>2871723.7974100001</v>
      </c>
      <c r="N9" s="327">
        <f t="shared" si="22"/>
        <v>2637997.8620639998</v>
      </c>
      <c r="O9" s="327">
        <f t="shared" si="22"/>
        <v>3357995</v>
      </c>
      <c r="P9" s="327">
        <f>SUM(K9:O9)</f>
        <v>14465758.663977999</v>
      </c>
      <c r="Q9" s="323"/>
      <c r="R9" s="323">
        <f t="shared" si="1"/>
        <v>0.64162460022335932</v>
      </c>
      <c r="S9" s="327">
        <f t="shared" ref="S9:Z9" si="23">S8-S20-S27</f>
        <v>4473231</v>
      </c>
      <c r="T9" s="327">
        <f t="shared" si="23"/>
        <v>4627083</v>
      </c>
      <c r="U9" s="328">
        <f t="shared" si="23"/>
        <v>4905300</v>
      </c>
      <c r="V9" s="328">
        <f t="shared" si="23"/>
        <v>4694910</v>
      </c>
      <c r="W9" s="328">
        <f t="shared" si="23"/>
        <v>5177000</v>
      </c>
      <c r="X9" s="328">
        <f t="shared" si="23"/>
        <v>6156473</v>
      </c>
      <c r="Y9" s="328">
        <f t="shared" si="23"/>
        <v>6365000</v>
      </c>
      <c r="Z9" s="328">
        <f t="shared" si="23"/>
        <v>5525934.6000000015</v>
      </c>
      <c r="AA9" s="327">
        <f t="shared" si="3"/>
        <v>25477631.600000001</v>
      </c>
      <c r="AB9" s="323">
        <f t="shared" si="4"/>
        <v>0.10475287161419655</v>
      </c>
      <c r="AC9" s="323">
        <f t="shared" si="13"/>
        <v>0.68172171949282756</v>
      </c>
      <c r="AD9" s="323">
        <f t="shared" si="5"/>
        <v>0.76123715263156488</v>
      </c>
      <c r="AE9" s="329">
        <f t="shared" ref="AE9:AS9" si="24">AE8-AE20-AE27</f>
        <v>5785900</v>
      </c>
      <c r="AF9" s="330">
        <f t="shared" si="24"/>
        <v>4493500</v>
      </c>
      <c r="AG9" s="1612">
        <f>AG8-AG20-AG27</f>
        <v>4408777</v>
      </c>
      <c r="AH9" s="338">
        <f>AH8-AH20-AH27</f>
        <v>4714407.2166780001</v>
      </c>
      <c r="AI9" s="330">
        <f>AI8-AI20-AI27</f>
        <v>25585224.816678002</v>
      </c>
      <c r="AJ9" s="324">
        <f t="shared" ref="AJ9:AJ27" si="25">AI9/$AI$7</f>
        <v>0.6514195953352927</v>
      </c>
      <c r="AK9" s="331">
        <f>((V9/T9)*(X9/V9)*(Z9/X9)*(AF9/Z9)*(AH9/AF9)^(1/5))-1</f>
        <v>-1.9503775948571778E-2</v>
      </c>
      <c r="AL9" s="330">
        <f>AH9+AF9+Z9</f>
        <v>14733841.816678002</v>
      </c>
      <c r="AM9" s="331">
        <f>AL9/$AL$7</f>
        <v>0.62640623806265627</v>
      </c>
      <c r="AN9" s="331">
        <f>((Z9/X9)*(AF9/Z9)*(AH9/AF9)^(1/3))-1</f>
        <v>-0.25834792553122099</v>
      </c>
      <c r="AO9" s="338">
        <f>AO8-AO20-AO27</f>
        <v>4940000</v>
      </c>
      <c r="AP9" s="338">
        <f t="shared" si="24"/>
        <v>4969999.8</v>
      </c>
      <c r="AQ9" s="338">
        <f t="shared" si="24"/>
        <v>5346000</v>
      </c>
      <c r="AR9" s="338">
        <f t="shared" si="24"/>
        <v>6477999.6999999993</v>
      </c>
      <c r="AS9" s="327">
        <f t="shared" si="24"/>
        <v>16793999.500000004</v>
      </c>
      <c r="AT9" s="422">
        <f t="shared" ref="AT9:AT28" si="26">AS9/$AS$7</f>
        <v>0.60893615789051803</v>
      </c>
      <c r="AU9" s="461">
        <f t="shared" si="18"/>
        <v>0.11174352885515271</v>
      </c>
      <c r="AV9" s="327">
        <f t="shared" si="7"/>
        <v>26001906.716678001</v>
      </c>
      <c r="AW9" s="323">
        <f t="shared" si="8"/>
        <v>3.2302636605404444E-2</v>
      </c>
      <c r="AX9" s="323">
        <f>AV9/$AV$7</f>
        <v>0.60937714814031763</v>
      </c>
      <c r="AY9" s="323">
        <f t="shared" si="9"/>
        <v>2.057785923390143E-2</v>
      </c>
      <c r="AZ9" s="338">
        <f t="shared" ref="AZ9:BD9" si="27">AZ8-AZ20-AZ27</f>
        <v>7110000</v>
      </c>
      <c r="BA9" s="327">
        <f t="shared" si="27"/>
        <v>7860000</v>
      </c>
      <c r="BB9" s="327">
        <f t="shared" si="27"/>
        <v>8700000</v>
      </c>
      <c r="BC9" s="327">
        <f t="shared" si="27"/>
        <v>9660000</v>
      </c>
      <c r="BD9" s="327">
        <f t="shared" si="27"/>
        <v>10740000</v>
      </c>
      <c r="BE9" s="1599">
        <f t="shared" ref="BE9:BE27" si="28">AZ9+BA9+BB9+BC9+BD9</f>
        <v>44070000</v>
      </c>
      <c r="BF9" s="461">
        <f t="shared" si="11"/>
        <v>0.10640128515075586</v>
      </c>
      <c r="BG9" s="422">
        <f t="shared" si="20"/>
        <v>0.67768721836637325</v>
      </c>
      <c r="BH9" s="1665">
        <f>BE9/AV9-1</f>
        <v>0.69487570585478875</v>
      </c>
      <c r="BI9" s="334"/>
      <c r="BJ9" s="334"/>
      <c r="BK9" s="334"/>
      <c r="BL9" s="314">
        <f>AF9</f>
        <v>4493500</v>
      </c>
      <c r="BM9" s="335">
        <f>AH9</f>
        <v>4714407.2166780001</v>
      </c>
      <c r="BN9" s="335">
        <f>BM9/BL9%</f>
        <v>104.91615036559475</v>
      </c>
      <c r="BO9" s="314">
        <f t="shared" si="21"/>
        <v>4.9161503655947456</v>
      </c>
    </row>
    <row r="10" spans="1:127" s="335" customFormat="1" ht="30" customHeight="1">
      <c r="A10" s="325">
        <v>1</v>
      </c>
      <c r="B10" s="336" t="s">
        <v>471</v>
      </c>
      <c r="C10" s="337">
        <f>'[6]Tổng hợp thu NSNN năm 2005'!$D$13/1000000</f>
        <v>89115.503914999994</v>
      </c>
      <c r="D10" s="327">
        <v>92540</v>
      </c>
      <c r="E10" s="327">
        <v>116990</v>
      </c>
      <c r="F10" s="327">
        <v>174910</v>
      </c>
      <c r="G10" s="327">
        <v>255100</v>
      </c>
      <c r="H10" s="327">
        <v>363111</v>
      </c>
      <c r="I10" s="327">
        <f>SUM(D10:H10)</f>
        <v>1002651</v>
      </c>
      <c r="J10" s="327"/>
      <c r="K10" s="327">
        <v>375470.05056100001</v>
      </c>
      <c r="L10" s="327">
        <v>392086.67269099999</v>
      </c>
      <c r="M10" s="327">
        <v>377894.530516</v>
      </c>
      <c r="N10" s="327">
        <v>203043.31661899999</v>
      </c>
      <c r="O10" s="327">
        <v>205240</v>
      </c>
      <c r="P10" s="327">
        <f>SUM(K10:O10)</f>
        <v>1553734.570387</v>
      </c>
      <c r="Q10" s="323"/>
      <c r="R10" s="323">
        <f t="shared" si="1"/>
        <v>6.8915453778462671E-2</v>
      </c>
      <c r="S10" s="327">
        <v>203694</v>
      </c>
      <c r="T10" s="327">
        <v>198943</v>
      </c>
      <c r="U10" s="328">
        <f>'[7]Phụ lục số 1'!$N$15</f>
        <v>215000</v>
      </c>
      <c r="V10" s="328">
        <v>203584</v>
      </c>
      <c r="W10" s="328">
        <v>195000</v>
      </c>
      <c r="X10" s="338">
        <v>223875</v>
      </c>
      <c r="Y10" s="328">
        <v>235000</v>
      </c>
      <c r="Z10" s="328">
        <v>183101</v>
      </c>
      <c r="AA10" s="327">
        <f t="shared" si="3"/>
        <v>1013197</v>
      </c>
      <c r="AB10" s="323">
        <f t="shared" si="4"/>
        <v>-2.2569825667848264E-2</v>
      </c>
      <c r="AC10" s="323">
        <f t="shared" si="13"/>
        <v>2.7110777479998353E-2</v>
      </c>
      <c r="AD10" s="323">
        <f t="shared" si="5"/>
        <v>-0.34789569640093954</v>
      </c>
      <c r="AE10" s="329">
        <v>210000</v>
      </c>
      <c r="AF10" s="330">
        <v>245001</v>
      </c>
      <c r="AG10" s="1612">
        <v>185000</v>
      </c>
      <c r="AH10" s="338">
        <f>'PL1.1'!H11</f>
        <v>227900.049615</v>
      </c>
      <c r="AI10" s="332">
        <f>AH10+AF10+Z10+X10+V10</f>
        <v>1083461.0496149999</v>
      </c>
      <c r="AJ10" s="324">
        <f t="shared" si="25"/>
        <v>2.7585755589752702E-2</v>
      </c>
      <c r="AK10" s="331">
        <f t="shared" si="15"/>
        <v>0.21382060876663034</v>
      </c>
      <c r="AL10" s="330">
        <f t="shared" ref="AL10:AL27" si="29">AH10+AF10+Z10</f>
        <v>656002.04961500003</v>
      </c>
      <c r="AM10" s="331">
        <f t="shared" ref="AM10:AM28" si="30">AL10/$AL$7</f>
        <v>2.7889791486398214E-2</v>
      </c>
      <c r="AN10" s="331">
        <f t="shared" ref="AN10:AN28" si="31">((Z10/X10)*(AF10/Z10)*(AH10/AF10)^(1/3))-1</f>
        <v>6.8286595498367797E-2</v>
      </c>
      <c r="AO10" s="338">
        <f>'[8]Phụ lục số 1-1'!N11</f>
        <v>250000</v>
      </c>
      <c r="AP10" s="338">
        <f>'PL1.1'!T11</f>
        <v>210000</v>
      </c>
      <c r="AQ10" s="338">
        <f>'PL1.1'!Z11</f>
        <v>230000</v>
      </c>
      <c r="AR10" s="338">
        <f>'PL1.1'!AF11</f>
        <v>309999.7</v>
      </c>
      <c r="AS10" s="327">
        <f>AR10+AQ10+AP10</f>
        <v>749999.7</v>
      </c>
      <c r="AT10" s="422">
        <f t="shared" si="26"/>
        <v>2.7194352109933134E-2</v>
      </c>
      <c r="AU10" s="461">
        <f t="shared" si="18"/>
        <v>0.10799793572581562</v>
      </c>
      <c r="AV10" s="327">
        <f t="shared" si="7"/>
        <v>1222900.7496150001</v>
      </c>
      <c r="AW10" s="323">
        <f t="shared" si="8"/>
        <v>0.11105129900673982</v>
      </c>
      <c r="AX10" s="323">
        <f>AV10/$AV$7</f>
        <v>2.8659735587046709E-2</v>
      </c>
      <c r="AY10" s="323">
        <f t="shared" si="9"/>
        <v>0.20697233570075713</v>
      </c>
      <c r="AZ10" s="338">
        <f>'PL1.1'!AL11</f>
        <v>340000</v>
      </c>
      <c r="BA10" s="327">
        <f>'[8]Phụ lục số 1-1'!AR11</f>
        <v>370000</v>
      </c>
      <c r="BB10" s="327">
        <f>'[8]Phụ lục số 1-1'!AX11</f>
        <v>410000</v>
      </c>
      <c r="BC10" s="327">
        <f>'[8]Phụ lục số 1-1'!BD11</f>
        <v>455000</v>
      </c>
      <c r="BD10" s="327">
        <f>'[8]Phụ lục số 1-1'!BJ11</f>
        <v>510000</v>
      </c>
      <c r="BE10" s="1599">
        <f>AZ10+BA10+BB10+BC10+BD10</f>
        <v>2085000</v>
      </c>
      <c r="BF10" s="461">
        <f t="shared" si="11"/>
        <v>0.10469345389885287</v>
      </c>
      <c r="BG10" s="422">
        <f t="shared" si="20"/>
        <v>3.2062125035032633E-2</v>
      </c>
      <c r="BH10" s="1665">
        <f>BE10/AV10-1</f>
        <v>0.70496256597799167</v>
      </c>
      <c r="BI10" s="334"/>
      <c r="BJ10" s="334"/>
      <c r="BK10" s="334"/>
      <c r="BL10" s="335">
        <f>AF10+AF11</f>
        <v>531474</v>
      </c>
      <c r="BM10" s="335">
        <f>AH10+AH11</f>
        <v>619044.33509499999</v>
      </c>
      <c r="BN10" s="335">
        <f>BM10/BL10%</f>
        <v>116.4768803544482</v>
      </c>
      <c r="BO10" s="314">
        <f t="shared" si="21"/>
        <v>16.476880354448198</v>
      </c>
      <c r="BQ10" s="335">
        <f>485000</f>
        <v>485000</v>
      </c>
      <c r="BR10" s="339">
        <f>BM10/BQ10</f>
        <v>1.2763800723608247</v>
      </c>
    </row>
    <row r="11" spans="1:127" s="335" customFormat="1" ht="30" customHeight="1">
      <c r="A11" s="325">
        <v>2</v>
      </c>
      <c r="B11" s="336" t="s">
        <v>472</v>
      </c>
      <c r="C11" s="337">
        <f>'[6]Tổng hợp thu NSNN năm 2005'!$D$20/1000000</f>
        <v>48228.976229</v>
      </c>
      <c r="D11" s="327">
        <v>44800</v>
      </c>
      <c r="E11" s="327">
        <v>101880</v>
      </c>
      <c r="F11" s="327">
        <v>76050</v>
      </c>
      <c r="G11" s="327">
        <v>172870</v>
      </c>
      <c r="H11" s="327">
        <v>148607</v>
      </c>
      <c r="I11" s="327">
        <f t="shared" ref="I11:I28" si="32">SUM(D11:H11)</f>
        <v>544207</v>
      </c>
      <c r="J11" s="327"/>
      <c r="K11" s="327">
        <v>143351.48759800001</v>
      </c>
      <c r="L11" s="327">
        <v>229165.69016900001</v>
      </c>
      <c r="M11" s="327">
        <v>259813.95480400001</v>
      </c>
      <c r="N11" s="327">
        <v>268703.66079599998</v>
      </c>
      <c r="O11" s="327">
        <v>332356</v>
      </c>
      <c r="P11" s="327">
        <f t="shared" ref="P11:P28" si="33">SUM(K11:O11)</f>
        <v>1233390.7933670001</v>
      </c>
      <c r="Q11" s="323"/>
      <c r="R11" s="323">
        <f t="shared" si="1"/>
        <v>5.4706696903766137E-2</v>
      </c>
      <c r="S11" s="327">
        <v>323641</v>
      </c>
      <c r="T11" s="327">
        <v>384159</v>
      </c>
      <c r="U11" s="328">
        <f>'[7]Phụ lục số 1'!$N$22</f>
        <v>320000</v>
      </c>
      <c r="V11" s="328">
        <v>385864</v>
      </c>
      <c r="W11" s="328">
        <v>440000</v>
      </c>
      <c r="X11" s="328">
        <v>479648</v>
      </c>
      <c r="Y11" s="328">
        <v>515000</v>
      </c>
      <c r="Z11" s="328">
        <v>455219.9</v>
      </c>
      <c r="AA11" s="327">
        <f t="shared" si="3"/>
        <v>2028531.9</v>
      </c>
      <c r="AB11" s="323">
        <f t="shared" si="4"/>
        <v>6.4936084774755098E-2</v>
      </c>
      <c r="AC11" s="323">
        <f t="shared" si="13"/>
        <v>5.4278760154222991E-2</v>
      </c>
      <c r="AD11" s="323">
        <f t="shared" si="5"/>
        <v>0.64467897028999688</v>
      </c>
      <c r="AE11" s="329">
        <v>535000</v>
      </c>
      <c r="AF11" s="330">
        <v>286473</v>
      </c>
      <c r="AG11" s="1612">
        <v>300000</v>
      </c>
      <c r="AH11" s="338">
        <f>'PL1.1'!H17</f>
        <v>391144.28547999996</v>
      </c>
      <c r="AI11" s="332">
        <f t="shared" ref="AI11:AI28" si="34">AH11+AF11+Z11+X11+V11</f>
        <v>1998349.18548</v>
      </c>
      <c r="AJ11" s="324">
        <f t="shared" si="25"/>
        <v>5.0879514527283912E-2</v>
      </c>
      <c r="AK11" s="331">
        <f t="shared" si="15"/>
        <v>-0.20636037613212899</v>
      </c>
      <c r="AL11" s="330">
        <f t="shared" si="29"/>
        <v>1132837.18548</v>
      </c>
      <c r="AM11" s="331">
        <f t="shared" si="30"/>
        <v>4.8162338684182342E-2</v>
      </c>
      <c r="AN11" s="331">
        <f>((Z11/X11)*(AF11/Z11)*(AH11/AF11)^(1/3))-1</f>
        <v>-0.33740906586415842</v>
      </c>
      <c r="AO11" s="338">
        <f>'[8]Phụ lục số 1-1'!N17</f>
        <v>350000</v>
      </c>
      <c r="AP11" s="338">
        <f>'PL1.1'!T17</f>
        <v>270000</v>
      </c>
      <c r="AQ11" s="338">
        <f>'PL1.1'!Z17</f>
        <v>300000</v>
      </c>
      <c r="AR11" s="338">
        <f>'PL1.1'!AF17</f>
        <v>470000</v>
      </c>
      <c r="AS11" s="327">
        <f t="shared" ref="AS11:AS28" si="35">AR11+AQ11+AP11</f>
        <v>1040000</v>
      </c>
      <c r="AT11" s="422">
        <f>AS11/$AS$7</f>
        <v>3.7709516676247286E-2</v>
      </c>
      <c r="AU11" s="461">
        <f t="shared" si="18"/>
        <v>6.3131426153523407E-2</v>
      </c>
      <c r="AV11" s="327">
        <f t="shared" si="7"/>
        <v>1717617.2854800001</v>
      </c>
      <c r="AW11" s="323">
        <f t="shared" si="8"/>
        <v>6.4108814528600622E-3</v>
      </c>
      <c r="AX11" s="323">
        <f t="shared" ref="AX11:AX14" si="36">AV11/$AV$7</f>
        <v>4.025384501325676E-2</v>
      </c>
      <c r="AY11" s="323">
        <f t="shared" si="9"/>
        <v>-0.15327075434209336</v>
      </c>
      <c r="AZ11" s="338">
        <f>'PL1.1'!AL17</f>
        <v>510000</v>
      </c>
      <c r="BA11" s="327">
        <f>'[8]Phụ lục số 1-1'!AR17</f>
        <v>560000</v>
      </c>
      <c r="BB11" s="327">
        <f>'[8]Phụ lục số 1-1'!AX17</f>
        <v>620000</v>
      </c>
      <c r="BC11" s="327">
        <f>'[8]Phụ lục số 1-1'!BD17</f>
        <v>690000</v>
      </c>
      <c r="BD11" s="327">
        <f>'[8]Phụ lục số 1-1'!BJ17</f>
        <v>770000</v>
      </c>
      <c r="BE11" s="1599">
        <f t="shared" si="28"/>
        <v>3150000</v>
      </c>
      <c r="BF11" s="461">
        <f t="shared" si="11"/>
        <v>0.10376996822418216</v>
      </c>
      <c r="BG11" s="422">
        <f t="shared" si="20"/>
        <v>4.8439181707603265E-2</v>
      </c>
      <c r="BH11" s="1665">
        <f t="shared" ref="BH11:BH27" si="37">BE11/AV11-1</f>
        <v>0.8339358986595844</v>
      </c>
      <c r="BI11" s="334"/>
      <c r="BJ11" s="334"/>
      <c r="BK11" s="334"/>
      <c r="BN11" s="335" t="e">
        <f t="shared" ref="BN11:BN28" si="38">BM11/BL11%</f>
        <v>#DIV/0!</v>
      </c>
      <c r="BO11" s="314" t="e">
        <f t="shared" si="21"/>
        <v>#DIV/0!</v>
      </c>
      <c r="BQ11" s="335">
        <f>'[8]Phụ lục số 1-1'!C11</f>
        <v>185000</v>
      </c>
      <c r="BR11" s="335">
        <f>'[8]Phụ lục số 1-1'!H11</f>
        <v>237000</v>
      </c>
      <c r="BS11" s="339">
        <f>BR11/BQ11</f>
        <v>1.2810810810810811</v>
      </c>
      <c r="BT11" s="339">
        <f>BS11+BS12</f>
        <v>2.647747747747748</v>
      </c>
      <c r="BU11" s="339">
        <f>BT11/2</f>
        <v>1.323873873873874</v>
      </c>
    </row>
    <row r="12" spans="1:127" s="335" customFormat="1" ht="30" customHeight="1">
      <c r="A12" s="325">
        <v>3</v>
      </c>
      <c r="B12" s="336" t="s">
        <v>473</v>
      </c>
      <c r="C12" s="337">
        <f>'[6]Tổng hợp thu NSNN năm 2005'!$D$28/1000000</f>
        <v>1037.3321739999999</v>
      </c>
      <c r="D12" s="327">
        <v>580</v>
      </c>
      <c r="E12" s="327">
        <v>630</v>
      </c>
      <c r="F12" s="327">
        <v>2440</v>
      </c>
      <c r="G12" s="327">
        <v>780</v>
      </c>
      <c r="H12" s="327">
        <v>3761</v>
      </c>
      <c r="I12" s="327">
        <f t="shared" si="32"/>
        <v>8191</v>
      </c>
      <c r="J12" s="327"/>
      <c r="K12" s="327">
        <v>8028.6076819999998</v>
      </c>
      <c r="L12" s="327">
        <v>7377.2642779999996</v>
      </c>
      <c r="M12" s="327">
        <v>17351.560365000001</v>
      </c>
      <c r="N12" s="327">
        <v>25825.109232999999</v>
      </c>
      <c r="O12" s="327">
        <v>69494</v>
      </c>
      <c r="P12" s="327">
        <f t="shared" si="33"/>
        <v>128076.541558</v>
      </c>
      <c r="Q12" s="323"/>
      <c r="R12" s="323">
        <f t="shared" si="1"/>
        <v>5.680798476181961E-3</v>
      </c>
      <c r="S12" s="327">
        <v>61938</v>
      </c>
      <c r="T12" s="327">
        <v>49785</v>
      </c>
      <c r="U12" s="328">
        <f>'[7]Phụ lục số 1'!$N$29</f>
        <v>31000</v>
      </c>
      <c r="V12" s="328">
        <v>35833</v>
      </c>
      <c r="W12" s="328">
        <v>33000</v>
      </c>
      <c r="X12" s="328">
        <v>76845</v>
      </c>
      <c r="Y12" s="328">
        <v>60000</v>
      </c>
      <c r="Z12" s="328">
        <v>110158.9</v>
      </c>
      <c r="AA12" s="327">
        <f t="shared" si="3"/>
        <v>334559.90000000002</v>
      </c>
      <c r="AB12" s="323">
        <f t="shared" si="4"/>
        <v>9.6514694647396038E-2</v>
      </c>
      <c r="AC12" s="323">
        <f t="shared" si="13"/>
        <v>8.9520389446775921E-3</v>
      </c>
      <c r="AD12" s="323">
        <f t="shared" si="5"/>
        <v>1.6121871806516039</v>
      </c>
      <c r="AE12" s="340">
        <v>70000</v>
      </c>
      <c r="AF12" s="330">
        <v>70477</v>
      </c>
      <c r="AG12" s="1612">
        <v>74000</v>
      </c>
      <c r="AH12" s="338">
        <f>'PL1.1'!H23</f>
        <v>74729.223614999995</v>
      </c>
      <c r="AI12" s="332">
        <f t="shared" si="34"/>
        <v>368043.12361499999</v>
      </c>
      <c r="AJ12" s="324">
        <f t="shared" si="25"/>
        <v>9.3706623400446522E-3</v>
      </c>
      <c r="AK12" s="331">
        <f>((V12/T12)*(X12/V12)*(Z12/X12)*(AF12/Z12)*(AH12/AF12)^(1/5))-1</f>
        <v>0.43231160233283594</v>
      </c>
      <c r="AL12" s="330">
        <f t="shared" si="29"/>
        <v>255365.12361499999</v>
      </c>
      <c r="AM12" s="331">
        <f t="shared" si="30"/>
        <v>1.0856795424191922E-2</v>
      </c>
      <c r="AN12" s="331">
        <f>((Z12/X12)*(AF12/Z12)*(AH12/AF12)^(1/3))-1</f>
        <v>-6.4782091405470532E-2</v>
      </c>
      <c r="AO12" s="338">
        <f>'[8]Phụ lục số 1-1'!N23</f>
        <v>70000</v>
      </c>
      <c r="AP12" s="338">
        <f>'PL1.1'!T23</f>
        <v>70000</v>
      </c>
      <c r="AQ12" s="338">
        <f>'PL1.1'!Z23</f>
        <v>75000</v>
      </c>
      <c r="AR12" s="338">
        <f>'PL1.1'!AF23</f>
        <v>100000</v>
      </c>
      <c r="AS12" s="327">
        <f t="shared" si="35"/>
        <v>245000</v>
      </c>
      <c r="AT12" s="422">
        <f t="shared" si="26"/>
        <v>8.883491909308254E-3</v>
      </c>
      <c r="AU12" s="461">
        <f t="shared" si="18"/>
        <v>0.10197018216005049</v>
      </c>
      <c r="AV12" s="327">
        <f t="shared" si="7"/>
        <v>390206.22361500002</v>
      </c>
      <c r="AW12" s="323">
        <f t="shared" si="8"/>
        <v>-1.9164712909005899E-2</v>
      </c>
      <c r="AX12" s="323">
        <f>AV12/$AV$7</f>
        <v>9.1448199673985625E-3</v>
      </c>
      <c r="AY12" s="323">
        <f t="shared" si="9"/>
        <v>0.16632693761266659</v>
      </c>
      <c r="AZ12" s="338">
        <f>'PL1.1'!AL23</f>
        <v>110000</v>
      </c>
      <c r="BA12" s="327">
        <f>'[8]Phụ lục số 1-1'!AR23</f>
        <v>120000</v>
      </c>
      <c r="BB12" s="327">
        <f>'[8]Phụ lục số 1-1'!AX23</f>
        <v>130000</v>
      </c>
      <c r="BC12" s="327">
        <f>'[8]Phụ lục số 1-1'!BD23</f>
        <v>140000</v>
      </c>
      <c r="BD12" s="327">
        <f>'[8]Phụ lục số 1-1'!BJ23</f>
        <v>153000</v>
      </c>
      <c r="BE12" s="1599">
        <f t="shared" si="28"/>
        <v>653000</v>
      </c>
      <c r="BF12" s="461">
        <f t="shared" si="11"/>
        <v>8.8775365880074064E-2</v>
      </c>
      <c r="BG12" s="422">
        <f t="shared" si="20"/>
        <v>1.0041519255576168E-2</v>
      </c>
      <c r="BH12" s="1665">
        <f t="shared" si="37"/>
        <v>0.67347407724661901</v>
      </c>
      <c r="BI12" s="334"/>
      <c r="BJ12" s="334"/>
      <c r="BK12" s="334"/>
      <c r="BL12" s="335">
        <f t="shared" ref="BL12:BL28" si="39">AF12</f>
        <v>70477</v>
      </c>
      <c r="BM12" s="335">
        <f t="shared" ref="BM12:BM28" si="40">AH12</f>
        <v>74729.223614999995</v>
      </c>
      <c r="BN12" s="335">
        <f t="shared" si="38"/>
        <v>106.0334912311818</v>
      </c>
      <c r="BO12" s="314">
        <f t="shared" si="21"/>
        <v>6.0334912311817988</v>
      </c>
      <c r="BQ12" s="335">
        <f>'[8]Phụ lục số 1-1'!C17</f>
        <v>300000</v>
      </c>
      <c r="BR12" s="335">
        <f>'[8]Phụ lục số 1-1'!H17</f>
        <v>410000</v>
      </c>
      <c r="BS12" s="339">
        <f>BR12/BQ12</f>
        <v>1.3666666666666667</v>
      </c>
    </row>
    <row r="13" spans="1:127" s="335" customFormat="1" ht="30" customHeight="1">
      <c r="A13" s="325">
        <v>4</v>
      </c>
      <c r="B13" s="336" t="s">
        <v>474</v>
      </c>
      <c r="C13" s="337">
        <f>'[6]Tổng hợp thu NSNN năm 2005'!$D$32/1000000</f>
        <v>237081.01390699999</v>
      </c>
      <c r="D13" s="327">
        <v>271920</v>
      </c>
      <c r="E13" s="327">
        <v>369340</v>
      </c>
      <c r="F13" s="327">
        <v>554950</v>
      </c>
      <c r="G13" s="327">
        <v>654560</v>
      </c>
      <c r="H13" s="327">
        <v>873678</v>
      </c>
      <c r="I13" s="327">
        <f t="shared" si="32"/>
        <v>2724448</v>
      </c>
      <c r="J13" s="327"/>
      <c r="K13" s="327">
        <v>1024104.439563</v>
      </c>
      <c r="L13" s="327">
        <v>1064747.6828060001</v>
      </c>
      <c r="M13" s="327">
        <v>1081721.420525</v>
      </c>
      <c r="N13" s="327">
        <v>744273.199104</v>
      </c>
      <c r="O13" s="327">
        <v>586685</v>
      </c>
      <c r="P13" s="327">
        <f t="shared" si="33"/>
        <v>4501531.7419980001</v>
      </c>
      <c r="Q13" s="323"/>
      <c r="R13" s="323">
        <f t="shared" si="1"/>
        <v>0.19966415667810991</v>
      </c>
      <c r="S13" s="327">
        <v>674044</v>
      </c>
      <c r="T13" s="327">
        <v>895287</v>
      </c>
      <c r="U13" s="328">
        <f>'[7]Phụ lục số 1'!$N$35</f>
        <v>860000</v>
      </c>
      <c r="V13" s="328">
        <v>943679</v>
      </c>
      <c r="W13" s="328">
        <v>960000</v>
      </c>
      <c r="X13" s="328">
        <v>1430938</v>
      </c>
      <c r="Y13" s="328">
        <v>1410000</v>
      </c>
      <c r="Z13" s="328">
        <v>1265121.8999999999</v>
      </c>
      <c r="AA13" s="327">
        <f t="shared" si="3"/>
        <v>5209069.9000000004</v>
      </c>
      <c r="AB13" s="323">
        <f t="shared" si="4"/>
        <v>0.16612599815317886</v>
      </c>
      <c r="AC13" s="323">
        <f t="shared" si="13"/>
        <v>0.1393825040309607</v>
      </c>
      <c r="AD13" s="323">
        <f t="shared" si="5"/>
        <v>0.1571772006850185</v>
      </c>
      <c r="AE13" s="340">
        <v>1315000</v>
      </c>
      <c r="AF13" s="330">
        <v>1132031</v>
      </c>
      <c r="AG13" s="1612">
        <v>945000</v>
      </c>
      <c r="AH13" s="338">
        <f>'PL1.1'!H28</f>
        <v>1184282.337326</v>
      </c>
      <c r="AI13" s="332">
        <f t="shared" si="34"/>
        <v>5956052.2373259999</v>
      </c>
      <c r="AJ13" s="324">
        <f t="shared" si="25"/>
        <v>0.1516456926227836</v>
      </c>
      <c r="AK13" s="331">
        <f t="shared" si="15"/>
        <v>0.27589644681387449</v>
      </c>
      <c r="AL13" s="330">
        <f t="shared" si="29"/>
        <v>3581435.2373259999</v>
      </c>
      <c r="AM13" s="331">
        <f t="shared" si="30"/>
        <v>0.15226397851909587</v>
      </c>
      <c r="AN13" s="331">
        <f t="shared" si="31"/>
        <v>-0.19689965272990928</v>
      </c>
      <c r="AO13" s="338">
        <f>'[8]Phụ lục số 1-1'!N28</f>
        <v>1265000</v>
      </c>
      <c r="AP13" s="338">
        <f>'PL1.1'!T28</f>
        <v>1600000.2999999998</v>
      </c>
      <c r="AQ13" s="338">
        <f>'PL1.1'!Z28</f>
        <v>1701000</v>
      </c>
      <c r="AR13" s="338">
        <f>'PL1.1'!AF28</f>
        <v>1620000</v>
      </c>
      <c r="AS13" s="327">
        <f t="shared" si="35"/>
        <v>4921000.3</v>
      </c>
      <c r="AT13" s="1609">
        <f t="shared" si="26"/>
        <v>0.17843129122756526</v>
      </c>
      <c r="AU13" s="461">
        <f t="shared" si="18"/>
        <v>0.11007738252049504</v>
      </c>
      <c r="AV13" s="327">
        <f t="shared" si="7"/>
        <v>7237313.6373260003</v>
      </c>
      <c r="AW13" s="323">
        <f t="shared" si="8"/>
        <v>5.0694667607675825E-2</v>
      </c>
      <c r="AX13" s="323">
        <f>AV13/$AV$7</f>
        <v>0.16961269773658352</v>
      </c>
      <c r="AY13" s="323">
        <f t="shared" si="9"/>
        <v>0.38936773287031534</v>
      </c>
      <c r="AZ13" s="338">
        <f>'PL1.1'!AL28</f>
        <v>1790000</v>
      </c>
      <c r="BA13" s="327">
        <f>'[8]Phụ lục số 1-1'!AR28</f>
        <v>1980000</v>
      </c>
      <c r="BB13" s="327">
        <f>'[8]Phụ lục số 1-1'!AX28</f>
        <v>2190000</v>
      </c>
      <c r="BC13" s="327">
        <f>'[8]Phụ lục số 1-1'!BD28</f>
        <v>2430000</v>
      </c>
      <c r="BD13" s="327">
        <f>'[8]Phụ lục số 1-1'!BJ28</f>
        <v>2730000</v>
      </c>
      <c r="BE13" s="1599">
        <f t="shared" si="28"/>
        <v>11120000</v>
      </c>
      <c r="BF13" s="461">
        <f t="shared" si="11"/>
        <v>0.11001673522571775</v>
      </c>
      <c r="BG13" s="422">
        <f t="shared" si="20"/>
        <v>0.17099800018684072</v>
      </c>
      <c r="BH13" s="1665">
        <f>BE13/AV13-1</f>
        <v>0.53648170540092166</v>
      </c>
      <c r="BI13" s="334"/>
      <c r="BJ13" s="334"/>
      <c r="BK13" s="334"/>
      <c r="BL13" s="335">
        <f t="shared" si="39"/>
        <v>1132031</v>
      </c>
      <c r="BM13" s="335">
        <f t="shared" si="40"/>
        <v>1184282.337326</v>
      </c>
      <c r="BN13" s="335">
        <f>BM13/BL13%</f>
        <v>104.61571611784483</v>
      </c>
      <c r="BO13" s="314">
        <f t="shared" si="21"/>
        <v>4.6157161178448263</v>
      </c>
    </row>
    <row r="14" spans="1:127" s="335" customFormat="1" ht="30" customHeight="1">
      <c r="A14" s="325">
        <v>5</v>
      </c>
      <c r="B14" s="336" t="s">
        <v>16</v>
      </c>
      <c r="C14" s="337">
        <f>'[6]Tổng hợp thu NSNN năm 2005'!$D$39/1000000</f>
        <v>29969.945012</v>
      </c>
      <c r="D14" s="327">
        <v>39220</v>
      </c>
      <c r="E14" s="327">
        <v>50330</v>
      </c>
      <c r="F14" s="327">
        <v>56660</v>
      </c>
      <c r="G14" s="327">
        <v>61750</v>
      </c>
      <c r="H14" s="327">
        <v>66384</v>
      </c>
      <c r="I14" s="327">
        <f t="shared" si="32"/>
        <v>274344</v>
      </c>
      <c r="J14" s="327"/>
      <c r="K14" s="327">
        <v>83707.295922000005</v>
      </c>
      <c r="L14" s="327">
        <v>85266.235153999995</v>
      </c>
      <c r="M14" s="327">
        <v>86018.719326999999</v>
      </c>
      <c r="N14" s="327">
        <v>102607.365288</v>
      </c>
      <c r="O14" s="327">
        <v>139966</v>
      </c>
      <c r="P14" s="327">
        <f t="shared" si="33"/>
        <v>497565.61569100001</v>
      </c>
      <c r="Q14" s="323"/>
      <c r="R14" s="323">
        <f t="shared" si="1"/>
        <v>2.2069380989163796E-2</v>
      </c>
      <c r="S14" s="327">
        <v>184878</v>
      </c>
      <c r="T14" s="327">
        <v>209558</v>
      </c>
      <c r="U14" s="328">
        <f>'[7]Phụ lục số 1'!$N$42</f>
        <v>242800</v>
      </c>
      <c r="V14" s="328">
        <v>247450</v>
      </c>
      <c r="W14" s="328">
        <v>240000</v>
      </c>
      <c r="X14" s="328">
        <v>317324</v>
      </c>
      <c r="Y14" s="328">
        <v>345000</v>
      </c>
      <c r="Z14" s="328">
        <v>281768.90000000002</v>
      </c>
      <c r="AA14" s="327">
        <f t="shared" si="3"/>
        <v>1240978.8999999999</v>
      </c>
      <c r="AB14" s="323">
        <f t="shared" si="4"/>
        <v>0.15020195395128755</v>
      </c>
      <c r="AC14" s="323">
        <f t="shared" si="13"/>
        <v>3.3205687359193846E-2</v>
      </c>
      <c r="AD14" s="323">
        <f t="shared" si="5"/>
        <v>1.4941010006822437</v>
      </c>
      <c r="AE14" s="340">
        <v>280000</v>
      </c>
      <c r="AF14" s="330">
        <v>242162</v>
      </c>
      <c r="AG14" s="1612">
        <v>220000</v>
      </c>
      <c r="AH14" s="338">
        <f>'PL1.1'!H34</f>
        <v>368324.93194500002</v>
      </c>
      <c r="AI14" s="332">
        <f t="shared" si="34"/>
        <v>1457029.8319450002</v>
      </c>
      <c r="AJ14" s="324">
        <f t="shared" si="25"/>
        <v>3.7097105470746378E-2</v>
      </c>
      <c r="AK14" s="331">
        <f t="shared" si="15"/>
        <v>0.25668599262699843</v>
      </c>
      <c r="AL14" s="330">
        <f t="shared" si="29"/>
        <v>892255.8319450001</v>
      </c>
      <c r="AM14" s="331">
        <f t="shared" si="30"/>
        <v>3.7934072187843677E-2</v>
      </c>
      <c r="AN14" s="331">
        <f t="shared" si="31"/>
        <v>-0.1223700231664262</v>
      </c>
      <c r="AO14" s="338">
        <f>'[8]Phụ lục số 1-1'!N34</f>
        <v>295000</v>
      </c>
      <c r="AP14" s="338">
        <f>'PL1.1'!T34</f>
        <v>340000</v>
      </c>
      <c r="AQ14" s="338">
        <f>'PL1.1'!Z34</f>
        <v>350000</v>
      </c>
      <c r="AR14" s="338">
        <f>'PL1.1'!AF34</f>
        <v>436000</v>
      </c>
      <c r="AS14" s="327">
        <f t="shared" si="35"/>
        <v>1126000</v>
      </c>
      <c r="AT14" s="422">
        <f t="shared" si="26"/>
        <v>4.0827803632167731E-2</v>
      </c>
      <c r="AU14" s="461">
        <f t="shared" si="18"/>
        <v>5.7836279133762547E-2</v>
      </c>
      <c r="AV14" s="327">
        <f t="shared" si="7"/>
        <v>1736486.9319450001</v>
      </c>
      <c r="AW14" s="323">
        <f t="shared" si="8"/>
        <v>9.1236003951927547E-2</v>
      </c>
      <c r="AX14" s="323">
        <f t="shared" si="36"/>
        <v>4.0696071480513574E-2</v>
      </c>
      <c r="AY14" s="323">
        <f t="shared" si="9"/>
        <v>0.39928803942194357</v>
      </c>
      <c r="AZ14" s="338">
        <f>'PL1.1'!AL34</f>
        <v>480000</v>
      </c>
      <c r="BA14" s="327">
        <f>'[8]Phụ lục số 1-1'!AR34</f>
        <v>528000</v>
      </c>
      <c r="BB14" s="327">
        <f>'[8]Phụ lục số 1-1'!AX34</f>
        <v>585000</v>
      </c>
      <c r="BC14" s="327">
        <f>'[8]Phụ lục số 1-1'!BD34</f>
        <v>650000</v>
      </c>
      <c r="BD14" s="327">
        <f>'[8]Phụ lục số 1-1'!BJ34</f>
        <v>730000</v>
      </c>
      <c r="BE14" s="1599">
        <f t="shared" si="28"/>
        <v>2973000</v>
      </c>
      <c r="BF14" s="461">
        <f t="shared" si="11"/>
        <v>0.10858059984170887</v>
      </c>
      <c r="BG14" s="422">
        <f t="shared" si="20"/>
        <v>4.5717361021176031E-2</v>
      </c>
      <c r="BH14" s="1665">
        <f t="shared" si="37"/>
        <v>0.71207738181479385</v>
      </c>
      <c r="BI14" s="334"/>
      <c r="BJ14" s="334"/>
      <c r="BK14" s="334"/>
      <c r="BL14" s="335">
        <f t="shared" si="39"/>
        <v>242162</v>
      </c>
      <c r="BM14" s="335">
        <f t="shared" si="40"/>
        <v>368324.93194500002</v>
      </c>
      <c r="BN14" s="335">
        <f t="shared" si="38"/>
        <v>152.09856705222126</v>
      </c>
      <c r="BO14" s="314">
        <f t="shared" si="21"/>
        <v>52.098567052221256</v>
      </c>
      <c r="BQ14" s="335">
        <f>AH13+AH14+AH15+AH16+AH17+AH18+AH12+AH11+AH10+AH19+AH28+AH27</f>
        <v>6211588.4322429998</v>
      </c>
      <c r="BR14" s="335">
        <f>AF58</f>
        <v>5215166</v>
      </c>
      <c r="BS14" s="335">
        <f>BQ14-BR14</f>
        <v>996422.43224299978</v>
      </c>
    </row>
    <row r="15" spans="1:127" s="335" customFormat="1" ht="30" customHeight="1">
      <c r="A15" s="325">
        <v>6</v>
      </c>
      <c r="B15" s="336" t="s">
        <v>96</v>
      </c>
      <c r="C15" s="337">
        <f>'[6]Tổng hợp thu NSNN năm 2005'!$D$40/1000000</f>
        <v>1192.553216</v>
      </c>
      <c r="D15" s="327">
        <v>770</v>
      </c>
      <c r="E15" s="327">
        <v>880</v>
      </c>
      <c r="F15" s="327">
        <v>960</v>
      </c>
      <c r="G15" s="327">
        <v>770</v>
      </c>
      <c r="H15" s="327">
        <v>826.96921500000008</v>
      </c>
      <c r="I15" s="327">
        <f t="shared" si="32"/>
        <v>4206.9692150000001</v>
      </c>
      <c r="J15" s="327"/>
      <c r="K15" s="327">
        <v>708.54907600000001</v>
      </c>
      <c r="L15" s="327">
        <v>552.2912</v>
      </c>
      <c r="M15" s="327">
        <v>154.60680099999999</v>
      </c>
      <c r="N15" s="327">
        <v>529.35928999999999</v>
      </c>
      <c r="O15" s="327">
        <v>663</v>
      </c>
      <c r="P15" s="327">
        <f t="shared" si="33"/>
        <v>2607.8063669999997</v>
      </c>
      <c r="Q15" s="323"/>
      <c r="R15" s="323">
        <f t="shared" si="1"/>
        <v>1.1566850771905361E-4</v>
      </c>
      <c r="S15" s="327">
        <v>909</v>
      </c>
      <c r="T15" s="327">
        <v>694</v>
      </c>
      <c r="U15" s="328">
        <f>'[7]Phụ lục số 1'!$N$43</f>
        <v>0</v>
      </c>
      <c r="V15" s="328">
        <v>519</v>
      </c>
      <c r="W15" s="328"/>
      <c r="X15" s="328">
        <v>1035</v>
      </c>
      <c r="Y15" s="328"/>
      <c r="Z15" s="328">
        <v>703.9</v>
      </c>
      <c r="AA15" s="327">
        <f t="shared" si="3"/>
        <v>3860.9</v>
      </c>
      <c r="AB15" s="323">
        <f t="shared" si="4"/>
        <v>1.2044216480944447E-2</v>
      </c>
      <c r="AC15" s="323">
        <f t="shared" si="13"/>
        <v>1.0330863669407395E-4</v>
      </c>
      <c r="AD15" s="323">
        <f t="shared" si="5"/>
        <v>0.48051636381329565</v>
      </c>
      <c r="AE15" s="340"/>
      <c r="AF15" s="330">
        <v>297</v>
      </c>
      <c r="AG15" s="1612"/>
      <c r="AH15" s="338">
        <f>'PL1.1'!H35</f>
        <v>280.44446699999997</v>
      </c>
      <c r="AI15" s="332">
        <f t="shared" si="34"/>
        <v>2835.3444669999999</v>
      </c>
      <c r="AJ15" s="324">
        <f t="shared" si="25"/>
        <v>7.2190061199904531E-5</v>
      </c>
      <c r="AK15" s="331">
        <f t="shared" si="15"/>
        <v>-0.57692723951032088</v>
      </c>
      <c r="AL15" s="330">
        <f t="shared" si="29"/>
        <v>1281.3444669999999</v>
      </c>
      <c r="AM15" s="331">
        <f t="shared" si="30"/>
        <v>5.4476095048564788E-5</v>
      </c>
      <c r="AN15" s="331">
        <f t="shared" si="31"/>
        <v>-0.71847763098363737</v>
      </c>
      <c r="AO15" s="338">
        <f>'[8]Phụ lục số 1-1'!N35</f>
        <v>0</v>
      </c>
      <c r="AP15" s="338">
        <f>'PL1.1'!T35</f>
        <v>339.5</v>
      </c>
      <c r="AQ15" s="338">
        <f>'PL1.1'!Z35</f>
        <v>0</v>
      </c>
      <c r="AR15" s="338">
        <f>'PL1.1'!AF35</f>
        <v>0</v>
      </c>
      <c r="AS15" s="327">
        <f t="shared" si="35"/>
        <v>339.5</v>
      </c>
      <c r="AT15" s="422">
        <f t="shared" si="26"/>
        <v>1.2309981645755724E-5</v>
      </c>
      <c r="AU15" s="461" t="e">
        <f t="shared" si="18"/>
        <v>#DIV/0!</v>
      </c>
      <c r="AV15" s="327">
        <f t="shared" si="7"/>
        <v>916.94446700000003</v>
      </c>
      <c r="AW15" s="323" t="e">
        <f t="shared" si="8"/>
        <v>#DIV/0!</v>
      </c>
      <c r="AX15" s="323"/>
      <c r="AY15" s="323">
        <f t="shared" si="9"/>
        <v>-0.76250499443135022</v>
      </c>
      <c r="AZ15" s="338">
        <f>'PL1.1'!AL35</f>
        <v>0</v>
      </c>
      <c r="BA15" s="327">
        <f>'[8]Phụ lục số 1-1'!AR35</f>
        <v>0</v>
      </c>
      <c r="BB15" s="327">
        <f>'[8]Phụ lục số 1-1'!AX35</f>
        <v>0</v>
      </c>
      <c r="BC15" s="327">
        <f>'[8]Phụ lục số 1-1'!BD35</f>
        <v>0</v>
      </c>
      <c r="BD15" s="327">
        <f>'[8]Phụ lục số 1-1'!BJ35</f>
        <v>0</v>
      </c>
      <c r="BE15" s="1599">
        <f t="shared" si="28"/>
        <v>0</v>
      </c>
      <c r="BF15" s="461" t="e">
        <f t="shared" si="11"/>
        <v>#DIV/0!</v>
      </c>
      <c r="BG15" s="422">
        <f t="shared" si="20"/>
        <v>0</v>
      </c>
      <c r="BH15" s="1665">
        <f t="shared" si="37"/>
        <v>-1</v>
      </c>
      <c r="BI15" s="334"/>
      <c r="BJ15" s="334"/>
      <c r="BK15" s="334"/>
      <c r="BL15" s="335">
        <f t="shared" si="39"/>
        <v>297</v>
      </c>
      <c r="BM15" s="335">
        <f t="shared" si="40"/>
        <v>280.44446699999997</v>
      </c>
      <c r="BN15" s="335">
        <f t="shared" si="38"/>
        <v>94.425746464646451</v>
      </c>
      <c r="BO15" s="314">
        <f t="shared" si="21"/>
        <v>-5.5742535353535487</v>
      </c>
      <c r="BP15" s="335" t="s">
        <v>475</v>
      </c>
      <c r="BQ15" s="335">
        <f>'[9]1'!$H$10*1000</f>
        <v>87214000</v>
      </c>
    </row>
    <row r="16" spans="1:127" s="335" customFormat="1" ht="30" customHeight="1">
      <c r="A16" s="325">
        <v>7</v>
      </c>
      <c r="B16" s="336" t="s">
        <v>271</v>
      </c>
      <c r="C16" s="337">
        <f>'[6]Tổng hợp thu NSNN năm 2005'!$D$41/1000000</f>
        <v>4947.6086210000003</v>
      </c>
      <c r="D16" s="327">
        <v>6300</v>
      </c>
      <c r="E16" s="327">
        <v>10340</v>
      </c>
      <c r="F16" s="327">
        <v>13690</v>
      </c>
      <c r="G16" s="327">
        <v>17250</v>
      </c>
      <c r="H16" s="327">
        <v>22513.990010999998</v>
      </c>
      <c r="I16" s="327">
        <f t="shared" si="32"/>
        <v>70093.990011000002</v>
      </c>
      <c r="J16" s="327"/>
      <c r="K16" s="327">
        <v>22700.889665999999</v>
      </c>
      <c r="L16" s="327">
        <v>7232.069724</v>
      </c>
      <c r="M16" s="327">
        <v>9025.4512319999994</v>
      </c>
      <c r="N16" s="327">
        <v>8785.7481970000008</v>
      </c>
      <c r="O16" s="327">
        <v>8245</v>
      </c>
      <c r="P16" s="327">
        <f t="shared" si="33"/>
        <v>55989.158818999997</v>
      </c>
      <c r="Q16" s="323"/>
      <c r="R16" s="323">
        <f t="shared" si="1"/>
        <v>2.4833831725355323E-3</v>
      </c>
      <c r="S16" s="327">
        <v>8374</v>
      </c>
      <c r="T16" s="327">
        <v>9759</v>
      </c>
      <c r="U16" s="328">
        <f>'[7]Phụ lục số 1'!$N$44</f>
        <v>8500</v>
      </c>
      <c r="V16" s="328">
        <v>10562</v>
      </c>
      <c r="W16" s="328">
        <v>6000</v>
      </c>
      <c r="X16" s="328">
        <v>11281</v>
      </c>
      <c r="Y16" s="328">
        <v>8000</v>
      </c>
      <c r="Z16" s="328">
        <v>11442.9</v>
      </c>
      <c r="AA16" s="327">
        <f t="shared" si="3"/>
        <v>51418.9</v>
      </c>
      <c r="AB16" s="323">
        <f t="shared" si="4"/>
        <v>6.7748791440422895E-2</v>
      </c>
      <c r="AC16" s="323">
        <f t="shared" si="13"/>
        <v>1.375849273306462E-3</v>
      </c>
      <c r="AD16" s="323">
        <f t="shared" si="5"/>
        <v>-8.1627567111243526E-2</v>
      </c>
      <c r="AE16" s="340">
        <v>8000</v>
      </c>
      <c r="AF16" s="330">
        <v>9403</v>
      </c>
      <c r="AG16" s="1612">
        <v>8000</v>
      </c>
      <c r="AH16" s="338">
        <f>'PL1.1'!H36</f>
        <v>17903.111367000001</v>
      </c>
      <c r="AI16" s="332">
        <f t="shared" si="34"/>
        <v>60592.011366999999</v>
      </c>
      <c r="AJ16" s="324">
        <f t="shared" si="25"/>
        <v>1.5427194331125486E-3</v>
      </c>
      <c r="AK16" s="331">
        <f t="shared" si="15"/>
        <v>9.5957047041294707E-2</v>
      </c>
      <c r="AL16" s="330">
        <f t="shared" si="29"/>
        <v>38749.011366999999</v>
      </c>
      <c r="AM16" s="331">
        <f t="shared" si="30"/>
        <v>1.6474062054591986E-3</v>
      </c>
      <c r="AN16" s="331">
        <f t="shared" si="31"/>
        <v>3.309326256702616E-2</v>
      </c>
      <c r="AO16" s="338">
        <f>'[8]Phụ lục số 1-1'!N36</f>
        <v>10000</v>
      </c>
      <c r="AP16" s="338">
        <f>'PL1.1'!T36</f>
        <v>14660.1</v>
      </c>
      <c r="AQ16" s="338">
        <f>'PL1.1'!Z36</f>
        <v>15000</v>
      </c>
      <c r="AR16" s="338">
        <f>'PL1.1'!AF36</f>
        <v>12000</v>
      </c>
      <c r="AS16" s="327">
        <f t="shared" si="35"/>
        <v>41660.1</v>
      </c>
      <c r="AT16" s="422">
        <f t="shared" si="26"/>
        <v>1.5105598420039705E-3</v>
      </c>
      <c r="AU16" s="461">
        <f t="shared" si="18"/>
        <v>-0.12484647929465131</v>
      </c>
      <c r="AV16" s="327">
        <f t="shared" si="7"/>
        <v>68966.211367000011</v>
      </c>
      <c r="AW16" s="323">
        <f t="shared" si="8"/>
        <v>9.5527791710896537E-3</v>
      </c>
      <c r="AX16" s="323">
        <f t="shared" ref="AX16:AX21" si="41">AV16/$AV$7</f>
        <v>1.6162827464459926E-3</v>
      </c>
      <c r="AY16" s="323">
        <f t="shared" si="9"/>
        <v>0.34126189722067202</v>
      </c>
      <c r="AZ16" s="338">
        <f>'PL1.1'!AL36</f>
        <v>13000</v>
      </c>
      <c r="BA16" s="327">
        <f>'[8]Phụ lục số 1-1'!AR36</f>
        <v>14000</v>
      </c>
      <c r="BB16" s="327">
        <f>'[8]Phụ lục số 1-1'!AX36</f>
        <v>15000</v>
      </c>
      <c r="BC16" s="327">
        <f>'[8]Phụ lục số 1-1'!BD36</f>
        <v>16000</v>
      </c>
      <c r="BD16" s="327">
        <f>'[8]Phụ lục số 1-1'!BJ36</f>
        <v>17000</v>
      </c>
      <c r="BE16" s="1599">
        <f t="shared" si="28"/>
        <v>75000</v>
      </c>
      <c r="BF16" s="461">
        <f t="shared" si="11"/>
        <v>7.2145025900850923E-2</v>
      </c>
      <c r="BG16" s="422">
        <f t="shared" si="20"/>
        <v>1.1533138501810302E-3</v>
      </c>
      <c r="BH16" s="1665">
        <f t="shared" si="37"/>
        <v>8.7489054616781914E-2</v>
      </c>
      <c r="BI16" s="334"/>
      <c r="BJ16" s="334"/>
      <c r="BK16" s="334"/>
      <c r="BL16" s="335">
        <f t="shared" si="39"/>
        <v>9403</v>
      </c>
      <c r="BM16" s="335">
        <f t="shared" si="40"/>
        <v>17903.111367000001</v>
      </c>
      <c r="BN16" s="335">
        <f t="shared" si="38"/>
        <v>190.3978662873551</v>
      </c>
      <c r="BO16" s="314">
        <f t="shared" si="21"/>
        <v>90.3978662873551</v>
      </c>
      <c r="BQ16" s="341">
        <f>BQ14/BQ15</f>
        <v>7.1222377510984466E-2</v>
      </c>
    </row>
    <row r="17" spans="1:67" s="335" customFormat="1" ht="30" customHeight="1">
      <c r="A17" s="325">
        <v>8</v>
      </c>
      <c r="B17" s="336" t="s">
        <v>97</v>
      </c>
      <c r="C17" s="337">
        <f>'[6]Tổng hợp thu NSNN năm 2005'!$D$42/1000000</f>
        <v>30997.278076999999</v>
      </c>
      <c r="D17" s="327">
        <f>38820+25460</f>
        <v>64280</v>
      </c>
      <c r="E17" s="327">
        <f>50550+36090</f>
        <v>86640</v>
      </c>
      <c r="F17" s="327">
        <f>66690+43730</f>
        <v>110420</v>
      </c>
      <c r="G17" s="327">
        <f>115840+0</f>
        <v>115840</v>
      </c>
      <c r="H17" s="327">
        <v>186978.995165</v>
      </c>
      <c r="I17" s="327">
        <f t="shared" si="32"/>
        <v>564158.99516499997</v>
      </c>
      <c r="J17" s="327"/>
      <c r="K17" s="327">
        <v>211576.30287000001</v>
      </c>
      <c r="L17" s="327">
        <v>242659.928071</v>
      </c>
      <c r="M17" s="327">
        <v>238487.114038</v>
      </c>
      <c r="N17" s="327">
        <v>256057.09914899999</v>
      </c>
      <c r="O17" s="327">
        <v>310783</v>
      </c>
      <c r="P17" s="327">
        <f t="shared" si="33"/>
        <v>1259563.4441280002</v>
      </c>
      <c r="Q17" s="323"/>
      <c r="R17" s="323">
        <f t="shared" si="1"/>
        <v>5.5867577364403821E-2</v>
      </c>
      <c r="S17" s="327">
        <v>341640</v>
      </c>
      <c r="T17" s="327">
        <v>382262</v>
      </c>
      <c r="U17" s="328">
        <f>'[7]Phụ lục số 1'!$N$45</f>
        <v>445000</v>
      </c>
      <c r="V17" s="328">
        <v>479310</v>
      </c>
      <c r="W17" s="328">
        <v>521000</v>
      </c>
      <c r="X17" s="328">
        <v>521482</v>
      </c>
      <c r="Y17" s="328">
        <v>580000</v>
      </c>
      <c r="Z17" s="328">
        <v>534260.9</v>
      </c>
      <c r="AA17" s="327">
        <f t="shared" si="3"/>
        <v>2258954.9</v>
      </c>
      <c r="AB17" s="323">
        <f t="shared" si="4"/>
        <v>0.11444650701410319</v>
      </c>
      <c r="AC17" s="323">
        <f t="shared" si="13"/>
        <v>6.0444339680488519E-2</v>
      </c>
      <c r="AD17" s="323">
        <f t="shared" si="5"/>
        <v>0.79344272853510889</v>
      </c>
      <c r="AE17" s="340">
        <v>465000</v>
      </c>
      <c r="AF17" s="330">
        <v>453602</v>
      </c>
      <c r="AG17" s="1612">
        <v>500000</v>
      </c>
      <c r="AH17" s="338">
        <f>'PL1.1'!H37</f>
        <v>711978.18546399998</v>
      </c>
      <c r="AI17" s="332">
        <f t="shared" si="34"/>
        <v>2700633.0854639998</v>
      </c>
      <c r="AJ17" s="324">
        <f t="shared" si="25"/>
        <v>6.8760205325038959E-2</v>
      </c>
      <c r="AK17" s="331">
        <f t="shared" si="15"/>
        <v>0.29859037129816812</v>
      </c>
      <c r="AL17" s="330">
        <f>AH17+AF17+Z17</f>
        <v>1699841.0854639998</v>
      </c>
      <c r="AM17" s="331">
        <f t="shared" si="30"/>
        <v>7.2268392242717971E-2</v>
      </c>
      <c r="AN17" s="331">
        <f>((Z17/X17)*(AF17/Z17)*(AH17/AF17)^(1/3))-1</f>
        <v>1.0879867146190492E-2</v>
      </c>
      <c r="AO17" s="338">
        <f>'[8]Phụ lục số 1-1'!N37</f>
        <v>600000</v>
      </c>
      <c r="AP17" s="338">
        <f>'PL1.1'!T37</f>
        <v>710000</v>
      </c>
      <c r="AQ17" s="338">
        <f>'PL1.1'!Z37</f>
        <v>730000</v>
      </c>
      <c r="AR17" s="338">
        <f>'PL1.1'!AF37</f>
        <v>870000</v>
      </c>
      <c r="AS17" s="327">
        <f t="shared" si="35"/>
        <v>2310000</v>
      </c>
      <c r="AT17" s="422">
        <f t="shared" si="26"/>
        <v>8.375863800204926E-2</v>
      </c>
      <c r="AU17" s="461">
        <f t="shared" si="18"/>
        <v>6.9098011471332654E-2</v>
      </c>
      <c r="AV17" s="327">
        <f t="shared" si="7"/>
        <v>3475580.1854639999</v>
      </c>
      <c r="AW17" s="323">
        <f t="shared" si="8"/>
        <v>0.10243545570273538</v>
      </c>
      <c r="AX17" s="323">
        <f t="shared" si="41"/>
        <v>8.1453224358834092E-2</v>
      </c>
      <c r="AY17" s="323">
        <f t="shared" si="9"/>
        <v>0.53857882929136824</v>
      </c>
      <c r="AZ17" s="338">
        <f>'PL1.1'!AL37</f>
        <v>940000</v>
      </c>
      <c r="BA17" s="327">
        <f>'[8]Phụ lục số 1-1'!AR37</f>
        <v>1040000</v>
      </c>
      <c r="BB17" s="327">
        <f>'[8]Phụ lục số 1-1'!AX37</f>
        <v>1150000</v>
      </c>
      <c r="BC17" s="327">
        <f>'[8]Phụ lục số 1-1'!BD37</f>
        <v>1270000</v>
      </c>
      <c r="BD17" s="327">
        <f>'[8]Phụ lục số 1-1'!BJ37</f>
        <v>1420000</v>
      </c>
      <c r="BE17" s="1599">
        <f t="shared" si="28"/>
        <v>5820000</v>
      </c>
      <c r="BF17" s="461">
        <f t="shared" si="11"/>
        <v>0.10294490378842869</v>
      </c>
      <c r="BG17" s="422">
        <f t="shared" si="20"/>
        <v>8.9497154774047932E-2</v>
      </c>
      <c r="BH17" s="1665">
        <f t="shared" si="37"/>
        <v>0.67454056285080743</v>
      </c>
      <c r="BI17" s="334"/>
      <c r="BJ17" s="334"/>
      <c r="BK17" s="334"/>
      <c r="BL17" s="335">
        <f t="shared" si="39"/>
        <v>453602</v>
      </c>
      <c r="BM17" s="335">
        <f t="shared" si="40"/>
        <v>711978.18546399998</v>
      </c>
      <c r="BN17" s="335">
        <f t="shared" si="38"/>
        <v>156.96098903091254</v>
      </c>
      <c r="BO17" s="314">
        <f t="shared" si="21"/>
        <v>56.960989030912543</v>
      </c>
    </row>
    <row r="18" spans="1:67" s="335" customFormat="1" ht="30" customHeight="1">
      <c r="A18" s="325">
        <v>9</v>
      </c>
      <c r="B18" s="336" t="s">
        <v>476</v>
      </c>
      <c r="C18" s="337">
        <f>'[6]Tổng hợp thu NSNN năm 2005'!$D$44/1000000</f>
        <v>121877.060023</v>
      </c>
      <c r="D18" s="327">
        <v>154600</v>
      </c>
      <c r="E18" s="327">
        <v>172040</v>
      </c>
      <c r="F18" s="327">
        <v>185420</v>
      </c>
      <c r="G18" s="327">
        <v>382620</v>
      </c>
      <c r="H18" s="327">
        <v>499448.84769999998</v>
      </c>
      <c r="I18" s="327">
        <f t="shared" si="32"/>
        <v>1394128.8477</v>
      </c>
      <c r="J18" s="327"/>
      <c r="K18" s="327">
        <v>650890.53007500002</v>
      </c>
      <c r="L18" s="327">
        <v>646721.78421900002</v>
      </c>
      <c r="M18" s="327">
        <v>553543.69900000002</v>
      </c>
      <c r="N18" s="327">
        <v>670403.16145000001</v>
      </c>
      <c r="O18" s="327">
        <v>1299030</v>
      </c>
      <c r="P18" s="327">
        <f t="shared" si="33"/>
        <v>3820589.1747440002</v>
      </c>
      <c r="Q18" s="323"/>
      <c r="R18" s="323">
        <f t="shared" si="1"/>
        <v>0.16946114329745751</v>
      </c>
      <c r="S18" s="327">
        <v>2273225</v>
      </c>
      <c r="T18" s="327">
        <v>1947905</v>
      </c>
      <c r="U18" s="328">
        <f>'[7]Phụ lục số 1'!$N$46</f>
        <v>2332000</v>
      </c>
      <c r="V18" s="328">
        <v>1700536</v>
      </c>
      <c r="W18" s="328">
        <v>2280000</v>
      </c>
      <c r="X18" s="328">
        <v>2280939</v>
      </c>
      <c r="Y18" s="328">
        <v>2510000</v>
      </c>
      <c r="Z18" s="328">
        <v>1939730</v>
      </c>
      <c r="AA18" s="327">
        <f t="shared" si="3"/>
        <v>10142335</v>
      </c>
      <c r="AB18" s="323">
        <f t="shared" si="4"/>
        <v>8.3488784977151065E-2</v>
      </c>
      <c r="AC18" s="323">
        <f t="shared" si="13"/>
        <v>0.27138511791152076</v>
      </c>
      <c r="AD18" s="323">
        <f t="shared" si="5"/>
        <v>1.6546520801152589</v>
      </c>
      <c r="AE18" s="340">
        <v>2270000</v>
      </c>
      <c r="AF18" s="330">
        <v>1312857</v>
      </c>
      <c r="AG18" s="1612">
        <v>1527000</v>
      </c>
      <c r="AH18" s="338">
        <f>'PL1.1'!H38</f>
        <v>926612.70443099993</v>
      </c>
      <c r="AI18" s="332">
        <f t="shared" si="34"/>
        <v>8160674.7044310002</v>
      </c>
      <c r="AJ18" s="324">
        <f t="shared" si="25"/>
        <v>0.20777708430211231</v>
      </c>
      <c r="AK18" s="331">
        <f t="shared" si="15"/>
        <v>-0.37138344101499066</v>
      </c>
      <c r="AL18" s="330">
        <f t="shared" si="29"/>
        <v>4179199.7044310002</v>
      </c>
      <c r="AM18" s="331">
        <f t="shared" si="30"/>
        <v>0.17767781122788198</v>
      </c>
      <c r="AN18" s="331">
        <f t="shared" si="31"/>
        <v>-0.48753521356171647</v>
      </c>
      <c r="AO18" s="338">
        <f>'[8]Phụ lục số 1-1'!N38</f>
        <v>1500000</v>
      </c>
      <c r="AP18" s="338">
        <f>'PL1.1'!T38</f>
        <v>980000</v>
      </c>
      <c r="AQ18" s="338">
        <f>'PL1.1'!Z38</f>
        <v>1065000</v>
      </c>
      <c r="AR18" s="338">
        <f>'PL1.1'!AF38</f>
        <v>1750000</v>
      </c>
      <c r="AS18" s="327">
        <f t="shared" si="35"/>
        <v>3795000</v>
      </c>
      <c r="AT18" s="1609">
        <f t="shared" si="26"/>
        <v>0.13760347671765236</v>
      </c>
      <c r="AU18" s="461">
        <f t="shared" si="18"/>
        <v>0.23608005671337562</v>
      </c>
      <c r="AV18" s="327">
        <f t="shared" si="7"/>
        <v>6034469.7044310002</v>
      </c>
      <c r="AW18" s="323">
        <f t="shared" si="8"/>
        <v>-2.0376142663472319E-2</v>
      </c>
      <c r="AX18" s="323">
        <f t="shared" si="41"/>
        <v>0.14142301097737017</v>
      </c>
      <c r="AY18" s="323">
        <f t="shared" si="9"/>
        <v>-0.4050216538468705</v>
      </c>
      <c r="AZ18" s="338">
        <f>'PL1.1'!AL38</f>
        <v>1900000</v>
      </c>
      <c r="BA18" s="327">
        <f>'[8]Phụ lục số 1-1'!AR38</f>
        <v>2100000</v>
      </c>
      <c r="BB18" s="327">
        <f>'[8]Phụ lục số 1-1'!AX38</f>
        <v>2300000</v>
      </c>
      <c r="BC18" s="327">
        <f>'[8]Phụ lục số 1-1'!BD38</f>
        <v>2500000</v>
      </c>
      <c r="BD18" s="327">
        <f>'[8]Phụ lục số 1-1'!BJ38</f>
        <v>2670000</v>
      </c>
      <c r="BE18" s="1599">
        <f t="shared" si="28"/>
        <v>11470000</v>
      </c>
      <c r="BF18" s="461">
        <f t="shared" si="11"/>
        <v>8.8164723114491528E-2</v>
      </c>
      <c r="BG18" s="422">
        <f t="shared" si="20"/>
        <v>0.17638013148768553</v>
      </c>
      <c r="BH18" s="1665">
        <f t="shared" si="37"/>
        <v>0.90074696896361739</v>
      </c>
      <c r="BI18" s="334"/>
      <c r="BJ18" s="334"/>
      <c r="BK18" s="334"/>
      <c r="BL18" s="335">
        <f t="shared" si="39"/>
        <v>1312857</v>
      </c>
      <c r="BM18" s="335">
        <f t="shared" si="40"/>
        <v>926612.70443099993</v>
      </c>
      <c r="BN18" s="335">
        <f t="shared" si="38"/>
        <v>70.579865471334656</v>
      </c>
      <c r="BO18" s="314">
        <f t="shared" si="21"/>
        <v>-29.420134528665344</v>
      </c>
    </row>
    <row r="19" spans="1:67" s="335" customFormat="1" ht="30" customHeight="1">
      <c r="A19" s="325">
        <v>10</v>
      </c>
      <c r="B19" s="336" t="s">
        <v>17</v>
      </c>
      <c r="C19" s="337">
        <f>'[6]Tổng hợp thu NSNN năm 2005'!$D$45/1000000</f>
        <v>61753.951621</v>
      </c>
      <c r="D19" s="327">
        <v>83710</v>
      </c>
      <c r="E19" s="327">
        <v>65760</v>
      </c>
      <c r="F19" s="327">
        <v>62020</v>
      </c>
      <c r="G19" s="327">
        <v>108070</v>
      </c>
      <c r="H19" s="327">
        <v>147763</v>
      </c>
      <c r="I19" s="327">
        <f t="shared" si="32"/>
        <v>467323</v>
      </c>
      <c r="J19" s="327"/>
      <c r="K19" s="327">
        <v>129532.067836</v>
      </c>
      <c r="L19" s="327">
        <v>124106.44856800001</v>
      </c>
      <c r="M19" s="327">
        <v>151790.240028</v>
      </c>
      <c r="N19" s="327">
        <v>165870.497191</v>
      </c>
      <c r="O19" s="327">
        <v>212616</v>
      </c>
      <c r="P19" s="327">
        <f t="shared" si="33"/>
        <v>783915.253623</v>
      </c>
      <c r="Q19" s="323"/>
      <c r="R19" s="323">
        <f t="shared" si="1"/>
        <v>3.4770337518995657E-2</v>
      </c>
      <c r="S19" s="327">
        <v>205555</v>
      </c>
      <c r="T19" s="327">
        <v>256429</v>
      </c>
      <c r="U19" s="328">
        <f>'[7]Phụ lục số 1'!$N$47</f>
        <v>175000</v>
      </c>
      <c r="V19" s="328">
        <v>154856</v>
      </c>
      <c r="W19" s="328">
        <v>180000</v>
      </c>
      <c r="X19" s="328">
        <v>172887</v>
      </c>
      <c r="Y19" s="328">
        <v>187000</v>
      </c>
      <c r="Z19" s="328">
        <v>169167.9</v>
      </c>
      <c r="AA19" s="327">
        <f t="shared" si="3"/>
        <v>958894.9</v>
      </c>
      <c r="AB19" s="323">
        <f t="shared" si="4"/>
        <v>-4.4689826074443384E-2</v>
      </c>
      <c r="AC19" s="323">
        <f t="shared" si="13"/>
        <v>2.5657780530938479E-2</v>
      </c>
      <c r="AD19" s="323">
        <f t="shared" si="5"/>
        <v>0.22321245258119582</v>
      </c>
      <c r="AE19" s="340">
        <v>192900</v>
      </c>
      <c r="AF19" s="330">
        <v>156068</v>
      </c>
      <c r="AG19" s="1612">
        <v>160000</v>
      </c>
      <c r="AH19" s="338">
        <f>'PL1.1'!H39</f>
        <v>174909.15649200001</v>
      </c>
      <c r="AI19" s="332">
        <f t="shared" si="34"/>
        <v>827888.056492</v>
      </c>
      <c r="AJ19" s="324">
        <f t="shared" si="25"/>
        <v>2.1078669685614428E-2</v>
      </c>
      <c r="AK19" s="331">
        <f t="shared" si="15"/>
        <v>-0.37734645892694785</v>
      </c>
      <c r="AL19" s="330">
        <f t="shared" si="29"/>
        <v>500145.056492</v>
      </c>
      <c r="AM19" s="331">
        <f t="shared" si="30"/>
        <v>2.1263563653042251E-2</v>
      </c>
      <c r="AN19" s="331">
        <f t="shared" si="31"/>
        <v>-6.2327699626152921E-2</v>
      </c>
      <c r="AO19" s="338">
        <f>'[8]Phụ lục số 1-1'!N39</f>
        <v>160000</v>
      </c>
      <c r="AP19" s="338">
        <f>'PL1.1'!T39</f>
        <v>160000</v>
      </c>
      <c r="AQ19" s="338">
        <f>'PL1.1'!Z39</f>
        <v>170000</v>
      </c>
      <c r="AR19" s="338">
        <f>'PL1.1'!AF39</f>
        <v>212000</v>
      </c>
      <c r="AS19" s="327">
        <f t="shared" si="35"/>
        <v>542000</v>
      </c>
      <c r="AT19" s="422">
        <f t="shared" si="26"/>
        <v>1.9652459652428872E-2</v>
      </c>
      <c r="AU19" s="461">
        <f t="shared" si="18"/>
        <v>6.6205958322870906E-2</v>
      </c>
      <c r="AV19" s="327">
        <f t="shared" si="7"/>
        <v>872977.15649199998</v>
      </c>
      <c r="AW19" s="323">
        <f t="shared" si="8"/>
        <v>4.617317620241157E-2</v>
      </c>
      <c r="AX19" s="323">
        <f t="shared" si="41"/>
        <v>2.0458973867232739E-2</v>
      </c>
      <c r="AY19" s="323">
        <f t="shared" si="9"/>
        <v>-8.9600793067102558E-2</v>
      </c>
      <c r="AZ19" s="338">
        <f>'PL1.1'!AL39</f>
        <v>226000</v>
      </c>
      <c r="BA19" s="327">
        <f>'[8]Phụ lục số 1-1'!AR39</f>
        <v>245000</v>
      </c>
      <c r="BB19" s="327">
        <f>'[8]Phụ lục số 1-1'!AX39</f>
        <v>270000</v>
      </c>
      <c r="BC19" s="327">
        <f>'[8]Phụ lục số 1-1'!BD39</f>
        <v>300000</v>
      </c>
      <c r="BD19" s="327">
        <f>'[8]Phụ lục số 1-1'!BJ39</f>
        <v>340000</v>
      </c>
      <c r="BE19" s="1599">
        <f t="shared" si="28"/>
        <v>1381000</v>
      </c>
      <c r="BF19" s="461">
        <f t="shared" si="11"/>
        <v>9.9078244074792599E-2</v>
      </c>
      <c r="BG19" s="422">
        <f t="shared" si="20"/>
        <v>2.1236352361333366E-2</v>
      </c>
      <c r="BH19" s="1665">
        <f t="shared" si="37"/>
        <v>0.58194288330459365</v>
      </c>
      <c r="BI19" s="334"/>
      <c r="BJ19" s="334"/>
      <c r="BK19" s="334"/>
      <c r="BL19" s="335">
        <f t="shared" si="39"/>
        <v>156068</v>
      </c>
      <c r="BM19" s="335">
        <f t="shared" si="40"/>
        <v>174909.15649200001</v>
      </c>
      <c r="BN19" s="335">
        <f t="shared" si="38"/>
        <v>112.07240208883307</v>
      </c>
      <c r="BO19" s="314">
        <f t="shared" si="21"/>
        <v>12.072402088833073</v>
      </c>
    </row>
    <row r="20" spans="1:67" s="335" customFormat="1" ht="30" customHeight="1">
      <c r="A20" s="325">
        <v>11</v>
      </c>
      <c r="B20" s="336" t="s">
        <v>18</v>
      </c>
      <c r="C20" s="337">
        <f>'[6]Tổng hợp thu NSNN năm 2005'!$D$49/1000000+'[6]Tổng hợp thu NSNN năm 2005'!$D$48/1000000</f>
        <v>153669.14994599999</v>
      </c>
      <c r="D20" s="327">
        <v>191500</v>
      </c>
      <c r="E20" s="327">
        <v>415260</v>
      </c>
      <c r="F20" s="327">
        <v>444040</v>
      </c>
      <c r="G20" s="327">
        <v>300000</v>
      </c>
      <c r="H20" s="327">
        <v>407675.25223099999</v>
      </c>
      <c r="I20" s="327">
        <f t="shared" si="32"/>
        <v>1758475.252231</v>
      </c>
      <c r="J20" s="327"/>
      <c r="K20" s="327">
        <v>394171.66318199999</v>
      </c>
      <c r="L20" s="327">
        <v>413801.849995</v>
      </c>
      <c r="M20" s="327">
        <v>312735.00110200001</v>
      </c>
      <c r="N20" s="327">
        <v>379564.95398699999</v>
      </c>
      <c r="O20" s="327">
        <v>383777</v>
      </c>
      <c r="P20" s="327">
        <f t="shared" si="33"/>
        <v>1884050.468266</v>
      </c>
      <c r="Q20" s="323"/>
      <c r="R20" s="323">
        <f t="shared" si="1"/>
        <v>8.3566521230029819E-2</v>
      </c>
      <c r="S20" s="327">
        <v>454422</v>
      </c>
      <c r="T20" s="327">
        <v>639601</v>
      </c>
      <c r="U20" s="328">
        <f>'[7]Phụ lục số 1'!$N$48</f>
        <v>450000</v>
      </c>
      <c r="V20" s="328">
        <v>843422</v>
      </c>
      <c r="W20" s="328">
        <v>450000</v>
      </c>
      <c r="X20" s="328">
        <v>964965</v>
      </c>
      <c r="Y20" s="328">
        <v>600000</v>
      </c>
      <c r="Z20" s="328">
        <v>834389.9</v>
      </c>
      <c r="AA20" s="327">
        <f t="shared" si="3"/>
        <v>3736799.9</v>
      </c>
      <c r="AB20" s="323">
        <f t="shared" si="4"/>
        <v>0.16804081585277508</v>
      </c>
      <c r="AC20" s="323">
        <f t="shared" si="13"/>
        <v>9.9988008823733293E-2</v>
      </c>
      <c r="AD20" s="323">
        <f t="shared" si="5"/>
        <v>0.98338630675811545</v>
      </c>
      <c r="AE20" s="340">
        <v>750000</v>
      </c>
      <c r="AF20" s="330">
        <v>1239694</v>
      </c>
      <c r="AG20" s="1612">
        <v>800000</v>
      </c>
      <c r="AH20" s="338">
        <f>'PL1.1'!H40</f>
        <v>1029162.981864</v>
      </c>
      <c r="AI20" s="332">
        <f t="shared" si="34"/>
        <v>4911633.8818640001</v>
      </c>
      <c r="AJ20" s="324">
        <f t="shared" si="25"/>
        <v>0.12505399419720201</v>
      </c>
      <c r="AK20" s="331">
        <f t="shared" si="15"/>
        <v>0.8674083510974111</v>
      </c>
      <c r="AL20" s="330">
        <f t="shared" si="29"/>
        <v>3103246.8818639996</v>
      </c>
      <c r="AM20" s="331">
        <f t="shared" si="30"/>
        <v>0.13193389946997411</v>
      </c>
      <c r="AN20" s="331">
        <f t="shared" si="31"/>
        <v>0.20742312752420955</v>
      </c>
      <c r="AO20" s="338">
        <f>'[8]Phụ lục số 1-1'!N40</f>
        <v>900000</v>
      </c>
      <c r="AP20" s="338">
        <f>'PL1.1'!T40</f>
        <v>1080000</v>
      </c>
      <c r="AQ20" s="338">
        <f>'PL1.1'!Z40</f>
        <v>1770000</v>
      </c>
      <c r="AR20" s="338">
        <f>'PL1.1'!AF40</f>
        <v>1200000</v>
      </c>
      <c r="AS20" s="327">
        <f t="shared" si="35"/>
        <v>4050000</v>
      </c>
      <c r="AT20" s="1609">
        <f t="shared" si="26"/>
        <v>0.14684956013346298</v>
      </c>
      <c r="AU20" s="461">
        <f t="shared" si="18"/>
        <v>5.2524861805290035E-2</v>
      </c>
      <c r="AV20" s="327">
        <f t="shared" si="7"/>
        <v>6318856.9818639997</v>
      </c>
      <c r="AW20" s="323">
        <f t="shared" si="8"/>
        <v>7.5381204258923917E-2</v>
      </c>
      <c r="AX20" s="323">
        <f>AV20/$AV$7</f>
        <v>0.14808787251917219</v>
      </c>
      <c r="AY20" s="323">
        <f t="shared" si="9"/>
        <v>0.6909808260977528</v>
      </c>
      <c r="AZ20" s="338">
        <f>'PL1.1'!AL40</f>
        <v>1260000</v>
      </c>
      <c r="BA20" s="327">
        <f>'[8]Phụ lục số 1-1'!AR40</f>
        <v>1300000</v>
      </c>
      <c r="BB20" s="327">
        <f>'[8]Phụ lục số 1-1'!AX40</f>
        <v>1350000</v>
      </c>
      <c r="BC20" s="327">
        <f>'[8]Phụ lục số 1-1'!BD40</f>
        <v>1400000</v>
      </c>
      <c r="BD20" s="327">
        <f>'[8]Phụ lục số 1-1'!BJ40</f>
        <v>1450000</v>
      </c>
      <c r="BE20" s="1599">
        <f t="shared" si="28"/>
        <v>6760000</v>
      </c>
      <c r="BF20" s="461">
        <f t="shared" si="11"/>
        <v>3.8573773084258578E-2</v>
      </c>
      <c r="BG20" s="422">
        <f>BE20/$BE$7</f>
        <v>0.10395202169631684</v>
      </c>
      <c r="BH20" s="1665">
        <f>BE20/AV20-1</f>
        <v>6.9813736788495451E-2</v>
      </c>
      <c r="BI20" s="334"/>
      <c r="BJ20" s="334"/>
      <c r="BK20" s="334"/>
      <c r="BL20" s="335">
        <f t="shared" si="39"/>
        <v>1239694</v>
      </c>
      <c r="BM20" s="335">
        <f t="shared" si="40"/>
        <v>1029162.981864</v>
      </c>
      <c r="BN20" s="335">
        <f t="shared" si="38"/>
        <v>83.017501243371342</v>
      </c>
      <c r="BO20" s="314">
        <f t="shared" si="21"/>
        <v>-16.982498756628658</v>
      </c>
    </row>
    <row r="21" spans="1:67" s="335" customFormat="1" ht="30" customHeight="1">
      <c r="A21" s="325">
        <v>12</v>
      </c>
      <c r="B21" s="336" t="s">
        <v>98</v>
      </c>
      <c r="C21" s="337">
        <f>'[6]Tổng hợp thu NSNN năm 2005'!$D$50/1000000</f>
        <v>4097.7900090000003</v>
      </c>
      <c r="D21" s="327">
        <v>3650</v>
      </c>
      <c r="E21" s="327">
        <v>1290</v>
      </c>
      <c r="F21" s="327">
        <v>6350</v>
      </c>
      <c r="G21" s="327">
        <v>9960</v>
      </c>
      <c r="H21" s="327">
        <v>12272.982172</v>
      </c>
      <c r="I21" s="327">
        <f t="shared" si="32"/>
        <v>33522.982172000004</v>
      </c>
      <c r="J21" s="327"/>
      <c r="K21" s="327">
        <v>14797.318150999999</v>
      </c>
      <c r="L21" s="327">
        <v>21280.122105999999</v>
      </c>
      <c r="M21" s="327">
        <v>25056.577998000001</v>
      </c>
      <c r="N21" s="327">
        <v>30109.314546000001</v>
      </c>
      <c r="O21" s="327">
        <v>35945</v>
      </c>
      <c r="P21" s="327">
        <f t="shared" si="33"/>
        <v>127188.332801</v>
      </c>
      <c r="Q21" s="323"/>
      <c r="R21" s="323">
        <f t="shared" si="1"/>
        <v>5.6414022300629004E-3</v>
      </c>
      <c r="S21" s="327">
        <v>53095</v>
      </c>
      <c r="T21" s="327">
        <v>61296</v>
      </c>
      <c r="U21" s="328">
        <f>'[7]Phụ lục số 1'!$N$49</f>
        <v>65000</v>
      </c>
      <c r="V21" s="328">
        <v>194910</v>
      </c>
      <c r="W21" s="328">
        <v>70000</v>
      </c>
      <c r="X21" s="328">
        <v>177724</v>
      </c>
      <c r="Y21" s="328">
        <v>140000</v>
      </c>
      <c r="Z21" s="328">
        <v>103321.9</v>
      </c>
      <c r="AA21" s="327">
        <f t="shared" si="3"/>
        <v>590346.9</v>
      </c>
      <c r="AB21" s="323">
        <f t="shared" si="4"/>
        <v>0.23512462141630674</v>
      </c>
      <c r="AC21" s="323">
        <f t="shared" si="13"/>
        <v>1.5796299675094615E-2</v>
      </c>
      <c r="AD21" s="323">
        <f t="shared" si="5"/>
        <v>3.6415177162803296</v>
      </c>
      <c r="AE21" s="340">
        <v>76000</v>
      </c>
      <c r="AF21" s="330">
        <v>253261</v>
      </c>
      <c r="AG21" s="1612">
        <v>120000</v>
      </c>
      <c r="AH21" s="338">
        <f>'PL1.1'!H41</f>
        <v>237121.31138199999</v>
      </c>
      <c r="AI21" s="332">
        <f t="shared" si="34"/>
        <v>966338.21138200001</v>
      </c>
      <c r="AJ21" s="324">
        <f t="shared" si="25"/>
        <v>2.460371761928596E-2</v>
      </c>
      <c r="AK21" s="331">
        <f t="shared" si="15"/>
        <v>3.0777128227538091</v>
      </c>
      <c r="AL21" s="330">
        <f t="shared" si="29"/>
        <v>593704.21138200001</v>
      </c>
      <c r="AM21" s="331">
        <f t="shared" si="30"/>
        <v>2.5241211776332612E-2</v>
      </c>
      <c r="AN21" s="331">
        <f t="shared" si="31"/>
        <v>0.39408630762742924</v>
      </c>
      <c r="AO21" s="338">
        <f>'[8]Phụ lục số 1-1'!N41</f>
        <v>115000</v>
      </c>
      <c r="AP21" s="338">
        <f>'PL1.1'!T41</f>
        <v>125999.8</v>
      </c>
      <c r="AQ21" s="338">
        <f>'PL1.1'!Z41</f>
        <v>315000</v>
      </c>
      <c r="AR21" s="338">
        <f>'PL1.1'!AF41</f>
        <v>184000</v>
      </c>
      <c r="AS21" s="327">
        <f t="shared" si="35"/>
        <v>624999.80000000005</v>
      </c>
      <c r="AT21" s="422">
        <f t="shared" si="26"/>
        <v>2.266196190456848E-2</v>
      </c>
      <c r="AU21" s="461">
        <f t="shared" si="18"/>
        <v>-8.1070038934718314E-2</v>
      </c>
      <c r="AV21" s="327">
        <f t="shared" si="7"/>
        <v>1115382.1113820001</v>
      </c>
      <c r="AW21" s="323">
        <f t="shared" si="8"/>
        <v>0.12234167062345613</v>
      </c>
      <c r="AX21" s="323">
        <f t="shared" si="41"/>
        <v>2.6139943409793379E-2</v>
      </c>
      <c r="AY21" s="323">
        <f t="shared" si="9"/>
        <v>0.88936727097576029</v>
      </c>
      <c r="AZ21" s="338">
        <f>'PL1.1'!AL41</f>
        <v>250000</v>
      </c>
      <c r="BA21" s="327">
        <f>'[8]Phụ lục số 1-1'!AR41</f>
        <v>300000</v>
      </c>
      <c r="BB21" s="327">
        <f>'[8]Phụ lục số 1-1'!AX41</f>
        <v>365000</v>
      </c>
      <c r="BC21" s="327">
        <f>'[8]Phụ lục số 1-1'!BD41</f>
        <v>480000</v>
      </c>
      <c r="BD21" s="327">
        <f>'[8]Phụ lục số 1-1'!BJ41</f>
        <v>600000</v>
      </c>
      <c r="BE21" s="1599">
        <f t="shared" si="28"/>
        <v>1995000</v>
      </c>
      <c r="BF21" s="461">
        <f t="shared" si="11"/>
        <v>0.26667933524247434</v>
      </c>
      <c r="BG21" s="422">
        <f t="shared" si="20"/>
        <v>3.06781484148154E-2</v>
      </c>
      <c r="BH21" s="1665">
        <f t="shared" si="37"/>
        <v>0.78862470506015225</v>
      </c>
      <c r="BI21" s="334"/>
      <c r="BJ21" s="334"/>
      <c r="BK21" s="334"/>
      <c r="BL21" s="335">
        <f t="shared" si="39"/>
        <v>253261</v>
      </c>
      <c r="BM21" s="335">
        <f t="shared" si="40"/>
        <v>237121.31138199999</v>
      </c>
      <c r="BN21" s="335">
        <f t="shared" si="38"/>
        <v>93.627250694737825</v>
      </c>
      <c r="BO21" s="314">
        <f t="shared" si="21"/>
        <v>-6.3727493052621753</v>
      </c>
    </row>
    <row r="22" spans="1:67" s="335" customFormat="1" ht="30" customHeight="1">
      <c r="A22" s="325">
        <v>13</v>
      </c>
      <c r="B22" s="336" t="s">
        <v>136</v>
      </c>
      <c r="C22" s="337">
        <f>'[6]Tổng hợp thu NSNN năm 2005'!$D$51/1000000</f>
        <v>392.82925699999998</v>
      </c>
      <c r="D22" s="327">
        <v>2970</v>
      </c>
      <c r="E22" s="327">
        <v>1390</v>
      </c>
      <c r="F22" s="327">
        <v>170</v>
      </c>
      <c r="G22" s="327">
        <v>1150</v>
      </c>
      <c r="H22" s="327">
        <v>1533.5377189999999</v>
      </c>
      <c r="I22" s="327">
        <f t="shared" si="32"/>
        <v>7213.5377189999999</v>
      </c>
      <c r="J22" s="327"/>
      <c r="K22" s="327">
        <v>1094.738333</v>
      </c>
      <c r="L22" s="327">
        <v>1681.6920950000001</v>
      </c>
      <c r="M22" s="327">
        <v>1120.580835</v>
      </c>
      <c r="N22" s="327">
        <v>258.28733599999998</v>
      </c>
      <c r="O22" s="327">
        <v>375</v>
      </c>
      <c r="P22" s="327">
        <f t="shared" si="33"/>
        <v>4530.2985990000006</v>
      </c>
      <c r="Q22" s="323"/>
      <c r="R22" s="323">
        <f t="shared" si="1"/>
        <v>2.0094010241675637E-4</v>
      </c>
      <c r="S22" s="327">
        <v>382</v>
      </c>
      <c r="T22" s="327">
        <v>2247</v>
      </c>
      <c r="U22" s="328">
        <f>'[7]Phụ lục số 1'!$N$50</f>
        <v>0</v>
      </c>
      <c r="V22" s="328">
        <v>702</v>
      </c>
      <c r="W22" s="328"/>
      <c r="X22" s="328">
        <v>3951</v>
      </c>
      <c r="Y22" s="328"/>
      <c r="Z22" s="328">
        <v>141.9</v>
      </c>
      <c r="AA22" s="327">
        <f t="shared" si="3"/>
        <v>7423.9</v>
      </c>
      <c r="AB22" s="323">
        <f t="shared" si="4"/>
        <v>-0.17663912597994502</v>
      </c>
      <c r="AC22" s="323">
        <f t="shared" si="13"/>
        <v>1.9864616746176683E-4</v>
      </c>
      <c r="AD22" s="323">
        <f t="shared" si="5"/>
        <v>0.63872200424906223</v>
      </c>
      <c r="AE22" s="340"/>
      <c r="AF22" s="330">
        <v>127</v>
      </c>
      <c r="AG22" s="1612"/>
      <c r="AH22" s="338">
        <f>'PL1.1'!H42</f>
        <v>79.078599999999994</v>
      </c>
      <c r="AI22" s="332">
        <f t="shared" si="34"/>
        <v>5000.9786000000004</v>
      </c>
      <c r="AJ22" s="324">
        <f t="shared" si="25"/>
        <v>1.2732877976389206E-4</v>
      </c>
      <c r="AK22" s="331">
        <f t="shared" si="15"/>
        <v>-0.94858951526273927</v>
      </c>
      <c r="AL22" s="330">
        <f t="shared" si="29"/>
        <v>347.97860000000003</v>
      </c>
      <c r="AM22" s="331">
        <f t="shared" si="30"/>
        <v>1.4794238221396642E-5</v>
      </c>
      <c r="AN22" s="331">
        <f t="shared" si="31"/>
        <v>-0.97255172170775117</v>
      </c>
      <c r="AO22" s="338">
        <f>'[8]Phụ lục số 1-1'!N42</f>
        <v>0</v>
      </c>
      <c r="AP22" s="338">
        <f>'PL1.1'!T42</f>
        <v>0</v>
      </c>
      <c r="AQ22" s="338">
        <f>'PL1.1'!Z42</f>
        <v>0</v>
      </c>
      <c r="AR22" s="338">
        <f>'PL1.1'!AF42</f>
        <v>0</v>
      </c>
      <c r="AS22" s="327">
        <f t="shared" si="35"/>
        <v>0</v>
      </c>
      <c r="AT22" s="422">
        <f t="shared" si="26"/>
        <v>0</v>
      </c>
      <c r="AU22" s="461" t="e">
        <f t="shared" si="18"/>
        <v>#DIV/0!</v>
      </c>
      <c r="AV22" s="327">
        <f t="shared" si="7"/>
        <v>206.07859999999999</v>
      </c>
      <c r="AW22" s="323" t="e">
        <f t="shared" si="8"/>
        <v>#DIV/0!</v>
      </c>
      <c r="AX22" s="323"/>
      <c r="AY22" s="323">
        <f t="shared" si="9"/>
        <v>-0.97224119398159992</v>
      </c>
      <c r="AZ22" s="338">
        <f>'PL1.1'!AL42</f>
        <v>0</v>
      </c>
      <c r="BA22" s="327">
        <f>'[8]Phụ lục số 1-1'!AR42</f>
        <v>0</v>
      </c>
      <c r="BB22" s="327">
        <f>'[8]Phụ lục số 1-1'!AX42</f>
        <v>0</v>
      </c>
      <c r="BC22" s="327">
        <f>'[8]Phụ lục số 1-1'!BD42</f>
        <v>0</v>
      </c>
      <c r="BD22" s="327">
        <f>'[8]Phụ lục số 1-1'!BJ42</f>
        <v>0</v>
      </c>
      <c r="BE22" s="1599">
        <f t="shared" si="28"/>
        <v>0</v>
      </c>
      <c r="BF22" s="461" t="e">
        <f t="shared" si="11"/>
        <v>#DIV/0!</v>
      </c>
      <c r="BG22" s="422">
        <f t="shared" si="20"/>
        <v>0</v>
      </c>
      <c r="BH22" s="1665">
        <f t="shared" si="37"/>
        <v>-1</v>
      </c>
      <c r="BI22" s="334"/>
      <c r="BJ22" s="334"/>
      <c r="BK22" s="334"/>
      <c r="BL22" s="335">
        <f t="shared" si="39"/>
        <v>127</v>
      </c>
      <c r="BM22" s="335">
        <f t="shared" si="40"/>
        <v>79.078599999999994</v>
      </c>
      <c r="BN22" s="335">
        <f t="shared" si="38"/>
        <v>62.266614173228341</v>
      </c>
      <c r="BO22" s="314">
        <f t="shared" si="21"/>
        <v>-37.733385826771659</v>
      </c>
    </row>
    <row r="23" spans="1:67" s="335" customFormat="1" ht="30" customHeight="1">
      <c r="A23" s="325">
        <v>14</v>
      </c>
      <c r="B23" s="336" t="s">
        <v>127</v>
      </c>
      <c r="C23" s="337">
        <f>'[6]Tổng hợp thu NSNN năm 2005'!$D$52/1000000</f>
        <v>40157.714318999999</v>
      </c>
      <c r="D23" s="327">
        <v>16290</v>
      </c>
      <c r="E23" s="327">
        <v>34910</v>
      </c>
      <c r="F23" s="327">
        <v>34190</v>
      </c>
      <c r="G23" s="327">
        <v>46520</v>
      </c>
      <c r="H23" s="327">
        <v>100128.154606</v>
      </c>
      <c r="I23" s="327">
        <f t="shared" si="32"/>
        <v>232038.154606</v>
      </c>
      <c r="J23" s="327"/>
      <c r="K23" s="327">
        <v>32762.876378000001</v>
      </c>
      <c r="L23" s="327">
        <v>42614.135322000002</v>
      </c>
      <c r="M23" s="327">
        <v>52575.311074999998</v>
      </c>
      <c r="N23" s="327">
        <v>145587.907744</v>
      </c>
      <c r="O23" s="327">
        <v>140912</v>
      </c>
      <c r="P23" s="327">
        <f t="shared" si="33"/>
        <v>414452.23051899998</v>
      </c>
      <c r="Q23" s="323"/>
      <c r="R23" s="323">
        <f t="shared" si="1"/>
        <v>1.8382910491975935E-2</v>
      </c>
      <c r="S23" s="327">
        <v>126290</v>
      </c>
      <c r="T23" s="327">
        <v>203509</v>
      </c>
      <c r="U23" s="328">
        <f>'[7]Phụ lục số 1'!$N$51</f>
        <v>180000</v>
      </c>
      <c r="V23" s="328">
        <v>237551</v>
      </c>
      <c r="W23" s="328">
        <v>236000</v>
      </c>
      <c r="X23" s="328">
        <v>300917</v>
      </c>
      <c r="Y23" s="328">
        <v>310000</v>
      </c>
      <c r="Z23" s="328">
        <v>310822.8</v>
      </c>
      <c r="AA23" s="327">
        <f t="shared" si="3"/>
        <v>1179089.8</v>
      </c>
      <c r="AB23" s="323">
        <f t="shared" si="4"/>
        <v>0.17142092594657199</v>
      </c>
      <c r="AC23" s="323">
        <f t="shared" si="13"/>
        <v>3.154968006886693E-2</v>
      </c>
      <c r="AD23" s="323">
        <f t="shared" si="5"/>
        <v>1.8449353464052507</v>
      </c>
      <c r="AE23" s="340">
        <v>280000</v>
      </c>
      <c r="AF23" s="330">
        <v>248330</v>
      </c>
      <c r="AG23" s="1612">
        <v>250000</v>
      </c>
      <c r="AH23" s="338">
        <f>'PL1.1'!H43</f>
        <v>285472.88611600001</v>
      </c>
      <c r="AI23" s="332">
        <f t="shared" si="34"/>
        <v>1383093.6861159999</v>
      </c>
      <c r="AJ23" s="324">
        <f t="shared" si="25"/>
        <v>3.5214634062280085E-2</v>
      </c>
      <c r="AK23" s="331">
        <f t="shared" si="15"/>
        <v>0.2547369969590858</v>
      </c>
      <c r="AL23" s="330">
        <f t="shared" si="29"/>
        <v>844625.68611599994</v>
      </c>
      <c r="AM23" s="331">
        <f t="shared" si="30"/>
        <v>3.5909086387239587E-2</v>
      </c>
      <c r="AN23" s="331">
        <f t="shared" si="31"/>
        <v>-0.13550790947586355</v>
      </c>
      <c r="AO23" s="338">
        <f>'[8]Phụ lục số 1-1'!N43</f>
        <v>250000</v>
      </c>
      <c r="AP23" s="338">
        <f>'PL1.1'!T43</f>
        <v>350000</v>
      </c>
      <c r="AQ23" s="338">
        <f>'PL1.1'!Z43</f>
        <v>326000</v>
      </c>
      <c r="AR23" s="338">
        <f>'PL1.1'!AF43</f>
        <v>370000</v>
      </c>
      <c r="AS23" s="327">
        <f t="shared" si="35"/>
        <v>1046000</v>
      </c>
      <c r="AT23" s="422">
        <f t="shared" si="26"/>
        <v>3.7927071580148713E-2</v>
      </c>
      <c r="AU23" s="461">
        <f t="shared" si="18"/>
        <v>9.0299014253998555E-2</v>
      </c>
      <c r="AV23" s="327">
        <f t="shared" si="7"/>
        <v>1579802.8861159999</v>
      </c>
      <c r="AW23" s="323">
        <f t="shared" si="8"/>
        <v>3.547059666898833E-2</v>
      </c>
      <c r="AX23" s="323">
        <f t="shared" ref="AX23:AX28" si="42">AV23/$AV$7</f>
        <v>3.70240455000065E-2</v>
      </c>
      <c r="AY23" s="323">
        <f t="shared" si="9"/>
        <v>0.3398495060478004</v>
      </c>
      <c r="AZ23" s="338">
        <f>'PL1.1'!AL43</f>
        <v>400000</v>
      </c>
      <c r="BA23" s="327">
        <f>'[8]Phụ lục số 1-1'!AR43</f>
        <v>440000</v>
      </c>
      <c r="BB23" s="327">
        <f>'[8]Phụ lục số 1-1'!AX43</f>
        <v>490000</v>
      </c>
      <c r="BC23" s="327">
        <f>'[8]Phụ lục số 1-1'!BD43</f>
        <v>541000</v>
      </c>
      <c r="BD23" s="327">
        <f>'[8]Phụ lục số 1-1'!BJ43</f>
        <v>600000</v>
      </c>
      <c r="BE23" s="1599">
        <f t="shared" si="28"/>
        <v>2471000</v>
      </c>
      <c r="BF23" s="461">
        <f t="shared" si="11"/>
        <v>0.10151370567009632</v>
      </c>
      <c r="BG23" s="422">
        <f t="shared" si="20"/>
        <v>3.7997846983964335E-2</v>
      </c>
      <c r="BH23" s="1665">
        <f t="shared" si="37"/>
        <v>0.5641191832957333</v>
      </c>
      <c r="BI23" s="334"/>
      <c r="BJ23" s="334"/>
      <c r="BK23" s="334"/>
      <c r="BL23" s="335">
        <f t="shared" si="39"/>
        <v>248330</v>
      </c>
      <c r="BM23" s="335">
        <f t="shared" si="40"/>
        <v>285472.88611600001</v>
      </c>
      <c r="BN23" s="335">
        <f t="shared" si="38"/>
        <v>114.95706765835783</v>
      </c>
      <c r="BO23" s="314">
        <f t="shared" si="21"/>
        <v>14.957067658357829</v>
      </c>
    </row>
    <row r="24" spans="1:67" s="335" customFormat="1" ht="30" customHeight="1">
      <c r="A24" s="325">
        <v>15</v>
      </c>
      <c r="B24" s="336" t="s">
        <v>128</v>
      </c>
      <c r="C24" s="337"/>
      <c r="D24" s="327">
        <v>0</v>
      </c>
      <c r="E24" s="327">
        <v>0</v>
      </c>
      <c r="F24" s="327">
        <v>0</v>
      </c>
      <c r="G24" s="327">
        <v>0</v>
      </c>
      <c r="H24" s="327">
        <v>0</v>
      </c>
      <c r="I24" s="327">
        <f t="shared" si="32"/>
        <v>0</v>
      </c>
      <c r="J24" s="327"/>
      <c r="K24" s="327">
        <v>0</v>
      </c>
      <c r="L24" s="327">
        <v>0</v>
      </c>
      <c r="M24" s="327">
        <v>0</v>
      </c>
      <c r="N24" s="327">
        <v>0</v>
      </c>
      <c r="O24" s="327">
        <v>0</v>
      </c>
      <c r="P24" s="327">
        <f t="shared" si="33"/>
        <v>0</v>
      </c>
      <c r="Q24" s="323"/>
      <c r="R24" s="323">
        <f t="shared" si="1"/>
        <v>0</v>
      </c>
      <c r="S24" s="327">
        <v>0</v>
      </c>
      <c r="T24" s="327">
        <v>5516</v>
      </c>
      <c r="U24" s="328">
        <f>'[7]Phụ lục số 1'!$N$52</f>
        <v>4000</v>
      </c>
      <c r="V24" s="328">
        <v>46773</v>
      </c>
      <c r="W24" s="328">
        <v>4500</v>
      </c>
      <c r="X24" s="328">
        <v>25517</v>
      </c>
      <c r="Y24" s="328">
        <v>6000</v>
      </c>
      <c r="Z24" s="328">
        <v>32308.9</v>
      </c>
      <c r="AA24" s="327">
        <f t="shared" si="3"/>
        <v>110114.9</v>
      </c>
      <c r="AB24" s="323" t="e">
        <f t="shared" si="4"/>
        <v>#DIV/0!</v>
      </c>
      <c r="AC24" s="323">
        <f t="shared" si="13"/>
        <v>2.946416690073372E-3</v>
      </c>
      <c r="AD24" s="323"/>
      <c r="AE24" s="340">
        <v>11000</v>
      </c>
      <c r="AF24" s="330">
        <v>21198</v>
      </c>
      <c r="AG24" s="1612">
        <v>18000</v>
      </c>
      <c r="AH24" s="338">
        <f>'PL1.1'!H44</f>
        <v>35466.300600000002</v>
      </c>
      <c r="AI24" s="332">
        <f t="shared" si="34"/>
        <v>161263.20060000001</v>
      </c>
      <c r="AJ24" s="324">
        <f t="shared" si="25"/>
        <v>4.1058857066930349E-3</v>
      </c>
      <c r="AK24" s="331">
        <f t="shared" si="15"/>
        <v>3.2596589717819748</v>
      </c>
      <c r="AL24" s="330">
        <f t="shared" si="29"/>
        <v>88973.200600000011</v>
      </c>
      <c r="AM24" s="333">
        <f t="shared" si="30"/>
        <v>3.7826772249687501E-3</v>
      </c>
      <c r="AN24" s="331">
        <f t="shared" si="31"/>
        <v>-1.3783475284551927E-2</v>
      </c>
      <c r="AO24" s="338">
        <f>'[8]Phụ lục số 1-1'!N44</f>
        <v>22000</v>
      </c>
      <c r="AP24" s="338">
        <f>'PL1.1'!T44</f>
        <v>37000</v>
      </c>
      <c r="AQ24" s="338">
        <f>'PL1.1'!Z44</f>
        <v>30000</v>
      </c>
      <c r="AR24" s="338">
        <f>'PL1.1'!AF44</f>
        <v>27000</v>
      </c>
      <c r="AS24" s="327">
        <f t="shared" si="35"/>
        <v>94000</v>
      </c>
      <c r="AT24" s="422">
        <f t="shared" si="26"/>
        <v>3.4083601611223507E-3</v>
      </c>
      <c r="AU24" s="461">
        <f t="shared" si="18"/>
        <v>-8.690501432776232E-2</v>
      </c>
      <c r="AV24" s="327">
        <f t="shared" si="7"/>
        <v>150664.30060000002</v>
      </c>
      <c r="AW24" s="323">
        <f t="shared" si="8"/>
        <v>-3.5264369891161662E-2</v>
      </c>
      <c r="AX24" s="323">
        <f t="shared" si="42"/>
        <v>3.5309480503325705E-3</v>
      </c>
      <c r="AY24" s="323">
        <f t="shared" si="9"/>
        <v>0.36824626458363063</v>
      </c>
      <c r="AZ24" s="338">
        <f>'PL1.1'!AL44</f>
        <v>28000</v>
      </c>
      <c r="BA24" s="327">
        <f>'[8]Phụ lục số 1-1'!AR44</f>
        <v>30000</v>
      </c>
      <c r="BB24" s="327">
        <f>'[8]Phụ lục số 1-1'!AX44</f>
        <v>32000</v>
      </c>
      <c r="BC24" s="327">
        <f>'[8]Phụ lục số 1-1'!BD44</f>
        <v>35000</v>
      </c>
      <c r="BD24" s="327">
        <f>'[8]Phụ lục số 1-1'!BJ44</f>
        <v>37000</v>
      </c>
      <c r="BE24" s="1599">
        <f t="shared" si="28"/>
        <v>162000</v>
      </c>
      <c r="BF24" s="461">
        <f t="shared" si="11"/>
        <v>6.5044102740563714E-2</v>
      </c>
      <c r="BG24" s="422">
        <f t="shared" si="20"/>
        <v>2.491157916391025E-3</v>
      </c>
      <c r="BH24" s="1665">
        <f t="shared" si="37"/>
        <v>7.5238124458528732E-2</v>
      </c>
      <c r="BI24" s="334"/>
      <c r="BJ24" s="334"/>
      <c r="BK24" s="334"/>
      <c r="BL24" s="335">
        <f t="shared" si="39"/>
        <v>21198</v>
      </c>
      <c r="BM24" s="335">
        <f t="shared" si="40"/>
        <v>35466.300600000002</v>
      </c>
      <c r="BN24" s="335">
        <f t="shared" si="38"/>
        <v>167.30965468440419</v>
      </c>
      <c r="BO24" s="314">
        <f t="shared" si="21"/>
        <v>67.309654684404194</v>
      </c>
    </row>
    <row r="25" spans="1:67" s="335" customFormat="1" ht="30" customHeight="1">
      <c r="A25" s="325">
        <v>16</v>
      </c>
      <c r="B25" s="336" t="s">
        <v>129</v>
      </c>
      <c r="C25" s="337"/>
      <c r="D25" s="327">
        <v>0</v>
      </c>
      <c r="E25" s="327">
        <v>0</v>
      </c>
      <c r="F25" s="327">
        <v>0</v>
      </c>
      <c r="G25" s="327">
        <v>0</v>
      </c>
      <c r="H25" s="327">
        <v>0</v>
      </c>
      <c r="I25" s="327">
        <f t="shared" si="32"/>
        <v>0</v>
      </c>
      <c r="J25" s="327"/>
      <c r="K25" s="327">
        <v>0</v>
      </c>
      <c r="L25" s="327">
        <v>0</v>
      </c>
      <c r="M25" s="327">
        <v>0</v>
      </c>
      <c r="N25" s="327">
        <v>0</v>
      </c>
      <c r="O25" s="327">
        <v>0</v>
      </c>
      <c r="P25" s="327">
        <f t="shared" si="33"/>
        <v>0</v>
      </c>
      <c r="Q25" s="323"/>
      <c r="R25" s="323">
        <f t="shared" si="1"/>
        <v>0</v>
      </c>
      <c r="S25" s="327">
        <v>0</v>
      </c>
      <c r="T25" s="327">
        <v>0</v>
      </c>
      <c r="U25" s="328">
        <f>'[7]Phụ lục số 1'!$N$53</f>
        <v>8000</v>
      </c>
      <c r="V25" s="328">
        <v>47932</v>
      </c>
      <c r="W25" s="328">
        <v>8000</v>
      </c>
      <c r="X25" s="328">
        <v>129025</v>
      </c>
      <c r="Y25" s="328">
        <v>55000</v>
      </c>
      <c r="Z25" s="328">
        <v>125796</v>
      </c>
      <c r="AA25" s="327">
        <f t="shared" si="3"/>
        <v>302753</v>
      </c>
      <c r="AB25" s="323" t="e">
        <f t="shared" si="4"/>
        <v>#DIV/0!</v>
      </c>
      <c r="AC25" s="323">
        <f t="shared" si="13"/>
        <v>8.1009608342720533E-3</v>
      </c>
      <c r="AD25" s="323"/>
      <c r="AE25" s="340">
        <v>70000</v>
      </c>
      <c r="AF25" s="330">
        <v>59826</v>
      </c>
      <c r="AG25" s="1612">
        <v>98777</v>
      </c>
      <c r="AH25" s="338">
        <f>'PL1.1'!H45</f>
        <v>76161.542220000003</v>
      </c>
      <c r="AI25" s="332">
        <f t="shared" si="34"/>
        <v>438740.54222</v>
      </c>
      <c r="AJ25" s="324">
        <f t="shared" si="25"/>
        <v>1.1170673250595585E-2</v>
      </c>
      <c r="AK25" s="331" t="e">
        <f t="shared" si="15"/>
        <v>#DIV/0!</v>
      </c>
      <c r="AL25" s="330">
        <f t="shared" si="29"/>
        <v>261783.54222</v>
      </c>
      <c r="AM25" s="331">
        <f t="shared" si="30"/>
        <v>1.1129673163935155E-2</v>
      </c>
      <c r="AN25" s="331">
        <f t="shared" si="31"/>
        <v>-0.4974668836215953</v>
      </c>
      <c r="AO25" s="338">
        <f>'[8]Phụ lục số 1-1'!N45</f>
        <v>50000</v>
      </c>
      <c r="AP25" s="338">
        <f>'PL1.1'!T45</f>
        <v>100000</v>
      </c>
      <c r="AQ25" s="338">
        <f>'PL1.1'!Z45</f>
        <v>37000</v>
      </c>
      <c r="AR25" s="338">
        <f>'PL1.1'!AF45</f>
        <v>114000</v>
      </c>
      <c r="AS25" s="327">
        <f t="shared" si="35"/>
        <v>251000</v>
      </c>
      <c r="AT25" s="422">
        <f t="shared" si="26"/>
        <v>9.1010468132096817E-3</v>
      </c>
      <c r="AU25" s="461">
        <f t="shared" si="18"/>
        <v>0.14390433871818376</v>
      </c>
      <c r="AV25" s="327">
        <f t="shared" si="7"/>
        <v>386987.54222</v>
      </c>
      <c r="AW25" s="323">
        <f t="shared" si="8"/>
        <v>-1.9499986691724369E-2</v>
      </c>
      <c r="AX25" s="323">
        <f t="shared" si="42"/>
        <v>9.069387388140851E-3</v>
      </c>
      <c r="AY25" s="323">
        <f t="shared" si="9"/>
        <v>0.27822859631448749</v>
      </c>
      <c r="AZ25" s="338">
        <f>'PL1.1'!AL45</f>
        <v>120000</v>
      </c>
      <c r="BA25" s="327">
        <f>'[8]Phụ lục số 1-1'!AR45</f>
        <v>130000</v>
      </c>
      <c r="BB25" s="327">
        <f>'[8]Phụ lục số 1-1'!AX45</f>
        <v>140000</v>
      </c>
      <c r="BC25" s="327">
        <f>'[8]Phụ lục số 1-1'!BD45</f>
        <v>150000</v>
      </c>
      <c r="BD25" s="327">
        <f>'[8]Phụ lục số 1-1'!BJ45</f>
        <v>160000</v>
      </c>
      <c r="BE25" s="1599">
        <f t="shared" si="28"/>
        <v>700000</v>
      </c>
      <c r="BF25" s="461">
        <f t="shared" si="11"/>
        <v>7.0145984594375044E-2</v>
      </c>
      <c r="BG25" s="422">
        <f t="shared" si="20"/>
        <v>1.0764262601689613E-2</v>
      </c>
      <c r="BH25" s="1665">
        <f t="shared" si="37"/>
        <v>0.80884375756482196</v>
      </c>
      <c r="BI25" s="334"/>
      <c r="BJ25" s="334"/>
      <c r="BK25" s="334"/>
      <c r="BL25" s="335">
        <f t="shared" si="39"/>
        <v>59826</v>
      </c>
      <c r="BM25" s="335">
        <f t="shared" si="40"/>
        <v>76161.542220000003</v>
      </c>
      <c r="BN25" s="335">
        <f t="shared" si="38"/>
        <v>127.30508845652393</v>
      </c>
      <c r="BO25" s="314">
        <f t="shared" si="21"/>
        <v>27.305088456523933</v>
      </c>
    </row>
    <row r="26" spans="1:67" s="335" customFormat="1" ht="30" customHeight="1">
      <c r="A26" s="325">
        <v>15</v>
      </c>
      <c r="B26" s="336" t="s">
        <v>19</v>
      </c>
      <c r="C26" s="337">
        <f>'[6]Tổng hợp thu NSNN năm 2005'!$D$64/1000000</f>
        <v>9570.0905939999993</v>
      </c>
      <c r="D26" s="327"/>
      <c r="E26" s="327"/>
      <c r="F26" s="327"/>
      <c r="G26" s="327"/>
      <c r="H26" s="327">
        <v>18914</v>
      </c>
      <c r="I26" s="327">
        <f t="shared" si="32"/>
        <v>18914</v>
      </c>
      <c r="J26" s="327"/>
      <c r="K26" s="327">
        <v>17981.816880999999</v>
      </c>
      <c r="L26" s="327">
        <v>15843.017508999999</v>
      </c>
      <c r="M26" s="327">
        <v>17170.030866000001</v>
      </c>
      <c r="N26" s="327">
        <v>15943.836121</v>
      </c>
      <c r="O26" s="327">
        <v>15685</v>
      </c>
      <c r="P26" s="327">
        <f t="shared" si="33"/>
        <v>82623.70137699999</v>
      </c>
      <c r="Q26" s="323"/>
      <c r="R26" s="323">
        <f t="shared" si="1"/>
        <v>3.6647507121077235E-3</v>
      </c>
      <c r="S26" s="327">
        <v>15566</v>
      </c>
      <c r="T26" s="327">
        <v>19734</v>
      </c>
      <c r="U26" s="328">
        <f>'[7]Phụ lục số 1'!$N$54</f>
        <v>19000</v>
      </c>
      <c r="V26" s="328">
        <v>4849</v>
      </c>
      <c r="W26" s="328">
        <v>3500</v>
      </c>
      <c r="X26" s="328">
        <v>3085</v>
      </c>
      <c r="Y26" s="328">
        <v>4000</v>
      </c>
      <c r="Z26" s="328">
        <v>2866.9</v>
      </c>
      <c r="AA26" s="327">
        <f t="shared" si="3"/>
        <v>46100.9</v>
      </c>
      <c r="AB26" s="323">
        <f t="shared" si="4"/>
        <v>-0.28815472886121263</v>
      </c>
      <c r="AC26" s="323">
        <f t="shared" si="13"/>
        <v>1.233552055057068E-3</v>
      </c>
      <c r="AD26" s="323">
        <f>AA26/P26-1</f>
        <v>-0.44203782653541179</v>
      </c>
      <c r="AE26" s="340">
        <v>3000</v>
      </c>
      <c r="AF26" s="330">
        <v>2387</v>
      </c>
      <c r="AG26" s="1612">
        <v>3000</v>
      </c>
      <c r="AH26" s="338">
        <f>'PL1.1'!H47</f>
        <v>2041.6675579999999</v>
      </c>
      <c r="AI26" s="332">
        <f t="shared" si="34"/>
        <v>15229.567558000001</v>
      </c>
      <c r="AJ26" s="324">
        <f t="shared" si="25"/>
        <v>3.8775655898465496E-4</v>
      </c>
      <c r="AK26" s="331">
        <f t="shared" si="15"/>
        <v>-0.88276323748436392</v>
      </c>
      <c r="AL26" s="330">
        <f t="shared" si="29"/>
        <v>7295.5675580000006</v>
      </c>
      <c r="AM26" s="342">
        <f t="shared" si="30"/>
        <v>3.1016954609664203E-4</v>
      </c>
      <c r="AN26" s="331">
        <f t="shared" si="31"/>
        <v>-0.26552877296467181</v>
      </c>
      <c r="AO26" s="338">
        <f>'[8]Phụ lục số 1-1'!N47</f>
        <v>3000</v>
      </c>
      <c r="AP26" s="338">
        <f>'PL1.1'!T47</f>
        <v>2000.1</v>
      </c>
      <c r="AQ26" s="338">
        <f>'PL1.1'!Z47</f>
        <v>2000</v>
      </c>
      <c r="AR26" s="338">
        <f>'PL1.1'!AF47</f>
        <v>3000</v>
      </c>
      <c r="AS26" s="327">
        <f t="shared" si="35"/>
        <v>7000.1</v>
      </c>
      <c r="AT26" s="422">
        <f t="shared" si="26"/>
        <v>2.5381768046672944E-4</v>
      </c>
      <c r="AU26" s="461">
        <f t="shared" si="18"/>
        <v>0.13687332252828499</v>
      </c>
      <c r="AV26" s="327">
        <f t="shared" si="7"/>
        <v>11428.767558</v>
      </c>
      <c r="AW26" s="323">
        <f t="shared" si="8"/>
        <v>9.1175099741072074E-3</v>
      </c>
      <c r="AX26" s="323">
        <f t="shared" si="42"/>
        <v>2.6784304155608461E-4</v>
      </c>
      <c r="AY26" s="323">
        <f t="shared" si="9"/>
        <v>-0.75209231147331179</v>
      </c>
      <c r="AZ26" s="338">
        <f>'PL1.1'!AL47</f>
        <v>3000</v>
      </c>
      <c r="BA26" s="327">
        <f>'[8]Phụ lục số 1-1'!AR47</f>
        <v>3000</v>
      </c>
      <c r="BB26" s="327">
        <f>'[8]Phụ lục số 1-1'!AX47</f>
        <v>3000</v>
      </c>
      <c r="BC26" s="327">
        <f>'[8]Phụ lục số 1-1'!BD47</f>
        <v>3000</v>
      </c>
      <c r="BD26" s="327">
        <f>'[8]Phụ lục số 1-1'!BJ47</f>
        <v>3000</v>
      </c>
      <c r="BE26" s="1599">
        <f t="shared" si="28"/>
        <v>15000</v>
      </c>
      <c r="BF26" s="461">
        <f t="shared" si="11"/>
        <v>0</v>
      </c>
      <c r="BG26" s="422">
        <f t="shared" si="20"/>
        <v>2.3066277003620602E-4</v>
      </c>
      <c r="BH26" s="1665">
        <f t="shared" si="37"/>
        <v>0.31247747614747667</v>
      </c>
      <c r="BI26" s="334"/>
      <c r="BJ26" s="334"/>
      <c r="BK26" s="334"/>
      <c r="BL26" s="335">
        <f t="shared" si="39"/>
        <v>2387</v>
      </c>
      <c r="BM26" s="335">
        <f t="shared" si="40"/>
        <v>2041.6675579999999</v>
      </c>
      <c r="BN26" s="335">
        <f t="shared" si="38"/>
        <v>85.532784164222861</v>
      </c>
      <c r="BO26" s="314">
        <f t="shared" si="21"/>
        <v>-14.467215835777139</v>
      </c>
    </row>
    <row r="27" spans="1:67" s="335" customFormat="1" ht="30" customHeight="1">
      <c r="A27" s="325">
        <v>16</v>
      </c>
      <c r="B27" s="336" t="s">
        <v>101</v>
      </c>
      <c r="C27" s="337">
        <f>'[6]Tổng hợp thu NSNN năm 2005'!$D$43/1000000</f>
        <v>280003</v>
      </c>
      <c r="D27" s="327">
        <v>349410</v>
      </c>
      <c r="E27" s="327">
        <v>810346.39989600005</v>
      </c>
      <c r="F27" s="327">
        <v>452760</v>
      </c>
      <c r="G27" s="327">
        <v>500750</v>
      </c>
      <c r="H27" s="327">
        <v>810346.39989600005</v>
      </c>
      <c r="I27" s="327">
        <f t="shared" si="32"/>
        <v>2923612.7997920001</v>
      </c>
      <c r="J27" s="327"/>
      <c r="K27" s="327">
        <v>687860.86755299999</v>
      </c>
      <c r="L27" s="327">
        <v>804565.51386399998</v>
      </c>
      <c r="M27" s="327">
        <v>941882.63027900003</v>
      </c>
      <c r="N27" s="327">
        <v>954775.96481699997</v>
      </c>
      <c r="O27" s="327">
        <v>1189344</v>
      </c>
      <c r="P27" s="327">
        <f t="shared" si="33"/>
        <v>4578428.9765130002</v>
      </c>
      <c r="Q27" s="323"/>
      <c r="R27" s="323">
        <f t="shared" si="1"/>
        <v>0.2030749115856165</v>
      </c>
      <c r="S27" s="327">
        <v>1310161</v>
      </c>
      <c r="T27" s="327">
        <v>1477896</v>
      </c>
      <c r="U27" s="328">
        <f>'[7]Phụ lục số 1'!$N$55</f>
        <v>1270000</v>
      </c>
      <c r="V27" s="328">
        <v>1371274</v>
      </c>
      <c r="W27" s="328">
        <v>1380000</v>
      </c>
      <c r="X27" s="328">
        <v>1523285</v>
      </c>
      <c r="Y27" s="328">
        <v>1460000</v>
      </c>
      <c r="Z27" s="328">
        <v>1976740.9</v>
      </c>
      <c r="AA27" s="327">
        <f t="shared" si="3"/>
        <v>7659356.9000000004</v>
      </c>
      <c r="AB27" s="323">
        <f t="shared" si="4"/>
        <v>0.10695114146144746</v>
      </c>
      <c r="AC27" s="323">
        <f t="shared" si="13"/>
        <v>0.20494644235601764</v>
      </c>
      <c r="AD27" s="323">
        <f>AA27/P27-1</f>
        <v>0.67292251103859657</v>
      </c>
      <c r="AE27" s="340">
        <v>1500000</v>
      </c>
      <c r="AF27" s="330">
        <v>1283258</v>
      </c>
      <c r="AG27" s="1612">
        <v>1500000</v>
      </c>
      <c r="AH27" s="338">
        <f>'PL1.1'!H48</f>
        <v>1743740.6317860002</v>
      </c>
      <c r="AI27" s="332">
        <f t="shared" si="34"/>
        <v>7898298.5317860004</v>
      </c>
      <c r="AJ27" s="324">
        <f t="shared" si="25"/>
        <v>0.20109678419004864</v>
      </c>
      <c r="AK27" s="331">
        <f>((V27/T27)*(X27/V27)*(Z27/X27)*(AF27/Z27)*(AH27/AF27)^(1/5))-1</f>
        <v>-7.6783222858292755E-2</v>
      </c>
      <c r="AL27" s="330">
        <f t="shared" si="29"/>
        <v>5003739.5317860004</v>
      </c>
      <c r="AM27" s="331">
        <f t="shared" si="30"/>
        <v>0.21273295148340093</v>
      </c>
      <c r="AN27" s="331">
        <f t="shared" si="31"/>
        <v>-6.6913046401453569E-2</v>
      </c>
      <c r="AO27" s="338">
        <f>'[8]Phụ lục số 1-1'!N48</f>
        <v>1600000</v>
      </c>
      <c r="AP27" s="338">
        <f>'PL1.1'!T48</f>
        <v>1950000</v>
      </c>
      <c r="AQ27" s="338">
        <f>'PL1.1'!Z48</f>
        <v>1950000</v>
      </c>
      <c r="AR27" s="338">
        <f>'PL1.1'!AF48</f>
        <v>2322000</v>
      </c>
      <c r="AS27" s="327">
        <f t="shared" si="35"/>
        <v>6222000</v>
      </c>
      <c r="AT27" s="1609">
        <f t="shared" si="26"/>
        <v>0.22560443534577942</v>
      </c>
      <c r="AU27" s="461">
        <f t="shared" si="18"/>
        <v>0.10017078816251401</v>
      </c>
      <c r="AV27" s="327">
        <f t="shared" si="7"/>
        <v>9248998.631786</v>
      </c>
      <c r="AW27" s="323">
        <f t="shared" si="8"/>
        <v>3.2719775641952387E-2</v>
      </c>
      <c r="AX27" s="323">
        <f t="shared" si="42"/>
        <v>0.21675827356831326</v>
      </c>
      <c r="AY27" s="323">
        <f t="shared" si="9"/>
        <v>0.20754245461338927</v>
      </c>
      <c r="AZ27" s="338">
        <f>'PL1.1'!AL48</f>
        <v>2500000</v>
      </c>
      <c r="BA27" s="327">
        <f>'[8]Phụ lục số 1-1'!AR48</f>
        <v>2600000</v>
      </c>
      <c r="BB27" s="327">
        <f>'[8]Phụ lục số 1-1'!AX48</f>
        <v>2660000</v>
      </c>
      <c r="BC27" s="327">
        <f>'[8]Phụ lục số 1-1'!BD48</f>
        <v>2710000</v>
      </c>
      <c r="BD27" s="327">
        <f>'[8]Phụ lục số 1-1'!BJ48</f>
        <v>2810000</v>
      </c>
      <c r="BE27" s="1599">
        <f t="shared" si="28"/>
        <v>13280000</v>
      </c>
      <c r="BF27" s="461">
        <f t="shared" si="11"/>
        <v>3.8888217818427551E-2</v>
      </c>
      <c r="BG27" s="422">
        <f t="shared" si="20"/>
        <v>0.20421343907205439</v>
      </c>
      <c r="BH27" s="1665">
        <f t="shared" si="37"/>
        <v>0.43583111304186728</v>
      </c>
      <c r="BI27" s="334"/>
      <c r="BJ27" s="334"/>
      <c r="BK27" s="334"/>
      <c r="BL27" s="335">
        <f t="shared" si="39"/>
        <v>1283258</v>
      </c>
      <c r="BM27" s="335">
        <f t="shared" si="40"/>
        <v>1743740.6317860002</v>
      </c>
      <c r="BN27" s="335">
        <f t="shared" si="38"/>
        <v>135.88386994556046</v>
      </c>
      <c r="BO27" s="314">
        <f t="shared" si="21"/>
        <v>35.883869945560463</v>
      </c>
    </row>
    <row r="28" spans="1:67" s="314" customFormat="1" ht="30" customHeight="1">
      <c r="A28" s="315" t="s">
        <v>20</v>
      </c>
      <c r="B28" s="1042" t="s">
        <v>477</v>
      </c>
      <c r="C28" s="423">
        <f>'[6]Tổng hợp thu NSNN năm 2005'!$D$65/1000000</f>
        <v>153738.415439</v>
      </c>
      <c r="D28" s="317">
        <v>230940</v>
      </c>
      <c r="E28" s="317">
        <v>305720</v>
      </c>
      <c r="F28" s="317">
        <v>329200</v>
      </c>
      <c r="G28" s="317">
        <v>308830</v>
      </c>
      <c r="H28" s="317">
        <v>306565.00754700002</v>
      </c>
      <c r="I28" s="317">
        <f t="shared" si="32"/>
        <v>1481255.007547</v>
      </c>
      <c r="J28" s="317"/>
      <c r="K28" s="317">
        <v>357566.61864</v>
      </c>
      <c r="L28" s="317">
        <v>418951.84585500002</v>
      </c>
      <c r="M28" s="317">
        <v>456841.14694599999</v>
      </c>
      <c r="N28" s="317">
        <v>140078.797276</v>
      </c>
      <c r="O28" s="317">
        <v>243841</v>
      </c>
      <c r="P28" s="317">
        <f t="shared" si="33"/>
        <v>1617279.4087169999</v>
      </c>
      <c r="Q28" s="318"/>
      <c r="R28" s="318">
        <f t="shared" si="1"/>
        <v>7.1733966960994378E-2</v>
      </c>
      <c r="S28" s="317">
        <v>96965</v>
      </c>
      <c r="T28" s="317">
        <v>107416</v>
      </c>
      <c r="U28" s="319">
        <f>'[7]Phụ lục số 1'!$N$56</f>
        <v>66000</v>
      </c>
      <c r="V28" s="319">
        <v>74262</v>
      </c>
      <c r="W28" s="319">
        <v>78000</v>
      </c>
      <c r="X28" s="319">
        <v>126290</v>
      </c>
      <c r="Y28" s="319">
        <v>70000</v>
      </c>
      <c r="Z28" s="319">
        <v>93759</v>
      </c>
      <c r="AA28" s="317">
        <f t="shared" si="3"/>
        <v>498692</v>
      </c>
      <c r="AB28" s="318">
        <f t="shared" si="4"/>
        <v>-0.17399771792258245</v>
      </c>
      <c r="AC28" s="318">
        <f t="shared" si="13"/>
        <v>1.3343829327421359E-2</v>
      </c>
      <c r="AD28" s="318">
        <f>AA28/P28-1</f>
        <v>-0.69164759205361048</v>
      </c>
      <c r="AE28" s="611">
        <v>105000</v>
      </c>
      <c r="AF28" s="345">
        <v>196854</v>
      </c>
      <c r="AG28" s="1611">
        <v>110000</v>
      </c>
      <c r="AH28" s="1257">
        <f>'PL1.1'!H49</f>
        <v>389783.37025500002</v>
      </c>
      <c r="AI28" s="1598">
        <f t="shared" si="34"/>
        <v>880948.37025499996</v>
      </c>
      <c r="AJ28" s="320">
        <f>AI28/$AI$7</f>
        <v>2.242962627745668E-2</v>
      </c>
      <c r="AK28" s="321">
        <f>((V28/T28)*(X28/V28)*(Z28/X28)*(AF28/Z28)*(AH28/AF28)^(1/5))-1</f>
        <v>1.1009275712244229</v>
      </c>
      <c r="AL28" s="345">
        <f>AH28+AF28+Z28</f>
        <v>680396.37025499996</v>
      </c>
      <c r="AM28" s="321">
        <f t="shared" si="30"/>
        <v>2.892691098396873E-2</v>
      </c>
      <c r="AN28" s="331">
        <f t="shared" si="31"/>
        <v>0.95734914959977924</v>
      </c>
      <c r="AO28" s="1257">
        <f>'[8]Phụ lục số 1-1'!N49</f>
        <v>150000</v>
      </c>
      <c r="AP28" s="1257">
        <f>'PL1.1'!T49</f>
        <v>150745.51999999999</v>
      </c>
      <c r="AQ28" s="1257">
        <f>'PL1.1'!Z49</f>
        <v>200000</v>
      </c>
      <c r="AR28" s="1257">
        <f>'PL1.1'!AF49</f>
        <v>162500</v>
      </c>
      <c r="AS28" s="317">
        <f t="shared" si="35"/>
        <v>513245.52</v>
      </c>
      <c r="AT28" s="1608">
        <f t="shared" si="26"/>
        <v>1.8609846630239624E-2</v>
      </c>
      <c r="AU28" s="322">
        <f t="shared" si="18"/>
        <v>-0.25296086628331893</v>
      </c>
      <c r="AV28" s="317">
        <f t="shared" si="7"/>
        <v>1099882.890255</v>
      </c>
      <c r="AW28" s="318">
        <f t="shared" si="8"/>
        <v>0.11626698398103552</v>
      </c>
      <c r="AX28" s="318">
        <f t="shared" si="42"/>
        <v>2.5776705772197001E-2</v>
      </c>
      <c r="AY28" s="318">
        <f t="shared" si="9"/>
        <v>1.2055354612766997</v>
      </c>
      <c r="AZ28" s="1257">
        <f>'PL1.1'!AL49</f>
        <v>169000</v>
      </c>
      <c r="BA28" s="317">
        <f>'[8]Phụ lục số 1-1'!AR49</f>
        <v>175999.81661120002</v>
      </c>
      <c r="BB28" s="317">
        <f>'[8]Phụ lục số 1-1'!AX49</f>
        <v>183500.40879883713</v>
      </c>
      <c r="BC28" s="317">
        <f>'[8]Phụ lục số 1-1'!BD49</f>
        <v>191500.02662246645</v>
      </c>
      <c r="BD28" s="317">
        <f>'[8]Phụ lục số 1-1'!BJ49</f>
        <v>200000.027793855</v>
      </c>
      <c r="BE28" s="1599">
        <f>AZ28+BA28+BB28+BC28+BD28-0.1</f>
        <v>920000.17982635845</v>
      </c>
      <c r="BF28" s="461">
        <f t="shared" si="11"/>
        <v>4.2402245249672177E-2</v>
      </c>
      <c r="BG28" s="422">
        <f t="shared" si="20"/>
        <v>1.41473193275037E-2</v>
      </c>
      <c r="BH28" s="1600">
        <f>BE28/AV28-1</f>
        <v>-0.16354714853954766</v>
      </c>
      <c r="BI28" s="313"/>
      <c r="BJ28" s="313"/>
      <c r="BK28" s="313"/>
      <c r="BL28" s="335">
        <f t="shared" si="39"/>
        <v>196854</v>
      </c>
      <c r="BM28" s="335">
        <f t="shared" si="40"/>
        <v>389783.37025500002</v>
      </c>
      <c r="BN28" s="335">
        <f t="shared" si="38"/>
        <v>198.00632461367309</v>
      </c>
      <c r="BO28" s="314">
        <f t="shared" si="21"/>
        <v>98.006324613673087</v>
      </c>
    </row>
    <row r="29" spans="1:67" s="314" customFormat="1" ht="30" hidden="1" customHeight="1">
      <c r="A29" s="315"/>
      <c r="B29" s="495" t="s">
        <v>1291</v>
      </c>
      <c r="C29" s="423"/>
      <c r="D29" s="317"/>
      <c r="E29" s="317"/>
      <c r="F29" s="317"/>
      <c r="G29" s="317"/>
      <c r="H29" s="317"/>
      <c r="I29" s="317"/>
      <c r="J29" s="317"/>
      <c r="K29" s="317"/>
      <c r="L29" s="317"/>
      <c r="M29" s="317"/>
      <c r="N29" s="317"/>
      <c r="O29" s="317"/>
      <c r="P29" s="317"/>
      <c r="Q29" s="318"/>
      <c r="R29" s="318"/>
      <c r="S29" s="317"/>
      <c r="T29" s="317"/>
      <c r="U29" s="319"/>
      <c r="V29" s="319"/>
      <c r="W29" s="319"/>
      <c r="X29" s="319"/>
      <c r="Y29" s="319"/>
      <c r="Z29" s="319"/>
      <c r="AA29" s="317"/>
      <c r="AB29" s="318"/>
      <c r="AC29" s="318"/>
      <c r="AD29" s="318"/>
      <c r="AE29" s="611"/>
      <c r="AF29" s="345"/>
      <c r="AG29" s="1611"/>
      <c r="AH29" s="1257"/>
      <c r="AI29" s="345"/>
      <c r="AJ29" s="345"/>
      <c r="AK29" s="345"/>
      <c r="AL29" s="317"/>
      <c r="AM29" s="317"/>
      <c r="AN29" s="317"/>
      <c r="AO29" s="1257"/>
      <c r="AP29" s="1257"/>
      <c r="AQ29" s="1257"/>
      <c r="AR29" s="317"/>
      <c r="AS29" s="317"/>
      <c r="AT29" s="317"/>
      <c r="AU29" s="317"/>
      <c r="AV29" s="327">
        <f t="shared" si="7"/>
        <v>0</v>
      </c>
      <c r="AW29" s="318"/>
      <c r="AX29" s="318"/>
      <c r="AY29" s="318"/>
      <c r="AZ29" s="1257"/>
      <c r="BA29" s="317"/>
      <c r="BB29" s="317"/>
      <c r="BC29" s="317"/>
      <c r="BD29" s="317"/>
      <c r="BE29" s="1599"/>
      <c r="BF29" s="323"/>
      <c r="BG29" s="318"/>
      <c r="BH29" s="1600"/>
      <c r="BI29" s="313"/>
      <c r="BJ29" s="313"/>
      <c r="BK29" s="313"/>
      <c r="BL29" s="335"/>
      <c r="BM29" s="335"/>
      <c r="BN29" s="335"/>
    </row>
    <row r="30" spans="1:67" s="314" customFormat="1" ht="30" hidden="1" customHeight="1">
      <c r="A30" s="315"/>
      <c r="B30" s="495" t="s">
        <v>1292</v>
      </c>
      <c r="C30" s="423"/>
      <c r="D30" s="317"/>
      <c r="E30" s="317"/>
      <c r="F30" s="317"/>
      <c r="G30" s="317"/>
      <c r="H30" s="317"/>
      <c r="I30" s="317"/>
      <c r="J30" s="317"/>
      <c r="K30" s="317"/>
      <c r="L30" s="317"/>
      <c r="M30" s="317"/>
      <c r="N30" s="317"/>
      <c r="O30" s="317"/>
      <c r="P30" s="317"/>
      <c r="Q30" s="318"/>
      <c r="R30" s="318"/>
      <c r="S30" s="317"/>
      <c r="T30" s="317"/>
      <c r="U30" s="319"/>
      <c r="V30" s="319"/>
      <c r="W30" s="319"/>
      <c r="X30" s="319"/>
      <c r="Y30" s="319"/>
      <c r="Z30" s="319"/>
      <c r="AA30" s="317"/>
      <c r="AB30" s="318"/>
      <c r="AC30" s="318"/>
      <c r="AD30" s="318"/>
      <c r="AE30" s="611"/>
      <c r="AF30" s="345"/>
      <c r="AG30" s="1611"/>
      <c r="AH30" s="1257"/>
      <c r="AI30" s="345"/>
      <c r="AJ30" s="345"/>
      <c r="AK30" s="345"/>
      <c r="AL30" s="317"/>
      <c r="AM30" s="317"/>
      <c r="AN30" s="317"/>
      <c r="AO30" s="1257"/>
      <c r="AP30" s="1257"/>
      <c r="AQ30" s="1257"/>
      <c r="AR30" s="317"/>
      <c r="AS30" s="317"/>
      <c r="AT30" s="317"/>
      <c r="AU30" s="317"/>
      <c r="AV30" s="327"/>
      <c r="AW30" s="318"/>
      <c r="AX30" s="318"/>
      <c r="AY30" s="318"/>
      <c r="AZ30" s="1257"/>
      <c r="BA30" s="317"/>
      <c r="BB30" s="317"/>
      <c r="BC30" s="317"/>
      <c r="BD30" s="317"/>
      <c r="BE30" s="1599"/>
      <c r="BF30" s="323"/>
      <c r="BG30" s="318"/>
      <c r="BH30" s="1600"/>
      <c r="BI30" s="313"/>
      <c r="BJ30" s="313"/>
      <c r="BK30" s="313"/>
      <c r="BL30" s="335"/>
      <c r="BM30" s="335"/>
      <c r="BN30" s="335"/>
    </row>
    <row r="31" spans="1:67" s="314" customFormat="1" ht="30" customHeight="1">
      <c r="A31" s="1601" t="s">
        <v>22</v>
      </c>
      <c r="B31" s="591" t="s">
        <v>23</v>
      </c>
      <c r="C31" s="1042">
        <f t="shared" ref="C31:H31" si="43">SUM(C32:C33)</f>
        <v>8016985</v>
      </c>
      <c r="D31" s="1042">
        <f t="shared" si="43"/>
        <v>0</v>
      </c>
      <c r="E31" s="1042">
        <f t="shared" si="43"/>
        <v>8016985</v>
      </c>
      <c r="F31" s="1042">
        <f>SUM(F32:F33)</f>
        <v>8016985</v>
      </c>
      <c r="G31" s="1042">
        <f t="shared" si="43"/>
        <v>0</v>
      </c>
      <c r="H31" s="1042">
        <f t="shared" si="43"/>
        <v>8016985</v>
      </c>
      <c r="I31" s="1103">
        <f>H31/C31*100</f>
        <v>100</v>
      </c>
      <c r="J31" s="319">
        <f>SUM(J32:J33)</f>
        <v>0</v>
      </c>
      <c r="K31" s="319">
        <f>SUM(K32:K33)</f>
        <v>8016985</v>
      </c>
      <c r="L31" s="319">
        <f>SUM(L32:L33)</f>
        <v>8016985</v>
      </c>
      <c r="M31" s="319">
        <f>SUM(M32:M33)</f>
        <v>0</v>
      </c>
      <c r="N31" s="1492" t="e">
        <f>SUM(N32:N33)</f>
        <v>#REF!</v>
      </c>
      <c r="O31" s="1493"/>
      <c r="P31" s="1492">
        <f t="shared" ref="P31:Y31" si="44">SUM(P32:P33)</f>
        <v>0</v>
      </c>
      <c r="Q31" s="1492" t="e">
        <f t="shared" si="44"/>
        <v>#REF!</v>
      </c>
      <c r="R31" s="1492" t="e">
        <f t="shared" si="44"/>
        <v>#REF!</v>
      </c>
      <c r="S31" s="1492">
        <f t="shared" si="44"/>
        <v>0</v>
      </c>
      <c r="T31" s="1492">
        <f t="shared" si="44"/>
        <v>6392370</v>
      </c>
      <c r="U31" s="1602">
        <f t="shared" si="44"/>
        <v>6694954</v>
      </c>
      <c r="V31" s="1602">
        <f t="shared" si="44"/>
        <v>6694954</v>
      </c>
      <c r="W31" s="1602">
        <f t="shared" si="44"/>
        <v>6592723</v>
      </c>
      <c r="X31" s="1492">
        <f t="shared" si="44"/>
        <v>6592723</v>
      </c>
      <c r="Y31" s="1492">
        <f t="shared" si="44"/>
        <v>6510639</v>
      </c>
      <c r="Z31" s="1042">
        <f>SUM(Z32:Z33)</f>
        <v>6510639</v>
      </c>
      <c r="AA31" s="1103"/>
      <c r="AB31" s="1042">
        <f t="shared" ref="AB31:AL31" si="45">SUM(AB32:AB33)</f>
        <v>0</v>
      </c>
      <c r="AC31" s="1042">
        <f t="shared" si="45"/>
        <v>6483689</v>
      </c>
      <c r="AD31" s="1042">
        <f t="shared" si="45"/>
        <v>4803413</v>
      </c>
      <c r="AE31" s="1042">
        <f>SUM(AE32:AE33)</f>
        <v>6765596</v>
      </c>
      <c r="AF31" s="1042">
        <f t="shared" si="45"/>
        <v>6765596</v>
      </c>
      <c r="AG31" s="1613">
        <f t="shared" si="45"/>
        <v>8016985</v>
      </c>
      <c r="AH31" s="1613">
        <f t="shared" si="45"/>
        <v>8067081.5071109999</v>
      </c>
      <c r="AI31" s="1042">
        <f t="shared" si="45"/>
        <v>5299832.4928890001</v>
      </c>
      <c r="AJ31" s="1042">
        <f t="shared" si="45"/>
        <v>5299832.4928890001</v>
      </c>
      <c r="AK31" s="1042">
        <f t="shared" si="45"/>
        <v>0</v>
      </c>
      <c r="AL31" s="1492">
        <f t="shared" si="45"/>
        <v>24240276</v>
      </c>
      <c r="AM31" s="1493"/>
      <c r="AN31" s="1492">
        <f>SUM(AN32:AN33)</f>
        <v>0</v>
      </c>
      <c r="AO31" s="1618">
        <f>SUM(AO32:AO33)</f>
        <v>9084495</v>
      </c>
      <c r="AP31" s="1618">
        <f>SUM(AP32:AP33)</f>
        <v>9084495</v>
      </c>
      <c r="AQ31" s="1618">
        <f>SUM(AQ32:AQ33)</f>
        <v>8476464</v>
      </c>
      <c r="AR31" s="1618">
        <f>SUM(AR32:AR33)</f>
        <v>8996673.3000000007</v>
      </c>
      <c r="AS31" s="1641"/>
      <c r="AT31" s="423">
        <f>SUM(AT32:AT33)</f>
        <v>0</v>
      </c>
      <c r="AU31" s="423">
        <f>SUM(AU32:AU33)</f>
        <v>8996673.3000000007</v>
      </c>
      <c r="AV31" s="1492">
        <f>SUM(AV32:AV33)</f>
        <v>8996673.3000000007</v>
      </c>
      <c r="AW31" s="1492">
        <f>SUM(AW32:AW33)</f>
        <v>0</v>
      </c>
      <c r="AX31" s="1492">
        <f>SUM(AX32:AX33)</f>
        <v>24939485.300000001</v>
      </c>
      <c r="AY31" s="1493"/>
      <c r="AZ31" s="1618">
        <f>SUM(AZ32:AZ33)</f>
        <v>8996673.3000000007</v>
      </c>
      <c r="BA31" s="423">
        <f>SUM(BA32:BA33)</f>
        <v>22560000</v>
      </c>
      <c r="BB31" s="423">
        <f>SUM(BB32:BB33)</f>
        <v>24939485.300000001</v>
      </c>
      <c r="BC31" s="423">
        <f>SUM(BC32:BC33)</f>
        <v>0</v>
      </c>
      <c r="BD31" s="423">
        <f>SUM(BD32:BD33)</f>
        <v>24939485.300000001</v>
      </c>
      <c r="BE31" s="1641"/>
      <c r="BF31" s="423">
        <f>SUM(BF32:BF33)</f>
        <v>0</v>
      </c>
      <c r="BG31" s="423">
        <f>SUM(BG32:BG33)</f>
        <v>24939485.300000001</v>
      </c>
      <c r="BH31" s="1666">
        <f>SUM(BH32:BH33)</f>
        <v>24939485.300000001</v>
      </c>
      <c r="BI31" s="1589">
        <f>SUM(BI32:BI33)</f>
        <v>0</v>
      </c>
      <c r="BJ31" s="1492">
        <f>SUM(BJ32:BJ33)</f>
        <v>24939485.300000001</v>
      </c>
      <c r="BK31" s="1493"/>
      <c r="BL31" s="1492">
        <f>SUM(BL32:BL33)</f>
        <v>0</v>
      </c>
      <c r="BM31" s="1492">
        <f>SUM(BM32:BM33)</f>
        <v>24939485.300000001</v>
      </c>
      <c r="BN31" s="1492">
        <f>SUM(BN32:BN33)</f>
        <v>24939485.300000001</v>
      </c>
      <c r="BO31" s="1492">
        <f>SUM(BO32:BO33)</f>
        <v>0</v>
      </c>
    </row>
    <row r="32" spans="1:67" s="314" customFormat="1" ht="30" customHeight="1">
      <c r="A32" s="1601" t="s">
        <v>9</v>
      </c>
      <c r="B32" s="591" t="s">
        <v>24</v>
      </c>
      <c r="C32" s="1042">
        <v>6803512</v>
      </c>
      <c r="D32" s="1042"/>
      <c r="E32" s="1042">
        <f>F32+G32</f>
        <v>6803512</v>
      </c>
      <c r="F32" s="1042">
        <f>C32</f>
        <v>6803512</v>
      </c>
      <c r="G32" s="1042">
        <v>0</v>
      </c>
      <c r="H32" s="1042">
        <f>C32</f>
        <v>6803512</v>
      </c>
      <c r="I32" s="1103"/>
      <c r="J32" s="319">
        <v>0</v>
      </c>
      <c r="K32" s="319">
        <f>H32</f>
        <v>6803512</v>
      </c>
      <c r="L32" s="319">
        <f>K32</f>
        <v>6803512</v>
      </c>
      <c r="M32" s="319">
        <v>0</v>
      </c>
      <c r="N32" s="1492">
        <f>Q32</f>
        <v>6487488</v>
      </c>
      <c r="O32" s="1493"/>
      <c r="P32" s="1492">
        <v>0</v>
      </c>
      <c r="Q32" s="1492">
        <f>R32+S32</f>
        <v>6487488</v>
      </c>
      <c r="R32" s="1492">
        <f>INT(13141488-6654000)</f>
        <v>6487488</v>
      </c>
      <c r="S32" s="1492">
        <v>0</v>
      </c>
      <c r="T32" s="1492">
        <f>W32</f>
        <v>4881126</v>
      </c>
      <c r="U32" s="1602">
        <f>4693126</f>
        <v>4693126</v>
      </c>
      <c r="V32" s="1602">
        <f>U32</f>
        <v>4693126</v>
      </c>
      <c r="W32" s="1602">
        <f>4787126+94000</f>
        <v>4881126</v>
      </c>
      <c r="X32" s="1492">
        <f>W32</f>
        <v>4881126</v>
      </c>
      <c r="Y32" s="1492">
        <f>4787126+96000</f>
        <v>4883126</v>
      </c>
      <c r="Z32" s="1042">
        <f>4787126+96000</f>
        <v>4883126</v>
      </c>
      <c r="AA32" s="1103"/>
      <c r="AB32" s="1042">
        <v>0</v>
      </c>
      <c r="AC32" s="1042">
        <f>Z32</f>
        <v>4883126</v>
      </c>
      <c r="AD32" s="1042">
        <f>AC32</f>
        <v>4883126</v>
      </c>
      <c r="AE32" s="1042">
        <v>4883126</v>
      </c>
      <c r="AF32" s="1042">
        <f>AE32</f>
        <v>4883126</v>
      </c>
      <c r="AG32" s="1613">
        <f>'PL1.1'!C53</f>
        <v>6803512</v>
      </c>
      <c r="AH32" s="1613">
        <f>AG32</f>
        <v>6803512</v>
      </c>
      <c r="AI32" s="1042">
        <f>AF32</f>
        <v>4883126</v>
      </c>
      <c r="AJ32" s="1042">
        <f>AI32</f>
        <v>4883126</v>
      </c>
      <c r="AK32" s="1042">
        <v>0</v>
      </c>
      <c r="AL32" s="1492">
        <f>$N$56</f>
        <v>22560000</v>
      </c>
      <c r="AM32" s="1493"/>
      <c r="AN32" s="1492">
        <v>0</v>
      </c>
      <c r="AO32" s="1618">
        <f>'PL1.1'!N53</f>
        <v>6487488</v>
      </c>
      <c r="AP32" s="1618">
        <f>AO32</f>
        <v>6487488</v>
      </c>
      <c r="AQ32" s="1618">
        <f>'PL1.1'!Z53</f>
        <v>6487488</v>
      </c>
      <c r="AR32" s="1618">
        <f>'PL1.1'!AF53</f>
        <v>6617188</v>
      </c>
      <c r="AS32" s="1641"/>
      <c r="AT32" s="423">
        <v>0</v>
      </c>
      <c r="AU32" s="423">
        <f>AR32</f>
        <v>6617188</v>
      </c>
      <c r="AV32" s="1492">
        <f>AU32</f>
        <v>6617188</v>
      </c>
      <c r="AW32" s="1492">
        <v>0</v>
      </c>
      <c r="AX32" s="1492">
        <f>$N$56</f>
        <v>22560000</v>
      </c>
      <c r="AY32" s="1493"/>
      <c r="AZ32" s="1618">
        <f>'PL1.1'!AL53</f>
        <v>6617188</v>
      </c>
      <c r="BA32" s="423">
        <f>AX32</f>
        <v>22560000</v>
      </c>
      <c r="BB32" s="423">
        <f>BA32</f>
        <v>22560000</v>
      </c>
      <c r="BC32" s="423">
        <v>0</v>
      </c>
      <c r="BD32" s="423">
        <f>$N$56</f>
        <v>22560000</v>
      </c>
      <c r="BE32" s="1641"/>
      <c r="BF32" s="423">
        <v>0</v>
      </c>
      <c r="BG32" s="423">
        <f>BD32</f>
        <v>22560000</v>
      </c>
      <c r="BH32" s="1666">
        <f>BG32</f>
        <v>22560000</v>
      </c>
      <c r="BI32" s="1589">
        <v>0</v>
      </c>
      <c r="BJ32" s="1492">
        <f>$N$56</f>
        <v>22560000</v>
      </c>
      <c r="BK32" s="1493"/>
      <c r="BL32" s="1492">
        <v>0</v>
      </c>
      <c r="BM32" s="1492">
        <f>BJ32</f>
        <v>22560000</v>
      </c>
      <c r="BN32" s="1492">
        <f>BM32</f>
        <v>22560000</v>
      </c>
      <c r="BO32" s="1492">
        <v>0</v>
      </c>
    </row>
    <row r="33" spans="1:67" s="314" customFormat="1" ht="30" customHeight="1">
      <c r="A33" s="1601" t="s">
        <v>20</v>
      </c>
      <c r="B33" s="591" t="s">
        <v>25</v>
      </c>
      <c r="C33" s="1042">
        <f t="shared" ref="C33:H33" si="46">SUM(C34:C35)</f>
        <v>1213473</v>
      </c>
      <c r="D33" s="1042">
        <f t="shared" si="46"/>
        <v>0</v>
      </c>
      <c r="E33" s="1042">
        <f t="shared" si="46"/>
        <v>1213473</v>
      </c>
      <c r="F33" s="1042">
        <f t="shared" si="46"/>
        <v>1213473</v>
      </c>
      <c r="G33" s="1042">
        <f t="shared" si="46"/>
        <v>0</v>
      </c>
      <c r="H33" s="1042">
        <f t="shared" si="46"/>
        <v>1213473</v>
      </c>
      <c r="I33" s="1103"/>
      <c r="J33" s="319">
        <f>SUM(J34:J35)</f>
        <v>0</v>
      </c>
      <c r="K33" s="319">
        <f>H33</f>
        <v>1213473</v>
      </c>
      <c r="L33" s="319">
        <f>K33</f>
        <v>1213473</v>
      </c>
      <c r="M33" s="319">
        <f>SUM(M34:M35)</f>
        <v>0</v>
      </c>
      <c r="N33" s="1492" t="e">
        <f>SUM(N34:N35)</f>
        <v>#REF!</v>
      </c>
      <c r="O33" s="1493"/>
      <c r="P33" s="1492">
        <f>SUM(P34:P35)</f>
        <v>0</v>
      </c>
      <c r="Q33" s="1492" t="e">
        <f>SUM(Q34:Q35)</f>
        <v>#REF!</v>
      </c>
      <c r="R33" s="1492" t="e">
        <f>SUM(R34:R35)</f>
        <v>#REF!</v>
      </c>
      <c r="S33" s="1492">
        <f>SUM(S34:S35)</f>
        <v>0</v>
      </c>
      <c r="T33" s="1492">
        <f>SUM(T34:T35)</f>
        <v>1511244</v>
      </c>
      <c r="U33" s="1493">
        <f>SUM(U34:U36)</f>
        <v>2001828</v>
      </c>
      <c r="V33" s="1493">
        <f>SUM(V34:V36)</f>
        <v>2001828</v>
      </c>
      <c r="W33" s="1493">
        <f>SUM(W34:W36)</f>
        <v>1711597</v>
      </c>
      <c r="X33" s="1492">
        <f>SUM(X34:X36)</f>
        <v>1711597</v>
      </c>
      <c r="Y33" s="1042">
        <f>SUM(Y34:Y36)</f>
        <v>1627513</v>
      </c>
      <c r="Z33" s="1042">
        <f t="shared" ref="Z33:AD33" si="47">SUM(Z34:Z36)</f>
        <v>1627513</v>
      </c>
      <c r="AA33" s="1042">
        <f t="shared" si="47"/>
        <v>0</v>
      </c>
      <c r="AB33" s="1042">
        <f t="shared" si="47"/>
        <v>0</v>
      </c>
      <c r="AC33" s="1042">
        <f t="shared" si="47"/>
        <v>1600563</v>
      </c>
      <c r="AD33" s="1042">
        <f t="shared" si="47"/>
        <v>-79713</v>
      </c>
      <c r="AE33" s="1042">
        <f>SUM(AE34:AE36)</f>
        <v>1882470</v>
      </c>
      <c r="AF33" s="1042">
        <f t="shared" ref="AF33" si="48">SUM(AF34:AF36)</f>
        <v>1882470</v>
      </c>
      <c r="AG33" s="1614">
        <f>SUM(AG34:AG36)</f>
        <v>1213473</v>
      </c>
      <c r="AH33" s="1614">
        <f>SUM(AH34:AH36)</f>
        <v>1263569.5071109999</v>
      </c>
      <c r="AI33" s="1042">
        <f>SUM(AI34:AI35)</f>
        <v>416706.4928890001</v>
      </c>
      <c r="AJ33" s="1042">
        <f>SUM(AJ34:AJ35)</f>
        <v>416706.4928890001</v>
      </c>
      <c r="AK33" s="1042">
        <f>SUM(AK34:AK35)</f>
        <v>0</v>
      </c>
      <c r="AL33" s="1492">
        <f>SUM(AL34:AL35)</f>
        <v>1680276</v>
      </c>
      <c r="AM33" s="1493"/>
      <c r="AN33" s="1492">
        <f>SUM(AN34:AN35)</f>
        <v>0</v>
      </c>
      <c r="AO33" s="1618">
        <f>SUM(AO34:AO35)</f>
        <v>2597007</v>
      </c>
      <c r="AP33" s="1618">
        <f>SUM(AP34:AP35)</f>
        <v>2597007</v>
      </c>
      <c r="AQ33" s="1618">
        <f>SUM(AQ34:AQ35)</f>
        <v>1988976</v>
      </c>
      <c r="AR33" s="1618">
        <f>SUM(AR34:AR35)</f>
        <v>2379485.2999999998</v>
      </c>
      <c r="AS33" s="1641"/>
      <c r="AT33" s="423">
        <f>SUM(AT34:AT35)</f>
        <v>0</v>
      </c>
      <c r="AU33" s="423">
        <f>SUM(AU34:AU35)</f>
        <v>2379485.2999999998</v>
      </c>
      <c r="AV33" s="1492">
        <f>SUM(AV34:AV35)</f>
        <v>2379485.2999999998</v>
      </c>
      <c r="AW33" s="1492">
        <f>SUM(AW34:AW35)</f>
        <v>0</v>
      </c>
      <c r="AX33" s="1492">
        <f>SUM(AX34:AX35)</f>
        <v>2379485.2999999998</v>
      </c>
      <c r="AY33" s="1493"/>
      <c r="AZ33" s="1618">
        <f>SUM(AZ34:AZ35)</f>
        <v>2379485.2999999998</v>
      </c>
      <c r="BA33" s="423">
        <f>SUM(BA34:BA35)</f>
        <v>0</v>
      </c>
      <c r="BB33" s="423">
        <f>SUM(BB34:BB35)</f>
        <v>2379485.2999999998</v>
      </c>
      <c r="BC33" s="423">
        <f>SUM(BC34:BC35)</f>
        <v>0</v>
      </c>
      <c r="BD33" s="423">
        <f>SUM(BD34:BD35)</f>
        <v>2379485.2999999998</v>
      </c>
      <c r="BE33" s="1641"/>
      <c r="BF33" s="423">
        <f>SUM(BF34:BF35)</f>
        <v>0</v>
      </c>
      <c r="BG33" s="423">
        <f>SUM(BG34:BG35)</f>
        <v>2379485.2999999998</v>
      </c>
      <c r="BH33" s="1666">
        <f>SUM(BH34:BH35)</f>
        <v>2379485.2999999998</v>
      </c>
      <c r="BI33" s="1589">
        <f>SUM(BI34:BI35)</f>
        <v>0</v>
      </c>
      <c r="BJ33" s="1492">
        <f>SUM(BJ34:BJ35)</f>
        <v>2379485.2999999998</v>
      </c>
      <c r="BK33" s="1493"/>
      <c r="BL33" s="1492">
        <f>SUM(BL34:BL35)</f>
        <v>0</v>
      </c>
      <c r="BM33" s="1492">
        <f>SUM(BM34:BM35)</f>
        <v>2379485.2999999998</v>
      </c>
      <c r="BN33" s="1492">
        <f>SUM(BN34:BN35)</f>
        <v>2379485.2999999998</v>
      </c>
      <c r="BO33" s="1492">
        <f>SUM(BO34:BO35)</f>
        <v>0</v>
      </c>
    </row>
    <row r="34" spans="1:67" s="287" customFormat="1" ht="30" customHeight="1">
      <c r="A34" s="1591">
        <v>1</v>
      </c>
      <c r="B34" s="604" t="s">
        <v>1293</v>
      </c>
      <c r="C34" s="1111">
        <v>1127000</v>
      </c>
      <c r="D34" s="51">
        <v>0</v>
      </c>
      <c r="E34" s="51">
        <f>F34+G34</f>
        <v>1127000</v>
      </c>
      <c r="F34" s="51">
        <f>C34</f>
        <v>1127000</v>
      </c>
      <c r="G34" s="51">
        <v>0</v>
      </c>
      <c r="H34" s="51">
        <f>C34</f>
        <v>1127000</v>
      </c>
      <c r="I34" s="1107"/>
      <c r="J34" s="252">
        <v>0</v>
      </c>
      <c r="K34" s="252">
        <f>H34-J34</f>
        <v>1127000</v>
      </c>
      <c r="L34" s="252">
        <f>K34-M34</f>
        <v>1127000</v>
      </c>
      <c r="M34" s="252">
        <v>0</v>
      </c>
      <c r="N34" s="183" t="e">
        <f>'[3]Phụ lục số 8'!#REF!</f>
        <v>#REF!</v>
      </c>
      <c r="O34" s="1498"/>
      <c r="P34" s="183">
        <v>0</v>
      </c>
      <c r="Q34" s="183" t="e">
        <f>R34+S34</f>
        <v>#REF!</v>
      </c>
      <c r="R34" s="183" t="e">
        <f>N34</f>
        <v>#REF!</v>
      </c>
      <c r="S34" s="183">
        <v>0</v>
      </c>
      <c r="T34" s="183">
        <f>W34</f>
        <v>1087251</v>
      </c>
      <c r="U34" s="1677">
        <f>110942+1503647</f>
        <v>1614589</v>
      </c>
      <c r="V34" s="1678">
        <f>U34</f>
        <v>1614589</v>
      </c>
      <c r="W34" s="183">
        <f>237567+849684</f>
        <v>1087251</v>
      </c>
      <c r="X34" s="183">
        <f>W34</f>
        <v>1087251</v>
      </c>
      <c r="Y34" s="183">
        <f>325020+906600</f>
        <v>1231620</v>
      </c>
      <c r="Z34" s="51">
        <f>Y34</f>
        <v>1231620</v>
      </c>
      <c r="AA34" s="1107"/>
      <c r="AB34" s="51">
        <v>0</v>
      </c>
      <c r="AC34" s="51">
        <f>Z34-AB34</f>
        <v>1231620</v>
      </c>
      <c r="AD34" s="51">
        <f>AC34-AE34</f>
        <v>-32204</v>
      </c>
      <c r="AE34" s="51">
        <v>1263824</v>
      </c>
      <c r="AF34" s="51">
        <f>AE34</f>
        <v>1263824</v>
      </c>
      <c r="AG34" s="1615">
        <f>'PL1.1'!C55</f>
        <v>1127000</v>
      </c>
      <c r="AH34" s="1424">
        <f>'PL1.1'!H55</f>
        <v>1263569.5071109999</v>
      </c>
      <c r="AI34" s="51">
        <f>AF34-AH34</f>
        <v>254.49288900010288</v>
      </c>
      <c r="AJ34" s="51">
        <f>AI34-AK34</f>
        <v>254.49288900010288</v>
      </c>
      <c r="AK34" s="51">
        <v>0</v>
      </c>
      <c r="AL34" s="1516">
        <f>AF34</f>
        <v>1263824</v>
      </c>
      <c r="AM34" s="1514"/>
      <c r="AN34" s="1514"/>
      <c r="AO34" s="1424">
        <f>'PL1.1'!R55</f>
        <v>2417971</v>
      </c>
      <c r="AP34" s="1631">
        <f>'PL1.1'!T55</f>
        <v>2417971</v>
      </c>
      <c r="AQ34" s="1632">
        <f>'PL1.1'!Z55</f>
        <v>1814491</v>
      </c>
      <c r="AR34" s="1656">
        <f>'PL1.1'!AF55</f>
        <v>2205000</v>
      </c>
      <c r="AS34" s="460"/>
      <c r="AT34" s="460"/>
      <c r="AU34" s="1395">
        <f>AR34-AT34</f>
        <v>2205000</v>
      </c>
      <c r="AV34" s="1515">
        <f>AR34</f>
        <v>2205000</v>
      </c>
      <c r="AW34" s="1514"/>
      <c r="AX34" s="1516">
        <f>AR34</f>
        <v>2205000</v>
      </c>
      <c r="AY34" s="1514"/>
      <c r="AZ34" s="1632">
        <f>'PL1.1'!AL55</f>
        <v>2205000</v>
      </c>
      <c r="BA34" s="1395">
        <f>AX34-AZ34</f>
        <v>0</v>
      </c>
      <c r="BB34" s="1651">
        <f>AX34</f>
        <v>2205000</v>
      </c>
      <c r="BC34" s="460"/>
      <c r="BD34" s="457">
        <f>AX34</f>
        <v>2205000</v>
      </c>
      <c r="BE34" s="460"/>
      <c r="BF34" s="460"/>
      <c r="BG34" s="1395">
        <f>BD34-BF34</f>
        <v>2205000</v>
      </c>
      <c r="BH34" s="1667">
        <f>BD34</f>
        <v>2205000</v>
      </c>
      <c r="BI34" s="1590"/>
      <c r="BJ34" s="1516">
        <f>BD34</f>
        <v>2205000</v>
      </c>
      <c r="BK34" s="1514"/>
      <c r="BL34" s="1514"/>
      <c r="BM34" s="183">
        <f>BJ34-BL34</f>
        <v>2205000</v>
      </c>
      <c r="BN34" s="1515">
        <f>BJ34</f>
        <v>2205000</v>
      </c>
      <c r="BO34" s="1514"/>
    </row>
    <row r="35" spans="1:67" s="287" customFormat="1" ht="30" customHeight="1">
      <c r="A35" s="1591">
        <v>2</v>
      </c>
      <c r="B35" s="506" t="s">
        <v>1294</v>
      </c>
      <c r="C35" s="1111">
        <v>86473</v>
      </c>
      <c r="D35" s="51"/>
      <c r="E35" s="51">
        <f>F35+G35</f>
        <v>86473</v>
      </c>
      <c r="F35" s="51">
        <f>C35</f>
        <v>86473</v>
      </c>
      <c r="G35" s="51">
        <v>0</v>
      </c>
      <c r="H35" s="51">
        <f>C35</f>
        <v>86473</v>
      </c>
      <c r="I35" s="1107"/>
      <c r="J35" s="252">
        <v>0</v>
      </c>
      <c r="K35" s="252">
        <f>H35-J35</f>
        <v>86473</v>
      </c>
      <c r="L35" s="252">
        <f>K35-M35</f>
        <v>86473</v>
      </c>
      <c r="M35" s="252">
        <v>0</v>
      </c>
      <c r="N35" s="183" t="e">
        <f>'[3]Phụ lục số 8'!#REF!</f>
        <v>#REF!</v>
      </c>
      <c r="O35" s="1498"/>
      <c r="P35" s="183"/>
      <c r="Q35" s="183" t="e">
        <f>R35+S35</f>
        <v>#REF!</v>
      </c>
      <c r="R35" s="183" t="e">
        <f>N35</f>
        <v>#REF!</v>
      </c>
      <c r="S35" s="183">
        <v>0</v>
      </c>
      <c r="T35" s="183">
        <f t="shared" ref="T35:T38" si="49">W35</f>
        <v>423993</v>
      </c>
      <c r="U35" s="1678">
        <f>47547+245237</f>
        <v>292784</v>
      </c>
      <c r="V35" s="1678">
        <f>U35</f>
        <v>292784</v>
      </c>
      <c r="W35" s="183">
        <v>423993</v>
      </c>
      <c r="X35" s="183">
        <f>W35</f>
        <v>423993</v>
      </c>
      <c r="Y35" s="183">
        <f>101555+267388</f>
        <v>368943</v>
      </c>
      <c r="Z35" s="51">
        <f>Y35</f>
        <v>368943</v>
      </c>
      <c r="AA35" s="1107"/>
      <c r="AB35" s="51">
        <v>0</v>
      </c>
      <c r="AC35" s="51">
        <f>Z35-AB35</f>
        <v>368943</v>
      </c>
      <c r="AD35" s="51">
        <f>AC35-AE35</f>
        <v>-47509</v>
      </c>
      <c r="AE35" s="51">
        <v>416452</v>
      </c>
      <c r="AF35" s="51">
        <f>AE35</f>
        <v>416452</v>
      </c>
      <c r="AG35" s="1615">
        <f>'PL1.1'!C56</f>
        <v>86473</v>
      </c>
      <c r="AH35" s="1424">
        <v>0</v>
      </c>
      <c r="AI35" s="51">
        <f>AF35-AH35</f>
        <v>416452</v>
      </c>
      <c r="AJ35" s="51">
        <f>AI35-AK35</f>
        <v>416452</v>
      </c>
      <c r="AK35" s="51">
        <v>0</v>
      </c>
      <c r="AL35" s="1516">
        <f>AF35</f>
        <v>416452</v>
      </c>
      <c r="AM35" s="1514"/>
      <c r="AN35" s="1514"/>
      <c r="AO35" s="1424">
        <f>'PL1.1'!R56</f>
        <v>179036</v>
      </c>
      <c r="AP35" s="1631">
        <f>'PL1.1'!T56</f>
        <v>179036</v>
      </c>
      <c r="AQ35" s="1632">
        <f>'PL1.1'!Z56</f>
        <v>174485</v>
      </c>
      <c r="AR35" s="1656">
        <f>'PL1.1'!AF56</f>
        <v>174485.3</v>
      </c>
      <c r="AS35" s="460"/>
      <c r="AT35" s="460"/>
      <c r="AU35" s="1395">
        <f>AR35-AT35</f>
        <v>174485.3</v>
      </c>
      <c r="AV35" s="1515">
        <f>AR35</f>
        <v>174485.3</v>
      </c>
      <c r="AW35" s="1514"/>
      <c r="AX35" s="1516">
        <f>AR35</f>
        <v>174485.3</v>
      </c>
      <c r="AY35" s="1514"/>
      <c r="AZ35" s="1632">
        <f>'PL1.1'!AL56</f>
        <v>174485.3</v>
      </c>
      <c r="BA35" s="1395">
        <f>AX35-AZ35</f>
        <v>0</v>
      </c>
      <c r="BB35" s="1651">
        <f>AX35</f>
        <v>174485.3</v>
      </c>
      <c r="BC35" s="460"/>
      <c r="BD35" s="457">
        <f>AX35</f>
        <v>174485.3</v>
      </c>
      <c r="BE35" s="460"/>
      <c r="BF35" s="460"/>
      <c r="BG35" s="1395">
        <f>BD35-BF35</f>
        <v>174485.3</v>
      </c>
      <c r="BH35" s="1667">
        <f>BD35</f>
        <v>174485.3</v>
      </c>
      <c r="BI35" s="1590"/>
      <c r="BJ35" s="1516">
        <f>BD35</f>
        <v>174485.3</v>
      </c>
      <c r="BK35" s="1514"/>
      <c r="BL35" s="1514"/>
      <c r="BM35" s="183">
        <f>BJ35-BL35</f>
        <v>174485.3</v>
      </c>
      <c r="BN35" s="1515">
        <f>BJ35</f>
        <v>174485.3</v>
      </c>
      <c r="BO35" s="1514"/>
    </row>
    <row r="36" spans="1:67" s="287" customFormat="1" ht="30" customHeight="1">
      <c r="A36" s="1591">
        <v>3</v>
      </c>
      <c r="B36" s="506" t="s">
        <v>1748</v>
      </c>
      <c r="C36" s="1111"/>
      <c r="D36" s="51"/>
      <c r="E36" s="51"/>
      <c r="F36" s="51"/>
      <c r="G36" s="51"/>
      <c r="H36" s="51"/>
      <c r="I36" s="1107"/>
      <c r="J36" s="252"/>
      <c r="K36" s="252"/>
      <c r="L36" s="252"/>
      <c r="M36" s="252"/>
      <c r="N36" s="183"/>
      <c r="O36" s="1498"/>
      <c r="P36" s="183"/>
      <c r="Q36" s="183"/>
      <c r="R36" s="183"/>
      <c r="S36" s="183"/>
      <c r="T36" s="183"/>
      <c r="U36" s="1678">
        <v>94455</v>
      </c>
      <c r="V36" s="1678">
        <f>U36</f>
        <v>94455</v>
      </c>
      <c r="W36" s="183">
        <v>200353</v>
      </c>
      <c r="X36" s="183">
        <f>W36</f>
        <v>200353</v>
      </c>
      <c r="Y36" s="183">
        <v>26950</v>
      </c>
      <c r="Z36" s="51">
        <f>Y36</f>
        <v>26950</v>
      </c>
      <c r="AA36" s="1107"/>
      <c r="AB36" s="51"/>
      <c r="AC36" s="51"/>
      <c r="AD36" s="51"/>
      <c r="AE36" s="51">
        <v>202194</v>
      </c>
      <c r="AF36" s="51">
        <f>AE36</f>
        <v>202194</v>
      </c>
      <c r="AG36" s="1615">
        <f>'PL1.1'!C57</f>
        <v>0</v>
      </c>
      <c r="AH36" s="1424"/>
      <c r="AI36" s="51"/>
      <c r="AJ36" s="51"/>
      <c r="AK36" s="51"/>
      <c r="AL36" s="1516"/>
      <c r="AM36" s="1514"/>
      <c r="AN36" s="1514"/>
      <c r="AO36" s="1424">
        <f>'PL1.1'!R57</f>
        <v>0</v>
      </c>
      <c r="AP36" s="1631">
        <f>'PL1.1'!T57</f>
        <v>0</v>
      </c>
      <c r="AQ36" s="1632">
        <f>'PL1.1'!Z57</f>
        <v>650315</v>
      </c>
      <c r="AR36" s="1656">
        <f>'PL1.1'!AF57</f>
        <v>650315</v>
      </c>
      <c r="AS36" s="460"/>
      <c r="AT36" s="460"/>
      <c r="AU36" s="1395"/>
      <c r="AV36" s="1515"/>
      <c r="AW36" s="1514"/>
      <c r="AX36" s="1516"/>
      <c r="AY36" s="1514"/>
      <c r="AZ36" s="1632">
        <f>'PL1.1'!AL57</f>
        <v>650315</v>
      </c>
      <c r="BA36" s="1395"/>
      <c r="BB36" s="1651"/>
      <c r="BC36" s="460"/>
      <c r="BD36" s="457"/>
      <c r="BE36" s="460"/>
      <c r="BF36" s="460"/>
      <c r="BG36" s="1395"/>
      <c r="BH36" s="1667"/>
      <c r="BI36" s="1590"/>
      <c r="BJ36" s="1516"/>
      <c r="BK36" s="1514"/>
      <c r="BL36" s="1514"/>
      <c r="BM36" s="183"/>
      <c r="BN36" s="1515"/>
      <c r="BO36" s="1514"/>
    </row>
    <row r="37" spans="1:67" s="314" customFormat="1" ht="30" customHeight="1">
      <c r="A37" s="1601" t="s">
        <v>26</v>
      </c>
      <c r="B37" s="591" t="s">
        <v>1295</v>
      </c>
      <c r="C37" s="1042">
        <f>F37+G37</f>
        <v>179391</v>
      </c>
      <c r="D37" s="1112">
        <v>0</v>
      </c>
      <c r="E37" s="591">
        <f>F37+G37</f>
        <v>179391</v>
      </c>
      <c r="F37" s="1042">
        <v>179391</v>
      </c>
      <c r="G37" s="1042"/>
      <c r="H37" s="1042">
        <f>L37+M37</f>
        <v>179391</v>
      </c>
      <c r="I37" s="1103"/>
      <c r="J37" s="319"/>
      <c r="K37" s="319">
        <f>H37-J37</f>
        <v>179391</v>
      </c>
      <c r="L37" s="319">
        <f>F37</f>
        <v>179391</v>
      </c>
      <c r="M37" s="319">
        <f>G37</f>
        <v>0</v>
      </c>
      <c r="N37" s="1492">
        <f>SUM(Q37)</f>
        <v>2343711</v>
      </c>
      <c r="O37" s="1517"/>
      <c r="P37" s="1492">
        <v>0</v>
      </c>
      <c r="Q37" s="1492">
        <f>R37+S37</f>
        <v>2343711</v>
      </c>
      <c r="R37" s="1492">
        <f>IF('[3]Phụ lục số 2'!I9&gt;0,'[3]Phụ lục số 2'!I9,0)</f>
        <v>2343711</v>
      </c>
      <c r="S37" s="1492"/>
      <c r="T37" s="1495">
        <f t="shared" si="49"/>
        <v>353947</v>
      </c>
      <c r="U37" s="1680">
        <v>236361</v>
      </c>
      <c r="V37" s="1680">
        <f>U37</f>
        <v>236361</v>
      </c>
      <c r="W37" s="1492">
        <v>353947</v>
      </c>
      <c r="X37" s="1492">
        <f>W37</f>
        <v>353947</v>
      </c>
      <c r="Y37" s="1492">
        <v>418294</v>
      </c>
      <c r="Z37" s="1042">
        <f>Y37</f>
        <v>418294</v>
      </c>
      <c r="AA37" s="1113"/>
      <c r="AB37" s="1042"/>
      <c r="AC37" s="1042">
        <f>SUM(AD37:AE37)</f>
        <v>816873</v>
      </c>
      <c r="AD37" s="1042"/>
      <c r="AE37" s="1042">
        <v>816873</v>
      </c>
      <c r="AF37" s="1042">
        <f>AE37</f>
        <v>816873</v>
      </c>
      <c r="AG37" s="1616">
        <f>'PL1.1'!C58</f>
        <v>179391</v>
      </c>
      <c r="AH37" s="1618">
        <f>AG37</f>
        <v>179391</v>
      </c>
      <c r="AI37" s="1042">
        <f>SUM(AJ37:AK37)</f>
        <v>0</v>
      </c>
      <c r="AJ37" s="1042"/>
      <c r="AK37" s="1042"/>
      <c r="AL37" s="1603"/>
      <c r="AM37" s="1604"/>
      <c r="AN37" s="1604"/>
      <c r="AO37" s="1497">
        <f>'PL1.1'!R58</f>
        <v>0</v>
      </c>
      <c r="AP37" s="1632">
        <f>'PL1.1'!T58</f>
        <v>431000</v>
      </c>
      <c r="AQ37" s="1632">
        <f>'PL1.1'!Z58</f>
        <v>886000</v>
      </c>
      <c r="AR37" s="1657">
        <f>'PL1.1'!AF58</f>
        <v>717399.2</v>
      </c>
      <c r="AS37" s="373"/>
      <c r="AT37" s="373"/>
      <c r="AU37" s="423">
        <f>SUM(AV37:AW37)</f>
        <v>0</v>
      </c>
      <c r="AV37" s="1604"/>
      <c r="AW37" s="1604"/>
      <c r="AX37" s="1603"/>
      <c r="AY37" s="1604"/>
      <c r="AZ37" s="1632">
        <f>'PL1.1'!AL58</f>
        <v>881301.31019487511</v>
      </c>
      <c r="BA37" s="423">
        <f>SUM(BB37:BC37)</f>
        <v>0</v>
      </c>
      <c r="BB37" s="373"/>
      <c r="BC37" s="373"/>
      <c r="BD37" s="466"/>
      <c r="BE37" s="373"/>
      <c r="BF37" s="373"/>
      <c r="BG37" s="423">
        <f>SUM(BH37:BI37)</f>
        <v>0</v>
      </c>
      <c r="BH37" s="1668"/>
      <c r="BI37" s="1605"/>
      <c r="BJ37" s="1603"/>
      <c r="BK37" s="1604"/>
      <c r="BL37" s="1604"/>
      <c r="BM37" s="1492">
        <f>SUM(BN37:BO37)</f>
        <v>0</v>
      </c>
      <c r="BN37" s="1604"/>
      <c r="BO37" s="1604"/>
    </row>
    <row r="38" spans="1:67" s="314" customFormat="1" ht="30" customHeight="1">
      <c r="A38" s="1601" t="s">
        <v>130</v>
      </c>
      <c r="B38" s="591" t="s">
        <v>132</v>
      </c>
      <c r="C38" s="1112">
        <f>D38+E38</f>
        <v>48300</v>
      </c>
      <c r="D38" s="1112"/>
      <c r="E38" s="591">
        <f>F38+G38</f>
        <v>48300</v>
      </c>
      <c r="F38" s="1042">
        <v>48300</v>
      </c>
      <c r="G38" s="591"/>
      <c r="H38" s="1042">
        <f>C38</f>
        <v>48300</v>
      </c>
      <c r="I38" s="1103"/>
      <c r="J38" s="319"/>
      <c r="K38" s="319">
        <f>H38-J38</f>
        <v>48300</v>
      </c>
      <c r="L38" s="319">
        <f>K38-M38</f>
        <v>48300</v>
      </c>
      <c r="M38" s="319"/>
      <c r="N38" s="1492">
        <f>Q38</f>
        <v>31500</v>
      </c>
      <c r="O38" s="1517"/>
      <c r="P38" s="1492"/>
      <c r="Q38" s="1492">
        <f>SUM(R38:S38)</f>
        <v>31500</v>
      </c>
      <c r="R38" s="1492">
        <v>31500</v>
      </c>
      <c r="S38" s="1492">
        <v>0</v>
      </c>
      <c r="T38" s="1495">
        <f t="shared" si="49"/>
        <v>15000</v>
      </c>
      <c r="U38" s="1679">
        <v>4600</v>
      </c>
      <c r="V38" s="1681">
        <f>U38</f>
        <v>4600</v>
      </c>
      <c r="W38" s="1492">
        <v>15000</v>
      </c>
      <c r="X38" s="1492">
        <f>W38</f>
        <v>15000</v>
      </c>
      <c r="Y38" s="1492">
        <v>30900</v>
      </c>
      <c r="Z38" s="1042">
        <v>30900</v>
      </c>
      <c r="AA38" s="1113"/>
      <c r="AB38" s="1042"/>
      <c r="AC38" s="1042">
        <f>SUM(AD38:AE38)</f>
        <v>80894</v>
      </c>
      <c r="AD38" s="1042">
        <v>19694</v>
      </c>
      <c r="AE38" s="423">
        <v>61200</v>
      </c>
      <c r="AF38" s="423">
        <f>AE38</f>
        <v>61200</v>
      </c>
      <c r="AG38" s="1616">
        <f>'PL1.1'!C59</f>
        <v>48300</v>
      </c>
      <c r="AH38" s="1618">
        <f>AG38</f>
        <v>48300</v>
      </c>
      <c r="AI38" s="1042">
        <f>SUM(AJ38:AK38)</f>
        <v>0</v>
      </c>
      <c r="AJ38" s="1042">
        <v>0</v>
      </c>
      <c r="AK38" s="1042">
        <v>0</v>
      </c>
      <c r="AL38" s="1603">
        <f>AF38</f>
        <v>61200</v>
      </c>
      <c r="AM38" s="1604"/>
      <c r="AN38" s="1604"/>
      <c r="AO38" s="1618">
        <f>'PL1.1'!R59</f>
        <v>31500</v>
      </c>
      <c r="AP38" s="1633">
        <f>'PL1.1'!T59</f>
        <v>31500</v>
      </c>
      <c r="AQ38" s="1632">
        <f>'PL1.1'!Z59</f>
        <v>0</v>
      </c>
      <c r="AR38" s="1657">
        <f>'PL1.1'!AF59</f>
        <v>0</v>
      </c>
      <c r="AS38" s="373"/>
      <c r="AT38" s="373"/>
      <c r="AU38" s="423">
        <f>SUM(AV38:AW38)</f>
        <v>0</v>
      </c>
      <c r="AV38" s="1604"/>
      <c r="AW38" s="1604"/>
      <c r="AX38" s="1603">
        <f>AR38</f>
        <v>0</v>
      </c>
      <c r="AY38" s="1604"/>
      <c r="AZ38" s="1632">
        <f>'PL1.1'!AL59</f>
        <v>0</v>
      </c>
      <c r="BA38" s="423">
        <f>SUM(BB38:BC38)</f>
        <v>0</v>
      </c>
      <c r="BB38" s="373"/>
      <c r="BC38" s="373"/>
      <c r="BD38" s="466">
        <f>AX38</f>
        <v>0</v>
      </c>
      <c r="BE38" s="373"/>
      <c r="BF38" s="373"/>
      <c r="BG38" s="423">
        <f>SUM(BH38:BI38)</f>
        <v>0</v>
      </c>
      <c r="BH38" s="1668"/>
      <c r="BI38" s="1605"/>
      <c r="BJ38" s="1603">
        <f>BD38</f>
        <v>0</v>
      </c>
      <c r="BK38" s="1604"/>
      <c r="BL38" s="1604"/>
      <c r="BM38" s="1492">
        <f>SUM(BN38:BO38)</f>
        <v>0</v>
      </c>
      <c r="BN38" s="1604"/>
      <c r="BO38" s="1604"/>
    </row>
    <row r="39" spans="1:67" s="314" customFormat="1" ht="30" customHeight="1" thickBot="1">
      <c r="A39" s="1606"/>
      <c r="B39" s="670" t="s">
        <v>131</v>
      </c>
      <c r="C39" s="1592" t="e">
        <f t="shared" ref="C39" si="50">SUM(#REF!,C31,C37,C38)</f>
        <v>#REF!</v>
      </c>
      <c r="D39" s="1592" t="e">
        <f t="shared" ref="D39" si="51">SUM(#REF!,D31,D37,D38)</f>
        <v>#REF!</v>
      </c>
      <c r="E39" s="1592" t="e">
        <f t="shared" ref="E39" si="52">SUM(#REF!,E31,E37,E38)</f>
        <v>#REF!</v>
      </c>
      <c r="F39" s="1592" t="e">
        <f t="shared" ref="F39" si="53">SUM(#REF!,F31,F37,F38)</f>
        <v>#REF!</v>
      </c>
      <c r="G39" s="1592" t="e">
        <f t="shared" ref="G39" si="54">SUM(#REF!,G31,G37,G38)</f>
        <v>#REF!</v>
      </c>
      <c r="H39" s="1592" t="e">
        <f t="shared" ref="H39" si="55">SUM(#REF!,H31,H37,H38)</f>
        <v>#REF!</v>
      </c>
      <c r="I39" s="1593"/>
      <c r="J39" s="1572" t="e">
        <f>SUM(#REF!,J31,J37,J38)</f>
        <v>#REF!</v>
      </c>
      <c r="K39" s="1572" t="e">
        <f>SUM(#REF!,K31,K37,K38)</f>
        <v>#REF!</v>
      </c>
      <c r="L39" s="1572" t="e">
        <f>SUM(#REF!,L31,L37,L38)</f>
        <v>#REF!</v>
      </c>
      <c r="M39" s="1572" t="e">
        <f>SUM(#REF!,M31,M37,M38)</f>
        <v>#REF!</v>
      </c>
      <c r="N39" s="1594" t="e">
        <f>SUM(#REF!,N31,N37,N38)</f>
        <v>#REF!</v>
      </c>
      <c r="O39" s="1595"/>
      <c r="P39" s="1594" t="e">
        <f>SUM(#REF!,P31,P37,P38)</f>
        <v>#REF!</v>
      </c>
      <c r="Q39" s="1594" t="e">
        <f>SUM(#REF!,Q31,Q37,Q38)</f>
        <v>#REF!</v>
      </c>
      <c r="R39" s="1594" t="e">
        <f>SUM(#REF!,R31,R37,R38)</f>
        <v>#REF!</v>
      </c>
      <c r="S39" s="1594" t="e">
        <f>SUM(#REF!,S31,S37,S38)</f>
        <v>#REF!</v>
      </c>
      <c r="T39" s="1594" t="e">
        <f>SUM(#REF!,T31,T37,T38)</f>
        <v>#REF!</v>
      </c>
      <c r="U39" s="1596">
        <f>U7+U28+U31+U37+U38</f>
        <v>13693215</v>
      </c>
      <c r="V39" s="1596">
        <f>V7+V28+V31+V37+V38</f>
        <v>13994045</v>
      </c>
      <c r="W39" s="1617">
        <f>W7+W31+W37+W38</f>
        <v>14046670</v>
      </c>
      <c r="X39" s="1617">
        <f>X7+X31+X37+X38</f>
        <v>15732683</v>
      </c>
      <c r="Y39" s="1617">
        <f>Y7+Y31+Y37+Y38</f>
        <v>15454833</v>
      </c>
      <c r="Z39" s="1617">
        <f>Z7+Z31+Z37+Z38</f>
        <v>15390657.400000002</v>
      </c>
      <c r="AA39" s="1593"/>
      <c r="AB39" s="1592" t="e">
        <f>SUM(#REF!,AB31,AB37,AB38)</f>
        <v>#REF!</v>
      </c>
      <c r="AC39" s="1592" t="e">
        <f>SUM(#REF!,AC31,AC37,AC38)</f>
        <v>#REF!</v>
      </c>
      <c r="AD39" s="1592" t="e">
        <f>SUM(#REF!,AD31,AD37,AD38)</f>
        <v>#REF!</v>
      </c>
      <c r="AE39" s="1617">
        <f>AE7+AE31+AE37+AE38</f>
        <v>15784569</v>
      </c>
      <c r="AF39" s="1617">
        <f>AF7+AF31+AF37+AF38</f>
        <v>14856975</v>
      </c>
      <c r="AG39" s="1617">
        <f>AG7+AG31+AG37+AG38</f>
        <v>15063453</v>
      </c>
      <c r="AH39" s="1617">
        <f>AH7+AH31+AH37+AH38</f>
        <v>16171866.707694</v>
      </c>
      <c r="AI39" s="1592" t="e">
        <f>SUM(#REF!,AI31,AI37,AI38)</f>
        <v>#REF!</v>
      </c>
      <c r="AJ39" s="1592" t="e">
        <f>SUM(#REF!,AJ31,AJ37,AJ38)</f>
        <v>#REF!</v>
      </c>
      <c r="AK39" s="1592" t="e">
        <f>SUM(#REF!,AK31,AK37,AK38)</f>
        <v>#REF!</v>
      </c>
      <c r="AL39" s="1594" t="e">
        <f>SUM(#REF!,AL31,AL37,AL38)</f>
        <v>#REF!</v>
      </c>
      <c r="AM39" s="1595"/>
      <c r="AN39" s="1594" t="e">
        <f>SUM(#REF!,AN31,AN37,AN38)</f>
        <v>#REF!</v>
      </c>
      <c r="AO39" s="1617">
        <f>AO7+AO31+AO37+AO38</f>
        <v>16705995</v>
      </c>
      <c r="AP39" s="1617">
        <f>AP7+AP31+AP37+AP38</f>
        <v>17697740.32</v>
      </c>
      <c r="AQ39" s="1617">
        <f t="shared" ref="AQ39:AR39" si="56">AQ7+AQ31+AQ37+AQ38</f>
        <v>18628464</v>
      </c>
      <c r="AR39" s="1617">
        <f t="shared" si="56"/>
        <v>19876572.199999999</v>
      </c>
      <c r="AS39" s="1658"/>
      <c r="AT39" s="1659" t="e">
        <f>SUM(#REF!,AT31,AT37,AT38)</f>
        <v>#REF!</v>
      </c>
      <c r="AU39" s="1659" t="e">
        <f>SUM(#REF!,AU31,AU37,AU38)</f>
        <v>#REF!</v>
      </c>
      <c r="AV39" s="1594" t="e">
        <f>SUM(#REF!,AV31,AV37,AV38)</f>
        <v>#REF!</v>
      </c>
      <c r="AW39" s="1594" t="e">
        <f>SUM(#REF!,AW31,AW37,AW38)</f>
        <v>#REF!</v>
      </c>
      <c r="AX39" s="1594" t="e">
        <f>SUM(#REF!,AX31,AX37,AX38)</f>
        <v>#REF!</v>
      </c>
      <c r="AY39" s="1595"/>
      <c r="AZ39" s="1617">
        <f t="shared" ref="AZ39" si="57">AZ7+AZ31+AZ37+AZ38</f>
        <v>20916974.610194877</v>
      </c>
      <c r="BA39" s="1659" t="e">
        <f>SUM(#REF!,BA31,BA37,BA38)</f>
        <v>#REF!</v>
      </c>
      <c r="BB39" s="1659" t="e">
        <f>SUM(#REF!,BB31,BB37,BB38)</f>
        <v>#REF!</v>
      </c>
      <c r="BC39" s="1659" t="e">
        <f>SUM(#REF!,BC31,BC37,BC38)</f>
        <v>#REF!</v>
      </c>
      <c r="BD39" s="1659" t="e">
        <f>SUM(#REF!,BD31,BD37,BD38)</f>
        <v>#REF!</v>
      </c>
      <c r="BE39" s="1658"/>
      <c r="BF39" s="1659" t="e">
        <f>SUM(#REF!,BF31,BF37,BF38)</f>
        <v>#REF!</v>
      </c>
      <c r="BG39" s="1659" t="e">
        <f>SUM(#REF!,BG31,BG37,BG38)</f>
        <v>#REF!</v>
      </c>
      <c r="BH39" s="1669" t="e">
        <f>SUM(#REF!,BH31,BH37,BH38)</f>
        <v>#REF!</v>
      </c>
      <c r="BI39" s="1621" t="e">
        <f>SUM(#REF!,BI31,BI37,BI38)</f>
        <v>#REF!</v>
      </c>
      <c r="BJ39" s="1619" t="e">
        <f>SUM(#REF!,BJ31,BJ37,BJ38)</f>
        <v>#REF!</v>
      </c>
      <c r="BK39" s="1620"/>
      <c r="BL39" s="1619" t="e">
        <f>SUM(#REF!,BL31,BL37,BL38)</f>
        <v>#REF!</v>
      </c>
      <c r="BM39" s="1619" t="e">
        <f>SUM(#REF!,BM31,BM37,BM38)</f>
        <v>#REF!</v>
      </c>
      <c r="BN39" s="1619" t="e">
        <f>SUM(#REF!,BN31,BN37,BN38)</f>
        <v>#REF!</v>
      </c>
      <c r="BO39" s="1619" t="e">
        <f>SUM(#REF!,BO31,BO37,BO38)</f>
        <v>#REF!</v>
      </c>
    </row>
    <row r="40" spans="1:67" s="314" customFormat="1">
      <c r="A40" s="1622"/>
      <c r="B40" s="1524"/>
      <c r="C40" s="1623"/>
      <c r="D40" s="370"/>
      <c r="E40" s="370"/>
      <c r="F40" s="370"/>
      <c r="G40" s="370"/>
      <c r="H40" s="370"/>
      <c r="I40" s="370"/>
      <c r="J40" s="370"/>
      <c r="K40" s="370"/>
      <c r="L40" s="370"/>
      <c r="M40" s="370"/>
      <c r="N40" s="370"/>
      <c r="O40" s="370"/>
      <c r="P40" s="370"/>
      <c r="Q40" s="420"/>
      <c r="R40" s="420"/>
      <c r="S40" s="370"/>
      <c r="T40" s="370"/>
      <c r="U40" s="313"/>
      <c r="V40" s="313"/>
      <c r="W40" s="313"/>
      <c r="X40" s="313"/>
      <c r="Y40" s="313"/>
      <c r="Z40" s="313"/>
      <c r="AA40" s="370"/>
      <c r="AB40" s="420"/>
      <c r="AC40" s="420"/>
      <c r="AD40" s="420"/>
      <c r="AE40" s="1624"/>
      <c r="AF40" s="1625"/>
      <c r="AG40" s="1625"/>
      <c r="AH40" s="1625"/>
      <c r="AI40" s="1625"/>
      <c r="AJ40" s="1625"/>
      <c r="AK40" s="1625"/>
      <c r="AL40" s="370"/>
      <c r="AM40" s="370"/>
      <c r="AN40" s="370"/>
      <c r="AO40" s="370"/>
      <c r="AP40" s="370"/>
      <c r="AQ40" s="370"/>
      <c r="AR40" s="370"/>
      <c r="AS40" s="370"/>
      <c r="AT40" s="370"/>
      <c r="AU40" s="370"/>
      <c r="AV40" s="1626"/>
      <c r="AW40" s="420"/>
      <c r="AX40" s="420"/>
      <c r="AY40" s="420"/>
      <c r="AZ40" s="370"/>
      <c r="BA40" s="370"/>
      <c r="BB40" s="370"/>
      <c r="BC40" s="370"/>
      <c r="BD40" s="370"/>
      <c r="BE40" s="1627"/>
      <c r="BF40" s="705"/>
      <c r="BG40" s="420"/>
      <c r="BH40" s="420"/>
      <c r="BI40" s="313"/>
      <c r="BJ40" s="313"/>
      <c r="BK40" s="313"/>
      <c r="BL40" s="335"/>
      <c r="BM40" s="335"/>
      <c r="BN40" s="335"/>
    </row>
    <row r="41" spans="1:67" s="314" customFormat="1">
      <c r="A41" s="1622"/>
      <c r="B41" s="1524"/>
      <c r="C41" s="1623"/>
      <c r="D41" s="370"/>
      <c r="E41" s="370"/>
      <c r="F41" s="370"/>
      <c r="G41" s="370"/>
      <c r="H41" s="370"/>
      <c r="I41" s="370"/>
      <c r="J41" s="370"/>
      <c r="K41" s="370"/>
      <c r="L41" s="370"/>
      <c r="M41" s="370"/>
      <c r="N41" s="370"/>
      <c r="O41" s="370"/>
      <c r="P41" s="370"/>
      <c r="Q41" s="420"/>
      <c r="R41" s="420"/>
      <c r="S41" s="370"/>
      <c r="T41" s="370"/>
      <c r="U41" s="313"/>
      <c r="V41" s="313"/>
      <c r="W41" s="313"/>
      <c r="X41" s="313"/>
      <c r="Y41" s="313"/>
      <c r="Z41" s="313"/>
      <c r="AA41" s="370"/>
      <c r="AB41" s="420"/>
      <c r="AC41" s="420"/>
      <c r="AD41" s="420"/>
      <c r="AE41" s="1624"/>
      <c r="AF41" s="1625"/>
      <c r="AG41" s="1625"/>
      <c r="AH41" s="1625"/>
      <c r="AI41" s="1625"/>
      <c r="AJ41" s="1625"/>
      <c r="AK41" s="1625"/>
      <c r="AL41" s="370"/>
      <c r="AM41" s="370"/>
      <c r="AN41" s="370"/>
      <c r="AO41" s="370"/>
      <c r="AP41" s="370"/>
      <c r="AQ41" s="370"/>
      <c r="AR41" s="370"/>
      <c r="AS41" s="370"/>
      <c r="AT41" s="370"/>
      <c r="AU41" s="370"/>
      <c r="AV41" s="1626"/>
      <c r="AW41" s="420"/>
      <c r="AX41" s="420"/>
      <c r="AY41" s="420"/>
      <c r="AZ41" s="370"/>
      <c r="BA41" s="370"/>
      <c r="BB41" s="370"/>
      <c r="BC41" s="370"/>
      <c r="BD41" s="370"/>
      <c r="BE41" s="1627"/>
      <c r="BF41" s="705"/>
      <c r="BG41" s="420"/>
      <c r="BH41" s="420"/>
      <c r="BI41" s="313"/>
      <c r="BJ41" s="313"/>
      <c r="BK41" s="313"/>
      <c r="BL41" s="335"/>
      <c r="BM41" s="335"/>
      <c r="BN41" s="335"/>
    </row>
    <row r="42" spans="1:67" s="314" customFormat="1">
      <c r="A42" s="1622"/>
      <c r="B42" s="1524"/>
      <c r="C42" s="1623"/>
      <c r="D42" s="370"/>
      <c r="E42" s="370"/>
      <c r="F42" s="370"/>
      <c r="G42" s="370"/>
      <c r="H42" s="370"/>
      <c r="I42" s="370"/>
      <c r="J42" s="370"/>
      <c r="K42" s="370"/>
      <c r="L42" s="370"/>
      <c r="M42" s="370"/>
      <c r="N42" s="370"/>
      <c r="O42" s="370"/>
      <c r="P42" s="370"/>
      <c r="Q42" s="420"/>
      <c r="R42" s="420"/>
      <c r="S42" s="370"/>
      <c r="T42" s="370"/>
      <c r="U42" s="313"/>
      <c r="V42" s="313"/>
      <c r="W42" s="313"/>
      <c r="X42" s="313"/>
      <c r="Y42" s="313"/>
      <c r="Z42" s="313"/>
      <c r="AA42" s="370"/>
      <c r="AB42" s="420"/>
      <c r="AC42" s="420"/>
      <c r="AD42" s="420"/>
      <c r="AE42" s="1624"/>
      <c r="AF42" s="1625"/>
      <c r="AG42" s="1625">
        <f>AG39-'PL1.1'!C60</f>
        <v>0</v>
      </c>
      <c r="AH42" s="1625"/>
      <c r="AI42" s="1625"/>
      <c r="AJ42" s="1625"/>
      <c r="AK42" s="1625"/>
      <c r="AL42" s="370"/>
      <c r="AM42" s="370"/>
      <c r="AN42" s="370"/>
      <c r="AO42" s="370"/>
      <c r="AP42" s="370"/>
      <c r="AQ42" s="370"/>
      <c r="AR42" s="370"/>
      <c r="AS42" s="370"/>
      <c r="AT42" s="370"/>
      <c r="AU42" s="370"/>
      <c r="AV42" s="1626"/>
      <c r="AW42" s="420"/>
      <c r="AX42" s="420"/>
      <c r="AY42" s="420"/>
      <c r="AZ42" s="370"/>
      <c r="BA42" s="1676"/>
      <c r="BB42" s="349"/>
      <c r="BC42" s="349"/>
      <c r="BD42" s="349"/>
      <c r="BE42" s="364"/>
      <c r="BF42" s="359"/>
      <c r="BG42" s="350"/>
      <c r="BH42" s="1588"/>
      <c r="BI42" s="313"/>
      <c r="BJ42" s="313"/>
      <c r="BK42" s="313"/>
      <c r="BL42" s="335"/>
      <c r="BM42" s="335"/>
      <c r="BN42" s="335"/>
    </row>
    <row r="43" spans="1:67" s="314" customFormat="1">
      <c r="A43" s="1622"/>
      <c r="B43" s="1524"/>
      <c r="C43" s="1623"/>
      <c r="D43" s="370"/>
      <c r="E43" s="370"/>
      <c r="F43" s="370"/>
      <c r="G43" s="370"/>
      <c r="H43" s="370"/>
      <c r="I43" s="370"/>
      <c r="J43" s="370"/>
      <c r="K43" s="370"/>
      <c r="L43" s="370"/>
      <c r="M43" s="370"/>
      <c r="N43" s="370"/>
      <c r="O43" s="370"/>
      <c r="P43" s="370"/>
      <c r="Q43" s="420"/>
      <c r="R43" s="420"/>
      <c r="S43" s="370"/>
      <c r="T43" s="370"/>
      <c r="U43" s="313"/>
      <c r="V43" s="313"/>
      <c r="W43" s="313"/>
      <c r="X43" s="313"/>
      <c r="Y43" s="313"/>
      <c r="Z43" s="313"/>
      <c r="AA43" s="370"/>
      <c r="AB43" s="420"/>
      <c r="AC43" s="420"/>
      <c r="AD43" s="420"/>
      <c r="AE43" s="1624"/>
      <c r="AF43" s="1625"/>
      <c r="AG43" s="1625"/>
      <c r="AH43" s="1625"/>
      <c r="AI43" s="1625"/>
      <c r="AJ43" s="1625"/>
      <c r="AK43" s="1625"/>
      <c r="AL43" s="370"/>
      <c r="AM43" s="370"/>
      <c r="AN43" s="370"/>
      <c r="AO43" s="370"/>
      <c r="AP43" s="370"/>
      <c r="AQ43" s="370"/>
      <c r="AR43" s="370"/>
      <c r="AS43" s="370"/>
      <c r="AT43" s="370"/>
      <c r="AU43" s="370"/>
      <c r="AV43" s="1626"/>
      <c r="AW43" s="420"/>
      <c r="AX43" s="420"/>
      <c r="AY43" s="420"/>
      <c r="AZ43" s="370"/>
      <c r="BA43" s="1676"/>
      <c r="BB43" s="349"/>
      <c r="BC43" s="349"/>
      <c r="BD43" s="349"/>
      <c r="BE43" s="364"/>
      <c r="BF43" s="359"/>
      <c r="BG43" s="350"/>
      <c r="BH43" s="1588"/>
      <c r="BI43" s="313"/>
      <c r="BJ43" s="313"/>
      <c r="BK43" s="313"/>
      <c r="BL43" s="335"/>
      <c r="BM43" s="335"/>
      <c r="BN43" s="335"/>
    </row>
    <row r="44" spans="1:67" s="228" customFormat="1" hidden="1">
      <c r="A44" s="346" t="s">
        <v>22</v>
      </c>
      <c r="B44" s="347" t="s">
        <v>478</v>
      </c>
      <c r="C44" s="348"/>
      <c r="D44" s="349"/>
      <c r="E44" s="349"/>
      <c r="F44" s="349"/>
      <c r="G44" s="349"/>
      <c r="H44" s="349"/>
      <c r="I44" s="349"/>
      <c r="J44" s="349"/>
      <c r="K44" s="349"/>
      <c r="L44" s="349"/>
      <c r="M44" s="349"/>
      <c r="N44" s="349"/>
      <c r="O44" s="349"/>
      <c r="P44" s="349"/>
      <c r="Q44" s="350"/>
      <c r="R44" s="350"/>
      <c r="S44" s="349"/>
      <c r="T44" s="349"/>
      <c r="U44" s="351"/>
      <c r="V44" s="351"/>
      <c r="W44" s="351">
        <f>W162</f>
        <v>5466580</v>
      </c>
      <c r="X44" s="351">
        <f>X162</f>
        <v>7096349.4378000004</v>
      </c>
      <c r="Y44" s="351">
        <f t="shared" ref="Y44:BE44" si="58">Y162</f>
        <v>6718699.7999999998</v>
      </c>
      <c r="Z44" s="351">
        <f t="shared" si="58"/>
        <v>7003638.9160600007</v>
      </c>
      <c r="AA44" s="351"/>
      <c r="AB44" s="351"/>
      <c r="AC44" s="351"/>
      <c r="AD44" s="351"/>
      <c r="AE44" s="351">
        <f t="shared" si="58"/>
        <v>6480439.5999999996</v>
      </c>
      <c r="AF44" s="351">
        <f t="shared" si="58"/>
        <v>6073702.1359999999</v>
      </c>
      <c r="AG44" s="351">
        <f t="shared" si="58"/>
        <v>5809777</v>
      </c>
      <c r="AH44" s="351">
        <f t="shared" si="58"/>
        <v>6866532.5071577355</v>
      </c>
      <c r="AI44" s="351"/>
      <c r="AJ44" s="351"/>
      <c r="AK44" s="351"/>
      <c r="AL44" s="352">
        <f>AH44+AF44+Z44-1</f>
        <v>19943872.559217736</v>
      </c>
      <c r="AM44" s="353">
        <f>AL44/$AL$7</f>
        <v>0.84790961771282114</v>
      </c>
      <c r="AN44" s="353"/>
      <c r="AO44" s="351">
        <f t="shared" si="58"/>
        <v>6704000</v>
      </c>
      <c r="AP44" s="351"/>
      <c r="AQ44" s="351">
        <f t="shared" si="58"/>
        <v>8108000</v>
      </c>
      <c r="AR44" s="351">
        <f t="shared" si="58"/>
        <v>9128000</v>
      </c>
      <c r="AS44" s="351"/>
      <c r="AT44" s="351"/>
      <c r="AU44" s="351"/>
      <c r="AV44" s="354">
        <f t="shared" si="7"/>
        <v>30176234.643157735</v>
      </c>
      <c r="AW44" s="349"/>
      <c r="AX44" s="349"/>
      <c r="AY44" s="349"/>
      <c r="AZ44" s="351">
        <f t="shared" si="58"/>
        <v>9925000</v>
      </c>
      <c r="BA44" s="351">
        <f t="shared" si="58"/>
        <v>10718000</v>
      </c>
      <c r="BB44" s="351">
        <f t="shared" si="58"/>
        <v>11567000</v>
      </c>
      <c r="BC44" s="351">
        <f t="shared" si="58"/>
        <v>12522000</v>
      </c>
      <c r="BD44" s="351">
        <f t="shared" si="58"/>
        <v>13654000</v>
      </c>
      <c r="BE44" s="351">
        <f t="shared" si="58"/>
        <v>58386000</v>
      </c>
      <c r="BF44" s="351"/>
      <c r="BG44" s="351"/>
      <c r="BH44" s="351"/>
      <c r="BI44" s="313"/>
      <c r="BJ44" s="313"/>
      <c r="BK44" s="313"/>
      <c r="BL44" s="289"/>
      <c r="BM44" s="289"/>
      <c r="BN44" s="289"/>
    </row>
    <row r="45" spans="1:67" s="228" customFormat="1" hidden="1">
      <c r="A45" s="346"/>
      <c r="B45" s="355" t="s">
        <v>479</v>
      </c>
      <c r="C45" s="348"/>
      <c r="D45" s="349"/>
      <c r="E45" s="349"/>
      <c r="F45" s="349"/>
      <c r="G45" s="349"/>
      <c r="H45" s="349"/>
      <c r="I45" s="349"/>
      <c r="J45" s="349"/>
      <c r="K45" s="349"/>
      <c r="L45" s="349"/>
      <c r="M45" s="349"/>
      <c r="N45" s="349"/>
      <c r="O45" s="349"/>
      <c r="P45" s="349"/>
      <c r="Q45" s="350"/>
      <c r="R45" s="350"/>
      <c r="S45" s="349"/>
      <c r="T45" s="349"/>
      <c r="U45" s="351"/>
      <c r="V45" s="351"/>
      <c r="W45" s="356">
        <f>W44/W7</f>
        <v>0.77157092448835574</v>
      </c>
      <c r="X45" s="356">
        <f>X44/X7</f>
        <v>0.80906839812003473</v>
      </c>
      <c r="Y45" s="356">
        <f t="shared" ref="Y45:Z45" si="59">Y44/Y7</f>
        <v>0.79090050618010588</v>
      </c>
      <c r="Z45" s="356">
        <f t="shared" si="59"/>
        <v>0.83071815800836735</v>
      </c>
      <c r="AA45" s="356"/>
      <c r="AB45" s="357"/>
      <c r="AC45" s="357"/>
      <c r="AD45" s="357"/>
      <c r="AE45" s="356">
        <f t="shared" ref="AE45:AH45" si="60">AE44/AE7</f>
        <v>0.7960347873085285</v>
      </c>
      <c r="AF45" s="356">
        <f t="shared" si="60"/>
        <v>0.842013653101643</v>
      </c>
      <c r="AG45" s="356">
        <f t="shared" si="60"/>
        <v>0.85202625045517688</v>
      </c>
      <c r="AH45" s="356">
        <f t="shared" si="60"/>
        <v>0.87170882209959222</v>
      </c>
      <c r="AI45" s="356"/>
      <c r="AJ45" s="356"/>
      <c r="AK45" s="356"/>
      <c r="AL45" s="356"/>
      <c r="AM45" s="356"/>
      <c r="AN45" s="356"/>
      <c r="AO45" s="356">
        <f t="shared" ref="AO45" si="61">AO44/AO7</f>
        <v>0.8832674571805007</v>
      </c>
      <c r="AP45" s="356"/>
      <c r="AQ45" s="356">
        <f t="shared" ref="AQ45:AR45" si="62">AQ44/AQ7</f>
        <v>0.87502698035829918</v>
      </c>
      <c r="AR45" s="356">
        <f t="shared" si="62"/>
        <v>0.89820420855707384</v>
      </c>
      <c r="AS45" s="356"/>
      <c r="AT45" s="356"/>
      <c r="AU45" s="356"/>
      <c r="AV45" s="358">
        <f t="shared" ref="AV45" si="63">AV44/AV7</f>
        <v>0.70720612948994743</v>
      </c>
      <c r="AW45" s="350"/>
      <c r="AX45" s="350"/>
      <c r="AY45" s="350"/>
      <c r="AZ45" s="356">
        <f t="shared" ref="AZ45:BE45" si="64">AZ44/AZ7</f>
        <v>0.89908506205272221</v>
      </c>
      <c r="BA45" s="356">
        <f t="shared" si="64"/>
        <v>0.89795577787156766</v>
      </c>
      <c r="BB45" s="356">
        <f t="shared" si="64"/>
        <v>0.89711867477868135</v>
      </c>
      <c r="BC45" s="356">
        <f t="shared" si="64"/>
        <v>0.89689503105844226</v>
      </c>
      <c r="BD45" s="356">
        <f t="shared" si="64"/>
        <v>0.89828947204164955</v>
      </c>
      <c r="BE45" s="356">
        <f t="shared" si="64"/>
        <v>0.89783176608892834</v>
      </c>
      <c r="BF45" s="359"/>
      <c r="BG45" s="350"/>
      <c r="BH45" s="360"/>
      <c r="BI45" s="313"/>
      <c r="BJ45" s="313"/>
      <c r="BK45" s="313"/>
      <c r="BL45" s="289"/>
      <c r="BM45" s="289"/>
      <c r="BN45" s="289"/>
    </row>
    <row r="46" spans="1:67" s="228" customFormat="1" hidden="1">
      <c r="A46" s="346"/>
      <c r="B46" s="347"/>
      <c r="C46" s="348"/>
      <c r="D46" s="349"/>
      <c r="E46" s="349"/>
      <c r="F46" s="349"/>
      <c r="G46" s="349"/>
      <c r="H46" s="349"/>
      <c r="I46" s="349"/>
      <c r="J46" s="349"/>
      <c r="K46" s="349"/>
      <c r="L46" s="349"/>
      <c r="M46" s="349"/>
      <c r="N46" s="349"/>
      <c r="O46" s="349"/>
      <c r="P46" s="349"/>
      <c r="Q46" s="350"/>
      <c r="R46" s="350"/>
      <c r="S46" s="349"/>
      <c r="T46" s="349"/>
      <c r="U46" s="351"/>
      <c r="V46" s="351"/>
      <c r="W46" s="351"/>
      <c r="X46" s="351"/>
      <c r="Y46" s="351"/>
      <c r="Z46" s="351"/>
      <c r="AA46" s="351"/>
      <c r="AB46" s="357"/>
      <c r="AC46" s="357"/>
      <c r="AD46" s="357"/>
      <c r="AE46" s="361"/>
      <c r="AF46" s="362">
        <f>AF7/Z7</f>
        <v>0.85558726617529812</v>
      </c>
      <c r="AG46" s="363"/>
      <c r="AH46" s="362">
        <f>AH7/AF7</f>
        <v>1.0920227424960205</v>
      </c>
      <c r="AI46" s="362"/>
      <c r="AJ46" s="362"/>
      <c r="AK46" s="362"/>
      <c r="AL46" s="363"/>
      <c r="AM46" s="363"/>
      <c r="AN46" s="363"/>
      <c r="AO46" s="349"/>
      <c r="AP46" s="353">
        <f>AP7/AH7</f>
        <v>1.0347401100518445</v>
      </c>
      <c r="AQ46" s="353">
        <f>AQ7/AP7</f>
        <v>1.1368285520176209</v>
      </c>
      <c r="AR46" s="353">
        <f>AR7/AQ7</f>
        <v>1.0967515324843513</v>
      </c>
      <c r="AS46" s="353"/>
      <c r="AT46" s="353"/>
      <c r="AU46" s="353"/>
      <c r="AV46" s="353">
        <f>(AF46+AH46+AP46+AQ46+AR46)/5</f>
        <v>1.0431860406450268</v>
      </c>
      <c r="AW46" s="350">
        <f>(AF46*AH46*AP46*AQ46*AR46)^(1/5)-1</f>
        <v>3.8068709737855144E-2</v>
      </c>
      <c r="AX46" s="350"/>
      <c r="AY46" s="350"/>
      <c r="AZ46" s="349"/>
      <c r="BA46" s="349"/>
      <c r="BB46" s="349"/>
      <c r="BC46" s="349"/>
      <c r="BD46" s="349"/>
      <c r="BE46" s="364"/>
      <c r="BF46" s="359"/>
      <c r="BG46" s="350"/>
      <c r="BH46" s="360"/>
      <c r="BI46" s="313"/>
      <c r="BJ46" s="313"/>
      <c r="BK46" s="313"/>
      <c r="BL46" s="289"/>
      <c r="BM46" s="289"/>
      <c r="BN46" s="289"/>
    </row>
    <row r="47" spans="1:67" s="228" customFormat="1" hidden="1">
      <c r="A47" s="346"/>
      <c r="B47" s="347"/>
      <c r="C47" s="348"/>
      <c r="D47" s="349"/>
      <c r="E47" s="349"/>
      <c r="F47" s="349"/>
      <c r="G47" s="349"/>
      <c r="H47" s="349"/>
      <c r="I47" s="349"/>
      <c r="J47" s="349"/>
      <c r="K47" s="349"/>
      <c r="L47" s="349"/>
      <c r="M47" s="349"/>
      <c r="N47" s="349"/>
      <c r="O47" s="349"/>
      <c r="P47" s="349"/>
      <c r="Q47" s="350"/>
      <c r="R47" s="350"/>
      <c r="S47" s="349"/>
      <c r="T47" s="349"/>
      <c r="U47" s="351"/>
      <c r="V47" s="351"/>
      <c r="W47" s="351"/>
      <c r="X47" s="351"/>
      <c r="Y47" s="351"/>
      <c r="Z47" s="365">
        <f>Z7/X7</f>
        <v>0.96121444581144755</v>
      </c>
      <c r="AA47" s="365"/>
      <c r="AB47" s="365"/>
      <c r="AC47" s="365"/>
      <c r="AD47" s="365"/>
      <c r="AE47" s="362"/>
      <c r="AF47" s="362">
        <f>AF7/Z7</f>
        <v>0.85558726617529812</v>
      </c>
      <c r="AG47" s="362"/>
      <c r="AH47" s="362">
        <f>AH7/AF7</f>
        <v>1.0920227424960205</v>
      </c>
      <c r="AI47" s="362"/>
      <c r="AJ47" s="362"/>
      <c r="AK47" s="362"/>
      <c r="AL47" s="363"/>
      <c r="AM47" s="362">
        <f>(Z47*AF47*AH47)^(1/3)</f>
        <v>0.96480325829386782</v>
      </c>
      <c r="AN47" s="362"/>
      <c r="AO47" s="353">
        <f>AO18/AO7</f>
        <v>0.19762845849802371</v>
      </c>
      <c r="AP47" s="353"/>
      <c r="AQ47" s="349"/>
      <c r="AR47" s="349"/>
      <c r="AS47" s="349"/>
      <c r="AT47" s="349"/>
      <c r="AU47" s="349"/>
      <c r="AV47" s="349"/>
      <c r="AW47" s="350"/>
      <c r="AX47" s="350"/>
      <c r="AY47" s="350"/>
      <c r="AZ47" s="349"/>
      <c r="BA47" s="349"/>
      <c r="BB47" s="349"/>
      <c r="BC47" s="349"/>
      <c r="BD47" s="349"/>
      <c r="BE47" s="364"/>
      <c r="BF47" s="359"/>
      <c r="BG47" s="350"/>
      <c r="BH47" s="360"/>
      <c r="BI47" s="313"/>
      <c r="BJ47" s="313"/>
      <c r="BK47" s="313"/>
      <c r="BL47" s="289"/>
      <c r="BM47" s="289"/>
      <c r="BN47" s="289"/>
    </row>
    <row r="48" spans="1:67" s="228" customFormat="1" hidden="1">
      <c r="A48" s="346"/>
      <c r="B48" s="347"/>
      <c r="C48" s="348"/>
      <c r="D48" s="349"/>
      <c r="E48" s="349"/>
      <c r="F48" s="349"/>
      <c r="G48" s="349"/>
      <c r="H48" s="349"/>
      <c r="I48" s="349"/>
      <c r="J48" s="349"/>
      <c r="K48" s="349"/>
      <c r="L48" s="349"/>
      <c r="M48" s="349"/>
      <c r="N48" s="349"/>
      <c r="O48" s="349"/>
      <c r="P48" s="349"/>
      <c r="Q48" s="350"/>
      <c r="R48" s="350"/>
      <c r="S48" s="349"/>
      <c r="T48" s="349"/>
      <c r="U48" s="351"/>
      <c r="V48" s="351"/>
      <c r="W48" s="351"/>
      <c r="X48" s="351"/>
      <c r="Y48" s="351"/>
      <c r="Z48" s="351"/>
      <c r="AA48" s="351"/>
      <c r="AB48" s="357"/>
      <c r="AC48" s="357"/>
      <c r="AD48" s="357"/>
      <c r="AE48" s="361"/>
      <c r="AF48" s="363"/>
      <c r="AG48" s="363"/>
      <c r="AH48" s="362">
        <f>AH7/X7</f>
        <v>0.89808260466413625</v>
      </c>
      <c r="AI48" s="362"/>
      <c r="AJ48" s="362"/>
      <c r="AK48" s="362"/>
      <c r="AL48" s="363"/>
      <c r="AM48" s="363"/>
      <c r="AN48" s="363"/>
      <c r="AO48" s="349"/>
      <c r="AP48" s="349"/>
      <c r="AQ48" s="349"/>
      <c r="AR48" s="349"/>
      <c r="AS48" s="349"/>
      <c r="AT48" s="349"/>
      <c r="AU48" s="349"/>
      <c r="AV48" s="349"/>
      <c r="AW48" s="350"/>
      <c r="AX48" s="350"/>
      <c r="AY48" s="350"/>
      <c r="AZ48" s="349"/>
      <c r="BA48" s="349"/>
      <c r="BB48" s="349"/>
      <c r="BC48" s="349"/>
      <c r="BD48" s="349"/>
      <c r="BE48" s="364"/>
      <c r="BF48" s="359"/>
      <c r="BG48" s="350"/>
      <c r="BH48" s="360"/>
      <c r="BI48" s="313"/>
      <c r="BJ48" s="313"/>
      <c r="BK48" s="313"/>
      <c r="BL48" s="289"/>
      <c r="BM48" s="289"/>
      <c r="BN48" s="289"/>
    </row>
    <row r="49" spans="1:70" s="371" customFormat="1" hidden="1">
      <c r="A49" s="366" t="s">
        <v>49</v>
      </c>
      <c r="B49" s="367" t="s">
        <v>480</v>
      </c>
      <c r="C49" s="367"/>
      <c r="D49" s="368"/>
      <c r="E49" s="368"/>
      <c r="F49" s="368"/>
      <c r="G49" s="368"/>
      <c r="H49" s="368"/>
      <c r="I49" s="368"/>
      <c r="J49" s="368"/>
      <c r="K49" s="368"/>
      <c r="L49" s="368"/>
      <c r="M49" s="368"/>
      <c r="N49" s="368"/>
      <c r="O49" s="368"/>
      <c r="P49" s="368"/>
      <c r="Q49" s="360"/>
      <c r="R49" s="360"/>
      <c r="S49" s="368"/>
      <c r="T49" s="368"/>
      <c r="U49" s="368"/>
      <c r="V49" s="368"/>
      <c r="W49" s="368"/>
      <c r="X49" s="368"/>
      <c r="Y49" s="368"/>
      <c r="Z49" s="368"/>
      <c r="AA49" s="368">
        <f>SUM(S49:Z49)</f>
        <v>0</v>
      </c>
      <c r="AB49" s="368"/>
      <c r="AC49" s="360">
        <f t="shared" si="13"/>
        <v>0</v>
      </c>
      <c r="AD49" s="360"/>
      <c r="AE49" s="369"/>
      <c r="AF49" s="368"/>
      <c r="AG49" s="368"/>
      <c r="AH49" s="368"/>
      <c r="AI49" s="368"/>
      <c r="AJ49" s="368"/>
      <c r="AK49" s="368"/>
      <c r="AL49" s="368"/>
      <c r="AM49" s="368"/>
      <c r="AN49" s="368"/>
      <c r="AO49" s="368"/>
      <c r="AP49" s="368"/>
      <c r="AQ49" s="368"/>
      <c r="AR49" s="368"/>
      <c r="AS49" s="368"/>
      <c r="AT49" s="368"/>
      <c r="AU49" s="368"/>
      <c r="AV49" s="368">
        <f>SUM(AF49:AR49)</f>
        <v>0</v>
      </c>
      <c r="AW49" s="360"/>
      <c r="AX49" s="360"/>
      <c r="AY49" s="360"/>
      <c r="AZ49" s="368"/>
      <c r="BA49" s="368"/>
      <c r="BB49" s="368"/>
      <c r="BC49" s="368"/>
      <c r="BD49" s="368"/>
      <c r="BE49" s="368"/>
      <c r="BF49" s="368"/>
      <c r="BG49" s="368"/>
      <c r="BH49" s="368"/>
      <c r="BI49" s="370"/>
      <c r="BJ49" s="370"/>
      <c r="BK49" s="370"/>
    </row>
    <row r="50" spans="1:70" s="371" customFormat="1" hidden="1">
      <c r="A50" s="372" t="s">
        <v>22</v>
      </c>
      <c r="B50" s="373" t="s">
        <v>481</v>
      </c>
      <c r="C50" s="373"/>
      <c r="D50" s="317"/>
      <c r="E50" s="317"/>
      <c r="F50" s="317"/>
      <c r="G50" s="317"/>
      <c r="H50" s="317"/>
      <c r="I50" s="317"/>
      <c r="J50" s="317"/>
      <c r="K50" s="317"/>
      <c r="L50" s="317"/>
      <c r="M50" s="317"/>
      <c r="N50" s="317"/>
      <c r="O50" s="317"/>
      <c r="P50" s="317"/>
      <c r="Q50" s="318"/>
      <c r="R50" s="318"/>
      <c r="S50" s="317"/>
      <c r="T50" s="317"/>
      <c r="U50" s="317"/>
      <c r="V50" s="317"/>
      <c r="W50" s="317"/>
      <c r="X50" s="317"/>
      <c r="Y50" s="317"/>
      <c r="Z50" s="317"/>
      <c r="AA50" s="317"/>
      <c r="AB50" s="317"/>
      <c r="AC50" s="318"/>
      <c r="AD50" s="318"/>
      <c r="AE50" s="374"/>
      <c r="AF50" s="317"/>
      <c r="AG50" s="317"/>
      <c r="AH50" s="317"/>
      <c r="AI50" s="317"/>
      <c r="AJ50" s="317"/>
      <c r="AK50" s="317"/>
      <c r="AL50" s="317"/>
      <c r="AM50" s="317"/>
      <c r="AN50" s="317"/>
      <c r="AO50" s="317"/>
      <c r="AP50" s="317"/>
      <c r="AQ50" s="317"/>
      <c r="AR50" s="317"/>
      <c r="AS50" s="317"/>
      <c r="AT50" s="317"/>
      <c r="AU50" s="317"/>
      <c r="AV50" s="317"/>
      <c r="AW50" s="318"/>
      <c r="AX50" s="318"/>
      <c r="AY50" s="318"/>
      <c r="AZ50" s="317"/>
      <c r="BA50" s="317"/>
      <c r="BB50" s="317"/>
      <c r="BC50" s="317"/>
      <c r="BD50" s="317"/>
      <c r="BE50" s="317"/>
      <c r="BF50" s="317"/>
      <c r="BG50" s="317"/>
      <c r="BH50" s="317"/>
      <c r="BI50" s="370"/>
      <c r="BJ50" s="370"/>
      <c r="BK50" s="370"/>
      <c r="BL50" s="371">
        <f>BL13+BL14+BL15+BL16+BL17+BL18+BL19+BL28+BL27+BL10+BL12</f>
        <v>5388483</v>
      </c>
    </row>
    <row r="51" spans="1:70" s="383" customFormat="1" ht="19.2" hidden="1">
      <c r="A51" s="375">
        <v>1</v>
      </c>
      <c r="B51" s="376" t="s">
        <v>482</v>
      </c>
      <c r="C51" s="376"/>
      <c r="D51" s="377">
        <f>SUM(D52,D53,D56)</f>
        <v>12140916</v>
      </c>
      <c r="E51" s="377">
        <f>SUM(E52,E53,E56)</f>
        <v>15688862</v>
      </c>
      <c r="F51" s="377">
        <f>SUM(F52,F53,F56)</f>
        <v>20624075</v>
      </c>
      <c r="G51" s="377">
        <f>SUM(G52,G53,G56)</f>
        <v>23241053</v>
      </c>
      <c r="H51" s="378">
        <v>30287000</v>
      </c>
      <c r="I51" s="378"/>
      <c r="J51" s="378"/>
      <c r="K51" s="378">
        <v>41703000</v>
      </c>
      <c r="L51" s="378">
        <v>44027000</v>
      </c>
      <c r="M51" s="378">
        <v>48316000</v>
      </c>
      <c r="N51" s="378">
        <v>53472000</v>
      </c>
      <c r="O51" s="378">
        <v>57208361</v>
      </c>
      <c r="P51" s="378">
        <f>SUM(K51:O51)</f>
        <v>244726361</v>
      </c>
      <c r="Q51" s="379"/>
      <c r="R51" s="379">
        <f>O51/$O$51</f>
        <v>1</v>
      </c>
      <c r="S51" s="378">
        <v>62221079</v>
      </c>
      <c r="T51" s="378">
        <v>68288574</v>
      </c>
      <c r="U51" s="378"/>
      <c r="V51" s="378">
        <v>75875880</v>
      </c>
      <c r="W51" s="378">
        <f>SUM(W52,W53,W56)</f>
        <v>0</v>
      </c>
      <c r="X51" s="378">
        <f>SUM(X52,X53,X56)</f>
        <v>82283000</v>
      </c>
      <c r="Y51" s="378">
        <f>SUM(Y52,Y53,Y56)</f>
        <v>0</v>
      </c>
      <c r="Z51" s="378">
        <f>SUM(Z52,Z53,Z56)</f>
        <v>86575000</v>
      </c>
      <c r="AA51" s="378">
        <f>SUM(S51:Z51)</f>
        <v>375243533</v>
      </c>
      <c r="AB51" s="378"/>
      <c r="AC51" s="379">
        <f t="shared" ref="AC51:AC56" si="65">AA51/$AA$51</f>
        <v>1</v>
      </c>
      <c r="AD51" s="379">
        <f>AA51/P51-1</f>
        <v>0.53331881153579519</v>
      </c>
      <c r="AE51" s="380">
        <f>SUM(AE52,AE53,AE56)</f>
        <v>0</v>
      </c>
      <c r="AF51" s="378">
        <f>SUM(AF52,AF53,AF56)</f>
        <v>90384749</v>
      </c>
      <c r="AG51" s="381">
        <f>AE51*1.07</f>
        <v>0</v>
      </c>
      <c r="AH51" s="381">
        <f>AF51*1.07</f>
        <v>96711681.430000007</v>
      </c>
      <c r="AI51" s="381"/>
      <c r="AJ51" s="381"/>
      <c r="AK51" s="381"/>
      <c r="AL51" s="381"/>
      <c r="AM51" s="381"/>
      <c r="AN51" s="381"/>
      <c r="AO51" s="381">
        <f>AH51*1.07</f>
        <v>103481499.13010001</v>
      </c>
      <c r="AP51" s="381"/>
      <c r="AQ51" s="381">
        <f>AO51*1.07</f>
        <v>110725204.06920701</v>
      </c>
      <c r="AR51" s="381">
        <f>AQ51*1.07</f>
        <v>118475968.35405152</v>
      </c>
      <c r="AS51" s="381"/>
      <c r="AT51" s="381"/>
      <c r="AU51" s="381"/>
      <c r="AV51" s="381">
        <f t="shared" ref="AV51:AV56" si="66">SUM(AF51:AR51)</f>
        <v>519779101.98335856</v>
      </c>
      <c r="AW51" s="379"/>
      <c r="AX51" s="379"/>
      <c r="AY51" s="379">
        <f t="shared" ref="AY51:AY56" si="67">AV51/AA51-1</f>
        <v>0.38517804111858878</v>
      </c>
      <c r="AZ51" s="381">
        <f>AR51*1.07</f>
        <v>126769286.13883513</v>
      </c>
      <c r="BA51" s="381">
        <f>AZ51*1.07</f>
        <v>135643136.16855359</v>
      </c>
      <c r="BB51" s="381">
        <f>BA51*1.07</f>
        <v>145138155.70035234</v>
      </c>
      <c r="BC51" s="381">
        <f>BB51*1.07</f>
        <v>155297826.59937701</v>
      </c>
      <c r="BD51" s="381">
        <f>BC51*1.07</f>
        <v>166168674.46133339</v>
      </c>
      <c r="BE51" s="381"/>
      <c r="BF51" s="381"/>
      <c r="BG51" s="381"/>
      <c r="BH51" s="381"/>
      <c r="BI51" s="382"/>
      <c r="BJ51" s="382"/>
      <c r="BK51" s="382"/>
      <c r="BL51" s="383">
        <f>AF58-BL50</f>
        <v>-173317</v>
      </c>
    </row>
    <row r="52" spans="1:70" s="294" customFormat="1" hidden="1">
      <c r="A52" s="384" t="s">
        <v>34</v>
      </c>
      <c r="B52" s="385" t="s">
        <v>483</v>
      </c>
      <c r="C52" s="385"/>
      <c r="D52" s="386">
        <v>6907745</v>
      </c>
      <c r="E52" s="386">
        <v>8963673</v>
      </c>
      <c r="F52" s="386">
        <v>11462136</v>
      </c>
      <c r="G52" s="386">
        <v>12072143</v>
      </c>
      <c r="H52" s="387">
        <v>12433000</v>
      </c>
      <c r="I52" s="387"/>
      <c r="J52" s="387"/>
      <c r="K52" s="387">
        <v>18357000</v>
      </c>
      <c r="L52" s="387">
        <v>18479000</v>
      </c>
      <c r="M52" s="387">
        <v>19829000</v>
      </c>
      <c r="N52" s="387">
        <v>21568000</v>
      </c>
      <c r="O52" s="387">
        <v>22812751</v>
      </c>
      <c r="P52" s="387">
        <f t="shared" ref="P52:P57" si="68">SUM(K52:O52)</f>
        <v>101045751</v>
      </c>
      <c r="Q52" s="388"/>
      <c r="R52" s="388">
        <f>O52/$O$51</f>
        <v>0.39876603002138095</v>
      </c>
      <c r="S52" s="387">
        <v>24048745</v>
      </c>
      <c r="T52" s="387">
        <v>25053517</v>
      </c>
      <c r="U52" s="387"/>
      <c r="V52" s="389">
        <v>27636696</v>
      </c>
      <c r="W52" s="389"/>
      <c r="X52" s="389">
        <v>29135000</v>
      </c>
      <c r="Y52" s="389"/>
      <c r="Z52" s="389">
        <v>28219000</v>
      </c>
      <c r="AA52" s="389">
        <f>SUM(S52:Z52)</f>
        <v>134092958</v>
      </c>
      <c r="AB52" s="389"/>
      <c r="AC52" s="388">
        <f t="shared" si="65"/>
        <v>0.35734915117111427</v>
      </c>
      <c r="AD52" s="388"/>
      <c r="AE52" s="390"/>
      <c r="AF52" s="389">
        <f>32671646</f>
        <v>32671646</v>
      </c>
      <c r="AG52" s="389"/>
      <c r="AH52" s="391">
        <f>34042487</f>
        <v>34042487</v>
      </c>
      <c r="AI52" s="391"/>
      <c r="AJ52" s="391"/>
      <c r="AK52" s="391"/>
      <c r="AL52" s="391"/>
      <c r="AM52" s="391"/>
      <c r="AN52" s="391"/>
      <c r="AO52" s="391">
        <f>36883489</f>
        <v>36883489</v>
      </c>
      <c r="AP52" s="391"/>
      <c r="AQ52" s="391">
        <v>35695516.944354013</v>
      </c>
      <c r="AR52" s="391">
        <v>37942371.25841637</v>
      </c>
      <c r="AS52" s="391"/>
      <c r="AT52" s="391"/>
      <c r="AU52" s="391"/>
      <c r="AV52" s="391">
        <f t="shared" si="66"/>
        <v>177235510.20277035</v>
      </c>
      <c r="AW52" s="388"/>
      <c r="AX52" s="388"/>
      <c r="AY52" s="388">
        <f t="shared" si="67"/>
        <v>0.321736151146508</v>
      </c>
      <c r="AZ52" s="391">
        <v>37942371.25841637</v>
      </c>
      <c r="BA52" s="391">
        <v>37942371.25841637</v>
      </c>
      <c r="BB52" s="391">
        <v>37942371.25841637</v>
      </c>
      <c r="BC52" s="391">
        <v>37942371.25841637</v>
      </c>
      <c r="BD52" s="391">
        <v>37942371.25841637</v>
      </c>
      <c r="BE52" s="391"/>
      <c r="BF52" s="391"/>
      <c r="BG52" s="391"/>
      <c r="BH52" s="391"/>
      <c r="BI52" s="392"/>
      <c r="BJ52" s="392"/>
      <c r="BK52" s="392"/>
    </row>
    <row r="53" spans="1:70" s="294" customFormat="1" hidden="1">
      <c r="A53" s="384" t="s">
        <v>35</v>
      </c>
      <c r="B53" s="385" t="s">
        <v>484</v>
      </c>
      <c r="C53" s="385"/>
      <c r="D53" s="386">
        <v>1949902</v>
      </c>
      <c r="E53" s="386">
        <v>2645157</v>
      </c>
      <c r="F53" s="386">
        <v>3949777</v>
      </c>
      <c r="G53" s="386">
        <v>4993718</v>
      </c>
      <c r="H53" s="387">
        <v>5537000</v>
      </c>
      <c r="I53" s="387"/>
      <c r="J53" s="387"/>
      <c r="K53" s="387">
        <v>7684000</v>
      </c>
      <c r="L53" s="387">
        <v>7550000</v>
      </c>
      <c r="M53" s="387">
        <v>8222000</v>
      </c>
      <c r="N53" s="387">
        <v>9344000</v>
      </c>
      <c r="O53" s="387">
        <v>9956179</v>
      </c>
      <c r="P53" s="387">
        <f t="shared" si="68"/>
        <v>42756179</v>
      </c>
      <c r="Q53" s="388"/>
      <c r="R53" s="388">
        <f>O53/$O$51</f>
        <v>0.17403363469895597</v>
      </c>
      <c r="S53" s="387">
        <v>10918344</v>
      </c>
      <c r="T53" s="387">
        <v>12602909</v>
      </c>
      <c r="U53" s="387"/>
      <c r="V53" s="389">
        <v>14241397</v>
      </c>
      <c r="W53" s="389"/>
      <c r="X53" s="389">
        <v>15934000</v>
      </c>
      <c r="Y53" s="389"/>
      <c r="Z53" s="389">
        <v>17300000</v>
      </c>
      <c r="AA53" s="389">
        <f>SUM(S53:Z53)</f>
        <v>70996650</v>
      </c>
      <c r="AB53" s="389"/>
      <c r="AC53" s="388">
        <f t="shared" si="65"/>
        <v>0.18920152849109861</v>
      </c>
      <c r="AD53" s="388"/>
      <c r="AE53" s="390"/>
      <c r="AF53" s="389">
        <f>17873020</f>
        <v>17873020</v>
      </c>
      <c r="AG53" s="389"/>
      <c r="AH53" s="391">
        <f>20312059</f>
        <v>20312059</v>
      </c>
      <c r="AI53" s="391"/>
      <c r="AJ53" s="391"/>
      <c r="AK53" s="391"/>
      <c r="AL53" s="391"/>
      <c r="AM53" s="391"/>
      <c r="AN53" s="391"/>
      <c r="AO53" s="391">
        <f>23204090</f>
        <v>23204090</v>
      </c>
      <c r="AP53" s="391"/>
      <c r="AQ53" s="391">
        <v>24733621.047940463</v>
      </c>
      <c r="AR53" s="391">
        <v>27968987.070854526</v>
      </c>
      <c r="AS53" s="391"/>
      <c r="AT53" s="391"/>
      <c r="AU53" s="391"/>
      <c r="AV53" s="391">
        <f t="shared" si="66"/>
        <v>114091777.11879499</v>
      </c>
      <c r="AW53" s="388"/>
      <c r="AX53" s="388"/>
      <c r="AY53" s="388">
        <f t="shared" si="67"/>
        <v>0.60700226163903492</v>
      </c>
      <c r="AZ53" s="391">
        <v>27968987.070854526</v>
      </c>
      <c r="BA53" s="391">
        <v>27968987.070854526</v>
      </c>
      <c r="BB53" s="391">
        <v>27968987.070854526</v>
      </c>
      <c r="BC53" s="391">
        <v>27968987.070854526</v>
      </c>
      <c r="BD53" s="391">
        <v>27968987.070854526</v>
      </c>
      <c r="BE53" s="391"/>
      <c r="BF53" s="391"/>
      <c r="BG53" s="391"/>
      <c r="BH53" s="391"/>
      <c r="BI53" s="392"/>
      <c r="BJ53" s="392"/>
      <c r="BK53" s="392"/>
    </row>
    <row r="54" spans="1:70" s="401" customFormat="1" hidden="1">
      <c r="A54" s="393"/>
      <c r="B54" s="394" t="s">
        <v>485</v>
      </c>
      <c r="C54" s="394"/>
      <c r="D54" s="395"/>
      <c r="E54" s="395"/>
      <c r="F54" s="395"/>
      <c r="G54" s="395"/>
      <c r="H54" s="396">
        <v>4504000</v>
      </c>
      <c r="I54" s="396"/>
      <c r="J54" s="396"/>
      <c r="K54" s="396">
        <v>6402000</v>
      </c>
      <c r="L54" s="396">
        <v>5954000</v>
      </c>
      <c r="M54" s="396">
        <v>6517000</v>
      </c>
      <c r="N54" s="396">
        <v>7470000</v>
      </c>
      <c r="O54" s="396">
        <v>7929072</v>
      </c>
      <c r="P54" s="396">
        <f t="shared" si="68"/>
        <v>34272072</v>
      </c>
      <c r="Q54" s="397"/>
      <c r="R54" s="397">
        <f>O54/$O$51</f>
        <v>0.13859988053144889</v>
      </c>
      <c r="S54" s="396">
        <v>8682916</v>
      </c>
      <c r="T54" s="396">
        <v>9979782</v>
      </c>
      <c r="U54" s="396"/>
      <c r="V54" s="398">
        <v>11226790</v>
      </c>
      <c r="W54" s="398"/>
      <c r="X54" s="398">
        <v>11226790</v>
      </c>
      <c r="Y54" s="398"/>
      <c r="Z54" s="398">
        <v>12407642</v>
      </c>
      <c r="AA54" s="398">
        <f>SUM(S54:X54)</f>
        <v>41116278</v>
      </c>
      <c r="AB54" s="398"/>
      <c r="AC54" s="388">
        <f t="shared" si="65"/>
        <v>0.10957224944366996</v>
      </c>
      <c r="AD54" s="388"/>
      <c r="AE54" s="390"/>
      <c r="AF54" s="398">
        <v>12407642</v>
      </c>
      <c r="AG54" s="398"/>
      <c r="AH54" s="399">
        <v>15294772.390274998</v>
      </c>
      <c r="AI54" s="399"/>
      <c r="AJ54" s="399"/>
      <c r="AK54" s="399"/>
      <c r="AL54" s="399"/>
      <c r="AM54" s="399"/>
      <c r="AN54" s="399"/>
      <c r="AO54" s="399">
        <v>17183562.06968103</v>
      </c>
      <c r="AP54" s="399"/>
      <c r="AQ54" s="399">
        <v>19323388.095313232</v>
      </c>
      <c r="AR54" s="399">
        <v>21779680.573048972</v>
      </c>
      <c r="AS54" s="399"/>
      <c r="AT54" s="399"/>
      <c r="AU54" s="399"/>
      <c r="AV54" s="399">
        <f t="shared" si="66"/>
        <v>85989045.12831822</v>
      </c>
      <c r="AW54" s="397"/>
      <c r="AX54" s="397"/>
      <c r="AY54" s="397">
        <f t="shared" si="67"/>
        <v>1.0913625773305213</v>
      </c>
      <c r="AZ54" s="399">
        <v>21779680.573048972</v>
      </c>
      <c r="BA54" s="399">
        <v>21779680.573048972</v>
      </c>
      <c r="BB54" s="399">
        <v>21779680.573048972</v>
      </c>
      <c r="BC54" s="399">
        <v>21779680.573048972</v>
      </c>
      <c r="BD54" s="399">
        <v>21779680.573048972</v>
      </c>
      <c r="BE54" s="399"/>
      <c r="BF54" s="399"/>
      <c r="BG54" s="399"/>
      <c r="BH54" s="399"/>
      <c r="BI54" s="400"/>
      <c r="BJ54" s="400"/>
      <c r="BK54" s="400"/>
    </row>
    <row r="55" spans="1:70" s="401" customFormat="1" hidden="1">
      <c r="A55" s="393"/>
      <c r="B55" s="394" t="s">
        <v>486</v>
      </c>
      <c r="C55" s="394"/>
      <c r="D55" s="395"/>
      <c r="E55" s="395"/>
      <c r="F55" s="395"/>
      <c r="G55" s="395"/>
      <c r="H55" s="396">
        <v>1033000</v>
      </c>
      <c r="I55" s="396"/>
      <c r="J55" s="396"/>
      <c r="K55" s="396">
        <v>1282000</v>
      </c>
      <c r="L55" s="396">
        <v>1596000</v>
      </c>
      <c r="M55" s="396">
        <v>1705000</v>
      </c>
      <c r="N55" s="396">
        <v>1874000</v>
      </c>
      <c r="O55" s="396">
        <v>2027108</v>
      </c>
      <c r="P55" s="396">
        <f t="shared" si="68"/>
        <v>8484108</v>
      </c>
      <c r="Q55" s="397"/>
      <c r="R55" s="397"/>
      <c r="S55" s="396">
        <v>2235428</v>
      </c>
      <c r="T55" s="396">
        <v>2632127</v>
      </c>
      <c r="U55" s="396"/>
      <c r="V55" s="396">
        <v>3014608</v>
      </c>
      <c r="W55" s="396"/>
      <c r="X55" s="396">
        <v>3014608</v>
      </c>
      <c r="Y55" s="396"/>
      <c r="Z55" s="396">
        <v>3231658</v>
      </c>
      <c r="AA55" s="396">
        <f>SUM(S55:X55)</f>
        <v>10896771</v>
      </c>
      <c r="AB55" s="396"/>
      <c r="AC55" s="388">
        <f t="shared" si="65"/>
        <v>2.9039197325753781E-2</v>
      </c>
      <c r="AD55" s="388"/>
      <c r="AE55" s="390"/>
      <c r="AF55" s="396">
        <v>3231658</v>
      </c>
      <c r="AG55" s="396"/>
      <c r="AH55" s="399">
        <v>4059787.7528000004</v>
      </c>
      <c r="AI55" s="399"/>
      <c r="AJ55" s="399"/>
      <c r="AK55" s="399"/>
      <c r="AL55" s="399"/>
      <c r="AM55" s="399"/>
      <c r="AN55" s="399"/>
      <c r="AO55" s="399">
        <v>4686618.9818323208</v>
      </c>
      <c r="AP55" s="399"/>
      <c r="AQ55" s="399">
        <v>5410232.9526272314</v>
      </c>
      <c r="AR55" s="399">
        <v>6189306.4978055544</v>
      </c>
      <c r="AS55" s="399"/>
      <c r="AT55" s="399"/>
      <c r="AU55" s="399"/>
      <c r="AV55" s="399">
        <f t="shared" si="66"/>
        <v>23577604.185065106</v>
      </c>
      <c r="AW55" s="397"/>
      <c r="AX55" s="397"/>
      <c r="AY55" s="397">
        <f t="shared" si="67"/>
        <v>1.1637239311595247</v>
      </c>
      <c r="AZ55" s="399">
        <v>6189306.4978055544</v>
      </c>
      <c r="BA55" s="399">
        <v>6189306.4978055544</v>
      </c>
      <c r="BB55" s="399">
        <v>6189306.4978055544</v>
      </c>
      <c r="BC55" s="399">
        <v>6189306.4978055544</v>
      </c>
      <c r="BD55" s="399">
        <v>6189306.4978055544</v>
      </c>
      <c r="BE55" s="399"/>
      <c r="BF55" s="399"/>
      <c r="BG55" s="399"/>
      <c r="BH55" s="399"/>
      <c r="BI55" s="402"/>
      <c r="BJ55" s="402"/>
      <c r="BK55" s="402"/>
    </row>
    <row r="56" spans="1:70" s="401" customFormat="1" hidden="1">
      <c r="A56" s="384" t="s">
        <v>36</v>
      </c>
      <c r="B56" s="385" t="s">
        <v>487</v>
      </c>
      <c r="C56" s="385"/>
      <c r="D56" s="386">
        <v>3283269</v>
      </c>
      <c r="E56" s="386">
        <v>4080032</v>
      </c>
      <c r="F56" s="386">
        <v>5212162</v>
      </c>
      <c r="G56" s="386">
        <v>6175192</v>
      </c>
      <c r="H56" s="387">
        <v>12318000</v>
      </c>
      <c r="I56" s="387"/>
      <c r="J56" s="387"/>
      <c r="K56" s="387">
        <v>15662000</v>
      </c>
      <c r="L56" s="387">
        <v>17997000</v>
      </c>
      <c r="M56" s="387">
        <v>20265000</v>
      </c>
      <c r="N56" s="387">
        <v>22560000</v>
      </c>
      <c r="O56" s="387">
        <v>24439431</v>
      </c>
      <c r="P56" s="387">
        <f t="shared" si="68"/>
        <v>100923431</v>
      </c>
      <c r="Q56" s="388"/>
      <c r="R56" s="388">
        <f>O56/$O$51</f>
        <v>0.42720033527966306</v>
      </c>
      <c r="S56" s="387">
        <v>27253990</v>
      </c>
      <c r="T56" s="387">
        <v>30632149</v>
      </c>
      <c r="U56" s="387"/>
      <c r="V56" s="389">
        <v>33997786</v>
      </c>
      <c r="W56" s="389"/>
      <c r="X56" s="389">
        <v>37214000</v>
      </c>
      <c r="Y56" s="389"/>
      <c r="Z56" s="389">
        <v>41056000</v>
      </c>
      <c r="AA56" s="389">
        <f>SUM(S56:Z56)</f>
        <v>170153925</v>
      </c>
      <c r="AB56" s="389"/>
      <c r="AC56" s="388">
        <f t="shared" si="65"/>
        <v>0.45344932033778712</v>
      </c>
      <c r="AD56" s="388"/>
      <c r="AE56" s="390"/>
      <c r="AF56" s="389">
        <f>39840083</f>
        <v>39840083</v>
      </c>
      <c r="AG56" s="389"/>
      <c r="AH56" s="399">
        <f>43960866</f>
        <v>43960866</v>
      </c>
      <c r="AI56" s="399"/>
      <c r="AJ56" s="399"/>
      <c r="AK56" s="399"/>
      <c r="AL56" s="399"/>
      <c r="AM56" s="399"/>
      <c r="AN56" s="399"/>
      <c r="AO56" s="399">
        <f>49808448</f>
        <v>49808448</v>
      </c>
      <c r="AP56" s="399"/>
      <c r="AQ56" s="399">
        <v>57584424.718697324</v>
      </c>
      <c r="AR56" s="399">
        <v>64879104.399336763</v>
      </c>
      <c r="AS56" s="399"/>
      <c r="AT56" s="399"/>
      <c r="AU56" s="399"/>
      <c r="AV56" s="399">
        <f t="shared" si="66"/>
        <v>256072926.11803406</v>
      </c>
      <c r="AW56" s="388"/>
      <c r="AX56" s="388"/>
      <c r="AY56" s="388">
        <f t="shared" si="67"/>
        <v>0.50494868759585798</v>
      </c>
      <c r="AZ56" s="399">
        <v>64879104.399336763</v>
      </c>
      <c r="BA56" s="399">
        <v>64879104.399336763</v>
      </c>
      <c r="BB56" s="399">
        <v>64879104.399336763</v>
      </c>
      <c r="BC56" s="399">
        <v>64879104.399336763</v>
      </c>
      <c r="BD56" s="399">
        <v>64879104.399336763</v>
      </c>
      <c r="BE56" s="399"/>
      <c r="BF56" s="399"/>
      <c r="BG56" s="399"/>
      <c r="BH56" s="399"/>
      <c r="BI56" s="392"/>
      <c r="BJ56" s="392"/>
      <c r="BK56" s="392"/>
    </row>
    <row r="57" spans="1:70" s="401" customFormat="1" hidden="1">
      <c r="A57" s="384"/>
      <c r="B57" s="385" t="s">
        <v>488</v>
      </c>
      <c r="C57" s="385"/>
      <c r="D57" s="386"/>
      <c r="E57" s="386"/>
      <c r="F57" s="386"/>
      <c r="G57" s="386"/>
      <c r="H57" s="387">
        <v>10250000</v>
      </c>
      <c r="I57" s="387"/>
      <c r="J57" s="387"/>
      <c r="K57" s="387">
        <v>13064000</v>
      </c>
      <c r="L57" s="387">
        <v>15397000</v>
      </c>
      <c r="M57" s="387">
        <v>17597000</v>
      </c>
      <c r="N57" s="387">
        <v>19550000</v>
      </c>
      <c r="O57" s="387">
        <v>21355327</v>
      </c>
      <c r="P57" s="387">
        <f t="shared" si="68"/>
        <v>86963327</v>
      </c>
      <c r="Q57" s="388"/>
      <c r="R57" s="388"/>
      <c r="S57" s="387">
        <v>23812618</v>
      </c>
      <c r="T57" s="387">
        <v>26587715</v>
      </c>
      <c r="U57" s="387"/>
      <c r="V57" s="387">
        <v>29244625</v>
      </c>
      <c r="W57" s="387"/>
      <c r="X57" s="387">
        <v>29244625</v>
      </c>
      <c r="Y57" s="387"/>
      <c r="Z57" s="389">
        <v>31342234</v>
      </c>
      <c r="AA57" s="387">
        <f>SUM(S57:X57)</f>
        <v>108889583</v>
      </c>
      <c r="AB57" s="387"/>
      <c r="AC57" s="388" t="e">
        <f>#REF!/#REF!</f>
        <v>#REF!</v>
      </c>
      <c r="AD57" s="388"/>
      <c r="AE57" s="390"/>
      <c r="AF57" s="389">
        <v>31342234</v>
      </c>
      <c r="AG57" s="389"/>
      <c r="AH57" s="399">
        <v>39218293.328947201</v>
      </c>
      <c r="AI57" s="399"/>
      <c r="AJ57" s="399"/>
      <c r="AK57" s="399"/>
      <c r="AL57" s="399"/>
      <c r="AM57" s="399"/>
      <c r="AN57" s="399"/>
      <c r="AO57" s="399">
        <v>44131561.117197707</v>
      </c>
      <c r="AP57" s="399"/>
      <c r="AQ57" s="399">
        <v>49706259.917522117</v>
      </c>
      <c r="AR57" s="399">
        <v>56036849.180617742</v>
      </c>
      <c r="AS57" s="399"/>
      <c r="AT57" s="399"/>
      <c r="AU57" s="399"/>
      <c r="AV57" s="399">
        <f>SUM(AH57:AR57)</f>
        <v>189092963.54428476</v>
      </c>
      <c r="AW57" s="388"/>
      <c r="AX57" s="388"/>
      <c r="AY57" s="388"/>
      <c r="AZ57" s="399">
        <v>56036849.180617742</v>
      </c>
      <c r="BA57" s="399">
        <v>56036849.180617742</v>
      </c>
      <c r="BB57" s="399">
        <v>56036849.180617742</v>
      </c>
      <c r="BC57" s="399">
        <v>56036849.180617742</v>
      </c>
      <c r="BD57" s="399">
        <v>56036849.180617742</v>
      </c>
      <c r="BE57" s="399"/>
      <c r="BF57" s="399"/>
      <c r="BG57" s="399"/>
      <c r="BH57" s="399"/>
      <c r="BI57" s="403"/>
      <c r="BJ57" s="403"/>
      <c r="BK57" s="403"/>
    </row>
    <row r="58" spans="1:70" s="294" customFormat="1" hidden="1">
      <c r="A58" s="404"/>
      <c r="B58" s="385" t="s">
        <v>489</v>
      </c>
      <c r="C58" s="385"/>
      <c r="D58" s="405"/>
      <c r="E58" s="405"/>
      <c r="F58" s="405"/>
      <c r="G58" s="406"/>
      <c r="H58" s="407">
        <v>2068000</v>
      </c>
      <c r="I58" s="407"/>
      <c r="J58" s="407"/>
      <c r="K58" s="407">
        <v>2598000</v>
      </c>
      <c r="L58" s="407">
        <v>2600000</v>
      </c>
      <c r="M58" s="407">
        <v>2668000</v>
      </c>
      <c r="N58" s="407">
        <v>3010000</v>
      </c>
      <c r="O58" s="407">
        <v>3084104</v>
      </c>
      <c r="P58" s="407">
        <f>SUM(K58:O58)</f>
        <v>13960104</v>
      </c>
      <c r="Q58" s="388"/>
      <c r="R58" s="388"/>
      <c r="S58" s="407">
        <v>3441372</v>
      </c>
      <c r="T58" s="407">
        <v>4044434</v>
      </c>
      <c r="U58" s="407"/>
      <c r="V58" s="408">
        <v>4753161</v>
      </c>
      <c r="W58" s="408"/>
      <c r="X58" s="408">
        <v>4753161</v>
      </c>
      <c r="Y58" s="408"/>
      <c r="Z58" s="408">
        <v>5215166</v>
      </c>
      <c r="AA58" s="408">
        <f>SUM(S58:X58)</f>
        <v>16992128</v>
      </c>
      <c r="AB58" s="408"/>
      <c r="AC58" s="388" t="e">
        <f>#REF!/#REF!</f>
        <v>#REF!</v>
      </c>
      <c r="AD58" s="388"/>
      <c r="AE58" s="390"/>
      <c r="AF58" s="408">
        <v>5215166</v>
      </c>
      <c r="AG58" s="408"/>
      <c r="AH58" s="409">
        <v>6253873.4999999991</v>
      </c>
      <c r="AI58" s="409"/>
      <c r="AJ58" s="409"/>
      <c r="AK58" s="409"/>
      <c r="AL58" s="409"/>
      <c r="AM58" s="409"/>
      <c r="AN58" s="409"/>
      <c r="AO58" s="410">
        <v>7019191.2695624987</v>
      </c>
      <c r="AP58" s="410"/>
      <c r="AQ58" s="410">
        <v>7878164.8011752078</v>
      </c>
      <c r="AR58" s="410">
        <v>8842255.2187190223</v>
      </c>
      <c r="AS58" s="410"/>
      <c r="AT58" s="410"/>
      <c r="AU58" s="410"/>
      <c r="AV58" s="410">
        <f>SUM(AH58:AR58)</f>
        <v>29993484.789456725</v>
      </c>
      <c r="AW58" s="388"/>
      <c r="AX58" s="388"/>
      <c r="AY58" s="388"/>
      <c r="AZ58" s="410">
        <v>8842255.2187190223</v>
      </c>
      <c r="BA58" s="410">
        <v>8842255.2187190223</v>
      </c>
      <c r="BB58" s="410">
        <v>8842255.2187190223</v>
      </c>
      <c r="BC58" s="410">
        <v>8842255.2187190223</v>
      </c>
      <c r="BD58" s="410">
        <v>8842255.2187190223</v>
      </c>
      <c r="BE58" s="410"/>
      <c r="BF58" s="410"/>
      <c r="BG58" s="410"/>
      <c r="BH58" s="410"/>
      <c r="BI58" s="411"/>
      <c r="BJ58" s="411"/>
      <c r="BK58" s="411"/>
      <c r="BL58" s="294">
        <f>AF56-AF57-AF55</f>
        <v>5266191</v>
      </c>
      <c r="BM58" s="294">
        <f>AH56-AH57</f>
        <v>4742572.6710527986</v>
      </c>
      <c r="BO58" s="412">
        <f>AF58/BQ15</f>
        <v>5.9797349049464536E-2</v>
      </c>
      <c r="BQ58" s="413">
        <f>AF58/AF51</f>
        <v>5.7699623638939351E-2</v>
      </c>
      <c r="BR58" s="413">
        <f>AH58/AH51</f>
        <v>6.466513049436079E-2</v>
      </c>
    </row>
    <row r="59" spans="1:70" s="294" customFormat="1" hidden="1">
      <c r="A59" s="372">
        <v>2</v>
      </c>
      <c r="B59" s="414" t="s">
        <v>490</v>
      </c>
      <c r="C59" s="414"/>
      <c r="D59" s="386"/>
      <c r="E59" s="388">
        <f>E51/D51-1</f>
        <v>0.29223050385984051</v>
      </c>
      <c r="F59" s="388">
        <f>F51/E51-1</f>
        <v>0.31456793998188015</v>
      </c>
      <c r="G59" s="388">
        <f>G51/F51-1</f>
        <v>0.12688947261877193</v>
      </c>
      <c r="H59" s="388">
        <f>H51/G51-1</f>
        <v>0.30316814819018734</v>
      </c>
      <c r="I59" s="415"/>
      <c r="J59" s="416">
        <f>(D59*E59*F59*G59*H59)^(1/5)</f>
        <v>0</v>
      </c>
      <c r="K59" s="388">
        <f>K51/H51-1</f>
        <v>0.37692739459173907</v>
      </c>
      <c r="L59" s="388">
        <f>L51/K51-1</f>
        <v>5.5727405702227673E-2</v>
      </c>
      <c r="M59" s="388">
        <f>M51/L51-1</f>
        <v>9.7417493810616262E-2</v>
      </c>
      <c r="N59" s="388">
        <f>N51/M51-1</f>
        <v>0.10671413196456658</v>
      </c>
      <c r="O59" s="388">
        <f>O51/N51-1</f>
        <v>6.9875093506882147E-2</v>
      </c>
      <c r="P59" s="415"/>
      <c r="Q59" s="388">
        <f>(K59*L59*M59*N59*O59)^(1/5)</f>
        <v>0.10881820651005422</v>
      </c>
      <c r="R59" s="388"/>
      <c r="S59" s="388">
        <f>S51/O51-1</f>
        <v>8.7622122227902999E-2</v>
      </c>
      <c r="T59" s="388">
        <f>T51/S51-1</f>
        <v>9.7515104165905031E-2</v>
      </c>
      <c r="U59" s="388"/>
      <c r="V59" s="388">
        <f>V51/T51-1</f>
        <v>0.11110652273980715</v>
      </c>
      <c r="W59" s="388"/>
      <c r="X59" s="388">
        <f>X51/V51-1</f>
        <v>8.4442117837710828E-2</v>
      </c>
      <c r="Y59" s="388"/>
      <c r="Z59" s="388">
        <f>Z51/X51-1</f>
        <v>5.2161442825370941E-2</v>
      </c>
      <c r="AA59" s="388"/>
      <c r="AB59" s="388">
        <f>(S59*T59*V59*X59*Z59)^(1/5)</f>
        <v>8.3997582129730144E-2</v>
      </c>
      <c r="AC59" s="388"/>
      <c r="AD59" s="388"/>
      <c r="AE59" s="390"/>
      <c r="AF59" s="388">
        <f>AF51/Z51-1</f>
        <v>4.4005186254692408E-2</v>
      </c>
      <c r="AG59" s="417"/>
      <c r="AH59" s="417">
        <f>AH51/AF51-1</f>
        <v>7.0000000000000062E-2</v>
      </c>
      <c r="AI59" s="417"/>
      <c r="AJ59" s="417"/>
      <c r="AK59" s="417"/>
      <c r="AL59" s="417"/>
      <c r="AM59" s="417"/>
      <c r="AN59" s="417"/>
      <c r="AO59" s="417">
        <f>AO51/AH51-1</f>
        <v>7.0000000000000062E-2</v>
      </c>
      <c r="AP59" s="417"/>
      <c r="AQ59" s="417">
        <f>AQ51/AO51-1</f>
        <v>7.0000000000000062E-2</v>
      </c>
      <c r="AR59" s="417">
        <f>AR51/AQ51-1</f>
        <v>7.0000000000000062E-2</v>
      </c>
      <c r="AS59" s="417"/>
      <c r="AT59" s="417"/>
      <c r="AU59" s="417"/>
      <c r="AV59" s="417"/>
      <c r="AW59" s="388">
        <f>(AO59*AQ59*AR59*AF59*AH59)^(1/5)</f>
        <v>6.3793907554759041E-2</v>
      </c>
      <c r="AX59" s="388"/>
      <c r="AY59" s="388"/>
      <c r="AZ59" s="417">
        <f>AZ51/AR51</f>
        <v>1.07</v>
      </c>
      <c r="BA59" s="417">
        <f>BA51/AZ51</f>
        <v>1.07</v>
      </c>
      <c r="BB59" s="417">
        <f>BB51/BA51</f>
        <v>1.07</v>
      </c>
      <c r="BC59" s="417">
        <f>BC51/BB51</f>
        <v>1.07</v>
      </c>
      <c r="BD59" s="417">
        <f>BD51/BC51</f>
        <v>1.07</v>
      </c>
      <c r="BE59" s="417"/>
      <c r="BF59" s="417">
        <f>(AZ59*BA59*BB59*BC59*BD59)^(1/5)</f>
        <v>1.07</v>
      </c>
      <c r="BG59" s="417"/>
      <c r="BH59" s="417"/>
      <c r="BI59" s="418"/>
      <c r="BJ59" s="418"/>
      <c r="BK59" s="418"/>
      <c r="BL59" s="294">
        <f>AF58-BL58</f>
        <v>-51025</v>
      </c>
    </row>
    <row r="60" spans="1:70" s="371" customFormat="1" hidden="1">
      <c r="A60" s="372">
        <v>3</v>
      </c>
      <c r="B60" s="373" t="s">
        <v>491</v>
      </c>
      <c r="C60" s="373"/>
      <c r="D60" s="322">
        <f t="shared" ref="D60:K60" si="69">D7/D51</f>
        <v>0.12795410165097923</v>
      </c>
      <c r="E60" s="322">
        <f t="shared" si="69"/>
        <v>0.16213708807534927</v>
      </c>
      <c r="F60" s="322">
        <f t="shared" si="69"/>
        <v>0.12142265774343819</v>
      </c>
      <c r="G60" s="322">
        <f t="shared" si="69"/>
        <v>0.12636346554521433</v>
      </c>
      <c r="H60" s="318">
        <f t="shared" si="69"/>
        <v>0.13109611834324961</v>
      </c>
      <c r="I60" s="419"/>
      <c r="J60" s="419"/>
      <c r="K60" s="318">
        <f t="shared" si="69"/>
        <v>9.9664439487974474E-2</v>
      </c>
      <c r="L60" s="318">
        <f>L7/L51</f>
        <v>0.10263370758003042</v>
      </c>
      <c r="M60" s="318">
        <f>M7/M51</f>
        <v>9.4858485299631604E-2</v>
      </c>
      <c r="N60" s="318">
        <f>N7/N51</f>
        <v>7.6907869130460799E-2</v>
      </c>
      <c r="O60" s="318">
        <f>O7/O51</f>
        <v>9.0458053849855974E-2</v>
      </c>
      <c r="P60" s="318"/>
      <c r="Q60" s="318">
        <f>(K60*L60*M60*N60*O60)^(1/5)</f>
        <v>9.2441054321229982E-2</v>
      </c>
      <c r="R60" s="318"/>
      <c r="S60" s="318">
        <f>S7/S51</f>
        <v>0.10181081880627625</v>
      </c>
      <c r="T60" s="318">
        <f>T7/T51</f>
        <v>0.10033883560081369</v>
      </c>
      <c r="U60" s="318"/>
      <c r="V60" s="318">
        <f>V7/V51</f>
        <v>9.204332127680101E-2</v>
      </c>
      <c r="W60" s="318"/>
      <c r="X60" s="318">
        <f>X7/X51</f>
        <v>0.10659568805221005</v>
      </c>
      <c r="Y60" s="318"/>
      <c r="Z60" s="318">
        <f>Z7/Z51</f>
        <v>9.7381742997401127E-2</v>
      </c>
      <c r="AA60" s="318"/>
      <c r="AB60" s="388">
        <f>(S60*T60*V60*X60*Z60)^(1/5)</f>
        <v>9.951636168262909E-2</v>
      </c>
      <c r="AC60" s="318"/>
      <c r="AD60" s="318"/>
      <c r="AE60" s="374"/>
      <c r="AF60" s="318">
        <f>AF7/AF51</f>
        <v>7.980667180920091E-2</v>
      </c>
      <c r="AG60" s="318"/>
      <c r="AH60" s="318">
        <f>AH7/AH51</f>
        <v>8.1449252914545245E-2</v>
      </c>
      <c r="AI60" s="318"/>
      <c r="AJ60" s="318"/>
      <c r="AK60" s="318"/>
      <c r="AL60" s="318"/>
      <c r="AM60" s="318"/>
      <c r="AN60" s="318"/>
      <c r="AO60" s="318">
        <f>AO7/AO51</f>
        <v>7.3346444183782333E-2</v>
      </c>
      <c r="AP60" s="318"/>
      <c r="AQ60" s="318">
        <f>AQ7/AQ51</f>
        <v>8.3684650463217353E-2</v>
      </c>
      <c r="AR60" s="318">
        <f>AR7/AR51</f>
        <v>8.5776886580327935E-2</v>
      </c>
      <c r="AS60" s="318"/>
      <c r="AT60" s="318"/>
      <c r="AU60" s="318"/>
      <c r="AV60" s="318"/>
      <c r="AW60" s="318"/>
      <c r="AX60" s="318"/>
      <c r="AY60" s="318"/>
      <c r="AZ60" s="318">
        <f>AZ7/AZ51</f>
        <v>8.7079452257152509E-2</v>
      </c>
      <c r="BA60" s="318">
        <f>BA7/BA51</f>
        <v>8.7995604892084078E-2</v>
      </c>
      <c r="BB60" s="318">
        <f>BB7/BB51</f>
        <v>8.8836049669932096E-2</v>
      </c>
      <c r="BC60" s="318">
        <f>BC7/BC51</f>
        <v>8.990145150349757E-2</v>
      </c>
      <c r="BD60" s="318">
        <f>BD7/BD51</f>
        <v>9.1473318163411227E-2</v>
      </c>
      <c r="BE60" s="318"/>
      <c r="BF60" s="318"/>
      <c r="BG60" s="318"/>
      <c r="BH60" s="318"/>
      <c r="BI60" s="420"/>
      <c r="BJ60" s="420"/>
      <c r="BK60" s="420"/>
    </row>
    <row r="61" spans="1:70" s="371" customFormat="1" hidden="1">
      <c r="A61" s="372">
        <v>4</v>
      </c>
      <c r="B61" s="373" t="s">
        <v>492</v>
      </c>
      <c r="C61" s="373"/>
      <c r="D61" s="322"/>
      <c r="E61" s="322"/>
      <c r="F61" s="322"/>
      <c r="G61" s="322"/>
      <c r="H61" s="318"/>
      <c r="I61" s="419"/>
      <c r="J61" s="419"/>
      <c r="K61" s="318">
        <f>K7/H7</f>
        <v>1.046794510256291</v>
      </c>
      <c r="L61" s="318">
        <f>L7/K7</f>
        <v>1.0871803262801722</v>
      </c>
      <c r="M61" s="318">
        <f>M7/L7</f>
        <v>1.0142804314364227</v>
      </c>
      <c r="N61" s="318">
        <f>N7/M7</f>
        <v>0.89728425830443836</v>
      </c>
      <c r="O61" s="318">
        <f>O7/N7</f>
        <v>1.2583734267412459</v>
      </c>
      <c r="P61" s="318"/>
      <c r="Q61" s="421">
        <f>(K61*L61*M61*N61*O61)^(1/5)-1</f>
        <v>5.441634872072143E-2</v>
      </c>
      <c r="R61" s="318"/>
      <c r="S61" s="318">
        <f>S7/O7</f>
        <v>1.2241220555069345</v>
      </c>
      <c r="T61" s="318">
        <f>T7/S7</f>
        <v>1.0816472050564037</v>
      </c>
      <c r="U61" s="318"/>
      <c r="V61" s="318">
        <f>V7/T7</f>
        <v>1.0192457788942084</v>
      </c>
      <c r="W61" s="318"/>
      <c r="X61" s="318">
        <f>X7/V7</f>
        <v>1.2558961595494074</v>
      </c>
      <c r="Y61" s="318"/>
      <c r="Z61" s="318">
        <f>Z7/X7</f>
        <v>0.96121444581144755</v>
      </c>
      <c r="AA61" s="318"/>
      <c r="AB61" s="388">
        <f>(S61*T61*V61*X61*Z61)^(1/5)-1</f>
        <v>0.1025356971451945</v>
      </c>
      <c r="AC61" s="318"/>
      <c r="AD61" s="318"/>
      <c r="AE61" s="374"/>
      <c r="AF61" s="318">
        <f>AF7/Z7</f>
        <v>0.85558726617529812</v>
      </c>
      <c r="AG61" s="318"/>
      <c r="AH61" s="318">
        <f>AH7/AF7</f>
        <v>1.0920227424960205</v>
      </c>
      <c r="AI61" s="318"/>
      <c r="AJ61" s="318"/>
      <c r="AK61" s="318"/>
      <c r="AL61" s="318"/>
      <c r="AM61" s="318"/>
      <c r="AN61" s="318"/>
      <c r="AO61" s="318">
        <f>AO7/AH7</f>
        <v>0.9635532858599366</v>
      </c>
      <c r="AP61" s="318"/>
      <c r="AQ61" s="318">
        <f>AQ7/AO7</f>
        <v>1.2208168642951251</v>
      </c>
      <c r="AR61" s="318">
        <f>AR7/AQ7</f>
        <v>1.0967515324843513</v>
      </c>
      <c r="AS61" s="318"/>
      <c r="AT61" s="318"/>
      <c r="AU61" s="318"/>
      <c r="AV61" s="318"/>
      <c r="AW61" s="318">
        <f>(AO61*AQ61*AR61*AF61*AH61)^(1/5)-1</f>
        <v>3.8068709737854922E-2</v>
      </c>
      <c r="AX61" s="318"/>
      <c r="AY61" s="318"/>
      <c r="AZ61" s="318">
        <f>AZ7/AR7</f>
        <v>1.0862484945510011</v>
      </c>
      <c r="BA61" s="318">
        <f>BA7/AZ7</f>
        <v>1.0812573436553312</v>
      </c>
      <c r="BB61" s="318">
        <f>BB7/BA7</f>
        <v>1.080219554867544</v>
      </c>
      <c r="BC61" s="318">
        <f>BC7/BB7</f>
        <v>1.0828324026805629</v>
      </c>
      <c r="BD61" s="318">
        <f>BD7/BC7</f>
        <v>1.0887082332707629</v>
      </c>
      <c r="BE61" s="318"/>
      <c r="BF61" s="417">
        <f>(AZ61*BA61*BB61*BC61*BD61)^(1/5)-1</f>
        <v>8.3848569109363336E-2</v>
      </c>
      <c r="BG61" s="318"/>
      <c r="BH61" s="318"/>
      <c r="BI61" s="420"/>
      <c r="BJ61" s="420"/>
      <c r="BK61" s="420"/>
    </row>
    <row r="62" spans="1:70" s="371" customFormat="1" ht="31.2" hidden="1">
      <c r="A62" s="372">
        <v>5</v>
      </c>
      <c r="B62" s="414" t="s">
        <v>493</v>
      </c>
      <c r="C62" s="414"/>
      <c r="D62" s="322"/>
      <c r="E62" s="322"/>
      <c r="F62" s="322"/>
      <c r="G62" s="322"/>
      <c r="H62" s="318"/>
      <c r="I62" s="419"/>
      <c r="J62" s="419"/>
      <c r="K62" s="318">
        <f>K9/H9</f>
        <v>1.1107089890644151</v>
      </c>
      <c r="L62" s="318">
        <f>L9/K9</f>
        <v>1.0605983880860459</v>
      </c>
      <c r="M62" s="318">
        <f>M9/L9</f>
        <v>0.99666431137341549</v>
      </c>
      <c r="N62" s="318">
        <f>N9/M9</f>
        <v>0.91861127607160653</v>
      </c>
      <c r="O62" s="318">
        <f>O9/N9</f>
        <v>1.2729331771985084</v>
      </c>
      <c r="P62" s="318"/>
      <c r="Q62" s="421">
        <f>(K62*L62*M62*N62*O62)^(1/5)-1</f>
        <v>6.5436343162004418E-2</v>
      </c>
      <c r="R62" s="318"/>
      <c r="S62" s="318">
        <f>S9/O9</f>
        <v>1.3321136571078873</v>
      </c>
      <c r="T62" s="318">
        <f>T9/S9</f>
        <v>1.0343939313663881</v>
      </c>
      <c r="U62" s="318"/>
      <c r="V62" s="318">
        <f>V9/T9</f>
        <v>1.0146586953378618</v>
      </c>
      <c r="W62" s="318"/>
      <c r="X62" s="318">
        <f>X9/V9</f>
        <v>1.3113079909945025</v>
      </c>
      <c r="Y62" s="318"/>
      <c r="Z62" s="318">
        <f>Z9/X9</f>
        <v>0.89758122873275026</v>
      </c>
      <c r="AA62" s="318">
        <f>SUM(S62:Z62)</f>
        <v>5.5900555035393893</v>
      </c>
      <c r="AB62" s="388">
        <f>(S62*T62*V62*X62*Z62)^(1/5)-1</f>
        <v>0.10475287161419655</v>
      </c>
      <c r="AC62" s="318"/>
      <c r="AD62" s="318"/>
      <c r="AE62" s="374"/>
      <c r="AF62" s="318">
        <f>AF9/Z9</f>
        <v>0.81316561365022288</v>
      </c>
      <c r="AG62" s="318"/>
      <c r="AH62" s="318">
        <f>AH9/AF9</f>
        <v>1.0491615036559474</v>
      </c>
      <c r="AI62" s="318"/>
      <c r="AJ62" s="318"/>
      <c r="AK62" s="318"/>
      <c r="AL62" s="318"/>
      <c r="AM62" s="318"/>
      <c r="AN62" s="318"/>
      <c r="AO62" s="318">
        <f>AO9/AH9</f>
        <v>1.0478517813488677</v>
      </c>
      <c r="AP62" s="318"/>
      <c r="AQ62" s="318">
        <f>AQ9/AO9</f>
        <v>1.0821862348178137</v>
      </c>
      <c r="AR62" s="318">
        <f>AR9/AQ9</f>
        <v>1.2117470445192666</v>
      </c>
      <c r="AS62" s="318"/>
      <c r="AT62" s="318"/>
      <c r="AU62" s="318"/>
      <c r="AV62" s="318"/>
      <c r="AW62" s="318">
        <f>(AO62*AQ62*AR62*AF62*AH62)^(1/5)-1</f>
        <v>3.2302636605404444E-2</v>
      </c>
      <c r="AX62" s="318"/>
      <c r="AY62" s="318"/>
      <c r="AZ62" s="318">
        <f>AZ9/AR9</f>
        <v>1.0975610264384545</v>
      </c>
      <c r="BA62" s="318">
        <f>BA9/AZ9</f>
        <v>1.1054852320675106</v>
      </c>
      <c r="BB62" s="318">
        <f>BB9/BA9</f>
        <v>1.1068702290076335</v>
      </c>
      <c r="BC62" s="318">
        <f>BC9/BB9</f>
        <v>1.1103448275862069</v>
      </c>
      <c r="BD62" s="318">
        <f>BD9/BC9</f>
        <v>1.1118012422360248</v>
      </c>
      <c r="BE62" s="318"/>
      <c r="BF62" s="422">
        <f>(AZ62*BA62*BB62*BC62*BD62)^(1/5)-1</f>
        <v>0.10640128515075586</v>
      </c>
      <c r="BG62" s="318"/>
      <c r="BH62" s="318"/>
      <c r="BI62" s="420"/>
      <c r="BJ62" s="420"/>
      <c r="BK62" s="420"/>
    </row>
    <row r="63" spans="1:70" s="371" customFormat="1" hidden="1">
      <c r="A63" s="372">
        <v>6</v>
      </c>
      <c r="B63" s="423" t="s">
        <v>8</v>
      </c>
      <c r="C63" s="424">
        <f t="shared" ref="C63:O63" si="70">C7</f>
        <v>1267830.2123589995</v>
      </c>
      <c r="D63" s="424">
        <f t="shared" si="70"/>
        <v>1553480</v>
      </c>
      <c r="E63" s="424">
        <f t="shared" si="70"/>
        <v>2543746.399896</v>
      </c>
      <c r="F63" s="424">
        <f t="shared" si="70"/>
        <v>2504230</v>
      </c>
      <c r="G63" s="424">
        <f t="shared" si="70"/>
        <v>2936820</v>
      </c>
      <c r="H63" s="424">
        <f t="shared" si="70"/>
        <v>3970508.1362620005</v>
      </c>
      <c r="I63" s="425"/>
      <c r="J63" s="425"/>
      <c r="K63" s="424">
        <f t="shared" si="70"/>
        <v>4156306.1199669996</v>
      </c>
      <c r="L63" s="424">
        <f t="shared" si="70"/>
        <v>4518654.2436259994</v>
      </c>
      <c r="M63" s="424">
        <f t="shared" si="70"/>
        <v>4583182.5757370004</v>
      </c>
      <c r="N63" s="424">
        <f t="shared" si="70"/>
        <v>4112417.5781439999</v>
      </c>
      <c r="O63" s="424">
        <f t="shared" si="70"/>
        <v>5174957</v>
      </c>
      <c r="P63" s="424">
        <f>SUM(K63:O63)</f>
        <v>22545517.517473999</v>
      </c>
      <c r="Q63" s="318"/>
      <c r="R63" s="318"/>
      <c r="S63" s="317">
        <f>S7</f>
        <v>6334779</v>
      </c>
      <c r="T63" s="317">
        <f>T7</f>
        <v>6851996</v>
      </c>
      <c r="U63" s="317"/>
      <c r="V63" s="317">
        <f>V7</f>
        <v>6983868</v>
      </c>
      <c r="W63" s="317"/>
      <c r="X63" s="317">
        <f>X7</f>
        <v>8771013</v>
      </c>
      <c r="Y63" s="317"/>
      <c r="Z63" s="317">
        <f>Z7</f>
        <v>8430824.4000000022</v>
      </c>
      <c r="AA63" s="317">
        <f>SUM(S63:Z63)</f>
        <v>37372480.400000006</v>
      </c>
      <c r="AB63" s="317"/>
      <c r="AC63" s="318"/>
      <c r="AD63" s="318"/>
      <c r="AE63" s="374"/>
      <c r="AF63" s="317">
        <f>AF7</f>
        <v>7213306</v>
      </c>
      <c r="AG63" s="317"/>
      <c r="AH63" s="317">
        <f>AH7</f>
        <v>7877094.2005829997</v>
      </c>
      <c r="AI63" s="317"/>
      <c r="AJ63" s="317"/>
      <c r="AK63" s="317"/>
      <c r="AL63" s="317"/>
      <c r="AM63" s="317"/>
      <c r="AN63" s="317"/>
      <c r="AO63" s="317">
        <f>AO7</f>
        <v>7590000</v>
      </c>
      <c r="AP63" s="317">
        <f>AP7</f>
        <v>8150745.3199999994</v>
      </c>
      <c r="AQ63" s="317">
        <f>AQ7</f>
        <v>9266000</v>
      </c>
      <c r="AR63" s="317">
        <f>AR7</f>
        <v>10162499.699999999</v>
      </c>
      <c r="AS63" s="317"/>
      <c r="AT63" s="317"/>
      <c r="AU63" s="317"/>
      <c r="AV63" s="317">
        <f>SUM(AF63:AR63)</f>
        <v>50259645.220583007</v>
      </c>
      <c r="AW63" s="318"/>
      <c r="AX63" s="318"/>
      <c r="AY63" s="318"/>
      <c r="AZ63" s="317">
        <f>AZ7</f>
        <v>11039000</v>
      </c>
      <c r="BA63" s="317">
        <f>BA7</f>
        <v>11935999.816611201</v>
      </c>
      <c r="BB63" s="317">
        <f>BB7</f>
        <v>12893500.408798838</v>
      </c>
      <c r="BC63" s="317">
        <f>BC7</f>
        <v>13961500.026622467</v>
      </c>
      <c r="BD63" s="317">
        <f>BD7</f>
        <v>15200000.027793854</v>
      </c>
      <c r="BE63" s="317"/>
      <c r="BF63" s="422"/>
      <c r="BG63" s="317"/>
      <c r="BH63" s="317"/>
      <c r="BI63" s="370"/>
      <c r="BJ63" s="370"/>
      <c r="BK63" s="370"/>
    </row>
    <row r="64" spans="1:70" s="430" customFormat="1" hidden="1">
      <c r="A64" s="393" t="s">
        <v>137</v>
      </c>
      <c r="B64" s="426" t="s">
        <v>494</v>
      </c>
      <c r="C64" s="426"/>
      <c r="D64" s="427">
        <f>D63/C63</f>
        <v>1.2253060266717446</v>
      </c>
      <c r="E64" s="421">
        <f>E63/D63</f>
        <v>1.6374503694260627</v>
      </c>
      <c r="F64" s="421">
        <f>F63/E63</f>
        <v>0.98446527535228523</v>
      </c>
      <c r="G64" s="421">
        <f>G63/F63</f>
        <v>1.1727437176297704</v>
      </c>
      <c r="H64" s="421">
        <f>H63/G63</f>
        <v>1.3519753121614537</v>
      </c>
      <c r="I64" s="421"/>
      <c r="J64" s="421">
        <f>(D64*E64*F64*G64*H64)^(1/5)-1</f>
        <v>0.25648410421890921</v>
      </c>
      <c r="K64" s="421">
        <f>K63/H63</f>
        <v>1.046794510256291</v>
      </c>
      <c r="L64" s="421">
        <f>L63/K63</f>
        <v>1.0871803262801722</v>
      </c>
      <c r="M64" s="421">
        <f>M63/L63</f>
        <v>1.0142804314364227</v>
      </c>
      <c r="N64" s="421">
        <f>N63/M63</f>
        <v>0.89728425830443836</v>
      </c>
      <c r="O64" s="421">
        <f>O63/N63</f>
        <v>1.2583734267412459</v>
      </c>
      <c r="P64" s="421"/>
      <c r="Q64" s="421">
        <f>(K64*L64*M64*N64*O64)^(1/5)-1</f>
        <v>5.441634872072143E-2</v>
      </c>
      <c r="R64" s="421"/>
      <c r="S64" s="421">
        <f>S63/O63</f>
        <v>1.2241220555069345</v>
      </c>
      <c r="T64" s="421">
        <f>T63/S63</f>
        <v>1.0816472050564037</v>
      </c>
      <c r="U64" s="421"/>
      <c r="V64" s="421">
        <f>V63/T63</f>
        <v>1.0192457788942084</v>
      </c>
      <c r="W64" s="421"/>
      <c r="X64" s="421">
        <f>X63/V63</f>
        <v>1.2558961595494074</v>
      </c>
      <c r="Y64" s="421"/>
      <c r="Z64" s="421">
        <f>Z63/X63</f>
        <v>0.96121444581144755</v>
      </c>
      <c r="AA64" s="421"/>
      <c r="AB64" s="388">
        <f>(S64*T64*V64*X64*Z64)^(1/5)-1</f>
        <v>0.1025356971451945</v>
      </c>
      <c r="AC64" s="421"/>
      <c r="AD64" s="421"/>
      <c r="AE64" s="428"/>
      <c r="AF64" s="421">
        <f>AF63/Z63</f>
        <v>0.85558726617529812</v>
      </c>
      <c r="AG64" s="421"/>
      <c r="AH64" s="421">
        <f>AH63/AF63</f>
        <v>1.0920227424960205</v>
      </c>
      <c r="AI64" s="421"/>
      <c r="AJ64" s="421"/>
      <c r="AK64" s="421"/>
      <c r="AL64" s="421"/>
      <c r="AM64" s="421"/>
      <c r="AN64" s="421"/>
      <c r="AO64" s="421">
        <f>AO63/AH63</f>
        <v>0.9635532858599366</v>
      </c>
      <c r="AP64" s="421">
        <f>AP63/AH63</f>
        <v>1.0347401100518445</v>
      </c>
      <c r="AQ64" s="421">
        <f>AQ63/AP63</f>
        <v>1.1368285520176209</v>
      </c>
      <c r="AR64" s="421">
        <f>AR63/AQ63</f>
        <v>1.0967515324843513</v>
      </c>
      <c r="AS64" s="421"/>
      <c r="AT64" s="421"/>
      <c r="AU64" s="421"/>
      <c r="AV64" s="421"/>
      <c r="AW64" s="421">
        <f>(AP64*AQ64*AR64*AF64*AH64)^(1/5)-1</f>
        <v>3.8068709737854922E-2</v>
      </c>
      <c r="AX64" s="421"/>
      <c r="AY64" s="421"/>
      <c r="AZ64" s="421">
        <f>AZ63/AR63</f>
        <v>1.0862484945510011</v>
      </c>
      <c r="BA64" s="427">
        <f>BA63/AZ63</f>
        <v>1.0812573436553312</v>
      </c>
      <c r="BB64" s="421">
        <f>BB63/BA63</f>
        <v>1.080219554867544</v>
      </c>
      <c r="BC64" s="421">
        <f>BC63/BB63</f>
        <v>1.0828324026805629</v>
      </c>
      <c r="BD64" s="421">
        <f>BD63/BC63</f>
        <v>1.0887082332707629</v>
      </c>
      <c r="BE64" s="421"/>
      <c r="BF64" s="422">
        <f t="shared" ref="BF64:BF67" si="71">(AZ64*BA64*BB64*BC64*BD64)^(1/5)-1</f>
        <v>8.3848569109363336E-2</v>
      </c>
      <c r="BG64" s="421"/>
      <c r="BH64" s="421"/>
      <c r="BI64" s="429"/>
      <c r="BJ64" s="429"/>
      <c r="BK64" s="429"/>
    </row>
    <row r="65" spans="1:63" s="437" customFormat="1" hidden="1">
      <c r="A65" s="431" t="s">
        <v>137</v>
      </c>
      <c r="B65" s="432" t="s">
        <v>495</v>
      </c>
      <c r="C65" s="426"/>
      <c r="D65" s="427"/>
      <c r="E65" s="421"/>
      <c r="F65" s="421"/>
      <c r="G65" s="421"/>
      <c r="H65" s="421"/>
      <c r="I65" s="421"/>
      <c r="J65" s="421"/>
      <c r="K65" s="421"/>
      <c r="L65" s="421"/>
      <c r="M65" s="421"/>
      <c r="N65" s="421"/>
      <c r="O65" s="421"/>
      <c r="P65" s="421"/>
      <c r="Q65" s="421"/>
      <c r="R65" s="421"/>
      <c r="S65" s="421"/>
      <c r="T65" s="421"/>
      <c r="U65" s="433"/>
      <c r="V65" s="433"/>
      <c r="W65" s="433"/>
      <c r="X65" s="433">
        <f>X7/W7</f>
        <v>1.2379693719124911</v>
      </c>
      <c r="Y65" s="433"/>
      <c r="Z65" s="433">
        <f>Z7/Y7</f>
        <v>0.99244548557975309</v>
      </c>
      <c r="AA65" s="433"/>
      <c r="AB65" s="434"/>
      <c r="AC65" s="433"/>
      <c r="AD65" s="433"/>
      <c r="AE65" s="435"/>
      <c r="AF65" s="433">
        <f>AF7/AE7</f>
        <v>0.88605756120330681</v>
      </c>
      <c r="AG65" s="433"/>
      <c r="AH65" s="433">
        <f>AH7/AG7</f>
        <v>1.1552063076095611</v>
      </c>
      <c r="AI65" s="433"/>
      <c r="AJ65" s="433"/>
      <c r="AK65" s="433"/>
      <c r="AL65" s="433"/>
      <c r="AM65" s="433"/>
      <c r="AN65" s="433"/>
      <c r="AO65" s="433"/>
      <c r="AP65" s="433"/>
      <c r="AQ65" s="433"/>
      <c r="AR65" s="433"/>
      <c r="AS65" s="433"/>
      <c r="AT65" s="433"/>
      <c r="AU65" s="433"/>
      <c r="AV65" s="421"/>
      <c r="AW65" s="421"/>
      <c r="AX65" s="421"/>
      <c r="AY65" s="421"/>
      <c r="AZ65" s="433"/>
      <c r="BA65" s="433"/>
      <c r="BB65" s="433"/>
      <c r="BC65" s="433"/>
      <c r="BD65" s="433"/>
      <c r="BE65" s="433"/>
      <c r="BF65" s="422"/>
      <c r="BG65" s="433"/>
      <c r="BH65" s="433"/>
      <c r="BI65" s="436"/>
      <c r="BJ65" s="436"/>
      <c r="BK65" s="436"/>
    </row>
    <row r="66" spans="1:63" s="371" customFormat="1" hidden="1">
      <c r="A66" s="372" t="s">
        <v>34</v>
      </c>
      <c r="B66" s="414" t="s">
        <v>10</v>
      </c>
      <c r="C66" s="317">
        <f t="shared" ref="C66:O66" si="72">C8</f>
        <v>1114091.7969199996</v>
      </c>
      <c r="D66" s="317">
        <f t="shared" si="72"/>
        <v>1322540</v>
      </c>
      <c r="E66" s="317">
        <f t="shared" si="72"/>
        <v>2238026.399896</v>
      </c>
      <c r="F66" s="317">
        <f t="shared" si="72"/>
        <v>2175030</v>
      </c>
      <c r="G66" s="317">
        <f t="shared" si="72"/>
        <v>2627990</v>
      </c>
      <c r="H66" s="317">
        <f t="shared" si="72"/>
        <v>3663943.1287150006</v>
      </c>
      <c r="I66" s="317"/>
      <c r="J66" s="317"/>
      <c r="K66" s="317">
        <f t="shared" si="72"/>
        <v>3798739.5013269996</v>
      </c>
      <c r="L66" s="317">
        <f t="shared" si="72"/>
        <v>4099702.3977709995</v>
      </c>
      <c r="M66" s="317">
        <f t="shared" si="72"/>
        <v>4126341.428791</v>
      </c>
      <c r="N66" s="317">
        <f t="shared" si="72"/>
        <v>3972338.7808679999</v>
      </c>
      <c r="O66" s="317">
        <f t="shared" si="72"/>
        <v>4931116</v>
      </c>
      <c r="P66" s="317">
        <f>SUM(K66:O66)</f>
        <v>20928238.108756997</v>
      </c>
      <c r="Q66" s="318"/>
      <c r="R66" s="318"/>
      <c r="S66" s="317">
        <f>S8</f>
        <v>6237814</v>
      </c>
      <c r="T66" s="317">
        <f>T8</f>
        <v>6744580</v>
      </c>
      <c r="U66" s="317"/>
      <c r="V66" s="317">
        <f>V8</f>
        <v>6909606</v>
      </c>
      <c r="W66" s="317"/>
      <c r="X66" s="317">
        <f>X8</f>
        <v>8644723</v>
      </c>
      <c r="Y66" s="317"/>
      <c r="Z66" s="317">
        <f>Z8</f>
        <v>8337065.4000000022</v>
      </c>
      <c r="AA66" s="317">
        <f>SUM(S66:Z66)</f>
        <v>36873788.400000006</v>
      </c>
      <c r="AB66" s="317"/>
      <c r="AC66" s="318"/>
      <c r="AD66" s="318"/>
      <c r="AE66" s="374"/>
      <c r="AF66" s="317">
        <f>AF8</f>
        <v>7016452</v>
      </c>
      <c r="AG66" s="317"/>
      <c r="AH66" s="317">
        <f>AH8</f>
        <v>7487310.8303279998</v>
      </c>
      <c r="AI66" s="317"/>
      <c r="AJ66" s="317"/>
      <c r="AK66" s="317"/>
      <c r="AL66" s="317"/>
      <c r="AM66" s="317"/>
      <c r="AN66" s="317"/>
      <c r="AO66" s="317">
        <f>AO8</f>
        <v>7440000</v>
      </c>
      <c r="AP66" s="317"/>
      <c r="AQ66" s="317">
        <f>AQ8</f>
        <v>9066000</v>
      </c>
      <c r="AR66" s="317">
        <f>AR8</f>
        <v>9999999.6999999993</v>
      </c>
      <c r="AS66" s="317"/>
      <c r="AT66" s="317"/>
      <c r="AU66" s="317"/>
      <c r="AV66" s="317">
        <f>SUM(AF66:AR66)</f>
        <v>41009762.530327998</v>
      </c>
      <c r="AW66" s="318"/>
      <c r="AX66" s="318"/>
      <c r="AY66" s="318"/>
      <c r="AZ66" s="317">
        <f>AZ8</f>
        <v>10870000</v>
      </c>
      <c r="BA66" s="317">
        <f>BA8</f>
        <v>11760000</v>
      </c>
      <c r="BB66" s="317">
        <f>BB8</f>
        <v>12710000</v>
      </c>
      <c r="BC66" s="317">
        <f>BC8</f>
        <v>13770000</v>
      </c>
      <c r="BD66" s="317">
        <f>BD8</f>
        <v>15000000</v>
      </c>
      <c r="BE66" s="317"/>
      <c r="BF66" s="422"/>
      <c r="BG66" s="317"/>
      <c r="BH66" s="317"/>
      <c r="BI66" s="370"/>
      <c r="BJ66" s="370"/>
      <c r="BK66" s="370"/>
    </row>
    <row r="67" spans="1:63" s="430" customFormat="1" hidden="1">
      <c r="A67" s="393" t="s">
        <v>137</v>
      </c>
      <c r="B67" s="426" t="s">
        <v>494</v>
      </c>
      <c r="C67" s="426"/>
      <c r="D67" s="427"/>
      <c r="E67" s="427"/>
      <c r="F67" s="427"/>
      <c r="G67" s="427"/>
      <c r="H67" s="421"/>
      <c r="I67" s="438"/>
      <c r="J67" s="438"/>
      <c r="K67" s="421">
        <f>K66/H66</f>
        <v>1.0367899740461513</v>
      </c>
      <c r="L67" s="421">
        <f>L66/K66</f>
        <v>1.0792270426384503</v>
      </c>
      <c r="M67" s="421">
        <f>M66/L66</f>
        <v>1.0064977962874779</v>
      </c>
      <c r="N67" s="421">
        <f>N66/M66</f>
        <v>0.96267816161588882</v>
      </c>
      <c r="O67" s="421">
        <f>O66/N66</f>
        <v>1.2413634063010348</v>
      </c>
      <c r="P67" s="421"/>
      <c r="Q67" s="421">
        <f>(K67*L67*M67*N67*O67)^(1/5)-1</f>
        <v>6.1205028008409545E-2</v>
      </c>
      <c r="R67" s="421"/>
      <c r="S67" s="421">
        <f>S66/O66</f>
        <v>1.2649903186215858</v>
      </c>
      <c r="T67" s="421">
        <f>T66/S66</f>
        <v>1.0812409603749005</v>
      </c>
      <c r="U67" s="421"/>
      <c r="V67" s="421">
        <f>V66/T66</f>
        <v>1.0244679431484243</v>
      </c>
      <c r="W67" s="421"/>
      <c r="X67" s="421">
        <f>X66/V66</f>
        <v>1.2511166338572706</v>
      </c>
      <c r="Y67" s="421"/>
      <c r="Z67" s="421">
        <f>Z66/X66</f>
        <v>0.96441093601264061</v>
      </c>
      <c r="AA67" s="421"/>
      <c r="AB67" s="388">
        <f>(S67*T67*V67*X67*Z67)^(1/5)-1</f>
        <v>0.11074303299162214</v>
      </c>
      <c r="AC67" s="421"/>
      <c r="AD67" s="421"/>
      <c r="AE67" s="428"/>
      <c r="AF67" s="421">
        <f>AF66/Z66</f>
        <v>0.84159733231791589</v>
      </c>
      <c r="AG67" s="421"/>
      <c r="AH67" s="421">
        <f>AH66/AF66</f>
        <v>1.0671078246281738</v>
      </c>
      <c r="AI67" s="421"/>
      <c r="AJ67" s="421"/>
      <c r="AK67" s="421"/>
      <c r="AL67" s="421"/>
      <c r="AM67" s="421"/>
      <c r="AN67" s="421"/>
      <c r="AO67" s="421">
        <f>AO66/AH66</f>
        <v>0.99368119857714965</v>
      </c>
      <c r="AP67" s="421"/>
      <c r="AQ67" s="421">
        <f>AQ66/AO66</f>
        <v>1.2185483870967742</v>
      </c>
      <c r="AR67" s="421">
        <f>AR66/AQ66</f>
        <v>1.1030222479594087</v>
      </c>
      <c r="AS67" s="421"/>
      <c r="AT67" s="421"/>
      <c r="AU67" s="421"/>
      <c r="AV67" s="421"/>
      <c r="AW67" s="421">
        <f>(AO67*AQ67*AR67*AF67*AH67)^(1/5)-1</f>
        <v>3.7044412096000512E-2</v>
      </c>
      <c r="AX67" s="421"/>
      <c r="AY67" s="421"/>
      <c r="AZ67" s="421">
        <f>AZ66/AR66</f>
        <v>1.0870000326100011</v>
      </c>
      <c r="BA67" s="421">
        <f>BA66/AZ66</f>
        <v>1.0818767249310028</v>
      </c>
      <c r="BB67" s="421">
        <f>BB66/BA66</f>
        <v>1.0807823129251701</v>
      </c>
      <c r="BC67" s="421">
        <f>BC66/BB66</f>
        <v>1.0833988985051142</v>
      </c>
      <c r="BD67" s="421">
        <f>BD66/BC66</f>
        <v>1.0893246187363834</v>
      </c>
      <c r="BE67" s="421"/>
      <c r="BF67" s="422">
        <f t="shared" si="71"/>
        <v>8.4471777704529405E-2</v>
      </c>
      <c r="BG67" s="421"/>
      <c r="BH67" s="421"/>
      <c r="BI67" s="429"/>
      <c r="BJ67" s="429"/>
      <c r="BK67" s="429"/>
    </row>
    <row r="68" spans="1:63" s="430" customFormat="1" hidden="1">
      <c r="A68" s="393" t="s">
        <v>137</v>
      </c>
      <c r="B68" s="426" t="s">
        <v>496</v>
      </c>
      <c r="C68" s="426"/>
      <c r="D68" s="427">
        <f t="shared" ref="D68:O68" si="73">D66/D63</f>
        <v>0.85134021680356364</v>
      </c>
      <c r="E68" s="427">
        <f t="shared" si="73"/>
        <v>0.87981506332058135</v>
      </c>
      <c r="F68" s="427">
        <f t="shared" si="73"/>
        <v>0.86854242621484445</v>
      </c>
      <c r="G68" s="427">
        <f t="shared" si="73"/>
        <v>0.89484204002969203</v>
      </c>
      <c r="H68" s="421">
        <f>H66/H63</f>
        <v>0.92278947756152618</v>
      </c>
      <c r="I68" s="438"/>
      <c r="J68" s="438"/>
      <c r="K68" s="421">
        <f t="shared" si="73"/>
        <v>0.91397009548400665</v>
      </c>
      <c r="L68" s="421">
        <f t="shared" si="73"/>
        <v>0.90728393382919881</v>
      </c>
      <c r="M68" s="421">
        <f t="shared" si="73"/>
        <v>0.90032228928332891</v>
      </c>
      <c r="N68" s="421">
        <f t="shared" si="73"/>
        <v>0.96593760370530757</v>
      </c>
      <c r="O68" s="421">
        <f t="shared" si="73"/>
        <v>0.95288057465984743</v>
      </c>
      <c r="P68" s="421"/>
      <c r="Q68" s="421">
        <f>P66/P63</f>
        <v>0.92826603303900546</v>
      </c>
      <c r="R68" s="421"/>
      <c r="S68" s="421">
        <f>S66/S63</f>
        <v>0.98469323081357696</v>
      </c>
      <c r="T68" s="421">
        <f>T66/T63</f>
        <v>0.98432340007203745</v>
      </c>
      <c r="U68" s="421"/>
      <c r="V68" s="421">
        <f>V66/V63</f>
        <v>0.98936663751376741</v>
      </c>
      <c r="W68" s="421"/>
      <c r="X68" s="421">
        <f>X66/X63</f>
        <v>0.98560143509079279</v>
      </c>
      <c r="Y68" s="421"/>
      <c r="Z68" s="421">
        <f>Z66/Z63</f>
        <v>0.98887902350332435</v>
      </c>
      <c r="AA68" s="421"/>
      <c r="AB68" s="388">
        <f>(S68*T68*V68*X68*Z68)^(1/5)</f>
        <v>0.98657044955842199</v>
      </c>
      <c r="AC68" s="421"/>
      <c r="AD68" s="421"/>
      <c r="AE68" s="428"/>
      <c r="AF68" s="421">
        <f>AF66/AF63</f>
        <v>0.97270960084044678</v>
      </c>
      <c r="AG68" s="421"/>
      <c r="AH68" s="421">
        <f>AH66/AH63</f>
        <v>0.95051685807868702</v>
      </c>
      <c r="AI68" s="421"/>
      <c r="AJ68" s="421"/>
      <c r="AK68" s="421"/>
      <c r="AL68" s="421"/>
      <c r="AM68" s="421"/>
      <c r="AN68" s="421"/>
      <c r="AO68" s="421">
        <f>AO66/AO63</f>
        <v>0.98023715415019763</v>
      </c>
      <c r="AP68" s="421"/>
      <c r="AQ68" s="421">
        <f>AQ66/AQ63</f>
        <v>0.97841571336067346</v>
      </c>
      <c r="AR68" s="421">
        <f>AR66/AR63</f>
        <v>0.98400983962636668</v>
      </c>
      <c r="AS68" s="421"/>
      <c r="AT68" s="421"/>
      <c r="AU68" s="421"/>
      <c r="AV68" s="421"/>
      <c r="AW68" s="421"/>
      <c r="AX68" s="421"/>
      <c r="AY68" s="421"/>
      <c r="AZ68" s="421">
        <f>AZ66/AZ63</f>
        <v>0.98469064226832137</v>
      </c>
      <c r="BA68" s="421">
        <f>BA66/BA63</f>
        <v>0.98525470682679939</v>
      </c>
      <c r="BB68" s="421">
        <f>BB66/BB63</f>
        <v>0.98576799139249938</v>
      </c>
      <c r="BC68" s="421">
        <f>BC66/BC63</f>
        <v>0.9862837068898539</v>
      </c>
      <c r="BD68" s="421">
        <f>BD66/BD63</f>
        <v>0.98684210345867462</v>
      </c>
      <c r="BE68" s="421"/>
      <c r="BF68" s="422"/>
      <c r="BG68" s="421"/>
      <c r="BH68" s="421"/>
      <c r="BI68" s="429"/>
      <c r="BJ68" s="429"/>
      <c r="BK68" s="429"/>
    </row>
    <row r="69" spans="1:63" s="430" customFormat="1" hidden="1">
      <c r="A69" s="393" t="s">
        <v>137</v>
      </c>
      <c r="B69" s="426" t="s">
        <v>495</v>
      </c>
      <c r="C69" s="426"/>
      <c r="D69" s="427"/>
      <c r="E69" s="427"/>
      <c r="F69" s="427"/>
      <c r="G69" s="427"/>
      <c r="H69" s="421"/>
      <c r="I69" s="438"/>
      <c r="J69" s="438"/>
      <c r="K69" s="421"/>
      <c r="L69" s="421"/>
      <c r="M69" s="421"/>
      <c r="N69" s="421"/>
      <c r="O69" s="421"/>
      <c r="P69" s="421"/>
      <c r="Q69" s="421"/>
      <c r="R69" s="421"/>
      <c r="S69" s="421"/>
      <c r="T69" s="421"/>
      <c r="U69" s="421"/>
      <c r="V69" s="421"/>
      <c r="W69" s="421"/>
      <c r="X69" s="421">
        <f>X8/W8</f>
        <v>1.233726701869559</v>
      </c>
      <c r="Y69" s="421"/>
      <c r="Z69" s="433">
        <f>Z8/Y8</f>
        <v>0.98956265875370941</v>
      </c>
      <c r="AA69" s="421"/>
      <c r="AB69" s="388"/>
      <c r="AC69" s="421"/>
      <c r="AD69" s="421"/>
      <c r="AE69" s="428"/>
      <c r="AF69" s="433">
        <f>AF8/AE8</f>
        <v>0.87313829191503134</v>
      </c>
      <c r="AG69" s="421"/>
      <c r="AH69" s="433">
        <f>AH8/AG8</f>
        <v>1.1160470575080972</v>
      </c>
      <c r="AI69" s="433"/>
      <c r="AJ69" s="433"/>
      <c r="AK69" s="433"/>
      <c r="AL69" s="433"/>
      <c r="AM69" s="433"/>
      <c r="AN69" s="433"/>
      <c r="AO69" s="421"/>
      <c r="AP69" s="421"/>
      <c r="AQ69" s="421"/>
      <c r="AR69" s="421"/>
      <c r="AS69" s="421"/>
      <c r="AT69" s="421"/>
      <c r="AU69" s="421"/>
      <c r="AV69" s="421"/>
      <c r="AW69" s="421"/>
      <c r="AX69" s="421"/>
      <c r="AY69" s="421"/>
      <c r="AZ69" s="421"/>
      <c r="BA69" s="421"/>
      <c r="BB69" s="421"/>
      <c r="BC69" s="421"/>
      <c r="BD69" s="421"/>
      <c r="BE69" s="421"/>
      <c r="BF69" s="422"/>
      <c r="BG69" s="421"/>
      <c r="BH69" s="421"/>
      <c r="BI69" s="429"/>
      <c r="BJ69" s="429"/>
      <c r="BK69" s="429"/>
    </row>
    <row r="70" spans="1:63" s="371" customFormat="1" hidden="1">
      <c r="A70" s="372"/>
      <c r="B70" s="439" t="s">
        <v>470</v>
      </c>
      <c r="C70" s="317">
        <f>C9</f>
        <v>680419.64697399968</v>
      </c>
      <c r="D70" s="317">
        <f>D9</f>
        <v>781630</v>
      </c>
      <c r="E70" s="317">
        <f t="shared" ref="E70:O70" si="74">E9</f>
        <v>1012420</v>
      </c>
      <c r="F70" s="317">
        <f t="shared" si="74"/>
        <v>1278230</v>
      </c>
      <c r="G70" s="317">
        <f t="shared" si="74"/>
        <v>1827240</v>
      </c>
      <c r="H70" s="317">
        <f t="shared" si="74"/>
        <v>2445921.4765880005</v>
      </c>
      <c r="I70" s="317"/>
      <c r="J70" s="317"/>
      <c r="K70" s="317">
        <f t="shared" si="74"/>
        <v>2716706.9705919996</v>
      </c>
      <c r="L70" s="317">
        <f t="shared" si="74"/>
        <v>2881335.0339119998</v>
      </c>
      <c r="M70" s="317">
        <f t="shared" si="74"/>
        <v>2871723.7974100001</v>
      </c>
      <c r="N70" s="317">
        <f t="shared" si="74"/>
        <v>2637997.8620639998</v>
      </c>
      <c r="O70" s="317">
        <f t="shared" si="74"/>
        <v>3357995</v>
      </c>
      <c r="P70" s="317">
        <f>SUM(K70:O70)</f>
        <v>14465758.663977999</v>
      </c>
      <c r="Q70" s="318"/>
      <c r="R70" s="318"/>
      <c r="S70" s="317">
        <f>S9</f>
        <v>4473231</v>
      </c>
      <c r="T70" s="317">
        <f>T9</f>
        <v>4627083</v>
      </c>
      <c r="U70" s="317"/>
      <c r="V70" s="317">
        <f>V9</f>
        <v>4694910</v>
      </c>
      <c r="W70" s="317"/>
      <c r="X70" s="317">
        <f>X9</f>
        <v>6156473</v>
      </c>
      <c r="Y70" s="317"/>
      <c r="Z70" s="317">
        <f>Z9</f>
        <v>5525934.6000000015</v>
      </c>
      <c r="AA70" s="317">
        <f>SUM(S70:Z70)</f>
        <v>25477631.600000001</v>
      </c>
      <c r="AB70" s="317"/>
      <c r="AC70" s="318"/>
      <c r="AD70" s="318"/>
      <c r="AE70" s="374"/>
      <c r="AF70" s="317">
        <f>AF9</f>
        <v>4493500</v>
      </c>
      <c r="AG70" s="317"/>
      <c r="AH70" s="317">
        <f>AH9</f>
        <v>4714407.2166780001</v>
      </c>
      <c r="AI70" s="317"/>
      <c r="AJ70" s="317"/>
      <c r="AK70" s="317"/>
      <c r="AL70" s="317"/>
      <c r="AM70" s="317"/>
      <c r="AN70" s="317"/>
      <c r="AO70" s="317">
        <f>AO9</f>
        <v>4940000</v>
      </c>
      <c r="AP70" s="317"/>
      <c r="AQ70" s="317">
        <f>AQ9</f>
        <v>5346000</v>
      </c>
      <c r="AR70" s="317">
        <f>AR9</f>
        <v>6477999.6999999993</v>
      </c>
      <c r="AS70" s="317"/>
      <c r="AT70" s="317"/>
      <c r="AU70" s="317"/>
      <c r="AV70" s="317">
        <f>SUM(AF70:AR70)</f>
        <v>25971906.916678</v>
      </c>
      <c r="AW70" s="318"/>
      <c r="AX70" s="318"/>
      <c r="AY70" s="318"/>
      <c r="AZ70" s="317">
        <f>AZ9</f>
        <v>7110000</v>
      </c>
      <c r="BA70" s="317">
        <f>BA9</f>
        <v>7860000</v>
      </c>
      <c r="BB70" s="317">
        <f>BB9</f>
        <v>8700000</v>
      </c>
      <c r="BC70" s="317">
        <f>BC9</f>
        <v>9660000</v>
      </c>
      <c r="BD70" s="317">
        <f>BD9</f>
        <v>10740000</v>
      </c>
      <c r="BE70" s="317"/>
      <c r="BF70" s="317"/>
      <c r="BG70" s="317"/>
      <c r="BH70" s="317"/>
      <c r="BI70" s="370"/>
      <c r="BJ70" s="370"/>
      <c r="BK70" s="370"/>
    </row>
    <row r="71" spans="1:63" s="430" customFormat="1" hidden="1">
      <c r="A71" s="393" t="s">
        <v>137</v>
      </c>
      <c r="B71" s="426" t="s">
        <v>494</v>
      </c>
      <c r="C71" s="426"/>
      <c r="D71" s="427"/>
      <c r="E71" s="427"/>
      <c r="F71" s="427"/>
      <c r="G71" s="427"/>
      <c r="H71" s="421"/>
      <c r="I71" s="438"/>
      <c r="J71" s="438"/>
      <c r="K71" s="421">
        <f>K70/H70</f>
        <v>1.1107089890644151</v>
      </c>
      <c r="L71" s="421">
        <f>L70/K70</f>
        <v>1.0605983880860459</v>
      </c>
      <c r="M71" s="421">
        <f>M70/L70</f>
        <v>0.99666431137341549</v>
      </c>
      <c r="N71" s="421">
        <f>N70/M70</f>
        <v>0.91861127607160653</v>
      </c>
      <c r="O71" s="421">
        <f>O70/N70</f>
        <v>1.2729331771985084</v>
      </c>
      <c r="P71" s="421"/>
      <c r="Q71" s="421">
        <f>(K71*L71*M71*N71*O71)^(1/5)-1</f>
        <v>6.5436343162004418E-2</v>
      </c>
      <c r="R71" s="421"/>
      <c r="S71" s="421">
        <f>S70/O70</f>
        <v>1.3321136571078873</v>
      </c>
      <c r="T71" s="421">
        <f>T70/S70</f>
        <v>1.0343939313663881</v>
      </c>
      <c r="U71" s="421"/>
      <c r="V71" s="421">
        <f>V70/T70</f>
        <v>1.0146586953378618</v>
      </c>
      <c r="W71" s="421"/>
      <c r="X71" s="421">
        <f>X70/V70</f>
        <v>1.3113079909945025</v>
      </c>
      <c r="Y71" s="421"/>
      <c r="Z71" s="421">
        <f>Z70/X70</f>
        <v>0.89758122873275026</v>
      </c>
      <c r="AA71" s="421"/>
      <c r="AB71" s="421">
        <f>(S71*T71*V71*X71*Z71)^(1/5)-1</f>
        <v>0.10475287161419655</v>
      </c>
      <c r="AC71" s="421"/>
      <c r="AD71" s="421"/>
      <c r="AE71" s="428"/>
      <c r="AF71" s="421">
        <f>AF70/Z70</f>
        <v>0.81316561365022288</v>
      </c>
      <c r="AG71" s="421"/>
      <c r="AH71" s="421">
        <f>AH70/AF70</f>
        <v>1.0491615036559474</v>
      </c>
      <c r="AI71" s="421"/>
      <c r="AJ71" s="421"/>
      <c r="AK71" s="421"/>
      <c r="AL71" s="421"/>
      <c r="AM71" s="421"/>
      <c r="AN71" s="421"/>
      <c r="AO71" s="421">
        <f>AO70/AH70</f>
        <v>1.0478517813488677</v>
      </c>
      <c r="AP71" s="421"/>
      <c r="AQ71" s="421">
        <f>AQ70/AO70</f>
        <v>1.0821862348178137</v>
      </c>
      <c r="AR71" s="421">
        <f>AR70/AQ70</f>
        <v>1.2117470445192666</v>
      </c>
      <c r="AS71" s="421"/>
      <c r="AT71" s="421"/>
      <c r="AU71" s="421"/>
      <c r="AV71" s="421"/>
      <c r="AW71" s="421">
        <f>(AO71*AQ71*AR71*AF71*AH71)^(1/5)-1</f>
        <v>3.2302636605404444E-2</v>
      </c>
      <c r="AX71" s="421"/>
      <c r="AY71" s="421"/>
      <c r="AZ71" s="421">
        <f>AZ70/AR70</f>
        <v>1.0975610264384545</v>
      </c>
      <c r="BA71" s="421">
        <f>BA70/AZ70</f>
        <v>1.1054852320675106</v>
      </c>
      <c r="BB71" s="421">
        <f>BB70/BA70</f>
        <v>1.1068702290076335</v>
      </c>
      <c r="BC71" s="421">
        <f>BC70/BB70</f>
        <v>1.1103448275862069</v>
      </c>
      <c r="BD71" s="421">
        <f>BD70/BC70</f>
        <v>1.1118012422360248</v>
      </c>
      <c r="BE71" s="421"/>
      <c r="BF71" s="422">
        <f>(AZ71*BA71*BB71*BC71*BD71)^(1/5)-1</f>
        <v>0.10640128515075586</v>
      </c>
      <c r="BG71" s="421"/>
      <c r="BH71" s="421"/>
      <c r="BI71" s="429"/>
      <c r="BJ71" s="429"/>
      <c r="BK71" s="429"/>
    </row>
    <row r="72" spans="1:63" s="430" customFormat="1" hidden="1">
      <c r="A72" s="393" t="s">
        <v>137</v>
      </c>
      <c r="B72" s="426" t="s">
        <v>496</v>
      </c>
      <c r="C72" s="426"/>
      <c r="D72" s="427"/>
      <c r="E72" s="427"/>
      <c r="F72" s="427"/>
      <c r="G72" s="427"/>
      <c r="H72" s="421"/>
      <c r="I72" s="438"/>
      <c r="J72" s="438"/>
      <c r="K72" s="421">
        <f t="shared" ref="K72:P72" si="75">K70/K63</f>
        <v>0.6536349566604035</v>
      </c>
      <c r="L72" s="421">
        <f t="shared" si="75"/>
        <v>0.63765335397732692</v>
      </c>
      <c r="M72" s="421">
        <f t="shared" si="75"/>
        <v>0.62657852921083146</v>
      </c>
      <c r="N72" s="421">
        <f t="shared" si="75"/>
        <v>0.64147130293479837</v>
      </c>
      <c r="O72" s="421">
        <f t="shared" si="75"/>
        <v>0.64889331447584975</v>
      </c>
      <c r="P72" s="421">
        <f t="shared" si="75"/>
        <v>0.64162460022335932</v>
      </c>
      <c r="Q72" s="421"/>
      <c r="R72" s="421"/>
      <c r="S72" s="421">
        <f>S70/S63</f>
        <v>0.70613844618730981</v>
      </c>
      <c r="T72" s="421">
        <f>T70/T63</f>
        <v>0.67528979876812534</v>
      </c>
      <c r="U72" s="421"/>
      <c r="V72" s="421">
        <f>V70/V63</f>
        <v>0.67225067827742446</v>
      </c>
      <c r="W72" s="421"/>
      <c r="X72" s="421">
        <f>X70/X63</f>
        <v>0.70191128436361916</v>
      </c>
      <c r="Y72" s="421"/>
      <c r="Z72" s="421">
        <f>Z70/Z63</f>
        <v>0.65544415798768152</v>
      </c>
      <c r="AA72" s="421">
        <f>AA70/$AA$63</f>
        <v>0.68172171949282756</v>
      </c>
      <c r="AB72" s="421"/>
      <c r="AC72" s="421"/>
      <c r="AD72" s="421"/>
      <c r="AE72" s="428"/>
      <c r="AF72" s="421">
        <f>AF70/AF63</f>
        <v>0.62294598343672092</v>
      </c>
      <c r="AG72" s="421"/>
      <c r="AH72" s="421">
        <f>AH70/AH63</f>
        <v>0.59849572654965544</v>
      </c>
      <c r="AI72" s="421"/>
      <c r="AJ72" s="421"/>
      <c r="AK72" s="421"/>
      <c r="AL72" s="421"/>
      <c r="AM72" s="421"/>
      <c r="AN72" s="421"/>
      <c r="AO72" s="421">
        <f>AO70/AO63</f>
        <v>0.65085638998682482</v>
      </c>
      <c r="AP72" s="421"/>
      <c r="AQ72" s="421">
        <f>AQ70/AQ63</f>
        <v>0.57694798186919927</v>
      </c>
      <c r="AR72" s="421">
        <f>AR70/AR63</f>
        <v>0.63744156371291205</v>
      </c>
      <c r="AS72" s="421"/>
      <c r="AT72" s="421"/>
      <c r="AU72" s="421"/>
      <c r="AV72" s="421"/>
      <c r="AW72" s="421"/>
      <c r="AX72" s="421"/>
      <c r="AY72" s="421"/>
      <c r="AZ72" s="421">
        <f>AZ70/AZ63</f>
        <v>0.64408007971736569</v>
      </c>
      <c r="BA72" s="421">
        <f>BA70/AZ63</f>
        <v>0.71202101639641269</v>
      </c>
      <c r="BB72" s="421">
        <f>BB70/BB63</f>
        <v>0.67475857790045202</v>
      </c>
      <c r="BC72" s="421">
        <f>BC70/BC63</f>
        <v>0.69190273119506085</v>
      </c>
      <c r="BD72" s="421">
        <f>BD70/BD63</f>
        <v>0.70657894607641103</v>
      </c>
      <c r="BE72" s="421"/>
      <c r="BF72" s="421"/>
      <c r="BG72" s="421"/>
      <c r="BH72" s="421"/>
      <c r="BI72" s="429"/>
      <c r="BJ72" s="429"/>
      <c r="BK72" s="429"/>
    </row>
    <row r="73" spans="1:63" s="430" customFormat="1" hidden="1">
      <c r="A73" s="393" t="s">
        <v>137</v>
      </c>
      <c r="B73" s="426" t="s">
        <v>495</v>
      </c>
      <c r="C73" s="426"/>
      <c r="D73" s="427"/>
      <c r="E73" s="427"/>
      <c r="F73" s="427"/>
      <c r="G73" s="427"/>
      <c r="H73" s="421"/>
      <c r="I73" s="438"/>
      <c r="J73" s="438"/>
      <c r="K73" s="421"/>
      <c r="L73" s="421"/>
      <c r="M73" s="421"/>
      <c r="N73" s="421"/>
      <c r="O73" s="421"/>
      <c r="P73" s="421"/>
      <c r="Q73" s="421"/>
      <c r="R73" s="421"/>
      <c r="S73" s="421"/>
      <c r="T73" s="421"/>
      <c r="U73" s="421"/>
      <c r="V73" s="421"/>
      <c r="W73" s="421"/>
      <c r="X73" s="421">
        <f>X9/W9</f>
        <v>1.1891970253042303</v>
      </c>
      <c r="Y73" s="421"/>
      <c r="Z73" s="433">
        <f>Z9/Y9</f>
        <v>0.86817511390416358</v>
      </c>
      <c r="AA73" s="421"/>
      <c r="AB73" s="421"/>
      <c r="AC73" s="421"/>
      <c r="AD73" s="421"/>
      <c r="AE73" s="428"/>
      <c r="AF73" s="433">
        <f>AF9/AE9</f>
        <v>0.77662939214296822</v>
      </c>
      <c r="AG73" s="421"/>
      <c r="AH73" s="433">
        <f>AH9/AG9</f>
        <v>1.0693231289942766</v>
      </c>
      <c r="AI73" s="433"/>
      <c r="AJ73" s="433"/>
      <c r="AK73" s="433"/>
      <c r="AL73" s="433"/>
      <c r="AM73" s="433"/>
      <c r="AN73" s="433"/>
      <c r="AO73" s="421"/>
      <c r="AP73" s="421"/>
      <c r="AQ73" s="421"/>
      <c r="AR73" s="421"/>
      <c r="AS73" s="421"/>
      <c r="AT73" s="421"/>
      <c r="AU73" s="421"/>
      <c r="AV73" s="421"/>
      <c r="AW73" s="421"/>
      <c r="AX73" s="421"/>
      <c r="AY73" s="421"/>
      <c r="AZ73" s="421"/>
      <c r="BA73" s="421"/>
      <c r="BB73" s="421"/>
      <c r="BC73" s="421"/>
      <c r="BD73" s="421"/>
      <c r="BE73" s="421"/>
      <c r="BF73" s="421"/>
      <c r="BG73" s="421"/>
      <c r="BH73" s="421"/>
      <c r="BI73" s="429"/>
      <c r="BJ73" s="429"/>
      <c r="BK73" s="429"/>
    </row>
    <row r="74" spans="1:63" s="371" customFormat="1" hidden="1">
      <c r="A74" s="372" t="s">
        <v>35</v>
      </c>
      <c r="B74" s="414" t="s">
        <v>497</v>
      </c>
      <c r="C74" s="317">
        <f t="shared" ref="C74:O74" si="76">C28</f>
        <v>153738.415439</v>
      </c>
      <c r="D74" s="317">
        <f t="shared" si="76"/>
        <v>230940</v>
      </c>
      <c r="E74" s="317">
        <f t="shared" si="76"/>
        <v>305720</v>
      </c>
      <c r="F74" s="317">
        <f t="shared" si="76"/>
        <v>329200</v>
      </c>
      <c r="G74" s="317">
        <f t="shared" si="76"/>
        <v>308830</v>
      </c>
      <c r="H74" s="317">
        <f t="shared" si="76"/>
        <v>306565.00754700002</v>
      </c>
      <c r="I74" s="317"/>
      <c r="J74" s="317"/>
      <c r="K74" s="317">
        <f t="shared" si="76"/>
        <v>357566.61864</v>
      </c>
      <c r="L74" s="317">
        <f t="shared" si="76"/>
        <v>418951.84585500002</v>
      </c>
      <c r="M74" s="317">
        <f t="shared" si="76"/>
        <v>456841.14694599999</v>
      </c>
      <c r="N74" s="317">
        <f t="shared" si="76"/>
        <v>140078.797276</v>
      </c>
      <c r="O74" s="317">
        <f t="shared" si="76"/>
        <v>243841</v>
      </c>
      <c r="P74" s="317">
        <f>SUM(K74:O74)</f>
        <v>1617279.4087169999</v>
      </c>
      <c r="Q74" s="318"/>
      <c r="R74" s="318"/>
      <c r="S74" s="317">
        <f>S28</f>
        <v>96965</v>
      </c>
      <c r="T74" s="317">
        <f>T28</f>
        <v>107416</v>
      </c>
      <c r="U74" s="317"/>
      <c r="V74" s="317">
        <f>V28</f>
        <v>74262</v>
      </c>
      <c r="W74" s="317"/>
      <c r="X74" s="317">
        <f>X28</f>
        <v>126290</v>
      </c>
      <c r="Y74" s="317"/>
      <c r="Z74" s="317">
        <f>Z28</f>
        <v>93759</v>
      </c>
      <c r="AA74" s="317">
        <f>SUM(S74:Z74)</f>
        <v>498692</v>
      </c>
      <c r="AB74" s="317"/>
      <c r="AC74" s="318"/>
      <c r="AD74" s="318"/>
      <c r="AE74" s="374"/>
      <c r="AF74" s="317">
        <f>AF28</f>
        <v>196854</v>
      </c>
      <c r="AG74" s="317"/>
      <c r="AH74" s="317">
        <f>AH28</f>
        <v>389783.37025500002</v>
      </c>
      <c r="AI74" s="317"/>
      <c r="AJ74" s="317"/>
      <c r="AK74" s="317"/>
      <c r="AL74" s="317"/>
      <c r="AM74" s="317"/>
      <c r="AN74" s="317"/>
      <c r="AO74" s="317">
        <f>AO28</f>
        <v>150000</v>
      </c>
      <c r="AP74" s="317"/>
      <c r="AQ74" s="317">
        <f>AQ28</f>
        <v>200000</v>
      </c>
      <c r="AR74" s="317">
        <f>AR28</f>
        <v>162500</v>
      </c>
      <c r="AS74" s="317"/>
      <c r="AT74" s="317"/>
      <c r="AU74" s="317"/>
      <c r="AV74" s="317">
        <f>SUM(AF74:AR74)</f>
        <v>1099137.370255</v>
      </c>
      <c r="AW74" s="318"/>
      <c r="AX74" s="318"/>
      <c r="AY74" s="318"/>
      <c r="AZ74" s="317">
        <f>AZ28</f>
        <v>169000</v>
      </c>
      <c r="BA74" s="317">
        <f>BA28</f>
        <v>175999.81661120002</v>
      </c>
      <c r="BB74" s="317">
        <f>BB28</f>
        <v>183500.40879883713</v>
      </c>
      <c r="BC74" s="317">
        <f>BC28</f>
        <v>191500.02662246645</v>
      </c>
      <c r="BD74" s="317">
        <f>BD28</f>
        <v>200000.027793855</v>
      </c>
      <c r="BE74" s="317"/>
      <c r="BF74" s="317"/>
      <c r="BG74" s="317"/>
      <c r="BH74" s="317"/>
      <c r="BI74" s="370"/>
      <c r="BJ74" s="370"/>
      <c r="BK74" s="370"/>
    </row>
    <row r="75" spans="1:63" s="430" customFormat="1" hidden="1">
      <c r="A75" s="393" t="s">
        <v>137</v>
      </c>
      <c r="B75" s="426" t="s">
        <v>494</v>
      </c>
      <c r="C75" s="426"/>
      <c r="D75" s="427"/>
      <c r="E75" s="427"/>
      <c r="F75" s="427"/>
      <c r="G75" s="427"/>
      <c r="H75" s="421"/>
      <c r="I75" s="438"/>
      <c r="J75" s="438"/>
      <c r="K75" s="421">
        <f>K74/H74</f>
        <v>1.1663647508275414</v>
      </c>
      <c r="L75" s="421">
        <f>L74/K74</f>
        <v>1.1716749383610749</v>
      </c>
      <c r="M75" s="421">
        <f>M74/L74</f>
        <v>1.0904383199784577</v>
      </c>
      <c r="N75" s="421">
        <f>N74/M74</f>
        <v>0.30662473862617662</v>
      </c>
      <c r="O75" s="421">
        <f>O74/N74</f>
        <v>1.7407416735564576</v>
      </c>
      <c r="P75" s="421"/>
      <c r="Q75" s="421">
        <f>(K75*L75*M75*N75*O75)^(1/5)-1</f>
        <v>-4.4750476186834587E-2</v>
      </c>
      <c r="R75" s="421"/>
      <c r="S75" s="421">
        <f>S74/O74</f>
        <v>0.39765666971510122</v>
      </c>
      <c r="T75" s="421">
        <f>T74/S74</f>
        <v>1.1077811581498478</v>
      </c>
      <c r="U75" s="421"/>
      <c r="V75" s="421">
        <f>V74/T74</f>
        <v>0.69134951962463698</v>
      </c>
      <c r="W75" s="421"/>
      <c r="X75" s="421">
        <f>X74/V74</f>
        <v>1.7006005763378309</v>
      </c>
      <c r="Y75" s="421"/>
      <c r="Z75" s="421">
        <f>Z74/X74</f>
        <v>0.74241032544144425</v>
      </c>
      <c r="AA75" s="421"/>
      <c r="AB75" s="421">
        <f>(S75*T75*V75*X75*Z75)^(1/5)-1</f>
        <v>-0.17399771792258245</v>
      </c>
      <c r="AC75" s="421"/>
      <c r="AD75" s="421"/>
      <c r="AE75" s="428"/>
      <c r="AF75" s="421">
        <f>AF74/Z74</f>
        <v>2.0995744408536781</v>
      </c>
      <c r="AG75" s="421"/>
      <c r="AH75" s="421">
        <f>AH74/AF74</f>
        <v>1.9800632461367309</v>
      </c>
      <c r="AI75" s="421"/>
      <c r="AJ75" s="421"/>
      <c r="AK75" s="421"/>
      <c r="AL75" s="421"/>
      <c r="AM75" s="421"/>
      <c r="AN75" s="421"/>
      <c r="AO75" s="421">
        <f>AO74/AH74</f>
        <v>0.38482914215110964</v>
      </c>
      <c r="AP75" s="421"/>
      <c r="AQ75" s="421">
        <f>AQ74/AO74</f>
        <v>1.3333333333333333</v>
      </c>
      <c r="AR75" s="421">
        <f>AR74/AQ74</f>
        <v>0.8125</v>
      </c>
      <c r="AS75" s="421"/>
      <c r="AT75" s="421"/>
      <c r="AU75" s="421"/>
      <c r="AV75" s="421"/>
      <c r="AW75" s="421">
        <f>(AO75*AQ75*AR75*AF75*AH75)^(1/5)-1</f>
        <v>0.11626698398103552</v>
      </c>
      <c r="AX75" s="421"/>
      <c r="AY75" s="421"/>
      <c r="AZ75" s="421">
        <f>AZ74/AR74</f>
        <v>1.04</v>
      </c>
      <c r="BA75" s="421">
        <f>BA74/AZ74</f>
        <v>1.041419033202367</v>
      </c>
      <c r="BB75" s="421">
        <f>BB74/BA74</f>
        <v>1.0426170454723065</v>
      </c>
      <c r="BC75" s="421">
        <f>BC74/BB74</f>
        <v>1.0435945504208599</v>
      </c>
      <c r="BD75" s="421">
        <f>BD74/BC74</f>
        <v>1.0443864229227806</v>
      </c>
      <c r="BE75" s="421"/>
      <c r="BF75" s="422">
        <f>(AZ75*BA75*BB75*BC75*BD75)^(1/5)-1</f>
        <v>4.2402245249672177E-2</v>
      </c>
      <c r="BG75" s="421"/>
      <c r="BH75" s="421"/>
      <c r="BI75" s="429"/>
      <c r="BJ75" s="429"/>
      <c r="BK75" s="429"/>
    </row>
    <row r="76" spans="1:63" s="430" customFormat="1" hidden="1">
      <c r="A76" s="393" t="s">
        <v>137</v>
      </c>
      <c r="B76" s="426" t="s">
        <v>496</v>
      </c>
      <c r="C76" s="426"/>
      <c r="D76" s="427">
        <f t="shared" ref="D76:O76" si="77">D74/D63</f>
        <v>0.14865978319643638</v>
      </c>
      <c r="E76" s="427">
        <f t="shared" si="77"/>
        <v>0.12018493667941868</v>
      </c>
      <c r="F76" s="427">
        <f t="shared" si="77"/>
        <v>0.13145757378515552</v>
      </c>
      <c r="G76" s="427">
        <f t="shared" si="77"/>
        <v>0.10515795997030802</v>
      </c>
      <c r="H76" s="421">
        <f t="shared" si="77"/>
        <v>7.7210522438473803E-2</v>
      </c>
      <c r="I76" s="438"/>
      <c r="J76" s="438"/>
      <c r="K76" s="421">
        <f t="shared" si="77"/>
        <v>8.6029904515993405E-2</v>
      </c>
      <c r="L76" s="421">
        <f t="shared" si="77"/>
        <v>9.2716066170801248E-2</v>
      </c>
      <c r="M76" s="421">
        <f t="shared" si="77"/>
        <v>9.9677710716671045E-2</v>
      </c>
      <c r="N76" s="421">
        <f t="shared" si="77"/>
        <v>3.4062396294692383E-2</v>
      </c>
      <c r="O76" s="421">
        <f t="shared" si="77"/>
        <v>4.7119425340152586E-2</v>
      </c>
      <c r="P76" s="421">
        <f>P74/P63</f>
        <v>7.1733966960994378E-2</v>
      </c>
      <c r="Q76" s="421"/>
      <c r="R76" s="421"/>
      <c r="S76" s="421">
        <f>S74/S63</f>
        <v>1.5306769186423078E-2</v>
      </c>
      <c r="T76" s="421">
        <f>T74/T63</f>
        <v>1.5676599927962595E-2</v>
      </c>
      <c r="U76" s="421"/>
      <c r="V76" s="421">
        <f>V74/V63</f>
        <v>1.0633362486232558E-2</v>
      </c>
      <c r="W76" s="421"/>
      <c r="X76" s="421">
        <f>X74/X63</f>
        <v>1.4398564909207181E-2</v>
      </c>
      <c r="Y76" s="421"/>
      <c r="Z76" s="421">
        <f>Z74/Z63</f>
        <v>1.1120976496675697E-2</v>
      </c>
      <c r="AA76" s="421">
        <f>AA74/$AA$63</f>
        <v>1.3343829327421359E-2</v>
      </c>
      <c r="AB76" s="421"/>
      <c r="AC76" s="421"/>
      <c r="AD76" s="421"/>
      <c r="AE76" s="428"/>
      <c r="AF76" s="421">
        <f>AF74/AF63</f>
        <v>2.7290399159553193E-2</v>
      </c>
      <c r="AG76" s="421"/>
      <c r="AH76" s="421">
        <f>AH74/AH63</f>
        <v>4.9483141921312986E-2</v>
      </c>
      <c r="AI76" s="421"/>
      <c r="AJ76" s="421"/>
      <c r="AK76" s="421"/>
      <c r="AL76" s="421"/>
      <c r="AM76" s="421"/>
      <c r="AN76" s="421"/>
      <c r="AO76" s="421">
        <f>AO74/AO63</f>
        <v>1.9762845849802372E-2</v>
      </c>
      <c r="AP76" s="421"/>
      <c r="AQ76" s="421">
        <f>AQ74/AQ63</f>
        <v>2.1584286639326572E-2</v>
      </c>
      <c r="AR76" s="421">
        <f>AR74/AR63</f>
        <v>1.5990160373633273E-2</v>
      </c>
      <c r="AS76" s="421"/>
      <c r="AT76" s="421"/>
      <c r="AU76" s="421"/>
      <c r="AV76" s="421"/>
      <c r="AW76" s="421"/>
      <c r="AX76" s="421"/>
      <c r="AY76" s="421"/>
      <c r="AZ76" s="421">
        <f>AZ74/AZ63</f>
        <v>1.5309357731678594E-2</v>
      </c>
      <c r="BA76" s="421">
        <f>BA74/AZ63</f>
        <v>1.5943456527873903E-2</v>
      </c>
      <c r="BB76" s="421">
        <f>BB74/BB63</f>
        <v>1.4232008607500566E-2</v>
      </c>
      <c r="BC76" s="421">
        <f>BC74/BC63</f>
        <v>1.3716293110146108E-2</v>
      </c>
      <c r="BD76" s="421">
        <f>BD74/BD63</f>
        <v>1.3157896541325417E-2</v>
      </c>
      <c r="BE76" s="421"/>
      <c r="BF76" s="421"/>
      <c r="BG76" s="421"/>
      <c r="BH76" s="421"/>
      <c r="BI76" s="429"/>
      <c r="BJ76" s="429"/>
      <c r="BK76" s="429"/>
    </row>
    <row r="77" spans="1:63" s="371" customFormat="1" hidden="1">
      <c r="A77" s="372" t="s">
        <v>36</v>
      </c>
      <c r="B77" s="414" t="s">
        <v>480</v>
      </c>
      <c r="C77" s="317">
        <f t="shared" ref="C77:O77" si="78">C49</f>
        <v>0</v>
      </c>
      <c r="D77" s="317">
        <f t="shared" si="78"/>
        <v>0</v>
      </c>
      <c r="E77" s="317">
        <f t="shared" si="78"/>
        <v>0</v>
      </c>
      <c r="F77" s="317">
        <f t="shared" si="78"/>
        <v>0</v>
      </c>
      <c r="G77" s="317">
        <f t="shared" si="78"/>
        <v>0</v>
      </c>
      <c r="H77" s="317">
        <f t="shared" si="78"/>
        <v>0</v>
      </c>
      <c r="I77" s="317"/>
      <c r="J77" s="317"/>
      <c r="K77" s="317">
        <f t="shared" si="78"/>
        <v>0</v>
      </c>
      <c r="L77" s="317">
        <f t="shared" si="78"/>
        <v>0</v>
      </c>
      <c r="M77" s="317">
        <f t="shared" si="78"/>
        <v>0</v>
      </c>
      <c r="N77" s="317">
        <f t="shared" si="78"/>
        <v>0</v>
      </c>
      <c r="O77" s="317">
        <f t="shared" si="78"/>
        <v>0</v>
      </c>
      <c r="P77" s="317">
        <f>SUM(K77:O77)</f>
        <v>0</v>
      </c>
      <c r="Q77" s="318"/>
      <c r="R77" s="318"/>
      <c r="S77" s="317"/>
      <c r="T77" s="317"/>
      <c r="U77" s="317"/>
      <c r="V77" s="317"/>
      <c r="W77" s="317"/>
      <c r="X77" s="317"/>
      <c r="Y77" s="317"/>
      <c r="Z77" s="317"/>
      <c r="AA77" s="317">
        <f>SUM(S77:X77)</f>
        <v>0</v>
      </c>
      <c r="AB77" s="317"/>
      <c r="AC77" s="318"/>
      <c r="AD77" s="318"/>
      <c r="AE77" s="374"/>
      <c r="AF77" s="317"/>
      <c r="AG77" s="317"/>
      <c r="AH77" s="317"/>
      <c r="AI77" s="317"/>
      <c r="AJ77" s="317"/>
      <c r="AK77" s="317"/>
      <c r="AL77" s="317"/>
      <c r="AM77" s="317"/>
      <c r="AN77" s="317"/>
      <c r="AO77" s="317"/>
      <c r="AP77" s="317"/>
      <c r="AQ77" s="317"/>
      <c r="AR77" s="317"/>
      <c r="AS77" s="317"/>
      <c r="AT77" s="317"/>
      <c r="AU77" s="317"/>
      <c r="AV77" s="317">
        <f>SUM(AF77:AR77)</f>
        <v>0</v>
      </c>
      <c r="AW77" s="318"/>
      <c r="AX77" s="318"/>
      <c r="AY77" s="318"/>
      <c r="AZ77" s="317"/>
      <c r="BA77" s="317"/>
      <c r="BB77" s="317"/>
      <c r="BC77" s="317"/>
      <c r="BD77" s="317"/>
      <c r="BE77" s="317"/>
      <c r="BF77" s="317"/>
      <c r="BG77" s="317"/>
      <c r="BH77" s="317"/>
      <c r="BI77" s="370"/>
      <c r="BJ77" s="370"/>
      <c r="BK77" s="370"/>
    </row>
    <row r="78" spans="1:63" s="430" customFormat="1" hidden="1">
      <c r="A78" s="393" t="s">
        <v>137</v>
      </c>
      <c r="B78" s="426" t="s">
        <v>494</v>
      </c>
      <c r="C78" s="426"/>
      <c r="D78" s="427"/>
      <c r="E78" s="427"/>
      <c r="F78" s="427"/>
      <c r="G78" s="427"/>
      <c r="H78" s="427"/>
      <c r="I78" s="440"/>
      <c r="J78" s="440"/>
      <c r="K78" s="427"/>
      <c r="L78" s="427"/>
      <c r="M78" s="427"/>
      <c r="N78" s="427"/>
      <c r="O78" s="427"/>
      <c r="P78" s="427"/>
      <c r="Q78" s="421"/>
      <c r="R78" s="421"/>
      <c r="S78" s="427"/>
      <c r="T78" s="427"/>
      <c r="U78" s="427"/>
      <c r="V78" s="427"/>
      <c r="W78" s="427"/>
      <c r="X78" s="427"/>
      <c r="Y78" s="427"/>
      <c r="Z78" s="427"/>
      <c r="AA78" s="427"/>
      <c r="AB78" s="427"/>
      <c r="AC78" s="421"/>
      <c r="AD78" s="421"/>
      <c r="AE78" s="428"/>
      <c r="AF78" s="427"/>
      <c r="AG78" s="427"/>
      <c r="AH78" s="427"/>
      <c r="AI78" s="427"/>
      <c r="AJ78" s="427"/>
      <c r="AK78" s="427"/>
      <c r="AL78" s="427"/>
      <c r="AM78" s="427"/>
      <c r="AN78" s="427"/>
      <c r="AO78" s="427"/>
      <c r="AP78" s="427"/>
      <c r="AQ78" s="427"/>
      <c r="AR78" s="427"/>
      <c r="AS78" s="427"/>
      <c r="AT78" s="427"/>
      <c r="AU78" s="427"/>
      <c r="AV78" s="427"/>
      <c r="AW78" s="421"/>
      <c r="AX78" s="421"/>
      <c r="AY78" s="421"/>
      <c r="AZ78" s="427"/>
      <c r="BA78" s="427"/>
      <c r="BB78" s="427"/>
      <c r="BC78" s="427"/>
      <c r="BD78" s="427"/>
      <c r="BE78" s="427"/>
      <c r="BF78" s="427"/>
      <c r="BG78" s="427"/>
      <c r="BH78" s="427"/>
      <c r="BI78" s="441"/>
      <c r="BJ78" s="441"/>
      <c r="BK78" s="441"/>
    </row>
    <row r="79" spans="1:63" s="430" customFormat="1" hidden="1">
      <c r="A79" s="393" t="s">
        <v>137</v>
      </c>
      <c r="B79" s="426" t="s">
        <v>496</v>
      </c>
      <c r="C79" s="426"/>
      <c r="D79" s="427"/>
      <c r="E79" s="427"/>
      <c r="F79" s="427"/>
      <c r="G79" s="427"/>
      <c r="H79" s="427"/>
      <c r="I79" s="440"/>
      <c r="J79" s="440"/>
      <c r="K79" s="427"/>
      <c r="L79" s="427"/>
      <c r="M79" s="427"/>
      <c r="N79" s="427"/>
      <c r="O79" s="427"/>
      <c r="P79" s="427"/>
      <c r="Q79" s="421"/>
      <c r="R79" s="421"/>
      <c r="S79" s="427"/>
      <c r="T79" s="427"/>
      <c r="U79" s="427"/>
      <c r="V79" s="427"/>
      <c r="W79" s="427"/>
      <c r="X79" s="427"/>
      <c r="Y79" s="427"/>
      <c r="Z79" s="427"/>
      <c r="AA79" s="427"/>
      <c r="AB79" s="427"/>
      <c r="AC79" s="421"/>
      <c r="AD79" s="421"/>
      <c r="AE79" s="428"/>
      <c r="AF79" s="427"/>
      <c r="AG79" s="427"/>
      <c r="AH79" s="427"/>
      <c r="AI79" s="427"/>
      <c r="AJ79" s="427"/>
      <c r="AK79" s="427"/>
      <c r="AL79" s="427"/>
      <c r="AM79" s="427"/>
      <c r="AN79" s="427"/>
      <c r="AO79" s="427"/>
      <c r="AP79" s="427"/>
      <c r="AQ79" s="427"/>
      <c r="AR79" s="427"/>
      <c r="AS79" s="427"/>
      <c r="AT79" s="427"/>
      <c r="AU79" s="427"/>
      <c r="AV79" s="427"/>
      <c r="AW79" s="421"/>
      <c r="AX79" s="421"/>
      <c r="AY79" s="421"/>
      <c r="AZ79" s="427"/>
      <c r="BA79" s="427"/>
      <c r="BB79" s="427"/>
      <c r="BC79" s="427"/>
      <c r="BD79" s="427"/>
      <c r="BE79" s="427"/>
      <c r="BF79" s="427"/>
      <c r="BG79" s="427"/>
      <c r="BH79" s="427"/>
      <c r="BI79" s="441"/>
      <c r="BJ79" s="441"/>
      <c r="BK79" s="441"/>
    </row>
    <row r="80" spans="1:63" s="371" customFormat="1" hidden="1">
      <c r="A80" s="372">
        <v>7</v>
      </c>
      <c r="B80" s="373" t="s">
        <v>498</v>
      </c>
      <c r="C80" s="317">
        <f t="shared" ref="C80:P80" si="79">C7</f>
        <v>1267830.2123589995</v>
      </c>
      <c r="D80" s="317">
        <f t="shared" si="79"/>
        <v>1553480</v>
      </c>
      <c r="E80" s="317">
        <f t="shared" si="79"/>
        <v>2543746.399896</v>
      </c>
      <c r="F80" s="317">
        <f t="shared" si="79"/>
        <v>2504230</v>
      </c>
      <c r="G80" s="317">
        <f t="shared" si="79"/>
        <v>2936820</v>
      </c>
      <c r="H80" s="317">
        <f t="shared" si="79"/>
        <v>3970508.1362620005</v>
      </c>
      <c r="I80" s="317"/>
      <c r="J80" s="419">
        <f>((H80/D80))^(1/(5-1))-1</f>
        <v>0.26440180160658189</v>
      </c>
      <c r="K80" s="317">
        <f t="shared" si="79"/>
        <v>4156306.1199669996</v>
      </c>
      <c r="L80" s="317">
        <f t="shared" si="79"/>
        <v>4518654.2436259994</v>
      </c>
      <c r="M80" s="317">
        <f t="shared" si="79"/>
        <v>4583182.5757370004</v>
      </c>
      <c r="N80" s="317">
        <f t="shared" si="79"/>
        <v>4112417.5781439999</v>
      </c>
      <c r="O80" s="317">
        <f t="shared" si="79"/>
        <v>5174957</v>
      </c>
      <c r="P80" s="317">
        <f t="shared" si="79"/>
        <v>22545517.517473999</v>
      </c>
      <c r="Q80" s="318">
        <f>((O80/K80))^(1/(5-1))-1</f>
        <v>5.6330463780306372E-2</v>
      </c>
      <c r="R80" s="318">
        <f t="shared" ref="R80:R87" si="80">P80/$P$80</f>
        <v>1</v>
      </c>
      <c r="S80" s="317">
        <f t="shared" ref="S80:Z80" si="81">S7</f>
        <v>6334779</v>
      </c>
      <c r="T80" s="317">
        <f t="shared" si="81"/>
        <v>6851996</v>
      </c>
      <c r="U80" s="317"/>
      <c r="V80" s="317">
        <f t="shared" si="81"/>
        <v>6983868</v>
      </c>
      <c r="W80" s="317">
        <f t="shared" si="81"/>
        <v>7085000</v>
      </c>
      <c r="X80" s="317">
        <f t="shared" si="81"/>
        <v>8771013</v>
      </c>
      <c r="Y80" s="317">
        <f t="shared" si="81"/>
        <v>8495000</v>
      </c>
      <c r="Z80" s="317">
        <f t="shared" si="81"/>
        <v>8430824.4000000022</v>
      </c>
      <c r="AA80" s="317">
        <f t="shared" ref="AA80:AA87" si="82">SUM(S80:Z80)</f>
        <v>52952480.400000006</v>
      </c>
      <c r="AB80" s="318"/>
      <c r="AC80" s="318"/>
      <c r="AD80" s="318">
        <f t="shared" ref="AD80:AD87" si="83">AA80/P80-1</f>
        <v>1.3486921672549306</v>
      </c>
      <c r="AE80" s="442">
        <f t="shared" ref="AE80:AR80" si="84">AE7</f>
        <v>8140900</v>
      </c>
      <c r="AF80" s="317">
        <f t="shared" si="84"/>
        <v>7213306</v>
      </c>
      <c r="AG80" s="317">
        <f t="shared" si="84"/>
        <v>6818777</v>
      </c>
      <c r="AH80" s="317">
        <f t="shared" si="84"/>
        <v>7877094.2005829997</v>
      </c>
      <c r="AI80" s="317"/>
      <c r="AJ80" s="317"/>
      <c r="AK80" s="317"/>
      <c r="AL80" s="317"/>
      <c r="AM80" s="317"/>
      <c r="AN80" s="317"/>
      <c r="AO80" s="317">
        <f t="shared" si="84"/>
        <v>7590000</v>
      </c>
      <c r="AP80" s="317"/>
      <c r="AQ80" s="317">
        <f t="shared" si="84"/>
        <v>9266000</v>
      </c>
      <c r="AR80" s="317">
        <f t="shared" si="84"/>
        <v>10162499.699999999</v>
      </c>
      <c r="AS80" s="317"/>
      <c r="AT80" s="317"/>
      <c r="AU80" s="317"/>
      <c r="AV80" s="317">
        <f t="shared" ref="AV80:AV87" si="85">SUM(AF80:AR80)</f>
        <v>48927676.900582999</v>
      </c>
      <c r="AW80" s="318"/>
      <c r="AX80" s="318">
        <f t="shared" ref="AX80:AX87" si="86">AV80/$AV$80</f>
        <v>1</v>
      </c>
      <c r="AY80" s="318">
        <f t="shared" ref="AY80:AY87" si="87">AV80/AA80-1</f>
        <v>-7.6007837008084778E-2</v>
      </c>
      <c r="AZ80" s="317">
        <f t="shared" ref="AZ80:BD80" si="88">AZ7</f>
        <v>11039000</v>
      </c>
      <c r="BA80" s="317">
        <f t="shared" si="88"/>
        <v>11935999.816611201</v>
      </c>
      <c r="BB80" s="317">
        <f t="shared" si="88"/>
        <v>12893500.408798838</v>
      </c>
      <c r="BC80" s="317">
        <f t="shared" si="88"/>
        <v>13961500.026622467</v>
      </c>
      <c r="BD80" s="317">
        <f t="shared" si="88"/>
        <v>15200000.027793854</v>
      </c>
      <c r="BE80" s="317"/>
      <c r="BF80" s="317"/>
      <c r="BG80" s="317"/>
      <c r="BH80" s="317"/>
      <c r="BI80" s="370"/>
      <c r="BJ80" s="370"/>
      <c r="BK80" s="370"/>
    </row>
    <row r="81" spans="1:63" s="450" customFormat="1" hidden="1">
      <c r="A81" s="443" t="s">
        <v>34</v>
      </c>
      <c r="B81" s="444" t="s">
        <v>499</v>
      </c>
      <c r="C81" s="445">
        <f t="shared" ref="C81" si="89">SUM(C82:C85)</f>
        <v>539224.54016700003</v>
      </c>
      <c r="D81" s="445">
        <f t="shared" ref="D81:K81" si="90">SUM(D82:D85)</f>
        <v>641350</v>
      </c>
      <c r="E81" s="445">
        <f t="shared" si="90"/>
        <v>1201256.399896</v>
      </c>
      <c r="F81" s="445">
        <f t="shared" si="90"/>
        <v>889140</v>
      </c>
      <c r="G81" s="445">
        <f t="shared" si="90"/>
        <v>1311340</v>
      </c>
      <c r="H81" s="445">
        <f t="shared" si="90"/>
        <v>1821513.2475960001</v>
      </c>
      <c r="I81" s="445"/>
      <c r="J81" s="446">
        <f>((H81/D81))^(1/(5-1))-1</f>
        <v>0.29817819078413854</v>
      </c>
      <c r="K81" s="445">
        <f t="shared" si="90"/>
        <v>1857572.9357869998</v>
      </c>
      <c r="L81" s="445">
        <f>SUM(L82:L85)</f>
        <v>2072539.6609430001</v>
      </c>
      <c r="M81" s="445">
        <f>SUM(M82:M85)</f>
        <v>2133134.8145989999</v>
      </c>
      <c r="N81" s="445">
        <f>SUM(N82:N85)</f>
        <v>2096926.1036820002</v>
      </c>
      <c r="O81" s="445">
        <f>SUM(O82:O85)</f>
        <v>3025970</v>
      </c>
      <c r="P81" s="445">
        <f>SUM(P82:P85)</f>
        <v>11186143.515011001</v>
      </c>
      <c r="Q81" s="447">
        <f t="shared" ref="Q81:Q87" si="91">((O81/K81))^(1/(5-1))-1</f>
        <v>0.12974306945637393</v>
      </c>
      <c r="R81" s="447">
        <f>P81/$P$80</f>
        <v>0.49615820556530288</v>
      </c>
      <c r="S81" s="445">
        <f t="shared" ref="S81:Z81" si="92">SUM(S82:S85)</f>
        <v>4110721</v>
      </c>
      <c r="T81" s="445">
        <f t="shared" si="92"/>
        <v>4008903</v>
      </c>
      <c r="U81" s="445"/>
      <c r="V81" s="445">
        <f t="shared" si="92"/>
        <v>3661258</v>
      </c>
      <c r="W81" s="445">
        <f t="shared" si="92"/>
        <v>0</v>
      </c>
      <c r="X81" s="445">
        <f t="shared" si="92"/>
        <v>4507747</v>
      </c>
      <c r="Y81" s="445">
        <f t="shared" si="92"/>
        <v>0</v>
      </c>
      <c r="Z81" s="445">
        <f t="shared" si="92"/>
        <v>4554791.8</v>
      </c>
      <c r="AA81" s="445">
        <f t="shared" si="82"/>
        <v>20843420.800000001</v>
      </c>
      <c r="AB81" s="447"/>
      <c r="AC81" s="447"/>
      <c r="AD81" s="447">
        <f t="shared" si="83"/>
        <v>0.86332499417959618</v>
      </c>
      <c r="AE81" s="448">
        <f t="shared" ref="AE81:AR81" si="93">SUM(AE82:AE85)</f>
        <v>0</v>
      </c>
      <c r="AF81" s="445">
        <f t="shared" si="93"/>
        <v>3127589</v>
      </c>
      <c r="AG81" s="445">
        <f t="shared" si="93"/>
        <v>0</v>
      </c>
      <c r="AH81" s="445">
        <f t="shared" si="93"/>
        <v>3289397.6713120001</v>
      </c>
      <c r="AI81" s="445"/>
      <c r="AJ81" s="445"/>
      <c r="AK81" s="445"/>
      <c r="AL81" s="445"/>
      <c r="AM81" s="445"/>
      <c r="AN81" s="445"/>
      <c r="AO81" s="445">
        <f t="shared" si="93"/>
        <v>3700000</v>
      </c>
      <c r="AP81" s="445"/>
      <c r="AQ81" s="445">
        <f t="shared" si="93"/>
        <v>3545000</v>
      </c>
      <c r="AR81" s="445">
        <f t="shared" si="93"/>
        <v>4851999.7</v>
      </c>
      <c r="AS81" s="445"/>
      <c r="AT81" s="445"/>
      <c r="AU81" s="445"/>
      <c r="AV81" s="445">
        <f t="shared" si="85"/>
        <v>18513986.371312</v>
      </c>
      <c r="AW81" s="447"/>
      <c r="AX81" s="447">
        <f t="shared" si="86"/>
        <v>0.3783949605645674</v>
      </c>
      <c r="AY81" s="447">
        <f t="shared" si="87"/>
        <v>-0.11175873917432977</v>
      </c>
      <c r="AZ81" s="445">
        <f t="shared" ref="AZ81:BD81" si="94">SUM(AZ82:AZ85)</f>
        <v>5250000</v>
      </c>
      <c r="BA81" s="445">
        <f t="shared" si="94"/>
        <v>5630000</v>
      </c>
      <c r="BB81" s="445">
        <f t="shared" si="94"/>
        <v>5990000</v>
      </c>
      <c r="BC81" s="445">
        <f t="shared" si="94"/>
        <v>6355000</v>
      </c>
      <c r="BD81" s="445">
        <f t="shared" si="94"/>
        <v>6760000</v>
      </c>
      <c r="BE81" s="445"/>
      <c r="BF81" s="445"/>
      <c r="BG81" s="445"/>
      <c r="BH81" s="445"/>
      <c r="BI81" s="449"/>
      <c r="BJ81" s="449"/>
      <c r="BK81" s="449"/>
    </row>
    <row r="82" spans="1:63" s="401" customFormat="1" hidden="1">
      <c r="A82" s="393" t="s">
        <v>137</v>
      </c>
      <c r="B82" s="451" t="s">
        <v>500</v>
      </c>
      <c r="C82" s="395">
        <f t="shared" ref="C82:H83" si="95">C10</f>
        <v>89115.503914999994</v>
      </c>
      <c r="D82" s="395">
        <f t="shared" si="95"/>
        <v>92540</v>
      </c>
      <c r="E82" s="395">
        <f t="shared" si="95"/>
        <v>116990</v>
      </c>
      <c r="F82" s="395">
        <f t="shared" si="95"/>
        <v>174910</v>
      </c>
      <c r="G82" s="395">
        <f t="shared" si="95"/>
        <v>255100</v>
      </c>
      <c r="H82" s="395">
        <f t="shared" si="95"/>
        <v>363111</v>
      </c>
      <c r="I82" s="395"/>
      <c r="J82" s="452">
        <f>((H82/D82))^(1/(5-1))-1</f>
        <v>0.40743218301993767</v>
      </c>
      <c r="K82" s="395">
        <f t="shared" ref="K82:P83" si="96">K10</f>
        <v>375470.05056100001</v>
      </c>
      <c r="L82" s="395">
        <f t="shared" si="96"/>
        <v>392086.67269099999</v>
      </c>
      <c r="M82" s="395">
        <f t="shared" si="96"/>
        <v>377894.530516</v>
      </c>
      <c r="N82" s="395">
        <f t="shared" si="96"/>
        <v>203043.31661899999</v>
      </c>
      <c r="O82" s="395">
        <f t="shared" si="96"/>
        <v>205240</v>
      </c>
      <c r="P82" s="395">
        <f t="shared" si="96"/>
        <v>1553734.570387</v>
      </c>
      <c r="Q82" s="397">
        <f>((O82/K82))^(1/(5-1))-1</f>
        <v>-0.14015201826253876</v>
      </c>
      <c r="R82" s="397">
        <f t="shared" si="80"/>
        <v>6.8915453778462671E-2</v>
      </c>
      <c r="S82" s="395">
        <f>S10</f>
        <v>203694</v>
      </c>
      <c r="T82" s="395">
        <f>T10</f>
        <v>198943</v>
      </c>
      <c r="U82" s="395"/>
      <c r="V82" s="395">
        <f>V10</f>
        <v>203584</v>
      </c>
      <c r="W82" s="395"/>
      <c r="X82" s="395">
        <f>X10</f>
        <v>223875</v>
      </c>
      <c r="Y82" s="395"/>
      <c r="Z82" s="395">
        <f>Z10</f>
        <v>183101</v>
      </c>
      <c r="AA82" s="395">
        <f t="shared" si="82"/>
        <v>1013197</v>
      </c>
      <c r="AB82" s="397"/>
      <c r="AC82" s="397"/>
      <c r="AD82" s="397">
        <f t="shared" si="83"/>
        <v>-0.34789569640093954</v>
      </c>
      <c r="AE82" s="453"/>
      <c r="AF82" s="395">
        <f>AF10</f>
        <v>245001</v>
      </c>
      <c r="AG82" s="395"/>
      <c r="AH82" s="395">
        <f>AH10</f>
        <v>227900.049615</v>
      </c>
      <c r="AI82" s="395"/>
      <c r="AJ82" s="395"/>
      <c r="AK82" s="395"/>
      <c r="AL82" s="395"/>
      <c r="AM82" s="395"/>
      <c r="AN82" s="395"/>
      <c r="AO82" s="395">
        <f>AO10</f>
        <v>250000</v>
      </c>
      <c r="AP82" s="395"/>
      <c r="AQ82" s="395">
        <f>AQ10</f>
        <v>230000</v>
      </c>
      <c r="AR82" s="395">
        <f>AR10</f>
        <v>309999.7</v>
      </c>
      <c r="AS82" s="395"/>
      <c r="AT82" s="395"/>
      <c r="AU82" s="395"/>
      <c r="AV82" s="395">
        <f t="shared" si="85"/>
        <v>1262900.7496150001</v>
      </c>
      <c r="AW82" s="397"/>
      <c r="AX82" s="397">
        <f t="shared" si="86"/>
        <v>2.5811582106812676E-2</v>
      </c>
      <c r="AY82" s="397">
        <f t="shared" si="87"/>
        <v>0.24645133139458575</v>
      </c>
      <c r="AZ82" s="395">
        <f t="shared" ref="AZ82:BD83" si="97">AZ10</f>
        <v>340000</v>
      </c>
      <c r="BA82" s="395">
        <f t="shared" si="97"/>
        <v>370000</v>
      </c>
      <c r="BB82" s="395">
        <f t="shared" si="97"/>
        <v>410000</v>
      </c>
      <c r="BC82" s="395">
        <f t="shared" si="97"/>
        <v>455000</v>
      </c>
      <c r="BD82" s="395">
        <f t="shared" si="97"/>
        <v>510000</v>
      </c>
      <c r="BE82" s="395"/>
      <c r="BF82" s="395"/>
      <c r="BG82" s="395"/>
      <c r="BH82" s="395"/>
      <c r="BI82" s="454"/>
      <c r="BJ82" s="454"/>
      <c r="BK82" s="454"/>
    </row>
    <row r="83" spans="1:63" s="401" customFormat="1" hidden="1">
      <c r="A83" s="393" t="s">
        <v>137</v>
      </c>
      <c r="B83" s="451" t="s">
        <v>501</v>
      </c>
      <c r="C83" s="395">
        <f t="shared" si="95"/>
        <v>48228.976229</v>
      </c>
      <c r="D83" s="395">
        <f t="shared" si="95"/>
        <v>44800</v>
      </c>
      <c r="E83" s="395">
        <f t="shared" si="95"/>
        <v>101880</v>
      </c>
      <c r="F83" s="395">
        <f t="shared" si="95"/>
        <v>76050</v>
      </c>
      <c r="G83" s="395">
        <f t="shared" si="95"/>
        <v>172870</v>
      </c>
      <c r="H83" s="395">
        <f t="shared" si="95"/>
        <v>148607</v>
      </c>
      <c r="I83" s="395"/>
      <c r="J83" s="452">
        <f t="shared" ref="J83:J87" si="98">((H83/D83))^(1/(5-1))-1</f>
        <v>0.3495541444347896</v>
      </c>
      <c r="K83" s="395">
        <f t="shared" si="96"/>
        <v>143351.48759800001</v>
      </c>
      <c r="L83" s="395">
        <f t="shared" si="96"/>
        <v>229165.69016900001</v>
      </c>
      <c r="M83" s="395">
        <f t="shared" si="96"/>
        <v>259813.95480400001</v>
      </c>
      <c r="N83" s="395">
        <f t="shared" si="96"/>
        <v>268703.66079599998</v>
      </c>
      <c r="O83" s="395">
        <f t="shared" si="96"/>
        <v>332356</v>
      </c>
      <c r="P83" s="395">
        <f t="shared" si="96"/>
        <v>1233390.7933670001</v>
      </c>
      <c r="Q83" s="397">
        <f t="shared" si="91"/>
        <v>0.23395786331815405</v>
      </c>
      <c r="R83" s="397">
        <f t="shared" si="80"/>
        <v>5.4706696903766137E-2</v>
      </c>
      <c r="S83" s="395">
        <f>S11</f>
        <v>323641</v>
      </c>
      <c r="T83" s="395">
        <f>T11</f>
        <v>384159</v>
      </c>
      <c r="U83" s="395"/>
      <c r="V83" s="395">
        <f>V11</f>
        <v>385864</v>
      </c>
      <c r="W83" s="395"/>
      <c r="X83" s="395">
        <f>X11</f>
        <v>479648</v>
      </c>
      <c r="Y83" s="395"/>
      <c r="Z83" s="395">
        <f>Z11</f>
        <v>455219.9</v>
      </c>
      <c r="AA83" s="395">
        <f t="shared" si="82"/>
        <v>2028531.9</v>
      </c>
      <c r="AB83" s="397"/>
      <c r="AC83" s="397"/>
      <c r="AD83" s="397">
        <f t="shared" si="83"/>
        <v>0.64467897028999688</v>
      </c>
      <c r="AE83" s="453"/>
      <c r="AF83" s="395">
        <f>AF11</f>
        <v>286473</v>
      </c>
      <c r="AG83" s="395"/>
      <c r="AH83" s="395">
        <f>AH11</f>
        <v>391144.28547999996</v>
      </c>
      <c r="AI83" s="395"/>
      <c r="AJ83" s="395"/>
      <c r="AK83" s="395"/>
      <c r="AL83" s="395"/>
      <c r="AM83" s="395"/>
      <c r="AN83" s="395"/>
      <c r="AO83" s="395">
        <f>AO11</f>
        <v>350000</v>
      </c>
      <c r="AP83" s="395"/>
      <c r="AQ83" s="395">
        <f>AQ11</f>
        <v>300000</v>
      </c>
      <c r="AR83" s="395">
        <f>AR11</f>
        <v>470000</v>
      </c>
      <c r="AS83" s="395"/>
      <c r="AT83" s="395"/>
      <c r="AU83" s="395"/>
      <c r="AV83" s="395">
        <f t="shared" si="85"/>
        <v>1797617.2854800001</v>
      </c>
      <c r="AW83" s="397"/>
      <c r="AX83" s="397">
        <f t="shared" si="86"/>
        <v>3.6740295050848422E-2</v>
      </c>
      <c r="AY83" s="397">
        <f t="shared" si="87"/>
        <v>-0.11383336615016992</v>
      </c>
      <c r="AZ83" s="395">
        <f t="shared" si="97"/>
        <v>510000</v>
      </c>
      <c r="BA83" s="395">
        <f t="shared" si="97"/>
        <v>560000</v>
      </c>
      <c r="BB83" s="395">
        <f t="shared" si="97"/>
        <v>620000</v>
      </c>
      <c r="BC83" s="395">
        <f t="shared" si="97"/>
        <v>690000</v>
      </c>
      <c r="BD83" s="395">
        <f t="shared" si="97"/>
        <v>770000</v>
      </c>
      <c r="BE83" s="395"/>
      <c r="BF83" s="395"/>
      <c r="BG83" s="395"/>
      <c r="BH83" s="395"/>
      <c r="BI83" s="454"/>
      <c r="BJ83" s="454"/>
      <c r="BK83" s="454"/>
    </row>
    <row r="84" spans="1:63" s="401" customFormat="1" hidden="1">
      <c r="A84" s="393" t="s">
        <v>137</v>
      </c>
      <c r="B84" s="451" t="s">
        <v>476</v>
      </c>
      <c r="C84" s="395">
        <f t="shared" ref="C84:P84" si="99">C18</f>
        <v>121877.060023</v>
      </c>
      <c r="D84" s="395">
        <f t="shared" si="99"/>
        <v>154600</v>
      </c>
      <c r="E84" s="395">
        <f t="shared" si="99"/>
        <v>172040</v>
      </c>
      <c r="F84" s="395">
        <f t="shared" si="99"/>
        <v>185420</v>
      </c>
      <c r="G84" s="395">
        <f t="shared" si="99"/>
        <v>382620</v>
      </c>
      <c r="H84" s="395">
        <f t="shared" si="99"/>
        <v>499448.84769999998</v>
      </c>
      <c r="I84" s="395"/>
      <c r="J84" s="452">
        <f t="shared" si="98"/>
        <v>0.34066533905704843</v>
      </c>
      <c r="K84" s="395">
        <f t="shared" si="99"/>
        <v>650890.53007500002</v>
      </c>
      <c r="L84" s="395">
        <f t="shared" si="99"/>
        <v>646721.78421900002</v>
      </c>
      <c r="M84" s="395">
        <f t="shared" si="99"/>
        <v>553543.69900000002</v>
      </c>
      <c r="N84" s="395">
        <f t="shared" si="99"/>
        <v>670403.16145000001</v>
      </c>
      <c r="O84" s="395">
        <f t="shared" si="99"/>
        <v>1299030</v>
      </c>
      <c r="P84" s="395">
        <f t="shared" si="99"/>
        <v>3820589.1747440002</v>
      </c>
      <c r="Q84" s="397">
        <f t="shared" si="91"/>
        <v>0.18857832720237511</v>
      </c>
      <c r="R84" s="397">
        <f t="shared" si="80"/>
        <v>0.16946114329745751</v>
      </c>
      <c r="S84" s="395">
        <f>S18</f>
        <v>2273225</v>
      </c>
      <c r="T84" s="395">
        <f>T18</f>
        <v>1947905</v>
      </c>
      <c r="U84" s="395"/>
      <c r="V84" s="395">
        <f>V18</f>
        <v>1700536</v>
      </c>
      <c r="W84" s="395"/>
      <c r="X84" s="395">
        <f>X18</f>
        <v>2280939</v>
      </c>
      <c r="Y84" s="395"/>
      <c r="Z84" s="395">
        <f>Z18</f>
        <v>1939730</v>
      </c>
      <c r="AA84" s="395">
        <f t="shared" si="82"/>
        <v>10142335</v>
      </c>
      <c r="AB84" s="397"/>
      <c r="AC84" s="397"/>
      <c r="AD84" s="397">
        <f t="shared" si="83"/>
        <v>1.6546520801152589</v>
      </c>
      <c r="AE84" s="453"/>
      <c r="AF84" s="395">
        <f>AF18</f>
        <v>1312857</v>
      </c>
      <c r="AG84" s="395"/>
      <c r="AH84" s="395">
        <f>AH18</f>
        <v>926612.70443099993</v>
      </c>
      <c r="AI84" s="395"/>
      <c r="AJ84" s="395"/>
      <c r="AK84" s="395"/>
      <c r="AL84" s="395"/>
      <c r="AM84" s="395"/>
      <c r="AN84" s="395"/>
      <c r="AO84" s="395">
        <f>AO18</f>
        <v>1500000</v>
      </c>
      <c r="AP84" s="395"/>
      <c r="AQ84" s="395">
        <f>AQ18</f>
        <v>1065000</v>
      </c>
      <c r="AR84" s="395">
        <f>AR18</f>
        <v>1750000</v>
      </c>
      <c r="AS84" s="395"/>
      <c r="AT84" s="395"/>
      <c r="AU84" s="395"/>
      <c r="AV84" s="395">
        <f t="shared" si="85"/>
        <v>6554469.7044310002</v>
      </c>
      <c r="AW84" s="397"/>
      <c r="AX84" s="397">
        <f t="shared" si="86"/>
        <v>0.13396241390632835</v>
      </c>
      <c r="AY84" s="397">
        <f t="shared" si="87"/>
        <v>-0.35375140887862611</v>
      </c>
      <c r="AZ84" s="395">
        <f>AZ18</f>
        <v>1900000</v>
      </c>
      <c r="BA84" s="395">
        <f>BA18</f>
        <v>2100000</v>
      </c>
      <c r="BB84" s="395">
        <f>BB18</f>
        <v>2300000</v>
      </c>
      <c r="BC84" s="395">
        <f>BC18</f>
        <v>2500000</v>
      </c>
      <c r="BD84" s="395">
        <f>BD18</f>
        <v>2670000</v>
      </c>
      <c r="BE84" s="395"/>
      <c r="BF84" s="395"/>
      <c r="BG84" s="395"/>
      <c r="BH84" s="395"/>
      <c r="BI84" s="454"/>
      <c r="BJ84" s="454"/>
      <c r="BK84" s="454"/>
    </row>
    <row r="85" spans="1:63" s="401" customFormat="1" hidden="1">
      <c r="A85" s="393" t="s">
        <v>137</v>
      </c>
      <c r="B85" s="451" t="s">
        <v>101</v>
      </c>
      <c r="C85" s="395">
        <f t="shared" ref="C85:P85" si="100">C27</f>
        <v>280003</v>
      </c>
      <c r="D85" s="395">
        <f t="shared" si="100"/>
        <v>349410</v>
      </c>
      <c r="E85" s="395">
        <f t="shared" si="100"/>
        <v>810346.39989600005</v>
      </c>
      <c r="F85" s="395">
        <f t="shared" si="100"/>
        <v>452760</v>
      </c>
      <c r="G85" s="395">
        <f t="shared" si="100"/>
        <v>500750</v>
      </c>
      <c r="H85" s="395">
        <f t="shared" si="100"/>
        <v>810346.39989600005</v>
      </c>
      <c r="I85" s="395"/>
      <c r="J85" s="452">
        <f>((H85/D85))^(1/(5-1))-1</f>
        <v>0.23405309113091044</v>
      </c>
      <c r="K85" s="395">
        <f t="shared" si="100"/>
        <v>687860.86755299999</v>
      </c>
      <c r="L85" s="395">
        <f t="shared" si="100"/>
        <v>804565.51386399998</v>
      </c>
      <c r="M85" s="395">
        <f t="shared" si="100"/>
        <v>941882.63027900003</v>
      </c>
      <c r="N85" s="395">
        <f t="shared" si="100"/>
        <v>954775.96481699997</v>
      </c>
      <c r="O85" s="395">
        <f t="shared" si="100"/>
        <v>1189344</v>
      </c>
      <c r="P85" s="395">
        <f t="shared" si="100"/>
        <v>4578428.9765130002</v>
      </c>
      <c r="Q85" s="397">
        <f t="shared" si="91"/>
        <v>0.14670503839993909</v>
      </c>
      <c r="R85" s="397">
        <f t="shared" si="80"/>
        <v>0.2030749115856165</v>
      </c>
      <c r="S85" s="395">
        <f>S27</f>
        <v>1310161</v>
      </c>
      <c r="T85" s="395">
        <f>T27</f>
        <v>1477896</v>
      </c>
      <c r="U85" s="395"/>
      <c r="V85" s="395">
        <f>V27</f>
        <v>1371274</v>
      </c>
      <c r="W85" s="395"/>
      <c r="X85" s="395">
        <f>X27</f>
        <v>1523285</v>
      </c>
      <c r="Y85" s="395"/>
      <c r="Z85" s="395">
        <f>Z27</f>
        <v>1976740.9</v>
      </c>
      <c r="AA85" s="395">
        <f t="shared" si="82"/>
        <v>7659356.9000000004</v>
      </c>
      <c r="AB85" s="397"/>
      <c r="AC85" s="397"/>
      <c r="AD85" s="397">
        <f t="shared" si="83"/>
        <v>0.67292251103859657</v>
      </c>
      <c r="AE85" s="453"/>
      <c r="AF85" s="395">
        <f>AF27</f>
        <v>1283258</v>
      </c>
      <c r="AG85" s="395"/>
      <c r="AH85" s="395">
        <f>AH27</f>
        <v>1743740.6317860002</v>
      </c>
      <c r="AI85" s="395"/>
      <c r="AJ85" s="395"/>
      <c r="AK85" s="395"/>
      <c r="AL85" s="395"/>
      <c r="AM85" s="395"/>
      <c r="AN85" s="395"/>
      <c r="AO85" s="395">
        <f>AO27</f>
        <v>1600000</v>
      </c>
      <c r="AP85" s="395"/>
      <c r="AQ85" s="395">
        <f>AQ27</f>
        <v>1950000</v>
      </c>
      <c r="AR85" s="395">
        <f>AR27</f>
        <v>2322000</v>
      </c>
      <c r="AS85" s="395"/>
      <c r="AT85" s="395"/>
      <c r="AU85" s="395"/>
      <c r="AV85" s="395">
        <f t="shared" si="85"/>
        <v>8898998.631786</v>
      </c>
      <c r="AW85" s="397"/>
      <c r="AX85" s="397">
        <f t="shared" si="86"/>
        <v>0.18188066950057799</v>
      </c>
      <c r="AY85" s="397">
        <f t="shared" si="87"/>
        <v>0.16184671219407454</v>
      </c>
      <c r="AZ85" s="395">
        <f>AZ27</f>
        <v>2500000</v>
      </c>
      <c r="BA85" s="395">
        <f>BA27</f>
        <v>2600000</v>
      </c>
      <c r="BB85" s="395">
        <f>BB27</f>
        <v>2660000</v>
      </c>
      <c r="BC85" s="395">
        <f>BC27</f>
        <v>2710000</v>
      </c>
      <c r="BD85" s="395">
        <f>BD27</f>
        <v>2810000</v>
      </c>
      <c r="BE85" s="395"/>
      <c r="BF85" s="395"/>
      <c r="BG85" s="395"/>
      <c r="BH85" s="395"/>
      <c r="BI85" s="454"/>
      <c r="BJ85" s="454"/>
      <c r="BK85" s="454"/>
    </row>
    <row r="86" spans="1:63" s="450" customFormat="1" hidden="1">
      <c r="A86" s="443" t="s">
        <v>35</v>
      </c>
      <c r="B86" s="444" t="s">
        <v>502</v>
      </c>
      <c r="C86" s="445">
        <f t="shared" ref="C86:K86" si="101">C80-C81-C87</f>
        <v>727568.34001799952</v>
      </c>
      <c r="D86" s="445">
        <f t="shared" si="101"/>
        <v>911550</v>
      </c>
      <c r="E86" s="445">
        <f t="shared" si="101"/>
        <v>1341860</v>
      </c>
      <c r="F86" s="445">
        <f t="shared" si="101"/>
        <v>1612650</v>
      </c>
      <c r="G86" s="445">
        <f t="shared" si="101"/>
        <v>1624700</v>
      </c>
      <c r="H86" s="445">
        <f t="shared" si="101"/>
        <v>2145233.8886660002</v>
      </c>
      <c r="I86" s="445"/>
      <c r="J86" s="446">
        <f t="shared" si="98"/>
        <v>0.23857850400056324</v>
      </c>
      <c r="K86" s="445">
        <f t="shared" si="101"/>
        <v>2290704.576498</v>
      </c>
      <c r="L86" s="445">
        <f>L80-L81-L87</f>
        <v>2438737.3184049991</v>
      </c>
      <c r="M86" s="445">
        <f>M80-M81-M87</f>
        <v>2432696.2007730007</v>
      </c>
      <c r="N86" s="445">
        <f>N80-N81-N87</f>
        <v>1989666.3652289996</v>
      </c>
      <c r="O86" s="445">
        <f>O80-O81-O87</f>
        <v>2079493</v>
      </c>
      <c r="P86" s="445">
        <f>P80-P81-P87</f>
        <v>11231297.460904999</v>
      </c>
      <c r="Q86" s="447">
        <f t="shared" si="91"/>
        <v>-2.3893747172246682E-2</v>
      </c>
      <c r="R86" s="447">
        <f t="shared" si="80"/>
        <v>0.49816099595851521</v>
      </c>
      <c r="S86" s="445">
        <f t="shared" ref="S86:Z86" si="102">S80-S81-S87</f>
        <v>2162120</v>
      </c>
      <c r="T86" s="445">
        <f t="shared" si="102"/>
        <v>2793308</v>
      </c>
      <c r="U86" s="445"/>
      <c r="V86" s="445">
        <f t="shared" si="102"/>
        <v>3286777</v>
      </c>
      <c r="W86" s="445">
        <f t="shared" si="102"/>
        <v>7052000</v>
      </c>
      <c r="X86" s="445">
        <f t="shared" si="102"/>
        <v>4186421</v>
      </c>
      <c r="Y86" s="445">
        <f t="shared" si="102"/>
        <v>8435000</v>
      </c>
      <c r="Z86" s="445">
        <f t="shared" si="102"/>
        <v>3765873.7000000025</v>
      </c>
      <c r="AA86" s="445">
        <f t="shared" si="82"/>
        <v>31681499.700000003</v>
      </c>
      <c r="AB86" s="447"/>
      <c r="AC86" s="447"/>
      <c r="AD86" s="447">
        <f t="shared" si="83"/>
        <v>1.8208227776247643</v>
      </c>
      <c r="AE86" s="442">
        <f t="shared" ref="AE86:AR86" si="103">AE80-AE81-AE87</f>
        <v>8070900</v>
      </c>
      <c r="AF86" s="445">
        <f t="shared" si="103"/>
        <v>4015240</v>
      </c>
      <c r="AG86" s="317">
        <f t="shared" si="103"/>
        <v>6744777</v>
      </c>
      <c r="AH86" s="445">
        <f t="shared" si="103"/>
        <v>4512967.3056559991</v>
      </c>
      <c r="AI86" s="445"/>
      <c r="AJ86" s="445"/>
      <c r="AK86" s="445"/>
      <c r="AL86" s="445"/>
      <c r="AM86" s="445"/>
      <c r="AN86" s="445"/>
      <c r="AO86" s="445">
        <f t="shared" si="103"/>
        <v>3820000</v>
      </c>
      <c r="AP86" s="445"/>
      <c r="AQ86" s="445">
        <f t="shared" si="103"/>
        <v>5646000</v>
      </c>
      <c r="AR86" s="445">
        <f t="shared" si="103"/>
        <v>5210499.9999999991</v>
      </c>
      <c r="AS86" s="445"/>
      <c r="AT86" s="445"/>
      <c r="AU86" s="445"/>
      <c r="AV86" s="445">
        <f t="shared" si="85"/>
        <v>29949484.305656001</v>
      </c>
      <c r="AW86" s="447"/>
      <c r="AX86" s="447">
        <f t="shared" si="86"/>
        <v>0.61211743951201447</v>
      </c>
      <c r="AY86" s="447">
        <f t="shared" si="87"/>
        <v>-5.4669615098555502E-2</v>
      </c>
      <c r="AZ86" s="445">
        <f t="shared" ref="AZ86:BD86" si="104">AZ80-AZ81-AZ87</f>
        <v>5679000</v>
      </c>
      <c r="BA86" s="445">
        <f t="shared" si="104"/>
        <v>6185999.8166112006</v>
      </c>
      <c r="BB86" s="445">
        <f t="shared" si="104"/>
        <v>6773500.408798838</v>
      </c>
      <c r="BC86" s="445">
        <f t="shared" si="104"/>
        <v>7466500.0266224667</v>
      </c>
      <c r="BD86" s="445">
        <f t="shared" si="104"/>
        <v>8287000.0277938545</v>
      </c>
      <c r="BE86" s="445"/>
      <c r="BF86" s="445"/>
      <c r="BG86" s="445"/>
      <c r="BH86" s="445"/>
      <c r="BI86" s="449"/>
      <c r="BJ86" s="449"/>
      <c r="BK86" s="449"/>
    </row>
    <row r="87" spans="1:63" s="450" customFormat="1" hidden="1">
      <c r="A87" s="443" t="s">
        <v>36</v>
      </c>
      <c r="B87" s="444" t="s">
        <v>503</v>
      </c>
      <c r="C87" s="445">
        <f t="shared" ref="C87:P87" si="105">C12</f>
        <v>1037.3321739999999</v>
      </c>
      <c r="D87" s="445">
        <f t="shared" si="105"/>
        <v>580</v>
      </c>
      <c r="E87" s="445">
        <f t="shared" si="105"/>
        <v>630</v>
      </c>
      <c r="F87" s="445">
        <f t="shared" si="105"/>
        <v>2440</v>
      </c>
      <c r="G87" s="445">
        <f t="shared" si="105"/>
        <v>780</v>
      </c>
      <c r="H87" s="445">
        <f t="shared" si="105"/>
        <v>3761</v>
      </c>
      <c r="I87" s="445"/>
      <c r="J87" s="446">
        <f t="shared" si="98"/>
        <v>0.59576463082611464</v>
      </c>
      <c r="K87" s="445">
        <f t="shared" si="105"/>
        <v>8028.6076819999998</v>
      </c>
      <c r="L87" s="445">
        <f t="shared" si="105"/>
        <v>7377.2642779999996</v>
      </c>
      <c r="M87" s="445">
        <f t="shared" si="105"/>
        <v>17351.560365000001</v>
      </c>
      <c r="N87" s="445">
        <f t="shared" si="105"/>
        <v>25825.109232999999</v>
      </c>
      <c r="O87" s="445">
        <f t="shared" si="105"/>
        <v>69494</v>
      </c>
      <c r="P87" s="445">
        <f t="shared" si="105"/>
        <v>128076.541558</v>
      </c>
      <c r="Q87" s="447">
        <f t="shared" si="91"/>
        <v>0.71524739460908648</v>
      </c>
      <c r="R87" s="447">
        <f t="shared" si="80"/>
        <v>5.680798476181961E-3</v>
      </c>
      <c r="S87" s="445">
        <f t="shared" ref="S87:Z87" si="106">S12</f>
        <v>61938</v>
      </c>
      <c r="T87" s="445">
        <f t="shared" si="106"/>
        <v>49785</v>
      </c>
      <c r="U87" s="445"/>
      <c r="V87" s="445">
        <f t="shared" si="106"/>
        <v>35833</v>
      </c>
      <c r="W87" s="445">
        <f t="shared" si="106"/>
        <v>33000</v>
      </c>
      <c r="X87" s="445">
        <f t="shared" si="106"/>
        <v>76845</v>
      </c>
      <c r="Y87" s="445">
        <f t="shared" si="106"/>
        <v>60000</v>
      </c>
      <c r="Z87" s="445">
        <f t="shared" si="106"/>
        <v>110158.9</v>
      </c>
      <c r="AA87" s="445">
        <f t="shared" si="82"/>
        <v>427559.9</v>
      </c>
      <c r="AB87" s="447"/>
      <c r="AC87" s="447"/>
      <c r="AD87" s="447">
        <f t="shared" si="83"/>
        <v>2.338315469787867</v>
      </c>
      <c r="AE87" s="448">
        <f t="shared" ref="AE87:AR87" si="107">AE12</f>
        <v>70000</v>
      </c>
      <c r="AF87" s="445">
        <f t="shared" si="107"/>
        <v>70477</v>
      </c>
      <c r="AG87" s="445">
        <f t="shared" si="107"/>
        <v>74000</v>
      </c>
      <c r="AH87" s="445">
        <f t="shared" si="107"/>
        <v>74729.223614999995</v>
      </c>
      <c r="AI87" s="445"/>
      <c r="AJ87" s="445"/>
      <c r="AK87" s="445"/>
      <c r="AL87" s="445"/>
      <c r="AM87" s="445"/>
      <c r="AN87" s="445"/>
      <c r="AO87" s="445">
        <f t="shared" si="107"/>
        <v>70000</v>
      </c>
      <c r="AP87" s="445"/>
      <c r="AQ87" s="445">
        <f t="shared" si="107"/>
        <v>75000</v>
      </c>
      <c r="AR87" s="445">
        <f t="shared" si="107"/>
        <v>100000</v>
      </c>
      <c r="AS87" s="445"/>
      <c r="AT87" s="445"/>
      <c r="AU87" s="445"/>
      <c r="AV87" s="445">
        <f t="shared" si="85"/>
        <v>464206.22361500002</v>
      </c>
      <c r="AW87" s="447"/>
      <c r="AX87" s="447">
        <f t="shared" si="86"/>
        <v>9.4875999234181659E-3</v>
      </c>
      <c r="AY87" s="447">
        <f t="shared" si="87"/>
        <v>8.571038494255423E-2</v>
      </c>
      <c r="AZ87" s="445">
        <f t="shared" ref="AZ87:BD87" si="108">AZ12</f>
        <v>110000</v>
      </c>
      <c r="BA87" s="445">
        <f t="shared" si="108"/>
        <v>120000</v>
      </c>
      <c r="BB87" s="445">
        <f t="shared" si="108"/>
        <v>130000</v>
      </c>
      <c r="BC87" s="445">
        <f t="shared" si="108"/>
        <v>140000</v>
      </c>
      <c r="BD87" s="445">
        <f t="shared" si="108"/>
        <v>153000</v>
      </c>
      <c r="BE87" s="445"/>
      <c r="BF87" s="445"/>
      <c r="BG87" s="445"/>
      <c r="BH87" s="445"/>
      <c r="BI87" s="449"/>
      <c r="BJ87" s="449"/>
      <c r="BK87" s="449"/>
    </row>
    <row r="88" spans="1:63" s="371" customFormat="1" hidden="1">
      <c r="A88" s="372">
        <v>8</v>
      </c>
      <c r="B88" s="373" t="s">
        <v>504</v>
      </c>
      <c r="C88" s="322">
        <f>C80/C80</f>
        <v>1</v>
      </c>
      <c r="D88" s="322">
        <f>D80/D80</f>
        <v>1</v>
      </c>
      <c r="E88" s="322">
        <f t="shared" ref="E88:K88" si="109">E80/E80</f>
        <v>1</v>
      </c>
      <c r="F88" s="322">
        <f t="shared" si="109"/>
        <v>1</v>
      </c>
      <c r="G88" s="322">
        <f t="shared" si="109"/>
        <v>1</v>
      </c>
      <c r="H88" s="322">
        <f t="shared" si="109"/>
        <v>1</v>
      </c>
      <c r="I88" s="455"/>
      <c r="J88" s="419"/>
      <c r="K88" s="322">
        <f t="shared" si="109"/>
        <v>1</v>
      </c>
      <c r="L88" s="322">
        <f>L80/L80</f>
        <v>1</v>
      </c>
      <c r="M88" s="322">
        <f>M80/M80</f>
        <v>1</v>
      </c>
      <c r="N88" s="322">
        <f>N80/N80</f>
        <v>1</v>
      </c>
      <c r="O88" s="322">
        <f>O80/O80</f>
        <v>1</v>
      </c>
      <c r="P88" s="317"/>
      <c r="Q88" s="318"/>
      <c r="R88" s="318">
        <f>AVERAGE(K88:O88)</f>
        <v>1</v>
      </c>
      <c r="S88" s="322">
        <f t="shared" ref="S88:Z88" si="110">S80/S80</f>
        <v>1</v>
      </c>
      <c r="T88" s="322">
        <f t="shared" si="110"/>
        <v>1</v>
      </c>
      <c r="U88" s="322"/>
      <c r="V88" s="322">
        <f t="shared" si="110"/>
        <v>1</v>
      </c>
      <c r="W88" s="322">
        <f t="shared" si="110"/>
        <v>1</v>
      </c>
      <c r="X88" s="322">
        <f t="shared" si="110"/>
        <v>1</v>
      </c>
      <c r="Y88" s="322">
        <f t="shared" si="110"/>
        <v>1</v>
      </c>
      <c r="Z88" s="322">
        <f t="shared" si="110"/>
        <v>1</v>
      </c>
      <c r="AA88" s="322"/>
      <c r="AB88" s="322"/>
      <c r="AC88" s="318"/>
      <c r="AD88" s="318"/>
      <c r="AE88" s="374">
        <f t="shared" ref="AE88:AR88" si="111">AE80/AE80</f>
        <v>1</v>
      </c>
      <c r="AF88" s="322">
        <f t="shared" si="111"/>
        <v>1</v>
      </c>
      <c r="AG88" s="322">
        <f t="shared" si="111"/>
        <v>1</v>
      </c>
      <c r="AH88" s="322">
        <f t="shared" si="111"/>
        <v>1</v>
      </c>
      <c r="AI88" s="322"/>
      <c r="AJ88" s="322"/>
      <c r="AK88" s="322"/>
      <c r="AL88" s="322"/>
      <c r="AM88" s="322"/>
      <c r="AN88" s="322"/>
      <c r="AO88" s="322">
        <f t="shared" si="111"/>
        <v>1</v>
      </c>
      <c r="AP88" s="322"/>
      <c r="AQ88" s="322">
        <f t="shared" si="111"/>
        <v>1</v>
      </c>
      <c r="AR88" s="322">
        <f t="shared" si="111"/>
        <v>1</v>
      </c>
      <c r="AS88" s="322"/>
      <c r="AT88" s="322"/>
      <c r="AU88" s="322"/>
      <c r="AV88" s="322"/>
      <c r="AW88" s="318"/>
      <c r="AX88" s="318">
        <f>AVERAGE(AO88:AR88)</f>
        <v>1</v>
      </c>
      <c r="AY88" s="318"/>
      <c r="AZ88" s="322">
        <f t="shared" ref="AZ88" si="112">AZ80/AZ80</f>
        <v>1</v>
      </c>
      <c r="BA88" s="322">
        <f>BA80/BA80</f>
        <v>1</v>
      </c>
      <c r="BB88" s="322">
        <f t="shared" ref="BB88:BD88" si="113">BB80/BB80</f>
        <v>1</v>
      </c>
      <c r="BC88" s="322">
        <f t="shared" si="113"/>
        <v>1</v>
      </c>
      <c r="BD88" s="322">
        <f t="shared" si="113"/>
        <v>1</v>
      </c>
      <c r="BE88" s="322"/>
      <c r="BF88" s="322"/>
      <c r="BG88" s="322"/>
      <c r="BH88" s="322"/>
      <c r="BI88" s="456"/>
      <c r="BJ88" s="456"/>
      <c r="BK88" s="456"/>
    </row>
    <row r="89" spans="1:63" s="294" customFormat="1" hidden="1">
      <c r="A89" s="384" t="s">
        <v>34</v>
      </c>
      <c r="B89" s="457" t="s">
        <v>499</v>
      </c>
      <c r="C89" s="458">
        <f>C81/C80</f>
        <v>0.42531289671957501</v>
      </c>
      <c r="D89" s="458">
        <f>D81/D80</f>
        <v>0.41284728480572652</v>
      </c>
      <c r="E89" s="458">
        <f t="shared" ref="E89:K89" si="114">E81/E80</f>
        <v>0.47223905651330372</v>
      </c>
      <c r="F89" s="458">
        <f t="shared" si="114"/>
        <v>0.35505524652288328</v>
      </c>
      <c r="G89" s="458">
        <f t="shared" si="114"/>
        <v>0.44651698095218639</v>
      </c>
      <c r="H89" s="388">
        <f t="shared" si="114"/>
        <v>0.45876073920121657</v>
      </c>
      <c r="I89" s="416"/>
      <c r="J89" s="416"/>
      <c r="K89" s="388">
        <f t="shared" si="114"/>
        <v>0.44692880701524185</v>
      </c>
      <c r="L89" s="388">
        <f>L81/L80</f>
        <v>0.45866303310692969</v>
      </c>
      <c r="M89" s="388">
        <f>M81/M80</f>
        <v>0.46542654134959488</v>
      </c>
      <c r="N89" s="388">
        <f>N81/N80</f>
        <v>0.50990106520952494</v>
      </c>
      <c r="O89" s="388">
        <f>O81/O80</f>
        <v>0.5847333610694736</v>
      </c>
      <c r="P89" s="388"/>
      <c r="Q89" s="388"/>
      <c r="R89" s="388">
        <f>AVERAGE(K89:O89)</f>
        <v>0.49313056155015306</v>
      </c>
      <c r="S89" s="388">
        <f>S81/S80</f>
        <v>0.64891308757574651</v>
      </c>
      <c r="T89" s="388">
        <f>T81/T80</f>
        <v>0.58507083191525511</v>
      </c>
      <c r="U89" s="388"/>
      <c r="V89" s="388">
        <f>V81/V80</f>
        <v>0.52424501723113892</v>
      </c>
      <c r="W89" s="388"/>
      <c r="X89" s="388">
        <f>X81/X80</f>
        <v>0.51393687365416063</v>
      </c>
      <c r="Y89" s="388"/>
      <c r="Z89" s="388">
        <f>Z81/Z80</f>
        <v>0.54025461614406278</v>
      </c>
      <c r="AA89" s="388"/>
      <c r="AB89" s="388"/>
      <c r="AC89" s="388"/>
      <c r="AD89" s="388"/>
      <c r="AE89" s="390"/>
      <c r="AF89" s="388">
        <f>AF81/AF80</f>
        <v>0.43358606996569948</v>
      </c>
      <c r="AG89" s="388"/>
      <c r="AH89" s="388">
        <f>AH81/AH80</f>
        <v>0.41759024172499359</v>
      </c>
      <c r="AI89" s="388"/>
      <c r="AJ89" s="388"/>
      <c r="AK89" s="388"/>
      <c r="AL89" s="388"/>
      <c r="AM89" s="388"/>
      <c r="AN89" s="388"/>
      <c r="AO89" s="388">
        <f>AO81/AO80</f>
        <v>0.48748353096179181</v>
      </c>
      <c r="AP89" s="388"/>
      <c r="AQ89" s="388">
        <f>AQ81/AQ80</f>
        <v>0.38258148068206344</v>
      </c>
      <c r="AR89" s="388">
        <f>AR81/AR80</f>
        <v>0.47744155898966478</v>
      </c>
      <c r="AS89" s="388"/>
      <c r="AT89" s="388"/>
      <c r="AU89" s="388"/>
      <c r="AV89" s="388"/>
      <c r="AW89" s="388"/>
      <c r="AX89" s="388">
        <f>AVERAGE(AO89:AR89)</f>
        <v>0.44916885687784003</v>
      </c>
      <c r="AY89" s="388"/>
      <c r="AZ89" s="388">
        <f>AZ81/AZ80</f>
        <v>0.47558655675332911</v>
      </c>
      <c r="BA89" s="388">
        <f>BA81/BA80</f>
        <v>0.47168231287711571</v>
      </c>
      <c r="BB89" s="388">
        <f>BB81/BB80</f>
        <v>0.4645751588073227</v>
      </c>
      <c r="BC89" s="388">
        <f>BC81/BC80</f>
        <v>0.45518031643318962</v>
      </c>
      <c r="BD89" s="388">
        <f>BD81/BD80</f>
        <v>0.44473684129204272</v>
      </c>
      <c r="BE89" s="388"/>
      <c r="BF89" s="388"/>
      <c r="BG89" s="388"/>
      <c r="BH89" s="388"/>
      <c r="BI89" s="418"/>
      <c r="BJ89" s="418"/>
      <c r="BK89" s="418"/>
    </row>
    <row r="90" spans="1:63" s="294" customFormat="1" hidden="1">
      <c r="A90" s="384" t="s">
        <v>35</v>
      </c>
      <c r="B90" s="457" t="s">
        <v>502</v>
      </c>
      <c r="C90" s="458">
        <f t="shared" ref="C90:K90" si="115">C86/C80</f>
        <v>0.57386890841183147</v>
      </c>
      <c r="D90" s="458">
        <f t="shared" si="115"/>
        <v>0.58677935988876584</v>
      </c>
      <c r="E90" s="458">
        <f t="shared" si="115"/>
        <v>0.52751327728851483</v>
      </c>
      <c r="F90" s="458">
        <f t="shared" si="115"/>
        <v>0.64397040207968115</v>
      </c>
      <c r="G90" s="458">
        <f t="shared" si="115"/>
        <v>0.55321742565087406</v>
      </c>
      <c r="H90" s="388">
        <f t="shared" si="115"/>
        <v>0.54029202687533373</v>
      </c>
      <c r="I90" s="416"/>
      <c r="J90" s="416"/>
      <c r="K90" s="388">
        <f t="shared" si="115"/>
        <v>0.55113952398582899</v>
      </c>
      <c r="L90" s="388">
        <f>L86/L80</f>
        <v>0.53970434269120615</v>
      </c>
      <c r="M90" s="388">
        <f>M86/M80</f>
        <v>0.53078753913306853</v>
      </c>
      <c r="N90" s="388">
        <f>N86/N80</f>
        <v>0.48381914711272295</v>
      </c>
      <c r="O90" s="388">
        <f>O86/O80</f>
        <v>0.40183773507683251</v>
      </c>
      <c r="P90" s="388"/>
      <c r="Q90" s="388"/>
      <c r="R90" s="388">
        <f>AVERAGE(K90:O90)</f>
        <v>0.50145765759993177</v>
      </c>
      <c r="S90" s="388">
        <f>S86/S80</f>
        <v>0.3413094600458832</v>
      </c>
      <c r="T90" s="388">
        <f>T86/T80</f>
        <v>0.40766340202183421</v>
      </c>
      <c r="U90" s="388"/>
      <c r="V90" s="388">
        <f>V86/V80</f>
        <v>0.47062415841765626</v>
      </c>
      <c r="W90" s="388"/>
      <c r="X90" s="388">
        <f>X86/X80</f>
        <v>0.47730188063796053</v>
      </c>
      <c r="Y90" s="388"/>
      <c r="Z90" s="388">
        <f>Z86/Z80</f>
        <v>0.44667917647531619</v>
      </c>
      <c r="AA90" s="388"/>
      <c r="AB90" s="388"/>
      <c r="AC90" s="388"/>
      <c r="AD90" s="388"/>
      <c r="AE90" s="390"/>
      <c r="AF90" s="388">
        <f>AF86/AF80</f>
        <v>0.55664351408355617</v>
      </c>
      <c r="AG90" s="388"/>
      <c r="AH90" s="388">
        <f>AH86/AH80</f>
        <v>0.57292285590820857</v>
      </c>
      <c r="AI90" s="388"/>
      <c r="AJ90" s="388"/>
      <c r="AK90" s="388"/>
      <c r="AL90" s="388"/>
      <c r="AM90" s="388"/>
      <c r="AN90" s="388"/>
      <c r="AO90" s="388">
        <f>AO86/AO80</f>
        <v>0.50329380764163378</v>
      </c>
      <c r="AP90" s="388"/>
      <c r="AQ90" s="388">
        <f>AQ86/AQ80</f>
        <v>0.60932441182818908</v>
      </c>
      <c r="AR90" s="388">
        <f>AR86/AR80</f>
        <v>0.51271834231886859</v>
      </c>
      <c r="AS90" s="388"/>
      <c r="AT90" s="388"/>
      <c r="AU90" s="388"/>
      <c r="AV90" s="388"/>
      <c r="AW90" s="388"/>
      <c r="AX90" s="388">
        <f>AVERAGE(AO90:AR90)</f>
        <v>0.54177885392956382</v>
      </c>
      <c r="AY90" s="388"/>
      <c r="AZ90" s="388">
        <f>AZ86/AZ80</f>
        <v>0.51444877253374399</v>
      </c>
      <c r="BA90" s="388">
        <f>BA86/BA80</f>
        <v>0.51826406766546795</v>
      </c>
      <c r="BB90" s="388">
        <f>BB86/BB80</f>
        <v>0.52534224175278554</v>
      </c>
      <c r="BC90" s="388">
        <f>BC86/BC80</f>
        <v>0.53479210775238917</v>
      </c>
      <c r="BD90" s="388">
        <f>BD86/BD80</f>
        <v>0.54519736925267881</v>
      </c>
      <c r="BE90" s="388"/>
      <c r="BF90" s="388"/>
      <c r="BG90" s="388"/>
      <c r="BH90" s="388"/>
      <c r="BI90" s="418"/>
      <c r="BJ90" s="418"/>
      <c r="BK90" s="418"/>
    </row>
    <row r="91" spans="1:63" s="294" customFormat="1" hidden="1">
      <c r="A91" s="384" t="s">
        <v>36</v>
      </c>
      <c r="B91" s="457" t="s">
        <v>503</v>
      </c>
      <c r="C91" s="458">
        <f t="shared" ref="C91:K91" si="116">C87/C80</f>
        <v>8.1819486859354654E-4</v>
      </c>
      <c r="D91" s="458">
        <f t="shared" si="116"/>
        <v>3.7335530550763446E-4</v>
      </c>
      <c r="E91" s="458">
        <f t="shared" si="116"/>
        <v>2.4766619818145287E-4</v>
      </c>
      <c r="F91" s="458">
        <f t="shared" si="116"/>
        <v>9.7435139743553905E-4</v>
      </c>
      <c r="G91" s="458">
        <f t="shared" si="116"/>
        <v>2.6559339693954688E-4</v>
      </c>
      <c r="H91" s="388">
        <f t="shared" si="116"/>
        <v>9.4723392344959654E-4</v>
      </c>
      <c r="I91" s="416"/>
      <c r="J91" s="416"/>
      <c r="K91" s="388">
        <f t="shared" si="116"/>
        <v>1.9316689989292092E-3</v>
      </c>
      <c r="L91" s="388">
        <f>L87/L80</f>
        <v>1.6326242018641606E-3</v>
      </c>
      <c r="M91" s="388">
        <f>M87/M80</f>
        <v>3.785919517336657E-3</v>
      </c>
      <c r="N91" s="388">
        <f>N87/N80</f>
        <v>6.2797876777521428E-3</v>
      </c>
      <c r="O91" s="388">
        <f>O87/O80</f>
        <v>1.3428903853693858E-2</v>
      </c>
      <c r="P91" s="388"/>
      <c r="Q91" s="388"/>
      <c r="R91" s="388">
        <f>AVERAGE(K91:O91)</f>
        <v>5.4117808499152056E-3</v>
      </c>
      <c r="S91" s="388">
        <f>S87/S80</f>
        <v>9.7774523783702629E-3</v>
      </c>
      <c r="T91" s="388">
        <f>T87/T80</f>
        <v>7.2657660629107199E-3</v>
      </c>
      <c r="U91" s="388"/>
      <c r="V91" s="388">
        <f>V87/V80</f>
        <v>5.1308243512048048E-3</v>
      </c>
      <c r="W91" s="388"/>
      <c r="X91" s="388">
        <f>X87/X80</f>
        <v>8.7612457078788952E-3</v>
      </c>
      <c r="Y91" s="388"/>
      <c r="Z91" s="388">
        <f>Z87/Z80</f>
        <v>1.3066207380621041E-2</v>
      </c>
      <c r="AA91" s="388"/>
      <c r="AB91" s="388"/>
      <c r="AC91" s="388"/>
      <c r="AD91" s="388"/>
      <c r="AE91" s="390"/>
      <c r="AF91" s="388">
        <f>AF87/AF80</f>
        <v>9.770415950744361E-3</v>
      </c>
      <c r="AG91" s="388"/>
      <c r="AH91" s="388">
        <f>AH87/AH80</f>
        <v>9.4869023667977885E-3</v>
      </c>
      <c r="AI91" s="388"/>
      <c r="AJ91" s="388"/>
      <c r="AK91" s="388"/>
      <c r="AL91" s="388"/>
      <c r="AM91" s="388"/>
      <c r="AN91" s="388"/>
      <c r="AO91" s="388">
        <f>AO87/AO80</f>
        <v>9.22266139657444E-3</v>
      </c>
      <c r="AP91" s="388"/>
      <c r="AQ91" s="388">
        <f>AQ87/AQ80</f>
        <v>8.0941074897474645E-3</v>
      </c>
      <c r="AR91" s="388">
        <f>AR87/AR80</f>
        <v>9.840098691466629E-3</v>
      </c>
      <c r="AS91" s="388"/>
      <c r="AT91" s="388"/>
      <c r="AU91" s="388"/>
      <c r="AV91" s="388"/>
      <c r="AW91" s="388"/>
      <c r="AX91" s="388">
        <f>AVERAGE(AO91:AR91)</f>
        <v>9.0522891925961784E-3</v>
      </c>
      <c r="AY91" s="388"/>
      <c r="AZ91" s="388">
        <f>AZ87/AZ80</f>
        <v>9.9646707129268947E-3</v>
      </c>
      <c r="BA91" s="388">
        <f>BA87/BA80</f>
        <v>1.005361945741632E-2</v>
      </c>
      <c r="BB91" s="388">
        <f>BB87/BB80</f>
        <v>1.0082599439891812E-2</v>
      </c>
      <c r="BC91" s="388">
        <f>BC87/BC80</f>
        <v>1.0027575814421172E-2</v>
      </c>
      <c r="BD91" s="388">
        <f>BD87/BD80</f>
        <v>1.0065789455278482E-2</v>
      </c>
      <c r="BE91" s="388"/>
      <c r="BF91" s="388"/>
      <c r="BG91" s="388"/>
      <c r="BH91" s="388"/>
      <c r="BI91" s="418"/>
      <c r="BJ91" s="418"/>
      <c r="BK91" s="418"/>
    </row>
    <row r="92" spans="1:63" s="465" customFormat="1" hidden="1">
      <c r="A92" s="459">
        <v>9</v>
      </c>
      <c r="B92" s="460" t="s">
        <v>505</v>
      </c>
      <c r="C92" s="460"/>
      <c r="D92" s="461"/>
      <c r="E92" s="461"/>
      <c r="F92" s="461"/>
      <c r="G92" s="461"/>
      <c r="H92" s="323"/>
      <c r="I92" s="462"/>
      <c r="J92" s="462">
        <f>(D92*E92*F92*G92*H92)^(1/5)-1</f>
        <v>-1</v>
      </c>
      <c r="K92" s="323">
        <f>K7/H7</f>
        <v>1.046794510256291</v>
      </c>
      <c r="L92" s="323">
        <f>L7/K7</f>
        <v>1.0871803262801722</v>
      </c>
      <c r="M92" s="323">
        <f>M7/L7</f>
        <v>1.0142804314364227</v>
      </c>
      <c r="N92" s="323">
        <f>N7/M7</f>
        <v>0.89728425830443836</v>
      </c>
      <c r="O92" s="323">
        <f>O7/N7</f>
        <v>1.2583734267412459</v>
      </c>
      <c r="P92" s="323"/>
      <c r="Q92" s="323">
        <f>(K92*L92*M92*N92*O92)^(1/5)-1</f>
        <v>5.441634872072143E-2</v>
      </c>
      <c r="R92" s="323"/>
      <c r="S92" s="323">
        <f>S7/O7</f>
        <v>1.2241220555069345</v>
      </c>
      <c r="T92" s="323">
        <f>T7/S7</f>
        <v>1.0816472050564037</v>
      </c>
      <c r="U92" s="323"/>
      <c r="V92" s="323">
        <f>V7/T7</f>
        <v>1.0192457788942084</v>
      </c>
      <c r="W92" s="323"/>
      <c r="X92" s="323">
        <f>X7/V7</f>
        <v>1.2558961595494074</v>
      </c>
      <c r="Y92" s="323"/>
      <c r="Z92" s="323">
        <f>Z7/X7</f>
        <v>0.96121444581144755</v>
      </c>
      <c r="AA92" s="323"/>
      <c r="AB92" s="323">
        <f>(S92*T92*V92*X92*Z92)^(1/5)-1</f>
        <v>0.1025356971451945</v>
      </c>
      <c r="AC92" s="323"/>
      <c r="AD92" s="323"/>
      <c r="AE92" s="463"/>
      <c r="AF92" s="323">
        <f>AF7/Z7</f>
        <v>0.85558726617529812</v>
      </c>
      <c r="AG92" s="323"/>
      <c r="AH92" s="323">
        <f>AH7/AF7</f>
        <v>1.0920227424960205</v>
      </c>
      <c r="AI92" s="323"/>
      <c r="AJ92" s="323"/>
      <c r="AK92" s="323"/>
      <c r="AL92" s="323"/>
      <c r="AM92" s="323"/>
      <c r="AN92" s="323"/>
      <c r="AO92" s="323">
        <f>AO7/AH7</f>
        <v>0.9635532858599366</v>
      </c>
      <c r="AP92" s="323"/>
      <c r="AQ92" s="323">
        <f>AQ7/AO7</f>
        <v>1.2208168642951251</v>
      </c>
      <c r="AR92" s="323">
        <f>AR7/AQ7</f>
        <v>1.0967515324843513</v>
      </c>
      <c r="AS92" s="323"/>
      <c r="AT92" s="323"/>
      <c r="AU92" s="323"/>
      <c r="AV92" s="323"/>
      <c r="AW92" s="323">
        <f>(AO92*AQ92*AR92*AF92*AH92)^(1/5)-1</f>
        <v>3.8068709737854922E-2</v>
      </c>
      <c r="AX92" s="323"/>
      <c r="AY92" s="323"/>
      <c r="AZ92" s="323">
        <f>AZ7/AR7</f>
        <v>1.0862484945510011</v>
      </c>
      <c r="BA92" s="323">
        <f>BA7/AZ7</f>
        <v>1.0812573436553312</v>
      </c>
      <c r="BB92" s="323">
        <f>BB7/BA7</f>
        <v>1.080219554867544</v>
      </c>
      <c r="BC92" s="323">
        <f>BC7/BB7</f>
        <v>1.0828324026805629</v>
      </c>
      <c r="BD92" s="323">
        <f>BD7/BC7</f>
        <v>1.0887082332707629</v>
      </c>
      <c r="BE92" s="323"/>
      <c r="BF92" s="422">
        <f>(AZ92*BA92*BB92*BC92*BD92)^(1/5)-1</f>
        <v>8.3848569109363336E-2</v>
      </c>
      <c r="BG92" s="323"/>
      <c r="BH92" s="323"/>
      <c r="BI92" s="464"/>
      <c r="BJ92" s="464"/>
      <c r="BK92" s="464"/>
    </row>
    <row r="93" spans="1:63" s="294" customFormat="1" hidden="1">
      <c r="A93" s="384" t="s">
        <v>34</v>
      </c>
      <c r="B93" s="457" t="s">
        <v>499</v>
      </c>
      <c r="C93" s="457"/>
      <c r="D93" s="458"/>
      <c r="E93" s="458"/>
      <c r="F93" s="458"/>
      <c r="G93" s="458"/>
      <c r="H93" s="388"/>
      <c r="I93" s="416"/>
      <c r="J93" s="416">
        <f>(D93*E93*F93*G93*H93)^(1/5)-1</f>
        <v>-1</v>
      </c>
      <c r="K93" s="388">
        <f>K81/H81</f>
        <v>1.0197965555499475</v>
      </c>
      <c r="L93" s="388">
        <f>L81/K81</f>
        <v>1.1157245139690437</v>
      </c>
      <c r="M93" s="388">
        <f>M81/L81</f>
        <v>1.0292371503416389</v>
      </c>
      <c r="N93" s="388">
        <f>N81/M81</f>
        <v>0.9830255871925252</v>
      </c>
      <c r="O93" s="388">
        <f>O81/N81</f>
        <v>1.4430503748733388</v>
      </c>
      <c r="P93" s="388"/>
      <c r="Q93" s="388">
        <f>(K93*L93*M93*N93*O93)^(1/5)-1</f>
        <v>0.1068441060267149</v>
      </c>
      <c r="R93" s="388"/>
      <c r="S93" s="388">
        <f>S81/O81</f>
        <v>1.3584804211542083</v>
      </c>
      <c r="T93" s="388">
        <f>T81/S81</f>
        <v>0.97523110909254118</v>
      </c>
      <c r="U93" s="388"/>
      <c r="V93" s="388">
        <f>V81/T81</f>
        <v>0.91328176311574516</v>
      </c>
      <c r="W93" s="388"/>
      <c r="X93" s="388">
        <f>X81/V81</f>
        <v>1.231201679859764</v>
      </c>
      <c r="Y93" s="388"/>
      <c r="Z93" s="388">
        <f>Z81/X81</f>
        <v>1.0104364331006155</v>
      </c>
      <c r="AA93" s="388"/>
      <c r="AB93" s="388">
        <f>(S93*T93*V93*X93*Z93)^(1/5)-1</f>
        <v>8.5227480086591756E-2</v>
      </c>
      <c r="AC93" s="388"/>
      <c r="AD93" s="388"/>
      <c r="AE93" s="390"/>
      <c r="AF93" s="388">
        <f>AF81/Z81</f>
        <v>0.68665904773078767</v>
      </c>
      <c r="AG93" s="388"/>
      <c r="AH93" s="388">
        <f>AH81/AF81</f>
        <v>1.0517359126509269</v>
      </c>
      <c r="AI93" s="388"/>
      <c r="AJ93" s="388"/>
      <c r="AK93" s="388"/>
      <c r="AL93" s="388"/>
      <c r="AM93" s="388"/>
      <c r="AN93" s="388"/>
      <c r="AO93" s="388">
        <f>AO81/AH81</f>
        <v>1.1248259923903419</v>
      </c>
      <c r="AP93" s="388"/>
      <c r="AQ93" s="388">
        <f>AQ81/AO81</f>
        <v>0.95810810810810809</v>
      </c>
      <c r="AR93" s="388">
        <f>AR81/AQ81</f>
        <v>1.368688208744711</v>
      </c>
      <c r="AS93" s="388"/>
      <c r="AT93" s="388"/>
      <c r="AU93" s="388"/>
      <c r="AV93" s="388"/>
      <c r="AW93" s="388">
        <f>(AO93*AQ93*AR93*AF93*AH93)^(1/5)-1</f>
        <v>1.2722472227807646E-2</v>
      </c>
      <c r="AX93" s="388"/>
      <c r="AY93" s="388"/>
      <c r="AZ93" s="388">
        <f>AZ81/AR81</f>
        <v>1.0820280965804676</v>
      </c>
      <c r="BA93" s="388">
        <f>BA81/AZ81</f>
        <v>1.0723809523809524</v>
      </c>
      <c r="BB93" s="388">
        <f>BB81/BA81</f>
        <v>1.0639431616341031</v>
      </c>
      <c r="BC93" s="388">
        <f>BC81/BB81</f>
        <v>1.0609348914858097</v>
      </c>
      <c r="BD93" s="388">
        <f>BD81/BC81</f>
        <v>1.0637293469708891</v>
      </c>
      <c r="BE93" s="388"/>
      <c r="BF93" s="417">
        <f t="shared" ref="BF93:BF97" si="117">(AZ93*BA93*BB93*BC93*BD93)^(1/5)-1</f>
        <v>6.857543489854323E-2</v>
      </c>
      <c r="BG93" s="388"/>
      <c r="BH93" s="388"/>
      <c r="BI93" s="418"/>
      <c r="BJ93" s="418"/>
      <c r="BK93" s="418"/>
    </row>
    <row r="94" spans="1:63" s="294" customFormat="1" hidden="1">
      <c r="A94" s="384" t="s">
        <v>35</v>
      </c>
      <c r="B94" s="457" t="s">
        <v>502</v>
      </c>
      <c r="C94" s="457"/>
      <c r="D94" s="458"/>
      <c r="E94" s="458"/>
      <c r="F94" s="458"/>
      <c r="G94" s="458"/>
      <c r="H94" s="388"/>
      <c r="I94" s="416"/>
      <c r="J94" s="416">
        <f>(D94*E94*F94*G94*H94)^(1/5)-1</f>
        <v>-1</v>
      </c>
      <c r="K94" s="388">
        <f>K86/H86</f>
        <v>1.0678111084299808</v>
      </c>
      <c r="L94" s="388">
        <f t="shared" ref="L94:O95" si="118">L86/K86</f>
        <v>1.0646232357615095</v>
      </c>
      <c r="M94" s="388">
        <f t="shared" si="118"/>
        <v>0.99752285021170328</v>
      </c>
      <c r="N94" s="388">
        <f t="shared" si="118"/>
        <v>0.81788526022968822</v>
      </c>
      <c r="O94" s="388">
        <f t="shared" si="118"/>
        <v>1.045146581527834</v>
      </c>
      <c r="P94" s="388"/>
      <c r="Q94" s="388">
        <f>(K94*L94*M94*N94*O94)^(1/5)-1</f>
        <v>-6.205559772676783E-3</v>
      </c>
      <c r="R94" s="388"/>
      <c r="S94" s="388">
        <f>S86/O86</f>
        <v>1.0397342044431022</v>
      </c>
      <c r="T94" s="388">
        <f>T86/S86</f>
        <v>1.2919301426377814</v>
      </c>
      <c r="U94" s="388"/>
      <c r="V94" s="388">
        <f>V86/T86</f>
        <v>1.1766611487168619</v>
      </c>
      <c r="W94" s="388"/>
      <c r="X94" s="388">
        <f>X86/V86</f>
        <v>1.2737161663234227</v>
      </c>
      <c r="Y94" s="388"/>
      <c r="Z94" s="388">
        <f>Z86/X86</f>
        <v>0.89954490960178213</v>
      </c>
      <c r="AA94" s="388"/>
      <c r="AB94" s="388">
        <f>(S94*T94*V94*X94*Z94)^(1/5)-1</f>
        <v>0.12611218450346207</v>
      </c>
      <c r="AC94" s="388"/>
      <c r="AD94" s="388"/>
      <c r="AE94" s="390"/>
      <c r="AF94" s="388">
        <f>AF86/Z86</f>
        <v>1.0662173827019206</v>
      </c>
      <c r="AG94" s="388"/>
      <c r="AH94" s="388">
        <f>AH86/AF86</f>
        <v>1.1239595405644491</v>
      </c>
      <c r="AI94" s="388"/>
      <c r="AJ94" s="388"/>
      <c r="AK94" s="388"/>
      <c r="AL94" s="388"/>
      <c r="AM94" s="388"/>
      <c r="AN94" s="388"/>
      <c r="AO94" s="388">
        <f>AO86/AH86</f>
        <v>0.84644973944581448</v>
      </c>
      <c r="AP94" s="388"/>
      <c r="AQ94" s="388">
        <f>AQ86/AO86</f>
        <v>1.4780104712041884</v>
      </c>
      <c r="AR94" s="388">
        <f t="shared" ref="AR94:AR95" si="119">AR86/AQ86</f>
        <v>0.9228657456606445</v>
      </c>
      <c r="AS94" s="388"/>
      <c r="AT94" s="388"/>
      <c r="AU94" s="388"/>
      <c r="AV94" s="388"/>
      <c r="AW94" s="388">
        <f>(AO94*AQ94*AR94*AF94*AH94)^(1/5)-1</f>
        <v>6.709412765495415E-2</v>
      </c>
      <c r="AX94" s="388"/>
      <c r="AY94" s="388"/>
      <c r="AZ94" s="388">
        <f>AZ86/AR86</f>
        <v>1.0899145955282605</v>
      </c>
      <c r="BA94" s="388">
        <f t="shared" ref="BA94:BD95" si="120">BA86/AZ86</f>
        <v>1.0892762487429477</v>
      </c>
      <c r="BB94" s="388">
        <f t="shared" si="120"/>
        <v>1.0949726171362031</v>
      </c>
      <c r="BC94" s="388">
        <f t="shared" si="120"/>
        <v>1.1023104120468372</v>
      </c>
      <c r="BD94" s="388">
        <f t="shared" si="120"/>
        <v>1.1098908455428678</v>
      </c>
      <c r="BE94" s="388"/>
      <c r="BF94" s="417">
        <f t="shared" si="117"/>
        <v>9.724494319006749E-2</v>
      </c>
      <c r="BG94" s="388"/>
      <c r="BH94" s="388"/>
      <c r="BI94" s="418"/>
      <c r="BJ94" s="418"/>
      <c r="BK94" s="418"/>
    </row>
    <row r="95" spans="1:63" s="294" customFormat="1" hidden="1">
      <c r="A95" s="384" t="s">
        <v>36</v>
      </c>
      <c r="B95" s="457" t="s">
        <v>503</v>
      </c>
      <c r="C95" s="457"/>
      <c r="D95" s="458"/>
      <c r="E95" s="458"/>
      <c r="F95" s="458"/>
      <c r="G95" s="458"/>
      <c r="H95" s="388"/>
      <c r="I95" s="416"/>
      <c r="J95" s="416">
        <f>(D95*E95*F95*G95*H95)^(1/5)-1</f>
        <v>-1</v>
      </c>
      <c r="K95" s="388">
        <f>K87/H87</f>
        <v>2.1347002611007708</v>
      </c>
      <c r="L95" s="388">
        <f t="shared" si="118"/>
        <v>0.91887218434395534</v>
      </c>
      <c r="M95" s="388">
        <f t="shared" si="118"/>
        <v>2.3520318252315704</v>
      </c>
      <c r="N95" s="388">
        <f t="shared" si="118"/>
        <v>1.4883450646370728</v>
      </c>
      <c r="O95" s="388">
        <f t="shared" si="118"/>
        <v>2.6909469916664959</v>
      </c>
      <c r="P95" s="388"/>
      <c r="Q95" s="388">
        <f>(K95*L95*M95*N95*O95)^(1/5)-1</f>
        <v>0.79196199769437925</v>
      </c>
      <c r="R95" s="388"/>
      <c r="S95" s="388">
        <f>S87/O87</f>
        <v>0.89127118887961554</v>
      </c>
      <c r="T95" s="388">
        <f>T87/S87</f>
        <v>0.80378765862636825</v>
      </c>
      <c r="U95" s="388"/>
      <c r="V95" s="388">
        <f>V87/T87</f>
        <v>0.71975494626895653</v>
      </c>
      <c r="W95" s="388"/>
      <c r="X95" s="388">
        <f>X87/V87</f>
        <v>2.1445315770379261</v>
      </c>
      <c r="Y95" s="388"/>
      <c r="Z95" s="388">
        <f>Z87/X87</f>
        <v>1.4335207235343874</v>
      </c>
      <c r="AA95" s="388"/>
      <c r="AB95" s="388">
        <f>(S95*T95*V95*X95*Z95)^(1/5)-1</f>
        <v>9.6514694647396038E-2</v>
      </c>
      <c r="AC95" s="388"/>
      <c r="AD95" s="388"/>
      <c r="AE95" s="390"/>
      <c r="AF95" s="388">
        <f>AF87/Z87</f>
        <v>0.63977581475486778</v>
      </c>
      <c r="AG95" s="388"/>
      <c r="AH95" s="388">
        <f>AH87/AF87</f>
        <v>1.060334912311818</v>
      </c>
      <c r="AI95" s="388"/>
      <c r="AJ95" s="388"/>
      <c r="AK95" s="388"/>
      <c r="AL95" s="388"/>
      <c r="AM95" s="388"/>
      <c r="AN95" s="388"/>
      <c r="AO95" s="388">
        <f>AO87/AH87</f>
        <v>0.93671520475892212</v>
      </c>
      <c r="AP95" s="388"/>
      <c r="AQ95" s="388">
        <f>AQ87/AO87</f>
        <v>1.0714285714285714</v>
      </c>
      <c r="AR95" s="388">
        <f t="shared" si="119"/>
        <v>1.3333333333333333</v>
      </c>
      <c r="AS95" s="388"/>
      <c r="AT95" s="388"/>
      <c r="AU95" s="388"/>
      <c r="AV95" s="388"/>
      <c r="AW95" s="388">
        <f>(AO95*AQ95*AR95*AF95*AH95)^(1/5)-1</f>
        <v>-1.9164712909005899E-2</v>
      </c>
      <c r="AX95" s="388"/>
      <c r="AY95" s="388"/>
      <c r="AZ95" s="388">
        <f>AZ87/AR87</f>
        <v>1.1000000000000001</v>
      </c>
      <c r="BA95" s="388">
        <f t="shared" si="120"/>
        <v>1.0909090909090908</v>
      </c>
      <c r="BB95" s="388">
        <f t="shared" si="120"/>
        <v>1.0833333333333333</v>
      </c>
      <c r="BC95" s="388">
        <f t="shared" si="120"/>
        <v>1.0769230769230769</v>
      </c>
      <c r="BD95" s="388">
        <f t="shared" si="120"/>
        <v>1.0928571428571427</v>
      </c>
      <c r="BE95" s="388"/>
      <c r="BF95" s="417">
        <f t="shared" si="117"/>
        <v>8.8775365880074064E-2</v>
      </c>
      <c r="BG95" s="388"/>
      <c r="BH95" s="388"/>
      <c r="BI95" s="418"/>
      <c r="BJ95" s="418"/>
      <c r="BK95" s="418"/>
    </row>
    <row r="96" spans="1:63" s="465" customFormat="1" hidden="1">
      <c r="A96" s="459">
        <v>10</v>
      </c>
      <c r="B96" s="466" t="s">
        <v>506</v>
      </c>
      <c r="C96" s="439">
        <f t="shared" ref="C96:O96" si="121">C7</f>
        <v>1267830.2123589995</v>
      </c>
      <c r="D96" s="439">
        <f t="shared" si="121"/>
        <v>1553480</v>
      </c>
      <c r="E96" s="439">
        <f t="shared" si="121"/>
        <v>2543746.399896</v>
      </c>
      <c r="F96" s="439">
        <f t="shared" si="121"/>
        <v>2504230</v>
      </c>
      <c r="G96" s="439">
        <f t="shared" si="121"/>
        <v>2936820</v>
      </c>
      <c r="H96" s="439">
        <f t="shared" si="121"/>
        <v>3970508.1362620005</v>
      </c>
      <c r="I96" s="439"/>
      <c r="J96" s="462"/>
      <c r="K96" s="439">
        <f t="shared" si="121"/>
        <v>4156306.1199669996</v>
      </c>
      <c r="L96" s="439">
        <f t="shared" si="121"/>
        <v>4518654.2436259994</v>
      </c>
      <c r="M96" s="439">
        <f t="shared" si="121"/>
        <v>4583182.5757370004</v>
      </c>
      <c r="N96" s="439">
        <f t="shared" si="121"/>
        <v>4112417.5781439999</v>
      </c>
      <c r="O96" s="439">
        <f t="shared" si="121"/>
        <v>5174957</v>
      </c>
      <c r="P96" s="439">
        <f>SUM(K96:O96)</f>
        <v>22545517.517473999</v>
      </c>
      <c r="Q96" s="323"/>
      <c r="R96" s="323">
        <f>P96/$P$96</f>
        <v>1</v>
      </c>
      <c r="S96" s="439">
        <f>S7</f>
        <v>6334779</v>
      </c>
      <c r="T96" s="439">
        <f>T7</f>
        <v>6851996</v>
      </c>
      <c r="U96" s="439"/>
      <c r="V96" s="439">
        <f>V7</f>
        <v>6983868</v>
      </c>
      <c r="W96" s="439"/>
      <c r="X96" s="439">
        <f>X7</f>
        <v>8771013</v>
      </c>
      <c r="Y96" s="439"/>
      <c r="Z96" s="439">
        <f>Z7</f>
        <v>8430824.4000000022</v>
      </c>
      <c r="AA96" s="327">
        <f>SUM(S96:Z96)</f>
        <v>37372480.400000006</v>
      </c>
      <c r="AB96" s="439"/>
      <c r="AC96" s="323"/>
      <c r="AD96" s="323">
        <f>AA96/P96-1</f>
        <v>0.65764571032952812</v>
      </c>
      <c r="AE96" s="463"/>
      <c r="AF96" s="439">
        <f>AF7</f>
        <v>7213306</v>
      </c>
      <c r="AG96" s="439"/>
      <c r="AH96" s="439">
        <f>AH7</f>
        <v>7877094.2005829997</v>
      </c>
      <c r="AI96" s="439"/>
      <c r="AJ96" s="439"/>
      <c r="AK96" s="439"/>
      <c r="AL96" s="439"/>
      <c r="AM96" s="439"/>
      <c r="AN96" s="439"/>
      <c r="AO96" s="439">
        <f>AO7</f>
        <v>7590000</v>
      </c>
      <c r="AP96" s="439"/>
      <c r="AQ96" s="439">
        <f>AQ7</f>
        <v>9266000</v>
      </c>
      <c r="AR96" s="439">
        <f>AR7</f>
        <v>10162499.699999999</v>
      </c>
      <c r="AS96" s="439"/>
      <c r="AT96" s="439"/>
      <c r="AU96" s="439"/>
      <c r="AV96" s="439">
        <f>SUM(AF96:AR96)</f>
        <v>42108899.900582999</v>
      </c>
      <c r="AW96" s="323"/>
      <c r="AX96" s="323">
        <f>AV96/$AV$96</f>
        <v>1</v>
      </c>
      <c r="AY96" s="323">
        <f>AV96/AA96-1</f>
        <v>0.12673548691145986</v>
      </c>
      <c r="AZ96" s="439">
        <f>AZ7</f>
        <v>11039000</v>
      </c>
      <c r="BA96" s="439">
        <f>BA7</f>
        <v>11935999.816611201</v>
      </c>
      <c r="BB96" s="439">
        <f>BB7</f>
        <v>12893500.408798838</v>
      </c>
      <c r="BC96" s="439">
        <f>BC7</f>
        <v>13961500.026622467</v>
      </c>
      <c r="BD96" s="439">
        <f>BD7</f>
        <v>15200000.027793854</v>
      </c>
      <c r="BE96" s="439">
        <f>SUM(AY96:BD96)</f>
        <v>65030000.406561844</v>
      </c>
      <c r="BF96" s="439"/>
      <c r="BG96" s="461">
        <f>BE96/$BE$96</f>
        <v>1</v>
      </c>
      <c r="BH96" s="461">
        <f>BE96/AV96</f>
        <v>1.5443291218743405</v>
      </c>
      <c r="BI96" s="467"/>
      <c r="BJ96" s="467"/>
      <c r="BK96" s="467"/>
    </row>
    <row r="97" spans="1:63" s="401" customFormat="1" hidden="1">
      <c r="A97" s="393" t="s">
        <v>137</v>
      </c>
      <c r="B97" s="426" t="s">
        <v>494</v>
      </c>
      <c r="C97" s="426"/>
      <c r="D97" s="468"/>
      <c r="E97" s="468"/>
      <c r="F97" s="468"/>
      <c r="G97" s="468"/>
      <c r="H97" s="397"/>
      <c r="I97" s="452"/>
      <c r="J97" s="438">
        <f>(D97*E97*F97*G97*H97)^(1/5)-1</f>
        <v>-1</v>
      </c>
      <c r="K97" s="397">
        <f>K96/H96</f>
        <v>1.046794510256291</v>
      </c>
      <c r="L97" s="397">
        <f>L96/K96</f>
        <v>1.0871803262801722</v>
      </c>
      <c r="M97" s="397">
        <f>M96/L96</f>
        <v>1.0142804314364227</v>
      </c>
      <c r="N97" s="397">
        <f>N96/M96</f>
        <v>0.89728425830443836</v>
      </c>
      <c r="O97" s="397">
        <f>O96/N96</f>
        <v>1.2583734267412459</v>
      </c>
      <c r="P97" s="397"/>
      <c r="Q97" s="421">
        <f>(K97*L97*M97*N97*O97)^(1/5)-1</f>
        <v>5.441634872072143E-2</v>
      </c>
      <c r="R97" s="397"/>
      <c r="S97" s="397">
        <f>S96/O96</f>
        <v>1.2241220555069345</v>
      </c>
      <c r="T97" s="397">
        <f>T96/S96</f>
        <v>1.0816472050564037</v>
      </c>
      <c r="U97" s="397"/>
      <c r="V97" s="397">
        <f>V96/T96</f>
        <v>1.0192457788942084</v>
      </c>
      <c r="W97" s="397"/>
      <c r="X97" s="397">
        <f>X96/V96</f>
        <v>1.2558961595494074</v>
      </c>
      <c r="Y97" s="397"/>
      <c r="Z97" s="397">
        <f>Z96/X96</f>
        <v>0.96121444581144755</v>
      </c>
      <c r="AA97" s="397"/>
      <c r="AB97" s="388">
        <f>(S97*T97*V97*X97*Z97)^(1/5)-1</f>
        <v>0.1025356971451945</v>
      </c>
      <c r="AC97" s="397"/>
      <c r="AD97" s="397"/>
      <c r="AE97" s="453"/>
      <c r="AF97" s="397">
        <f>AF96/Z96</f>
        <v>0.85558726617529812</v>
      </c>
      <c r="AG97" s="397"/>
      <c r="AH97" s="397">
        <f>AH96/AF96</f>
        <v>1.0920227424960205</v>
      </c>
      <c r="AI97" s="397"/>
      <c r="AJ97" s="397"/>
      <c r="AK97" s="397"/>
      <c r="AL97" s="397"/>
      <c r="AM97" s="397"/>
      <c r="AN97" s="397"/>
      <c r="AO97" s="397">
        <f>AO96/AH96</f>
        <v>0.9635532858599366</v>
      </c>
      <c r="AP97" s="397"/>
      <c r="AQ97" s="397">
        <f>AQ96/AO96</f>
        <v>1.2208168642951251</v>
      </c>
      <c r="AR97" s="397">
        <f>AR96/AQ96</f>
        <v>1.0967515324843513</v>
      </c>
      <c r="AS97" s="397"/>
      <c r="AT97" s="397"/>
      <c r="AU97" s="397"/>
      <c r="AV97" s="397"/>
      <c r="AW97" s="397">
        <f>(AO97*AQ97*AR97*AF97*AH97)^(1/5)-1</f>
        <v>3.8068709737854922E-2</v>
      </c>
      <c r="AX97" s="397"/>
      <c r="AY97" s="397"/>
      <c r="AZ97" s="397">
        <f>AZ96/AR96</f>
        <v>1.0862484945510011</v>
      </c>
      <c r="BA97" s="397">
        <f>BA96/AZ96</f>
        <v>1.0812573436553312</v>
      </c>
      <c r="BB97" s="397">
        <f>BB96/BA96</f>
        <v>1.080219554867544</v>
      </c>
      <c r="BC97" s="397">
        <f>BC96/BB96</f>
        <v>1.0828324026805629</v>
      </c>
      <c r="BD97" s="397">
        <f>BD96/BC96</f>
        <v>1.0887082332707629</v>
      </c>
      <c r="BE97" s="397"/>
      <c r="BF97" s="417">
        <f t="shared" si="117"/>
        <v>8.3848569109363336E-2</v>
      </c>
      <c r="BG97" s="397"/>
      <c r="BH97" s="397"/>
      <c r="BI97" s="469"/>
      <c r="BJ97" s="469"/>
      <c r="BK97" s="469"/>
    </row>
    <row r="98" spans="1:63" s="401" customFormat="1" hidden="1">
      <c r="A98" s="393" t="s">
        <v>137</v>
      </c>
      <c r="B98" s="426" t="s">
        <v>496</v>
      </c>
      <c r="C98" s="426"/>
      <c r="D98" s="468"/>
      <c r="E98" s="468"/>
      <c r="F98" s="468"/>
      <c r="G98" s="468"/>
      <c r="H98" s="397"/>
      <c r="I98" s="452"/>
      <c r="J98" s="452"/>
      <c r="K98" s="397">
        <f t="shared" ref="K98:P98" si="122">K96/K96</f>
        <v>1</v>
      </c>
      <c r="L98" s="397">
        <f t="shared" si="122"/>
        <v>1</v>
      </c>
      <c r="M98" s="397">
        <f t="shared" si="122"/>
        <v>1</v>
      </c>
      <c r="N98" s="397">
        <f t="shared" si="122"/>
        <v>1</v>
      </c>
      <c r="O98" s="397">
        <f t="shared" si="122"/>
        <v>1</v>
      </c>
      <c r="P98" s="397">
        <f t="shared" si="122"/>
        <v>1</v>
      </c>
      <c r="Q98" s="397"/>
      <c r="R98" s="397"/>
      <c r="S98" s="397"/>
      <c r="T98" s="397"/>
      <c r="U98" s="397"/>
      <c r="V98" s="397"/>
      <c r="W98" s="397"/>
      <c r="X98" s="397"/>
      <c r="Y98" s="397"/>
      <c r="Z98" s="397"/>
      <c r="AA98" s="397">
        <f>AA96/$AA$96</f>
        <v>1</v>
      </c>
      <c r="AB98" s="397"/>
      <c r="AC98" s="397"/>
      <c r="AD98" s="397"/>
      <c r="AE98" s="453"/>
      <c r="AF98" s="397"/>
      <c r="AG98" s="397"/>
      <c r="AH98" s="397"/>
      <c r="AI98" s="397"/>
      <c r="AJ98" s="397"/>
      <c r="AK98" s="397"/>
      <c r="AL98" s="397"/>
      <c r="AM98" s="397"/>
      <c r="AN98" s="397"/>
      <c r="AO98" s="397"/>
      <c r="AP98" s="397"/>
      <c r="AQ98" s="397"/>
      <c r="AR98" s="397"/>
      <c r="AS98" s="397"/>
      <c r="AT98" s="397"/>
      <c r="AU98" s="397"/>
      <c r="AV98" s="397"/>
      <c r="AW98" s="397"/>
      <c r="AX98" s="397"/>
      <c r="AY98" s="397"/>
      <c r="AZ98" s="397"/>
      <c r="BA98" s="397"/>
      <c r="BB98" s="397"/>
      <c r="BC98" s="397"/>
      <c r="BD98" s="397"/>
      <c r="BE98" s="397"/>
      <c r="BF98" s="397"/>
      <c r="BG98" s="397"/>
      <c r="BH98" s="397"/>
      <c r="BI98" s="469"/>
      <c r="BJ98" s="469"/>
      <c r="BK98" s="469"/>
    </row>
    <row r="99" spans="1:63" s="465" customFormat="1" hidden="1">
      <c r="A99" s="459" t="s">
        <v>34</v>
      </c>
      <c r="B99" s="466" t="s">
        <v>507</v>
      </c>
      <c r="C99" s="439">
        <f t="shared" ref="C99:K99" si="123">C102+C105</f>
        <v>137344.480144</v>
      </c>
      <c r="D99" s="439">
        <f t="shared" si="123"/>
        <v>137340</v>
      </c>
      <c r="E99" s="439">
        <f t="shared" si="123"/>
        <v>218870</v>
      </c>
      <c r="F99" s="439">
        <f t="shared" si="123"/>
        <v>250960</v>
      </c>
      <c r="G99" s="439">
        <f t="shared" si="123"/>
        <v>427970</v>
      </c>
      <c r="H99" s="439">
        <f t="shared" si="123"/>
        <v>511718</v>
      </c>
      <c r="I99" s="439"/>
      <c r="J99" s="462"/>
      <c r="K99" s="439">
        <f t="shared" si="123"/>
        <v>518821.53815899999</v>
      </c>
      <c r="L99" s="439">
        <f>L102+L105</f>
        <v>621252.36285999999</v>
      </c>
      <c r="M99" s="439">
        <f>M102+M105</f>
        <v>637708.48531999998</v>
      </c>
      <c r="N99" s="439">
        <f>N102+N105</f>
        <v>471746.97741499997</v>
      </c>
      <c r="O99" s="439">
        <f>O102+O105</f>
        <v>537596</v>
      </c>
      <c r="P99" s="439">
        <f>P102+P105</f>
        <v>2787125.363754</v>
      </c>
      <c r="Q99" s="323"/>
      <c r="R99" s="323">
        <f>P99/$P$96</f>
        <v>0.12362215068222882</v>
      </c>
      <c r="S99" s="439">
        <f>S102+S105</f>
        <v>527335</v>
      </c>
      <c r="T99" s="439">
        <f>T102+T105</f>
        <v>583102</v>
      </c>
      <c r="U99" s="439"/>
      <c r="V99" s="439">
        <f>V102+V105</f>
        <v>589448</v>
      </c>
      <c r="W99" s="439"/>
      <c r="X99" s="439">
        <f>X102+X105</f>
        <v>703523</v>
      </c>
      <c r="Y99" s="439"/>
      <c r="Z99" s="439">
        <f>Z102+Z105</f>
        <v>638320.9</v>
      </c>
      <c r="AA99" s="327">
        <f>SUM(S99:Z99)</f>
        <v>3041728.9</v>
      </c>
      <c r="AB99" s="439"/>
      <c r="AC99" s="323"/>
      <c r="AD99" s="323"/>
      <c r="AE99" s="463"/>
      <c r="AF99" s="439">
        <f>AF102+AF105</f>
        <v>531474</v>
      </c>
      <c r="AG99" s="439"/>
      <c r="AH99" s="439">
        <f>AH102+AH105</f>
        <v>619044.33509499999</v>
      </c>
      <c r="AI99" s="439"/>
      <c r="AJ99" s="439"/>
      <c r="AK99" s="439"/>
      <c r="AL99" s="439"/>
      <c r="AM99" s="439"/>
      <c r="AN99" s="439"/>
      <c r="AO99" s="439">
        <f>AO102+AO105</f>
        <v>600000</v>
      </c>
      <c r="AP99" s="439"/>
      <c r="AQ99" s="439">
        <f>AQ102+AQ105</f>
        <v>530000</v>
      </c>
      <c r="AR99" s="439">
        <f>AR102+AR105</f>
        <v>779999.7</v>
      </c>
      <c r="AS99" s="439"/>
      <c r="AT99" s="439"/>
      <c r="AU99" s="439"/>
      <c r="AV99" s="439">
        <f>SUM(AF99:AR99)</f>
        <v>3060518.0350949997</v>
      </c>
      <c r="AW99" s="323"/>
      <c r="AX99" s="323"/>
      <c r="AY99" s="323"/>
      <c r="AZ99" s="439">
        <f>AZ102+AZ105</f>
        <v>850000</v>
      </c>
      <c r="BA99" s="439">
        <f>BA102+BA105</f>
        <v>930000</v>
      </c>
      <c r="BB99" s="439">
        <f>BB102+BB105</f>
        <v>1030000</v>
      </c>
      <c r="BC99" s="439">
        <f>BC102+BC105</f>
        <v>1145000</v>
      </c>
      <c r="BD99" s="439">
        <f>BD102+BD105</f>
        <v>1280000</v>
      </c>
      <c r="BE99" s="439">
        <f>SUM(AY99:BD99)</f>
        <v>5235000</v>
      </c>
      <c r="BF99" s="439"/>
      <c r="BG99" s="461">
        <f>BE99/$BE$96</f>
        <v>8.0501306585748736E-2</v>
      </c>
      <c r="BH99" s="461">
        <f>BE99/AV99</f>
        <v>1.7104947397696035</v>
      </c>
      <c r="BI99" s="467"/>
      <c r="BJ99" s="467"/>
      <c r="BK99" s="467"/>
    </row>
    <row r="100" spans="1:63" s="401" customFormat="1" hidden="1">
      <c r="A100" s="393" t="s">
        <v>137</v>
      </c>
      <c r="B100" s="426" t="s">
        <v>494</v>
      </c>
      <c r="C100" s="426"/>
      <c r="D100" s="468"/>
      <c r="E100" s="468"/>
      <c r="F100" s="468"/>
      <c r="G100" s="468"/>
      <c r="H100" s="397"/>
      <c r="I100" s="452"/>
      <c r="J100" s="438">
        <f>(D100*E100*F100*G100*H100)^(1/5)-1</f>
        <v>-1</v>
      </c>
      <c r="K100" s="397">
        <f>K99/H99</f>
        <v>1.0138817437709833</v>
      </c>
      <c r="L100" s="397">
        <f>L99/K99</f>
        <v>1.1974297849400553</v>
      </c>
      <c r="M100" s="397">
        <f>M99/L99</f>
        <v>1.0264886275590848</v>
      </c>
      <c r="N100" s="397">
        <f>N99/M99</f>
        <v>0.73975333287007927</v>
      </c>
      <c r="O100" s="397">
        <f>O99/N99</f>
        <v>1.1395854679256843</v>
      </c>
      <c r="P100" s="397"/>
      <c r="Q100" s="421">
        <f>(K100*L100*M100*N100*O100)^(1/5)-1</f>
        <v>9.9155680111433497E-3</v>
      </c>
      <c r="R100" s="397"/>
      <c r="S100" s="397">
        <f>S99/O99</f>
        <v>0.98091317643732467</v>
      </c>
      <c r="T100" s="397">
        <f>T99/S99</f>
        <v>1.1057525102638741</v>
      </c>
      <c r="U100" s="397"/>
      <c r="V100" s="397">
        <f>V99/T99</f>
        <v>1.0108831730983601</v>
      </c>
      <c r="W100" s="397"/>
      <c r="X100" s="397">
        <f>X99/V99</f>
        <v>1.1935285215998697</v>
      </c>
      <c r="Y100" s="397"/>
      <c r="Z100" s="397">
        <f>Z99/X99</f>
        <v>0.90732058511235603</v>
      </c>
      <c r="AA100" s="397"/>
      <c r="AB100" s="388">
        <f>(S100*T100*V100*X100*Z100)^(1/5)-1</f>
        <v>3.4943418646943725E-2</v>
      </c>
      <c r="AC100" s="397"/>
      <c r="AD100" s="397"/>
      <c r="AE100" s="453"/>
      <c r="AF100" s="397">
        <f>AF99/Z99</f>
        <v>0.83261256211413415</v>
      </c>
      <c r="AG100" s="397"/>
      <c r="AH100" s="397">
        <f>AH99/AF99</f>
        <v>1.1647688035444819</v>
      </c>
      <c r="AI100" s="397"/>
      <c r="AJ100" s="397"/>
      <c r="AK100" s="397"/>
      <c r="AL100" s="397"/>
      <c r="AM100" s="397"/>
      <c r="AN100" s="397"/>
      <c r="AO100" s="397">
        <f>AO99/AH99</f>
        <v>0.969235910878536</v>
      </c>
      <c r="AP100" s="397"/>
      <c r="AQ100" s="397">
        <f>AQ99/AO99</f>
        <v>0.8833333333333333</v>
      </c>
      <c r="AR100" s="397">
        <f>AR99/AQ99</f>
        <v>1.4716975471698113</v>
      </c>
      <c r="AS100" s="397"/>
      <c r="AT100" s="397"/>
      <c r="AU100" s="397"/>
      <c r="AV100" s="397"/>
      <c r="AW100" s="397">
        <f>(AO100*AQ100*AR100*AF100*AH100)^(1/5)-1</f>
        <v>4.0904951036302872E-2</v>
      </c>
      <c r="AX100" s="397"/>
      <c r="AY100" s="397"/>
      <c r="AZ100" s="397">
        <f>AZ99/AR99</f>
        <v>1.0897440088759009</v>
      </c>
      <c r="BA100" s="397">
        <f>BA99/AZ99</f>
        <v>1.0941176470588236</v>
      </c>
      <c r="BB100" s="397">
        <f>BB99/BA99</f>
        <v>1.10752688172043</v>
      </c>
      <c r="BC100" s="397">
        <f>BC99/BB99</f>
        <v>1.1116504854368932</v>
      </c>
      <c r="BD100" s="397">
        <f>BD99/BC99</f>
        <v>1.1179039301310043</v>
      </c>
      <c r="BE100" s="397"/>
      <c r="BF100" s="417">
        <f t="shared" ref="BF100" si="124">(AZ100*BA100*BB100*BC100*BD100)^(1/5)-1</f>
        <v>0.10413736437669052</v>
      </c>
      <c r="BG100" s="397"/>
      <c r="BH100" s="397"/>
      <c r="BI100" s="469"/>
      <c r="BJ100" s="469"/>
      <c r="BK100" s="469"/>
    </row>
    <row r="101" spans="1:63" s="401" customFormat="1" hidden="1">
      <c r="A101" s="393" t="s">
        <v>137</v>
      </c>
      <c r="B101" s="426" t="s">
        <v>496</v>
      </c>
      <c r="C101" s="426"/>
      <c r="D101" s="468"/>
      <c r="E101" s="468"/>
      <c r="F101" s="468"/>
      <c r="G101" s="468"/>
      <c r="H101" s="397"/>
      <c r="I101" s="452"/>
      <c r="J101" s="452"/>
      <c r="K101" s="397">
        <f>K99/$K$96</f>
        <v>0.12482755677368619</v>
      </c>
      <c r="L101" s="397">
        <f>L99/$L$96</f>
        <v>0.13748614728297409</v>
      </c>
      <c r="M101" s="397">
        <f>M99/$M$96</f>
        <v>0.13914097350081084</v>
      </c>
      <c r="N101" s="397">
        <f>N99/$N$96</f>
        <v>0.11471281027543583</v>
      </c>
      <c r="O101" s="397">
        <f>O99/$O$96</f>
        <v>0.10388414821611078</v>
      </c>
      <c r="P101" s="397">
        <f>P99/$P$96</f>
        <v>0.12362215068222882</v>
      </c>
      <c r="Q101" s="397"/>
      <c r="R101" s="397"/>
      <c r="S101" s="397">
        <f>S99/$S$96</f>
        <v>8.3244419418577978E-2</v>
      </c>
      <c r="T101" s="397">
        <f>T99/$T$96</f>
        <v>8.5099582661752868E-2</v>
      </c>
      <c r="U101" s="397"/>
      <c r="V101" s="397">
        <f>V99/$V$96</f>
        <v>8.4401366119749119E-2</v>
      </c>
      <c r="W101" s="397"/>
      <c r="X101" s="397">
        <f>X99/$X$96</f>
        <v>8.0210005389343281E-2</v>
      </c>
      <c r="Y101" s="397"/>
      <c r="Z101" s="397">
        <f>Z99/$Z$96</f>
        <v>7.5712749989194403E-2</v>
      </c>
      <c r="AA101" s="397">
        <f>AA99/$AA$96</f>
        <v>8.138953763422134E-2</v>
      </c>
      <c r="AB101" s="397"/>
      <c r="AC101" s="388"/>
      <c r="AD101" s="388"/>
      <c r="AE101" s="390"/>
      <c r="AF101" s="397">
        <f>AF99/$AF$96</f>
        <v>7.3679669211315871E-2</v>
      </c>
      <c r="AG101" s="397"/>
      <c r="AH101" s="397">
        <f>AH99/$AH$96</f>
        <v>7.8587905556491033E-2</v>
      </c>
      <c r="AI101" s="397"/>
      <c r="AJ101" s="397"/>
      <c r="AK101" s="397"/>
      <c r="AL101" s="397"/>
      <c r="AM101" s="397"/>
      <c r="AN101" s="397"/>
      <c r="AO101" s="397">
        <f>AO99/$AO$96</f>
        <v>7.9051383399209488E-2</v>
      </c>
      <c r="AP101" s="397"/>
      <c r="AQ101" s="397">
        <f>AQ99/$AQ$96</f>
        <v>5.719835959421541E-2</v>
      </c>
      <c r="AR101" s="397">
        <f>AR99/$AR$96</f>
        <v>7.6752740273143619E-2</v>
      </c>
      <c r="AS101" s="397"/>
      <c r="AT101" s="397"/>
      <c r="AU101" s="397"/>
      <c r="AV101" s="397"/>
      <c r="AW101" s="388"/>
      <c r="AX101" s="388"/>
      <c r="AY101" s="388"/>
      <c r="AZ101" s="397">
        <f>AZ99/AZ96</f>
        <v>7.6999728236253284E-2</v>
      </c>
      <c r="BA101" s="397">
        <f>BA99/BA96</f>
        <v>7.7915550794976488E-2</v>
      </c>
      <c r="BB101" s="397">
        <f>BB99/BB96</f>
        <v>7.9885210946835122E-2</v>
      </c>
      <c r="BC101" s="397">
        <f>BC99/BC96</f>
        <v>8.2011245053658879E-2</v>
      </c>
      <c r="BD101" s="397">
        <f>BD99/BD96</f>
        <v>8.4210526161806895E-2</v>
      </c>
      <c r="BE101" s="397"/>
      <c r="BF101" s="397"/>
      <c r="BG101" s="397"/>
      <c r="BH101" s="397"/>
      <c r="BI101" s="469"/>
      <c r="BJ101" s="469"/>
      <c r="BK101" s="469"/>
    </row>
    <row r="102" spans="1:63" s="465" customFormat="1" hidden="1">
      <c r="A102" s="470" t="s">
        <v>508</v>
      </c>
      <c r="B102" s="337" t="s">
        <v>500</v>
      </c>
      <c r="C102" s="439">
        <f t="shared" ref="C102:P102" si="125">C10</f>
        <v>89115.503914999994</v>
      </c>
      <c r="D102" s="439">
        <f t="shared" si="125"/>
        <v>92540</v>
      </c>
      <c r="E102" s="439">
        <f t="shared" si="125"/>
        <v>116990</v>
      </c>
      <c r="F102" s="439">
        <f t="shared" si="125"/>
        <v>174910</v>
      </c>
      <c r="G102" s="439">
        <f t="shared" si="125"/>
        <v>255100</v>
      </c>
      <c r="H102" s="439">
        <f t="shared" si="125"/>
        <v>363111</v>
      </c>
      <c r="I102" s="439"/>
      <c r="J102" s="462"/>
      <c r="K102" s="439">
        <f t="shared" si="125"/>
        <v>375470.05056100001</v>
      </c>
      <c r="L102" s="439">
        <f t="shared" si="125"/>
        <v>392086.67269099999</v>
      </c>
      <c r="M102" s="439">
        <f t="shared" si="125"/>
        <v>377894.530516</v>
      </c>
      <c r="N102" s="439">
        <f t="shared" si="125"/>
        <v>203043.31661899999</v>
      </c>
      <c r="O102" s="439">
        <f t="shared" si="125"/>
        <v>205240</v>
      </c>
      <c r="P102" s="439">
        <f t="shared" si="125"/>
        <v>1553734.570387</v>
      </c>
      <c r="Q102" s="323"/>
      <c r="R102" s="323">
        <f>P102/$P$96</f>
        <v>6.8915453778462671E-2</v>
      </c>
      <c r="S102" s="439">
        <f>S10</f>
        <v>203694</v>
      </c>
      <c r="T102" s="439">
        <f>T10</f>
        <v>198943</v>
      </c>
      <c r="U102" s="439"/>
      <c r="V102" s="439">
        <f>V10</f>
        <v>203584</v>
      </c>
      <c r="W102" s="439"/>
      <c r="X102" s="439">
        <f>X10</f>
        <v>223875</v>
      </c>
      <c r="Y102" s="439"/>
      <c r="Z102" s="439">
        <f>Z10</f>
        <v>183101</v>
      </c>
      <c r="AA102" s="327">
        <f>SUM(S102:Z102)</f>
        <v>1013197</v>
      </c>
      <c r="AB102" s="439"/>
      <c r="AC102" s="323"/>
      <c r="AD102" s="323">
        <f>AA102/P102-1</f>
        <v>-0.34789569640093954</v>
      </c>
      <c r="AE102" s="463"/>
      <c r="AF102" s="439">
        <f>AF10</f>
        <v>245001</v>
      </c>
      <c r="AG102" s="439"/>
      <c r="AH102" s="439">
        <f>AH10</f>
        <v>227900.049615</v>
      </c>
      <c r="AI102" s="439"/>
      <c r="AJ102" s="439"/>
      <c r="AK102" s="439"/>
      <c r="AL102" s="439"/>
      <c r="AM102" s="439"/>
      <c r="AN102" s="439"/>
      <c r="AO102" s="439">
        <f>AO10</f>
        <v>250000</v>
      </c>
      <c r="AP102" s="439"/>
      <c r="AQ102" s="439">
        <f>AQ10</f>
        <v>230000</v>
      </c>
      <c r="AR102" s="439">
        <f>AR10</f>
        <v>309999.7</v>
      </c>
      <c r="AS102" s="439"/>
      <c r="AT102" s="439"/>
      <c r="AU102" s="439"/>
      <c r="AV102" s="439">
        <f>SUM(AF102:AR102)</f>
        <v>1262900.7496150001</v>
      </c>
      <c r="AW102" s="323"/>
      <c r="AX102" s="323">
        <f>AV102/$AV$96</f>
        <v>2.9991302375427652E-2</v>
      </c>
      <c r="AY102" s="323">
        <f>AV102/AA102-1</f>
        <v>0.24645133139458575</v>
      </c>
      <c r="AZ102" s="439">
        <f>AZ10</f>
        <v>340000</v>
      </c>
      <c r="BA102" s="439">
        <f>BA10</f>
        <v>370000</v>
      </c>
      <c r="BB102" s="439">
        <f>BB10</f>
        <v>410000</v>
      </c>
      <c r="BC102" s="439">
        <f>BC10</f>
        <v>455000</v>
      </c>
      <c r="BD102" s="439">
        <f>BD10</f>
        <v>510000</v>
      </c>
      <c r="BE102" s="439">
        <f>SUM(AY102:BD102)</f>
        <v>2085000.2464513313</v>
      </c>
      <c r="BF102" s="439"/>
      <c r="BG102" s="461">
        <f>BE102/$BE$96</f>
        <v>3.206212876235727E-2</v>
      </c>
      <c r="BH102" s="461">
        <f>BE102/AV102</f>
        <v>1.650961286614923</v>
      </c>
      <c r="BI102" s="467"/>
      <c r="BJ102" s="467"/>
      <c r="BK102" s="467"/>
    </row>
    <row r="103" spans="1:63" s="401" customFormat="1" hidden="1">
      <c r="A103" s="393" t="s">
        <v>137</v>
      </c>
      <c r="B103" s="426" t="s">
        <v>494</v>
      </c>
      <c r="C103" s="426"/>
      <c r="D103" s="468"/>
      <c r="E103" s="468"/>
      <c r="F103" s="468"/>
      <c r="G103" s="468"/>
      <c r="H103" s="397"/>
      <c r="I103" s="452"/>
      <c r="J103" s="438">
        <f>(D103*E103*F103*G103*H103)^(1/5)-1</f>
        <v>-1</v>
      </c>
      <c r="K103" s="397">
        <f>K102/H102</f>
        <v>1.0340365633676756</v>
      </c>
      <c r="L103" s="397">
        <f>L102/K102</f>
        <v>1.0442555194619987</v>
      </c>
      <c r="M103" s="397">
        <f>M102/L102</f>
        <v>0.96380355884683511</v>
      </c>
      <c r="N103" s="397">
        <f>N102/M102</f>
        <v>0.53730154903737926</v>
      </c>
      <c r="O103" s="397">
        <f>O102/N102</f>
        <v>1.0108187918596798</v>
      </c>
      <c r="P103" s="397"/>
      <c r="Q103" s="421">
        <f>(K103*L103*M103*N103*O103)^(1/5)-1</f>
        <v>-0.10783635910935707</v>
      </c>
      <c r="R103" s="397"/>
      <c r="S103" s="397">
        <f>S102/O102</f>
        <v>0.9924673552913662</v>
      </c>
      <c r="T103" s="397">
        <f>T102/S102</f>
        <v>0.97667579801074156</v>
      </c>
      <c r="U103" s="397"/>
      <c r="V103" s="397">
        <f>V102/T102</f>
        <v>1.0233282900127172</v>
      </c>
      <c r="W103" s="397"/>
      <c r="X103" s="397">
        <f>X102/V102</f>
        <v>1.099668932725558</v>
      </c>
      <c r="Y103" s="397"/>
      <c r="Z103" s="397">
        <f>Z102/X102</f>
        <v>0.81787158012283645</v>
      </c>
      <c r="AA103" s="397"/>
      <c r="AB103" s="388">
        <f>(S103*T103*V103*X103*Z103)^(1/5)-1</f>
        <v>-2.2569825667848264E-2</v>
      </c>
      <c r="AC103" s="397"/>
      <c r="AD103" s="397"/>
      <c r="AE103" s="453"/>
      <c r="AF103" s="397">
        <f>AF102/Z102</f>
        <v>1.3380647839170732</v>
      </c>
      <c r="AG103" s="397"/>
      <c r="AH103" s="397">
        <f>AH102/AF102</f>
        <v>0.93020048740617389</v>
      </c>
      <c r="AI103" s="397"/>
      <c r="AJ103" s="397"/>
      <c r="AK103" s="397"/>
      <c r="AL103" s="397"/>
      <c r="AM103" s="397"/>
      <c r="AN103" s="397"/>
      <c r="AO103" s="397">
        <f>AO102/AH102</f>
        <v>1.0969721174801597</v>
      </c>
      <c r="AP103" s="397"/>
      <c r="AQ103" s="397">
        <f>AQ102/AO102</f>
        <v>0.92</v>
      </c>
      <c r="AR103" s="397">
        <f>AR102/AQ102</f>
        <v>1.3478247826086958</v>
      </c>
      <c r="AS103" s="397"/>
      <c r="AT103" s="397"/>
      <c r="AU103" s="397"/>
      <c r="AV103" s="397"/>
      <c r="AW103" s="397">
        <f>(AO103*AQ103*AR103*AF103*AH103)^(1/5)-1</f>
        <v>0.1110512990067396</v>
      </c>
      <c r="AX103" s="397"/>
      <c r="AY103" s="397"/>
      <c r="AZ103" s="397">
        <f>AZ102/AR102</f>
        <v>1.096775254943795</v>
      </c>
      <c r="BA103" s="397">
        <f>BA102/AZ102</f>
        <v>1.088235294117647</v>
      </c>
      <c r="BB103" s="397">
        <f>BB102/BA102</f>
        <v>1.1081081081081081</v>
      </c>
      <c r="BC103" s="397">
        <f>BC102/BB102</f>
        <v>1.1097560975609757</v>
      </c>
      <c r="BD103" s="397">
        <f>BD102/BC102</f>
        <v>1.1208791208791209</v>
      </c>
      <c r="BE103" s="397"/>
      <c r="BF103" s="417">
        <f t="shared" ref="BF103" si="126">(AZ103*BA103*BB103*BC103*BD103)^(1/5)-1</f>
        <v>0.10469345389885287</v>
      </c>
      <c r="BG103" s="397"/>
      <c r="BH103" s="397"/>
      <c r="BI103" s="469"/>
      <c r="BJ103" s="469"/>
      <c r="BK103" s="469"/>
    </row>
    <row r="104" spans="1:63" s="401" customFormat="1" hidden="1">
      <c r="A104" s="393" t="s">
        <v>137</v>
      </c>
      <c r="B104" s="426" t="s">
        <v>496</v>
      </c>
      <c r="C104" s="426"/>
      <c r="D104" s="468"/>
      <c r="E104" s="468"/>
      <c r="F104" s="468"/>
      <c r="G104" s="468"/>
      <c r="H104" s="397"/>
      <c r="I104" s="452"/>
      <c r="J104" s="452"/>
      <c r="K104" s="397">
        <f>K102/$K$96</f>
        <v>9.0337438995946998E-2</v>
      </c>
      <c r="L104" s="397">
        <f>L102/$L$96</f>
        <v>8.6770673645605062E-2</v>
      </c>
      <c r="M104" s="397">
        <f>M102/$M$96</f>
        <v>8.2452427820908378E-2</v>
      </c>
      <c r="N104" s="397">
        <f>N102/$N$96</f>
        <v>4.9373224571867699E-2</v>
      </c>
      <c r="O104" s="397">
        <f>O102/$O$96</f>
        <v>3.9660232925606921E-2</v>
      </c>
      <c r="P104" s="397">
        <f>P102/$P$96</f>
        <v>6.8915453778462671E-2</v>
      </c>
      <c r="Q104" s="397"/>
      <c r="R104" s="397"/>
      <c r="S104" s="397">
        <f>S102/$S$96</f>
        <v>3.2154870753975787E-2</v>
      </c>
      <c r="T104" s="397">
        <f>T102/$T$96</f>
        <v>2.9034313505145071E-2</v>
      </c>
      <c r="U104" s="397"/>
      <c r="V104" s="397">
        <f>V102/$V$96</f>
        <v>2.9150608230281559E-2</v>
      </c>
      <c r="W104" s="397"/>
      <c r="X104" s="397">
        <f>X102/$X$96</f>
        <v>2.5524417761095555E-2</v>
      </c>
      <c r="Y104" s="397"/>
      <c r="Z104" s="397">
        <f>Z102/$Z$96</f>
        <v>2.1718042188139983E-2</v>
      </c>
      <c r="AA104" s="397">
        <f>AA102/$AA$96</f>
        <v>2.7110777479998353E-2</v>
      </c>
      <c r="AB104" s="397"/>
      <c r="AC104" s="388"/>
      <c r="AD104" s="388"/>
      <c r="AE104" s="390"/>
      <c r="AF104" s="397">
        <f>AF102/$AF$96</f>
        <v>3.3965147187711153E-2</v>
      </c>
      <c r="AG104" s="397"/>
      <c r="AH104" s="397">
        <f>AH102/$AH$96</f>
        <v>2.8931994947849253E-2</v>
      </c>
      <c r="AI104" s="397"/>
      <c r="AJ104" s="397"/>
      <c r="AK104" s="397"/>
      <c r="AL104" s="397"/>
      <c r="AM104" s="397"/>
      <c r="AN104" s="397"/>
      <c r="AO104" s="397">
        <f>AO102/$AO$96</f>
        <v>3.2938076416337288E-2</v>
      </c>
      <c r="AP104" s="397"/>
      <c r="AQ104" s="397">
        <f>AQ102/$AQ$96</f>
        <v>2.4821929635225556E-2</v>
      </c>
      <c r="AR104" s="397">
        <f>AR102/$AR$96</f>
        <v>3.0504276423250477E-2</v>
      </c>
      <c r="AS104" s="397"/>
      <c r="AT104" s="397"/>
      <c r="AU104" s="397"/>
      <c r="AV104" s="397"/>
      <c r="AW104" s="388"/>
      <c r="AX104" s="388"/>
      <c r="AY104" s="388"/>
      <c r="AZ104" s="397">
        <f>AZ102/$AZ$96</f>
        <v>3.0799891294501315E-2</v>
      </c>
      <c r="BA104" s="397">
        <f>BA102/$BA$96</f>
        <v>3.0998659993700321E-2</v>
      </c>
      <c r="BB104" s="397">
        <f>BB102/$BB$96</f>
        <v>3.1798967464274172E-2</v>
      </c>
      <c r="BC104" s="397">
        <f>BC102/$BC$96</f>
        <v>3.2589621396868808E-2</v>
      </c>
      <c r="BD104" s="397">
        <f>BD102/$BD$96</f>
        <v>3.3552631517594939E-2</v>
      </c>
      <c r="BE104" s="397"/>
      <c r="BF104" s="397"/>
      <c r="BG104" s="397"/>
      <c r="BH104" s="397"/>
      <c r="BI104" s="469"/>
      <c r="BJ104" s="469"/>
      <c r="BK104" s="469"/>
    </row>
    <row r="105" spans="1:63" s="465" customFormat="1" hidden="1">
      <c r="A105" s="470" t="s">
        <v>509</v>
      </c>
      <c r="B105" s="337" t="s">
        <v>501</v>
      </c>
      <c r="C105" s="439">
        <f t="shared" ref="C105:P105" si="127">C11</f>
        <v>48228.976229</v>
      </c>
      <c r="D105" s="439">
        <f t="shared" si="127"/>
        <v>44800</v>
      </c>
      <c r="E105" s="439">
        <f t="shared" si="127"/>
        <v>101880</v>
      </c>
      <c r="F105" s="439">
        <f t="shared" si="127"/>
        <v>76050</v>
      </c>
      <c r="G105" s="439">
        <f t="shared" si="127"/>
        <v>172870</v>
      </c>
      <c r="H105" s="439">
        <f t="shared" si="127"/>
        <v>148607</v>
      </c>
      <c r="I105" s="439"/>
      <c r="J105" s="462"/>
      <c r="K105" s="439">
        <f t="shared" si="127"/>
        <v>143351.48759800001</v>
      </c>
      <c r="L105" s="439">
        <f t="shared" si="127"/>
        <v>229165.69016900001</v>
      </c>
      <c r="M105" s="439">
        <f t="shared" si="127"/>
        <v>259813.95480400001</v>
      </c>
      <c r="N105" s="439">
        <f t="shared" si="127"/>
        <v>268703.66079599998</v>
      </c>
      <c r="O105" s="439">
        <f t="shared" si="127"/>
        <v>332356</v>
      </c>
      <c r="P105" s="439">
        <f t="shared" si="127"/>
        <v>1233390.7933670001</v>
      </c>
      <c r="Q105" s="323"/>
      <c r="R105" s="323">
        <f>P105/$P$96</f>
        <v>5.4706696903766137E-2</v>
      </c>
      <c r="S105" s="439">
        <f>S11</f>
        <v>323641</v>
      </c>
      <c r="T105" s="439">
        <f>T11</f>
        <v>384159</v>
      </c>
      <c r="U105" s="439"/>
      <c r="V105" s="439">
        <f>V11</f>
        <v>385864</v>
      </c>
      <c r="W105" s="439"/>
      <c r="X105" s="439">
        <f>X11</f>
        <v>479648</v>
      </c>
      <c r="Y105" s="439"/>
      <c r="Z105" s="439">
        <f>Z11</f>
        <v>455219.9</v>
      </c>
      <c r="AA105" s="327">
        <f>SUM(S105:Z105)</f>
        <v>2028531.9</v>
      </c>
      <c r="AB105" s="439"/>
      <c r="AC105" s="323"/>
      <c r="AD105" s="323">
        <f>AA105/P105-1</f>
        <v>0.64467897028999688</v>
      </c>
      <c r="AE105" s="463"/>
      <c r="AF105" s="439">
        <f>AF11</f>
        <v>286473</v>
      </c>
      <c r="AG105" s="439"/>
      <c r="AH105" s="439">
        <f>AH11</f>
        <v>391144.28547999996</v>
      </c>
      <c r="AI105" s="439"/>
      <c r="AJ105" s="439"/>
      <c r="AK105" s="439"/>
      <c r="AL105" s="439"/>
      <c r="AM105" s="439"/>
      <c r="AN105" s="439"/>
      <c r="AO105" s="439">
        <f>AO11</f>
        <v>350000</v>
      </c>
      <c r="AP105" s="439"/>
      <c r="AQ105" s="439">
        <f>AQ11</f>
        <v>300000</v>
      </c>
      <c r="AR105" s="439">
        <f>AR11</f>
        <v>470000</v>
      </c>
      <c r="AS105" s="439"/>
      <c r="AT105" s="439"/>
      <c r="AU105" s="439"/>
      <c r="AV105" s="439">
        <f>SUM(AF105:AR105)</f>
        <v>1797617.2854800001</v>
      </c>
      <c r="AW105" s="323"/>
      <c r="AX105" s="323">
        <f>AV105/$AV$96</f>
        <v>4.2689723306096439E-2</v>
      </c>
      <c r="AY105" s="323">
        <f>AV105/AA105-1</f>
        <v>-0.11383336615016992</v>
      </c>
      <c r="AZ105" s="439">
        <f>AZ11</f>
        <v>510000</v>
      </c>
      <c r="BA105" s="439">
        <f>BA11</f>
        <v>560000</v>
      </c>
      <c r="BB105" s="439">
        <f>BB11</f>
        <v>620000</v>
      </c>
      <c r="BC105" s="439">
        <f>BC11</f>
        <v>690000</v>
      </c>
      <c r="BD105" s="439">
        <f>BD11</f>
        <v>770000</v>
      </c>
      <c r="BE105" s="439">
        <f>SUM(AY105:BD105)</f>
        <v>3149999.886166634</v>
      </c>
      <c r="BF105" s="439"/>
      <c r="BG105" s="461">
        <f>BE105/$BE$96</f>
        <v>4.8439179862726611E-2</v>
      </c>
      <c r="BH105" s="461">
        <f>BE105/AV105</f>
        <v>1.7523195352038021</v>
      </c>
      <c r="BI105" s="467"/>
      <c r="BJ105" s="467"/>
      <c r="BK105" s="467"/>
    </row>
    <row r="106" spans="1:63" s="294" customFormat="1" hidden="1">
      <c r="A106" s="393" t="s">
        <v>137</v>
      </c>
      <c r="B106" s="426" t="s">
        <v>494</v>
      </c>
      <c r="C106" s="468"/>
      <c r="D106" s="468"/>
      <c r="E106" s="468"/>
      <c r="F106" s="468"/>
      <c r="G106" s="468"/>
      <c r="H106" s="397"/>
      <c r="I106" s="452"/>
      <c r="J106" s="438">
        <f>(D106*E106*F106*G106*H106)^(1/5)-1</f>
        <v>-1</v>
      </c>
      <c r="K106" s="397">
        <f>K105/H105</f>
        <v>0.96463482607145024</v>
      </c>
      <c r="L106" s="397">
        <f>L105/K105</f>
        <v>1.5986279180558518</v>
      </c>
      <c r="M106" s="397">
        <f>M105/L105</f>
        <v>1.1337384519139764</v>
      </c>
      <c r="N106" s="397">
        <f>N105/M105</f>
        <v>1.0342156601969523</v>
      </c>
      <c r="O106" s="397">
        <f>O105/N105</f>
        <v>1.2368867585035432</v>
      </c>
      <c r="P106" s="397"/>
      <c r="Q106" s="421">
        <f>(K106*L106*M106*N106*O106)^(1/5)-1</f>
        <v>0.17466181508080636</v>
      </c>
      <c r="R106" s="397"/>
      <c r="S106" s="397">
        <f>S105/O105</f>
        <v>0.97377811744033504</v>
      </c>
      <c r="T106" s="397">
        <f>T105/S105</f>
        <v>1.1869911414190415</v>
      </c>
      <c r="U106" s="397"/>
      <c r="V106" s="397">
        <f>V105/T105</f>
        <v>1.004438266446966</v>
      </c>
      <c r="W106" s="397"/>
      <c r="X106" s="397">
        <f>X105/V105</f>
        <v>1.2430493645429477</v>
      </c>
      <c r="Y106" s="397"/>
      <c r="Z106" s="397">
        <f>Z105/X105</f>
        <v>0.9490707769030623</v>
      </c>
      <c r="AA106" s="397"/>
      <c r="AB106" s="388">
        <f>(S106*T106*V106*X106*Z106)^(1/5)-1</f>
        <v>6.4936084774755098E-2</v>
      </c>
      <c r="AC106" s="397"/>
      <c r="AD106" s="397"/>
      <c r="AE106" s="453"/>
      <c r="AF106" s="397">
        <f>AF105/Z105</f>
        <v>0.62930684708643003</v>
      </c>
      <c r="AG106" s="397"/>
      <c r="AH106" s="397">
        <f>AH105/AF105</f>
        <v>1.36537923462246</v>
      </c>
      <c r="AI106" s="397"/>
      <c r="AJ106" s="397"/>
      <c r="AK106" s="397"/>
      <c r="AL106" s="397"/>
      <c r="AM106" s="397"/>
      <c r="AN106" s="397"/>
      <c r="AO106" s="397">
        <f>AO105/AH105</f>
        <v>0.89481046507043049</v>
      </c>
      <c r="AP106" s="397"/>
      <c r="AQ106" s="397">
        <f>AQ105/AO105</f>
        <v>0.8571428571428571</v>
      </c>
      <c r="AR106" s="397">
        <f>AR105/AQ105</f>
        <v>1.5666666666666667</v>
      </c>
      <c r="AS106" s="397"/>
      <c r="AT106" s="397"/>
      <c r="AU106" s="397"/>
      <c r="AV106" s="397"/>
      <c r="AW106" s="397">
        <f>(AO106*AQ106*AR106*AF106*AH106)^(1/5)-1</f>
        <v>6.4108814528600622E-3</v>
      </c>
      <c r="AX106" s="397"/>
      <c r="AY106" s="397"/>
      <c r="AZ106" s="397">
        <f>AZ105/AR105</f>
        <v>1.0851063829787233</v>
      </c>
      <c r="BA106" s="397">
        <f>BA105/AZ105</f>
        <v>1.0980392156862746</v>
      </c>
      <c r="BB106" s="397">
        <f>BB105/BA105</f>
        <v>1.1071428571428572</v>
      </c>
      <c r="BC106" s="397">
        <f>BC105/BB105</f>
        <v>1.1129032258064515</v>
      </c>
      <c r="BD106" s="397">
        <f>BD105/BC105</f>
        <v>1.1159420289855073</v>
      </c>
      <c r="BE106" s="397"/>
      <c r="BF106" s="417">
        <f>(AZ106*BA106*BB106*BC106*BD106)^(1/5)-1</f>
        <v>0.10376996822418216</v>
      </c>
      <c r="BG106" s="397"/>
      <c r="BH106" s="397"/>
      <c r="BI106" s="469"/>
      <c r="BJ106" s="469"/>
      <c r="BK106" s="469"/>
    </row>
    <row r="107" spans="1:63" s="294" customFormat="1" hidden="1">
      <c r="A107" s="393" t="s">
        <v>137</v>
      </c>
      <c r="B107" s="426" t="s">
        <v>496</v>
      </c>
      <c r="C107" s="468"/>
      <c r="D107" s="468"/>
      <c r="E107" s="468"/>
      <c r="F107" s="468"/>
      <c r="G107" s="468"/>
      <c r="H107" s="397"/>
      <c r="I107" s="452"/>
      <c r="J107" s="452"/>
      <c r="K107" s="397">
        <f>K105/$K$96</f>
        <v>3.4490117777739186E-2</v>
      </c>
      <c r="L107" s="397">
        <f>L105/$L$96</f>
        <v>5.0715473637369016E-2</v>
      </c>
      <c r="M107" s="397">
        <f>M105/$M$96</f>
        <v>5.6688545679902468E-2</v>
      </c>
      <c r="N107" s="397">
        <f>N105/$N$96</f>
        <v>6.533958570356814E-2</v>
      </c>
      <c r="O107" s="397">
        <f>O105/$O$96</f>
        <v>6.4223915290503863E-2</v>
      </c>
      <c r="P107" s="397">
        <f>P105/$P$96</f>
        <v>5.4706696903766137E-2</v>
      </c>
      <c r="Q107" s="397"/>
      <c r="R107" s="397"/>
      <c r="S107" s="397">
        <f>S105/$S$96</f>
        <v>5.1089548664602191E-2</v>
      </c>
      <c r="T107" s="397">
        <f>T105/$T$96</f>
        <v>5.6065269156607797E-2</v>
      </c>
      <c r="U107" s="397"/>
      <c r="V107" s="397">
        <f>V105/$V$96</f>
        <v>5.5250757889467553E-2</v>
      </c>
      <c r="W107" s="397"/>
      <c r="X107" s="397">
        <f>X105/$X$96</f>
        <v>5.4685587628247732E-2</v>
      </c>
      <c r="Y107" s="397"/>
      <c r="Z107" s="397">
        <f>Z105/$Z$96</f>
        <v>5.3994707801054413E-2</v>
      </c>
      <c r="AA107" s="397">
        <f>AA105/$AA$96</f>
        <v>5.4278760154222991E-2</v>
      </c>
      <c r="AB107" s="397"/>
      <c r="AC107" s="388"/>
      <c r="AD107" s="388"/>
      <c r="AE107" s="390"/>
      <c r="AF107" s="397">
        <f>AF105/$AF$96</f>
        <v>3.9714522023604711E-2</v>
      </c>
      <c r="AG107" s="397"/>
      <c r="AH107" s="397">
        <f>AH105/$AH$96</f>
        <v>4.9655910608641773E-2</v>
      </c>
      <c r="AI107" s="397"/>
      <c r="AJ107" s="397"/>
      <c r="AK107" s="397"/>
      <c r="AL107" s="397"/>
      <c r="AM107" s="397"/>
      <c r="AN107" s="397"/>
      <c r="AO107" s="397">
        <f>AO105/$AO$96</f>
        <v>4.61133069828722E-2</v>
      </c>
      <c r="AP107" s="397"/>
      <c r="AQ107" s="397">
        <f>AQ105/$AQ$96</f>
        <v>3.2376429958989858E-2</v>
      </c>
      <c r="AR107" s="397">
        <f>AR105/$AR$96</f>
        <v>4.6248463849893152E-2</v>
      </c>
      <c r="AS107" s="397"/>
      <c r="AT107" s="397"/>
      <c r="AU107" s="397"/>
      <c r="AV107" s="397"/>
      <c r="AW107" s="388"/>
      <c r="AX107" s="388"/>
      <c r="AY107" s="388"/>
      <c r="AZ107" s="397">
        <f>AZ105/AZ96</f>
        <v>4.6199836941751969E-2</v>
      </c>
      <c r="BA107" s="397">
        <f>BA105/BA96</f>
        <v>4.6916890801276159E-2</v>
      </c>
      <c r="BB107" s="397">
        <f>BB105/BB96</f>
        <v>4.8086243482560943E-2</v>
      </c>
      <c r="BC107" s="397">
        <f>BC105/BC96</f>
        <v>4.9421623656790065E-2</v>
      </c>
      <c r="BD107" s="397">
        <f>BD105/BD96</f>
        <v>5.0657894644211963E-2</v>
      </c>
      <c r="BE107" s="397"/>
      <c r="BF107" s="397"/>
      <c r="BG107" s="397"/>
      <c r="BH107" s="397"/>
      <c r="BI107" s="469"/>
      <c r="BJ107" s="469"/>
      <c r="BK107" s="469"/>
    </row>
    <row r="108" spans="1:63" s="465" customFormat="1" hidden="1">
      <c r="A108" s="470" t="s">
        <v>35</v>
      </c>
      <c r="B108" s="337" t="s">
        <v>474</v>
      </c>
      <c r="C108" s="439">
        <f t="shared" ref="C108:P108" si="128">C13</f>
        <v>237081.01390699999</v>
      </c>
      <c r="D108" s="439">
        <f t="shared" si="128"/>
        <v>271920</v>
      </c>
      <c r="E108" s="439">
        <f t="shared" si="128"/>
        <v>369340</v>
      </c>
      <c r="F108" s="439">
        <f t="shared" si="128"/>
        <v>554950</v>
      </c>
      <c r="G108" s="439">
        <f t="shared" si="128"/>
        <v>654560</v>
      </c>
      <c r="H108" s="439">
        <f t="shared" si="128"/>
        <v>873678</v>
      </c>
      <c r="I108" s="439"/>
      <c r="J108" s="462"/>
      <c r="K108" s="439">
        <f t="shared" si="128"/>
        <v>1024104.439563</v>
      </c>
      <c r="L108" s="439">
        <f t="shared" si="128"/>
        <v>1064747.6828060001</v>
      </c>
      <c r="M108" s="439">
        <f t="shared" si="128"/>
        <v>1081721.420525</v>
      </c>
      <c r="N108" s="439">
        <f t="shared" si="128"/>
        <v>744273.199104</v>
      </c>
      <c r="O108" s="439">
        <f t="shared" si="128"/>
        <v>586685</v>
      </c>
      <c r="P108" s="439">
        <f t="shared" si="128"/>
        <v>4501531.7419980001</v>
      </c>
      <c r="Q108" s="323"/>
      <c r="R108" s="323">
        <f>P108/$P$96</f>
        <v>0.19966415667810991</v>
      </c>
      <c r="S108" s="439">
        <f>S13</f>
        <v>674044</v>
      </c>
      <c r="T108" s="439">
        <f>T13</f>
        <v>895287</v>
      </c>
      <c r="U108" s="439"/>
      <c r="V108" s="439">
        <f>V13</f>
        <v>943679</v>
      </c>
      <c r="W108" s="439"/>
      <c r="X108" s="439">
        <f>X13</f>
        <v>1430938</v>
      </c>
      <c r="Y108" s="439"/>
      <c r="Z108" s="439">
        <f>Z13</f>
        <v>1265121.8999999999</v>
      </c>
      <c r="AA108" s="327">
        <f>SUM(S108:Z108)</f>
        <v>5209069.9000000004</v>
      </c>
      <c r="AB108" s="439"/>
      <c r="AC108" s="323"/>
      <c r="AD108" s="323">
        <f>AA108/P108-1</f>
        <v>0.1571772006850185</v>
      </c>
      <c r="AE108" s="463"/>
      <c r="AF108" s="439">
        <f>AF13</f>
        <v>1132031</v>
      </c>
      <c r="AG108" s="439"/>
      <c r="AH108" s="439">
        <f>AH13</f>
        <v>1184282.337326</v>
      </c>
      <c r="AI108" s="439"/>
      <c r="AJ108" s="439"/>
      <c r="AK108" s="439"/>
      <c r="AL108" s="439"/>
      <c r="AM108" s="439"/>
      <c r="AN108" s="439"/>
      <c r="AO108" s="439">
        <f>AO13</f>
        <v>1265000</v>
      </c>
      <c r="AP108" s="439"/>
      <c r="AQ108" s="439">
        <f>AQ13</f>
        <v>1701000</v>
      </c>
      <c r="AR108" s="439">
        <f>AR13</f>
        <v>1620000</v>
      </c>
      <c r="AS108" s="439"/>
      <c r="AT108" s="439"/>
      <c r="AU108" s="439"/>
      <c r="AV108" s="439">
        <f>SUM(AF108:AR108)</f>
        <v>6902313.3373259995</v>
      </c>
      <c r="AW108" s="323"/>
      <c r="AX108" s="323">
        <f>AV108/$AV$96</f>
        <v>0.16391578392268655</v>
      </c>
      <c r="AY108" s="323">
        <f>AV108/AA108-1</f>
        <v>0.32505677017810775</v>
      </c>
      <c r="AZ108" s="439">
        <f>AZ13</f>
        <v>1790000</v>
      </c>
      <c r="BA108" s="439">
        <f>BA13</f>
        <v>1980000</v>
      </c>
      <c r="BB108" s="439">
        <f>BB13</f>
        <v>2190000</v>
      </c>
      <c r="BC108" s="439">
        <f>BC13</f>
        <v>2430000</v>
      </c>
      <c r="BD108" s="439">
        <f>BD13</f>
        <v>2730000</v>
      </c>
      <c r="BE108" s="439">
        <f>SUM(AY108:BD108)</f>
        <v>11120000.325056769</v>
      </c>
      <c r="BF108" s="439"/>
      <c r="BG108" s="461">
        <f>BE108/$BE$96</f>
        <v>0.17099800485215291</v>
      </c>
      <c r="BH108" s="461">
        <f>BE108/AV108</f>
        <v>1.6110541178886453</v>
      </c>
      <c r="BI108" s="467"/>
      <c r="BJ108" s="467"/>
      <c r="BK108" s="467"/>
    </row>
    <row r="109" spans="1:63" s="294" customFormat="1" hidden="1">
      <c r="A109" s="393" t="s">
        <v>137</v>
      </c>
      <c r="B109" s="426" t="s">
        <v>494</v>
      </c>
      <c r="C109" s="468"/>
      <c r="D109" s="468"/>
      <c r="E109" s="468"/>
      <c r="F109" s="468"/>
      <c r="G109" s="468"/>
      <c r="H109" s="397"/>
      <c r="I109" s="452"/>
      <c r="J109" s="438">
        <f>(D109*E109*F109*G109*H109)^(1/5)-1</f>
        <v>-1</v>
      </c>
      <c r="K109" s="397">
        <f>K108/H108</f>
        <v>1.172176064365819</v>
      </c>
      <c r="L109" s="397">
        <f>L108/K108</f>
        <v>1.0396866195212895</v>
      </c>
      <c r="M109" s="397">
        <f>M108/L108</f>
        <v>1.0159415587308609</v>
      </c>
      <c r="N109" s="397">
        <f>N108/M108</f>
        <v>0.6880451703940339</v>
      </c>
      <c r="O109" s="397">
        <f>O108/N108</f>
        <v>0.78826565393767511</v>
      </c>
      <c r="P109" s="397"/>
      <c r="Q109" s="421">
        <f>(K109*L109*M109*N109*O109)^(1/5)-1</f>
        <v>-7.6555674498281601E-2</v>
      </c>
      <c r="R109" s="397"/>
      <c r="S109" s="397">
        <f>S108/O108</f>
        <v>1.1489027331532253</v>
      </c>
      <c r="T109" s="397">
        <f>T108/S108</f>
        <v>1.3282322815721228</v>
      </c>
      <c r="U109" s="397"/>
      <c r="V109" s="397">
        <f>V108/T108</f>
        <v>1.0540519408859952</v>
      </c>
      <c r="W109" s="397"/>
      <c r="X109" s="397">
        <f>X108/V108</f>
        <v>1.5163397723166459</v>
      </c>
      <c r="Y109" s="397"/>
      <c r="Z109" s="397">
        <f>Z108/X108</f>
        <v>0.88412069565557694</v>
      </c>
      <c r="AA109" s="397"/>
      <c r="AB109" s="388">
        <f>(S109*T109*V109*X109*Z109)^(1/5)-1</f>
        <v>0.16612599815317886</v>
      </c>
      <c r="AC109" s="397"/>
      <c r="AD109" s="397"/>
      <c r="AE109" s="453"/>
      <c r="AF109" s="397">
        <f>AF108/Z108</f>
        <v>0.89479993983188499</v>
      </c>
      <c r="AG109" s="397"/>
      <c r="AH109" s="397">
        <f>AH108/AF108</f>
        <v>1.0461571611784484</v>
      </c>
      <c r="AI109" s="397"/>
      <c r="AJ109" s="397"/>
      <c r="AK109" s="397"/>
      <c r="AL109" s="397"/>
      <c r="AM109" s="397"/>
      <c r="AN109" s="397"/>
      <c r="AO109" s="397">
        <f>AO108/AH108</f>
        <v>1.0681574487180592</v>
      </c>
      <c r="AP109" s="397"/>
      <c r="AQ109" s="397">
        <f>AQ108/AO108</f>
        <v>1.3446640316205534</v>
      </c>
      <c r="AR109" s="397">
        <f>AR108/AQ108</f>
        <v>0.95238095238095233</v>
      </c>
      <c r="AS109" s="397"/>
      <c r="AT109" s="397"/>
      <c r="AU109" s="397"/>
      <c r="AV109" s="397"/>
      <c r="AW109" s="397">
        <f>(AO109*AQ109*AR109*AF109*AH109)^(1/5)-1</f>
        <v>5.0694667607676047E-2</v>
      </c>
      <c r="AX109" s="397"/>
      <c r="AY109" s="397"/>
      <c r="AZ109" s="397">
        <f>AZ108/AR108</f>
        <v>1.1049382716049383</v>
      </c>
      <c r="BA109" s="397">
        <f>BA108/AZ108</f>
        <v>1.1061452513966481</v>
      </c>
      <c r="BB109" s="397">
        <f>BB108/BA108</f>
        <v>1.106060606060606</v>
      </c>
      <c r="BC109" s="397">
        <f>BC108/BB108</f>
        <v>1.1095890410958904</v>
      </c>
      <c r="BD109" s="397">
        <f>BD108/BC108</f>
        <v>1.1234567901234569</v>
      </c>
      <c r="BE109" s="397"/>
      <c r="BF109" s="417">
        <f>(AZ109*BA109*BB109*BC109*BD109)^(1/5)-1</f>
        <v>0.11001673522571775</v>
      </c>
      <c r="BG109" s="397"/>
      <c r="BH109" s="397"/>
      <c r="BI109" s="469"/>
      <c r="BJ109" s="469"/>
      <c r="BK109" s="469"/>
    </row>
    <row r="110" spans="1:63" s="294" customFormat="1" hidden="1">
      <c r="A110" s="393" t="s">
        <v>137</v>
      </c>
      <c r="B110" s="426" t="s">
        <v>496</v>
      </c>
      <c r="C110" s="468"/>
      <c r="D110" s="468"/>
      <c r="E110" s="468"/>
      <c r="F110" s="468"/>
      <c r="G110" s="468"/>
      <c r="H110" s="397"/>
      <c r="I110" s="452"/>
      <c r="J110" s="452"/>
      <c r="K110" s="397">
        <f>K108/$K$96</f>
        <v>0.24639774116809549</v>
      </c>
      <c r="L110" s="397">
        <f>L108/$L$96</f>
        <v>0.2356338027650445</v>
      </c>
      <c r="M110" s="397">
        <f>M108/$M$96</f>
        <v>0.23601970959035018</v>
      </c>
      <c r="N110" s="397">
        <f>N108/$N$96</f>
        <v>0.18098191269766492</v>
      </c>
      <c r="O110" s="397">
        <f>O108/$O$96</f>
        <v>0.11337002413739863</v>
      </c>
      <c r="P110" s="397">
        <f>P108/$P$96</f>
        <v>0.19966415667810991</v>
      </c>
      <c r="Q110" s="397"/>
      <c r="R110" s="397"/>
      <c r="S110" s="397">
        <f>S108/$S$96</f>
        <v>0.10640371195269796</v>
      </c>
      <c r="T110" s="397">
        <f>T108/$T$96</f>
        <v>0.13066075928824245</v>
      </c>
      <c r="U110" s="397"/>
      <c r="V110" s="397">
        <f>V108/$V$96</f>
        <v>0.13512268559485946</v>
      </c>
      <c r="W110" s="397"/>
      <c r="X110" s="397">
        <f>X108/$X$96</f>
        <v>0.16314398348286566</v>
      </c>
      <c r="Y110" s="397"/>
      <c r="Z110" s="397">
        <f>Z108/$Z$96</f>
        <v>0.15005909742349746</v>
      </c>
      <c r="AA110" s="397">
        <f>AA108/$AA$96</f>
        <v>0.1393825040309607</v>
      </c>
      <c r="AB110" s="397"/>
      <c r="AC110" s="388"/>
      <c r="AD110" s="388"/>
      <c r="AE110" s="390"/>
      <c r="AF110" s="397">
        <f>AF108/$AF$96</f>
        <v>0.15693650040633242</v>
      </c>
      <c r="AG110" s="397"/>
      <c r="AH110" s="397">
        <f>AH108/$AH$96</f>
        <v>0.15034507740663414</v>
      </c>
      <c r="AI110" s="397"/>
      <c r="AJ110" s="397"/>
      <c r="AK110" s="397"/>
      <c r="AL110" s="397"/>
      <c r="AM110" s="397"/>
      <c r="AN110" s="397"/>
      <c r="AO110" s="397">
        <f>AO108/$AO$96</f>
        <v>0.16666666666666666</v>
      </c>
      <c r="AP110" s="397"/>
      <c r="AQ110" s="397">
        <f>AQ108/$AQ$96</f>
        <v>0.18357435786747248</v>
      </c>
      <c r="AR110" s="397">
        <f>AR108/$AR$96</f>
        <v>0.15940959880175939</v>
      </c>
      <c r="AS110" s="397"/>
      <c r="AT110" s="397"/>
      <c r="AU110" s="397"/>
      <c r="AV110" s="397"/>
      <c r="AW110" s="388"/>
      <c r="AX110" s="388"/>
      <c r="AY110" s="388"/>
      <c r="AZ110" s="397">
        <f>AZ108/AZ96</f>
        <v>0.1621523688739922</v>
      </c>
      <c r="BA110" s="397">
        <f>BA108/BA96</f>
        <v>0.16588472104736929</v>
      </c>
      <c r="BB110" s="397">
        <f>BB108/BB96</f>
        <v>0.16985302133356206</v>
      </c>
      <c r="BC110" s="397">
        <f>BC108/BC96</f>
        <v>0.17405006592173891</v>
      </c>
      <c r="BD110" s="397">
        <f>BD108/BD96</f>
        <v>0.17960526282947878</v>
      </c>
      <c r="BE110" s="397"/>
      <c r="BF110" s="397"/>
      <c r="BG110" s="397"/>
      <c r="BH110" s="397"/>
      <c r="BI110" s="469"/>
      <c r="BJ110" s="469"/>
      <c r="BK110" s="469"/>
    </row>
    <row r="111" spans="1:63" s="465" customFormat="1" hidden="1">
      <c r="A111" s="459" t="s">
        <v>36</v>
      </c>
      <c r="B111" s="337" t="s">
        <v>476</v>
      </c>
      <c r="C111" s="439">
        <f t="shared" ref="C111:P111" si="129">C18</f>
        <v>121877.060023</v>
      </c>
      <c r="D111" s="439">
        <f t="shared" si="129"/>
        <v>154600</v>
      </c>
      <c r="E111" s="439">
        <f t="shared" si="129"/>
        <v>172040</v>
      </c>
      <c r="F111" s="439">
        <f t="shared" si="129"/>
        <v>185420</v>
      </c>
      <c r="G111" s="439">
        <f t="shared" si="129"/>
        <v>382620</v>
      </c>
      <c r="H111" s="439">
        <f t="shared" si="129"/>
        <v>499448.84769999998</v>
      </c>
      <c r="I111" s="439"/>
      <c r="J111" s="462"/>
      <c r="K111" s="439">
        <f t="shared" si="129"/>
        <v>650890.53007500002</v>
      </c>
      <c r="L111" s="439">
        <f t="shared" si="129"/>
        <v>646721.78421900002</v>
      </c>
      <c r="M111" s="439">
        <f t="shared" si="129"/>
        <v>553543.69900000002</v>
      </c>
      <c r="N111" s="439">
        <f t="shared" si="129"/>
        <v>670403.16145000001</v>
      </c>
      <c r="O111" s="439">
        <f t="shared" si="129"/>
        <v>1299030</v>
      </c>
      <c r="P111" s="439">
        <f t="shared" si="129"/>
        <v>3820589.1747440002</v>
      </c>
      <c r="Q111" s="323"/>
      <c r="R111" s="323">
        <f>P111/$P$96</f>
        <v>0.16946114329745751</v>
      </c>
      <c r="S111" s="439">
        <f>S18</f>
        <v>2273225</v>
      </c>
      <c r="T111" s="439">
        <f>T18</f>
        <v>1947905</v>
      </c>
      <c r="U111" s="439"/>
      <c r="V111" s="439">
        <f>V18</f>
        <v>1700536</v>
      </c>
      <c r="W111" s="439"/>
      <c r="X111" s="439">
        <f>X18</f>
        <v>2280939</v>
      </c>
      <c r="Y111" s="439"/>
      <c r="Z111" s="439">
        <f>Z18</f>
        <v>1939730</v>
      </c>
      <c r="AA111" s="327">
        <f>SUM(S111:Z111)</f>
        <v>10142335</v>
      </c>
      <c r="AB111" s="439"/>
      <c r="AC111" s="323"/>
      <c r="AD111" s="323">
        <f>AA111/P111-1</f>
        <v>1.6546520801152589</v>
      </c>
      <c r="AE111" s="463"/>
      <c r="AF111" s="439">
        <f>AF18</f>
        <v>1312857</v>
      </c>
      <c r="AG111" s="439"/>
      <c r="AH111" s="439">
        <f>AH18</f>
        <v>926612.70443099993</v>
      </c>
      <c r="AI111" s="439"/>
      <c r="AJ111" s="439"/>
      <c r="AK111" s="439"/>
      <c r="AL111" s="439"/>
      <c r="AM111" s="439"/>
      <c r="AN111" s="439"/>
      <c r="AO111" s="439">
        <f>AO18</f>
        <v>1500000</v>
      </c>
      <c r="AP111" s="439"/>
      <c r="AQ111" s="439">
        <f>AQ18</f>
        <v>1065000</v>
      </c>
      <c r="AR111" s="439">
        <f>AR18</f>
        <v>1750000</v>
      </c>
      <c r="AS111" s="439"/>
      <c r="AT111" s="439"/>
      <c r="AU111" s="439"/>
      <c r="AV111" s="439">
        <f>SUM(AF111:AR111)</f>
        <v>6554469.7044310002</v>
      </c>
      <c r="AW111" s="323"/>
      <c r="AX111" s="323">
        <f>AV111/$AV$96</f>
        <v>0.15565521112890088</v>
      </c>
      <c r="AY111" s="323">
        <f>AV111/AA111-1</f>
        <v>-0.35375140887862611</v>
      </c>
      <c r="AZ111" s="439">
        <f>AZ18</f>
        <v>1900000</v>
      </c>
      <c r="BA111" s="439">
        <f>BA18</f>
        <v>2100000</v>
      </c>
      <c r="BB111" s="439">
        <f>BB18</f>
        <v>2300000</v>
      </c>
      <c r="BC111" s="439">
        <f>BC18</f>
        <v>2500000</v>
      </c>
      <c r="BD111" s="439">
        <f>BD18</f>
        <v>2670000</v>
      </c>
      <c r="BE111" s="439">
        <f>SUM(AY111:BD111)</f>
        <v>11469999.64624859</v>
      </c>
      <c r="BF111" s="439"/>
      <c r="BG111" s="461">
        <f>BE111/$BE$96</f>
        <v>0.17638012570412365</v>
      </c>
      <c r="BH111" s="461">
        <f>BE111/AV111</f>
        <v>1.7499508218787796</v>
      </c>
      <c r="BI111" s="467"/>
      <c r="BJ111" s="467"/>
      <c r="BK111" s="467"/>
    </row>
    <row r="112" spans="1:63" s="294" customFormat="1" hidden="1">
      <c r="A112" s="393" t="s">
        <v>137</v>
      </c>
      <c r="B112" s="426" t="s">
        <v>494</v>
      </c>
      <c r="C112" s="468"/>
      <c r="D112" s="468"/>
      <c r="E112" s="468"/>
      <c r="F112" s="468"/>
      <c r="G112" s="468"/>
      <c r="H112" s="397"/>
      <c r="I112" s="452"/>
      <c r="J112" s="438">
        <f>(D112*E112*F112*G112*H112)^(1/5)-1</f>
        <v>-1</v>
      </c>
      <c r="K112" s="397">
        <f>K111/H111</f>
        <v>1.303217602908487</v>
      </c>
      <c r="L112" s="397">
        <f>L111/K111</f>
        <v>0.99359531954548541</v>
      </c>
      <c r="M112" s="397">
        <f>M111/L111</f>
        <v>0.85592245770486208</v>
      </c>
      <c r="N112" s="397">
        <f>N111/M111</f>
        <v>1.2111115394522809</v>
      </c>
      <c r="O112" s="397">
        <f>O111/N111</f>
        <v>1.9376847764117893</v>
      </c>
      <c r="P112" s="397"/>
      <c r="Q112" s="421">
        <f>(K112*L112*M112*N112*O112)^(1/5)-1</f>
        <v>0.21066958798459878</v>
      </c>
      <c r="R112" s="397"/>
      <c r="S112" s="397">
        <f>S111/O111</f>
        <v>1.7499403400999207</v>
      </c>
      <c r="T112" s="397">
        <f>T111/S111</f>
        <v>0.85689054097152728</v>
      </c>
      <c r="U112" s="397"/>
      <c r="V112" s="397">
        <f>V111/T111</f>
        <v>0.87300766721169665</v>
      </c>
      <c r="W112" s="397"/>
      <c r="X112" s="397">
        <f>X111/V111</f>
        <v>1.3413059176636073</v>
      </c>
      <c r="Y112" s="397"/>
      <c r="Z112" s="397">
        <f>Z111/X111</f>
        <v>0.85040853788724735</v>
      </c>
      <c r="AA112" s="397"/>
      <c r="AB112" s="388">
        <f>(S112*T112*V112*X112*Z112)^(1/5)-1</f>
        <v>8.3488784977151065E-2</v>
      </c>
      <c r="AC112" s="397"/>
      <c r="AD112" s="397"/>
      <c r="AE112" s="453"/>
      <c r="AF112" s="397">
        <f>AF111/Z111</f>
        <v>0.67682460961061586</v>
      </c>
      <c r="AG112" s="397"/>
      <c r="AH112" s="397">
        <f>AH111/AF111</f>
        <v>0.70579865471334646</v>
      </c>
      <c r="AI112" s="397"/>
      <c r="AJ112" s="397"/>
      <c r="AK112" s="397"/>
      <c r="AL112" s="397"/>
      <c r="AM112" s="397"/>
      <c r="AN112" s="397"/>
      <c r="AO112" s="397">
        <f>AO111/AH111</f>
        <v>1.6187993029095116</v>
      </c>
      <c r="AP112" s="397"/>
      <c r="AQ112" s="397">
        <f>AQ111/AO111</f>
        <v>0.71</v>
      </c>
      <c r="AR112" s="397">
        <f>AR111/AQ111</f>
        <v>1.6431924882629108</v>
      </c>
      <c r="AS112" s="397"/>
      <c r="AT112" s="397"/>
      <c r="AU112" s="397"/>
      <c r="AV112" s="397"/>
      <c r="AW112" s="397">
        <f>(AO112*AQ112*AR112*AF112*AH112)^(1/5)-1</f>
        <v>-2.0376142663472319E-2</v>
      </c>
      <c r="AX112" s="397"/>
      <c r="AY112" s="397"/>
      <c r="AZ112" s="397">
        <f>AZ111/AR111</f>
        <v>1.0857142857142856</v>
      </c>
      <c r="BA112" s="397">
        <f>BA111/AZ111</f>
        <v>1.1052631578947369</v>
      </c>
      <c r="BB112" s="397">
        <f>BB111/BA111</f>
        <v>1.0952380952380953</v>
      </c>
      <c r="BC112" s="397">
        <f>BC111/BB111</f>
        <v>1.0869565217391304</v>
      </c>
      <c r="BD112" s="397">
        <f>BD111/BC111</f>
        <v>1.0680000000000001</v>
      </c>
      <c r="BE112" s="397"/>
      <c r="BF112" s="417">
        <f>(AZ112*BA112*BB112*BC112*BD112)^(1/5)-1</f>
        <v>8.8164723114491528E-2</v>
      </c>
      <c r="BG112" s="397"/>
      <c r="BH112" s="397"/>
      <c r="BI112" s="469"/>
      <c r="BJ112" s="469"/>
      <c r="BK112" s="469"/>
    </row>
    <row r="113" spans="1:63" s="294" customFormat="1" hidden="1">
      <c r="A113" s="393" t="s">
        <v>137</v>
      </c>
      <c r="B113" s="426" t="s">
        <v>496</v>
      </c>
      <c r="C113" s="468"/>
      <c r="D113" s="468"/>
      <c r="E113" s="468"/>
      <c r="F113" s="468"/>
      <c r="G113" s="468"/>
      <c r="H113" s="397"/>
      <c r="I113" s="452"/>
      <c r="J113" s="452"/>
      <c r="K113" s="397">
        <f>K111/$K$96</f>
        <v>0.1566031257775036</v>
      </c>
      <c r="L113" s="397">
        <f>L111/$L$96</f>
        <v>0.14312265319508877</v>
      </c>
      <c r="M113" s="397">
        <f>M111/$M$96</f>
        <v>0.12077714336112548</v>
      </c>
      <c r="N113" s="397">
        <f>N111/$N$96</f>
        <v>0.16301923350706124</v>
      </c>
      <c r="O113" s="397">
        <f>O111/$O$96</f>
        <v>0.25102237564486041</v>
      </c>
      <c r="P113" s="397">
        <f>P111/$P$96</f>
        <v>0.16946114329745751</v>
      </c>
      <c r="Q113" s="397"/>
      <c r="R113" s="397"/>
      <c r="S113" s="397">
        <f>S111/$S$96</f>
        <v>0.35884835130002168</v>
      </c>
      <c r="T113" s="397">
        <f>T111/$T$96</f>
        <v>0.28428285714118923</v>
      </c>
      <c r="U113" s="397"/>
      <c r="V113" s="397">
        <f>V111/$V$96</f>
        <v>0.24349486559597061</v>
      </c>
      <c r="W113" s="397"/>
      <c r="X113" s="397">
        <f>X111/$X$96</f>
        <v>0.26005422634762942</v>
      </c>
      <c r="Y113" s="397"/>
      <c r="Z113" s="397">
        <f>Z111/$Z$96</f>
        <v>0.23007595793360369</v>
      </c>
      <c r="AA113" s="397">
        <f>AA111/$AA$96</f>
        <v>0.27138511791152076</v>
      </c>
      <c r="AB113" s="397"/>
      <c r="AC113" s="388"/>
      <c r="AD113" s="388"/>
      <c r="AE113" s="390"/>
      <c r="AF113" s="397">
        <f>AF111/$AF$96</f>
        <v>0.18200489484294718</v>
      </c>
      <c r="AG113" s="397"/>
      <c r="AH113" s="397">
        <f>AH111/$AH$96</f>
        <v>0.11763382293465774</v>
      </c>
      <c r="AI113" s="397"/>
      <c r="AJ113" s="397"/>
      <c r="AK113" s="397"/>
      <c r="AL113" s="397"/>
      <c r="AM113" s="397"/>
      <c r="AN113" s="397"/>
      <c r="AO113" s="397">
        <f>AO111/$AO$96</f>
        <v>0.19762845849802371</v>
      </c>
      <c r="AP113" s="397"/>
      <c r="AQ113" s="397">
        <f>AQ111/$AQ$96</f>
        <v>0.11493632635441399</v>
      </c>
      <c r="AR113" s="397">
        <f>AR111/$AR$96</f>
        <v>0.172201727100666</v>
      </c>
      <c r="AS113" s="397"/>
      <c r="AT113" s="397"/>
      <c r="AU113" s="397"/>
      <c r="AV113" s="397"/>
      <c r="AW113" s="388"/>
      <c r="AX113" s="388"/>
      <c r="AY113" s="388"/>
      <c r="AZ113" s="397">
        <f>AZ111/AZ96</f>
        <v>0.1721170395869191</v>
      </c>
      <c r="BA113" s="397">
        <f>BA111/BA96</f>
        <v>0.1759383405047856</v>
      </c>
      <c r="BB113" s="397">
        <f>BB111/BB96</f>
        <v>0.17838445162885511</v>
      </c>
      <c r="BC113" s="397">
        <f>BC111/BC96</f>
        <v>0.17906385382894952</v>
      </c>
      <c r="BD113" s="397">
        <f>BD111/BD96</f>
        <v>0.17565789441564408</v>
      </c>
      <c r="BE113" s="397"/>
      <c r="BF113" s="397"/>
      <c r="BG113" s="397"/>
      <c r="BH113" s="397"/>
      <c r="BI113" s="469"/>
      <c r="BJ113" s="469"/>
      <c r="BK113" s="469"/>
    </row>
    <row r="114" spans="1:63" s="465" customFormat="1" hidden="1">
      <c r="A114" s="459" t="s">
        <v>37</v>
      </c>
      <c r="B114" s="337" t="s">
        <v>18</v>
      </c>
      <c r="C114" s="439">
        <f t="shared" ref="C114:P114" si="130">C20</f>
        <v>153669.14994599999</v>
      </c>
      <c r="D114" s="439">
        <f t="shared" si="130"/>
        <v>191500</v>
      </c>
      <c r="E114" s="439">
        <f t="shared" si="130"/>
        <v>415260</v>
      </c>
      <c r="F114" s="439">
        <f t="shared" si="130"/>
        <v>444040</v>
      </c>
      <c r="G114" s="439">
        <f t="shared" si="130"/>
        <v>300000</v>
      </c>
      <c r="H114" s="439">
        <f t="shared" si="130"/>
        <v>407675.25223099999</v>
      </c>
      <c r="I114" s="439"/>
      <c r="J114" s="462"/>
      <c r="K114" s="439">
        <f t="shared" si="130"/>
        <v>394171.66318199999</v>
      </c>
      <c r="L114" s="439">
        <f t="shared" si="130"/>
        <v>413801.849995</v>
      </c>
      <c r="M114" s="439">
        <f t="shared" si="130"/>
        <v>312735.00110200001</v>
      </c>
      <c r="N114" s="439">
        <f t="shared" si="130"/>
        <v>379564.95398699999</v>
      </c>
      <c r="O114" s="439">
        <f t="shared" si="130"/>
        <v>383777</v>
      </c>
      <c r="P114" s="439">
        <f t="shared" si="130"/>
        <v>1884050.468266</v>
      </c>
      <c r="Q114" s="323"/>
      <c r="R114" s="323">
        <f>P114/$P$96</f>
        <v>8.3566521230029819E-2</v>
      </c>
      <c r="S114" s="439">
        <f>S20</f>
        <v>454422</v>
      </c>
      <c r="T114" s="439">
        <f>T20</f>
        <v>639601</v>
      </c>
      <c r="U114" s="439"/>
      <c r="V114" s="439">
        <f>V20</f>
        <v>843422</v>
      </c>
      <c r="W114" s="439"/>
      <c r="X114" s="439">
        <f>X20</f>
        <v>964965</v>
      </c>
      <c r="Y114" s="439"/>
      <c r="Z114" s="439">
        <f>Z20</f>
        <v>834389.9</v>
      </c>
      <c r="AA114" s="327">
        <f>SUM(S114:Z114)</f>
        <v>3736799.9</v>
      </c>
      <c r="AB114" s="439"/>
      <c r="AC114" s="323"/>
      <c r="AD114" s="323">
        <f>AA114/P114-1</f>
        <v>0.98338630675811545</v>
      </c>
      <c r="AE114" s="463"/>
      <c r="AF114" s="439">
        <f>AF20</f>
        <v>1239694</v>
      </c>
      <c r="AG114" s="439"/>
      <c r="AH114" s="439">
        <f>AH20</f>
        <v>1029162.981864</v>
      </c>
      <c r="AI114" s="439"/>
      <c r="AJ114" s="439"/>
      <c r="AK114" s="439"/>
      <c r="AL114" s="439"/>
      <c r="AM114" s="439"/>
      <c r="AN114" s="439"/>
      <c r="AO114" s="439">
        <f>AO20</f>
        <v>900000</v>
      </c>
      <c r="AP114" s="439"/>
      <c r="AQ114" s="439">
        <f>AQ20</f>
        <v>1770000</v>
      </c>
      <c r="AR114" s="439">
        <f>AR20</f>
        <v>1200000</v>
      </c>
      <c r="AS114" s="439"/>
      <c r="AT114" s="439"/>
      <c r="AU114" s="439"/>
      <c r="AV114" s="439">
        <f>SUM(AF114:AR114)</f>
        <v>6138856.9818639997</v>
      </c>
      <c r="AW114" s="323"/>
      <c r="AX114" s="323">
        <f>AV114/$AV$96</f>
        <v>0.14578526146153267</v>
      </c>
      <c r="AY114" s="323">
        <f>AV114/AA114-1</f>
        <v>0.64281126796861665</v>
      </c>
      <c r="AZ114" s="439">
        <f>AZ20</f>
        <v>1260000</v>
      </c>
      <c r="BA114" s="439">
        <f>BA20</f>
        <v>1300000</v>
      </c>
      <c r="BB114" s="439">
        <f>BB20</f>
        <v>1350000</v>
      </c>
      <c r="BC114" s="439">
        <f>BC20</f>
        <v>1400000</v>
      </c>
      <c r="BD114" s="439">
        <f>BD20</f>
        <v>1450000</v>
      </c>
      <c r="BE114" s="439">
        <f>SUM(AY114:BD114)</f>
        <v>6760000.6428112676</v>
      </c>
      <c r="BF114" s="439"/>
      <c r="BG114" s="461">
        <f>BE114/$BE$96</f>
        <v>0.10395203137856894</v>
      </c>
      <c r="BH114" s="461">
        <f>BE114/AV114</f>
        <v>1.1011822987214575</v>
      </c>
      <c r="BI114" s="467"/>
      <c r="BJ114" s="467"/>
      <c r="BK114" s="467"/>
    </row>
    <row r="115" spans="1:63" s="294" customFormat="1" hidden="1">
      <c r="A115" s="393" t="s">
        <v>137</v>
      </c>
      <c r="B115" s="426" t="s">
        <v>494</v>
      </c>
      <c r="C115" s="468"/>
      <c r="D115" s="468"/>
      <c r="E115" s="468"/>
      <c r="F115" s="468"/>
      <c r="G115" s="468"/>
      <c r="H115" s="397"/>
      <c r="I115" s="452"/>
      <c r="J115" s="438">
        <f>(D115*E115*F115*G115*H115)^(1/5)-1</f>
        <v>-1</v>
      </c>
      <c r="K115" s="397">
        <f>K114/H114</f>
        <v>0.96687660343594151</v>
      </c>
      <c r="L115" s="397">
        <f>L114/K114</f>
        <v>1.0498011111568317</v>
      </c>
      <c r="M115" s="397">
        <f>M114/L114</f>
        <v>0.755760277789427</v>
      </c>
      <c r="N115" s="397">
        <f>N114/M114</f>
        <v>1.2136951497258315</v>
      </c>
      <c r="O115" s="397">
        <f>O114/N114</f>
        <v>1.0110970361429741</v>
      </c>
      <c r="P115" s="397"/>
      <c r="Q115" s="421">
        <f>(K115*L115*M115*N115*O115)^(1/5)-1</f>
        <v>-1.2009157956660799E-2</v>
      </c>
      <c r="R115" s="397"/>
      <c r="S115" s="397">
        <f>S114/O114</f>
        <v>1.1840782537775845</v>
      </c>
      <c r="T115" s="397">
        <f>T114/S114</f>
        <v>1.4075044782162835</v>
      </c>
      <c r="U115" s="397"/>
      <c r="V115" s="397">
        <f>V114/T114</f>
        <v>1.3186689826938982</v>
      </c>
      <c r="W115" s="397"/>
      <c r="X115" s="397">
        <f>X114/V114</f>
        <v>1.1441069832183652</v>
      </c>
      <c r="Y115" s="397"/>
      <c r="Z115" s="397">
        <f>Z114/X114</f>
        <v>0.86468410771375126</v>
      </c>
      <c r="AA115" s="397"/>
      <c r="AB115" s="388">
        <f>(S115*T115*V115*X115*Z115)^(1/5)-1</f>
        <v>0.16804081585277508</v>
      </c>
      <c r="AC115" s="397"/>
      <c r="AD115" s="397"/>
      <c r="AE115" s="453"/>
      <c r="AF115" s="397">
        <f>AF114/Z114</f>
        <v>1.4857490484963924</v>
      </c>
      <c r="AG115" s="397"/>
      <c r="AH115" s="397">
        <f>AH114/AF114</f>
        <v>0.8301750124337135</v>
      </c>
      <c r="AI115" s="397"/>
      <c r="AJ115" s="397"/>
      <c r="AK115" s="397"/>
      <c r="AL115" s="397"/>
      <c r="AM115" s="397"/>
      <c r="AN115" s="397"/>
      <c r="AO115" s="397">
        <f>AO114/AH114</f>
        <v>0.87449705815296375</v>
      </c>
      <c r="AP115" s="397"/>
      <c r="AQ115" s="397">
        <f>AQ114/AO114</f>
        <v>1.9666666666666666</v>
      </c>
      <c r="AR115" s="397">
        <f>AR114/AQ114</f>
        <v>0.67796610169491522</v>
      </c>
      <c r="AS115" s="397"/>
      <c r="AT115" s="397"/>
      <c r="AU115" s="397"/>
      <c r="AV115" s="397"/>
      <c r="AW115" s="397">
        <f>(AO115*AQ115*AR115*AF115*AH115)^(1/5)-1</f>
        <v>7.5381204258923917E-2</v>
      </c>
      <c r="AX115" s="397"/>
      <c r="AY115" s="397"/>
      <c r="AZ115" s="397">
        <f>AZ114/AR114</f>
        <v>1.05</v>
      </c>
      <c r="BA115" s="397">
        <f>BA114/AZ114</f>
        <v>1.0317460317460319</v>
      </c>
      <c r="BB115" s="397">
        <f>BB114/BA114</f>
        <v>1.0384615384615385</v>
      </c>
      <c r="BC115" s="397">
        <f>BC114/BB114</f>
        <v>1.037037037037037</v>
      </c>
      <c r="BD115" s="397">
        <f>BD114/BC114</f>
        <v>1.0357142857142858</v>
      </c>
      <c r="BE115" s="397"/>
      <c r="BF115" s="417">
        <f>(AZ115*BA115*BB115*BC115*BD115)^(1/5)-1</f>
        <v>3.8573773084258578E-2</v>
      </c>
      <c r="BG115" s="397"/>
      <c r="BH115" s="397"/>
      <c r="BI115" s="469"/>
      <c r="BJ115" s="469"/>
      <c r="BK115" s="469"/>
    </row>
    <row r="116" spans="1:63" s="294" customFormat="1" hidden="1">
      <c r="A116" s="393" t="s">
        <v>137</v>
      </c>
      <c r="B116" s="426" t="s">
        <v>496</v>
      </c>
      <c r="C116" s="468"/>
      <c r="D116" s="468"/>
      <c r="E116" s="468"/>
      <c r="F116" s="468"/>
      <c r="G116" s="468"/>
      <c r="H116" s="397"/>
      <c r="I116" s="452"/>
      <c r="J116" s="452"/>
      <c r="K116" s="397">
        <f>K114/$K$96</f>
        <v>9.4837014359550983E-2</v>
      </c>
      <c r="L116" s="397">
        <f>L114/$L$96</f>
        <v>9.1576347223005103E-2</v>
      </c>
      <c r="M116" s="397">
        <f>M114/$M$96</f>
        <v>6.8235335584838783E-2</v>
      </c>
      <c r="N116" s="397">
        <f>N114/$N$96</f>
        <v>9.2297279343481392E-2</v>
      </c>
      <c r="O116" s="397">
        <f>O114/$O$96</f>
        <v>7.4160422975495258E-2</v>
      </c>
      <c r="P116" s="397">
        <f>P114/$P$96</f>
        <v>8.3566521230029819E-2</v>
      </c>
      <c r="Q116" s="397"/>
      <c r="R116" s="397"/>
      <c r="S116" s="397">
        <f>S114/$S$96</f>
        <v>7.1734467769120278E-2</v>
      </c>
      <c r="T116" s="397">
        <f>T114/$T$96</f>
        <v>9.3345209191599054E-2</v>
      </c>
      <c r="U116" s="397"/>
      <c r="V116" s="397">
        <f>V114/$V$96</f>
        <v>0.1207671737209237</v>
      </c>
      <c r="W116" s="397"/>
      <c r="X116" s="397">
        <f>X114/$X$96</f>
        <v>0.1100175088099858</v>
      </c>
      <c r="Y116" s="397"/>
      <c r="Z116" s="397">
        <f>Z114/$Z$96</f>
        <v>9.8968957294377977E-2</v>
      </c>
      <c r="AA116" s="397">
        <f>AA114/$AA$96</f>
        <v>9.9988008823733293E-2</v>
      </c>
      <c r="AB116" s="397"/>
      <c r="AC116" s="388"/>
      <c r="AD116" s="388"/>
      <c r="AE116" s="390"/>
      <c r="AF116" s="397">
        <f>AF114/$AF$96</f>
        <v>0.17186211149228939</v>
      </c>
      <c r="AG116" s="397"/>
      <c r="AH116" s="397">
        <f>AH114/$AH$96</f>
        <v>0.13065261829518676</v>
      </c>
      <c r="AI116" s="397"/>
      <c r="AJ116" s="397"/>
      <c r="AK116" s="397"/>
      <c r="AL116" s="397"/>
      <c r="AM116" s="397"/>
      <c r="AN116" s="397"/>
      <c r="AO116" s="397">
        <f>AO114/$AO$96</f>
        <v>0.11857707509881422</v>
      </c>
      <c r="AP116" s="397"/>
      <c r="AQ116" s="397">
        <f>AQ114/$AQ$96</f>
        <v>0.19102093675804013</v>
      </c>
      <c r="AR116" s="397">
        <f>AR114/$AR$96</f>
        <v>0.11808118429759955</v>
      </c>
      <c r="AS116" s="397"/>
      <c r="AT116" s="397"/>
      <c r="AU116" s="397"/>
      <c r="AV116" s="397"/>
      <c r="AW116" s="388"/>
      <c r="AX116" s="388"/>
      <c r="AY116" s="388"/>
      <c r="AZ116" s="397">
        <f>AZ114/AZ96</f>
        <v>0.11414077362079898</v>
      </c>
      <c r="BA116" s="397">
        <f>BA114/BA96</f>
        <v>0.1089142107886768</v>
      </c>
      <c r="BB116" s="397">
        <f>BB114/BB96</f>
        <v>0.10470391726041496</v>
      </c>
      <c r="BC116" s="397">
        <f>BC114/BC96</f>
        <v>0.10027575814421172</v>
      </c>
      <c r="BD116" s="397">
        <f>BD114/BD96</f>
        <v>9.5394736667671884E-2</v>
      </c>
      <c r="BE116" s="397"/>
      <c r="BF116" s="397"/>
      <c r="BG116" s="397"/>
      <c r="BH116" s="397"/>
      <c r="BI116" s="469"/>
      <c r="BJ116" s="469"/>
      <c r="BK116" s="469"/>
    </row>
    <row r="117" spans="1:63" s="465" customFormat="1" hidden="1">
      <c r="A117" s="459" t="s">
        <v>40</v>
      </c>
      <c r="B117" s="337" t="s">
        <v>101</v>
      </c>
      <c r="C117" s="439">
        <f t="shared" ref="C117:P117" si="131">C27</f>
        <v>280003</v>
      </c>
      <c r="D117" s="439">
        <f t="shared" si="131"/>
        <v>349410</v>
      </c>
      <c r="E117" s="439">
        <f t="shared" si="131"/>
        <v>810346.39989600005</v>
      </c>
      <c r="F117" s="439">
        <f t="shared" si="131"/>
        <v>452760</v>
      </c>
      <c r="G117" s="439">
        <f t="shared" si="131"/>
        <v>500750</v>
      </c>
      <c r="H117" s="439">
        <f t="shared" si="131"/>
        <v>810346.39989600005</v>
      </c>
      <c r="I117" s="439"/>
      <c r="J117" s="462"/>
      <c r="K117" s="439">
        <f t="shared" si="131"/>
        <v>687860.86755299999</v>
      </c>
      <c r="L117" s="439">
        <f t="shared" si="131"/>
        <v>804565.51386399998</v>
      </c>
      <c r="M117" s="439">
        <f t="shared" si="131"/>
        <v>941882.63027900003</v>
      </c>
      <c r="N117" s="439">
        <f t="shared" si="131"/>
        <v>954775.96481699997</v>
      </c>
      <c r="O117" s="439">
        <f t="shared" si="131"/>
        <v>1189344</v>
      </c>
      <c r="P117" s="439">
        <f t="shared" si="131"/>
        <v>4578428.9765130002</v>
      </c>
      <c r="Q117" s="323"/>
      <c r="R117" s="323">
        <f>P117/$P$96</f>
        <v>0.2030749115856165</v>
      </c>
      <c r="S117" s="439">
        <f>S27</f>
        <v>1310161</v>
      </c>
      <c r="T117" s="439">
        <f>T27</f>
        <v>1477896</v>
      </c>
      <c r="U117" s="439"/>
      <c r="V117" s="439">
        <f>V27</f>
        <v>1371274</v>
      </c>
      <c r="W117" s="439"/>
      <c r="X117" s="439">
        <f>X27</f>
        <v>1523285</v>
      </c>
      <c r="Y117" s="439"/>
      <c r="Z117" s="439">
        <f>Z27</f>
        <v>1976740.9</v>
      </c>
      <c r="AA117" s="327">
        <f>SUM(S117:Z117)</f>
        <v>7659356.9000000004</v>
      </c>
      <c r="AB117" s="439"/>
      <c r="AC117" s="323"/>
      <c r="AD117" s="323">
        <f>AA117/P117-1</f>
        <v>0.67292251103859657</v>
      </c>
      <c r="AE117" s="463"/>
      <c r="AF117" s="439">
        <f>AF27</f>
        <v>1283258</v>
      </c>
      <c r="AG117" s="439"/>
      <c r="AH117" s="439">
        <f>AH27</f>
        <v>1743740.6317860002</v>
      </c>
      <c r="AI117" s="439"/>
      <c r="AJ117" s="439"/>
      <c r="AK117" s="439"/>
      <c r="AL117" s="439"/>
      <c r="AM117" s="439"/>
      <c r="AN117" s="439"/>
      <c r="AO117" s="439">
        <f>AO27</f>
        <v>1600000</v>
      </c>
      <c r="AP117" s="439"/>
      <c r="AQ117" s="439">
        <f>AQ27</f>
        <v>1950000</v>
      </c>
      <c r="AR117" s="439">
        <f>AR27</f>
        <v>2322000</v>
      </c>
      <c r="AS117" s="439"/>
      <c r="AT117" s="439"/>
      <c r="AU117" s="439"/>
      <c r="AV117" s="439">
        <f>SUM(AF117:AR117)</f>
        <v>8898998.631786</v>
      </c>
      <c r="AW117" s="323"/>
      <c r="AX117" s="323">
        <f>AV117/$AV$96</f>
        <v>0.21133296411913133</v>
      </c>
      <c r="AY117" s="323">
        <f>AV117/AA117-1</f>
        <v>0.16184671219407454</v>
      </c>
      <c r="AZ117" s="439">
        <f>AZ27</f>
        <v>2500000</v>
      </c>
      <c r="BA117" s="439">
        <f>BA27</f>
        <v>2600000</v>
      </c>
      <c r="BB117" s="439">
        <f>BB27</f>
        <v>2660000</v>
      </c>
      <c r="BC117" s="439">
        <f>BC27</f>
        <v>2710000</v>
      </c>
      <c r="BD117" s="439">
        <f>BD27</f>
        <v>2810000</v>
      </c>
      <c r="BE117" s="439">
        <f>SUM(AY117:BD117)</f>
        <v>13280000.161846712</v>
      </c>
      <c r="BF117" s="439"/>
      <c r="BG117" s="461">
        <f>BE117/$BE$96</f>
        <v>0.20421344116286819</v>
      </c>
      <c r="BH117" s="461">
        <f>BE117/AV117</f>
        <v>1.4923027535269391</v>
      </c>
      <c r="BI117" s="467"/>
      <c r="BJ117" s="467"/>
      <c r="BK117" s="467"/>
    </row>
    <row r="118" spans="1:63" s="294" customFormat="1" hidden="1">
      <c r="A118" s="393" t="s">
        <v>137</v>
      </c>
      <c r="B118" s="426" t="s">
        <v>494</v>
      </c>
      <c r="C118" s="468"/>
      <c r="D118" s="468"/>
      <c r="E118" s="468"/>
      <c r="F118" s="468"/>
      <c r="G118" s="468"/>
      <c r="H118" s="397"/>
      <c r="I118" s="452"/>
      <c r="J118" s="438">
        <f>(D118*E118*F118*G118*H118)^(1/5)-1</f>
        <v>-1</v>
      </c>
      <c r="K118" s="397">
        <f>K117/H117</f>
        <v>0.84884793421835414</v>
      </c>
      <c r="L118" s="397">
        <f>L117/K117</f>
        <v>1.1696631569203315</v>
      </c>
      <c r="M118" s="397">
        <f>M117/L117</f>
        <v>1.1706723865848065</v>
      </c>
      <c r="N118" s="397">
        <f>N117/M117</f>
        <v>1.013688897239968</v>
      </c>
      <c r="O118" s="397">
        <f>O117/N117</f>
        <v>1.245678613440965</v>
      </c>
      <c r="P118" s="397"/>
      <c r="Q118" s="421">
        <f>(K118*L118*M118*N118*O118)^(1/5)-1</f>
        <v>7.9760300619458269E-2</v>
      </c>
      <c r="R118" s="397"/>
      <c r="S118" s="397">
        <f>S117/O117</f>
        <v>1.1015828893911266</v>
      </c>
      <c r="T118" s="397">
        <f>T117/S117</f>
        <v>1.1280262502089438</v>
      </c>
      <c r="U118" s="397"/>
      <c r="V118" s="397">
        <f>V117/T117</f>
        <v>0.92785554599241082</v>
      </c>
      <c r="W118" s="397"/>
      <c r="X118" s="397">
        <f>X117/V117</f>
        <v>1.1108538483191543</v>
      </c>
      <c r="Y118" s="397"/>
      <c r="Z118" s="397">
        <f>Z117/X117</f>
        <v>1.2976829024115644</v>
      </c>
      <c r="AA118" s="397"/>
      <c r="AB118" s="388">
        <f>(S118*T118*V118*X118*Z118)^(1/5)-1</f>
        <v>0.10695114146144746</v>
      </c>
      <c r="AC118" s="397"/>
      <c r="AD118" s="397"/>
      <c r="AE118" s="453"/>
      <c r="AF118" s="397">
        <f>AF117/Z117</f>
        <v>0.64917865563463584</v>
      </c>
      <c r="AG118" s="397"/>
      <c r="AH118" s="397">
        <f>AH117/AF117</f>
        <v>1.3588386994556045</v>
      </c>
      <c r="AI118" s="397"/>
      <c r="AJ118" s="397"/>
      <c r="AK118" s="397"/>
      <c r="AL118" s="397"/>
      <c r="AM118" s="397"/>
      <c r="AN118" s="397"/>
      <c r="AO118" s="397">
        <f>AO117/AH117</f>
        <v>0.91756765360294668</v>
      </c>
      <c r="AP118" s="397"/>
      <c r="AQ118" s="397">
        <f>AQ117/AO117</f>
        <v>1.21875</v>
      </c>
      <c r="AR118" s="397">
        <f>AR117/AQ117</f>
        <v>1.1907692307692308</v>
      </c>
      <c r="AS118" s="397"/>
      <c r="AT118" s="397"/>
      <c r="AU118" s="397"/>
      <c r="AV118" s="397"/>
      <c r="AW118" s="397">
        <f>(AO118*AQ118*AR118*AF118*AH118)^(1/5)-1</f>
        <v>3.2719775641952165E-2</v>
      </c>
      <c r="AX118" s="397"/>
      <c r="AY118" s="397"/>
      <c r="AZ118" s="397">
        <f>AZ117/AR117</f>
        <v>1.0766580534022394</v>
      </c>
      <c r="BA118" s="397">
        <f>BA117/AZ117</f>
        <v>1.04</v>
      </c>
      <c r="BB118" s="397">
        <f>BB117/BA117</f>
        <v>1.023076923076923</v>
      </c>
      <c r="BC118" s="397">
        <f>BC117/BB117</f>
        <v>1.018796992481203</v>
      </c>
      <c r="BD118" s="397">
        <f>BD117/BC117</f>
        <v>1.03690036900369</v>
      </c>
      <c r="BE118" s="397"/>
      <c r="BF118" s="417">
        <f>(AZ118*BA118*BB118*BC118*BD118)^(1/5)-1</f>
        <v>3.8888217818427551E-2</v>
      </c>
      <c r="BG118" s="397"/>
      <c r="BH118" s="397"/>
      <c r="BI118" s="469"/>
      <c r="BJ118" s="469"/>
      <c r="BK118" s="469"/>
    </row>
    <row r="119" spans="1:63" s="294" customFormat="1" hidden="1">
      <c r="A119" s="393" t="s">
        <v>137</v>
      </c>
      <c r="B119" s="426" t="s">
        <v>496</v>
      </c>
      <c r="C119" s="468"/>
      <c r="D119" s="468"/>
      <c r="E119" s="468"/>
      <c r="F119" s="468"/>
      <c r="G119" s="468"/>
      <c r="H119" s="397"/>
      <c r="I119" s="452"/>
      <c r="J119" s="452"/>
      <c r="K119" s="397">
        <f>K117/$K$96</f>
        <v>0.1654981244640521</v>
      </c>
      <c r="L119" s="397">
        <f>L117/$L$96</f>
        <v>0.17805423262886683</v>
      </c>
      <c r="M119" s="397">
        <f>M117/$M$96</f>
        <v>0.2055084244876586</v>
      </c>
      <c r="N119" s="397">
        <f>N117/$N$96</f>
        <v>0.23216902142702778</v>
      </c>
      <c r="O119" s="397">
        <f>O117/$O$96</f>
        <v>0.22982683720850242</v>
      </c>
      <c r="P119" s="397">
        <f>P117/$P$96</f>
        <v>0.2030749115856165</v>
      </c>
      <c r="Q119" s="397"/>
      <c r="R119" s="397"/>
      <c r="S119" s="397">
        <f>S117/$S$96</f>
        <v>0.20682031685714686</v>
      </c>
      <c r="T119" s="397">
        <f>T117/$T$96</f>
        <v>0.21568839211231297</v>
      </c>
      <c r="U119" s="397"/>
      <c r="V119" s="397">
        <f>V117/$V$96</f>
        <v>0.19634878551541926</v>
      </c>
      <c r="W119" s="397"/>
      <c r="X119" s="397">
        <f>X117/$X$96</f>
        <v>0.1736726419171879</v>
      </c>
      <c r="Y119" s="397"/>
      <c r="Z119" s="397">
        <f>Z117/$Z$96</f>
        <v>0.23446590822126473</v>
      </c>
      <c r="AA119" s="397">
        <f>AA117/$AA$96</f>
        <v>0.20494644235601764</v>
      </c>
      <c r="AB119" s="397"/>
      <c r="AC119" s="388"/>
      <c r="AD119" s="388"/>
      <c r="AE119" s="390"/>
      <c r="AF119" s="397">
        <f>AF117/$AF$96</f>
        <v>0.17790150591143644</v>
      </c>
      <c r="AG119" s="397"/>
      <c r="AH119" s="397">
        <f>AH117/$AH$96</f>
        <v>0.22136851323384485</v>
      </c>
      <c r="AI119" s="397"/>
      <c r="AJ119" s="397"/>
      <c r="AK119" s="397"/>
      <c r="AL119" s="397"/>
      <c r="AM119" s="397"/>
      <c r="AN119" s="397"/>
      <c r="AO119" s="397">
        <f>AO117/$AO$96</f>
        <v>0.21080368906455862</v>
      </c>
      <c r="AP119" s="397"/>
      <c r="AQ119" s="397">
        <f>AQ117/$AQ$96</f>
        <v>0.21044679473343406</v>
      </c>
      <c r="AR119" s="397">
        <f>AR117/$AR$96</f>
        <v>0.22848709161585512</v>
      </c>
      <c r="AS119" s="397"/>
      <c r="AT119" s="397"/>
      <c r="AU119" s="397"/>
      <c r="AV119" s="397"/>
      <c r="AW119" s="388"/>
      <c r="AX119" s="388"/>
      <c r="AY119" s="388"/>
      <c r="AZ119" s="397">
        <f>AZ117/AZ96</f>
        <v>0.22646978893015671</v>
      </c>
      <c r="BA119" s="397">
        <f>BA117/BA96</f>
        <v>0.2178284215773536</v>
      </c>
      <c r="BB119" s="397">
        <f>BB117/BB96</f>
        <v>0.20630549623163244</v>
      </c>
      <c r="BC119" s="397">
        <f>BC117/BC96</f>
        <v>0.19410521755058127</v>
      </c>
      <c r="BD119" s="397">
        <f>BD117/BD96</f>
        <v>0.18486842071459172</v>
      </c>
      <c r="BE119" s="397"/>
      <c r="BF119" s="397"/>
      <c r="BG119" s="397"/>
      <c r="BH119" s="397"/>
      <c r="BI119" s="469"/>
      <c r="BJ119" s="469"/>
      <c r="BK119" s="469"/>
    </row>
    <row r="120" spans="1:63" s="465" customFormat="1" hidden="1">
      <c r="A120" s="459" t="s">
        <v>44</v>
      </c>
      <c r="B120" s="337" t="s">
        <v>477</v>
      </c>
      <c r="C120" s="439">
        <f t="shared" ref="C120:P120" si="132">C28</f>
        <v>153738.415439</v>
      </c>
      <c r="D120" s="439">
        <f t="shared" si="132"/>
        <v>230940</v>
      </c>
      <c r="E120" s="439">
        <f t="shared" si="132"/>
        <v>305720</v>
      </c>
      <c r="F120" s="439">
        <f t="shared" si="132"/>
        <v>329200</v>
      </c>
      <c r="G120" s="439">
        <f t="shared" si="132"/>
        <v>308830</v>
      </c>
      <c r="H120" s="439">
        <f t="shared" si="132"/>
        <v>306565.00754700002</v>
      </c>
      <c r="I120" s="439"/>
      <c r="J120" s="462"/>
      <c r="K120" s="439">
        <f t="shared" si="132"/>
        <v>357566.61864</v>
      </c>
      <c r="L120" s="439">
        <f t="shared" si="132"/>
        <v>418951.84585500002</v>
      </c>
      <c r="M120" s="439">
        <f t="shared" si="132"/>
        <v>456841.14694599999</v>
      </c>
      <c r="N120" s="439">
        <f t="shared" si="132"/>
        <v>140078.797276</v>
      </c>
      <c r="O120" s="439">
        <f t="shared" si="132"/>
        <v>243841</v>
      </c>
      <c r="P120" s="439">
        <f t="shared" si="132"/>
        <v>1617279.4087169999</v>
      </c>
      <c r="Q120" s="323"/>
      <c r="R120" s="323">
        <f>P120/$P$96</f>
        <v>7.1733966960994378E-2</v>
      </c>
      <c r="S120" s="439">
        <f>S28</f>
        <v>96965</v>
      </c>
      <c r="T120" s="439">
        <f>T28</f>
        <v>107416</v>
      </c>
      <c r="U120" s="439"/>
      <c r="V120" s="439">
        <f>V28</f>
        <v>74262</v>
      </c>
      <c r="W120" s="439"/>
      <c r="X120" s="439">
        <f>X28</f>
        <v>126290</v>
      </c>
      <c r="Y120" s="439"/>
      <c r="Z120" s="439">
        <f>Z28</f>
        <v>93759</v>
      </c>
      <c r="AA120" s="327">
        <f>SUM(S120:Z120)</f>
        <v>498692</v>
      </c>
      <c r="AB120" s="439"/>
      <c r="AC120" s="323"/>
      <c r="AD120" s="323">
        <f>AA120/P120-1</f>
        <v>-0.69164759205361048</v>
      </c>
      <c r="AE120" s="463"/>
      <c r="AF120" s="439">
        <f>AF28</f>
        <v>196854</v>
      </c>
      <c r="AG120" s="439"/>
      <c r="AH120" s="439">
        <f>AH28</f>
        <v>389783.37025500002</v>
      </c>
      <c r="AI120" s="439"/>
      <c r="AJ120" s="439"/>
      <c r="AK120" s="439"/>
      <c r="AL120" s="439"/>
      <c r="AM120" s="439"/>
      <c r="AN120" s="439"/>
      <c r="AO120" s="439">
        <f>AO28</f>
        <v>150000</v>
      </c>
      <c r="AP120" s="439"/>
      <c r="AQ120" s="439">
        <f>AQ28</f>
        <v>200000</v>
      </c>
      <c r="AR120" s="439">
        <f>AR28</f>
        <v>162500</v>
      </c>
      <c r="AS120" s="439"/>
      <c r="AT120" s="439"/>
      <c r="AU120" s="439"/>
      <c r="AV120" s="439">
        <f>SUM(AF120:AR120)</f>
        <v>1099137.370255</v>
      </c>
      <c r="AW120" s="323"/>
      <c r="AX120" s="323">
        <f>AV120/$AV$96</f>
        <v>2.6102258022650988E-2</v>
      </c>
      <c r="AY120" s="323">
        <f>AV120/AA120-1</f>
        <v>1.2040405104854299</v>
      </c>
      <c r="AZ120" s="439">
        <f>AZ28</f>
        <v>169000</v>
      </c>
      <c r="BA120" s="439">
        <f>BA28</f>
        <v>175999.81661120002</v>
      </c>
      <c r="BB120" s="439">
        <f>BB28</f>
        <v>183500.40879883713</v>
      </c>
      <c r="BC120" s="439">
        <f>BC28</f>
        <v>191500.02662246645</v>
      </c>
      <c r="BD120" s="439">
        <f>BD28</f>
        <v>200000.027793855</v>
      </c>
      <c r="BE120" s="439">
        <f>SUM(AY120:BD120)-1</f>
        <v>920000.48386686901</v>
      </c>
      <c r="BF120" s="439"/>
      <c r="BG120" s="422">
        <f>BE120/$BE$96</f>
        <v>1.4147323975320727E-2</v>
      </c>
      <c r="BH120" s="461">
        <f>BE120/AV120</f>
        <v>0.83702047511443345</v>
      </c>
      <c r="BI120" s="467"/>
      <c r="BJ120" s="467"/>
      <c r="BK120" s="467"/>
    </row>
    <row r="121" spans="1:63" s="294" customFormat="1" hidden="1">
      <c r="A121" s="393" t="s">
        <v>137</v>
      </c>
      <c r="B121" s="426" t="s">
        <v>494</v>
      </c>
      <c r="C121" s="468"/>
      <c r="D121" s="468"/>
      <c r="E121" s="468"/>
      <c r="F121" s="468"/>
      <c r="G121" s="468"/>
      <c r="H121" s="397"/>
      <c r="I121" s="452"/>
      <c r="J121" s="438">
        <f>(D121*E121*F121*G121*H121)^(1/5)-1</f>
        <v>-1</v>
      </c>
      <c r="K121" s="397">
        <f>K120/H120</f>
        <v>1.1663647508275414</v>
      </c>
      <c r="L121" s="397">
        <f>L120/K120</f>
        <v>1.1716749383610749</v>
      </c>
      <c r="M121" s="397">
        <f>M120/L120</f>
        <v>1.0904383199784577</v>
      </c>
      <c r="N121" s="397">
        <f>N120/M120</f>
        <v>0.30662473862617662</v>
      </c>
      <c r="O121" s="397">
        <f>O120/N120</f>
        <v>1.7407416735564576</v>
      </c>
      <c r="P121" s="397"/>
      <c r="Q121" s="421">
        <f>(K121*L121*M121*N121*O121)^(1/5)-1</f>
        <v>-4.4750476186834587E-2</v>
      </c>
      <c r="R121" s="397"/>
      <c r="S121" s="397">
        <f>S120/O120</f>
        <v>0.39765666971510122</v>
      </c>
      <c r="T121" s="397">
        <f>T120/S120</f>
        <v>1.1077811581498478</v>
      </c>
      <c r="U121" s="397"/>
      <c r="V121" s="397">
        <f>V120/T120</f>
        <v>0.69134951962463698</v>
      </c>
      <c r="W121" s="397"/>
      <c r="X121" s="397">
        <f>X120/V120</f>
        <v>1.7006005763378309</v>
      </c>
      <c r="Y121" s="397"/>
      <c r="Z121" s="397">
        <f>Z120/X120</f>
        <v>0.74241032544144425</v>
      </c>
      <c r="AA121" s="397"/>
      <c r="AB121" s="388">
        <f>(S121*T121*V121*X121*Z121)^(1/5)-1</f>
        <v>-0.17399771792258245</v>
      </c>
      <c r="AC121" s="397"/>
      <c r="AD121" s="397"/>
      <c r="AE121" s="453"/>
      <c r="AF121" s="397">
        <f>AF120/Z120</f>
        <v>2.0995744408536781</v>
      </c>
      <c r="AG121" s="397"/>
      <c r="AH121" s="397">
        <f>AH120/AF120</f>
        <v>1.9800632461367309</v>
      </c>
      <c r="AI121" s="397"/>
      <c r="AJ121" s="397"/>
      <c r="AK121" s="397"/>
      <c r="AL121" s="397"/>
      <c r="AM121" s="397"/>
      <c r="AN121" s="397"/>
      <c r="AO121" s="397">
        <f>AO120/AH120</f>
        <v>0.38482914215110964</v>
      </c>
      <c r="AP121" s="397"/>
      <c r="AQ121" s="397">
        <f>AQ120/AO120</f>
        <v>1.3333333333333333</v>
      </c>
      <c r="AR121" s="397">
        <f>AR120/AQ120</f>
        <v>0.8125</v>
      </c>
      <c r="AS121" s="397"/>
      <c r="AT121" s="397"/>
      <c r="AU121" s="397"/>
      <c r="AV121" s="397"/>
      <c r="AW121" s="397">
        <f>(AO121*AQ121*AR121*AF121*AH121)^(1/5)-1</f>
        <v>0.11626698398103552</v>
      </c>
      <c r="AX121" s="397"/>
      <c r="AY121" s="397"/>
      <c r="AZ121" s="397">
        <f>AZ120/AR120</f>
        <v>1.04</v>
      </c>
      <c r="BA121" s="397">
        <f>BA120/AZ120</f>
        <v>1.041419033202367</v>
      </c>
      <c r="BB121" s="397">
        <f>BB120/BA120</f>
        <v>1.0426170454723065</v>
      </c>
      <c r="BC121" s="397">
        <f>BC120/BB120</f>
        <v>1.0435945504208599</v>
      </c>
      <c r="BD121" s="397">
        <f>BD120/BC120</f>
        <v>1.0443864229227806</v>
      </c>
      <c r="BE121" s="397"/>
      <c r="BF121" s="417">
        <f>(AZ121*BA121*BB121*BC121*BD121)^(1/5)-1</f>
        <v>4.2402245249672177E-2</v>
      </c>
      <c r="BG121" s="397"/>
      <c r="BH121" s="397"/>
      <c r="BI121" s="469"/>
      <c r="BJ121" s="469"/>
      <c r="BK121" s="469"/>
    </row>
    <row r="122" spans="1:63" s="294" customFormat="1" hidden="1">
      <c r="A122" s="393" t="s">
        <v>137</v>
      </c>
      <c r="B122" s="426" t="s">
        <v>496</v>
      </c>
      <c r="C122" s="468"/>
      <c r="D122" s="468"/>
      <c r="E122" s="468"/>
      <c r="F122" s="468"/>
      <c r="G122" s="468"/>
      <c r="H122" s="397"/>
      <c r="I122" s="452"/>
      <c r="J122" s="452"/>
      <c r="K122" s="397">
        <f>K120/$K$96</f>
        <v>8.6029904515993405E-2</v>
      </c>
      <c r="L122" s="397">
        <f>L120/$L$96</f>
        <v>9.2716066170801248E-2</v>
      </c>
      <c r="M122" s="397">
        <f>M120/$M$96</f>
        <v>9.9677710716671045E-2</v>
      </c>
      <c r="N122" s="397">
        <f>N120/$N$96</f>
        <v>3.4062396294692383E-2</v>
      </c>
      <c r="O122" s="397">
        <f>O120/$O$96</f>
        <v>4.7119425340152586E-2</v>
      </c>
      <c r="P122" s="397">
        <f>P120/$P$96</f>
        <v>7.1733966960994378E-2</v>
      </c>
      <c r="Q122" s="397"/>
      <c r="R122" s="397"/>
      <c r="S122" s="397">
        <f>S120/$S$96</f>
        <v>1.5306769186423078E-2</v>
      </c>
      <c r="T122" s="397">
        <f>T120/$T$96</f>
        <v>1.5676599927962595E-2</v>
      </c>
      <c r="U122" s="397"/>
      <c r="V122" s="397">
        <f>V120/$V$96</f>
        <v>1.0633362486232558E-2</v>
      </c>
      <c r="W122" s="397"/>
      <c r="X122" s="397">
        <f>X120/$X$96</f>
        <v>1.4398564909207181E-2</v>
      </c>
      <c r="Y122" s="397"/>
      <c r="Z122" s="397">
        <f>Z120/$Z$96</f>
        <v>1.1120976496675697E-2</v>
      </c>
      <c r="AA122" s="397">
        <f>AA120/$AA$96</f>
        <v>1.3343829327421359E-2</v>
      </c>
      <c r="AB122" s="397"/>
      <c r="AC122" s="388"/>
      <c r="AD122" s="388"/>
      <c r="AE122" s="390"/>
      <c r="AF122" s="397">
        <f>AF120/$AF$96</f>
        <v>2.7290399159553193E-2</v>
      </c>
      <c r="AG122" s="397"/>
      <c r="AH122" s="397">
        <f>AH120/$AH$96</f>
        <v>4.9483141921312986E-2</v>
      </c>
      <c r="AI122" s="397"/>
      <c r="AJ122" s="397"/>
      <c r="AK122" s="397"/>
      <c r="AL122" s="397"/>
      <c r="AM122" s="397"/>
      <c r="AN122" s="397"/>
      <c r="AO122" s="397">
        <f>AO120/$AO$96</f>
        <v>1.9762845849802372E-2</v>
      </c>
      <c r="AP122" s="397"/>
      <c r="AQ122" s="397">
        <f>AQ120/$AQ$96</f>
        <v>2.1584286639326572E-2</v>
      </c>
      <c r="AR122" s="397">
        <f>AR120/$AR$96</f>
        <v>1.5990160373633273E-2</v>
      </c>
      <c r="AS122" s="397"/>
      <c r="AT122" s="397"/>
      <c r="AU122" s="397"/>
      <c r="AV122" s="397"/>
      <c r="AW122" s="388"/>
      <c r="AX122" s="388"/>
      <c r="AY122" s="388"/>
      <c r="AZ122" s="397">
        <f>AZ120/AZ96</f>
        <v>1.5309357731678594E-2</v>
      </c>
      <c r="BA122" s="397">
        <f>BA120/BA96</f>
        <v>1.4745293173200539E-2</v>
      </c>
      <c r="BB122" s="397">
        <f>BB120/BB96</f>
        <v>1.4232008607500566E-2</v>
      </c>
      <c r="BC122" s="397">
        <f>BC120/BC96</f>
        <v>1.3716293110146108E-2</v>
      </c>
      <c r="BD122" s="397">
        <f>BD120/BD96</f>
        <v>1.3157896541325417E-2</v>
      </c>
      <c r="BE122" s="397"/>
      <c r="BF122" s="397"/>
      <c r="BG122" s="397"/>
      <c r="BH122" s="397"/>
      <c r="BI122" s="469"/>
      <c r="BJ122" s="469"/>
      <c r="BK122" s="469"/>
    </row>
    <row r="123" spans="1:63" s="294" customFormat="1" hidden="1">
      <c r="A123" s="459" t="s">
        <v>510</v>
      </c>
      <c r="B123" s="337" t="s">
        <v>473</v>
      </c>
      <c r="C123" s="439">
        <f t="shared" ref="C123:P123" si="133">C12</f>
        <v>1037.3321739999999</v>
      </c>
      <c r="D123" s="439">
        <f t="shared" si="133"/>
        <v>580</v>
      </c>
      <c r="E123" s="439">
        <f t="shared" si="133"/>
        <v>630</v>
      </c>
      <c r="F123" s="439">
        <f t="shared" si="133"/>
        <v>2440</v>
      </c>
      <c r="G123" s="439">
        <f t="shared" si="133"/>
        <v>780</v>
      </c>
      <c r="H123" s="439">
        <f t="shared" si="133"/>
        <v>3761</v>
      </c>
      <c r="I123" s="439"/>
      <c r="J123" s="462"/>
      <c r="K123" s="439">
        <f t="shared" si="133"/>
        <v>8028.6076819999998</v>
      </c>
      <c r="L123" s="439">
        <f t="shared" si="133"/>
        <v>7377.2642779999996</v>
      </c>
      <c r="M123" s="439">
        <f t="shared" si="133"/>
        <v>17351.560365000001</v>
      </c>
      <c r="N123" s="439">
        <f t="shared" si="133"/>
        <v>25825.109232999999</v>
      </c>
      <c r="O123" s="439">
        <f t="shared" si="133"/>
        <v>69494</v>
      </c>
      <c r="P123" s="439">
        <f t="shared" si="133"/>
        <v>128076.541558</v>
      </c>
      <c r="Q123" s="323"/>
      <c r="R123" s="323">
        <f>P123/$P$96</f>
        <v>5.680798476181961E-3</v>
      </c>
      <c r="S123" s="439">
        <f>S12</f>
        <v>61938</v>
      </c>
      <c r="T123" s="439">
        <f>T12</f>
        <v>49785</v>
      </c>
      <c r="U123" s="439"/>
      <c r="V123" s="439">
        <f>V12</f>
        <v>35833</v>
      </c>
      <c r="W123" s="439"/>
      <c r="X123" s="439">
        <f>X12</f>
        <v>76845</v>
      </c>
      <c r="Y123" s="439"/>
      <c r="Z123" s="439">
        <f>Z12</f>
        <v>110158.9</v>
      </c>
      <c r="AA123" s="327">
        <f>SUM(S123:Z123)</f>
        <v>334559.90000000002</v>
      </c>
      <c r="AB123" s="439"/>
      <c r="AC123" s="323"/>
      <c r="AD123" s="323">
        <f>AA123/P123-1</f>
        <v>1.6121871806516039</v>
      </c>
      <c r="AE123" s="463"/>
      <c r="AF123" s="439">
        <f>AF12</f>
        <v>70477</v>
      </c>
      <c r="AG123" s="439"/>
      <c r="AH123" s="439">
        <f>AH12</f>
        <v>74729.223614999995</v>
      </c>
      <c r="AI123" s="439"/>
      <c r="AJ123" s="439"/>
      <c r="AK123" s="439"/>
      <c r="AL123" s="439"/>
      <c r="AM123" s="439"/>
      <c r="AN123" s="439"/>
      <c r="AO123" s="439">
        <f>AO12</f>
        <v>70000</v>
      </c>
      <c r="AP123" s="439"/>
      <c r="AQ123" s="439">
        <f>AQ12</f>
        <v>75000</v>
      </c>
      <c r="AR123" s="439">
        <f>AR12</f>
        <v>100000</v>
      </c>
      <c r="AS123" s="439"/>
      <c r="AT123" s="439"/>
      <c r="AU123" s="439"/>
      <c r="AV123" s="439">
        <f>SUM(AF123:AR123)</f>
        <v>390206.22361500002</v>
      </c>
      <c r="AW123" s="323"/>
      <c r="AX123" s="323">
        <f>AV123/$AV$96</f>
        <v>9.2665974303830622E-3</v>
      </c>
      <c r="AY123" s="323">
        <f>AV123/AA123-1</f>
        <v>0.16632693761266659</v>
      </c>
      <c r="AZ123" s="439">
        <f>AZ12</f>
        <v>110000</v>
      </c>
      <c r="BA123" s="439">
        <f>BA12</f>
        <v>120000</v>
      </c>
      <c r="BB123" s="439">
        <f>BB12</f>
        <v>130000</v>
      </c>
      <c r="BC123" s="439">
        <f>BC12</f>
        <v>140000</v>
      </c>
      <c r="BD123" s="439">
        <f>BD12</f>
        <v>153000</v>
      </c>
      <c r="BE123" s="439">
        <f>SUM(AY123:BD123)</f>
        <v>653000.16632693761</v>
      </c>
      <c r="BF123" s="439"/>
      <c r="BG123" s="422">
        <f>BE123/$BE$96</f>
        <v>1.0041521793701953E-2</v>
      </c>
      <c r="BH123" s="461">
        <f>BE123/AV123</f>
        <v>1.6734745035005523</v>
      </c>
      <c r="BI123" s="467"/>
      <c r="BJ123" s="467"/>
      <c r="BK123" s="467"/>
    </row>
    <row r="124" spans="1:63" s="294" customFormat="1" hidden="1">
      <c r="A124" s="393" t="s">
        <v>137</v>
      </c>
      <c r="B124" s="426" t="s">
        <v>494</v>
      </c>
      <c r="C124" s="468"/>
      <c r="D124" s="468"/>
      <c r="E124" s="468"/>
      <c r="F124" s="468"/>
      <c r="G124" s="468"/>
      <c r="H124" s="397"/>
      <c r="I124" s="452"/>
      <c r="J124" s="438">
        <f>(D124*E124*F124*G124*H124)^(1/5)-1</f>
        <v>-1</v>
      </c>
      <c r="K124" s="397">
        <f>K123/H123</f>
        <v>2.1347002611007708</v>
      </c>
      <c r="L124" s="397">
        <f>L123/K123</f>
        <v>0.91887218434395534</v>
      </c>
      <c r="M124" s="397">
        <f>M123/L123</f>
        <v>2.3520318252315704</v>
      </c>
      <c r="N124" s="397">
        <f>N123/M123</f>
        <v>1.4883450646370728</v>
      </c>
      <c r="O124" s="397">
        <f>O123/N123</f>
        <v>2.6909469916664959</v>
      </c>
      <c r="P124" s="397"/>
      <c r="Q124" s="421">
        <f>(K124*L124*M124*N124*O124)^(1/5)-1</f>
        <v>0.79196199769437925</v>
      </c>
      <c r="R124" s="397"/>
      <c r="S124" s="397">
        <f>S123/O123</f>
        <v>0.89127118887961554</v>
      </c>
      <c r="T124" s="397">
        <f>T123/S123</f>
        <v>0.80378765862636825</v>
      </c>
      <c r="U124" s="397"/>
      <c r="V124" s="397">
        <f>V123/T123</f>
        <v>0.71975494626895653</v>
      </c>
      <c r="W124" s="397"/>
      <c r="X124" s="397">
        <f>X123/V123</f>
        <v>2.1445315770379261</v>
      </c>
      <c r="Y124" s="397"/>
      <c r="Z124" s="397">
        <f>Z123/X123</f>
        <v>1.4335207235343874</v>
      </c>
      <c r="AA124" s="397"/>
      <c r="AB124" s="388">
        <f>(S124*T124*V124*X124*Z124)^(1/5)-1</f>
        <v>9.6514694647396038E-2</v>
      </c>
      <c r="AC124" s="397"/>
      <c r="AD124" s="397"/>
      <c r="AE124" s="453"/>
      <c r="AF124" s="397">
        <f>AF123/Z123</f>
        <v>0.63977581475486778</v>
      </c>
      <c r="AG124" s="397"/>
      <c r="AH124" s="397">
        <f>AH123/AF123</f>
        <v>1.060334912311818</v>
      </c>
      <c r="AI124" s="397"/>
      <c r="AJ124" s="397"/>
      <c r="AK124" s="397"/>
      <c r="AL124" s="397"/>
      <c r="AM124" s="397"/>
      <c r="AN124" s="397"/>
      <c r="AO124" s="397">
        <f>AO123/AH123</f>
        <v>0.93671520475892212</v>
      </c>
      <c r="AP124" s="397"/>
      <c r="AQ124" s="397">
        <f>AQ123/AO123</f>
        <v>1.0714285714285714</v>
      </c>
      <c r="AR124" s="397">
        <f>AR123/AQ123</f>
        <v>1.3333333333333333</v>
      </c>
      <c r="AS124" s="397"/>
      <c r="AT124" s="397"/>
      <c r="AU124" s="397"/>
      <c r="AV124" s="397"/>
      <c r="AW124" s="397">
        <f>(AO124*AQ124*AR124*AF124*AH124)^(1/5)-1</f>
        <v>-1.9164712909005899E-2</v>
      </c>
      <c r="AX124" s="397"/>
      <c r="AY124" s="397"/>
      <c r="AZ124" s="397">
        <f>AZ123/AR123</f>
        <v>1.1000000000000001</v>
      </c>
      <c r="BA124" s="397">
        <f>BA123/AZ123</f>
        <v>1.0909090909090908</v>
      </c>
      <c r="BB124" s="397">
        <f>BB123/BA123</f>
        <v>1.0833333333333333</v>
      </c>
      <c r="BC124" s="397">
        <f>BC123/BB123</f>
        <v>1.0769230769230769</v>
      </c>
      <c r="BD124" s="397">
        <f>BD123/BC123</f>
        <v>1.0928571428571427</v>
      </c>
      <c r="BE124" s="397"/>
      <c r="BF124" s="417">
        <f>(AZ124*BA124*BB124*BC124*BD124)^(1/5)-1</f>
        <v>8.8775365880074064E-2</v>
      </c>
      <c r="BG124" s="397"/>
      <c r="BH124" s="397"/>
      <c r="BI124" s="469"/>
      <c r="BJ124" s="469"/>
      <c r="BK124" s="469"/>
    </row>
    <row r="125" spans="1:63" s="294" customFormat="1" hidden="1">
      <c r="A125" s="393" t="s">
        <v>137</v>
      </c>
      <c r="B125" s="426" t="s">
        <v>496</v>
      </c>
      <c r="C125" s="468"/>
      <c r="D125" s="468"/>
      <c r="E125" s="468"/>
      <c r="F125" s="468"/>
      <c r="G125" s="468"/>
      <c r="H125" s="397"/>
      <c r="I125" s="452"/>
      <c r="J125" s="452"/>
      <c r="K125" s="397">
        <f>K123/$K$96</f>
        <v>1.9316689989292092E-3</v>
      </c>
      <c r="L125" s="397">
        <f>L123/$L$96</f>
        <v>1.6326242018641606E-3</v>
      </c>
      <c r="M125" s="397">
        <f>M123/$M$96</f>
        <v>3.785919517336657E-3</v>
      </c>
      <c r="N125" s="397">
        <f>N123/$N$96</f>
        <v>6.2797876777521428E-3</v>
      </c>
      <c r="O125" s="397">
        <f>O123/$O$96</f>
        <v>1.3428903853693858E-2</v>
      </c>
      <c r="P125" s="397">
        <f>P123/$P$96</f>
        <v>5.680798476181961E-3</v>
      </c>
      <c r="Q125" s="397"/>
      <c r="R125" s="397"/>
      <c r="S125" s="397">
        <f>S123/$S$96</f>
        <v>9.7774523783702629E-3</v>
      </c>
      <c r="T125" s="397">
        <f>T123/$T$96</f>
        <v>7.2657660629107199E-3</v>
      </c>
      <c r="U125" s="397"/>
      <c r="V125" s="397">
        <f>V123/$V$96</f>
        <v>5.1308243512048048E-3</v>
      </c>
      <c r="W125" s="397"/>
      <c r="X125" s="397">
        <f>X123/$X$96</f>
        <v>8.7612457078788952E-3</v>
      </c>
      <c r="Y125" s="397"/>
      <c r="Z125" s="397">
        <f>Z123/$Z$96</f>
        <v>1.3066207380621041E-2</v>
      </c>
      <c r="AA125" s="397">
        <f>AA123/$AA$96</f>
        <v>8.9520389446775921E-3</v>
      </c>
      <c r="AB125" s="397"/>
      <c r="AC125" s="388"/>
      <c r="AD125" s="388"/>
      <c r="AE125" s="390"/>
      <c r="AF125" s="397">
        <f>AF123/$AF$96</f>
        <v>9.770415950744361E-3</v>
      </c>
      <c r="AG125" s="397"/>
      <c r="AH125" s="397">
        <f>AH123/$AH$96</f>
        <v>9.4869023667977885E-3</v>
      </c>
      <c r="AI125" s="397"/>
      <c r="AJ125" s="397"/>
      <c r="AK125" s="397"/>
      <c r="AL125" s="397"/>
      <c r="AM125" s="397"/>
      <c r="AN125" s="397"/>
      <c r="AO125" s="397">
        <f>AO123/$AO$96</f>
        <v>9.22266139657444E-3</v>
      </c>
      <c r="AP125" s="397"/>
      <c r="AQ125" s="397">
        <f>AQ123/$AQ$96</f>
        <v>8.0941074897474645E-3</v>
      </c>
      <c r="AR125" s="397">
        <f>AR123/$AR$96</f>
        <v>9.840098691466629E-3</v>
      </c>
      <c r="AS125" s="397"/>
      <c r="AT125" s="397"/>
      <c r="AU125" s="397"/>
      <c r="AV125" s="397"/>
      <c r="AW125" s="388"/>
      <c r="AX125" s="388"/>
      <c r="AY125" s="388"/>
      <c r="AZ125" s="397">
        <f>AZ123/AZ96</f>
        <v>9.9646707129268947E-3</v>
      </c>
      <c r="BA125" s="397">
        <f>BA123/BA96</f>
        <v>1.005361945741632E-2</v>
      </c>
      <c r="BB125" s="397">
        <f>BB123/BB96</f>
        <v>1.0082599439891812E-2</v>
      </c>
      <c r="BC125" s="397">
        <f>BC123/BC96</f>
        <v>1.0027575814421172E-2</v>
      </c>
      <c r="BD125" s="397">
        <f>BD123/BD96</f>
        <v>1.0065789455278482E-2</v>
      </c>
      <c r="BE125" s="397"/>
      <c r="BF125" s="397"/>
      <c r="BG125" s="397"/>
      <c r="BH125" s="397"/>
      <c r="BI125" s="469"/>
      <c r="BJ125" s="469"/>
      <c r="BK125" s="469"/>
    </row>
    <row r="126" spans="1:63" s="465" customFormat="1" hidden="1">
      <c r="A126" s="459" t="s">
        <v>511</v>
      </c>
      <c r="B126" s="466" t="s">
        <v>512</v>
      </c>
      <c r="C126" s="439">
        <f>C96-C99-C108-C111-C114-C117-C120</f>
        <v>184117.0928999997</v>
      </c>
      <c r="D126" s="439">
        <f>D96-D99-D108-D111-D114-D117-D120</f>
        <v>217770</v>
      </c>
      <c r="E126" s="439">
        <f>E96-E99-E108-E111-E114-E117-E120</f>
        <v>252170</v>
      </c>
      <c r="F126" s="439">
        <f>F96-F99-F108-F111-F114-F117-F120</f>
        <v>286900</v>
      </c>
      <c r="G126" s="439">
        <f>G96-G99-G108-G111-G114-G117-G120</f>
        <v>362090</v>
      </c>
      <c r="H126" s="439">
        <f>H96-H99-H108-H111-H114-H117-H120-H123</f>
        <v>557315.6288880005</v>
      </c>
      <c r="I126" s="439"/>
      <c r="J126" s="462"/>
      <c r="K126" s="439">
        <f t="shared" ref="K126:P126" si="134">K96-K99-K108-K111-K114-K117-K120-K123</f>
        <v>514861.85511299974</v>
      </c>
      <c r="L126" s="439">
        <f t="shared" si="134"/>
        <v>541235.93974899943</v>
      </c>
      <c r="M126" s="439">
        <f t="shared" si="134"/>
        <v>581398.63220000057</v>
      </c>
      <c r="N126" s="439">
        <f t="shared" si="134"/>
        <v>725749.41486199992</v>
      </c>
      <c r="O126" s="439">
        <f t="shared" si="134"/>
        <v>865190</v>
      </c>
      <c r="P126" s="439">
        <f t="shared" si="134"/>
        <v>3228435.8419239991</v>
      </c>
      <c r="Q126" s="323"/>
      <c r="R126" s="323">
        <f>P126/$P$96</f>
        <v>0.14319635108938111</v>
      </c>
      <c r="S126" s="439">
        <f>S96-S99-S108-S111-S114-S117-S120-S123</f>
        <v>936689</v>
      </c>
      <c r="T126" s="439">
        <f>T96-T99-T108-T111-T114-T117-T120-T123</f>
        <v>1151004</v>
      </c>
      <c r="U126" s="439"/>
      <c r="V126" s="439">
        <f>V96-V99-V108-V111-V114-V117-V120-V123</f>
        <v>1425414</v>
      </c>
      <c r="W126" s="439"/>
      <c r="X126" s="439">
        <f>X96-X99-X108-X111-X114-X117-X120-X123</f>
        <v>1664228</v>
      </c>
      <c r="Y126" s="439"/>
      <c r="Z126" s="439">
        <f>Z96-Z99-Z108-Z111-Z114-Z117-Z120-Z123</f>
        <v>1572602.9000000018</v>
      </c>
      <c r="AA126" s="327">
        <f>SUM(S126:Z126)</f>
        <v>6749937.9000000022</v>
      </c>
      <c r="AB126" s="439"/>
      <c r="AC126" s="323"/>
      <c r="AD126" s="323">
        <f>AA126/P126-1</f>
        <v>1.0907765340559936</v>
      </c>
      <c r="AE126" s="463"/>
      <c r="AF126" s="439">
        <f>AF96-AF99-AF108-AF111-AF114-AF117-AF120-AF123</f>
        <v>1446661</v>
      </c>
      <c r="AG126" s="439"/>
      <c r="AH126" s="439">
        <f>AH96-AH99-AH108-AH111-AH114-AH117-AH120-AH123</f>
        <v>1909738.6162110008</v>
      </c>
      <c r="AI126" s="439"/>
      <c r="AJ126" s="439"/>
      <c r="AK126" s="439"/>
      <c r="AL126" s="439"/>
      <c r="AM126" s="439"/>
      <c r="AN126" s="439"/>
      <c r="AO126" s="439">
        <f>AO96-AO99-AO108-AO111-AO114-AO117-AO120-AO123</f>
        <v>1505000</v>
      </c>
      <c r="AP126" s="439"/>
      <c r="AQ126" s="439">
        <f>AQ96-AQ99-AQ108-AQ111-AQ114-AQ117-AQ120-AQ123</f>
        <v>1975000</v>
      </c>
      <c r="AR126" s="439">
        <f>AR96-AR99-AR108-AR111-AR114-AR117-AR120-AR123</f>
        <v>2228000</v>
      </c>
      <c r="AS126" s="439"/>
      <c r="AT126" s="439"/>
      <c r="AU126" s="439"/>
      <c r="AV126" s="439">
        <f>SUM(AF126:AR126)</f>
        <v>9064399.6162110008</v>
      </c>
      <c r="AW126" s="323"/>
      <c r="AX126" s="323">
        <f>AV126/$AV$96</f>
        <v>0.21526089823319047</v>
      </c>
      <c r="AY126" s="323">
        <f>AV126/AA126-1</f>
        <v>0.3428863717710644</v>
      </c>
      <c r="AZ126" s="439">
        <f>AZ96-AZ99-AZ108-AZ111-AZ114-AZ117-AZ120-AZ123</f>
        <v>2460000</v>
      </c>
      <c r="BA126" s="439">
        <f>BA96-BA99-BA108-BA111-BA114-BA117-BA120-BA123</f>
        <v>2730000.0000000005</v>
      </c>
      <c r="BB126" s="439">
        <f>BB96-BB99-BB108-BB111-BB114-BB117-BB120-BB123</f>
        <v>3050000.0000000009</v>
      </c>
      <c r="BC126" s="439">
        <f>BC96-BC99-BC108-BC111-BC114-BC117-BC120-BC123</f>
        <v>3445000.0000000005</v>
      </c>
      <c r="BD126" s="439">
        <f>BD96-BD99-BD108-BD111-BD114-BD117-BD120-BD123</f>
        <v>3906999.9999999995</v>
      </c>
      <c r="BE126" s="439">
        <f>SUM(AY126:BD126)</f>
        <v>15592000.342886373</v>
      </c>
      <c r="BF126" s="439"/>
      <c r="BG126" s="422">
        <f>BE126/$BE$96</f>
        <v>0.23976626549910132</v>
      </c>
      <c r="BH126" s="461">
        <f>BE126/AV126</f>
        <v>1.7201360269908277</v>
      </c>
      <c r="BI126" s="467"/>
      <c r="BJ126" s="467"/>
      <c r="BK126" s="467"/>
    </row>
    <row r="127" spans="1:63" s="294" customFormat="1" hidden="1">
      <c r="A127" s="393" t="s">
        <v>137</v>
      </c>
      <c r="B127" s="426" t="s">
        <v>494</v>
      </c>
      <c r="C127" s="468"/>
      <c r="D127" s="468"/>
      <c r="E127" s="468"/>
      <c r="F127" s="468"/>
      <c r="G127" s="468"/>
      <c r="H127" s="397"/>
      <c r="I127" s="452"/>
      <c r="J127" s="438">
        <f>(D127*E127*F127*G127*H127)^(1/5)-1</f>
        <v>-1</v>
      </c>
      <c r="K127" s="397">
        <f>K126/H126</f>
        <v>0.92382454111378887</v>
      </c>
      <c r="L127" s="397">
        <f>L126/K126</f>
        <v>1.0512255556982586</v>
      </c>
      <c r="M127" s="397">
        <f>M126/L126</f>
        <v>1.0742055164881084</v>
      </c>
      <c r="N127" s="397">
        <f>N126/M126</f>
        <v>1.2482819440351605</v>
      </c>
      <c r="O127" s="397">
        <f>O126/N126</f>
        <v>1.1921332381156855</v>
      </c>
      <c r="P127" s="397"/>
      <c r="Q127" s="421">
        <f>(K127*L127*M127*N127*O127)^(1/5)-1</f>
        <v>9.1948242884595688E-2</v>
      </c>
      <c r="R127" s="397"/>
      <c r="S127" s="397">
        <f>S126/O126</f>
        <v>1.0826396514060495</v>
      </c>
      <c r="T127" s="397">
        <f>T126/S126</f>
        <v>1.2288005944342253</v>
      </c>
      <c r="U127" s="397"/>
      <c r="V127" s="397">
        <f>V126/T126</f>
        <v>1.2384092496637717</v>
      </c>
      <c r="W127" s="397"/>
      <c r="X127" s="397">
        <f>X126/V126</f>
        <v>1.1675400971226606</v>
      </c>
      <c r="Y127" s="397"/>
      <c r="Z127" s="397">
        <f>Z126/X126</f>
        <v>0.94494438262065161</v>
      </c>
      <c r="AA127" s="397"/>
      <c r="AB127" s="388">
        <f>(S127*T127*V127*X127*Z127)^(1/5)-1</f>
        <v>0.12694187362418563</v>
      </c>
      <c r="AC127" s="397"/>
      <c r="AD127" s="397"/>
      <c r="AE127" s="453"/>
      <c r="AF127" s="397">
        <f>AF126/Z126</f>
        <v>0.91991500206441079</v>
      </c>
      <c r="AG127" s="397"/>
      <c r="AH127" s="397">
        <f>AH126/AF126</f>
        <v>1.3201009885598636</v>
      </c>
      <c r="AI127" s="397"/>
      <c r="AJ127" s="397"/>
      <c r="AK127" s="397"/>
      <c r="AL127" s="397"/>
      <c r="AM127" s="397"/>
      <c r="AN127" s="397"/>
      <c r="AO127" s="397">
        <f>AO126/AH126</f>
        <v>0.7880659621294045</v>
      </c>
      <c r="AP127" s="397"/>
      <c r="AQ127" s="397">
        <f>AQ126/AO126</f>
        <v>1.3122923588039868</v>
      </c>
      <c r="AR127" s="397">
        <f>AR126/AQ126</f>
        <v>1.1281012658227849</v>
      </c>
      <c r="AS127" s="397"/>
      <c r="AT127" s="397"/>
      <c r="AU127" s="397"/>
      <c r="AV127" s="397"/>
      <c r="AW127" s="397">
        <f>(AO127*AQ127*AR127*AF127*AH127)^(1/5)-1</f>
        <v>7.2159067478089201E-2</v>
      </c>
      <c r="AX127" s="397"/>
      <c r="AY127" s="397"/>
      <c r="AZ127" s="397">
        <f>AZ126/AR126</f>
        <v>1.104129263913824</v>
      </c>
      <c r="BA127" s="397">
        <f>BA126/AZ126</f>
        <v>1.1097560975609757</v>
      </c>
      <c r="BB127" s="397">
        <f>BB126/BA126</f>
        <v>1.1172161172161175</v>
      </c>
      <c r="BC127" s="397">
        <f>BC126/BB126</f>
        <v>1.1295081967213112</v>
      </c>
      <c r="BD127" s="397">
        <f>BD126/BC126</f>
        <v>1.1341074020319299</v>
      </c>
      <c r="BE127" s="397"/>
      <c r="BF127" s="417">
        <f>(AZ127*BA127*BB127*BC127*BD127)^(1/5)-1</f>
        <v>0.1188854979975591</v>
      </c>
      <c r="BG127" s="397"/>
      <c r="BH127" s="397"/>
      <c r="BI127" s="469"/>
      <c r="BJ127" s="469"/>
      <c r="BK127" s="469"/>
    </row>
    <row r="128" spans="1:63" s="294" customFormat="1" hidden="1">
      <c r="A128" s="393" t="s">
        <v>137</v>
      </c>
      <c r="B128" s="426" t="s">
        <v>496</v>
      </c>
      <c r="C128" s="468"/>
      <c r="D128" s="468"/>
      <c r="E128" s="468"/>
      <c r="F128" s="468"/>
      <c r="G128" s="468"/>
      <c r="H128" s="397"/>
      <c r="I128" s="452"/>
      <c r="J128" s="452"/>
      <c r="K128" s="397">
        <f>K126/$K$96</f>
        <v>0.12387486394218905</v>
      </c>
      <c r="L128" s="397">
        <f>L126/$L$96</f>
        <v>0.11977812653235535</v>
      </c>
      <c r="M128" s="397">
        <f>M126/$M$96</f>
        <v>0.12685478324120844</v>
      </c>
      <c r="N128" s="397">
        <f>N126/$N$96</f>
        <v>0.17647755877688429</v>
      </c>
      <c r="O128" s="397">
        <f>O126/$O$96</f>
        <v>0.16718786262378604</v>
      </c>
      <c r="P128" s="397">
        <f>P126/$P$96</f>
        <v>0.14319635108938111</v>
      </c>
      <c r="Q128" s="397"/>
      <c r="R128" s="397"/>
      <c r="S128" s="397">
        <f>S126/$S$96</f>
        <v>0.1478645111376419</v>
      </c>
      <c r="T128" s="397">
        <f>T126/$T$96</f>
        <v>0.16798083361403013</v>
      </c>
      <c r="U128" s="397"/>
      <c r="V128" s="397">
        <f>V126/$V$96</f>
        <v>0.20410093661564049</v>
      </c>
      <c r="W128" s="397"/>
      <c r="X128" s="397">
        <f>X126/$X$96</f>
        <v>0.18974182343590187</v>
      </c>
      <c r="Y128" s="397"/>
      <c r="Z128" s="397">
        <f>Z126/$Z$96</f>
        <v>0.18653014526076495</v>
      </c>
      <c r="AA128" s="397">
        <f>AA126/$AA$96</f>
        <v>0.18061252097144725</v>
      </c>
      <c r="AB128" s="397"/>
      <c r="AC128" s="388"/>
      <c r="AD128" s="388"/>
      <c r="AE128" s="390"/>
      <c r="AF128" s="397">
        <f>AF126/$AF$96</f>
        <v>0.20055450302538114</v>
      </c>
      <c r="AG128" s="397"/>
      <c r="AH128" s="397">
        <f>AH126/$AH$96</f>
        <v>0.24244201828507486</v>
      </c>
      <c r="AI128" s="397"/>
      <c r="AJ128" s="397"/>
      <c r="AK128" s="397"/>
      <c r="AL128" s="397"/>
      <c r="AM128" s="397"/>
      <c r="AN128" s="397"/>
      <c r="AO128" s="397">
        <f>AO126/$AO$96</f>
        <v>0.19828722002635046</v>
      </c>
      <c r="AP128" s="397"/>
      <c r="AQ128" s="397">
        <f>AQ126/$AQ$96</f>
        <v>0.21314483056334987</v>
      </c>
      <c r="AR128" s="397">
        <f>AR126/$AR$96</f>
        <v>0.21923739884587648</v>
      </c>
      <c r="AS128" s="397"/>
      <c r="AT128" s="397"/>
      <c r="AU128" s="397"/>
      <c r="AV128" s="397"/>
      <c r="AW128" s="388"/>
      <c r="AX128" s="388"/>
      <c r="AY128" s="388"/>
      <c r="AZ128" s="397">
        <f>AZ126/AZ96</f>
        <v>0.22284627230727422</v>
      </c>
      <c r="BA128" s="397">
        <f>BA126/BA96</f>
        <v>0.22871984265622133</v>
      </c>
      <c r="BB128" s="397">
        <f>BB126/BB96</f>
        <v>0.23655329455130794</v>
      </c>
      <c r="BC128" s="397">
        <f>BC126/BC96</f>
        <v>0.24674999057629246</v>
      </c>
      <c r="BD128" s="397">
        <f>BD126/BD96</f>
        <v>0.25703947321420273</v>
      </c>
      <c r="BE128" s="397"/>
      <c r="BF128" s="397"/>
      <c r="BG128" s="397"/>
      <c r="BH128" s="397"/>
      <c r="BI128" s="469"/>
      <c r="BJ128" s="469"/>
      <c r="BK128" s="469"/>
    </row>
    <row r="129" spans="1:63" s="465" customFormat="1" ht="16.2" hidden="1">
      <c r="A129" s="471"/>
      <c r="B129" s="472" t="s">
        <v>513</v>
      </c>
      <c r="C129" s="473"/>
      <c r="D129" s="473"/>
      <c r="E129" s="473"/>
      <c r="F129" s="473"/>
      <c r="G129" s="473"/>
      <c r="H129" s="473"/>
      <c r="I129" s="474"/>
      <c r="J129" s="475"/>
      <c r="K129" s="473"/>
      <c r="L129" s="473"/>
      <c r="M129" s="473"/>
      <c r="N129" s="473"/>
      <c r="O129" s="473"/>
      <c r="P129" s="473"/>
      <c r="Q129" s="476"/>
      <c r="R129" s="476"/>
      <c r="S129" s="473"/>
      <c r="T129" s="473"/>
      <c r="U129" s="473"/>
      <c r="V129" s="473"/>
      <c r="W129" s="473"/>
      <c r="X129" s="473"/>
      <c r="Y129" s="473"/>
      <c r="Z129" s="473"/>
      <c r="AA129" s="473"/>
      <c r="AB129" s="473"/>
      <c r="AC129" s="323"/>
      <c r="AD129" s="323"/>
      <c r="AE129" s="463"/>
      <c r="AF129" s="473"/>
      <c r="AG129" s="473"/>
      <c r="AH129" s="473"/>
      <c r="AI129" s="473"/>
      <c r="AJ129" s="473"/>
      <c r="AK129" s="473"/>
      <c r="AL129" s="473"/>
      <c r="AM129" s="473"/>
      <c r="AN129" s="473"/>
      <c r="AO129" s="473"/>
      <c r="AP129" s="473"/>
      <c r="AQ129" s="473"/>
      <c r="AR129" s="473"/>
      <c r="AS129" s="473"/>
      <c r="AT129" s="473"/>
      <c r="AU129" s="473"/>
      <c r="AV129" s="473"/>
      <c r="AW129" s="323"/>
      <c r="AX129" s="323"/>
      <c r="AY129" s="323"/>
      <c r="AZ129" s="473"/>
      <c r="BA129" s="473"/>
      <c r="BB129" s="473"/>
      <c r="BC129" s="473"/>
      <c r="BD129" s="473"/>
      <c r="BE129" s="473"/>
      <c r="BF129" s="473"/>
      <c r="BG129" s="473"/>
      <c r="BH129" s="473"/>
      <c r="BI129" s="477"/>
      <c r="BJ129" s="477"/>
      <c r="BK129" s="477"/>
    </row>
    <row r="130" spans="1:63" s="483" customFormat="1" ht="16.2" hidden="1">
      <c r="A130" s="478" t="s">
        <v>514</v>
      </c>
      <c r="B130" s="479" t="s">
        <v>515</v>
      </c>
      <c r="C130" s="480">
        <f t="shared" ref="C130:P130" si="135">C14</f>
        <v>29969.945012</v>
      </c>
      <c r="D130" s="480">
        <f t="shared" si="135"/>
        <v>39220</v>
      </c>
      <c r="E130" s="480">
        <f t="shared" si="135"/>
        <v>50330</v>
      </c>
      <c r="F130" s="480">
        <f t="shared" si="135"/>
        <v>56660</v>
      </c>
      <c r="G130" s="480">
        <f t="shared" si="135"/>
        <v>61750</v>
      </c>
      <c r="H130" s="480">
        <f t="shared" si="135"/>
        <v>66384</v>
      </c>
      <c r="I130" s="480"/>
      <c r="J130" s="475"/>
      <c r="K130" s="480">
        <f t="shared" si="135"/>
        <v>83707.295922000005</v>
      </c>
      <c r="L130" s="480">
        <f t="shared" si="135"/>
        <v>85266.235153999995</v>
      </c>
      <c r="M130" s="480">
        <f t="shared" si="135"/>
        <v>86018.719326999999</v>
      </c>
      <c r="N130" s="480">
        <f t="shared" si="135"/>
        <v>102607.365288</v>
      </c>
      <c r="O130" s="480">
        <f t="shared" si="135"/>
        <v>139966</v>
      </c>
      <c r="P130" s="480">
        <f t="shared" si="135"/>
        <v>497565.61569100001</v>
      </c>
      <c r="Q130" s="476"/>
      <c r="R130" s="476"/>
      <c r="S130" s="480">
        <f>S14</f>
        <v>184878</v>
      </c>
      <c r="T130" s="480">
        <f>T14</f>
        <v>209558</v>
      </c>
      <c r="U130" s="480"/>
      <c r="V130" s="480">
        <f>V14</f>
        <v>247450</v>
      </c>
      <c r="W130" s="480"/>
      <c r="X130" s="480">
        <f>X14</f>
        <v>317324</v>
      </c>
      <c r="Y130" s="480"/>
      <c r="Z130" s="480">
        <f>Z14</f>
        <v>281768.90000000002</v>
      </c>
      <c r="AA130" s="327">
        <f>SUM(S130:Z130)</f>
        <v>1240978.8999999999</v>
      </c>
      <c r="AB130" s="480"/>
      <c r="AC130" s="476"/>
      <c r="AD130" s="476"/>
      <c r="AE130" s="481"/>
      <c r="AF130" s="480">
        <f>AF14</f>
        <v>242162</v>
      </c>
      <c r="AG130" s="480"/>
      <c r="AH130" s="480">
        <f>AH14</f>
        <v>368324.93194500002</v>
      </c>
      <c r="AI130" s="480"/>
      <c r="AJ130" s="480"/>
      <c r="AK130" s="480"/>
      <c r="AL130" s="480"/>
      <c r="AM130" s="480"/>
      <c r="AN130" s="480"/>
      <c r="AO130" s="480">
        <f>AO14</f>
        <v>295000</v>
      </c>
      <c r="AP130" s="480"/>
      <c r="AQ130" s="480">
        <f>AQ14</f>
        <v>350000</v>
      </c>
      <c r="AR130" s="480">
        <f>AR14</f>
        <v>436000</v>
      </c>
      <c r="AS130" s="480"/>
      <c r="AT130" s="480"/>
      <c r="AU130" s="480"/>
      <c r="AV130" s="480">
        <f>SUM(AF130:AR130)</f>
        <v>1691486.9319450001</v>
      </c>
      <c r="AW130" s="476"/>
      <c r="AX130" s="476"/>
      <c r="AY130" s="476"/>
      <c r="AZ130" s="480">
        <f>AZ14</f>
        <v>480000</v>
      </c>
      <c r="BA130" s="480">
        <f>BA14</f>
        <v>528000</v>
      </c>
      <c r="BB130" s="480">
        <f>BB14</f>
        <v>585000</v>
      </c>
      <c r="BC130" s="480">
        <f>BC14</f>
        <v>650000</v>
      </c>
      <c r="BD130" s="480">
        <f>BD14</f>
        <v>730000</v>
      </c>
      <c r="BE130" s="439">
        <f>SUM(AY130:BD130)</f>
        <v>2973000</v>
      </c>
      <c r="BF130" s="439"/>
      <c r="BG130" s="422">
        <f>BE130/$BE$96</f>
        <v>4.571736093207851E-2</v>
      </c>
      <c r="BH130" s="461">
        <f>BE130/AV130</f>
        <v>1.7576251662680118</v>
      </c>
      <c r="BI130" s="482"/>
      <c r="BJ130" s="482"/>
      <c r="BK130" s="482"/>
    </row>
    <row r="131" spans="1:63" s="294" customFormat="1" hidden="1">
      <c r="A131" s="393" t="s">
        <v>137</v>
      </c>
      <c r="B131" s="426" t="s">
        <v>494</v>
      </c>
      <c r="C131" s="468"/>
      <c r="D131" s="468"/>
      <c r="E131" s="468"/>
      <c r="F131" s="468"/>
      <c r="G131" s="468"/>
      <c r="H131" s="397"/>
      <c r="I131" s="452"/>
      <c r="J131" s="438">
        <f>(D131*E131*F131*G131*H131)^(1/5)-1</f>
        <v>-1</v>
      </c>
      <c r="K131" s="397">
        <f>K130/H130</f>
        <v>1.26095589181128</v>
      </c>
      <c r="L131" s="397">
        <f>L130/K130</f>
        <v>1.0186236959972119</v>
      </c>
      <c r="M131" s="397">
        <f>M130/L130</f>
        <v>1.0088251131487269</v>
      </c>
      <c r="N131" s="397">
        <f>N130/M130</f>
        <v>1.1928492552642906</v>
      </c>
      <c r="O131" s="397">
        <f>O130/N130</f>
        <v>1.364093109760115</v>
      </c>
      <c r="P131" s="397"/>
      <c r="Q131" s="421">
        <f>(K131*L131*M131*N131*O131)^(1/5)-1</f>
        <v>0.16089202245544021</v>
      </c>
      <c r="R131" s="397"/>
      <c r="S131" s="397">
        <f>S130/O130</f>
        <v>1.3208779274966778</v>
      </c>
      <c r="T131" s="397">
        <f>T130/S130</f>
        <v>1.1334934389164746</v>
      </c>
      <c r="U131" s="397"/>
      <c r="V131" s="397">
        <f>V130/T130</f>
        <v>1.1808186754979528</v>
      </c>
      <c r="W131" s="397"/>
      <c r="X131" s="397">
        <f>X130/V130</f>
        <v>1.2823762376237624</v>
      </c>
      <c r="Y131" s="397"/>
      <c r="Z131" s="397">
        <f>Z130/X130</f>
        <v>0.88795332215653411</v>
      </c>
      <c r="AA131" s="397"/>
      <c r="AB131" s="388">
        <f>(S131*T131*V131*X131*Z131)^(1/5)-1</f>
        <v>0.15020195395128755</v>
      </c>
      <c r="AC131" s="397"/>
      <c r="AD131" s="397"/>
      <c r="AE131" s="453"/>
      <c r="AF131" s="397">
        <f>AF130/Z130</f>
        <v>0.85943480632532543</v>
      </c>
      <c r="AG131" s="397"/>
      <c r="AH131" s="397">
        <f>AH130/AF130</f>
        <v>1.5209856705222125</v>
      </c>
      <c r="AI131" s="397"/>
      <c r="AJ131" s="397"/>
      <c r="AK131" s="397"/>
      <c r="AL131" s="397"/>
      <c r="AM131" s="397"/>
      <c r="AN131" s="397"/>
      <c r="AO131" s="397">
        <f>AO130/AH130</f>
        <v>0.80092324579333873</v>
      </c>
      <c r="AP131" s="397"/>
      <c r="AQ131" s="397">
        <f>AQ130/AO130</f>
        <v>1.1864406779661016</v>
      </c>
      <c r="AR131" s="397">
        <f>AR130/AQ130</f>
        <v>1.2457142857142858</v>
      </c>
      <c r="AS131" s="397"/>
      <c r="AT131" s="397"/>
      <c r="AU131" s="397"/>
      <c r="AV131" s="397"/>
      <c r="AW131" s="397">
        <f>(AO131*AQ131*AR131*AF131*AH131)^(1/5)-1</f>
        <v>9.1236003951927547E-2</v>
      </c>
      <c r="AX131" s="397"/>
      <c r="AY131" s="397"/>
      <c r="AZ131" s="397">
        <f>AZ130/AR130</f>
        <v>1.1009174311926606</v>
      </c>
      <c r="BA131" s="397">
        <f>BA130/AZ130</f>
        <v>1.1000000000000001</v>
      </c>
      <c r="BB131" s="397">
        <f>BB130/BA130</f>
        <v>1.1079545454545454</v>
      </c>
      <c r="BC131" s="397">
        <f>BC130/BB130</f>
        <v>1.1111111111111112</v>
      </c>
      <c r="BD131" s="397">
        <f>BD130/BC130</f>
        <v>1.1230769230769231</v>
      </c>
      <c r="BE131" s="397"/>
      <c r="BF131" s="417">
        <f>(AZ131*BA131*BB131*BC131*BD131)^(1/5)-1</f>
        <v>0.10858059984170887</v>
      </c>
      <c r="BG131" s="397"/>
      <c r="BH131" s="397"/>
      <c r="BI131" s="469"/>
      <c r="BJ131" s="469"/>
      <c r="BK131" s="469"/>
    </row>
    <row r="132" spans="1:63" s="294" customFormat="1" hidden="1">
      <c r="A132" s="393" t="s">
        <v>137</v>
      </c>
      <c r="B132" s="426" t="s">
        <v>496</v>
      </c>
      <c r="C132" s="468"/>
      <c r="D132" s="468"/>
      <c r="E132" s="468"/>
      <c r="F132" s="468"/>
      <c r="G132" s="468"/>
      <c r="H132" s="397"/>
      <c r="I132" s="452"/>
      <c r="J132" s="452"/>
      <c r="K132" s="397">
        <f t="shared" ref="K132:P132" si="136">K130/K96</f>
        <v>2.0139829335444771E-2</v>
      </c>
      <c r="L132" s="397">
        <f t="shared" si="136"/>
        <v>1.8869829501621263E-2</v>
      </c>
      <c r="M132" s="397">
        <f t="shared" si="136"/>
        <v>1.8768337919238952E-2</v>
      </c>
      <c r="N132" s="397">
        <f t="shared" si="136"/>
        <v>2.4950619274005815E-2</v>
      </c>
      <c r="O132" s="397">
        <f t="shared" si="136"/>
        <v>2.7046794784961498E-2</v>
      </c>
      <c r="P132" s="397">
        <f t="shared" si="136"/>
        <v>2.2069380989163796E-2</v>
      </c>
      <c r="Q132" s="397"/>
      <c r="R132" s="397"/>
      <c r="S132" s="397">
        <f>S130/S96</f>
        <v>2.918460138861987E-2</v>
      </c>
      <c r="T132" s="397">
        <f>T130/T96</f>
        <v>3.0583497129887408E-2</v>
      </c>
      <c r="U132" s="397"/>
      <c r="V132" s="397">
        <f>V130/V96</f>
        <v>3.5431654779271314E-2</v>
      </c>
      <c r="W132" s="397"/>
      <c r="X132" s="397">
        <f>X130/$X$96</f>
        <v>3.6178717327177604E-2</v>
      </c>
      <c r="Y132" s="397"/>
      <c r="Z132" s="397">
        <f>Z130/$Z$96</f>
        <v>3.3421274911146284E-2</v>
      </c>
      <c r="AA132" s="397">
        <f>AA130/$AA$96</f>
        <v>3.3205687359193846E-2</v>
      </c>
      <c r="AB132" s="397"/>
      <c r="AC132" s="388"/>
      <c r="AD132" s="388"/>
      <c r="AE132" s="390"/>
      <c r="AF132" s="397">
        <f>AF130/$AF$96</f>
        <v>3.3571568986536827E-2</v>
      </c>
      <c r="AG132" s="397"/>
      <c r="AH132" s="397">
        <f>AH130/$AH$96</f>
        <v>4.6758985301678831E-2</v>
      </c>
      <c r="AI132" s="397"/>
      <c r="AJ132" s="397"/>
      <c r="AK132" s="397"/>
      <c r="AL132" s="397"/>
      <c r="AM132" s="397"/>
      <c r="AN132" s="397"/>
      <c r="AO132" s="397">
        <f>AO130/AO96</f>
        <v>3.8866930171278E-2</v>
      </c>
      <c r="AP132" s="397"/>
      <c r="AQ132" s="397">
        <f>AQ130/AQ96</f>
        <v>3.7772501618821501E-2</v>
      </c>
      <c r="AR132" s="397">
        <f>AR130/AR96</f>
        <v>4.2902830294794504E-2</v>
      </c>
      <c r="AS132" s="397"/>
      <c r="AT132" s="397"/>
      <c r="AU132" s="397"/>
      <c r="AV132" s="397"/>
      <c r="AW132" s="388"/>
      <c r="AX132" s="388"/>
      <c r="AY132" s="388"/>
      <c r="AZ132" s="397">
        <f>AZ130/AZ96</f>
        <v>4.3482199474590089E-2</v>
      </c>
      <c r="BA132" s="397">
        <f>BA130/BA96</f>
        <v>4.4235925612631809E-2</v>
      </c>
      <c r="BB132" s="397">
        <f>BB130/BB96</f>
        <v>4.5371697479513147E-2</v>
      </c>
      <c r="BC132" s="397">
        <f>BC130/BC96</f>
        <v>4.6556601995526872E-2</v>
      </c>
      <c r="BD132" s="397">
        <f>BD130/BD96</f>
        <v>4.8026315701655498E-2</v>
      </c>
      <c r="BE132" s="397"/>
      <c r="BF132" s="397"/>
      <c r="BG132" s="397"/>
      <c r="BH132" s="397"/>
      <c r="BI132" s="469"/>
      <c r="BJ132" s="469"/>
      <c r="BK132" s="469"/>
    </row>
    <row r="133" spans="1:63" s="483" customFormat="1" ht="16.2" hidden="1">
      <c r="A133" s="471" t="s">
        <v>514</v>
      </c>
      <c r="B133" s="479" t="s">
        <v>97</v>
      </c>
      <c r="C133" s="480">
        <f t="shared" ref="C133:P133" si="137">C17</f>
        <v>30997.278076999999</v>
      </c>
      <c r="D133" s="480">
        <f t="shared" si="137"/>
        <v>64280</v>
      </c>
      <c r="E133" s="480">
        <f t="shared" si="137"/>
        <v>86640</v>
      </c>
      <c r="F133" s="480">
        <f t="shared" si="137"/>
        <v>110420</v>
      </c>
      <c r="G133" s="480">
        <f t="shared" si="137"/>
        <v>115840</v>
      </c>
      <c r="H133" s="480">
        <f t="shared" si="137"/>
        <v>186978.995165</v>
      </c>
      <c r="I133" s="480"/>
      <c r="J133" s="475"/>
      <c r="K133" s="480">
        <f t="shared" si="137"/>
        <v>211576.30287000001</v>
      </c>
      <c r="L133" s="480">
        <f t="shared" si="137"/>
        <v>242659.928071</v>
      </c>
      <c r="M133" s="480">
        <f t="shared" si="137"/>
        <v>238487.114038</v>
      </c>
      <c r="N133" s="480">
        <f t="shared" si="137"/>
        <v>256057.09914899999</v>
      </c>
      <c r="O133" s="480">
        <f t="shared" si="137"/>
        <v>310783</v>
      </c>
      <c r="P133" s="480">
        <f t="shared" si="137"/>
        <v>1259563.4441280002</v>
      </c>
      <c r="Q133" s="476"/>
      <c r="R133" s="476">
        <f>P133/$P$96</f>
        <v>5.5867577364403821E-2</v>
      </c>
      <c r="S133" s="480">
        <f>S17</f>
        <v>341640</v>
      </c>
      <c r="T133" s="480">
        <f>T17</f>
        <v>382262</v>
      </c>
      <c r="U133" s="480"/>
      <c r="V133" s="480">
        <f>V17</f>
        <v>479310</v>
      </c>
      <c r="W133" s="480"/>
      <c r="X133" s="480">
        <f>X17</f>
        <v>521482</v>
      </c>
      <c r="Y133" s="480"/>
      <c r="Z133" s="480">
        <f>Z17</f>
        <v>534260.9</v>
      </c>
      <c r="AA133" s="327">
        <f>SUM(S133:Z133)</f>
        <v>2258954.9</v>
      </c>
      <c r="AB133" s="480"/>
      <c r="AC133" s="476"/>
      <c r="AD133" s="476">
        <f>AA133/P133-1</f>
        <v>0.79344272853510889</v>
      </c>
      <c r="AE133" s="481"/>
      <c r="AF133" s="480">
        <f>AF17</f>
        <v>453602</v>
      </c>
      <c r="AG133" s="480"/>
      <c r="AH133" s="480">
        <f>AH17</f>
        <v>711978.18546399998</v>
      </c>
      <c r="AI133" s="480"/>
      <c r="AJ133" s="480"/>
      <c r="AK133" s="480"/>
      <c r="AL133" s="480"/>
      <c r="AM133" s="480"/>
      <c r="AN133" s="480"/>
      <c r="AO133" s="480">
        <f>AO17</f>
        <v>600000</v>
      </c>
      <c r="AP133" s="480"/>
      <c r="AQ133" s="480">
        <f>AQ17</f>
        <v>730000</v>
      </c>
      <c r="AR133" s="480">
        <f>AR17</f>
        <v>870000</v>
      </c>
      <c r="AS133" s="480"/>
      <c r="AT133" s="480"/>
      <c r="AU133" s="480"/>
      <c r="AV133" s="480">
        <f>SUM(AF133:AR133)</f>
        <v>3365580.1854639999</v>
      </c>
      <c r="AW133" s="476"/>
      <c r="AX133" s="476">
        <f>AV133/$AV$96</f>
        <v>7.9925626017539428E-2</v>
      </c>
      <c r="AY133" s="476">
        <f>AV133/AA133-1</f>
        <v>0.4898837446750266</v>
      </c>
      <c r="AZ133" s="480">
        <f>AZ17</f>
        <v>940000</v>
      </c>
      <c r="BA133" s="480">
        <f>BA17</f>
        <v>1040000</v>
      </c>
      <c r="BB133" s="480">
        <f>BB17</f>
        <v>1150000</v>
      </c>
      <c r="BC133" s="480">
        <f>BC17</f>
        <v>1270000</v>
      </c>
      <c r="BD133" s="480">
        <f>BD17</f>
        <v>1420000</v>
      </c>
      <c r="BE133" s="439">
        <f>SUM(AY133:BD133)</f>
        <v>5820000.4898837451</v>
      </c>
      <c r="BF133" s="439"/>
      <c r="BG133" s="422">
        <f>BE133/$BE$96</f>
        <v>8.9497162132825062E-2</v>
      </c>
      <c r="BH133" s="461">
        <f>BE133/AV133</f>
        <v>1.7292710822996968</v>
      </c>
      <c r="BI133" s="482"/>
      <c r="BJ133" s="482"/>
      <c r="BK133" s="482"/>
    </row>
    <row r="134" spans="1:63" s="294" customFormat="1" hidden="1">
      <c r="A134" s="393" t="s">
        <v>137</v>
      </c>
      <c r="B134" s="426" t="s">
        <v>494</v>
      </c>
      <c r="C134" s="468"/>
      <c r="D134" s="468"/>
      <c r="E134" s="468"/>
      <c r="F134" s="468"/>
      <c r="G134" s="468"/>
      <c r="H134" s="397"/>
      <c r="I134" s="452"/>
      <c r="J134" s="438">
        <f>(D134*E134*F134*G134*H134)^(1/5)-1</f>
        <v>-1</v>
      </c>
      <c r="K134" s="397">
        <f>K133/H133</f>
        <v>1.1315511813682284</v>
      </c>
      <c r="L134" s="397">
        <f>L133/K133</f>
        <v>1.1469144926882424</v>
      </c>
      <c r="M134" s="397">
        <f>M133/L133</f>
        <v>0.98280386025755728</v>
      </c>
      <c r="N134" s="397">
        <f>N133/M133</f>
        <v>1.0736726811503972</v>
      </c>
      <c r="O134" s="397">
        <f>O133/N133</f>
        <v>1.2137253801315422</v>
      </c>
      <c r="P134" s="397"/>
      <c r="Q134" s="421">
        <f>(K134*L134*M134*N134*O134)^(1/5)-1</f>
        <v>0.10696244357773277</v>
      </c>
      <c r="R134" s="397"/>
      <c r="S134" s="397">
        <f>S133/O133</f>
        <v>1.099287927589347</v>
      </c>
      <c r="T134" s="397">
        <f>T133/S133</f>
        <v>1.1189029387659524</v>
      </c>
      <c r="U134" s="397"/>
      <c r="V134" s="397">
        <f>V133/T133</f>
        <v>1.2538782301144242</v>
      </c>
      <c r="W134" s="397"/>
      <c r="X134" s="397">
        <f>X133/V133</f>
        <v>1.0879848114998645</v>
      </c>
      <c r="Y134" s="397"/>
      <c r="Z134" s="397">
        <f>Z133/X133</f>
        <v>1.0245049685319916</v>
      </c>
      <c r="AA134" s="397"/>
      <c r="AB134" s="388">
        <f>(S134*T134*V134*X134*Z134)^(1/5)-1</f>
        <v>0.11444650701410319</v>
      </c>
      <c r="AC134" s="397"/>
      <c r="AD134" s="397"/>
      <c r="AE134" s="453"/>
      <c r="AF134" s="397">
        <f>AF133/Z133</f>
        <v>0.84902713262377982</v>
      </c>
      <c r="AG134" s="397"/>
      <c r="AH134" s="397">
        <f>AH133/AF133</f>
        <v>1.5696098903091256</v>
      </c>
      <c r="AI134" s="397"/>
      <c r="AJ134" s="397"/>
      <c r="AK134" s="397"/>
      <c r="AL134" s="397"/>
      <c r="AM134" s="397"/>
      <c r="AN134" s="397"/>
      <c r="AO134" s="397">
        <f>AO133/AH133</f>
        <v>0.84272244887527947</v>
      </c>
      <c r="AP134" s="397"/>
      <c r="AQ134" s="397">
        <f>AQ133/AO133</f>
        <v>1.2166666666666666</v>
      </c>
      <c r="AR134" s="397">
        <f>AR133/AQ133</f>
        <v>1.1917808219178083</v>
      </c>
      <c r="AS134" s="397"/>
      <c r="AT134" s="397"/>
      <c r="AU134" s="397"/>
      <c r="AV134" s="397"/>
      <c r="AW134" s="397">
        <f>(AO134*AQ134*AR134*AF134*AH134)^(1/5)-1</f>
        <v>0.10243545570273538</v>
      </c>
      <c r="AX134" s="397"/>
      <c r="AY134" s="397"/>
      <c r="AZ134" s="397">
        <f>AZ133/AR133</f>
        <v>1.0804597701149425</v>
      </c>
      <c r="BA134" s="397">
        <f>BA133/AZ133</f>
        <v>1.1063829787234043</v>
      </c>
      <c r="BB134" s="397">
        <f>BB133/BA133</f>
        <v>1.1057692307692308</v>
      </c>
      <c r="BC134" s="397">
        <f>BC133/BB133</f>
        <v>1.1043478260869566</v>
      </c>
      <c r="BD134" s="397">
        <f>BD133/BC133</f>
        <v>1.1181102362204725</v>
      </c>
      <c r="BE134" s="397"/>
      <c r="BF134" s="417">
        <f>(AZ134*BA134*BB134*BC134*BD134)^(1/5)-1</f>
        <v>0.10294490378842869</v>
      </c>
      <c r="BG134" s="397"/>
      <c r="BH134" s="397"/>
      <c r="BI134" s="469"/>
      <c r="BJ134" s="469"/>
      <c r="BK134" s="469"/>
    </row>
    <row r="135" spans="1:63" s="294" customFormat="1" hidden="1">
      <c r="A135" s="393" t="s">
        <v>137</v>
      </c>
      <c r="B135" s="426" t="s">
        <v>496</v>
      </c>
      <c r="C135" s="468"/>
      <c r="D135" s="468"/>
      <c r="E135" s="468"/>
      <c r="F135" s="468"/>
      <c r="G135" s="468"/>
      <c r="H135" s="397"/>
      <c r="I135" s="452"/>
      <c r="J135" s="452"/>
      <c r="K135" s="397">
        <f>K133/$K$96</f>
        <v>5.0904889284641985E-2</v>
      </c>
      <c r="L135" s="397">
        <f>L133/$L$96</f>
        <v>5.370181363473326E-2</v>
      </c>
      <c r="M135" s="397">
        <f>M133/$M$96</f>
        <v>5.2035263727116518E-2</v>
      </c>
      <c r="N135" s="397">
        <f>N133/$N$96</f>
        <v>6.2264372302523484E-2</v>
      </c>
      <c r="O135" s="397">
        <f>O133/$O$96</f>
        <v>6.0055184999604827E-2</v>
      </c>
      <c r="P135" s="397">
        <f>P133/$P$96</f>
        <v>5.5867577364403821E-2</v>
      </c>
      <c r="Q135" s="397"/>
      <c r="R135" s="397"/>
      <c r="S135" s="397">
        <f>S133/$S$96</f>
        <v>5.3930847469185583E-2</v>
      </c>
      <c r="T135" s="397">
        <f>T133/$T$96</f>
        <v>5.5788415521550214E-2</v>
      </c>
      <c r="U135" s="397"/>
      <c r="V135" s="397">
        <f>V133/$V$96</f>
        <v>6.863102223581545E-2</v>
      </c>
      <c r="W135" s="397"/>
      <c r="X135" s="397">
        <f>X133/$X$96</f>
        <v>5.9455162134635989E-2</v>
      </c>
      <c r="Y135" s="397"/>
      <c r="Z135" s="397">
        <f>Z133/$Z$96</f>
        <v>6.3369947546292132E-2</v>
      </c>
      <c r="AA135" s="397">
        <f>AA133/$AA$96</f>
        <v>6.0444339680488519E-2</v>
      </c>
      <c r="AB135" s="397"/>
      <c r="AC135" s="388"/>
      <c r="AD135" s="388"/>
      <c r="AE135" s="390"/>
      <c r="AF135" s="397">
        <f>AF133/$AF$96</f>
        <v>6.288406453296172E-2</v>
      </c>
      <c r="AG135" s="397"/>
      <c r="AH135" s="397">
        <f>AH133/$AH$96</f>
        <v>9.0385891971598492E-2</v>
      </c>
      <c r="AI135" s="397"/>
      <c r="AJ135" s="397"/>
      <c r="AK135" s="397"/>
      <c r="AL135" s="397"/>
      <c r="AM135" s="397"/>
      <c r="AN135" s="397"/>
      <c r="AO135" s="397">
        <f>AO133/$AO$96</f>
        <v>7.9051383399209488E-2</v>
      </c>
      <c r="AP135" s="397"/>
      <c r="AQ135" s="397">
        <f>AQ133/$AQ$96</f>
        <v>7.8782646233541975E-2</v>
      </c>
      <c r="AR135" s="397">
        <f>AR133/$AR$96</f>
        <v>8.5608858615759675E-2</v>
      </c>
      <c r="AS135" s="397"/>
      <c r="AT135" s="397"/>
      <c r="AU135" s="397"/>
      <c r="AV135" s="397"/>
      <c r="AW135" s="388"/>
      <c r="AX135" s="388"/>
      <c r="AY135" s="388"/>
      <c r="AZ135" s="397">
        <f>AZ133/AZ96</f>
        <v>8.5152640637738919E-2</v>
      </c>
      <c r="BA135" s="397">
        <f>BA133/BA96</f>
        <v>8.7131368630941439E-2</v>
      </c>
      <c r="BB135" s="397">
        <f>BB133/BB96</f>
        <v>8.9192225814427553E-2</v>
      </c>
      <c r="BC135" s="397">
        <f>BC133/BC96</f>
        <v>9.0964437745106347E-2</v>
      </c>
      <c r="BD135" s="397">
        <f>BD133/BD96</f>
        <v>9.3421052460754536E-2</v>
      </c>
      <c r="BE135" s="397"/>
      <c r="BF135" s="397"/>
      <c r="BG135" s="397"/>
      <c r="BH135" s="397"/>
      <c r="BI135" s="469"/>
      <c r="BJ135" s="469"/>
      <c r="BK135" s="469"/>
    </row>
    <row r="136" spans="1:63" s="294" customFormat="1" ht="16.2" hidden="1">
      <c r="A136" s="471" t="s">
        <v>514</v>
      </c>
      <c r="B136" s="479" t="s">
        <v>271</v>
      </c>
      <c r="C136" s="480">
        <f t="shared" ref="C136:P136" si="138">C16</f>
        <v>4947.6086210000003</v>
      </c>
      <c r="D136" s="480">
        <f t="shared" si="138"/>
        <v>6300</v>
      </c>
      <c r="E136" s="480">
        <f t="shared" si="138"/>
        <v>10340</v>
      </c>
      <c r="F136" s="480">
        <f t="shared" si="138"/>
        <v>13690</v>
      </c>
      <c r="G136" s="480">
        <f t="shared" si="138"/>
        <v>17250</v>
      </c>
      <c r="H136" s="480">
        <f t="shared" si="138"/>
        <v>22513.990010999998</v>
      </c>
      <c r="I136" s="480"/>
      <c r="J136" s="475"/>
      <c r="K136" s="480">
        <f t="shared" si="138"/>
        <v>22700.889665999999</v>
      </c>
      <c r="L136" s="480">
        <f t="shared" si="138"/>
        <v>7232.069724</v>
      </c>
      <c r="M136" s="480">
        <f t="shared" si="138"/>
        <v>9025.4512319999994</v>
      </c>
      <c r="N136" s="480">
        <f t="shared" si="138"/>
        <v>8785.7481970000008</v>
      </c>
      <c r="O136" s="480">
        <f t="shared" si="138"/>
        <v>8245</v>
      </c>
      <c r="P136" s="480">
        <f t="shared" si="138"/>
        <v>55989.158818999997</v>
      </c>
      <c r="Q136" s="476"/>
      <c r="R136" s="476">
        <f>P136/$P$96</f>
        <v>2.4833831725355323E-3</v>
      </c>
      <c r="S136" s="480">
        <f>S16</f>
        <v>8374</v>
      </c>
      <c r="T136" s="480">
        <f>T16</f>
        <v>9759</v>
      </c>
      <c r="U136" s="480"/>
      <c r="V136" s="480">
        <f>V16</f>
        <v>10562</v>
      </c>
      <c r="W136" s="480"/>
      <c r="X136" s="480">
        <f>X16</f>
        <v>11281</v>
      </c>
      <c r="Y136" s="480"/>
      <c r="Z136" s="480">
        <f>Z16</f>
        <v>11442.9</v>
      </c>
      <c r="AA136" s="327">
        <f>SUM(S136:Z136)</f>
        <v>51418.9</v>
      </c>
      <c r="AB136" s="480"/>
      <c r="AC136" s="476"/>
      <c r="AD136" s="476">
        <f>AA136/P136-1</f>
        <v>-8.1627567111243526E-2</v>
      </c>
      <c r="AE136" s="481"/>
      <c r="AF136" s="480">
        <f>AF16</f>
        <v>9403</v>
      </c>
      <c r="AG136" s="480"/>
      <c r="AH136" s="480">
        <f>AH16</f>
        <v>17903.111367000001</v>
      </c>
      <c r="AI136" s="480"/>
      <c r="AJ136" s="480"/>
      <c r="AK136" s="480"/>
      <c r="AL136" s="480"/>
      <c r="AM136" s="480"/>
      <c r="AN136" s="480"/>
      <c r="AO136" s="480">
        <f>AO16</f>
        <v>10000</v>
      </c>
      <c r="AP136" s="480"/>
      <c r="AQ136" s="480">
        <f>AQ16</f>
        <v>15000</v>
      </c>
      <c r="AR136" s="480">
        <f>AR16</f>
        <v>12000</v>
      </c>
      <c r="AS136" s="480"/>
      <c r="AT136" s="480"/>
      <c r="AU136" s="480"/>
      <c r="AV136" s="480">
        <f>SUM(AF136:AR136)</f>
        <v>64306.111367000005</v>
      </c>
      <c r="AW136" s="476"/>
      <c r="AX136" s="476">
        <f>AV136/$AV$96</f>
        <v>1.5271382420064051E-3</v>
      </c>
      <c r="AY136" s="476">
        <f>AV136/AA136-1</f>
        <v>0.25063179817148962</v>
      </c>
      <c r="AZ136" s="480">
        <f>AZ16</f>
        <v>13000</v>
      </c>
      <c r="BA136" s="480">
        <f>BA16</f>
        <v>14000</v>
      </c>
      <c r="BB136" s="480">
        <f>BB16</f>
        <v>15000</v>
      </c>
      <c r="BC136" s="480">
        <f>BC16</f>
        <v>16000</v>
      </c>
      <c r="BD136" s="480">
        <f>BD16</f>
        <v>17000</v>
      </c>
      <c r="BE136" s="439">
        <f>SUM(AY136:BD136)-1</f>
        <v>74999.250631798175</v>
      </c>
      <c r="BF136" s="439"/>
      <c r="BG136" s="422">
        <f>BE136/$BE$96</f>
        <v>1.1533023245103714E-3</v>
      </c>
      <c r="BH136" s="461">
        <f>BE136/AV136</f>
        <v>1.1662849616853923</v>
      </c>
      <c r="BI136" s="482"/>
      <c r="BJ136" s="482"/>
      <c r="BK136" s="482"/>
    </row>
    <row r="137" spans="1:63" s="294" customFormat="1" hidden="1">
      <c r="A137" s="393" t="s">
        <v>137</v>
      </c>
      <c r="B137" s="426" t="s">
        <v>494</v>
      </c>
      <c r="C137" s="468"/>
      <c r="D137" s="468"/>
      <c r="E137" s="468"/>
      <c r="F137" s="468"/>
      <c r="G137" s="468"/>
      <c r="H137" s="397"/>
      <c r="I137" s="452"/>
      <c r="J137" s="438">
        <f>(D137*E137*F137*G137*H137)^(1/5)-1</f>
        <v>-1</v>
      </c>
      <c r="K137" s="397">
        <f>K136/H136</f>
        <v>1.0083014896474896</v>
      </c>
      <c r="L137" s="397">
        <f>L136/K136</f>
        <v>0.31858089398283584</v>
      </c>
      <c r="M137" s="397">
        <f>M136/L136</f>
        <v>1.2479762469723668</v>
      </c>
      <c r="N137" s="397">
        <f>N136/M136</f>
        <v>0.97344143480049794</v>
      </c>
      <c r="O137" s="397">
        <f>O136/N136</f>
        <v>0.93845166229728216</v>
      </c>
      <c r="P137" s="397"/>
      <c r="Q137" s="421">
        <f>(K137*L137*M137*N137*O137)^(1/5)-1</f>
        <v>-0.1820106709603595</v>
      </c>
      <c r="R137" s="397"/>
      <c r="S137" s="397">
        <f>S136/O136</f>
        <v>1.0156458459672528</v>
      </c>
      <c r="T137" s="397">
        <f>T136/S136</f>
        <v>1.1653928827322666</v>
      </c>
      <c r="U137" s="397"/>
      <c r="V137" s="397">
        <f>V136/T136</f>
        <v>1.0822830208013117</v>
      </c>
      <c r="W137" s="397"/>
      <c r="X137" s="397">
        <f>X136/V136</f>
        <v>1.0680742283658398</v>
      </c>
      <c r="Y137" s="397"/>
      <c r="Z137" s="397">
        <f>Z136/X136</f>
        <v>1.0143515645776084</v>
      </c>
      <c r="AA137" s="397"/>
      <c r="AB137" s="388">
        <f>(S137*T137*V137*X137*Z137)^(1/5)-1</f>
        <v>6.7748791440422895E-2</v>
      </c>
      <c r="AC137" s="397"/>
      <c r="AD137" s="397"/>
      <c r="AE137" s="453"/>
      <c r="AF137" s="397">
        <f>AF136/Z136</f>
        <v>0.82173225318756615</v>
      </c>
      <c r="AG137" s="397"/>
      <c r="AH137" s="397">
        <f>AH136/AF136</f>
        <v>1.9039786628735511</v>
      </c>
      <c r="AI137" s="397"/>
      <c r="AJ137" s="397"/>
      <c r="AK137" s="397"/>
      <c r="AL137" s="397"/>
      <c r="AM137" s="397"/>
      <c r="AN137" s="397"/>
      <c r="AO137" s="397">
        <f>AO136/AH136</f>
        <v>0.55856212895109114</v>
      </c>
      <c r="AP137" s="397"/>
      <c r="AQ137" s="397">
        <f>AQ136/AO136</f>
        <v>1.5</v>
      </c>
      <c r="AR137" s="397">
        <f>AR136/AQ136</f>
        <v>0.8</v>
      </c>
      <c r="AS137" s="397"/>
      <c r="AT137" s="397"/>
      <c r="AU137" s="397"/>
      <c r="AV137" s="397"/>
      <c r="AW137" s="397">
        <f>(AO137*AQ137*AR137*AF137*AH137)^(1/5)-1</f>
        <v>9.5527791710896537E-3</v>
      </c>
      <c r="AX137" s="397"/>
      <c r="AY137" s="397"/>
      <c r="AZ137" s="397">
        <f>AZ136/AR136</f>
        <v>1.0833333333333333</v>
      </c>
      <c r="BA137" s="397">
        <f>BA136/AZ136</f>
        <v>1.0769230769230769</v>
      </c>
      <c r="BB137" s="397">
        <f>BB136/BA136</f>
        <v>1.0714285714285714</v>
      </c>
      <c r="BC137" s="397">
        <f>BC136/BB136</f>
        <v>1.0666666666666667</v>
      </c>
      <c r="BD137" s="397">
        <f>BD136/BC136</f>
        <v>1.0625</v>
      </c>
      <c r="BE137" s="397"/>
      <c r="BF137" s="417">
        <f>(AZ137*BA137*BB137*BC137*BD137)^(1/5)-1</f>
        <v>7.2145025900850923E-2</v>
      </c>
      <c r="BG137" s="397"/>
      <c r="BH137" s="397"/>
      <c r="BI137" s="469"/>
      <c r="BJ137" s="469"/>
      <c r="BK137" s="469"/>
    </row>
    <row r="138" spans="1:63" s="294" customFormat="1" hidden="1">
      <c r="A138" s="393" t="s">
        <v>137</v>
      </c>
      <c r="B138" s="426" t="s">
        <v>496</v>
      </c>
      <c r="C138" s="468"/>
      <c r="D138" s="468"/>
      <c r="E138" s="468"/>
      <c r="F138" s="468"/>
      <c r="G138" s="468"/>
      <c r="H138" s="397"/>
      <c r="I138" s="452"/>
      <c r="J138" s="452"/>
      <c r="K138" s="397">
        <f>K136/$K$96</f>
        <v>5.4617944421717045E-3</v>
      </c>
      <c r="L138" s="397">
        <f>L136/$L$96</f>
        <v>1.6004919460703452E-3</v>
      </c>
      <c r="M138" s="397">
        <f>M136/$M$96</f>
        <v>1.9692541335315796E-3</v>
      </c>
      <c r="N138" s="397">
        <f>N136/$N$96</f>
        <v>2.1363949623435735E-3</v>
      </c>
      <c r="O138" s="397">
        <f>O136/$O$96</f>
        <v>1.5932499535744934E-3</v>
      </c>
      <c r="P138" s="397">
        <f>P136/$P$96</f>
        <v>2.4833831725355323E-3</v>
      </c>
      <c r="Q138" s="397"/>
      <c r="R138" s="397"/>
      <c r="S138" s="397">
        <f>S136/$S$96</f>
        <v>1.3219087832424777E-3</v>
      </c>
      <c r="T138" s="397">
        <f>T136/$T$96</f>
        <v>1.4242565232087116E-3</v>
      </c>
      <c r="U138" s="397"/>
      <c r="V138" s="397">
        <f>V136/$V$96</f>
        <v>1.5123424440439024E-3</v>
      </c>
      <c r="W138" s="397"/>
      <c r="X138" s="397">
        <f>X136/$X$96</f>
        <v>1.2861684277517317E-3</v>
      </c>
      <c r="Y138" s="397"/>
      <c r="Z138" s="397">
        <f>Z136/$Z$96</f>
        <v>1.3572694029779576E-3</v>
      </c>
      <c r="AA138" s="397">
        <f>AA136/$AA$96</f>
        <v>1.375849273306462E-3</v>
      </c>
      <c r="AB138" s="397"/>
      <c r="AC138" s="388"/>
      <c r="AD138" s="388"/>
      <c r="AE138" s="390"/>
      <c r="AF138" s="397">
        <f>AF136/$AF$96</f>
        <v>1.3035631650729915E-3</v>
      </c>
      <c r="AG138" s="397"/>
      <c r="AH138" s="397">
        <f>AH136/$AH$96</f>
        <v>2.2728065592607684E-3</v>
      </c>
      <c r="AI138" s="397"/>
      <c r="AJ138" s="397"/>
      <c r="AK138" s="397"/>
      <c r="AL138" s="397"/>
      <c r="AM138" s="397"/>
      <c r="AN138" s="397"/>
      <c r="AO138" s="397">
        <f>AO136/$AO$96</f>
        <v>1.3175230566534915E-3</v>
      </c>
      <c r="AP138" s="397"/>
      <c r="AQ138" s="397">
        <f>AQ136/$AQ$96</f>
        <v>1.6188214979494927E-3</v>
      </c>
      <c r="AR138" s="397">
        <f>AR136/$AR$96</f>
        <v>1.1808118429759954E-3</v>
      </c>
      <c r="AS138" s="397"/>
      <c r="AT138" s="397"/>
      <c r="AU138" s="397"/>
      <c r="AV138" s="397"/>
      <c r="AW138" s="388"/>
      <c r="AX138" s="388"/>
      <c r="AY138" s="388"/>
      <c r="AZ138" s="397">
        <f>AZ136/AZ96</f>
        <v>1.177642902436815E-3</v>
      </c>
      <c r="BA138" s="397">
        <f>BA136/BA96</f>
        <v>1.172922270031904E-3</v>
      </c>
      <c r="BB138" s="397">
        <f>BB136/BB96</f>
        <v>1.1633768584490552E-3</v>
      </c>
      <c r="BC138" s="397">
        <f>BC136/BC96</f>
        <v>1.1460086645052768E-3</v>
      </c>
      <c r="BD138" s="397">
        <f>BD136/BD96</f>
        <v>1.118421050586498E-3</v>
      </c>
      <c r="BE138" s="397"/>
      <c r="BF138" s="397"/>
      <c r="BG138" s="397"/>
      <c r="BH138" s="397"/>
      <c r="BI138" s="469"/>
      <c r="BJ138" s="469"/>
      <c r="BK138" s="469"/>
    </row>
    <row r="139" spans="1:63" s="294" customFormat="1" ht="16.2" hidden="1">
      <c r="A139" s="471" t="s">
        <v>514</v>
      </c>
      <c r="B139" s="479" t="s">
        <v>17</v>
      </c>
      <c r="C139" s="480">
        <f t="shared" ref="C139:H139" si="139">C19</f>
        <v>61753.951621</v>
      </c>
      <c r="D139" s="480">
        <f t="shared" si="139"/>
        <v>83710</v>
      </c>
      <c r="E139" s="480">
        <f t="shared" si="139"/>
        <v>65760</v>
      </c>
      <c r="F139" s="480">
        <f t="shared" si="139"/>
        <v>62020</v>
      </c>
      <c r="G139" s="480">
        <f t="shared" si="139"/>
        <v>108070</v>
      </c>
      <c r="H139" s="480">
        <f t="shared" si="139"/>
        <v>147763</v>
      </c>
      <c r="I139" s="480"/>
      <c r="J139" s="475"/>
      <c r="K139" s="480">
        <f t="shared" ref="K139:P139" si="140">K19</f>
        <v>129532.067836</v>
      </c>
      <c r="L139" s="480">
        <f t="shared" si="140"/>
        <v>124106.44856800001</v>
      </c>
      <c r="M139" s="480">
        <f t="shared" si="140"/>
        <v>151790.240028</v>
      </c>
      <c r="N139" s="480">
        <f t="shared" si="140"/>
        <v>165870.497191</v>
      </c>
      <c r="O139" s="480">
        <f t="shared" si="140"/>
        <v>212616</v>
      </c>
      <c r="P139" s="480">
        <f t="shared" si="140"/>
        <v>783915.253623</v>
      </c>
      <c r="Q139" s="476"/>
      <c r="R139" s="476">
        <f>P139/$P$96</f>
        <v>3.4770337518995657E-2</v>
      </c>
      <c r="S139" s="480">
        <f>S19</f>
        <v>205555</v>
      </c>
      <c r="T139" s="480">
        <f>T19</f>
        <v>256429</v>
      </c>
      <c r="U139" s="480"/>
      <c r="V139" s="480">
        <f>V19</f>
        <v>154856</v>
      </c>
      <c r="W139" s="480"/>
      <c r="X139" s="480">
        <f>X19</f>
        <v>172887</v>
      </c>
      <c r="Y139" s="480"/>
      <c r="Z139" s="480">
        <f>Z19</f>
        <v>169167.9</v>
      </c>
      <c r="AA139" s="327">
        <f>SUM(S139:Z139)</f>
        <v>958894.9</v>
      </c>
      <c r="AB139" s="480"/>
      <c r="AC139" s="476"/>
      <c r="AD139" s="476">
        <f>AA139/P139-1</f>
        <v>0.22321245258119582</v>
      </c>
      <c r="AE139" s="481"/>
      <c r="AF139" s="480">
        <f>AF19</f>
        <v>156068</v>
      </c>
      <c r="AG139" s="480"/>
      <c r="AH139" s="480">
        <f>AH19</f>
        <v>174909.15649200001</v>
      </c>
      <c r="AI139" s="480"/>
      <c r="AJ139" s="480"/>
      <c r="AK139" s="480"/>
      <c r="AL139" s="480"/>
      <c r="AM139" s="480"/>
      <c r="AN139" s="480"/>
      <c r="AO139" s="480">
        <f>AO19</f>
        <v>160000</v>
      </c>
      <c r="AP139" s="480"/>
      <c r="AQ139" s="480">
        <f>AQ19</f>
        <v>170000</v>
      </c>
      <c r="AR139" s="480">
        <f>AR19</f>
        <v>212000</v>
      </c>
      <c r="AS139" s="480"/>
      <c r="AT139" s="480"/>
      <c r="AU139" s="480"/>
      <c r="AV139" s="480">
        <f>SUM(AF139:AR139)</f>
        <v>872977.15649199998</v>
      </c>
      <c r="AW139" s="476"/>
      <c r="AX139" s="476">
        <f>AV139/$AV$96</f>
        <v>2.0731416839505551E-2</v>
      </c>
      <c r="AY139" s="476">
        <f>AV139/AA139-1</f>
        <v>-8.9600793067102558E-2</v>
      </c>
      <c r="AZ139" s="480">
        <f>AZ19</f>
        <v>226000</v>
      </c>
      <c r="BA139" s="480">
        <f>BA19</f>
        <v>245000</v>
      </c>
      <c r="BB139" s="480">
        <f>BB19</f>
        <v>270000</v>
      </c>
      <c r="BC139" s="480">
        <f>BC19</f>
        <v>300000</v>
      </c>
      <c r="BD139" s="480">
        <f>BD19</f>
        <v>340000</v>
      </c>
      <c r="BE139" s="439">
        <f>SUM(AY139:BD139)</f>
        <v>1380999.9103992069</v>
      </c>
      <c r="BF139" s="439"/>
      <c r="BG139" s="422">
        <f>BE139/$BE$96</f>
        <v>2.1236350942108517E-2</v>
      </c>
      <c r="BH139" s="461">
        <f>BE139/AV139</f>
        <v>1.5819427806664061</v>
      </c>
      <c r="BI139" s="482"/>
      <c r="BJ139" s="482"/>
      <c r="BK139" s="482"/>
    </row>
    <row r="140" spans="1:63" s="294" customFormat="1" hidden="1">
      <c r="A140" s="393" t="s">
        <v>137</v>
      </c>
      <c r="B140" s="426" t="s">
        <v>494</v>
      </c>
      <c r="C140" s="468"/>
      <c r="D140" s="468"/>
      <c r="E140" s="468"/>
      <c r="F140" s="468"/>
      <c r="G140" s="468"/>
      <c r="H140" s="397"/>
      <c r="I140" s="452"/>
      <c r="J140" s="438">
        <f>(D140*E140*F140*G140*H140)^(1/5)-1</f>
        <v>-1</v>
      </c>
      <c r="K140" s="397">
        <f>K139/H139</f>
        <v>0.87662045191286042</v>
      </c>
      <c r="L140" s="397">
        <f>L139/K139</f>
        <v>0.95811369834017202</v>
      </c>
      <c r="M140" s="397">
        <f>M139/L139</f>
        <v>1.223064891304432</v>
      </c>
      <c r="N140" s="397">
        <f>N139/M139</f>
        <v>1.0927612813604002</v>
      </c>
      <c r="O140" s="397">
        <f>O139/N139</f>
        <v>1.2818192722674033</v>
      </c>
      <c r="P140" s="397"/>
      <c r="Q140" s="421">
        <f>(K140*L140*M140*N140*O140)^(1/5)-1</f>
        <v>7.5489187895901422E-2</v>
      </c>
      <c r="R140" s="397"/>
      <c r="S140" s="397">
        <f>S139/O139</f>
        <v>0.96678989351695077</v>
      </c>
      <c r="T140" s="397">
        <f>T139/S139</f>
        <v>1.2474958040427135</v>
      </c>
      <c r="U140" s="397"/>
      <c r="V140" s="397">
        <f>V139/T139</f>
        <v>0.60389425532993535</v>
      </c>
      <c r="W140" s="397"/>
      <c r="X140" s="397">
        <f>X139/V139</f>
        <v>1.1164372061786434</v>
      </c>
      <c r="Y140" s="397"/>
      <c r="Z140" s="397">
        <f>Z139/X139</f>
        <v>0.97848826111853404</v>
      </c>
      <c r="AA140" s="397"/>
      <c r="AB140" s="388">
        <f>(S140*T140*V140*X140*Z140)^(1/5)-1</f>
        <v>-4.4689826074443384E-2</v>
      </c>
      <c r="AC140" s="397"/>
      <c r="AD140" s="397"/>
      <c r="AE140" s="453"/>
      <c r="AF140" s="397">
        <f>AF139/Z139</f>
        <v>0.92256273205495842</v>
      </c>
      <c r="AG140" s="397"/>
      <c r="AH140" s="397">
        <f>AH139/AF139</f>
        <v>1.1207240208883309</v>
      </c>
      <c r="AI140" s="397"/>
      <c r="AJ140" s="397"/>
      <c r="AK140" s="397"/>
      <c r="AL140" s="397"/>
      <c r="AM140" s="397"/>
      <c r="AN140" s="397"/>
      <c r="AO140" s="397">
        <f>AO139/AH139</f>
        <v>0.91476057176753967</v>
      </c>
      <c r="AP140" s="397"/>
      <c r="AQ140" s="397">
        <f>AQ139/AO139</f>
        <v>1.0625</v>
      </c>
      <c r="AR140" s="397">
        <f>AR139/AQ139</f>
        <v>1.2470588235294118</v>
      </c>
      <c r="AS140" s="397"/>
      <c r="AT140" s="397"/>
      <c r="AU140" s="397"/>
      <c r="AV140" s="397"/>
      <c r="AW140" s="397">
        <f>(AO140*AQ140*AR140*AF140*AH140)^(1/5)-1</f>
        <v>4.617317620241157E-2</v>
      </c>
      <c r="AX140" s="397"/>
      <c r="AY140" s="397"/>
      <c r="AZ140" s="397">
        <f>AZ139/AR139</f>
        <v>1.0660377358490567</v>
      </c>
      <c r="BA140" s="397">
        <f>BA139/AZ139</f>
        <v>1.084070796460177</v>
      </c>
      <c r="BB140" s="397">
        <f>BB139/BA139</f>
        <v>1.1020408163265305</v>
      </c>
      <c r="BC140" s="397">
        <f>BC139/BB139</f>
        <v>1.1111111111111112</v>
      </c>
      <c r="BD140" s="397">
        <f>BD139/BC139</f>
        <v>1.1333333333333333</v>
      </c>
      <c r="BE140" s="397"/>
      <c r="BF140" s="417">
        <f>(AZ140*BA140*BB140*BC140*BD140)^(1/5)-1</f>
        <v>9.9078244074792599E-2</v>
      </c>
      <c r="BG140" s="397"/>
      <c r="BH140" s="397"/>
      <c r="BI140" s="469"/>
      <c r="BJ140" s="469"/>
      <c r="BK140" s="469"/>
    </row>
    <row r="141" spans="1:63" s="294" customFormat="1" hidden="1">
      <c r="A141" s="393" t="s">
        <v>137</v>
      </c>
      <c r="B141" s="426" t="s">
        <v>496</v>
      </c>
      <c r="C141" s="468"/>
      <c r="D141" s="468"/>
      <c r="E141" s="468"/>
      <c r="F141" s="468"/>
      <c r="G141" s="468"/>
      <c r="H141" s="397"/>
      <c r="I141" s="452"/>
      <c r="J141" s="452"/>
      <c r="K141" s="397">
        <f>K139/$K$96</f>
        <v>3.1165189496924848E-2</v>
      </c>
      <c r="L141" s="397">
        <f>L139/$L$96</f>
        <v>2.7465356249167371E-2</v>
      </c>
      <c r="M141" s="397">
        <f>M139/$M$96</f>
        <v>3.3118959919154284E-2</v>
      </c>
      <c r="N141" s="397">
        <f>N139/$N$96</f>
        <v>4.0334059963302658E-2</v>
      </c>
      <c r="O141" s="397">
        <f>O139/$O$96</f>
        <v>4.1085558778556033E-2</v>
      </c>
      <c r="P141" s="397">
        <f>P139/$P$96</f>
        <v>3.4770337518995657E-2</v>
      </c>
      <c r="Q141" s="397"/>
      <c r="R141" s="397"/>
      <c r="S141" s="397">
        <f>S139/$S$96</f>
        <v>3.244864580121895E-2</v>
      </c>
      <c r="T141" s="397">
        <f>T139/$T$96</f>
        <v>3.7423985653231552E-2</v>
      </c>
      <c r="U141" s="397"/>
      <c r="V141" s="397">
        <f>V139/$V$96</f>
        <v>2.2173385865826789E-2</v>
      </c>
      <c r="W141" s="397"/>
      <c r="X141" s="397">
        <f>X139/$X$96</f>
        <v>1.9711178172920278E-2</v>
      </c>
      <c r="Y141" s="397"/>
      <c r="Z141" s="397">
        <f>Z139/$Z$96</f>
        <v>2.006540428003695E-2</v>
      </c>
      <c r="AA141" s="397">
        <f>AA139/$AA$96</f>
        <v>2.5657780530938479E-2</v>
      </c>
      <c r="AB141" s="397"/>
      <c r="AC141" s="388"/>
      <c r="AD141" s="388"/>
      <c r="AE141" s="390"/>
      <c r="AF141" s="397">
        <f>AF139/$AF$96</f>
        <v>2.16361263476137E-2</v>
      </c>
      <c r="AG141" s="397"/>
      <c r="AH141" s="397">
        <f>AH139/$AH$96</f>
        <v>2.2204781615923118E-2</v>
      </c>
      <c r="AI141" s="397"/>
      <c r="AJ141" s="397"/>
      <c r="AK141" s="397"/>
      <c r="AL141" s="397"/>
      <c r="AM141" s="397"/>
      <c r="AN141" s="397"/>
      <c r="AO141" s="397">
        <f>AO139/$AO$96</f>
        <v>2.1080368906455864E-2</v>
      </c>
      <c r="AP141" s="397"/>
      <c r="AQ141" s="397">
        <f>AQ139/$AQ$96</f>
        <v>1.8346643643427585E-2</v>
      </c>
      <c r="AR141" s="397">
        <f>AR139/$AR$96</f>
        <v>2.0861009225909253E-2</v>
      </c>
      <c r="AS141" s="397"/>
      <c r="AT141" s="397"/>
      <c r="AU141" s="397"/>
      <c r="AV141" s="397"/>
      <c r="AW141" s="388"/>
      <c r="AX141" s="388"/>
      <c r="AY141" s="388"/>
      <c r="AZ141" s="397">
        <f>AZ139/AZ96</f>
        <v>2.0472868919286166E-2</v>
      </c>
      <c r="BA141" s="397">
        <f>BA139/BA96</f>
        <v>2.0526139725558321E-2</v>
      </c>
      <c r="BB141" s="397">
        <f>BB139/BB96</f>
        <v>2.0940783452082994E-2</v>
      </c>
      <c r="BC141" s="397">
        <f>BC139/BC96</f>
        <v>2.1487662459473939E-2</v>
      </c>
      <c r="BD141" s="397">
        <f>BD139/BD96</f>
        <v>2.2368421011729957E-2</v>
      </c>
      <c r="BE141" s="397"/>
      <c r="BF141" s="397"/>
      <c r="BG141" s="397"/>
      <c r="BH141" s="397"/>
      <c r="BI141" s="469"/>
      <c r="BJ141" s="469"/>
      <c r="BK141" s="469"/>
    </row>
    <row r="142" spans="1:63" s="294" customFormat="1" ht="16.2" hidden="1">
      <c r="A142" s="471" t="s">
        <v>514</v>
      </c>
      <c r="B142" s="479" t="s">
        <v>516</v>
      </c>
      <c r="C142" s="480">
        <f>C22</f>
        <v>392.82925699999998</v>
      </c>
      <c r="D142" s="480">
        <f>D22</f>
        <v>2970</v>
      </c>
      <c r="E142" s="480">
        <f>E22</f>
        <v>1390</v>
      </c>
      <c r="F142" s="480">
        <f>F22</f>
        <v>170</v>
      </c>
      <c r="G142" s="480">
        <f>G22</f>
        <v>1150</v>
      </c>
      <c r="H142" s="480">
        <f>H21</f>
        <v>12272.982172</v>
      </c>
      <c r="I142" s="480"/>
      <c r="J142" s="475"/>
      <c r="K142" s="480">
        <f t="shared" ref="K142:P142" si="141">K21</f>
        <v>14797.318150999999</v>
      </c>
      <c r="L142" s="480">
        <f t="shared" si="141"/>
        <v>21280.122105999999</v>
      </c>
      <c r="M142" s="480">
        <f t="shared" si="141"/>
        <v>25056.577998000001</v>
      </c>
      <c r="N142" s="480">
        <f t="shared" si="141"/>
        <v>30109.314546000001</v>
      </c>
      <c r="O142" s="480">
        <f t="shared" si="141"/>
        <v>35945</v>
      </c>
      <c r="P142" s="480">
        <f t="shared" si="141"/>
        <v>127188.332801</v>
      </c>
      <c r="Q142" s="476"/>
      <c r="R142" s="476">
        <f>P142/$P$96</f>
        <v>5.6414022300629004E-3</v>
      </c>
      <c r="S142" s="480">
        <f>S21</f>
        <v>53095</v>
      </c>
      <c r="T142" s="480">
        <f>T21</f>
        <v>61296</v>
      </c>
      <c r="U142" s="480"/>
      <c r="V142" s="480">
        <f>V21</f>
        <v>194910</v>
      </c>
      <c r="W142" s="480"/>
      <c r="X142" s="480">
        <f>X21</f>
        <v>177724</v>
      </c>
      <c r="Y142" s="480"/>
      <c r="Z142" s="480">
        <f>Z21</f>
        <v>103321.9</v>
      </c>
      <c r="AA142" s="327">
        <f>SUM(S142:Z142)</f>
        <v>590346.9</v>
      </c>
      <c r="AB142" s="480"/>
      <c r="AC142" s="476"/>
      <c r="AD142" s="476">
        <f>AA142/P142-1</f>
        <v>3.6415177162803296</v>
      </c>
      <c r="AE142" s="481"/>
      <c r="AF142" s="480">
        <f>AF21</f>
        <v>253261</v>
      </c>
      <c r="AG142" s="480"/>
      <c r="AH142" s="480">
        <f>AH21</f>
        <v>237121.31138199999</v>
      </c>
      <c r="AI142" s="480"/>
      <c r="AJ142" s="480"/>
      <c r="AK142" s="480"/>
      <c r="AL142" s="480"/>
      <c r="AM142" s="480"/>
      <c r="AN142" s="480"/>
      <c r="AO142" s="480">
        <f>AO21</f>
        <v>115000</v>
      </c>
      <c r="AP142" s="480"/>
      <c r="AQ142" s="480">
        <f>AQ21</f>
        <v>315000</v>
      </c>
      <c r="AR142" s="480">
        <f>AR21</f>
        <v>184000</v>
      </c>
      <c r="AS142" s="480"/>
      <c r="AT142" s="480"/>
      <c r="AU142" s="480"/>
      <c r="AV142" s="480">
        <f>SUM(AF142:AR142)</f>
        <v>1104382.3113819999</v>
      </c>
      <c r="AW142" s="476"/>
      <c r="AX142" s="476">
        <f>AV142/$AV$96</f>
        <v>2.6226814616135571E-2</v>
      </c>
      <c r="AY142" s="476">
        <f>AV142/AA142-1</f>
        <v>0.87073449760132537</v>
      </c>
      <c r="AZ142" s="480">
        <f>AZ21</f>
        <v>250000</v>
      </c>
      <c r="BA142" s="480">
        <f>BA21</f>
        <v>300000</v>
      </c>
      <c r="BB142" s="480">
        <f>BB21</f>
        <v>365000</v>
      </c>
      <c r="BC142" s="480">
        <f>BC21</f>
        <v>480000</v>
      </c>
      <c r="BD142" s="480">
        <f>BD21</f>
        <v>600000</v>
      </c>
      <c r="BE142" s="439">
        <f>SUM(AY142:BD142)-1</f>
        <v>1994999.8707344977</v>
      </c>
      <c r="BF142" s="439"/>
      <c r="BG142" s="422">
        <f>BE142/$BE$96</f>
        <v>3.067814636724487E-2</v>
      </c>
      <c r="BH142" s="461">
        <f>BE142/AV142</f>
        <v>1.806439536538754</v>
      </c>
      <c r="BI142" s="482"/>
      <c r="BJ142" s="482"/>
      <c r="BK142" s="482"/>
    </row>
    <row r="143" spans="1:63" s="294" customFormat="1" hidden="1">
      <c r="A143" s="393" t="s">
        <v>137</v>
      </c>
      <c r="B143" s="426" t="s">
        <v>494</v>
      </c>
      <c r="C143" s="468"/>
      <c r="D143" s="468"/>
      <c r="E143" s="468"/>
      <c r="F143" s="468"/>
      <c r="G143" s="468"/>
      <c r="H143" s="397"/>
      <c r="I143" s="452"/>
      <c r="J143" s="438">
        <f>(D143*E143*F143*G143*H143)^(1/5)-1</f>
        <v>-1</v>
      </c>
      <c r="K143" s="397">
        <f>K142/H142</f>
        <v>1.2056823633916054</v>
      </c>
      <c r="L143" s="397">
        <f>L142/K142</f>
        <v>1.4381066818220634</v>
      </c>
      <c r="M143" s="397">
        <f>M142/L142</f>
        <v>1.1774640142189419</v>
      </c>
      <c r="N143" s="397">
        <f>N142/M142</f>
        <v>1.2016530967797481</v>
      </c>
      <c r="O143" s="397">
        <f>O142/N142</f>
        <v>1.1938166159539911</v>
      </c>
      <c r="P143" s="397"/>
      <c r="Q143" s="421">
        <f>(K143*L143*M143*N143*O143)^(1/5)-1</f>
        <v>0.23976016239775455</v>
      </c>
      <c r="R143" s="397"/>
      <c r="S143" s="397">
        <f>S142/O142</f>
        <v>1.4771178188899707</v>
      </c>
      <c r="T143" s="397">
        <f>T142/S142</f>
        <v>1.15445898860533</v>
      </c>
      <c r="U143" s="397"/>
      <c r="V143" s="397">
        <f>V142/T142</f>
        <v>3.1798159749412687</v>
      </c>
      <c r="W143" s="397"/>
      <c r="X143" s="397">
        <f>X142/V142</f>
        <v>0.9118259709609563</v>
      </c>
      <c r="Y143" s="397"/>
      <c r="Z143" s="397">
        <f>Z142/X142</f>
        <v>0.58136154936868401</v>
      </c>
      <c r="AA143" s="397"/>
      <c r="AB143" s="388">
        <f>(S143*T143*V143*X143*Z143)^(1/5)-1</f>
        <v>0.23512462141630674</v>
      </c>
      <c r="AC143" s="397"/>
      <c r="AD143" s="397"/>
      <c r="AE143" s="453"/>
      <c r="AF143" s="397">
        <f>AF142/Z142</f>
        <v>2.4511841148875506</v>
      </c>
      <c r="AG143" s="397"/>
      <c r="AH143" s="397">
        <f>AH142/AF142</f>
        <v>0.93627250694737829</v>
      </c>
      <c r="AI143" s="397"/>
      <c r="AJ143" s="397"/>
      <c r="AK143" s="397"/>
      <c r="AL143" s="397"/>
      <c r="AM143" s="397"/>
      <c r="AN143" s="397"/>
      <c r="AO143" s="397">
        <f>AO142/AH142</f>
        <v>0.48498382254109662</v>
      </c>
      <c r="AP143" s="397"/>
      <c r="AQ143" s="397">
        <f>AQ142/AO142</f>
        <v>2.7391304347826089</v>
      </c>
      <c r="AR143" s="397">
        <f>AR142/AQ142</f>
        <v>0.58412698412698416</v>
      </c>
      <c r="AS143" s="397"/>
      <c r="AT143" s="397"/>
      <c r="AU143" s="397"/>
      <c r="AV143" s="397"/>
      <c r="AW143" s="397">
        <f>(AO143*AQ143*AR143*AF143*AH143)^(1/5)-1</f>
        <v>0.12234167062345613</v>
      </c>
      <c r="AX143" s="397"/>
      <c r="AY143" s="397"/>
      <c r="AZ143" s="397">
        <f>AZ142/AR142</f>
        <v>1.3586956521739131</v>
      </c>
      <c r="BA143" s="397">
        <f>BA142/AZ142</f>
        <v>1.2</v>
      </c>
      <c r="BB143" s="397">
        <f>BB142/BA142</f>
        <v>1.2166666666666666</v>
      </c>
      <c r="BC143" s="397">
        <f>BC142/BB142</f>
        <v>1.3150684931506849</v>
      </c>
      <c r="BD143" s="397">
        <f>BD142/BC142</f>
        <v>1.25</v>
      </c>
      <c r="BE143" s="397"/>
      <c r="BF143" s="417">
        <f>(AZ143*BA143*BB143*BC143*BD143)^(1/5)-1</f>
        <v>0.26667933524247434</v>
      </c>
      <c r="BG143" s="397"/>
      <c r="BH143" s="397"/>
      <c r="BI143" s="469"/>
      <c r="BJ143" s="469"/>
      <c r="BK143" s="469"/>
    </row>
    <row r="144" spans="1:63" s="294" customFormat="1" hidden="1">
      <c r="A144" s="393" t="s">
        <v>137</v>
      </c>
      <c r="B144" s="426" t="s">
        <v>496</v>
      </c>
      <c r="C144" s="468"/>
      <c r="D144" s="468"/>
      <c r="E144" s="468"/>
      <c r="F144" s="468"/>
      <c r="G144" s="468"/>
      <c r="H144" s="397"/>
      <c r="I144" s="452"/>
      <c r="J144" s="452"/>
      <c r="K144" s="397">
        <f>K142/$K$96</f>
        <v>3.5602089268433113E-3</v>
      </c>
      <c r="L144" s="397">
        <f>L142/$L$96</f>
        <v>4.7093937616531911E-3</v>
      </c>
      <c r="M144" s="397">
        <f>M142/$M$96</f>
        <v>5.4670695709674554E-3</v>
      </c>
      <c r="N144" s="397">
        <f>N142/$N$96</f>
        <v>7.3215606085384006E-3</v>
      </c>
      <c r="O144" s="397">
        <f>O142/$O$96</f>
        <v>6.9459514349587831E-3</v>
      </c>
      <c r="P144" s="397">
        <f>P142/$P$96</f>
        <v>5.6414022300629004E-3</v>
      </c>
      <c r="Q144" s="397"/>
      <c r="R144" s="397"/>
      <c r="S144" s="397">
        <f>S142/$S$96</f>
        <v>8.3815078631788095E-3</v>
      </c>
      <c r="T144" s="397">
        <f>T142/$T$96</f>
        <v>8.9457145042116191E-3</v>
      </c>
      <c r="U144" s="397"/>
      <c r="V144" s="397">
        <f>V142/$V$96</f>
        <v>2.7908603083563435E-2</v>
      </c>
      <c r="W144" s="397"/>
      <c r="X144" s="397">
        <f>X142/$X$96</f>
        <v>2.0262653812051126E-2</v>
      </c>
      <c r="Y144" s="397"/>
      <c r="Z144" s="397">
        <f>Z142/$Z$96</f>
        <v>1.2255254658132835E-2</v>
      </c>
      <c r="AA144" s="397">
        <f>AA142/$AA$96</f>
        <v>1.5796299675094615E-2</v>
      </c>
      <c r="AB144" s="397"/>
      <c r="AC144" s="388"/>
      <c r="AD144" s="388"/>
      <c r="AE144" s="390"/>
      <c r="AF144" s="397">
        <f>AF142/$AF$96</f>
        <v>3.5110253190423366E-2</v>
      </c>
      <c r="AG144" s="397"/>
      <c r="AH144" s="397">
        <f>AH142/$AH$96</f>
        <v>3.0102637513773817E-2</v>
      </c>
      <c r="AI144" s="397"/>
      <c r="AJ144" s="397"/>
      <c r="AK144" s="397"/>
      <c r="AL144" s="397"/>
      <c r="AM144" s="397"/>
      <c r="AN144" s="397"/>
      <c r="AO144" s="397">
        <f>AO142/$AO$96</f>
        <v>1.5151515151515152E-2</v>
      </c>
      <c r="AP144" s="397"/>
      <c r="AQ144" s="397">
        <f>AQ142/$AQ$96</f>
        <v>3.3995251456939352E-2</v>
      </c>
      <c r="AR144" s="397">
        <f>AR142/$AR$96</f>
        <v>1.8105781592298597E-2</v>
      </c>
      <c r="AS144" s="397"/>
      <c r="AT144" s="397"/>
      <c r="AU144" s="397"/>
      <c r="AV144" s="397"/>
      <c r="AW144" s="388"/>
      <c r="AX144" s="388"/>
      <c r="AY144" s="388"/>
      <c r="AZ144" s="397">
        <f>AZ142/AZ96</f>
        <v>2.264697889301567E-2</v>
      </c>
      <c r="BA144" s="397">
        <f>BA142/BA96</f>
        <v>2.5134048643540803E-2</v>
      </c>
      <c r="BB144" s="397">
        <f>BB142/BB96</f>
        <v>2.8308836888927009E-2</v>
      </c>
      <c r="BC144" s="397">
        <f>BC142/BC96</f>
        <v>3.4380259935158308E-2</v>
      </c>
      <c r="BD144" s="397">
        <f>BD142/BD96</f>
        <v>3.9473684138346982E-2</v>
      </c>
      <c r="BE144" s="397"/>
      <c r="BF144" s="397"/>
      <c r="BG144" s="397"/>
      <c r="BH144" s="397"/>
      <c r="BI144" s="469"/>
      <c r="BJ144" s="469"/>
      <c r="BK144" s="469"/>
    </row>
    <row r="145" spans="1:64" s="294" customFormat="1" ht="16.2" hidden="1">
      <c r="A145" s="471" t="s">
        <v>514</v>
      </c>
      <c r="B145" s="337" t="s">
        <v>129</v>
      </c>
      <c r="C145" s="480">
        <f t="shared" ref="C145:H145" si="142">C25</f>
        <v>0</v>
      </c>
      <c r="D145" s="480">
        <f t="shared" si="142"/>
        <v>0</v>
      </c>
      <c r="E145" s="480">
        <f t="shared" si="142"/>
        <v>0</v>
      </c>
      <c r="F145" s="480">
        <f t="shared" si="142"/>
        <v>0</v>
      </c>
      <c r="G145" s="480">
        <f t="shared" si="142"/>
        <v>0</v>
      </c>
      <c r="H145" s="480">
        <f t="shared" si="142"/>
        <v>0</v>
      </c>
      <c r="I145" s="480"/>
      <c r="J145" s="475"/>
      <c r="K145" s="480">
        <f t="shared" ref="K145:P145" si="143">K25</f>
        <v>0</v>
      </c>
      <c r="L145" s="480">
        <f t="shared" si="143"/>
        <v>0</v>
      </c>
      <c r="M145" s="480">
        <f t="shared" si="143"/>
        <v>0</v>
      </c>
      <c r="N145" s="480">
        <f t="shared" si="143"/>
        <v>0</v>
      </c>
      <c r="O145" s="480">
        <f t="shared" si="143"/>
        <v>0</v>
      </c>
      <c r="P145" s="480">
        <f t="shared" si="143"/>
        <v>0</v>
      </c>
      <c r="Q145" s="476"/>
      <c r="R145" s="476">
        <f>P145/$P$96</f>
        <v>0</v>
      </c>
      <c r="S145" s="480">
        <f>S25</f>
        <v>0</v>
      </c>
      <c r="T145" s="480">
        <f>T25</f>
        <v>0</v>
      </c>
      <c r="U145" s="480"/>
      <c r="V145" s="480">
        <f>V25</f>
        <v>47932</v>
      </c>
      <c r="W145" s="480"/>
      <c r="X145" s="480">
        <f>X25</f>
        <v>129025</v>
      </c>
      <c r="Y145" s="480"/>
      <c r="Z145" s="480">
        <f>Z25</f>
        <v>125796</v>
      </c>
      <c r="AA145" s="327">
        <f>SUM(S145:Z145)</f>
        <v>302753</v>
      </c>
      <c r="AB145" s="480"/>
      <c r="AC145" s="476"/>
      <c r="AD145" s="476"/>
      <c r="AE145" s="481"/>
      <c r="AF145" s="480">
        <f>AF25</f>
        <v>59826</v>
      </c>
      <c r="AG145" s="480"/>
      <c r="AH145" s="480">
        <f>AH25</f>
        <v>76161.542220000003</v>
      </c>
      <c r="AI145" s="480"/>
      <c r="AJ145" s="480"/>
      <c r="AK145" s="480"/>
      <c r="AL145" s="480"/>
      <c r="AM145" s="480"/>
      <c r="AN145" s="480"/>
      <c r="AO145" s="480">
        <f>AO25</f>
        <v>50000</v>
      </c>
      <c r="AP145" s="480"/>
      <c r="AQ145" s="480">
        <f>AQ25</f>
        <v>37000</v>
      </c>
      <c r="AR145" s="480">
        <f>AR25</f>
        <v>114000</v>
      </c>
      <c r="AS145" s="480"/>
      <c r="AT145" s="480"/>
      <c r="AU145" s="480"/>
      <c r="AV145" s="480">
        <f>SUM(AF145:AR145)</f>
        <v>336987.54222</v>
      </c>
      <c r="AW145" s="476"/>
      <c r="AX145" s="476">
        <f>AV145/$AV$96</f>
        <v>8.0027629079745775E-3</v>
      </c>
      <c r="AY145" s="476">
        <f>AV145/AA145-1</f>
        <v>0.11307746651560846</v>
      </c>
      <c r="AZ145" s="480">
        <f>AZ25</f>
        <v>120000</v>
      </c>
      <c r="BA145" s="480">
        <f>BA25</f>
        <v>130000</v>
      </c>
      <c r="BB145" s="480">
        <f>BB25</f>
        <v>140000</v>
      </c>
      <c r="BC145" s="480">
        <f>BC25</f>
        <v>150000</v>
      </c>
      <c r="BD145" s="480">
        <f>BD25</f>
        <v>160000</v>
      </c>
      <c r="BE145" s="439">
        <f>SUM(AY145:BD145)</f>
        <v>700000.11307746649</v>
      </c>
      <c r="BF145" s="439"/>
      <c r="BG145" s="422">
        <f>BE145/$BE$96</f>
        <v>1.0764264319562161E-2</v>
      </c>
      <c r="BH145" s="461">
        <f>BE145/AV145</f>
        <v>2.0772284591472414</v>
      </c>
      <c r="BI145" s="482"/>
      <c r="BJ145" s="482"/>
      <c r="BK145" s="482"/>
    </row>
    <row r="146" spans="1:64" s="294" customFormat="1" hidden="1">
      <c r="A146" s="393" t="s">
        <v>137</v>
      </c>
      <c r="B146" s="426" t="s">
        <v>494</v>
      </c>
      <c r="C146" s="468"/>
      <c r="D146" s="468"/>
      <c r="E146" s="468"/>
      <c r="F146" s="468"/>
      <c r="G146" s="468"/>
      <c r="H146" s="397"/>
      <c r="I146" s="452"/>
      <c r="J146" s="438"/>
      <c r="K146" s="397"/>
      <c r="L146" s="397"/>
      <c r="M146" s="397"/>
      <c r="N146" s="397"/>
      <c r="O146" s="397"/>
      <c r="P146" s="397"/>
      <c r="Q146" s="421"/>
      <c r="R146" s="397"/>
      <c r="S146" s="397"/>
      <c r="T146" s="397"/>
      <c r="U146" s="397"/>
      <c r="V146" s="397"/>
      <c r="W146" s="397"/>
      <c r="X146" s="397"/>
      <c r="Y146" s="397"/>
      <c r="Z146" s="397">
        <f>Z145/X145</f>
        <v>0.97497384227862816</v>
      </c>
      <c r="AA146" s="397"/>
      <c r="AB146" s="397"/>
      <c r="AC146" s="397"/>
      <c r="AD146" s="397"/>
      <c r="AE146" s="453"/>
      <c r="AF146" s="397">
        <f>AF145/Z145</f>
        <v>0.47557950968234286</v>
      </c>
      <c r="AG146" s="397"/>
      <c r="AH146" s="397">
        <f>AH145/AF145</f>
        <v>1.2730508845652393</v>
      </c>
      <c r="AI146" s="397"/>
      <c r="AJ146" s="397"/>
      <c r="AK146" s="397"/>
      <c r="AL146" s="397"/>
      <c r="AM146" s="397"/>
      <c r="AN146" s="397"/>
      <c r="AO146" s="397">
        <f>AO145/AH145</f>
        <v>0.65649931110336701</v>
      </c>
      <c r="AP146" s="397"/>
      <c r="AQ146" s="397">
        <f>AQ145/AO145</f>
        <v>0.74</v>
      </c>
      <c r="AR146" s="397">
        <f>AR145/AQ145</f>
        <v>3.0810810810810811</v>
      </c>
      <c r="AS146" s="397"/>
      <c r="AT146" s="397"/>
      <c r="AU146" s="397"/>
      <c r="AV146" s="397"/>
      <c r="AW146" s="397">
        <f>(AO146*AQ146*AR146*AF146*AH146)^(1/5)-1</f>
        <v>-1.9499986691724369E-2</v>
      </c>
      <c r="AX146" s="397"/>
      <c r="AY146" s="397"/>
      <c r="AZ146" s="397">
        <f>AZ145/AR145</f>
        <v>1.0526315789473684</v>
      </c>
      <c r="BA146" s="397">
        <f>BA145/AZ145</f>
        <v>1.0833333333333333</v>
      </c>
      <c r="BB146" s="397">
        <f>BB145/BA145</f>
        <v>1.0769230769230769</v>
      </c>
      <c r="BC146" s="397">
        <f>BC145/BB145</f>
        <v>1.0714285714285714</v>
      </c>
      <c r="BD146" s="397">
        <f>BD145/BC145</f>
        <v>1.0666666666666667</v>
      </c>
      <c r="BE146" s="397"/>
      <c r="BF146" s="417">
        <f>(AZ146*BA146*BB146*BC146*BD146)^(1/5)-1</f>
        <v>7.0145984594375044E-2</v>
      </c>
      <c r="BG146" s="397"/>
      <c r="BH146" s="397"/>
      <c r="BI146" s="469"/>
      <c r="BJ146" s="469"/>
      <c r="BK146" s="469"/>
    </row>
    <row r="147" spans="1:64" s="294" customFormat="1" hidden="1">
      <c r="A147" s="393" t="s">
        <v>137</v>
      </c>
      <c r="B147" s="426" t="s">
        <v>496</v>
      </c>
      <c r="C147" s="468"/>
      <c r="D147" s="468"/>
      <c r="E147" s="468"/>
      <c r="F147" s="468"/>
      <c r="G147" s="468"/>
      <c r="H147" s="397"/>
      <c r="I147" s="452"/>
      <c r="J147" s="452"/>
      <c r="K147" s="397">
        <f>K145/$K$96</f>
        <v>0</v>
      </c>
      <c r="L147" s="397">
        <f>L145/$L$96</f>
        <v>0</v>
      </c>
      <c r="M147" s="397">
        <f>M145/$M$96</f>
        <v>0</v>
      </c>
      <c r="N147" s="397">
        <f>N145/$N$96</f>
        <v>0</v>
      </c>
      <c r="O147" s="397">
        <f>O145/$O$96</f>
        <v>0</v>
      </c>
      <c r="P147" s="397">
        <f>P145/$P$96</f>
        <v>0</v>
      </c>
      <c r="Q147" s="397"/>
      <c r="R147" s="397"/>
      <c r="S147" s="397">
        <f>S145/$S$96</f>
        <v>0</v>
      </c>
      <c r="T147" s="397">
        <f>T145/$T$96</f>
        <v>0</v>
      </c>
      <c r="U147" s="397"/>
      <c r="V147" s="397">
        <f>V145/$V$96</f>
        <v>6.8632454107093663E-3</v>
      </c>
      <c r="W147" s="397"/>
      <c r="X147" s="397">
        <f>X145/$X$96</f>
        <v>1.4710387500280754E-2</v>
      </c>
      <c r="Y147" s="397"/>
      <c r="Z147" s="397">
        <f>Z145/$Z$96</f>
        <v>1.4920960754442943E-2</v>
      </c>
      <c r="AA147" s="397">
        <f>AA145/$AA$96</f>
        <v>8.1009608342720533E-3</v>
      </c>
      <c r="AB147" s="397"/>
      <c r="AC147" s="388"/>
      <c r="AD147" s="388"/>
      <c r="AE147" s="390"/>
      <c r="AF147" s="397">
        <f>AF145/$AF$96</f>
        <v>8.2938391910727209E-3</v>
      </c>
      <c r="AG147" s="397"/>
      <c r="AH147" s="397">
        <f>AH145/$AH$96</f>
        <v>9.6687357394257302E-3</v>
      </c>
      <c r="AI147" s="397"/>
      <c r="AJ147" s="397"/>
      <c r="AK147" s="397"/>
      <c r="AL147" s="397"/>
      <c r="AM147" s="397"/>
      <c r="AN147" s="397"/>
      <c r="AO147" s="397">
        <f>AO145/$AO$96</f>
        <v>6.587615283267457E-3</v>
      </c>
      <c r="AP147" s="397"/>
      <c r="AQ147" s="397">
        <f>AQ145/$AQ$96</f>
        <v>3.9930930282754155E-3</v>
      </c>
      <c r="AR147" s="397">
        <f>AR145/$AR$96</f>
        <v>1.1217712508271957E-2</v>
      </c>
      <c r="AS147" s="397"/>
      <c r="AT147" s="397"/>
      <c r="AU147" s="397"/>
      <c r="AV147" s="397"/>
      <c r="AW147" s="388"/>
      <c r="AX147" s="388"/>
      <c r="AY147" s="388"/>
      <c r="AZ147" s="397">
        <f>AZ145/AZ96</f>
        <v>1.0870549868647522E-2</v>
      </c>
      <c r="BA147" s="397">
        <f>BA145/BA96</f>
        <v>1.089142107886768E-2</v>
      </c>
      <c r="BB147" s="397">
        <f>BB145/BB96</f>
        <v>1.085818401219118E-2</v>
      </c>
      <c r="BC147" s="397">
        <f>BC145/BC96</f>
        <v>1.074383122973697E-2</v>
      </c>
      <c r="BD147" s="397">
        <f>BD145/BD96</f>
        <v>1.0526315770225862E-2</v>
      </c>
      <c r="BE147" s="397"/>
      <c r="BF147" s="397"/>
      <c r="BG147" s="397"/>
      <c r="BH147" s="397"/>
      <c r="BI147" s="469"/>
      <c r="BJ147" s="469"/>
      <c r="BK147" s="469"/>
    </row>
    <row r="148" spans="1:64" s="294" customFormat="1" ht="16.2" hidden="1">
      <c r="A148" s="471" t="s">
        <v>514</v>
      </c>
      <c r="B148" s="479" t="s">
        <v>517</v>
      </c>
      <c r="C148" s="480">
        <f>C23</f>
        <v>40157.714318999999</v>
      </c>
      <c r="D148" s="480">
        <f>D23</f>
        <v>16290</v>
      </c>
      <c r="E148" s="480">
        <f>E23</f>
        <v>34910</v>
      </c>
      <c r="F148" s="480">
        <f>F23</f>
        <v>34190</v>
      </c>
      <c r="G148" s="480">
        <f>G23</f>
        <v>46520</v>
      </c>
      <c r="H148" s="480">
        <f t="shared" ref="H148:P148" si="144">H23+H22+H24+H26+H15</f>
        <v>121402.66154</v>
      </c>
      <c r="I148" s="480"/>
      <c r="J148" s="475"/>
      <c r="K148" s="480">
        <f t="shared" si="144"/>
        <v>52547.980668000004</v>
      </c>
      <c r="L148" s="480">
        <f t="shared" si="144"/>
        <v>60691.136125999998</v>
      </c>
      <c r="M148" s="480">
        <f t="shared" si="144"/>
        <v>71020.529576999994</v>
      </c>
      <c r="N148" s="480">
        <f t="shared" si="144"/>
        <v>162319.390491</v>
      </c>
      <c r="O148" s="480">
        <f t="shared" si="144"/>
        <v>157635</v>
      </c>
      <c r="P148" s="480">
        <f t="shared" si="144"/>
        <v>504214.03686199989</v>
      </c>
      <c r="Q148" s="476"/>
      <c r="R148" s="476">
        <f>P148/$P$96</f>
        <v>2.2364269814219462E-2</v>
      </c>
      <c r="S148" s="480">
        <f>S23+S22+S24+S26+S15</f>
        <v>143147</v>
      </c>
      <c r="T148" s="480">
        <f>T23+T22+T24+T26+T15</f>
        <v>231700</v>
      </c>
      <c r="U148" s="480"/>
      <c r="V148" s="480">
        <f>V23+V22+V24+V26+V15</f>
        <v>290394</v>
      </c>
      <c r="W148" s="480"/>
      <c r="X148" s="480">
        <f>X23+X22+X24+X26+X15</f>
        <v>334505</v>
      </c>
      <c r="Y148" s="480"/>
      <c r="Z148" s="480">
        <f>Z23+Z22+Z24+Z26+Z15</f>
        <v>346844.40000000008</v>
      </c>
      <c r="AA148" s="327">
        <f>SUM(S148:Z148)</f>
        <v>1346590.4000000001</v>
      </c>
      <c r="AB148" s="480"/>
      <c r="AC148" s="476"/>
      <c r="AD148" s="476">
        <f>AA148/P148-1</f>
        <v>1.6706721779912548</v>
      </c>
      <c r="AE148" s="481"/>
      <c r="AF148" s="480">
        <f>AF23+AF22+AF24+AF26+AF15</f>
        <v>272339</v>
      </c>
      <c r="AG148" s="480"/>
      <c r="AH148" s="480">
        <f>AH23+AH22+AH24+AH26+AH15</f>
        <v>323340.37734100007</v>
      </c>
      <c r="AI148" s="480"/>
      <c r="AJ148" s="480"/>
      <c r="AK148" s="480"/>
      <c r="AL148" s="480"/>
      <c r="AM148" s="480"/>
      <c r="AN148" s="480"/>
      <c r="AO148" s="480">
        <f>AO23+AO22+AO24+AO26+AO15</f>
        <v>275000</v>
      </c>
      <c r="AP148" s="480"/>
      <c r="AQ148" s="480">
        <f>AQ23+AQ22+AQ24+AQ26+AQ15</f>
        <v>358000</v>
      </c>
      <c r="AR148" s="480">
        <f>AR23+AR22+AR24+AR26+AR15</f>
        <v>400000</v>
      </c>
      <c r="AS148" s="480"/>
      <c r="AT148" s="480"/>
      <c r="AU148" s="480"/>
      <c r="AV148" s="480">
        <f>SUM(AF148:AR148)</f>
        <v>1628679.3773410001</v>
      </c>
      <c r="AW148" s="476"/>
      <c r="AX148" s="476">
        <f>AV148/$AV$96</f>
        <v>3.8677794508672286E-2</v>
      </c>
      <c r="AY148" s="476">
        <f>AV148/AA148-1</f>
        <v>0.20948387671633473</v>
      </c>
      <c r="AZ148" s="480">
        <f>AZ23+AZ22+AZ24+AZ26+AZ15</f>
        <v>431000</v>
      </c>
      <c r="BA148" s="480">
        <f>BA23+BA22+BA24+BA26+BA15</f>
        <v>473000</v>
      </c>
      <c r="BB148" s="480">
        <f>BB23+BB22+BB24+BB26+BB15</f>
        <v>525000</v>
      </c>
      <c r="BC148" s="480">
        <f>BC23+BC22+BC24+BC26+BC15</f>
        <v>579000</v>
      </c>
      <c r="BD148" s="480">
        <f>BD23+BD22+BD24+BD26+BD15</f>
        <v>640000</v>
      </c>
      <c r="BE148" s="439">
        <f>SUM(AY148:BD148)</f>
        <v>2648000.2094838768</v>
      </c>
      <c r="BF148" s="439"/>
      <c r="BG148" s="422">
        <f>BE148/$BE$96</f>
        <v>4.071967081237602E-2</v>
      </c>
      <c r="BH148" s="461">
        <f>BE148/AV148</f>
        <v>1.6258572720476334</v>
      </c>
      <c r="BI148" s="482"/>
      <c r="BJ148" s="482"/>
      <c r="BK148" s="482"/>
    </row>
    <row r="149" spans="1:64" s="294" customFormat="1" hidden="1">
      <c r="A149" s="393" t="s">
        <v>137</v>
      </c>
      <c r="B149" s="426" t="s">
        <v>494</v>
      </c>
      <c r="C149" s="468"/>
      <c r="D149" s="468"/>
      <c r="E149" s="468"/>
      <c r="F149" s="468"/>
      <c r="G149" s="468"/>
      <c r="H149" s="397"/>
      <c r="I149" s="452"/>
      <c r="J149" s="438">
        <f>(D149*E149*F149*G149*H149)^(1/5)-1</f>
        <v>-1</v>
      </c>
      <c r="K149" s="397">
        <f>K148/H148</f>
        <v>0.4328404336562785</v>
      </c>
      <c r="L149" s="397">
        <f>L148/K148</f>
        <v>1.1549660967839799</v>
      </c>
      <c r="M149" s="397">
        <f>M148/L148</f>
        <v>1.1701960798617328</v>
      </c>
      <c r="N149" s="397">
        <f>N148/M148</f>
        <v>2.2855277404685412</v>
      </c>
      <c r="O149" s="397">
        <f>O148/N148</f>
        <v>0.97114090635240691</v>
      </c>
      <c r="P149" s="397"/>
      <c r="Q149" s="421">
        <f>(K149*L149*M149*N149*O149)^(1/5)-1</f>
        <v>5.3622141561359138E-2</v>
      </c>
      <c r="R149" s="397"/>
      <c r="S149" s="397">
        <f>S148/O148</f>
        <v>0.90809147714657279</v>
      </c>
      <c r="T149" s="397">
        <f>T148/S148</f>
        <v>1.618615828484006</v>
      </c>
      <c r="U149" s="397"/>
      <c r="V149" s="397">
        <f>V148/T148</f>
        <v>1.2533189469141131</v>
      </c>
      <c r="W149" s="397"/>
      <c r="X149" s="397">
        <f>X148/V148</f>
        <v>1.1519005213606341</v>
      </c>
      <c r="Y149" s="397"/>
      <c r="Z149" s="397">
        <f>Z148/X148</f>
        <v>1.0368885367931722</v>
      </c>
      <c r="AA149" s="397"/>
      <c r="AB149" s="388">
        <f>(S149*T149*V149*X149*Z149)^(1/5)-1</f>
        <v>0.17083691619390029</v>
      </c>
      <c r="AC149" s="397"/>
      <c r="AD149" s="397"/>
      <c r="AE149" s="453"/>
      <c r="AF149" s="397">
        <f>AF148/Z148</f>
        <v>0.78519070799470869</v>
      </c>
      <c r="AG149" s="397"/>
      <c r="AH149" s="397">
        <f>AH148/AF148</f>
        <v>1.187271662674094</v>
      </c>
      <c r="AI149" s="397"/>
      <c r="AJ149" s="397"/>
      <c r="AK149" s="397"/>
      <c r="AL149" s="397"/>
      <c r="AM149" s="397"/>
      <c r="AN149" s="397"/>
      <c r="AO149" s="397">
        <f>AO148/AH148</f>
        <v>0.85049693533938231</v>
      </c>
      <c r="AP149" s="397"/>
      <c r="AQ149" s="397">
        <f>AQ148/AO148</f>
        <v>1.3018181818181818</v>
      </c>
      <c r="AR149" s="397">
        <f>AR148/AQ148</f>
        <v>1.1173184357541899</v>
      </c>
      <c r="AS149" s="397"/>
      <c r="AT149" s="397"/>
      <c r="AU149" s="397"/>
      <c r="AV149" s="397"/>
      <c r="AW149" s="397">
        <f>(AO149*AQ149*AR149*AF149*AH149)^(1/5)-1</f>
        <v>2.8928177988711834E-2</v>
      </c>
      <c r="AX149" s="397"/>
      <c r="AY149" s="397"/>
      <c r="AZ149" s="397">
        <f>AZ148/AR148</f>
        <v>1.0774999999999999</v>
      </c>
      <c r="BA149" s="397">
        <f>BA148/AZ148</f>
        <v>1.0974477958236659</v>
      </c>
      <c r="BB149" s="397">
        <f>BB148/BA148</f>
        <v>1.109936575052854</v>
      </c>
      <c r="BC149" s="397">
        <f>BC148/BB148</f>
        <v>1.1028571428571428</v>
      </c>
      <c r="BD149" s="397">
        <f>BD148/BC148</f>
        <v>1.1053540587219344</v>
      </c>
      <c r="BE149" s="397"/>
      <c r="BF149" s="417">
        <f>(AZ149*BA149*BB149*BC149*BD149)^(1/5)-1</f>
        <v>9.8560543306117632E-2</v>
      </c>
      <c r="BG149" s="397"/>
      <c r="BH149" s="397"/>
      <c r="BI149" s="469"/>
      <c r="BJ149" s="469"/>
      <c r="BK149" s="469"/>
    </row>
    <row r="150" spans="1:64" s="294" customFormat="1" hidden="1">
      <c r="A150" s="393" t="s">
        <v>137</v>
      </c>
      <c r="B150" s="426" t="s">
        <v>496</v>
      </c>
      <c r="C150" s="468"/>
      <c r="D150" s="468"/>
      <c r="E150" s="468"/>
      <c r="F150" s="468"/>
      <c r="G150" s="468"/>
      <c r="H150" s="397"/>
      <c r="I150" s="452" t="s">
        <v>227</v>
      </c>
      <c r="J150" s="452"/>
      <c r="K150" s="397">
        <f>K148/$K$96</f>
        <v>1.2642952456162499E-2</v>
      </c>
      <c r="L150" s="397">
        <f>L148/$L$96</f>
        <v>1.3431241439110049E-2</v>
      </c>
      <c r="M150" s="397">
        <f>M148/$M$96</f>
        <v>1.5495897971199523E-2</v>
      </c>
      <c r="N150" s="397">
        <f>N148/$N$96</f>
        <v>3.9470551666170375E-2</v>
      </c>
      <c r="O150" s="397">
        <f>O148/$O$96</f>
        <v>3.0461122672130417E-2</v>
      </c>
      <c r="P150" s="397">
        <f>P148/$P$96</f>
        <v>2.2364269814219462E-2</v>
      </c>
      <c r="Q150" s="397"/>
      <c r="R150" s="397"/>
      <c r="S150" s="397">
        <f>S148/$S$96</f>
        <v>2.2596999832196197E-2</v>
      </c>
      <c r="T150" s="397">
        <f>T148/$T$96</f>
        <v>3.381496428194062E-2</v>
      </c>
      <c r="U150" s="397"/>
      <c r="V150" s="397">
        <f>V148/$V$96</f>
        <v>4.1580682796410244E-2</v>
      </c>
      <c r="W150" s="397"/>
      <c r="X150" s="397">
        <f>X148/$X$96</f>
        <v>3.8137556061084391E-2</v>
      </c>
      <c r="Y150" s="397"/>
      <c r="Z150" s="397">
        <f>Z148/$Z$96</f>
        <v>4.1140033707735627E-2</v>
      </c>
      <c r="AA150" s="397">
        <f>AA148/$AA$96</f>
        <v>3.6031603618153211E-2</v>
      </c>
      <c r="AB150" s="397"/>
      <c r="AC150" s="388"/>
      <c r="AD150" s="388"/>
      <c r="AE150" s="390"/>
      <c r="AF150" s="397">
        <f>AF148/$AF$96</f>
        <v>3.7755087611699822E-2</v>
      </c>
      <c r="AG150" s="397"/>
      <c r="AH150" s="397">
        <f>AH148/$AH$96</f>
        <v>4.1048179583414023E-2</v>
      </c>
      <c r="AI150" s="397"/>
      <c r="AJ150" s="397"/>
      <c r="AK150" s="397"/>
      <c r="AL150" s="397"/>
      <c r="AM150" s="397"/>
      <c r="AN150" s="397"/>
      <c r="AO150" s="397">
        <f>AO148/$AO$96</f>
        <v>3.6231884057971016E-2</v>
      </c>
      <c r="AP150" s="397"/>
      <c r="AQ150" s="397">
        <f>AQ148/$AQ$96</f>
        <v>3.8635873084394562E-2</v>
      </c>
      <c r="AR150" s="397">
        <f>AR148/$AR$96</f>
        <v>3.9360394765866516E-2</v>
      </c>
      <c r="AS150" s="397"/>
      <c r="AT150" s="397"/>
      <c r="AU150" s="397"/>
      <c r="AV150" s="397"/>
      <c r="AW150" s="388"/>
      <c r="AX150" s="388"/>
      <c r="AY150" s="388"/>
      <c r="AZ150" s="397">
        <f>AZ148/AZ96</f>
        <v>3.9043391611559015E-2</v>
      </c>
      <c r="BA150" s="397">
        <f>BA148/BA96</f>
        <v>3.9628016694649333E-2</v>
      </c>
      <c r="BB150" s="397">
        <f>BB148/BB96</f>
        <v>4.0718190045716932E-2</v>
      </c>
      <c r="BC150" s="397">
        <f>BC148/BC96</f>
        <v>4.1471188546784707E-2</v>
      </c>
      <c r="BD150" s="397">
        <f>BD148/BD96</f>
        <v>4.2105263080903448E-2</v>
      </c>
      <c r="BE150" s="397"/>
      <c r="BF150" s="397"/>
      <c r="BG150" s="397"/>
      <c r="BH150" s="397"/>
      <c r="BI150" s="469"/>
      <c r="BJ150" s="469"/>
      <c r="BK150" s="469"/>
    </row>
    <row r="151" spans="1:64" s="465" customFormat="1" hidden="1">
      <c r="A151" s="459">
        <v>11</v>
      </c>
      <c r="B151" s="466" t="s">
        <v>492</v>
      </c>
      <c r="C151" s="439"/>
      <c r="D151" s="461">
        <f>D7/C7</f>
        <v>1.2253060266717446</v>
      </c>
      <c r="E151" s="461">
        <f>E7/D7</f>
        <v>1.6374503694260627</v>
      </c>
      <c r="F151" s="461">
        <f>F7/E7</f>
        <v>0.98446527535228523</v>
      </c>
      <c r="G151" s="461">
        <f>G7/F7</f>
        <v>1.1727437176297704</v>
      </c>
      <c r="H151" s="461">
        <f>H7/G7</f>
        <v>1.3519753121614537</v>
      </c>
      <c r="I151" s="439"/>
      <c r="J151" s="462">
        <f>AVERAGE(D151:H151)</f>
        <v>1.2743881402482633</v>
      </c>
      <c r="K151" s="461">
        <f>K7/H7</f>
        <v>1.046794510256291</v>
      </c>
      <c r="L151" s="461">
        <f>L7/K7</f>
        <v>1.0871803262801722</v>
      </c>
      <c r="M151" s="461">
        <f>M7/L7</f>
        <v>1.0142804314364227</v>
      </c>
      <c r="N151" s="461">
        <f>N7/M7</f>
        <v>0.89728425830443836</v>
      </c>
      <c r="O151" s="461">
        <f>O7/N7</f>
        <v>1.2583734267412459</v>
      </c>
      <c r="P151" s="439"/>
      <c r="Q151" s="323">
        <f>AVERAGE(K151:O151)</f>
        <v>1.060782590603714</v>
      </c>
      <c r="R151" s="323"/>
      <c r="S151" s="461">
        <f>S7/O7</f>
        <v>1.2241220555069345</v>
      </c>
      <c r="T151" s="461">
        <f>T7/S7</f>
        <v>1.0816472050564037</v>
      </c>
      <c r="U151" s="461"/>
      <c r="V151" s="461">
        <f>V7/T7</f>
        <v>1.0192457788942084</v>
      </c>
      <c r="W151" s="461"/>
      <c r="X151" s="461">
        <f>X7/V7</f>
        <v>1.2558961595494074</v>
      </c>
      <c r="Y151" s="461"/>
      <c r="Z151" s="461">
        <f>Z7/X7</f>
        <v>0.96121444581144755</v>
      </c>
      <c r="AA151" s="461"/>
      <c r="AB151" s="388">
        <f>(S151*T151*V151*X151*Z151)^(1/5)-1</f>
        <v>0.1025356971451945</v>
      </c>
      <c r="AC151" s="323"/>
      <c r="AD151" s="323"/>
      <c r="AE151" s="463"/>
      <c r="AF151" s="461">
        <f>AF7/Z7</f>
        <v>0.85558726617529812</v>
      </c>
      <c r="AG151" s="461"/>
      <c r="AH151" s="323">
        <f>AH7/AF7</f>
        <v>1.0920227424960205</v>
      </c>
      <c r="AI151" s="323"/>
      <c r="AJ151" s="323"/>
      <c r="AK151" s="323"/>
      <c r="AL151" s="323"/>
      <c r="AM151" s="323"/>
      <c r="AN151" s="323"/>
      <c r="AO151" s="323">
        <f>AO7/AH7</f>
        <v>0.9635532858599366</v>
      </c>
      <c r="AP151" s="323"/>
      <c r="AQ151" s="323">
        <f>AQ7/AO7</f>
        <v>1.2208168642951251</v>
      </c>
      <c r="AR151" s="323">
        <f>AR7/AQ7</f>
        <v>1.0967515324843513</v>
      </c>
      <c r="AS151" s="323"/>
      <c r="AT151" s="323"/>
      <c r="AU151" s="323"/>
      <c r="AV151" s="323"/>
      <c r="AW151" s="323"/>
      <c r="AX151" s="323"/>
      <c r="AY151" s="323"/>
      <c r="AZ151" s="323">
        <f>AZ7/AR7</f>
        <v>1.0862484945510011</v>
      </c>
      <c r="BA151" s="323">
        <f>BA7/AZ7</f>
        <v>1.0812573436553312</v>
      </c>
      <c r="BB151" s="323">
        <f>BB7/BA7</f>
        <v>1.080219554867544</v>
      </c>
      <c r="BC151" s="323">
        <f>BC7/BB7</f>
        <v>1.0828324026805629</v>
      </c>
      <c r="BD151" s="323">
        <f>BD7/BC7</f>
        <v>1.0887082332707629</v>
      </c>
      <c r="BE151" s="323"/>
      <c r="BF151" s="388">
        <f>(AZ151*BA151*BB151*BC151*BD151)^(1/5)-1</f>
        <v>8.3848569109363336E-2</v>
      </c>
      <c r="BG151" s="323"/>
      <c r="BH151" s="323"/>
      <c r="BI151" s="484"/>
      <c r="BJ151" s="484"/>
      <c r="BK151" s="484"/>
    </row>
    <row r="152" spans="1:64" s="465" customFormat="1" hidden="1">
      <c r="A152" s="459">
        <v>12</v>
      </c>
      <c r="B152" s="466" t="s">
        <v>10</v>
      </c>
      <c r="C152" s="439"/>
      <c r="D152" s="439">
        <f>D8</f>
        <v>1322540</v>
      </c>
      <c r="E152" s="439">
        <f>E8</f>
        <v>2238026.399896</v>
      </c>
      <c r="F152" s="439">
        <f>F8</f>
        <v>2175030</v>
      </c>
      <c r="G152" s="439">
        <f>G8</f>
        <v>2627990</v>
      </c>
      <c r="H152" s="439">
        <f>H8</f>
        <v>3663943.1287150006</v>
      </c>
      <c r="I152" s="439"/>
      <c r="J152" s="462"/>
      <c r="K152" s="439">
        <f>K8</f>
        <v>3798739.5013269996</v>
      </c>
      <c r="L152" s="439">
        <f>L8</f>
        <v>4099702.3977709995</v>
      </c>
      <c r="M152" s="439">
        <f>M8</f>
        <v>4126341.428791</v>
      </c>
      <c r="N152" s="439">
        <f>N8</f>
        <v>3972338.7808679999</v>
      </c>
      <c r="O152" s="439">
        <f>O8</f>
        <v>4931116</v>
      </c>
      <c r="P152" s="439">
        <f>SUM(K152:O152)</f>
        <v>20928238.108756997</v>
      </c>
      <c r="Q152" s="323"/>
      <c r="R152" s="323">
        <f>P152/$P$7</f>
        <v>0.92826603303900546</v>
      </c>
      <c r="S152" s="439">
        <f>S8</f>
        <v>6237814</v>
      </c>
      <c r="T152" s="439">
        <f>T8</f>
        <v>6744580</v>
      </c>
      <c r="U152" s="439"/>
      <c r="V152" s="439">
        <f>V8</f>
        <v>6909606</v>
      </c>
      <c r="W152" s="439"/>
      <c r="X152" s="439">
        <f>X8</f>
        <v>8644723</v>
      </c>
      <c r="Y152" s="439"/>
      <c r="Z152" s="439">
        <f>Z8</f>
        <v>8337065.4000000022</v>
      </c>
      <c r="AA152" s="327">
        <f>SUM(S152:Z152)</f>
        <v>36873788.400000006</v>
      </c>
      <c r="AB152" s="439"/>
      <c r="AC152" s="323"/>
      <c r="AD152" s="323"/>
      <c r="AE152" s="463"/>
      <c r="AF152" s="439">
        <f>AF8</f>
        <v>7016452</v>
      </c>
      <c r="AG152" s="439"/>
      <c r="AH152" s="439">
        <f>AH8</f>
        <v>7487310.8303279998</v>
      </c>
      <c r="AI152" s="439"/>
      <c r="AJ152" s="439"/>
      <c r="AK152" s="439"/>
      <c r="AL152" s="439"/>
      <c r="AM152" s="439"/>
      <c r="AN152" s="439"/>
      <c r="AO152" s="439">
        <f>AO8</f>
        <v>7440000</v>
      </c>
      <c r="AP152" s="439"/>
      <c r="AQ152" s="439">
        <f>AQ8</f>
        <v>9066000</v>
      </c>
      <c r="AR152" s="439">
        <f>AR8</f>
        <v>9999999.6999999993</v>
      </c>
      <c r="AS152" s="439"/>
      <c r="AT152" s="439"/>
      <c r="AU152" s="439"/>
      <c r="AV152" s="439">
        <f>SUM(AF152:AR152)</f>
        <v>41009762.530327998</v>
      </c>
      <c r="AW152" s="323"/>
      <c r="AX152" s="323"/>
      <c r="AY152" s="323">
        <f>AV152/AA152-1</f>
        <v>0.11216569573654089</v>
      </c>
      <c r="AZ152" s="439">
        <f>AZ8</f>
        <v>10870000</v>
      </c>
      <c r="BA152" s="439">
        <f>BA8</f>
        <v>11760000</v>
      </c>
      <c r="BB152" s="439">
        <f>BB8</f>
        <v>12710000</v>
      </c>
      <c r="BC152" s="439">
        <f>BC8</f>
        <v>13770000</v>
      </c>
      <c r="BD152" s="439">
        <f>BD8</f>
        <v>15000000</v>
      </c>
      <c r="BE152" s="439">
        <f>SUM(AY152:BD152)</f>
        <v>64110000.112165697</v>
      </c>
      <c r="BF152" s="388"/>
      <c r="BG152" s="439"/>
      <c r="BH152" s="439"/>
      <c r="BI152" s="467"/>
      <c r="BJ152" s="467"/>
      <c r="BK152" s="467"/>
    </row>
    <row r="153" spans="1:64" s="294" customFormat="1" hidden="1">
      <c r="A153" s="384"/>
      <c r="B153" s="457" t="s">
        <v>494</v>
      </c>
      <c r="C153" s="485"/>
      <c r="D153" s="388">
        <f>D8/C8</f>
        <v>1.1871014611688848</v>
      </c>
      <c r="E153" s="388">
        <f>E8/D8</f>
        <v>1.6922183071181212</v>
      </c>
      <c r="F153" s="388">
        <f>F8/E8</f>
        <v>0.97185180661902493</v>
      </c>
      <c r="G153" s="388">
        <f>G8/F8</f>
        <v>1.2082545987871431</v>
      </c>
      <c r="H153" s="388">
        <f>H8/G8</f>
        <v>1.3941997985970269</v>
      </c>
      <c r="I153" s="416"/>
      <c r="J153" s="438">
        <f>(D153*E153*F153*G153*H153)^(1/5)-1</f>
        <v>0.26883616752494643</v>
      </c>
      <c r="K153" s="388">
        <f>K8/H8</f>
        <v>1.0367899740461513</v>
      </c>
      <c r="L153" s="388">
        <f>L8/K8</f>
        <v>1.0792270426384503</v>
      </c>
      <c r="M153" s="388">
        <f>M8/L8</f>
        <v>1.0064977962874779</v>
      </c>
      <c r="N153" s="388">
        <f>N8/M8</f>
        <v>0.96267816161588882</v>
      </c>
      <c r="O153" s="388">
        <f>O8/N8</f>
        <v>1.2413634063010348</v>
      </c>
      <c r="P153" s="388"/>
      <c r="Q153" s="421">
        <f>(K153*L153*M153*N153*O153)^(1/5)-1</f>
        <v>6.1205028008409545E-2</v>
      </c>
      <c r="R153" s="388"/>
      <c r="S153" s="388">
        <f>S9/O9</f>
        <v>1.3321136571078873</v>
      </c>
      <c r="T153" s="388">
        <f>T9/S9</f>
        <v>1.0343939313663881</v>
      </c>
      <c r="U153" s="388"/>
      <c r="V153" s="388">
        <f>V9/T9</f>
        <v>1.0146586953378618</v>
      </c>
      <c r="W153" s="388"/>
      <c r="X153" s="388">
        <f>X9/V9</f>
        <v>1.3113079909945025</v>
      </c>
      <c r="Y153" s="388"/>
      <c r="Z153" s="388">
        <f>Z8/X8</f>
        <v>0.96441093601264061</v>
      </c>
      <c r="AA153" s="388"/>
      <c r="AB153" s="388">
        <f>(S153*T153*V153*X153*Z153)^(1/5)-1</f>
        <v>0.12073468296223799</v>
      </c>
      <c r="AC153" s="388"/>
      <c r="AD153" s="388"/>
      <c r="AE153" s="390"/>
      <c r="AF153" s="388">
        <f>AF8/Z8</f>
        <v>0.84159733231791589</v>
      </c>
      <c r="AG153" s="388"/>
      <c r="AH153" s="388">
        <f>AH8/AF8</f>
        <v>1.0671078246281738</v>
      </c>
      <c r="AI153" s="388"/>
      <c r="AJ153" s="388"/>
      <c r="AK153" s="388"/>
      <c r="AL153" s="388"/>
      <c r="AM153" s="388"/>
      <c r="AN153" s="388"/>
      <c r="AO153" s="388">
        <f>AO8/AH8</f>
        <v>0.99368119857714965</v>
      </c>
      <c r="AP153" s="388"/>
      <c r="AQ153" s="388">
        <f>AQ8/AO8</f>
        <v>1.2185483870967742</v>
      </c>
      <c r="AR153" s="388">
        <f>AR8/AQ8</f>
        <v>1.1030222479594087</v>
      </c>
      <c r="AS153" s="388"/>
      <c r="AT153" s="388"/>
      <c r="AU153" s="388"/>
      <c r="AV153" s="388"/>
      <c r="AW153" s="388">
        <f>(AO153*AQ153*AR153*AF153*AH153)^(1/5)-1</f>
        <v>3.7044412096000512E-2</v>
      </c>
      <c r="AX153" s="388"/>
      <c r="AY153" s="388"/>
      <c r="AZ153" s="388">
        <f>AZ8/AR8</f>
        <v>1.0870000326100011</v>
      </c>
      <c r="BA153" s="388">
        <f>BA8/AZ8</f>
        <v>1.0818767249310028</v>
      </c>
      <c r="BB153" s="388">
        <f>BB8/BA8</f>
        <v>1.0807823129251701</v>
      </c>
      <c r="BC153" s="388">
        <f>BC8/BB8</f>
        <v>1.0833988985051142</v>
      </c>
      <c r="BD153" s="388">
        <f>BD8/BC8</f>
        <v>1.0893246187363834</v>
      </c>
      <c r="BE153" s="439"/>
      <c r="BF153" s="388"/>
      <c r="BG153" s="388"/>
      <c r="BH153" s="388"/>
      <c r="BI153" s="418"/>
      <c r="BJ153" s="418"/>
      <c r="BK153" s="418"/>
    </row>
    <row r="154" spans="1:64" s="465" customFormat="1" hidden="1">
      <c r="A154" s="459">
        <v>13</v>
      </c>
      <c r="B154" s="460" t="s">
        <v>518</v>
      </c>
      <c r="C154" s="439"/>
      <c r="D154" s="439">
        <f>D9</f>
        <v>781630</v>
      </c>
      <c r="E154" s="439">
        <f>E9</f>
        <v>1012420</v>
      </c>
      <c r="F154" s="439">
        <f>F9</f>
        <v>1278230</v>
      </c>
      <c r="G154" s="439">
        <f>G9</f>
        <v>1827240</v>
      </c>
      <c r="H154" s="439">
        <f>H9</f>
        <v>2445921.4765880005</v>
      </c>
      <c r="I154" s="439"/>
      <c r="J154" s="462"/>
      <c r="K154" s="439">
        <f>K9</f>
        <v>2716706.9705919996</v>
      </c>
      <c r="L154" s="439">
        <f>L9</f>
        <v>2881335.0339119998</v>
      </c>
      <c r="M154" s="439">
        <f>M9</f>
        <v>2871723.7974100001</v>
      </c>
      <c r="N154" s="439">
        <f>N9</f>
        <v>2637997.8620639998</v>
      </c>
      <c r="O154" s="439">
        <f>O9</f>
        <v>3357995</v>
      </c>
      <c r="P154" s="439">
        <f>SUM(K154:O154)</f>
        <v>14465758.663977999</v>
      </c>
      <c r="Q154" s="323"/>
      <c r="R154" s="323">
        <f>P154/$P$7</f>
        <v>0.64162460022335932</v>
      </c>
      <c r="S154" s="439">
        <f t="shared" ref="S154:Z154" si="145">S9</f>
        <v>4473231</v>
      </c>
      <c r="T154" s="439">
        <f t="shared" si="145"/>
        <v>4627083</v>
      </c>
      <c r="U154" s="439"/>
      <c r="V154" s="439">
        <f t="shared" si="145"/>
        <v>4694910</v>
      </c>
      <c r="W154" s="439">
        <f t="shared" si="145"/>
        <v>5177000</v>
      </c>
      <c r="X154" s="439">
        <f t="shared" si="145"/>
        <v>6156473</v>
      </c>
      <c r="Y154" s="439">
        <f t="shared" si="145"/>
        <v>6365000</v>
      </c>
      <c r="Z154" s="439">
        <f t="shared" si="145"/>
        <v>5525934.6000000015</v>
      </c>
      <c r="AA154" s="327">
        <f>SUM(S154:Z154)</f>
        <v>37019631.600000001</v>
      </c>
      <c r="AB154" s="439"/>
      <c r="AC154" s="323"/>
      <c r="AD154" s="323"/>
      <c r="AE154" s="463"/>
      <c r="AF154" s="439">
        <f>AF9</f>
        <v>4493500</v>
      </c>
      <c r="AG154" s="439"/>
      <c r="AH154" s="439">
        <f>AH9</f>
        <v>4714407.2166780001</v>
      </c>
      <c r="AI154" s="439"/>
      <c r="AJ154" s="439"/>
      <c r="AK154" s="439"/>
      <c r="AL154" s="439"/>
      <c r="AM154" s="439"/>
      <c r="AN154" s="439"/>
      <c r="AO154" s="439">
        <f>AO9</f>
        <v>4940000</v>
      </c>
      <c r="AP154" s="439"/>
      <c r="AQ154" s="439">
        <f>AQ9</f>
        <v>5346000</v>
      </c>
      <c r="AR154" s="439">
        <f>AR9</f>
        <v>6477999.6999999993</v>
      </c>
      <c r="AS154" s="439"/>
      <c r="AT154" s="439"/>
      <c r="AU154" s="439"/>
      <c r="AV154" s="439">
        <f>SUM(AF154:AR154)</f>
        <v>25971906.916678</v>
      </c>
      <c r="AW154" s="323"/>
      <c r="AX154" s="323"/>
      <c r="AY154" s="323"/>
      <c r="AZ154" s="439">
        <f>AZ9</f>
        <v>7110000</v>
      </c>
      <c r="BA154" s="439">
        <f>BA9</f>
        <v>7860000</v>
      </c>
      <c r="BB154" s="439">
        <f>BB9</f>
        <v>8700000</v>
      </c>
      <c r="BC154" s="439">
        <f>BC9</f>
        <v>9660000</v>
      </c>
      <c r="BD154" s="439">
        <f>BD9</f>
        <v>10740000</v>
      </c>
      <c r="BE154" s="439">
        <f>SUM(AY154:BD154)</f>
        <v>44070000</v>
      </c>
      <c r="BF154" s="439"/>
      <c r="BG154" s="439"/>
      <c r="BH154" s="439"/>
      <c r="BI154" s="467"/>
      <c r="BJ154" s="467"/>
      <c r="BK154" s="467"/>
      <c r="BL154" s="465">
        <f>23+24</f>
        <v>47</v>
      </c>
    </row>
    <row r="155" spans="1:64" s="294" customFormat="1" hidden="1">
      <c r="A155" s="384"/>
      <c r="B155" s="457" t="s">
        <v>494</v>
      </c>
      <c r="C155" s="485"/>
      <c r="D155" s="485"/>
      <c r="E155" s="485"/>
      <c r="F155" s="485"/>
      <c r="G155" s="485"/>
      <c r="H155" s="388"/>
      <c r="I155" s="416"/>
      <c r="J155" s="438">
        <f>(D155*E155*F155*G155*H155)^(1/5)-1</f>
        <v>-1</v>
      </c>
      <c r="K155" s="388">
        <f>K154/H9</f>
        <v>1.1107089890644151</v>
      </c>
      <c r="L155" s="388">
        <f>L154/K9</f>
        <v>1.0605983880860459</v>
      </c>
      <c r="M155" s="388">
        <f>M154/L9</f>
        <v>0.99666431137341549</v>
      </c>
      <c r="N155" s="388">
        <f>N154/M9</f>
        <v>0.91861127607160653</v>
      </c>
      <c r="O155" s="388">
        <f>O9/N9</f>
        <v>1.2729331771985084</v>
      </c>
      <c r="P155" s="388"/>
      <c r="Q155" s="421">
        <f>(K155*L155*M155*N155*O155)^(1/5)-1</f>
        <v>6.5436343162004418E-2</v>
      </c>
      <c r="R155" s="388"/>
      <c r="S155" s="388">
        <f>S9/O9</f>
        <v>1.3321136571078873</v>
      </c>
      <c r="T155" s="388">
        <f>T9/S9</f>
        <v>1.0343939313663881</v>
      </c>
      <c r="U155" s="388"/>
      <c r="V155" s="388">
        <f>V9/T9</f>
        <v>1.0146586953378618</v>
      </c>
      <c r="W155" s="388"/>
      <c r="X155" s="388">
        <f>X9/V9</f>
        <v>1.3113079909945025</v>
      </c>
      <c r="Y155" s="388"/>
      <c r="Z155" s="388">
        <f>Z9/X9</f>
        <v>0.89758122873275026</v>
      </c>
      <c r="AA155" s="388"/>
      <c r="AB155" s="388">
        <f>(S155*T155*V155*X155*Z155)^(1/5)-1</f>
        <v>0.10475287161419655</v>
      </c>
      <c r="AC155" s="388"/>
      <c r="AD155" s="388"/>
      <c r="AE155" s="390"/>
      <c r="AF155" s="388">
        <f>AF9/Z9</f>
        <v>0.81316561365022288</v>
      </c>
      <c r="AG155" s="388"/>
      <c r="AH155" s="388">
        <f>AH9/AF9</f>
        <v>1.0491615036559474</v>
      </c>
      <c r="AI155" s="388"/>
      <c r="AJ155" s="388"/>
      <c r="AK155" s="388"/>
      <c r="AL155" s="388"/>
      <c r="AM155" s="388"/>
      <c r="AN155" s="388"/>
      <c r="AO155" s="388">
        <f>AO9/AH9</f>
        <v>1.0478517813488677</v>
      </c>
      <c r="AP155" s="388"/>
      <c r="AQ155" s="388">
        <f>AQ9/AO9</f>
        <v>1.0821862348178137</v>
      </c>
      <c r="AR155" s="388">
        <f>AR9/AQ9</f>
        <v>1.2117470445192666</v>
      </c>
      <c r="AS155" s="388"/>
      <c r="AT155" s="388"/>
      <c r="AU155" s="388"/>
      <c r="AV155" s="388"/>
      <c r="AW155" s="388">
        <f>(AO155*AQ155*AR155*AF155*AH155)^(1/5)-1</f>
        <v>3.2302636605404444E-2</v>
      </c>
      <c r="AX155" s="388"/>
      <c r="AY155" s="388"/>
      <c r="AZ155" s="388">
        <f>AZ9/AR9</f>
        <v>1.0975610264384545</v>
      </c>
      <c r="BA155" s="388">
        <f>BA9/AZ9</f>
        <v>1.1054852320675106</v>
      </c>
      <c r="BB155" s="388">
        <f>BB9/BA9</f>
        <v>1.1068702290076335</v>
      </c>
      <c r="BC155" s="388">
        <f>BC9/BB9</f>
        <v>1.1103448275862069</v>
      </c>
      <c r="BD155" s="388">
        <f>BD9/BC9</f>
        <v>1.1118012422360248</v>
      </c>
      <c r="BE155" s="388"/>
      <c r="BF155" s="388"/>
      <c r="BG155" s="388"/>
      <c r="BH155" s="388"/>
      <c r="BI155" s="418"/>
      <c r="BJ155" s="418"/>
      <c r="BK155" s="418"/>
      <c r="BL155" s="294">
        <f>100-BL154</f>
        <v>53</v>
      </c>
    </row>
    <row r="156" spans="1:64" s="465" customFormat="1" hidden="1">
      <c r="A156" s="459">
        <v>14</v>
      </c>
      <c r="B156" s="466" t="s">
        <v>480</v>
      </c>
      <c r="C156" s="439"/>
      <c r="D156" s="439">
        <f>D49</f>
        <v>0</v>
      </c>
      <c r="E156" s="439">
        <f>E49</f>
        <v>0</v>
      </c>
      <c r="F156" s="439">
        <f>F49</f>
        <v>0</v>
      </c>
      <c r="G156" s="439">
        <f>G49</f>
        <v>0</v>
      </c>
      <c r="H156" s="439">
        <f>H49</f>
        <v>0</v>
      </c>
      <c r="I156" s="439"/>
      <c r="J156" s="462"/>
      <c r="K156" s="439">
        <f>K49</f>
        <v>0</v>
      </c>
      <c r="L156" s="439">
        <f>L49</f>
        <v>0</v>
      </c>
      <c r="M156" s="439">
        <f>M49</f>
        <v>0</v>
      </c>
      <c r="N156" s="439">
        <f>N49</f>
        <v>0</v>
      </c>
      <c r="O156" s="439">
        <f>O49</f>
        <v>0</v>
      </c>
      <c r="P156" s="439">
        <f>SUM(K156:O156)</f>
        <v>0</v>
      </c>
      <c r="Q156" s="323"/>
      <c r="R156" s="323"/>
      <c r="S156" s="439">
        <f>S49</f>
        <v>0</v>
      </c>
      <c r="T156" s="439">
        <f>T49</f>
        <v>0</v>
      </c>
      <c r="U156" s="439"/>
      <c r="V156" s="439">
        <f>V49</f>
        <v>0</v>
      </c>
      <c r="W156" s="439"/>
      <c r="X156" s="439">
        <f>X49</f>
        <v>0</v>
      </c>
      <c r="Y156" s="439"/>
      <c r="Z156" s="439">
        <f>Z49</f>
        <v>0</v>
      </c>
      <c r="AA156" s="327">
        <f>SUM(S156:Z156)</f>
        <v>0</v>
      </c>
      <c r="AB156" s="439"/>
      <c r="AC156" s="323"/>
      <c r="AD156" s="323"/>
      <c r="AE156" s="463"/>
      <c r="AF156" s="439">
        <f>AF49</f>
        <v>0</v>
      </c>
      <c r="AG156" s="439"/>
      <c r="AH156" s="439">
        <f>AH49</f>
        <v>0</v>
      </c>
      <c r="AI156" s="439"/>
      <c r="AJ156" s="439"/>
      <c r="AK156" s="439"/>
      <c r="AL156" s="439"/>
      <c r="AM156" s="439"/>
      <c r="AN156" s="439"/>
      <c r="AO156" s="439">
        <f>AO49</f>
        <v>0</v>
      </c>
      <c r="AP156" s="439"/>
      <c r="AQ156" s="439">
        <f>AQ49</f>
        <v>0</v>
      </c>
      <c r="AR156" s="439">
        <f>AR49</f>
        <v>0</v>
      </c>
      <c r="AS156" s="439"/>
      <c r="AT156" s="439"/>
      <c r="AU156" s="439"/>
      <c r="AV156" s="439">
        <f>SUM(AF156:AR156)</f>
        <v>0</v>
      </c>
      <c r="AW156" s="323"/>
      <c r="AX156" s="323"/>
      <c r="AY156" s="323"/>
      <c r="AZ156" s="439"/>
      <c r="BA156" s="439"/>
      <c r="BB156" s="439"/>
      <c r="BC156" s="439"/>
      <c r="BD156" s="439"/>
      <c r="BE156" s="439"/>
      <c r="BF156" s="439"/>
      <c r="BG156" s="439"/>
      <c r="BH156" s="439"/>
      <c r="BI156" s="467"/>
      <c r="BJ156" s="467"/>
      <c r="BK156" s="467"/>
    </row>
    <row r="157" spans="1:64" s="294" customFormat="1" hidden="1">
      <c r="A157" s="384"/>
      <c r="B157" s="457" t="s">
        <v>494</v>
      </c>
      <c r="C157" s="485"/>
      <c r="D157" s="485"/>
      <c r="E157" s="485"/>
      <c r="F157" s="485"/>
      <c r="G157" s="485"/>
      <c r="H157" s="388"/>
      <c r="I157" s="416"/>
      <c r="J157" s="438"/>
      <c r="K157" s="388"/>
      <c r="L157" s="388"/>
      <c r="M157" s="388"/>
      <c r="N157" s="388"/>
      <c r="O157" s="388"/>
      <c r="P157" s="388"/>
      <c r="Q157" s="421"/>
      <c r="R157" s="388"/>
      <c r="S157" s="388"/>
      <c r="T157" s="388"/>
      <c r="U157" s="388"/>
      <c r="V157" s="388"/>
      <c r="W157" s="388"/>
      <c r="X157" s="388"/>
      <c r="Y157" s="388"/>
      <c r="Z157" s="388"/>
      <c r="AA157" s="388"/>
      <c r="AB157" s="388"/>
      <c r="AC157" s="388"/>
      <c r="AD157" s="388"/>
      <c r="AE157" s="390"/>
      <c r="AF157" s="388"/>
      <c r="AG157" s="388"/>
      <c r="AH157" s="388"/>
      <c r="AI157" s="388"/>
      <c r="AJ157" s="388"/>
      <c r="AK157" s="388"/>
      <c r="AL157" s="388"/>
      <c r="AM157" s="388"/>
      <c r="AN157" s="388"/>
      <c r="AO157" s="388"/>
      <c r="AP157" s="388"/>
      <c r="AQ157" s="388"/>
      <c r="AR157" s="388"/>
      <c r="AS157" s="388"/>
      <c r="AT157" s="388"/>
      <c r="AU157" s="388"/>
      <c r="AV157" s="388"/>
      <c r="AW157" s="388"/>
      <c r="AX157" s="388"/>
      <c r="AY157" s="388"/>
      <c r="AZ157" s="388"/>
      <c r="BA157" s="388"/>
      <c r="BB157" s="388"/>
      <c r="BC157" s="388"/>
      <c r="BD157" s="388"/>
      <c r="BE157" s="388"/>
      <c r="BF157" s="388"/>
      <c r="BG157" s="388"/>
      <c r="BH157" s="388"/>
      <c r="BI157" s="418"/>
      <c r="BJ157" s="418"/>
      <c r="BK157" s="418"/>
    </row>
    <row r="158" spans="1:64" s="465" customFormat="1" hidden="1">
      <c r="A158" s="459">
        <v>15</v>
      </c>
      <c r="B158" s="466" t="s">
        <v>519</v>
      </c>
      <c r="C158" s="439">
        <f t="shared" ref="C158:O158" si="146">C28</f>
        <v>153738.415439</v>
      </c>
      <c r="D158" s="439">
        <f t="shared" si="146"/>
        <v>230940</v>
      </c>
      <c r="E158" s="439">
        <f t="shared" si="146"/>
        <v>305720</v>
      </c>
      <c r="F158" s="439">
        <f t="shared" si="146"/>
        <v>329200</v>
      </c>
      <c r="G158" s="439">
        <f t="shared" si="146"/>
        <v>308830</v>
      </c>
      <c r="H158" s="439">
        <f t="shared" si="146"/>
        <v>306565.00754700002</v>
      </c>
      <c r="I158" s="439"/>
      <c r="J158" s="462"/>
      <c r="K158" s="439">
        <f t="shared" si="146"/>
        <v>357566.61864</v>
      </c>
      <c r="L158" s="439">
        <f t="shared" si="146"/>
        <v>418951.84585500002</v>
      </c>
      <c r="M158" s="439">
        <f t="shared" si="146"/>
        <v>456841.14694599999</v>
      </c>
      <c r="N158" s="439">
        <f t="shared" si="146"/>
        <v>140078.797276</v>
      </c>
      <c r="O158" s="439">
        <f t="shared" si="146"/>
        <v>243841</v>
      </c>
      <c r="P158" s="439">
        <f>SUM(K158:O158)</f>
        <v>1617279.4087169999</v>
      </c>
      <c r="Q158" s="323"/>
      <c r="R158" s="323">
        <f>P158/$P$7</f>
        <v>7.1733966960994378E-2</v>
      </c>
      <c r="S158" s="439">
        <f>S28</f>
        <v>96965</v>
      </c>
      <c r="T158" s="439">
        <f>T28</f>
        <v>107416</v>
      </c>
      <c r="U158" s="439"/>
      <c r="V158" s="439">
        <f>V28</f>
        <v>74262</v>
      </c>
      <c r="W158" s="439"/>
      <c r="X158" s="439">
        <f>X28</f>
        <v>126290</v>
      </c>
      <c r="Y158" s="439"/>
      <c r="Z158" s="439">
        <f>Z28</f>
        <v>93759</v>
      </c>
      <c r="AA158" s="327">
        <f>SUM(S158:Z158)</f>
        <v>498692</v>
      </c>
      <c r="AB158" s="439"/>
      <c r="AC158" s="323"/>
      <c r="AD158" s="323">
        <f>AA158/P158-1</f>
        <v>-0.69164759205361048</v>
      </c>
      <c r="AE158" s="463"/>
      <c r="AF158" s="439">
        <f>AF28</f>
        <v>196854</v>
      </c>
      <c r="AG158" s="439"/>
      <c r="AH158" s="439">
        <f>AH28</f>
        <v>389783.37025500002</v>
      </c>
      <c r="AI158" s="439"/>
      <c r="AJ158" s="439"/>
      <c r="AK158" s="439"/>
      <c r="AL158" s="439"/>
      <c r="AM158" s="439"/>
      <c r="AN158" s="439"/>
      <c r="AO158" s="439">
        <f>AO28</f>
        <v>150000</v>
      </c>
      <c r="AP158" s="439"/>
      <c r="AQ158" s="439">
        <f>AQ28</f>
        <v>200000</v>
      </c>
      <c r="AR158" s="439">
        <f>AR28</f>
        <v>162500</v>
      </c>
      <c r="AS158" s="439"/>
      <c r="AT158" s="439"/>
      <c r="AU158" s="439"/>
      <c r="AV158" s="439">
        <f>SUM(AF158:AR158)</f>
        <v>1099137.370255</v>
      </c>
      <c r="AW158" s="323"/>
      <c r="AX158" s="323"/>
      <c r="AY158" s="323">
        <f>AV158/AA158-1</f>
        <v>1.2040405104854299</v>
      </c>
      <c r="AZ158" s="439"/>
      <c r="BA158" s="439"/>
      <c r="BB158" s="439"/>
      <c r="BC158" s="439"/>
      <c r="BD158" s="439"/>
      <c r="BE158" s="439"/>
      <c r="BF158" s="439"/>
      <c r="BG158" s="439"/>
      <c r="BH158" s="439"/>
      <c r="BI158" s="467"/>
      <c r="BJ158" s="467"/>
      <c r="BK158" s="467"/>
    </row>
    <row r="159" spans="1:64" s="294" customFormat="1" hidden="1">
      <c r="A159" s="384"/>
      <c r="B159" s="457" t="s">
        <v>494</v>
      </c>
      <c r="C159" s="485"/>
      <c r="D159" s="485"/>
      <c r="E159" s="485"/>
      <c r="F159" s="485"/>
      <c r="G159" s="485"/>
      <c r="H159" s="388"/>
      <c r="I159" s="416"/>
      <c r="J159" s="438">
        <f>(D159*E159*F159*G159*H159)^(1/5)-1</f>
        <v>-1</v>
      </c>
      <c r="K159" s="388">
        <f>K158/H158</f>
        <v>1.1663647508275414</v>
      </c>
      <c r="L159" s="388">
        <f>L158/K158</f>
        <v>1.1716749383610749</v>
      </c>
      <c r="M159" s="388">
        <f>M158/L158</f>
        <v>1.0904383199784577</v>
      </c>
      <c r="N159" s="388">
        <f>N158/M158</f>
        <v>0.30662473862617662</v>
      </c>
      <c r="O159" s="388">
        <f>O158/N158</f>
        <v>1.7407416735564576</v>
      </c>
      <c r="P159" s="388"/>
      <c r="Q159" s="421">
        <f>(K159*L159*M159*N159*O159)^(1/5)-1</f>
        <v>-4.4750476186834587E-2</v>
      </c>
      <c r="R159" s="388"/>
      <c r="S159" s="388">
        <f>S158/O158</f>
        <v>0.39765666971510122</v>
      </c>
      <c r="T159" s="388">
        <f>T158/S158</f>
        <v>1.1077811581498478</v>
      </c>
      <c r="U159" s="388"/>
      <c r="V159" s="388">
        <f>V158/T158</f>
        <v>0.69134951962463698</v>
      </c>
      <c r="W159" s="388"/>
      <c r="X159" s="388">
        <f>X158/V158</f>
        <v>1.7006005763378309</v>
      </c>
      <c r="Y159" s="388"/>
      <c r="Z159" s="388">
        <f>Z158/X158</f>
        <v>0.74241032544144425</v>
      </c>
      <c r="AA159" s="388"/>
      <c r="AB159" s="388">
        <f>(S159*T159*V159*X159*Z159)^(1/5)-1</f>
        <v>-0.17399771792258245</v>
      </c>
      <c r="AC159" s="388"/>
      <c r="AD159" s="388"/>
      <c r="AE159" s="390"/>
      <c r="AF159" s="388">
        <f>AF158/Z158</f>
        <v>2.0995744408536781</v>
      </c>
      <c r="AG159" s="388"/>
      <c r="AH159" s="388">
        <f>AH158/AF158</f>
        <v>1.9800632461367309</v>
      </c>
      <c r="AI159" s="388"/>
      <c r="AJ159" s="388"/>
      <c r="AK159" s="388"/>
      <c r="AL159" s="388"/>
      <c r="AM159" s="388"/>
      <c r="AN159" s="388"/>
      <c r="AO159" s="388">
        <f>AO158/AH158</f>
        <v>0.38482914215110964</v>
      </c>
      <c r="AP159" s="388"/>
      <c r="AQ159" s="388">
        <f>AQ158/AO158</f>
        <v>1.3333333333333333</v>
      </c>
      <c r="AR159" s="388">
        <f>AR158/AQ158</f>
        <v>0.8125</v>
      </c>
      <c r="AS159" s="388"/>
      <c r="AT159" s="388"/>
      <c r="AU159" s="388"/>
      <c r="AV159" s="388"/>
      <c r="AW159" s="388">
        <f>(AO159*AQ159*AR159*AF159*AH159)^(1/5)-1</f>
        <v>0.11626698398103552</v>
      </c>
      <c r="AX159" s="388"/>
      <c r="AY159" s="388"/>
      <c r="AZ159" s="388"/>
      <c r="BA159" s="388"/>
      <c r="BB159" s="388"/>
      <c r="BC159" s="388"/>
      <c r="BD159" s="388"/>
      <c r="BE159" s="388"/>
      <c r="BF159" s="388"/>
      <c r="BG159" s="388"/>
      <c r="BH159" s="388"/>
      <c r="BI159" s="418"/>
      <c r="BJ159" s="418"/>
      <c r="BK159" s="418"/>
    </row>
    <row r="160" spans="1:64" s="289" customFormat="1" hidden="1">
      <c r="A160" s="486">
        <v>16</v>
      </c>
      <c r="B160" s="487" t="s">
        <v>520</v>
      </c>
      <c r="C160" s="439">
        <f>SUM(C162,C166,C171)</f>
        <v>2138768</v>
      </c>
      <c r="D160" s="439">
        <f>SUM(D162,D166,D171)</f>
        <v>2138770</v>
      </c>
      <c r="E160" s="439">
        <f>SUM(E162,E166,E171)</f>
        <v>3338066.399896</v>
      </c>
      <c r="F160" s="439">
        <f>SUM(F162,F166,F171)</f>
        <v>3203060</v>
      </c>
      <c r="G160" s="439">
        <f>SUM(G162,G166,G171)</f>
        <v>3871950</v>
      </c>
      <c r="H160" s="439">
        <f t="shared" ref="H160:P160" si="147">SUM(H161,H170)</f>
        <v>4688367.1362619996</v>
      </c>
      <c r="I160" s="439"/>
      <c r="J160" s="462"/>
      <c r="K160" s="439">
        <f t="shared" si="147"/>
        <v>5517507.1199670006</v>
      </c>
      <c r="L160" s="439">
        <f t="shared" si="147"/>
        <v>6676916.2436260004</v>
      </c>
      <c r="M160" s="439">
        <f t="shared" si="147"/>
        <v>7325261.5757369995</v>
      </c>
      <c r="N160" s="439">
        <f t="shared" si="147"/>
        <v>8159969.5781439999</v>
      </c>
      <c r="O160" s="439">
        <f t="shared" si="147"/>
        <v>8838258.6639019996</v>
      </c>
      <c r="P160" s="439">
        <f t="shared" si="147"/>
        <v>36517913.181375995</v>
      </c>
      <c r="Q160" s="323"/>
      <c r="R160" s="323">
        <f>P160/$P$160</f>
        <v>1</v>
      </c>
      <c r="S160" s="439">
        <f>SUM(S161,S170)</f>
        <v>9435660.1446360014</v>
      </c>
      <c r="T160" s="439">
        <f>SUM(T161,T170)</f>
        <v>10825317.768979</v>
      </c>
      <c r="U160" s="326"/>
      <c r="V160" s="326">
        <f>SUM(V161,V170)</f>
        <v>12245988.776128</v>
      </c>
      <c r="W160" s="326">
        <f>SUM(W161+W170)</f>
        <v>12319250</v>
      </c>
      <c r="X160" s="329">
        <f>SUM(X161+X170)</f>
        <v>14323390.437800001</v>
      </c>
      <c r="Y160" s="326">
        <f>SUM(Y161+Y170)</f>
        <v>13655789.800000001</v>
      </c>
      <c r="Z160" s="326">
        <f>SUM(Z161+Z170)</f>
        <v>13674616.916060001</v>
      </c>
      <c r="AA160" s="328">
        <f>SUM(S160:Z160)</f>
        <v>86480013.843603</v>
      </c>
      <c r="AB160" s="326"/>
      <c r="AC160" s="488"/>
      <c r="AD160" s="488"/>
      <c r="AE160" s="326">
        <f>SUM(AE161+AE170)</f>
        <v>14062908.6</v>
      </c>
      <c r="AF160" s="326">
        <f>SUM(AF161+AF170)</f>
        <v>12863191.136</v>
      </c>
      <c r="AG160" s="326">
        <f t="shared" ref="AG160:AH160" si="148">SUM(AG161+AG170)</f>
        <v>14006153</v>
      </c>
      <c r="AH160" s="326">
        <f t="shared" si="148"/>
        <v>14861312.847009735</v>
      </c>
      <c r="AI160" s="326"/>
      <c r="AJ160" s="326"/>
      <c r="AK160" s="326"/>
      <c r="AL160" s="326"/>
      <c r="AM160" s="326"/>
      <c r="AN160" s="326"/>
      <c r="AO160" s="326">
        <f t="shared" ref="AO160" si="149">SUM(AO161+AO170)</f>
        <v>15788495</v>
      </c>
      <c r="AP160" s="326"/>
      <c r="AQ160" s="326">
        <f t="shared" ref="AQ160:AR160" si="150">SUM(AQ161+AQ170)</f>
        <v>17546524</v>
      </c>
      <c r="AR160" s="326">
        <f t="shared" si="150"/>
        <v>18972524</v>
      </c>
      <c r="AS160" s="326"/>
      <c r="AT160" s="326"/>
      <c r="AU160" s="326"/>
      <c r="AV160" s="439">
        <f>AR160+AQ160+AO160+AH160+AF160</f>
        <v>80032046.983009726</v>
      </c>
      <c r="AW160" s="323"/>
      <c r="AX160" s="323">
        <f>AV160/$AV$160</f>
        <v>1</v>
      </c>
      <c r="AY160" s="323"/>
      <c r="AZ160" s="326">
        <f t="shared" ref="AZ160:BD160" si="151">SUM(AZ161+AZ170)</f>
        <v>19769524</v>
      </c>
      <c r="BA160" s="326">
        <f t="shared" si="151"/>
        <v>20562524</v>
      </c>
      <c r="BB160" s="326">
        <f t="shared" si="151"/>
        <v>21411524</v>
      </c>
      <c r="BC160" s="326">
        <f t="shared" si="151"/>
        <v>22366524</v>
      </c>
      <c r="BD160" s="326">
        <f t="shared" si="151"/>
        <v>23498524</v>
      </c>
      <c r="BE160" s="329">
        <f>SUM(AY160:BD160)</f>
        <v>107608620</v>
      </c>
      <c r="BF160" s="326"/>
      <c r="BG160" s="489">
        <f>BE160/$BE$160</f>
        <v>1</v>
      </c>
      <c r="BH160" s="326"/>
      <c r="BI160" s="490"/>
      <c r="BJ160" s="490"/>
      <c r="BK160" s="490"/>
    </row>
    <row r="161" spans="1:63" s="234" customFormat="1" hidden="1">
      <c r="A161" s="491"/>
      <c r="B161" s="492" t="s">
        <v>521</v>
      </c>
      <c r="C161" s="493"/>
      <c r="D161" s="493"/>
      <c r="E161" s="493"/>
      <c r="F161" s="493"/>
      <c r="G161" s="493"/>
      <c r="H161" s="493">
        <f t="shared" ref="H161:P161" si="152">SUM(H162,H167,H171)</f>
        <v>4308494.1362619996</v>
      </c>
      <c r="I161" s="493"/>
      <c r="J161" s="452"/>
      <c r="K161" s="493">
        <f t="shared" si="152"/>
        <v>5000023.1199670006</v>
      </c>
      <c r="L161" s="493">
        <f t="shared" si="152"/>
        <v>5990804.2436260004</v>
      </c>
      <c r="M161" s="493">
        <f t="shared" si="152"/>
        <v>6551206.5757369995</v>
      </c>
      <c r="N161" s="493">
        <f t="shared" si="152"/>
        <v>7628457.5781439999</v>
      </c>
      <c r="O161" s="493">
        <f t="shared" si="152"/>
        <v>8304426.6639019996</v>
      </c>
      <c r="P161" s="493">
        <f t="shared" si="152"/>
        <v>33474918.181375999</v>
      </c>
      <c r="Q161" s="397"/>
      <c r="R161" s="397"/>
      <c r="S161" s="493">
        <f>SUM(S162,S167,S171)</f>
        <v>8674810.1446360014</v>
      </c>
      <c r="T161" s="493">
        <f>SUM(T162,T167,T171)</f>
        <v>10083458.768979</v>
      </c>
      <c r="U161" s="494"/>
      <c r="V161" s="494">
        <f>SUM(V162,V167,V171)</f>
        <v>10427702.776128</v>
      </c>
      <c r="W161" s="494">
        <f>W162+W167+W171</f>
        <v>10808006</v>
      </c>
      <c r="X161" s="494">
        <f>X162+X167+X171</f>
        <v>12083828.437800001</v>
      </c>
      <c r="Y161" s="494">
        <f>Y162+Y167+Y171</f>
        <v>11924119.800000001</v>
      </c>
      <c r="Z161" s="494">
        <f>Z162+Z167+Z171</f>
        <v>11913714.916060001</v>
      </c>
      <c r="AA161" s="494">
        <f t="shared" ref="AA161:AR161" si="153">AA162+AA167+AA171</f>
        <v>75915640.843603</v>
      </c>
      <c r="AB161" s="494">
        <f t="shared" si="153"/>
        <v>0</v>
      </c>
      <c r="AC161" s="494">
        <f t="shared" si="153"/>
        <v>0</v>
      </c>
      <c r="AD161" s="494">
        <f t="shared" si="153"/>
        <v>1.1096980259949873</v>
      </c>
      <c r="AE161" s="494">
        <f>AE162+AE167+AE171</f>
        <v>12180438.6</v>
      </c>
      <c r="AF161" s="494">
        <f t="shared" si="153"/>
        <v>11159022.136</v>
      </c>
      <c r="AG161" s="494">
        <f t="shared" si="153"/>
        <v>12792680</v>
      </c>
      <c r="AH161" s="494">
        <f t="shared" si="153"/>
        <v>13670044.507157736</v>
      </c>
      <c r="AI161" s="494"/>
      <c r="AJ161" s="494"/>
      <c r="AK161" s="494"/>
      <c r="AL161" s="494"/>
      <c r="AM161" s="494"/>
      <c r="AN161" s="494"/>
      <c r="AO161" s="494">
        <f t="shared" si="153"/>
        <v>13191488</v>
      </c>
      <c r="AP161" s="494"/>
      <c r="AQ161" s="494">
        <f t="shared" si="153"/>
        <v>14595488</v>
      </c>
      <c r="AR161" s="494">
        <f t="shared" si="153"/>
        <v>15615488</v>
      </c>
      <c r="AS161" s="494"/>
      <c r="AT161" s="494"/>
      <c r="AU161" s="494"/>
      <c r="AV161" s="439">
        <f>AR161+AQ161+AO161+AH161+AF161</f>
        <v>68231530.643157735</v>
      </c>
      <c r="AW161" s="397"/>
      <c r="AX161" s="397"/>
      <c r="AY161" s="397"/>
      <c r="AZ161" s="494">
        <f t="shared" ref="AZ161:BD161" si="154">AZ162+AZ167+AZ171</f>
        <v>16412488</v>
      </c>
      <c r="BA161" s="494">
        <f t="shared" si="154"/>
        <v>17205488</v>
      </c>
      <c r="BB161" s="494">
        <f t="shared" si="154"/>
        <v>18054488</v>
      </c>
      <c r="BC161" s="494">
        <f t="shared" si="154"/>
        <v>19009488</v>
      </c>
      <c r="BD161" s="494">
        <f t="shared" si="154"/>
        <v>20141488</v>
      </c>
      <c r="BE161" s="495">
        <f t="shared" ref="BE161" si="155">SUM(AY161:BD161)-1</f>
        <v>90823439</v>
      </c>
      <c r="BF161" s="494"/>
      <c r="BG161" s="494"/>
      <c r="BH161" s="494"/>
      <c r="BI161" s="496"/>
      <c r="BJ161" s="496"/>
      <c r="BK161" s="496"/>
    </row>
    <row r="162" spans="1:63" s="289" customFormat="1" hidden="1">
      <c r="A162" s="486" t="s">
        <v>34</v>
      </c>
      <c r="B162" s="487" t="s">
        <v>522</v>
      </c>
      <c r="C162" s="439">
        <v>1315939</v>
      </c>
      <c r="D162" s="439">
        <v>1315940</v>
      </c>
      <c r="E162" s="439">
        <v>2230026.399896</v>
      </c>
      <c r="F162" s="439">
        <v>2167000</v>
      </c>
      <c r="G162" s="439">
        <v>2617990</v>
      </c>
      <c r="H162" s="439">
        <v>3650184.1362620001</v>
      </c>
      <c r="I162" s="439"/>
      <c r="J162" s="462"/>
      <c r="K162" s="439">
        <v>3769768.1199670001</v>
      </c>
      <c r="L162" s="439">
        <v>4084137.2436260004</v>
      </c>
      <c r="M162" s="439">
        <v>4073220.5757369995</v>
      </c>
      <c r="N162" s="439">
        <v>3875972.5781439999</v>
      </c>
      <c r="O162" s="439">
        <v>4846821.6639019996</v>
      </c>
      <c r="P162" s="439">
        <f>SUM(K162:O162)</f>
        <v>20649920.181375999</v>
      </c>
      <c r="Q162" s="462"/>
      <c r="R162" s="462">
        <f t="shared" ref="R162:R171" si="156">P162/$P$160</f>
        <v>0.56547371912553268</v>
      </c>
      <c r="S162" s="439">
        <v>6154918.1446360005</v>
      </c>
      <c r="T162" s="439">
        <v>5390332.7689789999</v>
      </c>
      <c r="U162" s="326"/>
      <c r="V162" s="326">
        <v>5734576.7761279996</v>
      </c>
      <c r="W162" s="326">
        <f>(W18*37.2%)+(W19*75.94%)+(W23*72.6%)+W10+W11+W12+W13+W14+W16+W17+W20+W21+W24+W25+W26+W27-608</f>
        <v>5466580</v>
      </c>
      <c r="X162" s="326">
        <f>(X18*37.2%)+(X19*75.94%)+(X23*72.6%)+X10+X11+X12+X13+X14+X16+X17+X20+X21+X24+X25+X26+X27+13090</f>
        <v>7096349.4378000004</v>
      </c>
      <c r="Y162" s="326">
        <f>(Y18*37.2%)+(Y19*75.94%)+(Y23*72.6%)+Y10+Y11+Y12+Y13+Y14+Y16+Y17+Y20+Y21+Y24+Y25+Y26+Y27-88</f>
        <v>6718699.7999999998</v>
      </c>
      <c r="Z162" s="326">
        <f>(Z18*37.2%)+(Z19*75.94%)+(Z23*72.6%)+Z10+Z11+Z12+Z13+Z14+Z16+Z17+Z20+Z21+Z24+Z25+Z26+Z27+11437</f>
        <v>7003638.9160600007</v>
      </c>
      <c r="AA162" s="328">
        <f>SUM(S162:Z162)</f>
        <v>43565095.843603</v>
      </c>
      <c r="AB162" s="326"/>
      <c r="AC162" s="497"/>
      <c r="AD162" s="497">
        <f>AA162/P162-1</f>
        <v>1.1096980259949873</v>
      </c>
      <c r="AE162" s="326">
        <f>(AE18*37.2%)+(AE19*68.4%)+(AE23*75.4%)+AE10+AE11+AE12+AE13+AE14+AE16+AE17+AE20+AE21+AE24+AE25+AE26+AE27-64</f>
        <v>6480439.5999999996</v>
      </c>
      <c r="AF162" s="326">
        <f>(AF18*37.2%)+(AF19*68.4%)+(AF23*75.4%)+AF10+AF11+AF12+AF13+AF14+AF16+AF17+AF20+AF21+AF24+AF25+AF26+AF27-7445</f>
        <v>6073702.1359999999</v>
      </c>
      <c r="AG162" s="326">
        <f>(AG18*48%)+(AG19*68.8%)+(AG23*78%)+AG10+AG11+AG12+AG13+AG14+AG16+AG17+AG20+AG21+AG24+AG25+AG26+AG27-40</f>
        <v>5809777</v>
      </c>
      <c r="AH162" s="326">
        <f>(AH18*48%)+(AH19*68.8%)+(AH23*71%)+AH10+AH11+AH12+AH13+AH14+AH16+AH17+AH20+AH21+AH24+AH25+AH26+AH27-1221.4</f>
        <v>6866532.5071577355</v>
      </c>
      <c r="AI162" s="326"/>
      <c r="AJ162" s="326"/>
      <c r="AK162" s="326"/>
      <c r="AL162" s="326"/>
      <c r="AM162" s="326"/>
      <c r="AN162" s="326"/>
      <c r="AO162" s="326">
        <f>'[8]Phụ lục số 3-thu bs'!I8</f>
        <v>6704000</v>
      </c>
      <c r="AP162" s="326"/>
      <c r="AQ162" s="326">
        <f>'[8]Phụ lục số 3-thu bs'!L8</f>
        <v>8108000</v>
      </c>
      <c r="AR162" s="326">
        <f>'[8]Phụ lục số 3-thu bs'!O8</f>
        <v>9128000</v>
      </c>
      <c r="AS162" s="326"/>
      <c r="AT162" s="326"/>
      <c r="AU162" s="326"/>
      <c r="AV162" s="439">
        <f>AR162+AQ162+AO162+AH162+AF162</f>
        <v>36880234.643157735</v>
      </c>
      <c r="AW162" s="462"/>
      <c r="AX162" s="462">
        <f>AV162/$AV$160</f>
        <v>0.46081833507253872</v>
      </c>
      <c r="AY162" s="462">
        <f>AV162/AA162-1</f>
        <v>-0.15344534588983016</v>
      </c>
      <c r="AZ162" s="326">
        <f>'[8]Phụ lục số 1-1'!AO8</f>
        <v>9925000</v>
      </c>
      <c r="BA162" s="326">
        <f>'[8]Phụ lục số 1-1'!AU8</f>
        <v>10718000</v>
      </c>
      <c r="BB162" s="326">
        <f>'[8]Phụ lục số 1-1'!BA8</f>
        <v>11567000</v>
      </c>
      <c r="BC162" s="326">
        <f>'[8]Phụ lục số 1-1'!BG8</f>
        <v>12522000</v>
      </c>
      <c r="BD162" s="326">
        <f>'[8]Phụ lục số 1-1'!BM8</f>
        <v>13654000</v>
      </c>
      <c r="BE162" s="329">
        <f>SUM(AZ162:BD162)</f>
        <v>58386000</v>
      </c>
      <c r="BF162" s="326"/>
      <c r="BG162" s="498">
        <f>BE162/$BE$160</f>
        <v>0.54257735114528927</v>
      </c>
      <c r="BH162" s="498">
        <f>BE162/AV162</f>
        <v>1.5831244178602903</v>
      </c>
      <c r="BI162" s="490"/>
      <c r="BJ162" s="490"/>
      <c r="BK162" s="490"/>
    </row>
    <row r="163" spans="1:63" s="505" customFormat="1" ht="16.2" hidden="1">
      <c r="A163" s="499"/>
      <c r="B163" s="500" t="s">
        <v>494</v>
      </c>
      <c r="C163" s="485"/>
      <c r="D163" s="485"/>
      <c r="E163" s="485"/>
      <c r="F163" s="485"/>
      <c r="G163" s="485"/>
      <c r="H163" s="388"/>
      <c r="I163" s="416"/>
      <c r="J163" s="438">
        <f>(D163*E163*F163*G163*H163)^(1/5)-1</f>
        <v>-1</v>
      </c>
      <c r="K163" s="388">
        <f>K162/H162</f>
        <v>1.0327610825210207</v>
      </c>
      <c r="L163" s="388">
        <f>L162/K162</f>
        <v>1.0833921646251685</v>
      </c>
      <c r="M163" s="388">
        <f>M162/L162</f>
        <v>0.99732705655128551</v>
      </c>
      <c r="N163" s="388">
        <f>N162/M162</f>
        <v>0.9515744374935281</v>
      </c>
      <c r="O163" s="388">
        <f>O162/N162</f>
        <v>1.2504788323922789</v>
      </c>
      <c r="P163" s="388"/>
      <c r="Q163" s="421">
        <f>(K163*L163*M163*N163*O163)^(1/5)-1</f>
        <v>5.8347902472006385E-2</v>
      </c>
      <c r="R163" s="388"/>
      <c r="S163" s="388">
        <f>S162/O162</f>
        <v>1.2698874791446113</v>
      </c>
      <c r="T163" s="388">
        <f>T162/S162</f>
        <v>0.87577651600073103</v>
      </c>
      <c r="U163" s="501"/>
      <c r="V163" s="501">
        <f>V162/T162</f>
        <v>1.0638632199351588</v>
      </c>
      <c r="W163" s="501"/>
      <c r="X163" s="501">
        <f>X162/V162</f>
        <v>1.2374669857662055</v>
      </c>
      <c r="Y163" s="501"/>
      <c r="Z163" s="501">
        <f>Z162/X162</f>
        <v>0.98693546272592492</v>
      </c>
      <c r="AA163" s="501"/>
      <c r="AB163" s="501">
        <f>(S163*T163*V163*X163*Z163)^(1/5)-1</f>
        <v>7.6399138166203251E-2</v>
      </c>
      <c r="AC163" s="501"/>
      <c r="AD163" s="501"/>
      <c r="AE163" s="502"/>
      <c r="AF163" s="503">
        <f>AF162/Z162</f>
        <v>0.86722091312737892</v>
      </c>
      <c r="AG163" s="503"/>
      <c r="AH163" s="503">
        <f>AH162/AF162</f>
        <v>1.1305349444877248</v>
      </c>
      <c r="AI163" s="503"/>
      <c r="AJ163" s="503"/>
      <c r="AK163" s="503"/>
      <c r="AL163" s="503"/>
      <c r="AM163" s="503"/>
      <c r="AN163" s="503"/>
      <c r="AO163" s="501">
        <f>AO162/AH162</f>
        <v>0.97632975493987539</v>
      </c>
      <c r="AP163" s="501"/>
      <c r="AQ163" s="501">
        <f>AQ162/AO162</f>
        <v>1.2094272076372314</v>
      </c>
      <c r="AR163" s="501">
        <f>AR162/AQ162</f>
        <v>1.125801677355698</v>
      </c>
      <c r="AS163" s="501"/>
      <c r="AT163" s="501"/>
      <c r="AU163" s="501"/>
      <c r="AV163" s="388"/>
      <c r="AW163" s="388">
        <f>(AO163*AQ163*AR163*AF163*AH163)^(1/5)-1</f>
        <v>5.4412089734342528E-2</v>
      </c>
      <c r="AX163" s="388"/>
      <c r="AY163" s="388"/>
      <c r="AZ163" s="501">
        <f>AZ162/AR162</f>
        <v>1.0873137598597722</v>
      </c>
      <c r="BA163" s="501">
        <f>BA162/AZ162</f>
        <v>1.0798992443324937</v>
      </c>
      <c r="BB163" s="501">
        <f>BB162/BA162</f>
        <v>1.0792125396529204</v>
      </c>
      <c r="BC163" s="501">
        <f>BC162/BB162</f>
        <v>1.0825624621768826</v>
      </c>
      <c r="BD163" s="501">
        <f>BD162/BC162</f>
        <v>1.0904008944258106</v>
      </c>
      <c r="BE163" s="501"/>
      <c r="BF163" s="503">
        <f>(AZ163*BA163*BB163*BC163*BD163)^(1/5)-1</f>
        <v>8.3869145543119528E-2</v>
      </c>
      <c r="BG163" s="501"/>
      <c r="BH163" s="501"/>
      <c r="BI163" s="504"/>
      <c r="BJ163" s="504"/>
      <c r="BK163" s="504"/>
    </row>
    <row r="164" spans="1:63" s="505" customFormat="1" ht="16.2" hidden="1">
      <c r="A164" s="499"/>
      <c r="B164" s="500" t="s">
        <v>523</v>
      </c>
      <c r="C164" s="485"/>
      <c r="D164" s="485"/>
      <c r="E164" s="485"/>
      <c r="F164" s="485"/>
      <c r="G164" s="485"/>
      <c r="H164" s="388"/>
      <c r="I164" s="416"/>
      <c r="J164" s="438"/>
      <c r="K164" s="388">
        <f>K162/'[8]Chi NSĐP 2021-2030'!D10</f>
        <v>0.75395017943570752</v>
      </c>
      <c r="L164" s="388">
        <f>L162/'[8]Chi NSĐP 2021-2030'!E10</f>
        <v>0.68173446106187663</v>
      </c>
      <c r="M164" s="388">
        <f>M162/'[8]Chi NSĐP 2021-2030'!F10</f>
        <v>0.62175112300288549</v>
      </c>
      <c r="N164" s="388">
        <f>N162/'[8]Chi NSĐP 2021-2030'!G10</f>
        <v>0.50809387640147996</v>
      </c>
      <c r="O164" s="388">
        <f>O162/'[8]Chi NSĐP 2021-2030'!H10</f>
        <v>0.58364310593534119</v>
      </c>
      <c r="P164" s="388">
        <f>(K164*L164*M164*N164*O164)^(1/5)</f>
        <v>0.62421350307285772</v>
      </c>
      <c r="Q164" s="421"/>
      <c r="R164" s="388"/>
      <c r="S164" s="388">
        <f>S162/'[8]Chi NSĐP 2021-2030'!L10</f>
        <v>0.70951621945517296</v>
      </c>
      <c r="T164" s="388">
        <f>T162/'[8]Chi NSĐP 2021-2030'!M10</f>
        <v>0.53457177707542691</v>
      </c>
      <c r="U164" s="501"/>
      <c r="V164" s="501">
        <f>V162/'[8]Chi NSĐP 2021-2030'!N10</f>
        <v>0.54993672798003645</v>
      </c>
      <c r="W164" s="501"/>
      <c r="X164" s="501">
        <f>X162/'[8]Chi NSĐP 2021-2030'!P10</f>
        <v>0.64636850863471229</v>
      </c>
      <c r="Y164" s="501"/>
      <c r="Z164" s="501">
        <f>Z162/'[8]Chi NSĐP 2021-2030'!L10</f>
        <v>0.80735361370852043</v>
      </c>
      <c r="AA164" s="501">
        <f>(S164*T164*V164*X164)^(1/4)</f>
        <v>0.60595492159255793</v>
      </c>
      <c r="AB164" s="501"/>
      <c r="AC164" s="501"/>
      <c r="AD164" s="501">
        <f>AA164/P164-1</f>
        <v>-2.9250539103074624E-2</v>
      </c>
      <c r="AE164" s="502"/>
      <c r="AF164" s="501">
        <f>AF162/'[8]Chi NSĐP 2021-2030'!R10</f>
        <v>0.46357768673006761</v>
      </c>
      <c r="AG164" s="503"/>
      <c r="AH164" s="503">
        <f>AH162/'[8]Chi NSĐP 2021-2030'!X10</f>
        <v>0.48779613288208012</v>
      </c>
      <c r="AI164" s="503"/>
      <c r="AJ164" s="503"/>
      <c r="AK164" s="503"/>
      <c r="AL164" s="503"/>
      <c r="AM164" s="503"/>
      <c r="AN164" s="503"/>
      <c r="AO164" s="501">
        <f>AO162/'[8]Chi NSĐP 2021-2030'!X10</f>
        <v>0.47624987887738013</v>
      </c>
      <c r="AP164" s="501"/>
      <c r="AQ164" s="501">
        <f>AQ162/'[8]Chi NSĐP 2021-2030'!Z10</f>
        <v>0.62006427848554846</v>
      </c>
      <c r="AR164" s="501">
        <f>AR162/'[8]Chi NSĐP 2021-2030'!AE10</f>
        <v>0.69196136175085021</v>
      </c>
      <c r="AS164" s="501"/>
      <c r="AT164" s="501"/>
      <c r="AU164" s="501"/>
      <c r="AV164" s="388"/>
      <c r="AW164" s="388"/>
      <c r="AX164" s="388"/>
      <c r="AY164" s="388"/>
      <c r="AZ164" s="501"/>
      <c r="BA164" s="501"/>
      <c r="BB164" s="501"/>
      <c r="BC164" s="501"/>
      <c r="BD164" s="501"/>
      <c r="BE164" s="501"/>
      <c r="BF164" s="501"/>
      <c r="BG164" s="501"/>
      <c r="BH164" s="501"/>
      <c r="BI164" s="504"/>
      <c r="BJ164" s="504"/>
      <c r="BK164" s="504"/>
    </row>
    <row r="165" spans="1:63" s="505" customFormat="1" ht="16.2" hidden="1">
      <c r="A165" s="499"/>
      <c r="B165" s="500" t="s">
        <v>495</v>
      </c>
      <c r="C165" s="485"/>
      <c r="D165" s="485"/>
      <c r="E165" s="485"/>
      <c r="F165" s="485"/>
      <c r="G165" s="485"/>
      <c r="H165" s="388"/>
      <c r="I165" s="416"/>
      <c r="J165" s="438"/>
      <c r="K165" s="388"/>
      <c r="L165" s="388"/>
      <c r="M165" s="388"/>
      <c r="N165" s="388"/>
      <c r="O165" s="388"/>
      <c r="P165" s="388"/>
      <c r="Q165" s="421"/>
      <c r="R165" s="388"/>
      <c r="S165" s="388"/>
      <c r="T165" s="388"/>
      <c r="U165" s="501"/>
      <c r="V165" s="501"/>
      <c r="W165" s="501"/>
      <c r="X165" s="501">
        <f>X162/W162</f>
        <v>1.2981332821983764</v>
      </c>
      <c r="Y165" s="501"/>
      <c r="Z165" s="501">
        <f>Z162/Y162</f>
        <v>1.0424098597261335</v>
      </c>
      <c r="AA165" s="501"/>
      <c r="AB165" s="501"/>
      <c r="AC165" s="501"/>
      <c r="AD165" s="501"/>
      <c r="AE165" s="502"/>
      <c r="AF165" s="501">
        <f>AF162/AE162</f>
        <v>0.93723613070940437</v>
      </c>
      <c r="AG165" s="503"/>
      <c r="AH165" s="501">
        <f>AH162/AG162</f>
        <v>1.1818926108795114</v>
      </c>
      <c r="AI165" s="501"/>
      <c r="AJ165" s="501"/>
      <c r="AK165" s="501"/>
      <c r="AL165" s="501"/>
      <c r="AM165" s="501"/>
      <c r="AN165" s="501"/>
      <c r="AO165" s="501"/>
      <c r="AP165" s="501"/>
      <c r="AQ165" s="501"/>
      <c r="AR165" s="501"/>
      <c r="AS165" s="501"/>
      <c r="AT165" s="501"/>
      <c r="AU165" s="501"/>
      <c r="AV165" s="388"/>
      <c r="AW165" s="388"/>
      <c r="AX165" s="388"/>
      <c r="AY165" s="388"/>
      <c r="AZ165" s="388">
        <f>AZ162/AZ7</f>
        <v>0.89908506205272221</v>
      </c>
      <c r="BA165" s="388">
        <f t="shared" ref="BA165:BD165" si="157">BA162/BA7</f>
        <v>0.89795577787156766</v>
      </c>
      <c r="BB165" s="388">
        <f t="shared" si="157"/>
        <v>0.89711867477868135</v>
      </c>
      <c r="BC165" s="388">
        <f t="shared" si="157"/>
        <v>0.89689503105844226</v>
      </c>
      <c r="BD165" s="388">
        <f t="shared" si="157"/>
        <v>0.89828947204164955</v>
      </c>
      <c r="BE165" s="501"/>
      <c r="BF165" s="501"/>
      <c r="BG165" s="501"/>
      <c r="BH165" s="501"/>
      <c r="BI165" s="504"/>
      <c r="BJ165" s="504"/>
      <c r="BK165" s="504"/>
    </row>
    <row r="166" spans="1:63" s="289" customFormat="1" hidden="1">
      <c r="A166" s="486" t="s">
        <v>35</v>
      </c>
      <c r="B166" s="487" t="s">
        <v>23</v>
      </c>
      <c r="C166" s="439">
        <f>SUM(C168:C169)</f>
        <v>822829</v>
      </c>
      <c r="D166" s="439">
        <f>SUM(D168:D169)</f>
        <v>822830</v>
      </c>
      <c r="E166" s="439">
        <f>SUM(E168:E169)</f>
        <v>1108040</v>
      </c>
      <c r="F166" s="439">
        <f>SUM(F168:F169)</f>
        <v>911070</v>
      </c>
      <c r="G166" s="439">
        <f>SUM(G168:G169)</f>
        <v>1140640</v>
      </c>
      <c r="H166" s="439">
        <f>SUM(H167,H170)</f>
        <v>1038183</v>
      </c>
      <c r="I166" s="439"/>
      <c r="J166" s="462"/>
      <c r="K166" s="439">
        <f t="shared" ref="K166:P166" si="158">SUM(K167,K170)</f>
        <v>1663193</v>
      </c>
      <c r="L166" s="439">
        <f t="shared" si="158"/>
        <v>1860264</v>
      </c>
      <c r="M166" s="439">
        <f t="shared" si="158"/>
        <v>1948207</v>
      </c>
      <c r="N166" s="439">
        <f t="shared" si="158"/>
        <v>1705664</v>
      </c>
      <c r="O166" s="439">
        <f t="shared" si="158"/>
        <v>1707984</v>
      </c>
      <c r="P166" s="439">
        <f t="shared" si="158"/>
        <v>8885312</v>
      </c>
      <c r="Q166" s="462"/>
      <c r="R166" s="462">
        <f t="shared" si="156"/>
        <v>0.24331379385970711</v>
      </c>
      <c r="S166" s="439">
        <f t="shared" ref="S166:Y166" si="159">SUM(S168:S169)</f>
        <v>1174152</v>
      </c>
      <c r="T166" s="439">
        <f t="shared" si="159"/>
        <v>4693126</v>
      </c>
      <c r="U166" s="326"/>
      <c r="V166" s="326">
        <f t="shared" si="159"/>
        <v>4693126</v>
      </c>
      <c r="W166" s="326">
        <f t="shared" si="159"/>
        <v>4987479</v>
      </c>
      <c r="X166" s="326">
        <f t="shared" si="159"/>
        <v>4987479</v>
      </c>
      <c r="Y166" s="326">
        <f t="shared" si="159"/>
        <v>4787126</v>
      </c>
      <c r="Z166" s="326">
        <f>SUM(Z168:Z169)</f>
        <v>4910076</v>
      </c>
      <c r="AA166" s="326">
        <f t="shared" ref="AA166:AA185" si="160">SUM(S166:Z166)</f>
        <v>30232564</v>
      </c>
      <c r="AB166" s="326"/>
      <c r="AC166" s="497"/>
      <c r="AD166" s="497"/>
      <c r="AE166" s="329">
        <f t="shared" ref="AE166:AR166" si="161">SUM(AE168:AE169)</f>
        <v>4883126</v>
      </c>
      <c r="AF166" s="329">
        <f t="shared" si="161"/>
        <v>5085320</v>
      </c>
      <c r="AG166" s="329">
        <f t="shared" si="161"/>
        <v>6803512</v>
      </c>
      <c r="AH166" s="329">
        <f t="shared" si="161"/>
        <v>6803512</v>
      </c>
      <c r="AI166" s="329"/>
      <c r="AJ166" s="329"/>
      <c r="AK166" s="329"/>
      <c r="AL166" s="329"/>
      <c r="AM166" s="329"/>
      <c r="AN166" s="329"/>
      <c r="AO166" s="326">
        <f>SUM(AO168:AO169)</f>
        <v>6487488</v>
      </c>
      <c r="AP166" s="326"/>
      <c r="AQ166" s="326">
        <f t="shared" si="161"/>
        <v>6487488</v>
      </c>
      <c r="AR166" s="326">
        <f t="shared" si="161"/>
        <v>6487488</v>
      </c>
      <c r="AS166" s="326"/>
      <c r="AT166" s="326"/>
      <c r="AU166" s="326"/>
      <c r="AV166" s="439">
        <f t="shared" ref="AV166:AV172" si="162">AR166+AQ166+AO166+AH166+AF166</f>
        <v>31351296</v>
      </c>
      <c r="AW166" s="462"/>
      <c r="AX166" s="462">
        <f>AV166/$AV$160</f>
        <v>0.39173427622881712</v>
      </c>
      <c r="AY166" s="462"/>
      <c r="AZ166" s="326">
        <f t="shared" ref="AZ166:BD166" si="163">SUM(AZ168:AZ169)</f>
        <v>6487488</v>
      </c>
      <c r="BA166" s="326">
        <f t="shared" si="163"/>
        <v>6487488</v>
      </c>
      <c r="BB166" s="326">
        <f t="shared" si="163"/>
        <v>6487488</v>
      </c>
      <c r="BC166" s="326">
        <f t="shared" si="163"/>
        <v>6487488</v>
      </c>
      <c r="BD166" s="326">
        <f t="shared" si="163"/>
        <v>6487488</v>
      </c>
      <c r="BE166" s="329">
        <f t="shared" ref="BE166:BE170" si="164">SUM(AY166:BD166)-1</f>
        <v>32437439</v>
      </c>
      <c r="BF166" s="326"/>
      <c r="BG166" s="498">
        <f>BE166/$BE$160</f>
        <v>0.301439038991486</v>
      </c>
      <c r="BH166" s="498">
        <f>BE166/AV166</f>
        <v>1.0346442775443796</v>
      </c>
      <c r="BI166" s="490"/>
      <c r="BJ166" s="490"/>
      <c r="BK166" s="490"/>
    </row>
    <row r="167" spans="1:63" s="289" customFormat="1" hidden="1">
      <c r="A167" s="486" t="s">
        <v>137</v>
      </c>
      <c r="B167" s="487" t="s">
        <v>238</v>
      </c>
      <c r="C167" s="439"/>
      <c r="D167" s="439"/>
      <c r="E167" s="439"/>
      <c r="F167" s="439"/>
      <c r="G167" s="439"/>
      <c r="H167" s="439">
        <f>SUM(H168:H169)</f>
        <v>658310</v>
      </c>
      <c r="I167" s="439"/>
      <c r="J167" s="462"/>
      <c r="K167" s="439">
        <f t="shared" ref="K167:P167" si="165">SUM(K168:K169)</f>
        <v>1145709</v>
      </c>
      <c r="L167" s="439">
        <f t="shared" si="165"/>
        <v>1174152</v>
      </c>
      <c r="M167" s="439">
        <f t="shared" si="165"/>
        <v>1174152</v>
      </c>
      <c r="N167" s="439">
        <f t="shared" si="165"/>
        <v>1174152</v>
      </c>
      <c r="O167" s="439">
        <f t="shared" si="165"/>
        <v>1174152</v>
      </c>
      <c r="P167" s="439">
        <f t="shared" si="165"/>
        <v>5842317</v>
      </c>
      <c r="Q167" s="462"/>
      <c r="R167" s="462"/>
      <c r="S167" s="439">
        <f t="shared" ref="S167:Z167" si="166">SUM(S168:S169)</f>
        <v>1174152</v>
      </c>
      <c r="T167" s="439">
        <f t="shared" si="166"/>
        <v>4693126</v>
      </c>
      <c r="U167" s="326"/>
      <c r="V167" s="326">
        <f t="shared" si="166"/>
        <v>4693126</v>
      </c>
      <c r="W167" s="326">
        <f t="shared" si="166"/>
        <v>4987479</v>
      </c>
      <c r="X167" s="326">
        <f t="shared" si="166"/>
        <v>4987479</v>
      </c>
      <c r="Y167" s="326">
        <f t="shared" si="166"/>
        <v>4787126</v>
      </c>
      <c r="Z167" s="326">
        <f t="shared" si="166"/>
        <v>4910076</v>
      </c>
      <c r="AA167" s="326">
        <f t="shared" si="160"/>
        <v>30232564</v>
      </c>
      <c r="AB167" s="326"/>
      <c r="AC167" s="497"/>
      <c r="AD167" s="497"/>
      <c r="AE167" s="329">
        <f t="shared" ref="AE167:AR167" si="167">SUM(AE168:AE169)</f>
        <v>4883126</v>
      </c>
      <c r="AF167" s="329">
        <f t="shared" si="167"/>
        <v>5085320</v>
      </c>
      <c r="AG167" s="329">
        <f t="shared" si="167"/>
        <v>6803512</v>
      </c>
      <c r="AH167" s="329">
        <f t="shared" si="167"/>
        <v>6803512</v>
      </c>
      <c r="AI167" s="329"/>
      <c r="AJ167" s="329"/>
      <c r="AK167" s="329"/>
      <c r="AL167" s="329"/>
      <c r="AM167" s="329"/>
      <c r="AN167" s="329"/>
      <c r="AO167" s="326">
        <f t="shared" si="167"/>
        <v>6487488</v>
      </c>
      <c r="AP167" s="326"/>
      <c r="AQ167" s="326">
        <f t="shared" si="167"/>
        <v>6487488</v>
      </c>
      <c r="AR167" s="326">
        <f t="shared" si="167"/>
        <v>6487488</v>
      </c>
      <c r="AS167" s="326"/>
      <c r="AT167" s="326"/>
      <c r="AU167" s="326"/>
      <c r="AV167" s="439">
        <f t="shared" si="162"/>
        <v>31351296</v>
      </c>
      <c r="AW167" s="462"/>
      <c r="AX167" s="462"/>
      <c r="AY167" s="462"/>
      <c r="AZ167" s="326">
        <f t="shared" ref="AZ167:BD167" si="168">SUM(AZ168:AZ169)</f>
        <v>6487488</v>
      </c>
      <c r="BA167" s="326">
        <f t="shared" si="168"/>
        <v>6487488</v>
      </c>
      <c r="BB167" s="326">
        <f t="shared" si="168"/>
        <v>6487488</v>
      </c>
      <c r="BC167" s="326">
        <f t="shared" si="168"/>
        <v>6487488</v>
      </c>
      <c r="BD167" s="326">
        <f t="shared" si="168"/>
        <v>6487488</v>
      </c>
      <c r="BE167" s="329">
        <f t="shared" si="164"/>
        <v>32437439</v>
      </c>
      <c r="BF167" s="326"/>
      <c r="BG167" s="326"/>
      <c r="BH167" s="326"/>
      <c r="BI167" s="490"/>
      <c r="BJ167" s="490"/>
      <c r="BK167" s="490"/>
    </row>
    <row r="168" spans="1:63" s="234" customFormat="1" hidden="1">
      <c r="A168" s="491" t="s">
        <v>514</v>
      </c>
      <c r="B168" s="492" t="s">
        <v>238</v>
      </c>
      <c r="C168" s="493">
        <v>658309</v>
      </c>
      <c r="D168" s="493">
        <v>658310</v>
      </c>
      <c r="E168" s="493">
        <v>658310</v>
      </c>
      <c r="F168" s="493">
        <v>658310</v>
      </c>
      <c r="G168" s="493">
        <v>658310</v>
      </c>
      <c r="H168" s="493">
        <v>658310</v>
      </c>
      <c r="I168" s="493"/>
      <c r="J168" s="452"/>
      <c r="K168" s="493">
        <v>1145709</v>
      </c>
      <c r="L168" s="493">
        <f>1174152</f>
        <v>1174152</v>
      </c>
      <c r="M168" s="493">
        <f>L168</f>
        <v>1174152</v>
      </c>
      <c r="N168" s="493">
        <f>M168</f>
        <v>1174152</v>
      </c>
      <c r="O168" s="493">
        <f>N168</f>
        <v>1174152</v>
      </c>
      <c r="P168" s="493">
        <f>SUM(K168:O168)</f>
        <v>5842317</v>
      </c>
      <c r="Q168" s="452"/>
      <c r="R168" s="452">
        <f t="shared" si="156"/>
        <v>0.15998496329685019</v>
      </c>
      <c r="S168" s="493">
        <f>1174152</f>
        <v>1174152</v>
      </c>
      <c r="T168" s="493">
        <v>4693126</v>
      </c>
      <c r="U168" s="494"/>
      <c r="V168" s="494">
        <v>4693126</v>
      </c>
      <c r="W168" s="494">
        <f>4693126+94000</f>
        <v>4787126</v>
      </c>
      <c r="X168" s="494">
        <f>W168</f>
        <v>4787126</v>
      </c>
      <c r="Y168" s="494">
        <v>4787126</v>
      </c>
      <c r="Z168" s="494">
        <f>Y168+122950</f>
        <v>4910076</v>
      </c>
      <c r="AA168" s="506">
        <f t="shared" si="160"/>
        <v>29831858</v>
      </c>
      <c r="AB168" s="494"/>
      <c r="AC168" s="507"/>
      <c r="AD168" s="507"/>
      <c r="AE168" s="508">
        <v>4883126</v>
      </c>
      <c r="AF168" s="509">
        <f>AE168+202194</f>
        <v>5085320</v>
      </c>
      <c r="AG168" s="509">
        <v>6803512</v>
      </c>
      <c r="AH168" s="509">
        <f>'[10]Thu 31-12-2022'!$L$183/1000000</f>
        <v>6803512</v>
      </c>
      <c r="AI168" s="509"/>
      <c r="AJ168" s="509"/>
      <c r="AK168" s="509"/>
      <c r="AL168" s="509"/>
      <c r="AM168" s="509"/>
      <c r="AN168" s="509"/>
      <c r="AO168" s="494">
        <f>'[8]Phụ lục số 3-thu bs'!M14</f>
        <v>6487488</v>
      </c>
      <c r="AP168" s="494"/>
      <c r="AQ168" s="494">
        <f>'[8]Phụ lục số 3-thu bs'!P14</f>
        <v>6487488</v>
      </c>
      <c r="AR168" s="494">
        <f>'[8]Phụ lục số 1-1'!AF53</f>
        <v>6487488</v>
      </c>
      <c r="AS168" s="494"/>
      <c r="AT168" s="494"/>
      <c r="AU168" s="494"/>
      <c r="AV168" s="485">
        <f t="shared" si="162"/>
        <v>31351296</v>
      </c>
      <c r="AW168" s="452"/>
      <c r="AX168" s="452">
        <f t="shared" ref="AX168:AX171" si="169">AV168/$AV$160</f>
        <v>0.39173427622881712</v>
      </c>
      <c r="AY168" s="452"/>
      <c r="AZ168" s="494">
        <f>'[8]Phụ lục số 1-1'!AL53</f>
        <v>6487488</v>
      </c>
      <c r="BA168" s="494">
        <f>'[8]Phụ lục số 1-1'!AR53</f>
        <v>6487488</v>
      </c>
      <c r="BB168" s="494">
        <f>'[8]Phụ lục số 1-1'!AX53</f>
        <v>6487488</v>
      </c>
      <c r="BC168" s="494">
        <f>'[8]Phụ lục số 1-1'!BD53</f>
        <v>6487488</v>
      </c>
      <c r="BD168" s="494">
        <f>'[8]Phụ lục số 1-1'!BJ53</f>
        <v>6487488</v>
      </c>
      <c r="BE168" s="329">
        <f t="shared" si="164"/>
        <v>32437439</v>
      </c>
      <c r="BF168" s="494"/>
      <c r="BG168" s="494"/>
      <c r="BH168" s="494"/>
      <c r="BI168" s="496"/>
      <c r="BJ168" s="496"/>
      <c r="BK168" s="496"/>
    </row>
    <row r="169" spans="1:63" s="234" customFormat="1" hidden="1">
      <c r="A169" s="491" t="s">
        <v>514</v>
      </c>
      <c r="B169" s="494" t="s">
        <v>524</v>
      </c>
      <c r="C169" s="493">
        <f>822830-658310</f>
        <v>164520</v>
      </c>
      <c r="D169" s="493">
        <f>822830-658310</f>
        <v>164520</v>
      </c>
      <c r="E169" s="493">
        <f>1108040-658310</f>
        <v>449730</v>
      </c>
      <c r="F169" s="493">
        <f>911070-658310</f>
        <v>252760</v>
      </c>
      <c r="G169" s="493">
        <f>1140640-658310</f>
        <v>482330</v>
      </c>
      <c r="H169" s="493"/>
      <c r="I169" s="493"/>
      <c r="J169" s="452"/>
      <c r="K169" s="493">
        <v>0</v>
      </c>
      <c r="L169" s="493"/>
      <c r="M169" s="493"/>
      <c r="N169" s="493"/>
      <c r="O169" s="493"/>
      <c r="P169" s="493">
        <f>SUM(K169:O169)</f>
        <v>0</v>
      </c>
      <c r="Q169" s="452"/>
      <c r="R169" s="452">
        <f t="shared" si="156"/>
        <v>0</v>
      </c>
      <c r="S169" s="493"/>
      <c r="T169" s="493">
        <v>0</v>
      </c>
      <c r="U169" s="494"/>
      <c r="V169" s="494"/>
      <c r="W169" s="494">
        <f>200353</f>
        <v>200353</v>
      </c>
      <c r="X169" s="494">
        <f>W169</f>
        <v>200353</v>
      </c>
      <c r="Y169" s="494"/>
      <c r="Z169" s="494"/>
      <c r="AA169" s="506">
        <f t="shared" si="160"/>
        <v>400706</v>
      </c>
      <c r="AB169" s="494"/>
      <c r="AC169" s="507"/>
      <c r="AD169" s="507"/>
      <c r="AE169" s="508"/>
      <c r="AF169" s="509">
        <v>0</v>
      </c>
      <c r="AG169" s="509">
        <v>0</v>
      </c>
      <c r="AH169" s="509">
        <v>0</v>
      </c>
      <c r="AI169" s="509"/>
      <c r="AJ169" s="509"/>
      <c r="AK169" s="509"/>
      <c r="AL169" s="509"/>
      <c r="AM169" s="509"/>
      <c r="AN169" s="509"/>
      <c r="AO169" s="494">
        <v>0</v>
      </c>
      <c r="AP169" s="494"/>
      <c r="AQ169" s="494">
        <v>0</v>
      </c>
      <c r="AR169" s="494">
        <v>0</v>
      </c>
      <c r="AS169" s="494"/>
      <c r="AT169" s="494"/>
      <c r="AU169" s="494"/>
      <c r="AV169" s="485">
        <f t="shared" si="162"/>
        <v>0</v>
      </c>
      <c r="AW169" s="452"/>
      <c r="AX169" s="452">
        <f t="shared" si="169"/>
        <v>0</v>
      </c>
      <c r="AY169" s="452"/>
      <c r="AZ169" s="494"/>
      <c r="BA169" s="494"/>
      <c r="BB169" s="494"/>
      <c r="BC169" s="494"/>
      <c r="BD169" s="494"/>
      <c r="BE169" s="494"/>
      <c r="BF169" s="494"/>
      <c r="BG169" s="494"/>
      <c r="BH169" s="494"/>
      <c r="BI169" s="496"/>
      <c r="BJ169" s="496"/>
      <c r="BK169" s="496"/>
    </row>
    <row r="170" spans="1:63" s="289" customFormat="1" hidden="1">
      <c r="A170" s="486" t="s">
        <v>137</v>
      </c>
      <c r="B170" s="326" t="s">
        <v>239</v>
      </c>
      <c r="C170" s="439"/>
      <c r="D170" s="439"/>
      <c r="E170" s="439"/>
      <c r="F170" s="439"/>
      <c r="G170" s="439"/>
      <c r="H170" s="439">
        <f>'[8]Chi từ NSTW bổ sung 2010-2025'!C8</f>
        <v>379873</v>
      </c>
      <c r="I170" s="439"/>
      <c r="J170" s="462"/>
      <c r="K170" s="439">
        <f>'[8]Chi từ NSTW bổ sung 2010-2025'!D8</f>
        <v>517484</v>
      </c>
      <c r="L170" s="439">
        <f>'[8]Chi từ NSTW bổ sung 2010-2025'!E8</f>
        <v>686112</v>
      </c>
      <c r="M170" s="439">
        <f>'[8]Chi từ NSTW bổ sung 2010-2025'!F8</f>
        <v>774055</v>
      </c>
      <c r="N170" s="439">
        <f>'[8]Chi từ NSTW bổ sung 2010-2025'!G8</f>
        <v>531512</v>
      </c>
      <c r="O170" s="439">
        <f>'[8]Chi từ NSTW bổ sung 2010-2025'!H8</f>
        <v>533832</v>
      </c>
      <c r="P170" s="439">
        <f>'[8]Chi từ NSTW bổ sung 2010-2025'!I8</f>
        <v>3042995</v>
      </c>
      <c r="Q170" s="462"/>
      <c r="R170" s="462"/>
      <c r="S170" s="439">
        <f>'[8]Chi từ NSTW bổ sung 2010-2025'!L8</f>
        <v>760850</v>
      </c>
      <c r="T170" s="439">
        <f>'[8]Chi từ NSTW bổ sung 2010-2025'!M8</f>
        <v>741859</v>
      </c>
      <c r="U170" s="326"/>
      <c r="V170" s="326">
        <f>'[8]Chi từ NSTW bổ sung 2010-2025'!N8</f>
        <v>1818286</v>
      </c>
      <c r="W170" s="326">
        <f>'[8]Chi từ NSTW bổ sung 2010-2025'!O8</f>
        <v>1511244</v>
      </c>
      <c r="X170" s="326">
        <f>2026293+213269</f>
        <v>2239562</v>
      </c>
      <c r="Y170" s="326">
        <f>'[8]Chi từ NSTW bổ sung 2010-2025'!P8</f>
        <v>1731670</v>
      </c>
      <c r="Z170" s="326">
        <f>1760902</f>
        <v>1760902</v>
      </c>
      <c r="AA170" s="326">
        <f t="shared" si="160"/>
        <v>10564373</v>
      </c>
      <c r="AB170" s="326"/>
      <c r="AC170" s="497"/>
      <c r="AD170" s="497"/>
      <c r="AE170" s="510">
        <f>'[8]Chi từ NSTW bổ sung 2010-2025'!U8</f>
        <v>1882470</v>
      </c>
      <c r="AF170" s="329">
        <f>1704169</f>
        <v>1704169</v>
      </c>
      <c r="AG170" s="329">
        <f>'[8]Chi từ NSTW bổ sung 2010-2025'!V8</f>
        <v>1213473</v>
      </c>
      <c r="AH170" s="329">
        <f>'[10]Thu 31-12-2022'!$L$184/1000000</f>
        <v>1191268.3398519999</v>
      </c>
      <c r="AI170" s="329"/>
      <c r="AJ170" s="329"/>
      <c r="AK170" s="329"/>
      <c r="AL170" s="329"/>
      <c r="AM170" s="329"/>
      <c r="AN170" s="329"/>
      <c r="AO170" s="326">
        <f>'[8]Chi từ NSTW bổ sung 2010-2025'!W8</f>
        <v>2597007</v>
      </c>
      <c r="AP170" s="326"/>
      <c r="AQ170" s="326">
        <f>'[8]Chi từ NSTW bổ sung 2010-2025'!X8</f>
        <v>2951036</v>
      </c>
      <c r="AR170" s="326">
        <f>'[8]Chi từ NSTW bổ sung 2010-2025'!Y8</f>
        <v>3357036</v>
      </c>
      <c r="AS170" s="326"/>
      <c r="AT170" s="326"/>
      <c r="AU170" s="326"/>
      <c r="AV170" s="439">
        <f t="shared" si="162"/>
        <v>11800516.339852</v>
      </c>
      <c r="AW170" s="462"/>
      <c r="AX170" s="462"/>
      <c r="AY170" s="462"/>
      <c r="AZ170" s="326">
        <f>'[8]Phụ lục số 1-1'!AL54</f>
        <v>3357036</v>
      </c>
      <c r="BA170" s="326">
        <f>'[8]Phụ lục số 1-1'!AR54</f>
        <v>3357036</v>
      </c>
      <c r="BB170" s="326">
        <f>'[8]Phụ lục số 1-1'!AX54</f>
        <v>3357036</v>
      </c>
      <c r="BC170" s="326">
        <f>'[8]Phụ lục số 1-1'!BD54</f>
        <v>3357036</v>
      </c>
      <c r="BD170" s="326">
        <f>'[8]Phụ lục số 1-1'!BJ54</f>
        <v>3357036</v>
      </c>
      <c r="BE170" s="329">
        <f t="shared" si="164"/>
        <v>16785179</v>
      </c>
      <c r="BF170" s="326"/>
      <c r="BG170" s="498">
        <f>BE170/$BE$160</f>
        <v>0.15598359127735306</v>
      </c>
      <c r="BH170" s="498">
        <f>BE170/AV170</f>
        <v>1.4224105553173207</v>
      </c>
      <c r="BI170" s="490"/>
      <c r="BJ170" s="490"/>
      <c r="BK170" s="490"/>
    </row>
    <row r="171" spans="1:63" s="289" customFormat="1" hidden="1">
      <c r="A171" s="486" t="s">
        <v>26</v>
      </c>
      <c r="B171" s="487" t="s">
        <v>525</v>
      </c>
      <c r="C171" s="439"/>
      <c r="D171" s="439"/>
      <c r="E171" s="439"/>
      <c r="F171" s="439">
        <v>124990</v>
      </c>
      <c r="G171" s="439">
        <v>113320</v>
      </c>
      <c r="H171" s="439"/>
      <c r="I171" s="439"/>
      <c r="J171" s="462"/>
      <c r="K171" s="439">
        <f>5517507-5432961</f>
        <v>84546</v>
      </c>
      <c r="L171" s="439">
        <f>6676916-5944401</f>
        <v>732515</v>
      </c>
      <c r="M171" s="439">
        <f>7325262-6021428</f>
        <v>1303834</v>
      </c>
      <c r="N171" s="439">
        <f>8159970-5581637</f>
        <v>2578333</v>
      </c>
      <c r="O171" s="439">
        <f>8838259-6554806</f>
        <v>2283453</v>
      </c>
      <c r="P171" s="439">
        <f>SUM(K171:O171)</f>
        <v>6982681</v>
      </c>
      <c r="Q171" s="462"/>
      <c r="R171" s="462">
        <f t="shared" si="156"/>
        <v>0.19121248701476026</v>
      </c>
      <c r="S171" s="439">
        <f>9435660-8089920</f>
        <v>1345740</v>
      </c>
      <c r="T171" s="439"/>
      <c r="U171" s="326"/>
      <c r="V171" s="326"/>
      <c r="W171" s="326">
        <v>353947</v>
      </c>
      <c r="X171" s="326"/>
      <c r="Y171" s="326">
        <f>170545+247749</f>
        <v>418294</v>
      </c>
      <c r="Z171" s="326"/>
      <c r="AA171" s="326">
        <f t="shared" si="160"/>
        <v>2117981</v>
      </c>
      <c r="AB171" s="326"/>
      <c r="AC171" s="497"/>
      <c r="AD171" s="497"/>
      <c r="AE171" s="510">
        <v>816873</v>
      </c>
      <c r="AF171" s="329">
        <v>0</v>
      </c>
      <c r="AG171" s="329">
        <v>179391</v>
      </c>
      <c r="AH171" s="329"/>
      <c r="AI171" s="329"/>
      <c r="AJ171" s="329"/>
      <c r="AK171" s="329"/>
      <c r="AL171" s="329"/>
      <c r="AM171" s="329"/>
      <c r="AN171" s="329"/>
      <c r="AO171" s="326">
        <f>'[8]Phụ lục số 3-thu bs'!L16</f>
        <v>0</v>
      </c>
      <c r="AP171" s="326"/>
      <c r="AQ171" s="326">
        <f>'[8]Phụ lục số 3-thu bs'!O16</f>
        <v>0</v>
      </c>
      <c r="AR171" s="326">
        <v>0</v>
      </c>
      <c r="AS171" s="326"/>
      <c r="AT171" s="326"/>
      <c r="AU171" s="326"/>
      <c r="AV171" s="439">
        <f t="shared" si="162"/>
        <v>0</v>
      </c>
      <c r="AW171" s="462"/>
      <c r="AX171" s="462">
        <f t="shared" si="169"/>
        <v>0</v>
      </c>
      <c r="AY171" s="462"/>
      <c r="AZ171" s="326"/>
      <c r="BA171" s="326"/>
      <c r="BB171" s="326"/>
      <c r="BC171" s="326"/>
      <c r="BD171" s="326"/>
      <c r="BE171" s="326"/>
      <c r="BF171" s="326"/>
      <c r="BG171" s="326"/>
      <c r="BH171" s="326"/>
      <c r="BI171" s="490"/>
      <c r="BJ171" s="490"/>
      <c r="BK171" s="490"/>
    </row>
    <row r="172" spans="1:63" s="289" customFormat="1" hidden="1">
      <c r="A172" s="511" t="s">
        <v>130</v>
      </c>
      <c r="B172" s="512" t="s">
        <v>132</v>
      </c>
      <c r="C172" s="513"/>
      <c r="D172" s="513"/>
      <c r="E172" s="513"/>
      <c r="F172" s="513"/>
      <c r="G172" s="513"/>
      <c r="H172" s="513"/>
      <c r="I172" s="513"/>
      <c r="J172" s="514"/>
      <c r="K172" s="513"/>
      <c r="L172" s="513"/>
      <c r="M172" s="513"/>
      <c r="N172" s="513"/>
      <c r="O172" s="513"/>
      <c r="P172" s="513"/>
      <c r="Q172" s="514"/>
      <c r="R172" s="514"/>
      <c r="S172" s="513"/>
      <c r="T172" s="513"/>
      <c r="U172" s="515"/>
      <c r="V172" s="515"/>
      <c r="W172" s="515">
        <v>15000</v>
      </c>
      <c r="X172" s="513">
        <v>6000</v>
      </c>
      <c r="Y172" s="515">
        <v>30900</v>
      </c>
      <c r="Z172" s="513">
        <v>20568</v>
      </c>
      <c r="AA172" s="515">
        <f t="shared" si="160"/>
        <v>72468</v>
      </c>
      <c r="AB172" s="515"/>
      <c r="AC172" s="516"/>
      <c r="AD172" s="516"/>
      <c r="AE172" s="517">
        <v>61200</v>
      </c>
      <c r="AF172" s="513">
        <v>46500</v>
      </c>
      <c r="AG172" s="518">
        <v>48300</v>
      </c>
      <c r="AH172" s="513">
        <f>25250018130/1000000</f>
        <v>25250.01813</v>
      </c>
      <c r="AI172" s="513"/>
      <c r="AJ172" s="513"/>
      <c r="AK172" s="513"/>
      <c r="AL172" s="513"/>
      <c r="AM172" s="513"/>
      <c r="AN172" s="513"/>
      <c r="AO172" s="515">
        <f>'[8]Phụ lục số 3-thu bs'!I17</f>
        <v>31500</v>
      </c>
      <c r="AP172" s="515"/>
      <c r="AQ172" s="515">
        <f>'[8]Phụ lục số 3-thu bs'!L17</f>
        <v>19694</v>
      </c>
      <c r="AR172" s="515">
        <f>'[8]Phụ lục số 3-thu bs'!O17</f>
        <v>0</v>
      </c>
      <c r="AS172" s="515"/>
      <c r="AT172" s="515"/>
      <c r="AU172" s="515"/>
      <c r="AV172" s="513">
        <f t="shared" si="162"/>
        <v>122944.01813</v>
      </c>
      <c r="AW172" s="514"/>
      <c r="AX172" s="514"/>
      <c r="AY172" s="514"/>
      <c r="AZ172" s="515"/>
      <c r="BA172" s="515"/>
      <c r="BB172" s="515"/>
      <c r="BC172" s="515"/>
      <c r="BD172" s="515"/>
      <c r="BE172" s="515"/>
      <c r="BF172" s="515"/>
      <c r="BG172" s="515"/>
      <c r="BH172" s="515"/>
      <c r="BI172" s="490"/>
      <c r="BJ172" s="490"/>
      <c r="BK172" s="490"/>
    </row>
    <row r="173" spans="1:63" s="289" customFormat="1" hidden="1">
      <c r="A173" s="519">
        <v>17</v>
      </c>
      <c r="B173" s="520" t="s">
        <v>526</v>
      </c>
      <c r="C173" s="521"/>
      <c r="D173" s="521"/>
      <c r="E173" s="521"/>
      <c r="F173" s="521"/>
      <c r="G173" s="521"/>
      <c r="H173" s="521">
        <f>ROUND(('[8]Chi NSĐP 2021-2030'!C11+'[8]Chi NSĐP 2021-2030'!C133)*30%,-3)</f>
        <v>378000</v>
      </c>
      <c r="I173" s="521"/>
      <c r="J173" s="522"/>
      <c r="K173" s="521">
        <f>ROUND(('[8]Chi NSĐP 2021-2030'!D11+'[8]Chi NSĐP 2021-2030'!D133)*30%,-3)</f>
        <v>544000</v>
      </c>
      <c r="L173" s="521">
        <f>ROUND(('[8]Chi NSĐP 2021-2030'!E11+'[8]Chi NSĐP 2021-2030'!E133)*30%,-3)</f>
        <v>591000</v>
      </c>
      <c r="M173" s="521">
        <f>ROUND(('[8]Chi NSĐP 2021-2030'!F11+'[8]Chi NSĐP 2021-2030'!F133)*30%,-3)</f>
        <v>599000</v>
      </c>
      <c r="N173" s="521">
        <f>ROUND(('[8]Chi NSĐP 2021-2030'!G11+'[8]Chi NSĐP 2021-2030'!G133)*30%,-3)</f>
        <v>745000</v>
      </c>
      <c r="O173" s="521">
        <f>ROUND(('[8]Chi NSĐP 2021-2030'!H11+'[8]Chi NSĐP 2021-2030'!H133)*30%,-3)</f>
        <v>721000</v>
      </c>
      <c r="P173" s="521"/>
      <c r="Q173" s="311"/>
      <c r="R173" s="311"/>
      <c r="S173" s="521">
        <f>ROUND(('[8]Chi NSĐP 2021-2030'!L11+'[8]Chi NSĐP 2021-2030'!L133)*30%,-3)</f>
        <v>837000</v>
      </c>
      <c r="T173" s="521">
        <f>ROUND(T162*20%,-3)</f>
        <v>1078000</v>
      </c>
      <c r="U173" s="523"/>
      <c r="V173" s="523">
        <f>ROUND(V162*20%,-3)</f>
        <v>1147000</v>
      </c>
      <c r="W173" s="523"/>
      <c r="X173" s="523">
        <f>ROUND(X162*20%,-3)</f>
        <v>1419000</v>
      </c>
      <c r="Y173" s="523"/>
      <c r="Z173" s="523">
        <f>ROUND(Z162*20%,-3)</f>
        <v>1401000</v>
      </c>
      <c r="AA173" s="523">
        <f t="shared" si="160"/>
        <v>5882000</v>
      </c>
      <c r="AB173" s="523"/>
      <c r="AC173" s="524"/>
      <c r="AD173" s="524"/>
      <c r="AE173" s="525"/>
      <c r="AF173" s="526">
        <f>ROUND(AF162*20%,-3)</f>
        <v>1215000</v>
      </c>
      <c r="AG173" s="526"/>
      <c r="AH173" s="526">
        <f>ROUND(AH162*20%,-3)</f>
        <v>1373000</v>
      </c>
      <c r="AI173" s="526"/>
      <c r="AJ173" s="526"/>
      <c r="AK173" s="526"/>
      <c r="AL173" s="526"/>
      <c r="AM173" s="526"/>
      <c r="AN173" s="526"/>
      <c r="AO173" s="523">
        <f>ROUND(AO162*20%,-3)</f>
        <v>1341000</v>
      </c>
      <c r="AP173" s="523"/>
      <c r="AQ173" s="523">
        <f>ROUND(AQ162*20%,-3)</f>
        <v>1622000</v>
      </c>
      <c r="AR173" s="523">
        <f>ROUND(AR162*20%,-3)</f>
        <v>1826000</v>
      </c>
      <c r="AS173" s="523"/>
      <c r="AT173" s="523"/>
      <c r="AU173" s="523"/>
      <c r="AV173" s="521">
        <f t="shared" ref="AV173:AV174" si="170">SUM(AF173:AR173)</f>
        <v>7377000</v>
      </c>
      <c r="AW173" s="311"/>
      <c r="AX173" s="311"/>
      <c r="AY173" s="311"/>
      <c r="AZ173" s="523"/>
      <c r="BA173" s="523"/>
      <c r="BB173" s="523"/>
      <c r="BC173" s="523"/>
      <c r="BD173" s="523"/>
      <c r="BE173" s="490"/>
      <c r="BF173" s="490"/>
      <c r="BG173" s="490"/>
      <c r="BH173" s="490"/>
      <c r="BI173" s="490"/>
      <c r="BJ173" s="490"/>
      <c r="BK173" s="490"/>
    </row>
    <row r="174" spans="1:63" s="289" customFormat="1" hidden="1">
      <c r="A174" s="486">
        <v>18</v>
      </c>
      <c r="B174" s="487" t="s">
        <v>527</v>
      </c>
      <c r="C174" s="439"/>
      <c r="D174" s="439"/>
      <c r="E174" s="439"/>
      <c r="F174" s="439"/>
      <c r="G174" s="439"/>
      <c r="H174" s="439">
        <v>720694.66666666709</v>
      </c>
      <c r="I174" s="439"/>
      <c r="J174" s="462"/>
      <c r="K174" s="439">
        <v>672807.91666666709</v>
      </c>
      <c r="L174" s="439">
        <v>850600.91666666686</v>
      </c>
      <c r="M174" s="439">
        <v>880028.91666666698</v>
      </c>
      <c r="N174" s="439">
        <v>942215.91666666709</v>
      </c>
      <c r="O174" s="439">
        <v>1061382.9166666672</v>
      </c>
      <c r="P174" s="439"/>
      <c r="Q174" s="323"/>
      <c r="R174" s="323"/>
      <c r="S174" s="439">
        <v>1019612.7466666669</v>
      </c>
      <c r="T174" s="439">
        <v>1011904.74666667</v>
      </c>
      <c r="U174" s="326"/>
      <c r="V174" s="326">
        <v>782191.23811367003</v>
      </c>
      <c r="W174" s="326"/>
      <c r="X174" s="326">
        <v>782191.23811367003</v>
      </c>
      <c r="Y174" s="326"/>
      <c r="Z174" s="326">
        <v>638715.73911366996</v>
      </c>
      <c r="AA174" s="326">
        <f t="shared" si="160"/>
        <v>4234615.708674347</v>
      </c>
      <c r="AB174" s="326"/>
      <c r="AC174" s="488"/>
      <c r="AD174" s="488"/>
      <c r="AE174" s="340"/>
      <c r="AF174" s="329">
        <v>638715.73911366996</v>
      </c>
      <c r="AG174" s="329"/>
      <c r="AH174" s="329">
        <v>527199.90711366991</v>
      </c>
      <c r="AI174" s="329"/>
      <c r="AJ174" s="329"/>
      <c r="AK174" s="329"/>
      <c r="AL174" s="329"/>
      <c r="AM174" s="329"/>
      <c r="AN174" s="329"/>
      <c r="AO174" s="326">
        <v>232384.00133466991</v>
      </c>
      <c r="AP174" s="326"/>
      <c r="AQ174" s="326">
        <v>189722.6680026699</v>
      </c>
      <c r="AR174" s="326">
        <v>219407.33467066995</v>
      </c>
      <c r="AS174" s="326"/>
      <c r="AT174" s="326"/>
      <c r="AU174" s="326"/>
      <c r="AV174" s="439">
        <f t="shared" si="170"/>
        <v>1807429.6502353495</v>
      </c>
      <c r="AW174" s="323"/>
      <c r="AX174" s="323"/>
      <c r="AY174" s="323"/>
      <c r="AZ174" s="326"/>
      <c r="BA174" s="326"/>
      <c r="BB174" s="326"/>
      <c r="BC174" s="326"/>
      <c r="BD174" s="326"/>
      <c r="BE174" s="490"/>
      <c r="BF174" s="490"/>
      <c r="BG174" s="490"/>
      <c r="BH174" s="490"/>
      <c r="BI174" s="490"/>
      <c r="BJ174" s="490"/>
      <c r="BK174" s="490"/>
    </row>
    <row r="175" spans="1:63" ht="31.2" hidden="1">
      <c r="A175" s="499" t="s">
        <v>137</v>
      </c>
      <c r="B175" s="527" t="s">
        <v>528</v>
      </c>
      <c r="C175" s="458" t="e">
        <f t="shared" ref="C175:O175" si="171">C174/C173</f>
        <v>#DIV/0!</v>
      </c>
      <c r="D175" s="458" t="e">
        <f t="shared" si="171"/>
        <v>#DIV/0!</v>
      </c>
      <c r="E175" s="458" t="e">
        <f t="shared" si="171"/>
        <v>#DIV/0!</v>
      </c>
      <c r="F175" s="458" t="e">
        <f t="shared" si="171"/>
        <v>#DIV/0!</v>
      </c>
      <c r="G175" s="458" t="e">
        <f t="shared" si="171"/>
        <v>#DIV/0!</v>
      </c>
      <c r="H175" s="388">
        <f>H174/H173</f>
        <v>1.9065996472663151</v>
      </c>
      <c r="I175" s="416"/>
      <c r="J175" s="416"/>
      <c r="K175" s="388">
        <f t="shared" si="171"/>
        <v>1.2367792585784321</v>
      </c>
      <c r="L175" s="388">
        <f t="shared" si="171"/>
        <v>1.4392570501974058</v>
      </c>
      <c r="M175" s="388">
        <f t="shared" si="171"/>
        <v>1.4691634668892604</v>
      </c>
      <c r="N175" s="388">
        <f t="shared" si="171"/>
        <v>1.2647193512304256</v>
      </c>
      <c r="O175" s="388">
        <f t="shared" si="171"/>
        <v>1.4720983587609808</v>
      </c>
      <c r="P175" s="388"/>
      <c r="Q175" s="388"/>
      <c r="R175" s="388"/>
      <c r="S175" s="388">
        <f>S174/S173</f>
        <v>1.218175324571884</v>
      </c>
      <c r="T175" s="388">
        <f>T174/T173</f>
        <v>0.9386871490414378</v>
      </c>
      <c r="U175" s="501"/>
      <c r="V175" s="501">
        <f>V174/V173</f>
        <v>0.68194528170328683</v>
      </c>
      <c r="W175" s="501"/>
      <c r="X175" s="501">
        <f>X174/X173</f>
        <v>0.55122708817031008</v>
      </c>
      <c r="Y175" s="501"/>
      <c r="Z175" s="501">
        <f>Z174/Z173</f>
        <v>0.45589988516321911</v>
      </c>
      <c r="AA175" s="501">
        <f t="shared" si="160"/>
        <v>3.8459347286501377</v>
      </c>
      <c r="AB175" s="501"/>
      <c r="AC175" s="501"/>
      <c r="AD175" s="501"/>
      <c r="AE175" s="502"/>
      <c r="AF175" s="503">
        <f>AF174/AF173</f>
        <v>0.52569196634869952</v>
      </c>
      <c r="AG175" s="503"/>
      <c r="AH175" s="503">
        <f>AH174/AH173</f>
        <v>0.38397662572008007</v>
      </c>
      <c r="AI175" s="503"/>
      <c r="AJ175" s="503"/>
      <c r="AK175" s="503"/>
      <c r="AL175" s="503"/>
      <c r="AM175" s="503"/>
      <c r="AN175" s="503"/>
      <c r="AO175" s="501">
        <f>AO174/AO173</f>
        <v>0.17329157444792687</v>
      </c>
      <c r="AP175" s="501"/>
      <c r="AQ175" s="501">
        <f>AQ174/AQ173</f>
        <v>0.11696835265269415</v>
      </c>
      <c r="AR175" s="501">
        <f>AR174/AR173</f>
        <v>0.12015735743191125</v>
      </c>
      <c r="AS175" s="501"/>
      <c r="AT175" s="501"/>
      <c r="AU175" s="501"/>
      <c r="AV175" s="388">
        <f>SUM(AH175:AR175)</f>
        <v>0.7943939102526123</v>
      </c>
      <c r="AW175" s="388"/>
      <c r="AX175" s="388"/>
      <c r="AY175" s="388"/>
      <c r="AZ175" s="501"/>
      <c r="BA175" s="501"/>
      <c r="BB175" s="501"/>
      <c r="BC175" s="501"/>
      <c r="BD175" s="501"/>
      <c r="BE175" s="504"/>
      <c r="BF175" s="504"/>
      <c r="BG175" s="504"/>
      <c r="BH175" s="504"/>
      <c r="BI175" s="504"/>
      <c r="BJ175" s="504"/>
      <c r="BK175" s="504"/>
    </row>
    <row r="176" spans="1:63" hidden="1">
      <c r="A176" s="499" t="s">
        <v>137</v>
      </c>
      <c r="B176" s="527" t="s">
        <v>529</v>
      </c>
      <c r="C176" s="458" t="e">
        <f>C174/C51</f>
        <v>#DIV/0!</v>
      </c>
      <c r="D176" s="458">
        <f>D174/D51</f>
        <v>0</v>
      </c>
      <c r="E176" s="458">
        <f>E174/E51</f>
        <v>0</v>
      </c>
      <c r="F176" s="458">
        <f>F174/F51</f>
        <v>0</v>
      </c>
      <c r="G176" s="458">
        <f>G174/G51</f>
        <v>0</v>
      </c>
      <c r="H176" s="388"/>
      <c r="I176" s="416"/>
      <c r="J176" s="416"/>
      <c r="K176" s="388">
        <f>K174/K51</f>
        <v>1.6133321743439732E-2</v>
      </c>
      <c r="L176" s="388">
        <f>L174/L51</f>
        <v>1.9319983570687687E-2</v>
      </c>
      <c r="M176" s="388">
        <f>M174/M51</f>
        <v>1.8214026754422283E-2</v>
      </c>
      <c r="N176" s="388">
        <f>N174/N51</f>
        <v>1.7620734527727916E-2</v>
      </c>
      <c r="O176" s="388">
        <f>O174/O51</f>
        <v>1.855293348933152E-2</v>
      </c>
      <c r="P176" s="388"/>
      <c r="Q176" s="388"/>
      <c r="R176" s="388"/>
      <c r="S176" s="388">
        <f>S174/S51</f>
        <v>1.6386934509230656E-2</v>
      </c>
      <c r="T176" s="388">
        <f>T174/T51</f>
        <v>1.4818068197860889E-2</v>
      </c>
      <c r="U176" s="501"/>
      <c r="V176" s="501">
        <f>V174/V51</f>
        <v>1.0308825915609414E-2</v>
      </c>
      <c r="W176" s="501"/>
      <c r="X176" s="501">
        <f>X174/X51</f>
        <v>9.506109866116573E-3</v>
      </c>
      <c r="Y176" s="501"/>
      <c r="Z176" s="501">
        <f>Z174/Z51</f>
        <v>7.3776002207758583E-3</v>
      </c>
      <c r="AA176" s="501">
        <f t="shared" si="160"/>
        <v>5.8397538709593397E-2</v>
      </c>
      <c r="AB176" s="501"/>
      <c r="AC176" s="501"/>
      <c r="AD176" s="501"/>
      <c r="AE176" s="502"/>
      <c r="AF176" s="503">
        <f>AF174/AF51</f>
        <v>7.0666317733943142E-3</v>
      </c>
      <c r="AG176" s="503"/>
      <c r="AH176" s="503">
        <f>AH174/AH51</f>
        <v>5.451253657452514E-3</v>
      </c>
      <c r="AI176" s="503"/>
      <c r="AJ176" s="503"/>
      <c r="AK176" s="503"/>
      <c r="AL176" s="503"/>
      <c r="AM176" s="503"/>
      <c r="AN176" s="503"/>
      <c r="AO176" s="501">
        <f>AO174/AO51</f>
        <v>2.24565746812877E-3</v>
      </c>
      <c r="AP176" s="501"/>
      <c r="AQ176" s="501">
        <f>AQ174/AQ51</f>
        <v>1.7134551216007406E-3</v>
      </c>
      <c r="AR176" s="501">
        <f>AR174/AR51</f>
        <v>1.851914255007369E-3</v>
      </c>
      <c r="AS176" s="501"/>
      <c r="AT176" s="501"/>
      <c r="AU176" s="501"/>
      <c r="AV176" s="388">
        <f t="shared" ref="AV176:AV185" si="172">SUM(AH176:AR176)</f>
        <v>1.1262280502189394E-2</v>
      </c>
      <c r="AW176" s="388"/>
      <c r="AX176" s="388"/>
      <c r="AY176" s="388"/>
      <c r="AZ176" s="501"/>
      <c r="BA176" s="501"/>
      <c r="BB176" s="501"/>
      <c r="BC176" s="501"/>
      <c r="BD176" s="501"/>
      <c r="BE176" s="504"/>
      <c r="BF176" s="504"/>
      <c r="BG176" s="504"/>
      <c r="BH176" s="504"/>
      <c r="BI176" s="504"/>
      <c r="BJ176" s="504"/>
      <c r="BK176" s="504"/>
    </row>
    <row r="177" spans="1:63" s="289" customFormat="1" hidden="1">
      <c r="A177" s="486">
        <v>19</v>
      </c>
      <c r="B177" s="487" t="s">
        <v>530</v>
      </c>
      <c r="C177" s="439">
        <f t="shared" ref="C177:O177" si="173">SUM(C178:C179)</f>
        <v>0</v>
      </c>
      <c r="D177" s="439">
        <f t="shared" si="173"/>
        <v>0</v>
      </c>
      <c r="E177" s="439">
        <f t="shared" si="173"/>
        <v>0</v>
      </c>
      <c r="F177" s="439">
        <f t="shared" si="173"/>
        <v>0</v>
      </c>
      <c r="G177" s="439">
        <f t="shared" si="173"/>
        <v>0</v>
      </c>
      <c r="H177" s="439">
        <f t="shared" si="173"/>
        <v>77886.75</v>
      </c>
      <c r="I177" s="439"/>
      <c r="J177" s="462"/>
      <c r="K177" s="439">
        <f t="shared" si="173"/>
        <v>22675</v>
      </c>
      <c r="L177" s="439">
        <f t="shared" si="173"/>
        <v>45572</v>
      </c>
      <c r="M177" s="439">
        <f t="shared" si="173"/>
        <v>37813</v>
      </c>
      <c r="N177" s="439">
        <f t="shared" si="173"/>
        <v>50833</v>
      </c>
      <c r="O177" s="439">
        <f t="shared" si="173"/>
        <v>81770.5</v>
      </c>
      <c r="P177" s="439"/>
      <c r="Q177" s="323"/>
      <c r="R177" s="323"/>
      <c r="S177" s="439">
        <f>SUM(S178:S179)</f>
        <v>92708</v>
      </c>
      <c r="T177" s="439">
        <f>SUM(T178:T179)</f>
        <v>229713.50855299999</v>
      </c>
      <c r="U177" s="326"/>
      <c r="V177" s="326">
        <f>SUM(V178:V179)</f>
        <v>143475.49900000001</v>
      </c>
      <c r="W177" s="326"/>
      <c r="X177" s="326">
        <f>SUM(X178:X179)</f>
        <v>143475.49900000001</v>
      </c>
      <c r="Y177" s="326"/>
      <c r="Z177" s="326">
        <f>SUM(Z178:Z179)</f>
        <v>126515.83200000001</v>
      </c>
      <c r="AA177" s="326">
        <f t="shared" si="160"/>
        <v>735888.33855300013</v>
      </c>
      <c r="AB177" s="326"/>
      <c r="AC177" s="488"/>
      <c r="AD177" s="488"/>
      <c r="AE177" s="340"/>
      <c r="AF177" s="329">
        <f>SUM(AF178:AF179)</f>
        <v>126515.83200000001</v>
      </c>
      <c r="AG177" s="329"/>
      <c r="AH177" s="329">
        <f>SUM(AH178:AH179)</f>
        <v>325715.90577900002</v>
      </c>
      <c r="AI177" s="329"/>
      <c r="AJ177" s="329"/>
      <c r="AK177" s="329"/>
      <c r="AL177" s="329"/>
      <c r="AM177" s="329"/>
      <c r="AN177" s="329"/>
      <c r="AO177" s="326">
        <f>SUM(AO178:AO179)</f>
        <v>72661.333331999995</v>
      </c>
      <c r="AP177" s="326"/>
      <c r="AQ177" s="326">
        <f>SUM(AQ178:AQ179)</f>
        <v>66411.333331999995</v>
      </c>
      <c r="AR177" s="326">
        <f>SUM(AR178:AR179)</f>
        <v>64520.333332000009</v>
      </c>
      <c r="AS177" s="326"/>
      <c r="AT177" s="326"/>
      <c r="AU177" s="326"/>
      <c r="AV177" s="439">
        <f>SUM(AF177:AR177)</f>
        <v>655824.73777500005</v>
      </c>
      <c r="AW177" s="323"/>
      <c r="AX177" s="323"/>
      <c r="AY177" s="323"/>
      <c r="AZ177" s="326"/>
      <c r="BA177" s="326"/>
      <c r="BB177" s="326"/>
      <c r="BC177" s="326"/>
      <c r="BD177" s="326"/>
      <c r="BE177" s="490"/>
      <c r="BF177" s="490"/>
      <c r="BG177" s="490"/>
      <c r="BH177" s="490"/>
      <c r="BI177" s="490"/>
      <c r="BJ177" s="490"/>
      <c r="BK177" s="490"/>
    </row>
    <row r="178" spans="1:63" hidden="1">
      <c r="A178" s="499" t="s">
        <v>137</v>
      </c>
      <c r="B178" s="527" t="s">
        <v>531</v>
      </c>
      <c r="C178" s="485"/>
      <c r="D178" s="485"/>
      <c r="E178" s="485"/>
      <c r="F178" s="485"/>
      <c r="G178" s="485"/>
      <c r="H178" s="485"/>
      <c r="I178" s="485"/>
      <c r="J178" s="416"/>
      <c r="K178" s="485"/>
      <c r="L178" s="485"/>
      <c r="M178" s="485"/>
      <c r="N178" s="485"/>
      <c r="O178" s="485"/>
      <c r="P178" s="485"/>
      <c r="Q178" s="388"/>
      <c r="R178" s="388"/>
      <c r="S178" s="485"/>
      <c r="T178" s="485"/>
      <c r="U178" s="506"/>
      <c r="V178" s="506"/>
      <c r="W178" s="506"/>
      <c r="X178" s="506"/>
      <c r="Y178" s="506"/>
      <c r="Z178" s="506"/>
      <c r="AA178" s="326">
        <f t="shared" si="160"/>
        <v>0</v>
      </c>
      <c r="AB178" s="506"/>
      <c r="AC178" s="501"/>
      <c r="AD178" s="501"/>
      <c r="AE178" s="502"/>
      <c r="AF178" s="495"/>
      <c r="AG178" s="495"/>
      <c r="AH178" s="495"/>
      <c r="AI178" s="495"/>
      <c r="AJ178" s="495"/>
      <c r="AK178" s="495"/>
      <c r="AL178" s="495"/>
      <c r="AM178" s="495"/>
      <c r="AN178" s="495"/>
      <c r="AO178" s="506"/>
      <c r="AP178" s="506"/>
      <c r="AQ178" s="506"/>
      <c r="AR178" s="506"/>
      <c r="AS178" s="506"/>
      <c r="AT178" s="506"/>
      <c r="AU178" s="506"/>
      <c r="AV178" s="485">
        <f t="shared" si="172"/>
        <v>0</v>
      </c>
      <c r="AW178" s="388"/>
      <c r="AX178" s="388"/>
      <c r="AY178" s="388"/>
      <c r="AZ178" s="506"/>
      <c r="BA178" s="506"/>
      <c r="BB178" s="506"/>
      <c r="BC178" s="506"/>
      <c r="BD178" s="506"/>
      <c r="BE178" s="528"/>
      <c r="BF178" s="528"/>
      <c r="BG178" s="528"/>
      <c r="BH178" s="528"/>
      <c r="BI178" s="528"/>
      <c r="BJ178" s="528"/>
      <c r="BK178" s="528"/>
    </row>
    <row r="179" spans="1:63" ht="31.2" hidden="1">
      <c r="A179" s="499" t="s">
        <v>137</v>
      </c>
      <c r="B179" s="527" t="s">
        <v>532</v>
      </c>
      <c r="C179" s="485"/>
      <c r="D179" s="485"/>
      <c r="E179" s="485"/>
      <c r="F179" s="485"/>
      <c r="G179" s="485"/>
      <c r="H179" s="485">
        <v>77886.75</v>
      </c>
      <c r="I179" s="485"/>
      <c r="J179" s="416"/>
      <c r="K179" s="485">
        <v>22675</v>
      </c>
      <c r="L179" s="485">
        <v>45572</v>
      </c>
      <c r="M179" s="485">
        <v>37813</v>
      </c>
      <c r="N179" s="485">
        <v>50833</v>
      </c>
      <c r="O179" s="485">
        <v>81770.5</v>
      </c>
      <c r="P179" s="485"/>
      <c r="Q179" s="388"/>
      <c r="R179" s="388"/>
      <c r="S179" s="485">
        <v>92708</v>
      </c>
      <c r="T179" s="485">
        <v>229713.50855299999</v>
      </c>
      <c r="U179" s="506"/>
      <c r="V179" s="506">
        <v>143475.49900000001</v>
      </c>
      <c r="W179" s="506"/>
      <c r="X179" s="506">
        <v>143475.49900000001</v>
      </c>
      <c r="Y179" s="506"/>
      <c r="Z179" s="506">
        <v>126515.83200000001</v>
      </c>
      <c r="AA179" s="326">
        <f t="shared" si="160"/>
        <v>735888.33855300013</v>
      </c>
      <c r="AB179" s="506"/>
      <c r="AC179" s="501"/>
      <c r="AD179" s="501"/>
      <c r="AE179" s="502"/>
      <c r="AF179" s="495">
        <v>126515.83200000001</v>
      </c>
      <c r="AG179" s="495"/>
      <c r="AH179" s="495">
        <v>325715.90577900002</v>
      </c>
      <c r="AI179" s="495"/>
      <c r="AJ179" s="495"/>
      <c r="AK179" s="495"/>
      <c r="AL179" s="495"/>
      <c r="AM179" s="495"/>
      <c r="AN179" s="495"/>
      <c r="AO179" s="506">
        <v>72661.333331999995</v>
      </c>
      <c r="AP179" s="506"/>
      <c r="AQ179" s="506">
        <v>66411.333331999995</v>
      </c>
      <c r="AR179" s="506">
        <v>64520.333332000009</v>
      </c>
      <c r="AS179" s="506"/>
      <c r="AT179" s="506"/>
      <c r="AU179" s="506"/>
      <c r="AV179" s="485">
        <f>SUM(AH179:AR179)</f>
        <v>529308.90577500011</v>
      </c>
      <c r="AW179" s="388"/>
      <c r="AX179" s="388"/>
      <c r="AY179" s="388"/>
      <c r="AZ179" s="506"/>
      <c r="BA179" s="506"/>
      <c r="BB179" s="506"/>
      <c r="BC179" s="506"/>
      <c r="BD179" s="506"/>
      <c r="BE179" s="528"/>
      <c r="BF179" s="528"/>
      <c r="BG179" s="528"/>
      <c r="BH179" s="528"/>
      <c r="BI179" s="528"/>
      <c r="BJ179" s="528"/>
      <c r="BK179" s="528"/>
    </row>
    <row r="180" spans="1:63" s="289" customFormat="1" hidden="1">
      <c r="A180" s="486">
        <v>20</v>
      </c>
      <c r="B180" s="275" t="s">
        <v>533</v>
      </c>
      <c r="C180" s="439"/>
      <c r="D180" s="439"/>
      <c r="E180" s="439"/>
      <c r="F180" s="439"/>
      <c r="G180" s="439"/>
      <c r="H180" s="439">
        <v>30000</v>
      </c>
      <c r="I180" s="439"/>
      <c r="J180" s="462"/>
      <c r="K180" s="439">
        <v>200468</v>
      </c>
      <c r="L180" s="439">
        <v>75000</v>
      </c>
      <c r="M180" s="439">
        <v>100000</v>
      </c>
      <c r="N180" s="439">
        <v>170000</v>
      </c>
      <c r="O180" s="439">
        <v>40000</v>
      </c>
      <c r="P180" s="439"/>
      <c r="Q180" s="323"/>
      <c r="R180" s="323"/>
      <c r="S180" s="439">
        <v>85000</v>
      </c>
      <c r="T180" s="439">
        <v>0</v>
      </c>
      <c r="U180" s="326"/>
      <c r="V180" s="326">
        <v>0</v>
      </c>
      <c r="W180" s="326"/>
      <c r="X180" s="326">
        <v>0</v>
      </c>
      <c r="Y180" s="326"/>
      <c r="Z180" s="326">
        <f>Z172</f>
        <v>20568</v>
      </c>
      <c r="AA180" s="326">
        <f t="shared" si="160"/>
        <v>105568</v>
      </c>
      <c r="AB180" s="326"/>
      <c r="AC180" s="488"/>
      <c r="AD180" s="488"/>
      <c r="AE180" s="340"/>
      <c r="AF180" s="329">
        <f>AF172</f>
        <v>46500</v>
      </c>
      <c r="AG180" s="329"/>
      <c r="AH180" s="329">
        <f>AH172</f>
        <v>25250.01813</v>
      </c>
      <c r="AI180" s="329"/>
      <c r="AJ180" s="329"/>
      <c r="AK180" s="329"/>
      <c r="AL180" s="329"/>
      <c r="AM180" s="329"/>
      <c r="AN180" s="329"/>
      <c r="AO180" s="326">
        <f>AO172</f>
        <v>31500</v>
      </c>
      <c r="AP180" s="326"/>
      <c r="AQ180" s="326">
        <f>AQ172</f>
        <v>19694</v>
      </c>
      <c r="AR180" s="326">
        <f>AR172</f>
        <v>0</v>
      </c>
      <c r="AS180" s="326"/>
      <c r="AT180" s="326"/>
      <c r="AU180" s="326"/>
      <c r="AV180" s="439">
        <f>SUM(AF180:AR180)</f>
        <v>122944.01813</v>
      </c>
      <c r="AW180" s="323"/>
      <c r="AX180" s="323"/>
      <c r="AY180" s="323"/>
      <c r="AZ180" s="326"/>
      <c r="BA180" s="326"/>
      <c r="BB180" s="326"/>
      <c r="BC180" s="326"/>
      <c r="BD180" s="326"/>
      <c r="BE180" s="490"/>
      <c r="BF180" s="490"/>
      <c r="BG180" s="490"/>
      <c r="BH180" s="490"/>
      <c r="BI180" s="490"/>
      <c r="BJ180" s="490"/>
      <c r="BK180" s="490"/>
    </row>
    <row r="181" spans="1:63" hidden="1">
      <c r="A181" s="499" t="s">
        <v>137</v>
      </c>
      <c r="B181" s="527" t="s">
        <v>534</v>
      </c>
      <c r="C181" s="485"/>
      <c r="D181" s="485"/>
      <c r="E181" s="485"/>
      <c r="F181" s="485"/>
      <c r="G181" s="485"/>
      <c r="H181" s="485"/>
      <c r="I181" s="485"/>
      <c r="J181" s="416"/>
      <c r="K181" s="485"/>
      <c r="L181" s="485"/>
      <c r="M181" s="485"/>
      <c r="N181" s="485"/>
      <c r="O181" s="485"/>
      <c r="P181" s="485"/>
      <c r="Q181" s="388"/>
      <c r="R181" s="388"/>
      <c r="S181" s="485"/>
      <c r="T181" s="485"/>
      <c r="U181" s="506"/>
      <c r="V181" s="506"/>
      <c r="W181" s="506"/>
      <c r="X181" s="506"/>
      <c r="Y181" s="506"/>
      <c r="Z181" s="506"/>
      <c r="AA181" s="326">
        <f t="shared" si="160"/>
        <v>0</v>
      </c>
      <c r="AB181" s="506"/>
      <c r="AC181" s="501"/>
      <c r="AD181" s="501"/>
      <c r="AE181" s="502"/>
      <c r="AF181" s="495"/>
      <c r="AG181" s="495"/>
      <c r="AH181" s="495"/>
      <c r="AI181" s="495"/>
      <c r="AJ181" s="495"/>
      <c r="AK181" s="495"/>
      <c r="AL181" s="495"/>
      <c r="AM181" s="495"/>
      <c r="AN181" s="495"/>
      <c r="AO181" s="506"/>
      <c r="AP181" s="506"/>
      <c r="AQ181" s="506"/>
      <c r="AR181" s="506"/>
      <c r="AS181" s="506"/>
      <c r="AT181" s="506"/>
      <c r="AU181" s="506"/>
      <c r="AV181" s="485">
        <f>SUM(AF181:AR181)</f>
        <v>0</v>
      </c>
      <c r="AW181" s="388"/>
      <c r="AX181" s="388"/>
      <c r="AY181" s="388"/>
      <c r="AZ181" s="506"/>
      <c r="BA181" s="506"/>
      <c r="BB181" s="506"/>
      <c r="BC181" s="506"/>
      <c r="BD181" s="506"/>
      <c r="BE181" s="528"/>
      <c r="BF181" s="528"/>
      <c r="BG181" s="528"/>
      <c r="BH181" s="528"/>
      <c r="BI181" s="528"/>
      <c r="BJ181" s="528"/>
      <c r="BK181" s="528"/>
    </row>
    <row r="182" spans="1:63" hidden="1">
      <c r="A182" s="499" t="s">
        <v>137</v>
      </c>
      <c r="B182" s="527" t="s">
        <v>535</v>
      </c>
      <c r="C182" s="485"/>
      <c r="D182" s="485"/>
      <c r="E182" s="485"/>
      <c r="F182" s="485"/>
      <c r="G182" s="485"/>
      <c r="H182" s="485"/>
      <c r="I182" s="485"/>
      <c r="J182" s="416"/>
      <c r="K182" s="485"/>
      <c r="L182" s="485"/>
      <c r="M182" s="485"/>
      <c r="N182" s="485"/>
      <c r="O182" s="485"/>
      <c r="P182" s="485"/>
      <c r="Q182" s="388"/>
      <c r="R182" s="388"/>
      <c r="S182" s="485"/>
      <c r="T182" s="485"/>
      <c r="U182" s="506"/>
      <c r="V182" s="506"/>
      <c r="W182" s="506"/>
      <c r="X182" s="506"/>
      <c r="Y182" s="506"/>
      <c r="Z182" s="506"/>
      <c r="AA182" s="326">
        <f t="shared" si="160"/>
        <v>0</v>
      </c>
      <c r="AB182" s="506"/>
      <c r="AC182" s="501"/>
      <c r="AD182" s="501"/>
      <c r="AE182" s="502"/>
      <c r="AF182" s="495"/>
      <c r="AG182" s="495"/>
      <c r="AH182" s="495"/>
      <c r="AI182" s="495"/>
      <c r="AJ182" s="495"/>
      <c r="AK182" s="495"/>
      <c r="AL182" s="495"/>
      <c r="AM182" s="495"/>
      <c r="AN182" s="495"/>
      <c r="AO182" s="506"/>
      <c r="AP182" s="506"/>
      <c r="AQ182" s="506"/>
      <c r="AR182" s="506"/>
      <c r="AS182" s="506"/>
      <c r="AT182" s="506"/>
      <c r="AU182" s="506"/>
      <c r="AV182" s="485">
        <f>SUM(AF182:AR182)</f>
        <v>0</v>
      </c>
      <c r="AW182" s="388"/>
      <c r="AX182" s="388"/>
      <c r="AY182" s="388"/>
      <c r="AZ182" s="506"/>
      <c r="BA182" s="506"/>
      <c r="BB182" s="506"/>
      <c r="BC182" s="506"/>
      <c r="BD182" s="506"/>
      <c r="BE182" s="528"/>
      <c r="BF182" s="528"/>
      <c r="BG182" s="528"/>
      <c r="BH182" s="528"/>
      <c r="BI182" s="528"/>
      <c r="BJ182" s="528"/>
      <c r="BK182" s="528"/>
    </row>
    <row r="183" spans="1:63" s="289" customFormat="1" hidden="1">
      <c r="A183" s="486">
        <v>21</v>
      </c>
      <c r="B183" s="275" t="s">
        <v>536</v>
      </c>
      <c r="C183" s="439">
        <f t="shared" ref="C183:O183" si="174">C174+C180-C177</f>
        <v>0</v>
      </c>
      <c r="D183" s="439">
        <f t="shared" si="174"/>
        <v>0</v>
      </c>
      <c r="E183" s="439">
        <f t="shared" si="174"/>
        <v>0</v>
      </c>
      <c r="F183" s="439">
        <f t="shared" si="174"/>
        <v>0</v>
      </c>
      <c r="G183" s="439">
        <f t="shared" si="174"/>
        <v>0</v>
      </c>
      <c r="H183" s="439">
        <f t="shared" si="174"/>
        <v>672807.91666666709</v>
      </c>
      <c r="I183" s="439"/>
      <c r="J183" s="462"/>
      <c r="K183" s="439">
        <f t="shared" si="174"/>
        <v>850600.91666666709</v>
      </c>
      <c r="L183" s="439">
        <f t="shared" si="174"/>
        <v>880028.91666666686</v>
      </c>
      <c r="M183" s="439">
        <f t="shared" si="174"/>
        <v>942215.91666666698</v>
      </c>
      <c r="N183" s="439">
        <f t="shared" si="174"/>
        <v>1061382.916666667</v>
      </c>
      <c r="O183" s="439">
        <f t="shared" si="174"/>
        <v>1019612.4166666672</v>
      </c>
      <c r="P183" s="439"/>
      <c r="Q183" s="323"/>
      <c r="R183" s="323"/>
      <c r="S183" s="439">
        <f>S174+S180-S177</f>
        <v>1011904.7466666671</v>
      </c>
      <c r="T183" s="439">
        <f>T174+T180-T177</f>
        <v>782191.23811366991</v>
      </c>
      <c r="U183" s="326"/>
      <c r="V183" s="326">
        <f>V174+V180-V177</f>
        <v>638715.73911367008</v>
      </c>
      <c r="W183" s="326"/>
      <c r="X183" s="326">
        <f>X174+X180-X177</f>
        <v>638715.73911367008</v>
      </c>
      <c r="Y183" s="326"/>
      <c r="Z183" s="326">
        <f>Z174+Z180-Z177</f>
        <v>532767.90711366991</v>
      </c>
      <c r="AA183" s="326">
        <f t="shared" si="160"/>
        <v>3604295.3701213473</v>
      </c>
      <c r="AB183" s="326"/>
      <c r="AC183" s="488"/>
      <c r="AD183" s="488"/>
      <c r="AE183" s="340"/>
      <c r="AF183" s="329">
        <f>AF174+AF180-AF177</f>
        <v>558699.90711366991</v>
      </c>
      <c r="AG183" s="329"/>
      <c r="AH183" s="329">
        <f>AH174+AH180-AH177</f>
        <v>226734.01946466987</v>
      </c>
      <c r="AI183" s="329"/>
      <c r="AJ183" s="329"/>
      <c r="AK183" s="329"/>
      <c r="AL183" s="329"/>
      <c r="AM183" s="329"/>
      <c r="AN183" s="329"/>
      <c r="AO183" s="326">
        <f>AO174+AO180-AO177</f>
        <v>191222.66800266987</v>
      </c>
      <c r="AP183" s="326"/>
      <c r="AQ183" s="326">
        <f>AQ174+AQ180-AQ177</f>
        <v>143005.33467066992</v>
      </c>
      <c r="AR183" s="326">
        <f>AR174+AR180-AR177</f>
        <v>154887.00133866994</v>
      </c>
      <c r="AS183" s="326"/>
      <c r="AT183" s="326"/>
      <c r="AU183" s="326"/>
      <c r="AV183" s="439">
        <f>SUM(AF183:AR183)</f>
        <v>1274548.9305903495</v>
      </c>
      <c r="AW183" s="323"/>
      <c r="AX183" s="323"/>
      <c r="AY183" s="323"/>
      <c r="AZ183" s="326"/>
      <c r="BA183" s="326"/>
      <c r="BB183" s="326"/>
      <c r="BC183" s="326"/>
      <c r="BD183" s="326"/>
      <c r="BE183" s="490"/>
      <c r="BF183" s="490"/>
      <c r="BG183" s="490"/>
      <c r="BH183" s="490"/>
      <c r="BI183" s="490"/>
      <c r="BJ183" s="490"/>
      <c r="BK183" s="490"/>
    </row>
    <row r="184" spans="1:63" ht="31.2" hidden="1">
      <c r="A184" s="499" t="s">
        <v>137</v>
      </c>
      <c r="B184" s="527" t="s">
        <v>537</v>
      </c>
      <c r="C184" s="458" t="e">
        <f t="shared" ref="C184:O184" si="175">C183/C173</f>
        <v>#DIV/0!</v>
      </c>
      <c r="D184" s="458" t="e">
        <f t="shared" si="175"/>
        <v>#DIV/0!</v>
      </c>
      <c r="E184" s="458" t="e">
        <f t="shared" si="175"/>
        <v>#DIV/0!</v>
      </c>
      <c r="F184" s="458" t="e">
        <f t="shared" si="175"/>
        <v>#DIV/0!</v>
      </c>
      <c r="G184" s="458" t="e">
        <f t="shared" si="175"/>
        <v>#DIV/0!</v>
      </c>
      <c r="H184" s="388">
        <f t="shared" si="175"/>
        <v>1.7799151234567911</v>
      </c>
      <c r="I184" s="416"/>
      <c r="J184" s="416"/>
      <c r="K184" s="388">
        <f t="shared" si="175"/>
        <v>1.563604626225491</v>
      </c>
      <c r="L184" s="388">
        <f t="shared" si="175"/>
        <v>1.4890506204173719</v>
      </c>
      <c r="M184" s="388">
        <f t="shared" si="175"/>
        <v>1.5729814969393439</v>
      </c>
      <c r="N184" s="388">
        <f t="shared" si="175"/>
        <v>1.424675055928412</v>
      </c>
      <c r="O184" s="388">
        <f t="shared" si="175"/>
        <v>1.4141642394822014</v>
      </c>
      <c r="P184" s="388"/>
      <c r="Q184" s="388"/>
      <c r="R184" s="388"/>
      <c r="S184" s="388">
        <f>S183/S173</f>
        <v>1.2089662445240945</v>
      </c>
      <c r="T184" s="388">
        <f>T183/T173</f>
        <v>0.72559484055071422</v>
      </c>
      <c r="U184" s="501"/>
      <c r="V184" s="501">
        <f>V183/V173</f>
        <v>0.55685766269718406</v>
      </c>
      <c r="W184" s="501"/>
      <c r="X184" s="501">
        <f>X183/X173</f>
        <v>0.45011679993916143</v>
      </c>
      <c r="Y184" s="501"/>
      <c r="Z184" s="501">
        <f>Z183/Z173</f>
        <v>0.38027687873923621</v>
      </c>
      <c r="AA184" s="501">
        <f t="shared" si="160"/>
        <v>3.3218124264503905</v>
      </c>
      <c r="AB184" s="501"/>
      <c r="AC184" s="501"/>
      <c r="AD184" s="501"/>
      <c r="AE184" s="502"/>
      <c r="AF184" s="503">
        <f>AF183/AF173</f>
        <v>0.45983531449684767</v>
      </c>
      <c r="AG184" s="503"/>
      <c r="AH184" s="503">
        <f>AH183/AH173</f>
        <v>0.16513766894731963</v>
      </c>
      <c r="AI184" s="503"/>
      <c r="AJ184" s="503"/>
      <c r="AK184" s="503"/>
      <c r="AL184" s="503"/>
      <c r="AM184" s="503"/>
      <c r="AN184" s="503"/>
      <c r="AO184" s="501">
        <f>AO183/AO173</f>
        <v>0.14259706786179707</v>
      </c>
      <c r="AP184" s="501"/>
      <c r="AQ184" s="501">
        <f>AQ183/AQ173</f>
        <v>8.8166050968353837E-2</v>
      </c>
      <c r="AR184" s="501">
        <f>AR183/AR173</f>
        <v>8.4823111357431508E-2</v>
      </c>
      <c r="AS184" s="501"/>
      <c r="AT184" s="501"/>
      <c r="AU184" s="501"/>
      <c r="AV184" s="388">
        <f t="shared" si="172"/>
        <v>0.48072389913490199</v>
      </c>
      <c r="AW184" s="388"/>
      <c r="AX184" s="388"/>
      <c r="AY184" s="388"/>
      <c r="AZ184" s="501"/>
      <c r="BA184" s="501"/>
      <c r="BB184" s="501"/>
      <c r="BC184" s="501"/>
      <c r="BD184" s="501"/>
      <c r="BE184" s="504"/>
      <c r="BF184" s="504"/>
      <c r="BG184" s="504"/>
      <c r="BH184" s="504"/>
      <c r="BI184" s="504"/>
      <c r="BJ184" s="504"/>
      <c r="BK184" s="504"/>
    </row>
    <row r="185" spans="1:63" hidden="1">
      <c r="A185" s="529" t="s">
        <v>137</v>
      </c>
      <c r="B185" s="530" t="s">
        <v>538</v>
      </c>
      <c r="C185" s="531" t="e">
        <f>C184/C51</f>
        <v>#DIV/0!</v>
      </c>
      <c r="D185" s="531" t="e">
        <f>D184/D51</f>
        <v>#DIV/0!</v>
      </c>
      <c r="E185" s="531" t="e">
        <f>E184/E51</f>
        <v>#DIV/0!</v>
      </c>
      <c r="F185" s="531" t="e">
        <f>F184/F51</f>
        <v>#DIV/0!</v>
      </c>
      <c r="G185" s="531" t="e">
        <f>G184/G51</f>
        <v>#DIV/0!</v>
      </c>
      <c r="H185" s="532"/>
      <c r="I185" s="533"/>
      <c r="J185" s="533"/>
      <c r="K185" s="532">
        <f>K183/K51</f>
        <v>2.039663613329178E-2</v>
      </c>
      <c r="L185" s="532">
        <f>L183/L51</f>
        <v>1.998839159303761E-2</v>
      </c>
      <c r="M185" s="532">
        <f>M183/M51</f>
        <v>1.9501115917432466E-2</v>
      </c>
      <c r="N185" s="532">
        <f>N183/N51</f>
        <v>1.9849321451725521E-2</v>
      </c>
      <c r="O185" s="532">
        <f>O183/O51</f>
        <v>1.7822786719351516E-2</v>
      </c>
      <c r="P185" s="532"/>
      <c r="Q185" s="532"/>
      <c r="R185" s="532"/>
      <c r="S185" s="532">
        <f>S183/S51</f>
        <v>1.6263053661712729E-2</v>
      </c>
      <c r="T185" s="532">
        <f>T183/T51</f>
        <v>1.1454203716622783E-2</v>
      </c>
      <c r="U185" s="534"/>
      <c r="V185" s="534">
        <f>V183/V51</f>
        <v>8.4179022254986715E-3</v>
      </c>
      <c r="W185" s="534"/>
      <c r="X185" s="534">
        <f>X183/X51</f>
        <v>7.7624264928803045E-3</v>
      </c>
      <c r="Y185" s="534"/>
      <c r="Z185" s="534">
        <f>Z183/Z51</f>
        <v>6.1538308647261898E-3</v>
      </c>
      <c r="AA185" s="534">
        <f t="shared" si="160"/>
        <v>5.0051416961440678E-2</v>
      </c>
      <c r="AB185" s="534"/>
      <c r="AC185" s="534"/>
      <c r="AD185" s="534"/>
      <c r="AE185" s="535"/>
      <c r="AF185" s="536">
        <f>AF183/AF51</f>
        <v>6.1813515365702889E-3</v>
      </c>
      <c r="AG185" s="536"/>
      <c r="AH185" s="536">
        <f>AH183/AH51</f>
        <v>2.3444326074382247E-3</v>
      </c>
      <c r="AI185" s="536"/>
      <c r="AJ185" s="536"/>
      <c r="AK185" s="536"/>
      <c r="AL185" s="536"/>
      <c r="AM185" s="536"/>
      <c r="AN185" s="536"/>
      <c r="AO185" s="534">
        <f>AO183/AO51</f>
        <v>1.8478923248131443E-3</v>
      </c>
      <c r="AP185" s="534"/>
      <c r="AQ185" s="534">
        <f>AQ183/AQ51</f>
        <v>1.29153371965146E-3</v>
      </c>
      <c r="AR185" s="534">
        <f>AR183/AR51</f>
        <v>1.3073284269414732E-3</v>
      </c>
      <c r="AS185" s="534"/>
      <c r="AT185" s="534"/>
      <c r="AU185" s="534"/>
      <c r="AV185" s="532">
        <f t="shared" si="172"/>
        <v>6.7911870788443024E-3</v>
      </c>
      <c r="AW185" s="532"/>
      <c r="AX185" s="532"/>
      <c r="AY185" s="532"/>
      <c r="AZ185" s="534"/>
      <c r="BA185" s="534"/>
      <c r="BB185" s="534"/>
      <c r="BC185" s="534"/>
      <c r="BD185" s="534"/>
      <c r="BE185" s="504"/>
      <c r="BF185" s="504"/>
      <c r="BG185" s="504"/>
      <c r="BH185" s="504"/>
      <c r="BI185" s="504"/>
      <c r="BJ185" s="504"/>
      <c r="BK185" s="504"/>
    </row>
    <row r="186" spans="1:63" hidden="1">
      <c r="A186" s="537"/>
      <c r="B186" s="538"/>
      <c r="C186" s="539"/>
      <c r="D186" s="539"/>
      <c r="E186" s="539"/>
      <c r="F186" s="539"/>
      <c r="G186" s="539"/>
      <c r="H186" s="418"/>
      <c r="I186" s="540"/>
      <c r="J186" s="540"/>
      <c r="K186" s="418"/>
      <c r="L186" s="418"/>
      <c r="M186" s="418"/>
      <c r="N186" s="418"/>
      <c r="O186" s="418"/>
      <c r="P186" s="418"/>
      <c r="Q186" s="418"/>
      <c r="R186" s="418"/>
      <c r="S186" s="418"/>
      <c r="T186" s="418"/>
      <c r="U186" s="504"/>
      <c r="V186" s="504"/>
      <c r="W186" s="541"/>
      <c r="X186" s="541"/>
      <c r="Y186" s="541"/>
      <c r="Z186" s="541"/>
      <c r="AA186" s="504"/>
      <c r="AB186" s="504"/>
      <c r="AC186" s="504"/>
      <c r="AD186" s="504"/>
      <c r="AE186" s="542"/>
      <c r="AF186" s="543"/>
      <c r="AG186" s="543"/>
      <c r="AH186" s="543"/>
      <c r="AI186" s="543"/>
      <c r="AJ186" s="543"/>
      <c r="AK186" s="543"/>
      <c r="AL186" s="543"/>
      <c r="AM186" s="543"/>
      <c r="AN186" s="543"/>
      <c r="AO186" s="504"/>
      <c r="AP186" s="504"/>
      <c r="AQ186" s="504"/>
      <c r="AR186" s="504"/>
      <c r="AS186" s="504"/>
      <c r="AT186" s="504"/>
      <c r="AU186" s="504"/>
      <c r="AV186" s="418"/>
      <c r="AW186" s="418"/>
      <c r="AX186" s="418"/>
      <c r="AY186" s="418"/>
      <c r="AZ186" s="504"/>
      <c r="BA186" s="504"/>
      <c r="BB186" s="504"/>
      <c r="BC186" s="504"/>
      <c r="BD186" s="504"/>
      <c r="BE186" s="504"/>
      <c r="BF186" s="504"/>
      <c r="BG186" s="504"/>
      <c r="BH186" s="504"/>
      <c r="BI186" s="504"/>
      <c r="BJ186" s="504"/>
      <c r="BK186" s="504"/>
    </row>
    <row r="187" spans="1:63" hidden="1">
      <c r="A187" s="537"/>
      <c r="B187" s="538"/>
      <c r="C187" s="539"/>
      <c r="D187" s="539"/>
      <c r="E187" s="539"/>
      <c r="F187" s="539"/>
      <c r="G187" s="539"/>
      <c r="H187" s="418"/>
      <c r="I187" s="540"/>
      <c r="J187" s="540"/>
      <c r="K187" s="418"/>
      <c r="L187" s="418"/>
      <c r="M187" s="418"/>
      <c r="N187" s="418"/>
      <c r="O187" s="418"/>
      <c r="P187" s="418"/>
      <c r="Q187" s="418"/>
      <c r="R187" s="418"/>
      <c r="S187" s="418"/>
      <c r="T187" s="418"/>
      <c r="U187" s="504"/>
      <c r="V187" s="504"/>
      <c r="W187" s="504"/>
      <c r="X187" s="504"/>
      <c r="Y187" s="504"/>
      <c r="Z187" s="504"/>
      <c r="AA187" s="504"/>
      <c r="AB187" s="504"/>
      <c r="AC187" s="504"/>
      <c r="AD187" s="504"/>
      <c r="AE187" s="542"/>
      <c r="AF187" s="544"/>
      <c r="AG187" s="544"/>
      <c r="AH187" s="543"/>
      <c r="AI187" s="543"/>
      <c r="AJ187" s="543"/>
      <c r="AK187" s="543"/>
      <c r="AL187" s="543"/>
      <c r="AM187" s="543"/>
      <c r="AN187" s="543"/>
      <c r="AO187" s="504"/>
      <c r="AP187" s="504"/>
      <c r="AQ187" s="504"/>
      <c r="AR187" s="504"/>
      <c r="AS187" s="504"/>
      <c r="AT187" s="504"/>
      <c r="AU187" s="504"/>
      <c r="AV187" s="418"/>
      <c r="AW187" s="418"/>
      <c r="AX187" s="418"/>
      <c r="AY187" s="418"/>
      <c r="AZ187" s="504"/>
      <c r="BA187" s="504"/>
      <c r="BB187" s="504"/>
      <c r="BC187" s="504"/>
      <c r="BD187" s="504"/>
      <c r="BE187" s="504"/>
      <c r="BF187" s="504"/>
      <c r="BG187" s="504"/>
      <c r="BH187" s="504"/>
      <c r="BI187" s="504"/>
      <c r="BJ187" s="504"/>
      <c r="BK187" s="504"/>
    </row>
    <row r="188" spans="1:63" s="289" customFormat="1" hidden="1">
      <c r="A188" s="219"/>
      <c r="B188" s="289" t="s">
        <v>539</v>
      </c>
      <c r="C188" s="465"/>
      <c r="D188" s="465"/>
      <c r="E188" s="465"/>
      <c r="F188" s="465"/>
      <c r="G188" s="465"/>
      <c r="H188" s="465"/>
      <c r="I188" s="465"/>
      <c r="J188" s="465"/>
      <c r="K188" s="465"/>
      <c r="L188" s="465"/>
      <c r="M188" s="465"/>
      <c r="N188" s="465"/>
      <c r="O188" s="465"/>
      <c r="P188" s="465"/>
      <c r="Q188" s="465"/>
      <c r="R188" s="465"/>
      <c r="S188" s="465"/>
      <c r="T188" s="465"/>
      <c r="W188" s="545">
        <f>W172+W160</f>
        <v>12334250</v>
      </c>
      <c r="Y188" s="545">
        <f>Y172+Y160</f>
        <v>13686689.800000001</v>
      </c>
      <c r="AE188" s="545">
        <f>AE172+AE160</f>
        <v>14124108.6</v>
      </c>
      <c r="AF188" s="546"/>
      <c r="AG188" s="545">
        <f>AG172+AG160</f>
        <v>14054453</v>
      </c>
      <c r="AH188" s="546"/>
      <c r="AI188" s="546"/>
      <c r="AJ188" s="546"/>
      <c r="AK188" s="546"/>
      <c r="AL188" s="546"/>
      <c r="AM188" s="546"/>
      <c r="AN188" s="546"/>
      <c r="AO188" s="545">
        <f>AO172+AO160</f>
        <v>15819995</v>
      </c>
      <c r="AP188" s="545"/>
      <c r="AQ188" s="545">
        <f>AQ172+AQ160</f>
        <v>17566218</v>
      </c>
      <c r="AR188" s="545">
        <f>AR172+AR160</f>
        <v>18972524</v>
      </c>
      <c r="AS188" s="545"/>
      <c r="AT188" s="545"/>
      <c r="AU188" s="545"/>
      <c r="AV188" s="465"/>
      <c r="AW188" s="465"/>
      <c r="AX188" s="465"/>
      <c r="AY188" s="465"/>
      <c r="AZ188" s="545">
        <f>AZ172+AZ160</f>
        <v>19769524</v>
      </c>
      <c r="BA188" s="545">
        <f>BA172+BA160</f>
        <v>20562524</v>
      </c>
      <c r="BB188" s="545">
        <f>BB172+BB160</f>
        <v>21411524</v>
      </c>
      <c r="BC188" s="545">
        <f>BC172+BC160</f>
        <v>22366524</v>
      </c>
      <c r="BD188" s="545">
        <f>BD172+BD160</f>
        <v>23498524</v>
      </c>
      <c r="BE188" s="545"/>
      <c r="BF188" s="545"/>
      <c r="BG188" s="545"/>
      <c r="BH188" s="545"/>
      <c r="BI188" s="545"/>
      <c r="BJ188" s="545"/>
      <c r="BK188" s="545"/>
    </row>
    <row r="189" spans="1:63" s="294" customFormat="1" hidden="1">
      <c r="A189" s="291"/>
      <c r="B189" s="294" t="s">
        <v>540</v>
      </c>
      <c r="K189" s="413"/>
      <c r="L189" s="547"/>
      <c r="M189" s="547"/>
      <c r="N189" s="547"/>
      <c r="Q189" s="413"/>
      <c r="W189" s="548">
        <f>10895260-87254</f>
        <v>10808006</v>
      </c>
      <c r="X189" s="548"/>
      <c r="Y189" s="548">
        <f>12181277</f>
        <v>12181277</v>
      </c>
      <c r="AD189" s="413"/>
      <c r="AE189" s="548">
        <v>12692115</v>
      </c>
      <c r="AG189" s="548">
        <f>12792680</f>
        <v>12792680</v>
      </c>
      <c r="AO189" s="548"/>
      <c r="AP189" s="548"/>
      <c r="AQ189" s="548"/>
      <c r="AR189" s="548"/>
      <c r="AS189" s="548"/>
      <c r="AT189" s="548"/>
      <c r="AU189" s="548"/>
      <c r="AV189" s="548"/>
    </row>
    <row r="190" spans="1:63" s="294" customFormat="1" hidden="1">
      <c r="A190" s="291"/>
      <c r="S190" s="413"/>
      <c r="T190" s="413"/>
      <c r="U190" s="413"/>
      <c r="V190" s="413"/>
      <c r="W190" s="549">
        <f>W189-W161</f>
        <v>0</v>
      </c>
      <c r="X190" s="550"/>
      <c r="Y190" s="549">
        <f>Y189-Y161</f>
        <v>257157.19999999925</v>
      </c>
      <c r="Z190" s="413"/>
      <c r="AD190" s="413"/>
      <c r="AE190" s="549">
        <f>AE189-AE161</f>
        <v>511676.40000000037</v>
      </c>
      <c r="AG190" s="549">
        <f>AG189-AG161</f>
        <v>0</v>
      </c>
    </row>
    <row r="191" spans="1:63" s="294" customFormat="1" hidden="1">
      <c r="A191" s="291"/>
      <c r="B191" s="294" t="s">
        <v>541</v>
      </c>
      <c r="W191" s="548">
        <f>1423990+87254</f>
        <v>1511244</v>
      </c>
      <c r="X191" s="548"/>
      <c r="Y191" s="548">
        <f>1474513</f>
        <v>1474513</v>
      </c>
      <c r="AE191" s="548">
        <v>1370794</v>
      </c>
      <c r="AG191" s="548">
        <v>1213473</v>
      </c>
    </row>
    <row r="192" spans="1:63" s="294" customFormat="1" hidden="1">
      <c r="A192" s="291"/>
      <c r="R192" s="551"/>
      <c r="W192" s="548">
        <f>W191-W170</f>
        <v>0</v>
      </c>
      <c r="X192" s="548"/>
      <c r="Y192" s="548">
        <f>Y191-Y170</f>
        <v>-257157</v>
      </c>
      <c r="AE192" s="548">
        <f>AE191-AE170</f>
        <v>-511676</v>
      </c>
      <c r="AG192" s="548">
        <f>AG191-AG170</f>
        <v>0</v>
      </c>
    </row>
    <row r="193" spans="2:47" hidden="1">
      <c r="W193" s="552"/>
    </row>
    <row r="194" spans="2:47" hidden="1">
      <c r="W194" s="552">
        <f>W169+W170+94000</f>
        <v>1805597</v>
      </c>
      <c r="X194" s="552">
        <f>4111683+2864539+120127</f>
        <v>7096349</v>
      </c>
      <c r="Z194" s="552">
        <f>4477798+2401090+124751</f>
        <v>7003639</v>
      </c>
      <c r="AF194" s="554">
        <f>3353854+2607633+112215</f>
        <v>6073702</v>
      </c>
      <c r="AH194" s="554">
        <f>'[10]SoSanhThucHienThu (2)'!$I$11+'[10]SoSanhThucHienThu (2)'!$J$11</f>
        <v>6866295.2812760007</v>
      </c>
      <c r="AI194" s="554"/>
      <c r="AJ194" s="554"/>
      <c r="AK194" s="554"/>
      <c r="AL194" s="554"/>
      <c r="AM194" s="554"/>
      <c r="AN194" s="554"/>
    </row>
    <row r="195" spans="2:47" hidden="1">
      <c r="V195" s="230"/>
      <c r="W195" s="230"/>
      <c r="X195" s="555">
        <f>X162-X194</f>
        <v>0.43780000042170286</v>
      </c>
      <c r="Y195" s="230"/>
      <c r="Z195" s="555">
        <f>Z162-Z194</f>
        <v>-8.3939999341964722E-2</v>
      </c>
      <c r="AF195" s="555">
        <f>AF162-AF194</f>
        <v>0.13599999994039536</v>
      </c>
      <c r="AH195" s="555">
        <f>AH162-AH194</f>
        <v>237.22588173486292</v>
      </c>
      <c r="AI195" s="555"/>
      <c r="AJ195" s="555"/>
      <c r="AK195" s="555"/>
      <c r="AL195" s="555"/>
      <c r="AM195" s="555"/>
      <c r="AN195" s="555"/>
    </row>
    <row r="196" spans="2:47" hidden="1">
      <c r="V196" s="552"/>
      <c r="W196" s="552"/>
      <c r="X196" s="552"/>
      <c r="Y196" s="552"/>
      <c r="Z196" s="552"/>
      <c r="AB196" s="552"/>
    </row>
    <row r="197" spans="2:47" hidden="1">
      <c r="V197" s="552"/>
      <c r="W197" s="552"/>
      <c r="X197" s="552"/>
      <c r="Y197" s="552"/>
      <c r="Z197" s="552"/>
    </row>
    <row r="198" spans="2:47" hidden="1">
      <c r="B198" s="220" t="s">
        <v>10</v>
      </c>
      <c r="V198" s="556"/>
      <c r="W198" s="556"/>
      <c r="X198" s="556"/>
      <c r="Y198" s="556"/>
      <c r="Z198" s="556">
        <f>Z8/X8</f>
        <v>0.96441093601264061</v>
      </c>
      <c r="AB198" s="230"/>
      <c r="AF198" s="557">
        <f>AF8/Z8</f>
        <v>0.84159733231791589</v>
      </c>
      <c r="AG198" s="557"/>
      <c r="AH198" s="557">
        <f>AH8/AF8</f>
        <v>1.0671078246281738</v>
      </c>
      <c r="AI198" s="557"/>
      <c r="AJ198" s="557"/>
      <c r="AK198" s="557"/>
      <c r="AM198" s="362">
        <f>(Z198*AF198*AH198)^(1/3)</f>
        <v>0.95321659303217043</v>
      </c>
      <c r="AN198" s="558"/>
    </row>
    <row r="199" spans="2:47" hidden="1">
      <c r="W199" s="552">
        <f>W162-W27-W20</f>
        <v>3636580</v>
      </c>
      <c r="X199" s="552">
        <f>X162-X27-X20</f>
        <v>4608099.4378000004</v>
      </c>
      <c r="Y199" s="552">
        <f>Y162-Y27-Y20</f>
        <v>4658699.8</v>
      </c>
      <c r="Z199" s="552">
        <f>Z162-Z27-Z20</f>
        <v>4192508.1160600004</v>
      </c>
      <c r="AE199" s="552">
        <f>AE162-AE27-AE20</f>
        <v>4230439.5999999996</v>
      </c>
      <c r="AF199" s="552">
        <f>AF162-AF27-AF20</f>
        <v>3550750.1359999999</v>
      </c>
      <c r="AG199" s="552">
        <f>AG162-AG27-AG20</f>
        <v>3509777</v>
      </c>
      <c r="AH199" s="552">
        <f>AH162-AH27-AH20</f>
        <v>4093628.8935077358</v>
      </c>
      <c r="AI199" s="552"/>
      <c r="AJ199" s="552"/>
      <c r="AK199" s="552"/>
      <c r="AL199" s="552"/>
      <c r="AM199" s="362">
        <f t="shared" ref="AM199:AM200" si="176">(Z199*AF199*AH199)^(1/3)</f>
        <v>3935206.2370974347</v>
      </c>
      <c r="AN199" s="558"/>
    </row>
    <row r="200" spans="2:47" hidden="1">
      <c r="X200" s="552">
        <f>X199-W199</f>
        <v>971519.43780000042</v>
      </c>
      <c r="Z200" s="552">
        <f>Z199-Y199</f>
        <v>-466191.68393999944</v>
      </c>
      <c r="AF200" s="553">
        <f>AF199-AE199</f>
        <v>-679689.46399999969</v>
      </c>
      <c r="AH200" s="553">
        <f>AH199-AG199</f>
        <v>583851.8935077358</v>
      </c>
      <c r="AM200" s="362">
        <f t="shared" si="176"/>
        <v>569804.55637034995</v>
      </c>
      <c r="AN200" s="558"/>
      <c r="AO200" s="559"/>
      <c r="AP200" s="559"/>
    </row>
    <row r="201" spans="2:47" hidden="1">
      <c r="Z201" s="230">
        <f>Z28/X28</f>
        <v>0.74241032544144425</v>
      </c>
      <c r="AA201" s="230"/>
      <c r="AB201" s="230"/>
      <c r="AC201" s="230"/>
      <c r="AD201" s="230"/>
      <c r="AE201" s="557"/>
      <c r="AF201" s="557">
        <f>AF28/Z28</f>
        <v>2.0995744408536781</v>
      </c>
      <c r="AG201" s="557"/>
      <c r="AH201" s="557">
        <f>AH28/AE28</f>
        <v>3.7122225738571428</v>
      </c>
      <c r="AI201" s="557"/>
      <c r="AJ201" s="557"/>
      <c r="AK201" s="557"/>
      <c r="AM201" s="362">
        <f>(Z201*AF201*AH201)^(1/3)-1</f>
        <v>0.79529751329454501</v>
      </c>
      <c r="AN201" s="558"/>
      <c r="AO201" s="559"/>
      <c r="AP201" s="559"/>
    </row>
    <row r="202" spans="2:47" hidden="1">
      <c r="AH202" s="557">
        <f>AH28/X28-1</f>
        <v>2.0864151576134295</v>
      </c>
      <c r="AI202" s="557"/>
      <c r="AJ202" s="557"/>
      <c r="AK202" s="557"/>
      <c r="AO202" s="559"/>
      <c r="AP202" s="559"/>
      <c r="AQ202" s="230">
        <f>AR10/AH10-1</f>
        <v>0.36024410930885709</v>
      </c>
      <c r="AR202" s="230">
        <f>AR11/AH11-1</f>
        <v>0.20160262452314948</v>
      </c>
      <c r="AS202" s="230"/>
      <c r="AT202" s="230"/>
      <c r="AU202" s="230"/>
    </row>
    <row r="203" spans="2:47" hidden="1">
      <c r="AF203" s="557">
        <f>AF7/AE7</f>
        <v>0.88605756120330681</v>
      </c>
      <c r="AH203" s="553">
        <f>AH8-'[11]5 năm A'!$F$14</f>
        <v>3480.8303279997781</v>
      </c>
      <c r="AO203" s="559"/>
      <c r="AP203" s="559"/>
      <c r="AQ203" s="230">
        <f>AR10/X10-1</f>
        <v>0.38469994416527076</v>
      </c>
      <c r="AR203" s="230"/>
      <c r="AS203" s="230"/>
      <c r="AT203" s="230"/>
      <c r="AU203" s="230"/>
    </row>
    <row r="204" spans="2:47" hidden="1">
      <c r="AG204" s="557">
        <f>AH9/AF9</f>
        <v>1.0491615036559474</v>
      </c>
      <c r="AH204" s="557">
        <f>AH7/AG7</f>
        <v>1.1552063076095611</v>
      </c>
      <c r="AI204" s="557"/>
      <c r="AJ204" s="557"/>
      <c r="AK204" s="557"/>
      <c r="AO204" s="559"/>
      <c r="AP204" s="559"/>
    </row>
    <row r="205" spans="2:47" hidden="1">
      <c r="B205" s="336" t="str">
        <f>B10</f>
        <v xml:space="preserve">Thu từ DNNN do TW quản lý </v>
      </c>
      <c r="AG205" s="557">
        <f>AH9/AG9</f>
        <v>1.0693231289942766</v>
      </c>
      <c r="AH205" s="557">
        <f>AH10/X10-1</f>
        <v>1.7979004422110645E-2</v>
      </c>
      <c r="AI205" s="557"/>
      <c r="AJ205" s="557"/>
      <c r="AK205" s="557"/>
      <c r="AO205" s="230">
        <f>AR10/X10-1</f>
        <v>0.38469994416527076</v>
      </c>
      <c r="AP205" s="230"/>
      <c r="AQ205" s="230">
        <f>AR10/AH10-1</f>
        <v>0.36024410930885709</v>
      </c>
      <c r="AR205" s="230">
        <f>AR10/AH10-1</f>
        <v>0.36024410930885709</v>
      </c>
      <c r="AS205" s="230"/>
      <c r="AT205" s="230"/>
      <c r="AU205" s="230"/>
    </row>
    <row r="206" spans="2:47" hidden="1">
      <c r="B206" s="336" t="str">
        <f t="shared" ref="B206:B223" si="177">B11</f>
        <v>Thu từ DNNN do ĐP quản lý</v>
      </c>
      <c r="AH206" s="557">
        <f>AH11/X11-1</f>
        <v>-0.18451805182133574</v>
      </c>
      <c r="AI206" s="557"/>
      <c r="AJ206" s="557"/>
      <c r="AK206" s="557"/>
      <c r="AO206" s="230">
        <f t="shared" ref="AO206:AO223" si="178">AR11/X11-1</f>
        <v>-2.0114750817265992E-2</v>
      </c>
      <c r="AP206" s="230"/>
      <c r="AQ206" s="230">
        <f t="shared" ref="AQ206:AQ223" si="179">AR11/AH11-1</f>
        <v>0.20160262452314948</v>
      </c>
      <c r="AR206" s="230">
        <f t="shared" ref="AR206:AR223" si="180">AR11/AH11-1</f>
        <v>0.20160262452314948</v>
      </c>
      <c r="AS206" s="230"/>
      <c r="AT206" s="230"/>
      <c r="AU206" s="230"/>
    </row>
    <row r="207" spans="2:47" hidden="1">
      <c r="B207" s="336" t="str">
        <f t="shared" si="177"/>
        <v>Thu từ khu vực có vốn ĐTNN</v>
      </c>
      <c r="AH207" s="557">
        <f t="shared" ref="AH207:AH223" si="181">AH12/X12-1</f>
        <v>-2.7533039039625229E-2</v>
      </c>
      <c r="AI207" s="557"/>
      <c r="AJ207" s="557"/>
      <c r="AK207" s="557"/>
      <c r="AO207" s="230">
        <f t="shared" si="178"/>
        <v>0.30132084065326303</v>
      </c>
      <c r="AP207" s="230"/>
      <c r="AQ207" s="230">
        <f t="shared" si="179"/>
        <v>0.33816457822703172</v>
      </c>
      <c r="AR207" s="230">
        <f t="shared" si="180"/>
        <v>0.33816457822703172</v>
      </c>
      <c r="AS207" s="230"/>
      <c r="AT207" s="230"/>
      <c r="AU207" s="230"/>
    </row>
    <row r="208" spans="2:47" hidden="1">
      <c r="B208" s="336" t="str">
        <f t="shared" si="177"/>
        <v>Khu vực kinh tế ngoài quốc doanh</v>
      </c>
      <c r="AH208" s="557">
        <f t="shared" si="181"/>
        <v>-0.17237341008066043</v>
      </c>
      <c r="AI208" s="557"/>
      <c r="AJ208" s="557"/>
      <c r="AK208" s="557"/>
      <c r="AO208" s="230">
        <f t="shared" si="178"/>
        <v>0.13212452251599993</v>
      </c>
      <c r="AP208" s="230"/>
      <c r="AQ208" s="230">
        <f t="shared" si="179"/>
        <v>0.36791704895119026</v>
      </c>
      <c r="AR208" s="230">
        <f t="shared" si="180"/>
        <v>0.36791704895119026</v>
      </c>
      <c r="AS208" s="230"/>
      <c r="AT208" s="230"/>
      <c r="AU208" s="230"/>
    </row>
    <row r="209" spans="2:47" hidden="1">
      <c r="B209" s="336" t="str">
        <f t="shared" si="177"/>
        <v xml:space="preserve">Lệ phí trước bạ </v>
      </c>
      <c r="AH209" s="557">
        <f>AH14/X14-1</f>
        <v>0.1607219496319221</v>
      </c>
      <c r="AI209" s="557"/>
      <c r="AJ209" s="557"/>
      <c r="AK209" s="557"/>
      <c r="AO209" s="230">
        <f t="shared" si="178"/>
        <v>0.37398999130226529</v>
      </c>
      <c r="AP209" s="230"/>
      <c r="AQ209" s="230">
        <f t="shared" si="179"/>
        <v>0.18373740734201927</v>
      </c>
      <c r="AR209" s="230">
        <f t="shared" si="180"/>
        <v>0.18373740734201927</v>
      </c>
      <c r="AS209" s="230"/>
      <c r="AT209" s="230"/>
      <c r="AU209" s="230"/>
    </row>
    <row r="210" spans="2:47" hidden="1">
      <c r="B210" s="336" t="str">
        <f t="shared" si="177"/>
        <v xml:space="preserve">Thuế sd đất nông nghiệp </v>
      </c>
      <c r="AH210" s="557">
        <f t="shared" si="181"/>
        <v>-0.72903916231884058</v>
      </c>
      <c r="AI210" s="557"/>
      <c r="AJ210" s="557"/>
      <c r="AK210" s="557"/>
      <c r="AO210" s="230">
        <f t="shared" si="178"/>
        <v>-1</v>
      </c>
      <c r="AP210" s="230"/>
      <c r="AQ210" s="230">
        <f t="shared" si="179"/>
        <v>-1</v>
      </c>
      <c r="AR210" s="230">
        <f t="shared" si="180"/>
        <v>-1</v>
      </c>
      <c r="AS210" s="230"/>
      <c r="AT210" s="230"/>
      <c r="AU210" s="230"/>
    </row>
    <row r="211" spans="2:47" hidden="1">
      <c r="B211" s="336" t="str">
        <f t="shared" si="177"/>
        <v>Thuế sử dụng đất phi nông nghiệp</v>
      </c>
      <c r="AH211" s="557">
        <f t="shared" si="181"/>
        <v>0.58701457025086445</v>
      </c>
      <c r="AI211" s="557"/>
      <c r="AJ211" s="557"/>
      <c r="AK211" s="557"/>
      <c r="AO211" s="230">
        <f t="shared" si="178"/>
        <v>6.3735484442868584E-2</v>
      </c>
      <c r="AP211" s="230"/>
      <c r="AQ211" s="230">
        <f t="shared" si="179"/>
        <v>-0.32972544525869063</v>
      </c>
      <c r="AR211" s="230">
        <f t="shared" si="180"/>
        <v>-0.32972544525869063</v>
      </c>
      <c r="AS211" s="230"/>
      <c r="AT211" s="230"/>
      <c r="AU211" s="230"/>
    </row>
    <row r="212" spans="2:47" hidden="1">
      <c r="B212" s="336" t="str">
        <f t="shared" si="177"/>
        <v>Thuế thu nhập cá nhân</v>
      </c>
      <c r="AH212" s="557">
        <f t="shared" si="181"/>
        <v>0.36529771969885827</v>
      </c>
      <c r="AI212" s="557"/>
      <c r="AJ212" s="557"/>
      <c r="AK212" s="557"/>
      <c r="AO212" s="230">
        <f t="shared" si="178"/>
        <v>0.66832220479326221</v>
      </c>
      <c r="AP212" s="230"/>
      <c r="AQ212" s="230">
        <f t="shared" si="179"/>
        <v>0.2219475508691553</v>
      </c>
      <c r="AR212" s="230">
        <f t="shared" si="180"/>
        <v>0.2219475508691553</v>
      </c>
      <c r="AS212" s="230"/>
      <c r="AT212" s="230"/>
      <c r="AU212" s="230"/>
    </row>
    <row r="213" spans="2:47" hidden="1">
      <c r="B213" s="336" t="str">
        <f t="shared" si="177"/>
        <v>Thu thuế bảo vệ môi trường (xăng, dầu)</v>
      </c>
      <c r="AH213" s="557">
        <f t="shared" si="181"/>
        <v>-0.59375822657642319</v>
      </c>
      <c r="AI213" s="557"/>
      <c r="AJ213" s="557"/>
      <c r="AK213" s="557"/>
      <c r="AO213" s="230">
        <f t="shared" si="178"/>
        <v>-0.23277211709738843</v>
      </c>
      <c r="AP213" s="230"/>
      <c r="AQ213" s="230">
        <f t="shared" si="179"/>
        <v>0.88859918672776361</v>
      </c>
      <c r="AR213" s="230">
        <f t="shared" si="180"/>
        <v>0.88859918672776361</v>
      </c>
      <c r="AS213" s="230"/>
      <c r="AT213" s="230"/>
      <c r="AU213" s="230"/>
    </row>
    <row r="214" spans="2:47" hidden="1">
      <c r="B214" s="336" t="str">
        <f t="shared" si="177"/>
        <v>Thu phí, lệ phí</v>
      </c>
      <c r="AC214" s="220">
        <v>71856</v>
      </c>
      <c r="AH214" s="557">
        <f t="shared" si="181"/>
        <v>1.1696405698519818E-2</v>
      </c>
      <c r="AI214" s="557"/>
      <c r="AJ214" s="557"/>
      <c r="AK214" s="557"/>
      <c r="AO214" s="230">
        <f t="shared" si="178"/>
        <v>0.22623447685482434</v>
      </c>
      <c r="AP214" s="230"/>
      <c r="AQ214" s="230">
        <f t="shared" si="179"/>
        <v>0.21205775759198997</v>
      </c>
      <c r="AR214" s="230">
        <f t="shared" si="180"/>
        <v>0.21205775759198997</v>
      </c>
      <c r="AS214" s="230"/>
      <c r="AT214" s="230"/>
      <c r="AU214" s="230"/>
    </row>
    <row r="215" spans="2:47" hidden="1">
      <c r="B215" s="336" t="str">
        <f t="shared" si="177"/>
        <v>Tiền sử dụng đất</v>
      </c>
      <c r="AC215" s="220">
        <v>18413</v>
      </c>
      <c r="AH215" s="557">
        <f t="shared" si="181"/>
        <v>6.6528819039032516E-2</v>
      </c>
      <c r="AI215" s="557"/>
      <c r="AJ215" s="557"/>
      <c r="AK215" s="557"/>
      <c r="AO215" s="230">
        <f t="shared" si="178"/>
        <v>0.24356841957998476</v>
      </c>
      <c r="AP215" s="230"/>
      <c r="AQ215" s="230">
        <f t="shared" si="179"/>
        <v>0.16599607753728507</v>
      </c>
      <c r="AR215" s="230">
        <f t="shared" si="180"/>
        <v>0.16599607753728507</v>
      </c>
      <c r="AS215" s="230"/>
      <c r="AT215" s="230"/>
      <c r="AU215" s="230"/>
    </row>
    <row r="216" spans="2:47" hidden="1">
      <c r="B216" s="336" t="str">
        <f t="shared" si="177"/>
        <v>Thu tiền thuê đất, thuê mặt nước</v>
      </c>
      <c r="AC216" s="220">
        <f>+AC214+AC215</f>
        <v>90269</v>
      </c>
      <c r="AD216" s="220">
        <v>90910</v>
      </c>
      <c r="AH216" s="557">
        <f t="shared" si="181"/>
        <v>0.33421097534379141</v>
      </c>
      <c r="AI216" s="557"/>
      <c r="AJ216" s="557"/>
      <c r="AK216" s="557"/>
      <c r="AO216" s="230">
        <f t="shared" si="178"/>
        <v>3.5313182237626917E-2</v>
      </c>
      <c r="AP216" s="230"/>
      <c r="AQ216" s="230">
        <f t="shared" si="179"/>
        <v>-0.22402588393424538</v>
      </c>
      <c r="AR216" s="230">
        <f t="shared" si="180"/>
        <v>-0.22402588393424538</v>
      </c>
      <c r="AS216" s="230"/>
      <c r="AT216" s="230"/>
      <c r="AU216" s="230"/>
    </row>
    <row r="217" spans="2:47" hidden="1">
      <c r="B217" s="336" t="str">
        <f t="shared" si="177"/>
        <v>Thu bán nhà thuộc sở hữu nhà nước</v>
      </c>
      <c r="AD217" s="220">
        <v>213</v>
      </c>
      <c r="AH217" s="557">
        <f t="shared" si="181"/>
        <v>-0.97998516831181981</v>
      </c>
      <c r="AI217" s="557"/>
      <c r="AJ217" s="557"/>
      <c r="AK217" s="557"/>
      <c r="AO217" s="230">
        <f t="shared" si="178"/>
        <v>-1</v>
      </c>
      <c r="AP217" s="230"/>
      <c r="AQ217" s="230">
        <f t="shared" si="179"/>
        <v>-1</v>
      </c>
      <c r="AR217" s="230">
        <f t="shared" si="180"/>
        <v>-1</v>
      </c>
      <c r="AS217" s="230"/>
      <c r="AT217" s="230"/>
      <c r="AU217" s="230"/>
    </row>
    <row r="218" spans="2:47" hidden="1">
      <c r="B218" s="336" t="str">
        <f t="shared" si="177"/>
        <v>Thu khác ngân sách</v>
      </c>
      <c r="AD218" s="552">
        <f>+AD217*AD216</f>
        <v>19363830</v>
      </c>
      <c r="AE218" s="554"/>
      <c r="AF218" s="554"/>
      <c r="AG218" s="554"/>
      <c r="AH218" s="557">
        <f t="shared" si="181"/>
        <v>-5.1323500779284603E-2</v>
      </c>
      <c r="AI218" s="557"/>
      <c r="AJ218" s="557"/>
      <c r="AK218" s="557"/>
      <c r="AO218" s="230">
        <f t="shared" si="178"/>
        <v>0.22957493262261686</v>
      </c>
      <c r="AP218" s="230"/>
      <c r="AQ218" s="230">
        <f t="shared" si="179"/>
        <v>0.29609506890140502</v>
      </c>
      <c r="AR218" s="230">
        <f t="shared" si="180"/>
        <v>0.29609506890140502</v>
      </c>
      <c r="AS218" s="230"/>
      <c r="AT218" s="230"/>
      <c r="AU218" s="230"/>
    </row>
    <row r="219" spans="2:47" hidden="1">
      <c r="B219" s="336" t="str">
        <f t="shared" si="177"/>
        <v>Thu tiền CQ khai thác khoáng sản</v>
      </c>
      <c r="AD219" s="220">
        <v>7000000</v>
      </c>
      <c r="AH219" s="557">
        <f t="shared" si="181"/>
        <v>0.3899087118391662</v>
      </c>
      <c r="AI219" s="557"/>
      <c r="AJ219" s="557"/>
      <c r="AK219" s="557"/>
      <c r="AO219" s="230">
        <f t="shared" si="178"/>
        <v>5.811811733354233E-2</v>
      </c>
      <c r="AP219" s="230"/>
      <c r="AQ219" s="230">
        <f t="shared" si="179"/>
        <v>-0.23871394695165926</v>
      </c>
      <c r="AR219" s="230">
        <f t="shared" si="180"/>
        <v>-0.23871394695165926</v>
      </c>
      <c r="AS219" s="230"/>
      <c r="AT219" s="230"/>
      <c r="AU219" s="230"/>
    </row>
    <row r="220" spans="2:47" hidden="1">
      <c r="B220" s="336" t="str">
        <f t="shared" si="177"/>
        <v>Thu cổ tức, lợi nhuận được chia và lợi nhuận còn lại</v>
      </c>
      <c r="AD220" s="230">
        <f>+AD219/AD218</f>
        <v>0.36149873243051606</v>
      </c>
      <c r="AE220" s="560"/>
      <c r="AF220" s="557"/>
      <c r="AG220" s="557"/>
      <c r="AH220" s="557">
        <f t="shared" si="181"/>
        <v>-0.40971484425498927</v>
      </c>
      <c r="AI220" s="557"/>
      <c r="AJ220" s="557"/>
      <c r="AK220" s="557"/>
      <c r="AO220" s="230">
        <f t="shared" si="178"/>
        <v>-0.11645030032939352</v>
      </c>
      <c r="AP220" s="230"/>
      <c r="AQ220" s="230">
        <f t="shared" si="179"/>
        <v>0.49681842931567677</v>
      </c>
      <c r="AR220" s="230">
        <f t="shared" si="180"/>
        <v>0.49681842931567677</v>
      </c>
      <c r="AS220" s="230"/>
      <c r="AT220" s="230"/>
      <c r="AU220" s="230"/>
    </row>
    <row r="221" spans="2:47" hidden="1">
      <c r="B221" s="336" t="str">
        <f t="shared" si="177"/>
        <v>Thu tại xã</v>
      </c>
      <c r="AH221" s="557">
        <f t="shared" si="181"/>
        <v>-0.33819528103727714</v>
      </c>
      <c r="AI221" s="557"/>
      <c r="AJ221" s="557"/>
      <c r="AK221" s="557"/>
      <c r="AO221" s="230">
        <f t="shared" si="178"/>
        <v>-2.7552674230145846E-2</v>
      </c>
      <c r="AP221" s="230"/>
      <c r="AQ221" s="230">
        <f t="shared" si="179"/>
        <v>0.4693871136096095</v>
      </c>
      <c r="AR221" s="230">
        <f t="shared" si="180"/>
        <v>0.4693871136096095</v>
      </c>
      <c r="AS221" s="230"/>
      <c r="AT221" s="230"/>
      <c r="AU221" s="230"/>
    </row>
    <row r="222" spans="2:47" hidden="1">
      <c r="B222" s="336" t="str">
        <f t="shared" si="177"/>
        <v>Thu xổ số kiến thiết</v>
      </c>
      <c r="AH222" s="557">
        <f t="shared" si="181"/>
        <v>0.14472382501370418</v>
      </c>
      <c r="AI222" s="557"/>
      <c r="AJ222" s="557"/>
      <c r="AK222" s="557"/>
      <c r="AO222" s="230">
        <f t="shared" si="178"/>
        <v>0.52433720544743756</v>
      </c>
      <c r="AP222" s="230"/>
      <c r="AQ222" s="230">
        <f t="shared" si="179"/>
        <v>0.33162005729127642</v>
      </c>
      <c r="AR222" s="230">
        <f t="shared" si="180"/>
        <v>0.33162005729127642</v>
      </c>
      <c r="AS222" s="230"/>
      <c r="AT222" s="230"/>
      <c r="AU222" s="230"/>
    </row>
    <row r="223" spans="2:47" hidden="1">
      <c r="B223" s="336" t="str">
        <f t="shared" si="177"/>
        <v xml:space="preserve">Thuế xuất nhập khẩu </v>
      </c>
      <c r="AH223" s="557">
        <f t="shared" si="181"/>
        <v>2.0864151576134295</v>
      </c>
      <c r="AI223" s="557"/>
      <c r="AJ223" s="557"/>
      <c r="AK223" s="557"/>
      <c r="AO223" s="230">
        <f t="shared" si="178"/>
        <v>0.2867210388787711</v>
      </c>
      <c r="AP223" s="230"/>
      <c r="AQ223" s="230">
        <f t="shared" si="179"/>
        <v>-0.58310176266963121</v>
      </c>
      <c r="AR223" s="230">
        <f t="shared" si="180"/>
        <v>-0.58310176266963121</v>
      </c>
      <c r="AS223" s="230"/>
      <c r="AT223" s="230"/>
      <c r="AU223" s="230"/>
    </row>
    <row r="224" spans="2:47" hidden="1"/>
    <row r="225" spans="22:39" hidden="1"/>
    <row r="226" spans="22:39" hidden="1"/>
    <row r="227" spans="22:39">
      <c r="AL227" s="554">
        <f>AL10+AL11+AL12+AL14+AL15+AL16+AL17+AL19+AL21+AL22+AL23+AL24+AL25+AL26</f>
        <v>6973206.8749209996</v>
      </c>
      <c r="AM227" s="557">
        <f>AL227/$AL$7</f>
        <v>0.29646444831567825</v>
      </c>
    </row>
    <row r="233" spans="22:39">
      <c r="V233" s="220" t="s">
        <v>227</v>
      </c>
    </row>
  </sheetData>
  <mergeCells count="55">
    <mergeCell ref="A1:AK1"/>
    <mergeCell ref="A3:A5"/>
    <mergeCell ref="B3:B5"/>
    <mergeCell ref="C3:C5"/>
    <mergeCell ref="D3:D5"/>
    <mergeCell ref="E3:E5"/>
    <mergeCell ref="F3:F5"/>
    <mergeCell ref="G3:G5"/>
    <mergeCell ref="H3:H5"/>
    <mergeCell ref="I3:I5"/>
    <mergeCell ref="U3:V4"/>
    <mergeCell ref="J3:J5"/>
    <mergeCell ref="K3:K5"/>
    <mergeCell ref="L3:L5"/>
    <mergeCell ref="M3:M5"/>
    <mergeCell ref="N3:N5"/>
    <mergeCell ref="O3:O5"/>
    <mergeCell ref="P3:P5"/>
    <mergeCell ref="Q3:Q5"/>
    <mergeCell ref="R3:R5"/>
    <mergeCell ref="S3:S5"/>
    <mergeCell ref="T3:T5"/>
    <mergeCell ref="AL3:AL5"/>
    <mergeCell ref="W3:X4"/>
    <mergeCell ref="Y3:Z4"/>
    <mergeCell ref="AA3:AA5"/>
    <mergeCell ref="AB3:AB5"/>
    <mergeCell ref="AC3:AC5"/>
    <mergeCell ref="AD3:AD5"/>
    <mergeCell ref="AE3:AF4"/>
    <mergeCell ref="AG3:AH4"/>
    <mergeCell ref="AI3:AI5"/>
    <mergeCell ref="AJ3:AJ5"/>
    <mergeCell ref="AK3:AK5"/>
    <mergeCell ref="AY3:AY5"/>
    <mergeCell ref="AM3:AM5"/>
    <mergeCell ref="AN3:AN5"/>
    <mergeCell ref="AO3:AP4"/>
    <mergeCell ref="AQ3:AQ5"/>
    <mergeCell ref="AR3:AR5"/>
    <mergeCell ref="AS3:AS5"/>
    <mergeCell ref="AT3:AT5"/>
    <mergeCell ref="AU3:AU5"/>
    <mergeCell ref="AV3:AV5"/>
    <mergeCell ref="AW3:AW5"/>
    <mergeCell ref="AX3:AX5"/>
    <mergeCell ref="BF3:BF5"/>
    <mergeCell ref="BG3:BG5"/>
    <mergeCell ref="BH3:BH5"/>
    <mergeCell ref="AZ3:AZ5"/>
    <mergeCell ref="BA3:BA5"/>
    <mergeCell ref="BB3:BB5"/>
    <mergeCell ref="BC3:BC5"/>
    <mergeCell ref="BD3:BD5"/>
    <mergeCell ref="BE3:BE5"/>
  </mergeCells>
  <hyperlinks>
    <hyperlink ref="A3:A5" location="'List danh mục'!A1" display="SỐ TT"/>
  </hyperlinks>
  <pageMargins left="0.7" right="0.7" top="0.75" bottom="0.75" header="0.3" footer="0.3"/>
  <pageSetup orientation="portrait" verticalDpi="0" r:id="rId1"/>
  <legacy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66FF"/>
  </sheetPr>
  <dimension ref="A1:G38"/>
  <sheetViews>
    <sheetView topLeftCell="A20" zoomScale="75" zoomScaleNormal="75" workbookViewId="0">
      <selection activeCell="A30" sqref="A30:G30"/>
    </sheetView>
  </sheetViews>
  <sheetFormatPr defaultColWidth="8.59765625" defaultRowHeight="18"/>
  <cols>
    <col min="1" max="1" width="4.8984375" style="37" customWidth="1"/>
    <col min="2" max="2" width="82.69921875" style="37" customWidth="1"/>
    <col min="3" max="6" width="12.3984375" style="37" customWidth="1"/>
    <col min="7" max="7" width="13.59765625" style="37" bestFit="1" customWidth="1"/>
    <col min="8" max="16384" width="8.59765625" style="37"/>
  </cols>
  <sheetData>
    <row r="1" spans="1:6" s="2" customFormat="1" ht="17.399999999999999" hidden="1">
      <c r="B1" s="2208" t="s">
        <v>1368</v>
      </c>
      <c r="C1" s="2208"/>
      <c r="D1" s="2208"/>
    </row>
    <row r="2" spans="1:6" s="2" customFormat="1" ht="17.399999999999999" hidden="1">
      <c r="B2" s="2208" t="s">
        <v>1369</v>
      </c>
      <c r="C2" s="2208"/>
      <c r="D2" s="2208"/>
    </row>
    <row r="3" spans="1:6" s="2" customFormat="1" ht="17.399999999999999" hidden="1">
      <c r="E3" s="38"/>
    </row>
    <row r="4" spans="1:6">
      <c r="A4" s="4326" t="s">
        <v>2348</v>
      </c>
      <c r="B4" s="4326"/>
      <c r="C4" s="4326"/>
      <c r="D4" s="4326"/>
      <c r="E4" s="4326"/>
      <c r="F4" s="4326"/>
    </row>
    <row r="5" spans="1:6">
      <c r="A5" s="4571" t="s">
        <v>2429</v>
      </c>
      <c r="B5" s="4571"/>
      <c r="C5" s="4571"/>
      <c r="D5" s="4571"/>
      <c r="E5" s="4571"/>
      <c r="F5" s="4571"/>
    </row>
    <row r="6" spans="1:6">
      <c r="A6" s="20"/>
      <c r="B6" s="20"/>
      <c r="C6" s="20"/>
      <c r="D6" s="20"/>
      <c r="E6" s="20"/>
    </row>
    <row r="7" spans="1:6">
      <c r="A7" s="20"/>
      <c r="F7" s="2340" t="s">
        <v>64</v>
      </c>
    </row>
    <row r="8" spans="1:6" s="70" customFormat="1" ht="59.4" customHeight="1">
      <c r="A8" s="2297" t="s">
        <v>1370</v>
      </c>
      <c r="B8" s="7" t="s">
        <v>791</v>
      </c>
      <c r="C8" s="7" t="s">
        <v>449</v>
      </c>
      <c r="D8" s="7" t="s">
        <v>1699</v>
      </c>
      <c r="E8" s="7" t="s">
        <v>1700</v>
      </c>
      <c r="F8" s="7" t="s">
        <v>2268</v>
      </c>
    </row>
    <row r="9" spans="1:6" s="70" customFormat="1" ht="36" customHeight="1">
      <c r="A9" s="2296" t="s">
        <v>7</v>
      </c>
      <c r="B9" s="2370" t="s">
        <v>2269</v>
      </c>
      <c r="C9" s="2381">
        <f>SUM(C10,C13,C16,C17)</f>
        <v>15819995</v>
      </c>
      <c r="D9" s="2381">
        <f>SUM(D10,D13,D16,D17)</f>
        <v>16997394.800000001</v>
      </c>
      <c r="E9" s="2381">
        <f>SUM(E10,E13,E16,E17)</f>
        <v>18627409</v>
      </c>
      <c r="F9" s="2371">
        <f>E9/D9</f>
        <v>1.095897884304011</v>
      </c>
    </row>
    <row r="10" spans="1:6" s="47" customFormat="1" ht="36" customHeight="1">
      <c r="A10" s="133" t="s">
        <v>9</v>
      </c>
      <c r="B10" s="2380" t="s">
        <v>1374</v>
      </c>
      <c r="C10" s="1397">
        <f>'Phụ lục số 1'!E8</f>
        <v>6704000</v>
      </c>
      <c r="D10" s="1397">
        <f>'Phụ lục số 1'!W8</f>
        <v>7450399.7999999998</v>
      </c>
      <c r="E10" s="1435">
        <f>'Phụ lục số 1'!AH8</f>
        <v>8484930</v>
      </c>
      <c r="F10" s="2372">
        <f t="shared" ref="F10:F17" si="0">E10/D10</f>
        <v>1.1388556624840456</v>
      </c>
    </row>
    <row r="11" spans="1:6" ht="36" customHeight="1">
      <c r="A11" s="2212">
        <v>1</v>
      </c>
      <c r="B11" s="2227" t="s">
        <v>2270</v>
      </c>
      <c r="C11" s="2383">
        <f>C10-C12</f>
        <v>3374730</v>
      </c>
      <c r="D11" s="2383">
        <f>D10-D12</f>
        <v>4077519.7</v>
      </c>
      <c r="E11" s="2383">
        <f>E10-E12</f>
        <v>4901430</v>
      </c>
      <c r="F11" s="2373">
        <f t="shared" si="0"/>
        <v>1.2020616356556169</v>
      </c>
    </row>
    <row r="12" spans="1:6" s="47" customFormat="1" ht="36" customHeight="1">
      <c r="A12" s="2226">
        <v>2</v>
      </c>
      <c r="B12" s="2227" t="s">
        <v>2271</v>
      </c>
      <c r="C12" s="2383">
        <f>'Phụ lục số 1'!E12+'Phụ lục số 1'!E13+'Phụ lục số 1'!E14+'Phụ lục số 1'!E18+'Phụ lục số 1'!E19+'Phụ lục số 1'!E20+'Phụ lục số 1'!E24+'Phụ lục số 1'!E25+'Phụ lục số 1'!E29+'Phụ lục số 1'!E30+'Phụ lục số 1'!E31+'Phụ lục số 1'!E37+'Phụ lục số 1'!E38</f>
        <v>3329270</v>
      </c>
      <c r="D12" s="2383">
        <f>'Phụ lục số 1'!W12+'Phụ lục số 1'!W13+'Phụ lục số 1'!W14+'Phụ lục số 1'!W18+'Phụ lục số 1'!W19+'Phụ lục số 1'!W20+'Phụ lục số 1'!W24+'Phụ lục số 1'!W25+'Phụ lục số 1'!W29+'Phụ lục số 1'!W30+'Phụ lục số 1'!W31+'Phụ lục số 1'!W37+'Phụ lục số 1'!W38</f>
        <v>3372880.0999999996</v>
      </c>
      <c r="E12" s="2383">
        <f>'Phụ lục số 1'!AH12+'Phụ lục số 1'!AH13+'Phụ lục số 1'!AH14+'Phụ lục số 1'!AH18+'Phụ lục số 1'!AH19+'Phụ lục số 1'!AH20+'Phụ lục số 1'!AH24+'Phụ lục số 1'!AH25+'Phụ lục số 1'!AH29+'Phụ lục số 1'!AH30+'Phụ lục số 1'!AH31+'Phụ lục số 1'!AH37+'Phụ lục số 1'!AH38</f>
        <v>3583500</v>
      </c>
      <c r="F12" s="2373">
        <f t="shared" si="0"/>
        <v>1.0624451192320772</v>
      </c>
    </row>
    <row r="13" spans="1:6" s="47" customFormat="1" ht="36" customHeight="1">
      <c r="A13" s="133" t="s">
        <v>20</v>
      </c>
      <c r="B13" s="2380" t="s">
        <v>1271</v>
      </c>
      <c r="C13" s="1397">
        <f>SUM(C14:C15)</f>
        <v>9084495</v>
      </c>
      <c r="D13" s="1397">
        <f>SUM(D14:D15)</f>
        <v>9084495</v>
      </c>
      <c r="E13" s="1397">
        <f>SUM(E14:E15)</f>
        <v>9256479</v>
      </c>
      <c r="F13" s="2372">
        <f t="shared" si="0"/>
        <v>1.0189315971883963</v>
      </c>
    </row>
    <row r="14" spans="1:6" s="47" customFormat="1" ht="36" customHeight="1">
      <c r="A14" s="2212">
        <v>1</v>
      </c>
      <c r="B14" s="2227" t="s">
        <v>238</v>
      </c>
      <c r="C14" s="2383">
        <f>'Phụ lục số 1'!C53</f>
        <v>6487488</v>
      </c>
      <c r="D14" s="2383">
        <f>'Phụ lục số 1'!W53</f>
        <v>6487488</v>
      </c>
      <c r="E14" s="2383">
        <f>'Phụ lục số 1'!AE53</f>
        <v>6617188</v>
      </c>
      <c r="F14" s="2373">
        <f t="shared" si="0"/>
        <v>1.0199923298509377</v>
      </c>
    </row>
    <row r="15" spans="1:6" s="47" customFormat="1" ht="36" customHeight="1">
      <c r="A15" s="2212">
        <v>2</v>
      </c>
      <c r="B15" s="2227" t="s">
        <v>239</v>
      </c>
      <c r="C15" s="2383">
        <f>'Phụ lục số 1'!C55</f>
        <v>2597007</v>
      </c>
      <c r="D15" s="2383">
        <f>'Phụ lục số 1'!W55</f>
        <v>2597007</v>
      </c>
      <c r="E15" s="2383">
        <f>'Phụ lục số 1'!AE55</f>
        <v>2639291</v>
      </c>
      <c r="F15" s="2373">
        <f t="shared" si="0"/>
        <v>1.0162818198025649</v>
      </c>
    </row>
    <row r="16" spans="1:6" s="2" customFormat="1" ht="36" customHeight="1">
      <c r="A16" s="133" t="s">
        <v>49</v>
      </c>
      <c r="B16" s="2380" t="s">
        <v>1295</v>
      </c>
      <c r="C16" s="1397">
        <f>'Phụ lục số 1'!C59</f>
        <v>0</v>
      </c>
      <c r="D16" s="1397">
        <f>'Phụ lục số 1'!W59</f>
        <v>431000</v>
      </c>
      <c r="E16" s="1397">
        <f>'Phụ lục số 1'!AE59</f>
        <v>886000</v>
      </c>
      <c r="F16" s="2372">
        <f t="shared" si="0"/>
        <v>2.0556844547563804</v>
      </c>
    </row>
    <row r="17" spans="1:7" s="48" customFormat="1" ht="36" customHeight="1">
      <c r="A17" s="133" t="s">
        <v>50</v>
      </c>
      <c r="B17" s="2380" t="s">
        <v>1376</v>
      </c>
      <c r="C17" s="1397">
        <f>'Phụ lục số 1'!C60</f>
        <v>31500</v>
      </c>
      <c r="D17" s="1397">
        <f>'Phụ lục số 1'!W60</f>
        <v>31500</v>
      </c>
      <c r="E17" s="1397">
        <f>'Phụ lục số 1'!AE60</f>
        <v>0</v>
      </c>
      <c r="F17" s="2372">
        <f t="shared" si="0"/>
        <v>0</v>
      </c>
    </row>
    <row r="18" spans="1:7" s="2" customFormat="1" ht="36" customHeight="1">
      <c r="A18" s="133" t="s">
        <v>22</v>
      </c>
      <c r="B18" s="2380" t="s">
        <v>2272</v>
      </c>
      <c r="C18" s="1397">
        <f>SUM(C19,C28,C31)</f>
        <v>15819995</v>
      </c>
      <c r="D18" s="1397">
        <f>SUM(D19,D28,D31)</f>
        <v>17291694.066666666</v>
      </c>
      <c r="E18" s="1397">
        <f>SUM(E19,E28,E31)</f>
        <v>18627408.915999997</v>
      </c>
      <c r="F18" s="2372">
        <f>E18/C18</f>
        <v>1.1774598485018484</v>
      </c>
      <c r="G18" s="2228"/>
    </row>
    <row r="19" spans="1:7" ht="36" customHeight="1">
      <c r="A19" s="133" t="s">
        <v>9</v>
      </c>
      <c r="B19" s="2380" t="s">
        <v>88</v>
      </c>
      <c r="C19" s="1397">
        <f>SUM(C20,C21,C22,C23,C24,C27,C25,C26)</f>
        <v>13191488</v>
      </c>
      <c r="D19" s="1397">
        <f>SUM(D20,D21,D22,D23,D24,D27,D25,D26)</f>
        <v>14663187.066666666</v>
      </c>
      <c r="E19" s="1397">
        <f>SUM(E20,E21,E22,E23,E24,E27,E25,E26)</f>
        <v>16638432.915999997</v>
      </c>
      <c r="F19" s="2372">
        <f t="shared" ref="F19:F31" si="1">E19/C19</f>
        <v>1.2613006899600709</v>
      </c>
    </row>
    <row r="20" spans="1:7" ht="36" customHeight="1">
      <c r="A20" s="133">
        <v>1</v>
      </c>
      <c r="B20" s="2380" t="s">
        <v>93</v>
      </c>
      <c r="C20" s="1397">
        <f>'Phụ lục số 2'!C9</f>
        <v>3561000</v>
      </c>
      <c r="D20" s="1397">
        <f>'Phụ lục số 2'!P9</f>
        <v>4091000</v>
      </c>
      <c r="E20" s="1397">
        <f>'Phụ lục số 2'!X9</f>
        <v>4923186.4089698764</v>
      </c>
      <c r="F20" s="2372">
        <f t="shared" si="1"/>
        <v>1.382529179716337</v>
      </c>
    </row>
    <row r="21" spans="1:7" ht="36" customHeight="1">
      <c r="A21" s="133">
        <v>2</v>
      </c>
      <c r="B21" s="2380" t="s">
        <v>58</v>
      </c>
      <c r="C21" s="1397">
        <f>'Phụ lục số 2'!C15</f>
        <v>9353865</v>
      </c>
      <c r="D21" s="1397">
        <f>'Phụ lục số 2'!P15</f>
        <v>9353865</v>
      </c>
      <c r="E21" s="1397">
        <f>'Phụ lục số 2'!X15</f>
        <v>10664978.394711081</v>
      </c>
      <c r="F21" s="2372">
        <f t="shared" si="1"/>
        <v>1.1401680903787985</v>
      </c>
    </row>
    <row r="22" spans="1:7" ht="36" customHeight="1">
      <c r="A22" s="133">
        <v>3</v>
      </c>
      <c r="B22" s="2380" t="s">
        <v>1381</v>
      </c>
      <c r="C22" s="1397">
        <f>'Phụ lục số 2'!C29</f>
        <v>2000</v>
      </c>
      <c r="D22" s="1397">
        <f>'Phụ lục số 2'!P29</f>
        <v>2000</v>
      </c>
      <c r="E22" s="1397">
        <f>'Phụ lục số 2'!X29</f>
        <v>2000</v>
      </c>
      <c r="F22" s="2372">
        <f>E22/C22</f>
        <v>1</v>
      </c>
    </row>
    <row r="23" spans="1:7" ht="36" customHeight="1">
      <c r="A23" s="133">
        <v>4</v>
      </c>
      <c r="B23" s="2380" t="s">
        <v>87</v>
      </c>
      <c r="C23" s="1397">
        <f>'Phụ lục số 2'!C30</f>
        <v>274623</v>
      </c>
      <c r="D23" s="1397">
        <f>'Phụ lục số 2'!P30</f>
        <v>274623</v>
      </c>
      <c r="E23" s="1397">
        <f>'Phụ lục số 2'!X30</f>
        <v>327868.91231904214</v>
      </c>
      <c r="F23" s="2372">
        <f t="shared" si="1"/>
        <v>1.1938873012058062</v>
      </c>
    </row>
    <row r="24" spans="1:7" s="2" customFormat="1" ht="36" customHeight="1">
      <c r="A24" s="133">
        <v>5</v>
      </c>
      <c r="B24" s="4189" t="s">
        <v>143</v>
      </c>
      <c r="C24" s="1397">
        <f>'Phụ lục số 2'!C31</f>
        <v>0</v>
      </c>
      <c r="D24" s="1397">
        <f>'Phụ lục số 2'!P31</f>
        <v>431000</v>
      </c>
      <c r="E24" s="1397">
        <f>'Phụ lục số 2'!X31</f>
        <v>0</v>
      </c>
      <c r="F24" s="2372"/>
    </row>
    <row r="25" spans="1:7" s="2" customFormat="1" ht="36" customHeight="1">
      <c r="A25" s="133">
        <v>6</v>
      </c>
      <c r="B25" s="3588" t="s">
        <v>2612</v>
      </c>
      <c r="C25" s="1397">
        <f>'Phụ lục số 2'!C32</f>
        <v>0</v>
      </c>
      <c r="D25" s="1397">
        <f>'Phụ lục số 2'!P32</f>
        <v>357489.34666666656</v>
      </c>
      <c r="E25" s="1397">
        <f>'Phụ lục số 2'!X32</f>
        <v>717399.2</v>
      </c>
      <c r="F25" s="2372"/>
    </row>
    <row r="26" spans="1:7" s="2" customFormat="1" ht="36" customHeight="1">
      <c r="A26" s="133">
        <v>7</v>
      </c>
      <c r="B26" s="208" t="s">
        <v>231</v>
      </c>
      <c r="C26" s="1397">
        <f>'Phụ lục số 2'!C33</f>
        <v>0</v>
      </c>
      <c r="D26" s="1397">
        <f>'Phụ lục số 2'!P33</f>
        <v>153209.71999999997</v>
      </c>
      <c r="E26" s="1397">
        <f>'Phụ lục số 2'!X33</f>
        <v>0</v>
      </c>
      <c r="F26" s="2372"/>
    </row>
    <row r="27" spans="1:7" s="2" customFormat="1" ht="36" customHeight="1">
      <c r="A27" s="133">
        <v>8</v>
      </c>
      <c r="B27" s="209" t="s">
        <v>2071</v>
      </c>
      <c r="C27" s="1397">
        <f>'Phụ lục số 2'!C34</f>
        <v>0</v>
      </c>
      <c r="D27" s="1397">
        <f>'Phụ lục số 2'!P34</f>
        <v>0</v>
      </c>
      <c r="E27" s="1397">
        <f>'Phụ lục số 2'!X34</f>
        <v>3000</v>
      </c>
      <c r="F27" s="2372" t="e">
        <f t="shared" si="1"/>
        <v>#DIV/0!</v>
      </c>
    </row>
    <row r="28" spans="1:7" s="2" customFormat="1" ht="36" customHeight="1">
      <c r="A28" s="133" t="s">
        <v>20</v>
      </c>
      <c r="B28" s="1390" t="s">
        <v>1275</v>
      </c>
      <c r="C28" s="1397">
        <f>SUM(C29:C30)</f>
        <v>2597007</v>
      </c>
      <c r="D28" s="1397">
        <f>SUM(D29:D30)</f>
        <v>2597007</v>
      </c>
      <c r="E28" s="1397">
        <f>SUM(E29:E30)</f>
        <v>1988976</v>
      </c>
      <c r="F28" s="2372">
        <f>E28/C28</f>
        <v>0.76587240619682584</v>
      </c>
    </row>
    <row r="29" spans="1:7" s="2375" customFormat="1" ht="36" customHeight="1">
      <c r="A29" s="2212">
        <v>1</v>
      </c>
      <c r="B29" s="2374" t="s">
        <v>1306</v>
      </c>
      <c r="C29" s="2383">
        <f>'Phụ lục số 2'!C36</f>
        <v>2417971</v>
      </c>
      <c r="D29" s="2383">
        <f>'Phụ lục số 2'!P36</f>
        <v>2417971</v>
      </c>
      <c r="E29" s="2383">
        <f>'Phụ lục số 2'!X36</f>
        <v>1814491</v>
      </c>
      <c r="F29" s="2373">
        <f t="shared" si="1"/>
        <v>0.75041884290589089</v>
      </c>
    </row>
    <row r="30" spans="1:7" s="2375" customFormat="1" ht="36" customHeight="1">
      <c r="A30" s="2212">
        <v>2</v>
      </c>
      <c r="B30" s="2374" t="s">
        <v>92</v>
      </c>
      <c r="C30" s="2383">
        <f>'Phụ lục số 2'!C37</f>
        <v>179036</v>
      </c>
      <c r="D30" s="2383">
        <f>'Phụ lục số 2'!P37</f>
        <v>179036</v>
      </c>
      <c r="E30" s="2383">
        <f>'Phụ lục số 2'!X37</f>
        <v>174485</v>
      </c>
      <c r="F30" s="2373">
        <f t="shared" si="1"/>
        <v>0.97458053128979649</v>
      </c>
    </row>
    <row r="31" spans="1:7" ht="36" customHeight="1">
      <c r="A31" s="133" t="s">
        <v>49</v>
      </c>
      <c r="B31" s="143" t="s">
        <v>133</v>
      </c>
      <c r="C31" s="1397">
        <f>'Phụ lục số 2'!C39</f>
        <v>31500</v>
      </c>
      <c r="D31" s="1397">
        <f>'Phụ lục số 2'!P39</f>
        <v>31500</v>
      </c>
      <c r="E31" s="1397">
        <f>'Phụ lục số 2'!X39</f>
        <v>0</v>
      </c>
      <c r="F31" s="2372">
        <f t="shared" si="1"/>
        <v>0</v>
      </c>
    </row>
    <row r="32" spans="1:7" s="2" customFormat="1" ht="36" customHeight="1">
      <c r="A32" s="133" t="s">
        <v>26</v>
      </c>
      <c r="B32" s="209" t="s">
        <v>1276</v>
      </c>
      <c r="C32" s="2382">
        <f>23400</f>
        <v>23400</v>
      </c>
      <c r="D32" s="2382">
        <v>247800</v>
      </c>
      <c r="E32" s="2382">
        <v>13000</v>
      </c>
      <c r="F32" s="2376"/>
    </row>
    <row r="33" spans="1:6" s="2" customFormat="1" ht="36" customHeight="1">
      <c r="A33" s="133" t="s">
        <v>130</v>
      </c>
      <c r="B33" s="209" t="s">
        <v>2273</v>
      </c>
      <c r="C33" s="1397">
        <f>SUM(C34:C35)</f>
        <v>54900</v>
      </c>
      <c r="D33" s="1397">
        <f>SUM(D34:D35)</f>
        <v>279300</v>
      </c>
      <c r="E33" s="1397">
        <f>SUM(E34:E35)</f>
        <v>13000</v>
      </c>
      <c r="F33" s="2376"/>
    </row>
    <row r="34" spans="1:6" s="47" customFormat="1" ht="36" customHeight="1">
      <c r="A34" s="2212">
        <v>1</v>
      </c>
      <c r="B34" s="2374" t="s">
        <v>531</v>
      </c>
      <c r="C34" s="2383">
        <f t="shared" ref="C34:E35" si="2">C31</f>
        <v>31500</v>
      </c>
      <c r="D34" s="2383">
        <f t="shared" si="2"/>
        <v>31500</v>
      </c>
      <c r="E34" s="2383">
        <f t="shared" si="2"/>
        <v>0</v>
      </c>
      <c r="F34" s="2377"/>
    </row>
    <row r="35" spans="1:6" s="47" customFormat="1" ht="36" customHeight="1">
      <c r="A35" s="2212">
        <v>2</v>
      </c>
      <c r="B35" s="2374" t="s">
        <v>2274</v>
      </c>
      <c r="C35" s="2383">
        <f>C32</f>
        <v>23400</v>
      </c>
      <c r="D35" s="2383">
        <f t="shared" si="2"/>
        <v>247800</v>
      </c>
      <c r="E35" s="2383">
        <f>E32</f>
        <v>13000</v>
      </c>
      <c r="F35" s="2377"/>
    </row>
    <row r="36" spans="1:6" s="2" customFormat="1" ht="36" customHeight="1">
      <c r="A36" s="133" t="s">
        <v>1504</v>
      </c>
      <c r="B36" s="209" t="s">
        <v>2275</v>
      </c>
      <c r="C36" s="1397">
        <f>SUM(C37:C38)</f>
        <v>31500</v>
      </c>
      <c r="D36" s="1397">
        <f>SUM(D37:D38)</f>
        <v>31500</v>
      </c>
      <c r="E36" s="1397">
        <f>SUM(E37:E38)</f>
        <v>0</v>
      </c>
      <c r="F36" s="2376"/>
    </row>
    <row r="37" spans="1:6" s="47" customFormat="1" ht="36" customHeight="1">
      <c r="A37" s="2212">
        <v>1</v>
      </c>
      <c r="B37" s="2374" t="s">
        <v>534</v>
      </c>
      <c r="C37" s="2383">
        <v>0</v>
      </c>
      <c r="D37" s="2383">
        <v>0</v>
      </c>
      <c r="E37" s="2383">
        <v>0</v>
      </c>
      <c r="F37" s="2377"/>
    </row>
    <row r="38" spans="1:6" s="47" customFormat="1" ht="36" customHeight="1">
      <c r="A38" s="2223">
        <v>2</v>
      </c>
      <c r="B38" s="2378" t="s">
        <v>535</v>
      </c>
      <c r="C38" s="2384">
        <f>C17</f>
        <v>31500</v>
      </c>
      <c r="D38" s="2384">
        <f>D17</f>
        <v>31500</v>
      </c>
      <c r="E38" s="2384">
        <f>E17</f>
        <v>0</v>
      </c>
      <c r="F38" s="2379"/>
    </row>
  </sheetData>
  <mergeCells count="2">
    <mergeCell ref="A4:F4"/>
    <mergeCell ref="A5:F5"/>
  </mergeCells>
  <hyperlinks>
    <hyperlink ref="A8" location="'List danh mục'!A1" display="'List danh mục'!A1"/>
  </hyperlinks>
  <printOptions horizontalCentered="1"/>
  <pageMargins left="0" right="0" top="0.39370078740157483" bottom="0" header="0.19685039370078741" footer="0"/>
  <pageSetup paperSize="9" scale="65" orientation="portrait" r:id="rId1"/>
  <headerFooter>
    <oddHeader>&amp;R&amp;A</oddHeader>
    <oddFooter>&amp;C&amp;P/&amp;N</oddFooter>
  </headerFooter>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30" sqref="A30:G30"/>
    </sheetView>
  </sheetViews>
  <sheetFormatPr defaultRowHeight="15.6"/>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DI452"/>
  <sheetViews>
    <sheetView zoomScale="60" zoomScaleNormal="60" workbookViewId="0">
      <pane xSplit="7" ySplit="10" topLeftCell="T11" activePane="bottomRight" state="frozen"/>
      <selection activeCell="Y35" sqref="Y35"/>
      <selection pane="topRight" activeCell="Y35" sqref="Y35"/>
      <selection pane="bottomLeft" activeCell="Y35" sqref="Y35"/>
      <selection pane="bottomRight" activeCell="Y35" sqref="Y35"/>
    </sheetView>
  </sheetViews>
  <sheetFormatPr defaultColWidth="9" defaultRowHeight="18"/>
  <cols>
    <col min="1" max="1" width="5.69921875" style="3" customWidth="1"/>
    <col min="2" max="2" width="56.69921875" style="1" customWidth="1"/>
    <col min="3" max="3" width="11.69921875" style="1" customWidth="1"/>
    <col min="4" max="18" width="12.69921875" style="1" hidden="1" customWidth="1"/>
    <col min="19" max="19" width="9" style="1" hidden="1" customWidth="1"/>
    <col min="20" max="25" width="11.69921875" style="1" customWidth="1"/>
    <col min="26" max="30" width="11.69921875" style="1" hidden="1" customWidth="1"/>
    <col min="31" max="36" width="11.69921875" style="1" customWidth="1"/>
    <col min="37" max="48" width="12.69921875" style="1" customWidth="1"/>
    <col min="49" max="93" width="9" style="1"/>
    <col min="94" max="94" width="12.69921875" style="1" customWidth="1"/>
    <col min="95" max="96" width="9.09765625" style="1" customWidth="1"/>
    <col min="97" max="97" width="9" style="1" customWidth="1"/>
    <col min="98" max="102" width="9" style="1"/>
    <col min="103" max="103" width="9.69921875" style="1" customWidth="1"/>
    <col min="104" max="104" width="9.8984375" style="1" customWidth="1"/>
    <col min="105" max="105" width="9.3984375" style="1" bestFit="1" customWidth="1"/>
    <col min="106" max="106" width="11.09765625" style="1" bestFit="1" customWidth="1"/>
    <col min="107" max="107" width="9.3984375" style="1" bestFit="1" customWidth="1"/>
    <col min="108" max="108" width="11.09765625" style="1" bestFit="1" customWidth="1"/>
    <col min="109" max="109" width="9.3984375" style="1" bestFit="1" customWidth="1"/>
    <col min="110" max="110" width="9" style="1"/>
    <col min="111" max="111" width="9.3984375" style="1" bestFit="1" customWidth="1"/>
    <col min="112" max="112" width="9" style="1"/>
    <col min="113" max="113" width="9.3984375" style="1" bestFit="1" customWidth="1"/>
    <col min="114" max="16384" width="9" style="1"/>
  </cols>
  <sheetData>
    <row r="1" spans="1:113" s="3" customFormat="1" ht="35.700000000000003" customHeight="1">
      <c r="A1" s="4395" t="s">
        <v>1761</v>
      </c>
      <c r="B1" s="4395"/>
      <c r="C1" s="4395"/>
      <c r="D1" s="4395"/>
      <c r="E1" s="4395"/>
      <c r="F1" s="4395"/>
      <c r="G1" s="4395"/>
      <c r="H1" s="4395"/>
      <c r="I1" s="4395"/>
      <c r="J1" s="4395"/>
      <c r="K1" s="4395"/>
      <c r="L1" s="4395"/>
      <c r="M1" s="4395"/>
      <c r="N1" s="4395"/>
      <c r="O1" s="4395"/>
      <c r="P1" s="4395"/>
      <c r="Q1" s="4395"/>
      <c r="R1" s="4395"/>
      <c r="S1" s="4395"/>
      <c r="T1" s="4395"/>
      <c r="U1" s="4395"/>
      <c r="V1" s="4395"/>
      <c r="W1" s="4395"/>
      <c r="X1" s="4395"/>
      <c r="Y1" s="4395"/>
      <c r="Z1" s="4395"/>
      <c r="AA1" s="4395"/>
      <c r="AB1" s="4395"/>
      <c r="AC1" s="4395"/>
      <c r="AD1" s="4395"/>
      <c r="AE1" s="4395"/>
      <c r="AF1" s="4395"/>
      <c r="AG1" s="4395"/>
      <c r="AH1" s="4395"/>
      <c r="AI1" s="4395"/>
      <c r="AJ1" s="4395"/>
    </row>
    <row r="2" spans="1:113" s="3" customFormat="1">
      <c r="A2" s="4441" t="s">
        <v>2627</v>
      </c>
      <c r="B2" s="4441"/>
      <c r="C2" s="4441"/>
      <c r="D2" s="4441"/>
      <c r="E2" s="4441"/>
      <c r="F2" s="4441"/>
      <c r="G2" s="4441"/>
      <c r="H2" s="4441"/>
      <c r="I2" s="4441"/>
      <c r="J2" s="4441"/>
      <c r="K2" s="4441"/>
      <c r="L2" s="4441"/>
      <c r="M2" s="4441"/>
      <c r="N2" s="4441"/>
      <c r="O2" s="4441"/>
      <c r="P2" s="4441"/>
      <c r="Q2" s="4441"/>
      <c r="R2" s="4441"/>
      <c r="S2" s="4441"/>
      <c r="T2" s="4441"/>
      <c r="U2" s="4441"/>
      <c r="V2" s="4441"/>
      <c r="W2" s="4441"/>
      <c r="X2" s="4441"/>
      <c r="Y2" s="4441"/>
      <c r="Z2" s="4441"/>
      <c r="AA2" s="4441"/>
      <c r="AB2" s="4441"/>
      <c r="AC2" s="4441"/>
      <c r="AD2" s="4441"/>
      <c r="AE2" s="4441"/>
      <c r="AF2" s="4441"/>
      <c r="AG2" s="4441"/>
      <c r="AH2" s="4441"/>
      <c r="AI2" s="4441"/>
      <c r="AJ2" s="4441"/>
    </row>
    <row r="3" spans="1:113" s="4" customFormat="1" ht="18.600000000000001" thickBot="1">
      <c r="A3" s="2621"/>
      <c r="B3" s="2138"/>
      <c r="C3" s="2139"/>
      <c r="D3" s="2139"/>
      <c r="E3" s="4609"/>
      <c r="F3" s="4609"/>
      <c r="G3" s="4609"/>
      <c r="H3" s="2139"/>
      <c r="I3" s="2139"/>
      <c r="J3" s="2139"/>
      <c r="S3" s="2140" t="s">
        <v>73</v>
      </c>
      <c r="U3" s="1822"/>
      <c r="AE3" s="1822"/>
    </row>
    <row r="4" spans="1:113" s="2903" customFormat="1" thickTop="1">
      <c r="A4" s="4597" t="s">
        <v>0</v>
      </c>
      <c r="B4" s="4606" t="s">
        <v>1</v>
      </c>
      <c r="C4" s="4608" t="s">
        <v>145</v>
      </c>
      <c r="D4" s="2900"/>
      <c r="E4" s="2900"/>
      <c r="F4" s="2900"/>
      <c r="G4" s="2901"/>
      <c r="H4" s="4601" t="s">
        <v>148</v>
      </c>
      <c r="I4" s="4602"/>
      <c r="J4" s="4602"/>
      <c r="K4" s="4602"/>
      <c r="L4" s="4602"/>
      <c r="M4" s="4603"/>
      <c r="N4" s="4601" t="s">
        <v>149</v>
      </c>
      <c r="O4" s="4602"/>
      <c r="P4" s="4602"/>
      <c r="Q4" s="4602"/>
      <c r="R4" s="4602"/>
      <c r="S4" s="4603"/>
      <c r="T4" s="4604" t="s">
        <v>150</v>
      </c>
      <c r="U4" s="4604"/>
      <c r="V4" s="4604"/>
      <c r="W4" s="4604"/>
      <c r="X4" s="4604"/>
      <c r="Y4" s="4605"/>
      <c r="Z4" s="4591" t="s">
        <v>153</v>
      </c>
      <c r="AA4" s="4592"/>
      <c r="AB4" s="4592"/>
      <c r="AC4" s="4592"/>
      <c r="AD4" s="4593"/>
      <c r="AE4" s="4576" t="s">
        <v>176</v>
      </c>
      <c r="AF4" s="4576"/>
      <c r="AG4" s="4576"/>
      <c r="AH4" s="4576"/>
      <c r="AI4" s="4576"/>
      <c r="AJ4" s="4585"/>
      <c r="AK4" s="4576" t="s">
        <v>177</v>
      </c>
      <c r="AL4" s="4576"/>
      <c r="AM4" s="4576"/>
      <c r="AN4" s="4576"/>
      <c r="AO4" s="4576"/>
      <c r="AP4" s="4585"/>
      <c r="AQ4" s="4576" t="s">
        <v>178</v>
      </c>
      <c r="AR4" s="4576"/>
      <c r="AS4" s="4576"/>
      <c r="AT4" s="4576"/>
      <c r="AU4" s="4576"/>
      <c r="AV4" s="4577"/>
      <c r="AW4" s="2902"/>
      <c r="AX4" s="2902"/>
      <c r="AY4" s="2902"/>
      <c r="AZ4" s="2902"/>
      <c r="BA4" s="2902"/>
      <c r="BB4" s="2902"/>
      <c r="BC4" s="2902"/>
      <c r="BD4" s="2902"/>
      <c r="BE4" s="2902"/>
      <c r="BF4" s="2902"/>
      <c r="BG4" s="2902"/>
      <c r="BH4" s="2902"/>
      <c r="BI4" s="2902"/>
      <c r="BJ4" s="2902"/>
      <c r="BK4" s="2902"/>
      <c r="BL4" s="2902"/>
      <c r="BM4" s="2902"/>
      <c r="BN4" s="2902"/>
      <c r="BO4" s="2902"/>
      <c r="BP4" s="2902"/>
      <c r="BQ4" s="2902"/>
      <c r="BR4" s="2902"/>
      <c r="BS4" s="2902"/>
      <c r="BT4" s="2902"/>
      <c r="BU4" s="2902"/>
      <c r="BV4" s="2902"/>
      <c r="BW4" s="2902"/>
      <c r="BX4" s="2902"/>
      <c r="BY4" s="2902"/>
      <c r="BZ4" s="2902"/>
      <c r="CA4" s="2902"/>
      <c r="CB4" s="2902"/>
      <c r="CC4" s="2902"/>
      <c r="CD4" s="2902"/>
      <c r="CE4" s="2902"/>
      <c r="CF4" s="2902"/>
      <c r="CG4" s="2902"/>
      <c r="CH4" s="2902"/>
      <c r="CI4" s="2902"/>
      <c r="CJ4" s="2902"/>
      <c r="CK4" s="2902"/>
      <c r="CL4" s="2902"/>
      <c r="CM4" s="2902"/>
      <c r="CN4" s="2902"/>
      <c r="CO4" s="2902"/>
      <c r="CX4" s="2904"/>
      <c r="CY4" s="2905"/>
      <c r="CZ4" s="2905"/>
    </row>
    <row r="5" spans="1:113" s="24" customFormat="1" ht="17.399999999999999">
      <c r="A5" s="4598"/>
      <c r="B5" s="4607"/>
      <c r="C5" s="4438"/>
      <c r="D5" s="4427" t="s">
        <v>2</v>
      </c>
      <c r="E5" s="25" t="s">
        <v>3</v>
      </c>
      <c r="F5" s="22"/>
      <c r="G5" s="23"/>
      <c r="H5" s="4587" t="s">
        <v>66</v>
      </c>
      <c r="I5" s="4587" t="s">
        <v>169</v>
      </c>
      <c r="J5" s="4587" t="s">
        <v>2</v>
      </c>
      <c r="K5" s="170" t="s">
        <v>3</v>
      </c>
      <c r="L5" s="171"/>
      <c r="M5" s="172"/>
      <c r="N5" s="4587" t="s">
        <v>66</v>
      </c>
      <c r="O5" s="4587" t="s">
        <v>169</v>
      </c>
      <c r="P5" s="4587" t="s">
        <v>2</v>
      </c>
      <c r="Q5" s="170" t="s">
        <v>3</v>
      </c>
      <c r="R5" s="171"/>
      <c r="S5" s="172"/>
      <c r="T5" s="4589" t="s">
        <v>66</v>
      </c>
      <c r="U5" s="4427" t="s">
        <v>169</v>
      </c>
      <c r="V5" s="4427" t="s">
        <v>2</v>
      </c>
      <c r="W5" s="25" t="s">
        <v>3</v>
      </c>
      <c r="X5" s="22"/>
      <c r="Y5" s="23"/>
      <c r="Z5" s="4587" t="s">
        <v>66</v>
      </c>
      <c r="AA5" s="4587" t="s">
        <v>2</v>
      </c>
      <c r="AB5" s="4594" t="s">
        <v>3</v>
      </c>
      <c r="AC5" s="4595"/>
      <c r="AD5" s="4596"/>
      <c r="AE5" s="4578" t="s">
        <v>66</v>
      </c>
      <c r="AF5" s="4580" t="s">
        <v>181</v>
      </c>
      <c r="AG5" s="4580" t="s">
        <v>2</v>
      </c>
      <c r="AH5" s="4582" t="s">
        <v>3</v>
      </c>
      <c r="AI5" s="4583"/>
      <c r="AJ5" s="4586"/>
      <c r="AK5" s="4578" t="s">
        <v>66</v>
      </c>
      <c r="AL5" s="4580" t="s">
        <v>179</v>
      </c>
      <c r="AM5" s="4580" t="s">
        <v>2</v>
      </c>
      <c r="AN5" s="4582" t="s">
        <v>3</v>
      </c>
      <c r="AO5" s="4583"/>
      <c r="AP5" s="4586"/>
      <c r="AQ5" s="4578" t="s">
        <v>66</v>
      </c>
      <c r="AR5" s="4580" t="s">
        <v>180</v>
      </c>
      <c r="AS5" s="4580" t="s">
        <v>2</v>
      </c>
      <c r="AT5" s="4582" t="s">
        <v>3</v>
      </c>
      <c r="AU5" s="4583"/>
      <c r="AV5" s="4584"/>
      <c r="AW5" s="106"/>
      <c r="AX5" s="106"/>
      <c r="AY5" s="106"/>
      <c r="AZ5" s="106"/>
      <c r="BA5" s="106"/>
      <c r="BB5" s="106"/>
      <c r="BC5" s="106"/>
      <c r="BD5" s="106"/>
      <c r="BE5" s="106"/>
      <c r="BF5" s="106"/>
      <c r="BG5" s="106"/>
      <c r="BH5" s="106"/>
      <c r="BI5" s="106"/>
      <c r="BJ5" s="106"/>
      <c r="BK5" s="106"/>
      <c r="BL5" s="106"/>
      <c r="BM5" s="106"/>
      <c r="BN5" s="106"/>
      <c r="BO5" s="106"/>
      <c r="BP5" s="106"/>
      <c r="BQ5" s="106"/>
      <c r="BR5" s="106"/>
      <c r="BS5" s="106"/>
      <c r="BT5" s="106"/>
      <c r="BU5" s="106"/>
      <c r="BV5" s="106"/>
      <c r="BW5" s="106"/>
      <c r="BX5" s="106"/>
      <c r="BY5" s="106"/>
      <c r="BZ5" s="106"/>
      <c r="CA5" s="106"/>
      <c r="CB5" s="106"/>
      <c r="CC5" s="106"/>
      <c r="CD5" s="106"/>
      <c r="CE5" s="106"/>
      <c r="CF5" s="106"/>
      <c r="CG5" s="106"/>
      <c r="CH5" s="106"/>
      <c r="CI5" s="106"/>
      <c r="CJ5" s="106"/>
      <c r="CK5" s="106"/>
      <c r="CL5" s="106"/>
      <c r="CM5" s="106"/>
      <c r="CN5" s="106"/>
      <c r="CO5" s="106"/>
    </row>
    <row r="6" spans="1:113" s="24" customFormat="1" ht="34.799999999999997">
      <c r="A6" s="4599"/>
      <c r="B6" s="4440"/>
      <c r="C6" s="4439"/>
      <c r="D6" s="4428"/>
      <c r="E6" s="6" t="s">
        <v>4</v>
      </c>
      <c r="F6" s="6" t="s">
        <v>5</v>
      </c>
      <c r="G6" s="6" t="s">
        <v>69</v>
      </c>
      <c r="H6" s="4588"/>
      <c r="I6" s="4588"/>
      <c r="J6" s="4588"/>
      <c r="K6" s="173" t="s">
        <v>4</v>
      </c>
      <c r="L6" s="173" t="s">
        <v>5</v>
      </c>
      <c r="M6" s="185" t="s">
        <v>69</v>
      </c>
      <c r="N6" s="4588"/>
      <c r="O6" s="4588"/>
      <c r="P6" s="4588"/>
      <c r="Q6" s="173" t="s">
        <v>4</v>
      </c>
      <c r="R6" s="173" t="s">
        <v>5</v>
      </c>
      <c r="S6" s="185" t="s">
        <v>69</v>
      </c>
      <c r="T6" s="4590"/>
      <c r="U6" s="4428"/>
      <c r="V6" s="4428"/>
      <c r="W6" s="6" t="s">
        <v>4</v>
      </c>
      <c r="X6" s="6" t="s">
        <v>5</v>
      </c>
      <c r="Y6" s="61" t="s">
        <v>69</v>
      </c>
      <c r="Z6" s="4588"/>
      <c r="AA6" s="4588"/>
      <c r="AB6" s="173" t="s">
        <v>4</v>
      </c>
      <c r="AC6" s="173" t="s">
        <v>5</v>
      </c>
      <c r="AD6" s="185" t="s">
        <v>69</v>
      </c>
      <c r="AE6" s="4579"/>
      <c r="AF6" s="4581"/>
      <c r="AG6" s="4581"/>
      <c r="AH6" s="182" t="s">
        <v>4</v>
      </c>
      <c r="AI6" s="182" t="s">
        <v>5</v>
      </c>
      <c r="AJ6" s="186" t="s">
        <v>69</v>
      </c>
      <c r="AK6" s="4579"/>
      <c r="AL6" s="4581"/>
      <c r="AM6" s="4581"/>
      <c r="AN6" s="182" t="s">
        <v>4</v>
      </c>
      <c r="AO6" s="182" t="s">
        <v>5</v>
      </c>
      <c r="AP6" s="186" t="s">
        <v>69</v>
      </c>
      <c r="AQ6" s="4579"/>
      <c r="AR6" s="4581"/>
      <c r="AS6" s="4581"/>
      <c r="AT6" s="182" t="s">
        <v>4</v>
      </c>
      <c r="AU6" s="182" t="s">
        <v>5</v>
      </c>
      <c r="AV6" s="2076" t="s">
        <v>69</v>
      </c>
      <c r="AW6" s="60"/>
      <c r="AX6" s="60"/>
      <c r="AY6" s="60"/>
      <c r="AZ6" s="60"/>
      <c r="BA6" s="60"/>
      <c r="BB6" s="60"/>
      <c r="BC6" s="60"/>
      <c r="BD6" s="60"/>
      <c r="BE6" s="60"/>
      <c r="BF6" s="60"/>
      <c r="BG6" s="60"/>
      <c r="BH6" s="60"/>
      <c r="BI6" s="60"/>
      <c r="BJ6" s="60"/>
      <c r="BK6" s="60"/>
      <c r="BL6" s="60"/>
      <c r="BM6" s="60"/>
      <c r="BN6" s="60"/>
      <c r="BO6" s="60"/>
      <c r="BP6" s="60"/>
      <c r="BQ6" s="60"/>
      <c r="BR6" s="60"/>
      <c r="BS6" s="60"/>
      <c r="BT6" s="60"/>
      <c r="BU6" s="60"/>
      <c r="BV6" s="60"/>
      <c r="BW6" s="60"/>
      <c r="BX6" s="60"/>
      <c r="BY6" s="60"/>
      <c r="BZ6" s="60"/>
      <c r="CA6" s="60"/>
      <c r="CB6" s="60"/>
      <c r="CC6" s="60"/>
      <c r="CD6" s="60"/>
      <c r="CE6" s="60"/>
      <c r="CF6" s="60"/>
      <c r="CG6" s="60"/>
      <c r="CH6" s="60"/>
      <c r="CI6" s="60"/>
      <c r="CJ6" s="60"/>
      <c r="CK6" s="60"/>
      <c r="CL6" s="60"/>
      <c r="CM6" s="60"/>
      <c r="CN6" s="60"/>
      <c r="CO6" s="60"/>
      <c r="CX6" s="60">
        <v>2017</v>
      </c>
      <c r="CY6" s="60" t="s">
        <v>154</v>
      </c>
      <c r="CZ6" s="60">
        <v>2018</v>
      </c>
      <c r="DA6" s="60" t="s">
        <v>159</v>
      </c>
      <c r="DB6" s="60">
        <v>2019</v>
      </c>
      <c r="DC6" s="60" t="s">
        <v>155</v>
      </c>
      <c r="DD6" s="60">
        <v>2020</v>
      </c>
      <c r="DE6" s="60" t="s">
        <v>156</v>
      </c>
      <c r="DF6" s="60">
        <v>2021</v>
      </c>
      <c r="DG6" s="60" t="s">
        <v>157</v>
      </c>
      <c r="DH6" s="60">
        <v>2022</v>
      </c>
      <c r="DI6" s="60" t="s">
        <v>158</v>
      </c>
    </row>
    <row r="7" spans="1:113" s="27" customFormat="1">
      <c r="A7" s="2622">
        <v>1</v>
      </c>
      <c r="B7" s="26">
        <v>2</v>
      </c>
      <c r="C7" s="26" t="s">
        <v>6</v>
      </c>
      <c r="D7" s="26"/>
      <c r="E7" s="26"/>
      <c r="F7" s="26"/>
      <c r="G7" s="26"/>
      <c r="H7" s="26" t="s">
        <v>81</v>
      </c>
      <c r="I7" s="26" t="s">
        <v>77</v>
      </c>
      <c r="J7" s="26">
        <v>6</v>
      </c>
      <c r="K7" s="26" t="s">
        <v>78</v>
      </c>
      <c r="L7" s="26">
        <v>8</v>
      </c>
      <c r="M7" s="26">
        <v>9</v>
      </c>
      <c r="N7" s="26" t="s">
        <v>79</v>
      </c>
      <c r="O7" s="26" t="s">
        <v>82</v>
      </c>
      <c r="P7" s="26">
        <v>12</v>
      </c>
      <c r="Q7" s="26" t="s">
        <v>80</v>
      </c>
      <c r="R7" s="26">
        <v>14</v>
      </c>
      <c r="S7" s="26">
        <v>15</v>
      </c>
      <c r="T7" s="62"/>
      <c r="U7" s="26"/>
      <c r="V7" s="26"/>
      <c r="W7" s="26"/>
      <c r="X7" s="26"/>
      <c r="Y7" s="26"/>
      <c r="Z7" s="26"/>
      <c r="AA7" s="26"/>
      <c r="AB7" s="26"/>
      <c r="AC7" s="26"/>
      <c r="AD7" s="26"/>
      <c r="AE7" s="1917"/>
      <c r="AF7" s="1918"/>
      <c r="AG7" s="1918"/>
      <c r="AH7" s="1918"/>
      <c r="AI7" s="1918"/>
      <c r="AJ7" s="1918"/>
      <c r="AK7" s="1917"/>
      <c r="AL7" s="1918"/>
      <c r="AM7" s="1918"/>
      <c r="AN7" s="1918"/>
      <c r="AO7" s="1918"/>
      <c r="AP7" s="1918"/>
      <c r="AQ7" s="1917"/>
      <c r="AR7" s="1918"/>
      <c r="AS7" s="1918"/>
      <c r="AT7" s="1918"/>
      <c r="AU7" s="1918"/>
      <c r="AV7" s="2077"/>
      <c r="AW7" s="107"/>
      <c r="AX7" s="107"/>
      <c r="AY7" s="107"/>
      <c r="AZ7" s="107"/>
      <c r="BA7" s="107"/>
      <c r="BB7" s="107"/>
      <c r="BC7" s="107"/>
      <c r="BD7" s="107"/>
      <c r="BE7" s="107"/>
      <c r="BF7" s="107"/>
      <c r="BG7" s="107"/>
      <c r="BH7" s="107"/>
      <c r="BI7" s="107"/>
      <c r="BJ7" s="107"/>
      <c r="BK7" s="107"/>
      <c r="BL7" s="107"/>
      <c r="BM7" s="107"/>
      <c r="BN7" s="107"/>
      <c r="BO7" s="107"/>
      <c r="BP7" s="107"/>
      <c r="BQ7" s="107"/>
      <c r="BR7" s="107"/>
      <c r="BS7" s="107"/>
      <c r="BT7" s="107"/>
      <c r="BU7" s="107"/>
      <c r="BV7" s="107"/>
      <c r="BW7" s="107"/>
      <c r="BX7" s="107"/>
      <c r="BY7" s="107"/>
      <c r="BZ7" s="107"/>
      <c r="CA7" s="107"/>
      <c r="CB7" s="107"/>
      <c r="CC7" s="107"/>
      <c r="CD7" s="107"/>
      <c r="CE7" s="107"/>
      <c r="CF7" s="107"/>
      <c r="CG7" s="107"/>
      <c r="CH7" s="107"/>
      <c r="CI7" s="107"/>
      <c r="CJ7" s="107"/>
      <c r="CK7" s="107"/>
      <c r="CL7" s="107"/>
      <c r="CM7" s="107"/>
      <c r="CN7" s="107"/>
      <c r="CO7" s="107"/>
    </row>
    <row r="8" spans="1:113" s="112" customFormat="1" ht="24" customHeight="1">
      <c r="A8" s="2078" t="s">
        <v>7</v>
      </c>
      <c r="B8" s="3589" t="s">
        <v>8</v>
      </c>
      <c r="C8" s="177">
        <f>SUM(C9+C49)</f>
        <v>7590000</v>
      </c>
      <c r="D8" s="109">
        <f>SUM(D9+D49)</f>
        <v>886000</v>
      </c>
      <c r="E8" s="109">
        <f>SUM(E9+E49)</f>
        <v>6704000</v>
      </c>
      <c r="F8" s="109">
        <f>SUM(F9+F49)</f>
        <v>3806650</v>
      </c>
      <c r="G8" s="109">
        <f>SUM(G9+G49)</f>
        <v>2897350</v>
      </c>
      <c r="H8" s="109">
        <f t="shared" ref="H8" si="0">SUM(H9,H49)</f>
        <v>4122717.4</v>
      </c>
      <c r="I8" s="110">
        <f>H8/C8*100</f>
        <v>54.317752305665344</v>
      </c>
      <c r="J8" s="109">
        <f>SUM(J9,J49)</f>
        <v>361798.32</v>
      </c>
      <c r="K8" s="109">
        <f>SUM(K9,K49)</f>
        <v>3760919.0799999996</v>
      </c>
      <c r="L8" s="109">
        <f>SUM(L9,L49)</f>
        <v>1852764.875</v>
      </c>
      <c r="M8" s="109">
        <f>SUM(M9,M49)</f>
        <v>1908154.2050000001</v>
      </c>
      <c r="N8" s="109">
        <f>SUM(N9,N49)</f>
        <v>4047682.5999999996</v>
      </c>
      <c r="O8" s="110">
        <f>N8/C8*100</f>
        <v>53.329151515151509</v>
      </c>
      <c r="P8" s="109">
        <f>SUM(P9,P49)</f>
        <v>296801.36000000004</v>
      </c>
      <c r="Q8" s="109">
        <f>SUM(Q9,Q49)</f>
        <v>3750881.2399999993</v>
      </c>
      <c r="R8" s="109">
        <f>SUM(R9,R49)</f>
        <v>2141675.3199999998</v>
      </c>
      <c r="S8" s="109">
        <f>SUM(S9,S49)</f>
        <v>1609205.9200000002</v>
      </c>
      <c r="T8" s="213">
        <f>SUM(T9+T49)</f>
        <v>8150745.3199999994</v>
      </c>
      <c r="U8" s="178">
        <f>T8/C8*100</f>
        <v>107.38794888010538</v>
      </c>
      <c r="V8" s="177">
        <f t="shared" ref="V8:AE8" si="1">SUM(V9+V49)</f>
        <v>700345.52</v>
      </c>
      <c r="W8" s="177">
        <f t="shared" si="1"/>
        <v>7450399.7999999998</v>
      </c>
      <c r="X8" s="177">
        <f t="shared" si="1"/>
        <v>3862350.7333333334</v>
      </c>
      <c r="Y8" s="177">
        <f t="shared" si="1"/>
        <v>3588049.0666666664</v>
      </c>
      <c r="Z8" s="177">
        <f t="shared" si="1"/>
        <v>560745.31999999983</v>
      </c>
      <c r="AA8" s="177">
        <f t="shared" si="1"/>
        <v>-185654.48</v>
      </c>
      <c r="AB8" s="177">
        <f t="shared" si="1"/>
        <v>746399.79999999981</v>
      </c>
      <c r="AC8" s="177">
        <f t="shared" si="1"/>
        <v>55700.733333333395</v>
      </c>
      <c r="AD8" s="177">
        <f t="shared" si="1"/>
        <v>690699.06666666653</v>
      </c>
      <c r="AE8" s="177">
        <f t="shared" si="1"/>
        <v>9266000</v>
      </c>
      <c r="AF8" s="179">
        <f>AE8/T8%</f>
        <v>113.68285520176211</v>
      </c>
      <c r="AG8" s="177">
        <f>SUM(AG9+AG49)</f>
        <v>781070</v>
      </c>
      <c r="AH8" s="177">
        <f>SUM(AH9+AH49)</f>
        <v>8484930</v>
      </c>
      <c r="AI8" s="177">
        <f>SUM(AI9+AI49)</f>
        <v>4545850</v>
      </c>
      <c r="AJ8" s="177">
        <f>SUM(AJ9+AJ49)</f>
        <v>3939080</v>
      </c>
      <c r="AK8" s="177">
        <f>SUM(AK9+AK49)</f>
        <v>10162499.699999999</v>
      </c>
      <c r="AL8" s="179">
        <f>AK8/AE8*100</f>
        <v>109.67515324843514</v>
      </c>
      <c r="AM8" s="177">
        <f>SUM(AM9+AM49)</f>
        <v>1048100.4796102489</v>
      </c>
      <c r="AN8" s="177">
        <f>SUM(AN9+AN49)</f>
        <v>9114399.2203897499</v>
      </c>
      <c r="AO8" s="177">
        <f>SUM(AO9+AO49)</f>
        <v>5618298.9626683053</v>
      </c>
      <c r="AP8" s="177">
        <f>SUM(AP9+AP49)</f>
        <v>3496100.2577214451</v>
      </c>
      <c r="AQ8" s="177">
        <f>SUM(AQ9+AQ49)</f>
        <v>11039000</v>
      </c>
      <c r="AR8" s="179">
        <f>AQ8/AK8*100</f>
        <v>108.62484945510012</v>
      </c>
      <c r="AS8" s="177">
        <f>SUM(AS9+AS49)</f>
        <v>1127999.4667532584</v>
      </c>
      <c r="AT8" s="177">
        <f>SUM(AT9+AT49)</f>
        <v>9911000.2332467418</v>
      </c>
      <c r="AU8" s="177">
        <f>SUM(AU9+AU49)</f>
        <v>6172099.8404007535</v>
      </c>
      <c r="AV8" s="2079">
        <f>SUM(AV9+AV49)</f>
        <v>3738900.3928459887</v>
      </c>
      <c r="AW8" s="2873">
        <f>AE8/$AE$8</f>
        <v>1</v>
      </c>
      <c r="AX8" s="108"/>
      <c r="AY8" s="108"/>
      <c r="AZ8" s="108"/>
      <c r="BA8" s="108"/>
      <c r="BB8" s="108"/>
      <c r="BC8" s="108"/>
      <c r="BD8" s="108"/>
      <c r="BE8" s="108"/>
      <c r="BF8" s="108"/>
      <c r="BG8" s="108"/>
      <c r="BH8" s="108"/>
      <c r="BI8" s="108"/>
      <c r="BJ8" s="108"/>
      <c r="BK8" s="108"/>
      <c r="BL8" s="108"/>
      <c r="BM8" s="108"/>
      <c r="BN8" s="108"/>
      <c r="BO8" s="108"/>
      <c r="BP8" s="108"/>
      <c r="BQ8" s="108"/>
      <c r="BR8" s="108"/>
      <c r="BS8" s="108"/>
      <c r="BT8" s="108"/>
      <c r="BU8" s="108"/>
      <c r="BV8" s="108"/>
      <c r="BW8" s="108"/>
      <c r="BX8" s="108"/>
      <c r="BY8" s="108"/>
      <c r="BZ8" s="108"/>
      <c r="CA8" s="108"/>
      <c r="CB8" s="108"/>
      <c r="CC8" s="108"/>
      <c r="CD8" s="108"/>
      <c r="CE8" s="108"/>
      <c r="CF8" s="108"/>
      <c r="CG8" s="108"/>
      <c r="CH8" s="108"/>
      <c r="CI8" s="108"/>
      <c r="CJ8" s="108"/>
      <c r="CK8" s="108"/>
      <c r="CL8" s="108"/>
      <c r="CM8" s="108"/>
      <c r="CN8" s="108"/>
      <c r="CO8" s="108"/>
      <c r="CP8" s="112">
        <v>4391783</v>
      </c>
      <c r="CQ8" s="113">
        <f>H8/CP8</f>
        <v>0.93873431360338155</v>
      </c>
      <c r="CR8" s="113">
        <f>1-CQ8</f>
        <v>6.1265686396618446E-2</v>
      </c>
      <c r="CX8" s="114">
        <f t="shared" ref="CX8:CZ8" si="2">SUM(CX9,CX49)</f>
        <v>3552584.8</v>
      </c>
      <c r="CY8" s="113">
        <f>H8/CX8</f>
        <v>1.1604838820455461</v>
      </c>
      <c r="CZ8" s="114">
        <f t="shared" si="2"/>
        <v>3658989</v>
      </c>
      <c r="DA8" s="113">
        <f>H8/CZ8</f>
        <v>1.1267367570659546</v>
      </c>
      <c r="DB8" s="114">
        <f t="shared" ref="DB8:DD8" si="3">SUM(DB9,DB49)</f>
        <v>4448232.7999999989</v>
      </c>
      <c r="DC8" s="113">
        <f>H8/DB8</f>
        <v>0.92682141096572124</v>
      </c>
      <c r="DD8" s="114">
        <f t="shared" si="3"/>
        <v>4391783</v>
      </c>
      <c r="DE8" s="113">
        <f>H8/DD8</f>
        <v>0.93873431360338155</v>
      </c>
      <c r="DF8" s="114">
        <f t="shared" ref="DF8:DH8" si="4">SUM(DF9,DF49)</f>
        <v>4485829</v>
      </c>
      <c r="DG8" s="113">
        <f>H8/DF8</f>
        <v>0.9190536242019034</v>
      </c>
      <c r="DH8" s="114">
        <f t="shared" si="4"/>
        <v>4189153.4</v>
      </c>
      <c r="DI8" s="115">
        <f>H8/DH8</f>
        <v>0.98414094838350874</v>
      </c>
    </row>
    <row r="9" spans="1:113" s="112" customFormat="1" ht="24" customHeight="1">
      <c r="A9" s="2080" t="s">
        <v>9</v>
      </c>
      <c r="B9" s="3590" t="s">
        <v>10</v>
      </c>
      <c r="C9" s="77">
        <f>SUM(C11+C17+C23+C28+C34+C35+C36+C37+C38+C39+C40+C41+C42+C43+C44+C45+C47+C48)</f>
        <v>7440000</v>
      </c>
      <c r="D9" s="18">
        <f>SUM(D11+D17+D23+D28+D34+D35+D36+D37+D38+D39+D40+D41+D42+D43+D44+D45+D47+D48)</f>
        <v>736000</v>
      </c>
      <c r="E9" s="18">
        <f>SUM(E11+E17+E23+E28+E34+E35+E36+E37+E38+E39+E40+E41+E42+E43+E44+E45+E47+E48)</f>
        <v>6704000</v>
      </c>
      <c r="F9" s="18">
        <f>SUM(F11+F17+F23+F28+F34+F35+F36+F37+F38+F39+F40+F41+F42+F43+F44+F45+F47+F48)</f>
        <v>3806650</v>
      </c>
      <c r="G9" s="18">
        <f>SUM(G11+G17+G23+G28+G34+G35+G36+G37+G38+G39+G40+G41+G42+G43+G44+G45+G47+G48)</f>
        <v>2897350</v>
      </c>
      <c r="H9" s="18">
        <f t="shared" ref="H9" si="5">SUM(H11,H17,H23,H28,H34,H35,H36,H37,H38,H39,H40,H41,H42,H43,H44,H45,H47,H48)</f>
        <v>4014717.4</v>
      </c>
      <c r="I9" s="111">
        <f>H9/C9*100</f>
        <v>53.961255376344084</v>
      </c>
      <c r="J9" s="18">
        <f t="shared" ref="J9:N9" si="6">SUM(J11,J17,J23,J28,J34,J35,J36,J37,J38,J39,J40,J41,J42,J43,J44,J45,J47,J48)</f>
        <v>253798.32</v>
      </c>
      <c r="K9" s="18">
        <f t="shared" si="6"/>
        <v>3760919.0799999996</v>
      </c>
      <c r="L9" s="18">
        <f t="shared" si="6"/>
        <v>1852764.875</v>
      </c>
      <c r="M9" s="18">
        <f t="shared" si="6"/>
        <v>1908154.2050000001</v>
      </c>
      <c r="N9" s="18">
        <f t="shared" si="6"/>
        <v>4005682.5999999996</v>
      </c>
      <c r="O9" s="111">
        <f>N9/C9*100</f>
        <v>53.839819892473116</v>
      </c>
      <c r="P9" s="18">
        <f t="shared" ref="P9:S9" si="7">SUM(P11,P17,P23,P28,P34,P35,P36,P37,P38,P39,P40,P41,P42,P43,P44,P45,P47,P48)</f>
        <v>254801.36000000004</v>
      </c>
      <c r="Q9" s="18">
        <f t="shared" si="7"/>
        <v>3750881.2399999993</v>
      </c>
      <c r="R9" s="18">
        <f t="shared" si="7"/>
        <v>2141675.3199999998</v>
      </c>
      <c r="S9" s="18">
        <f t="shared" si="7"/>
        <v>1609205.9200000002</v>
      </c>
      <c r="T9" s="79">
        <f>SUM(T11+T17+T23+T28+T34+T35+T36+T37+T38+T39+T40+T41+T42+T43+T44+T45+T47+T48)</f>
        <v>7999999.7999999998</v>
      </c>
      <c r="U9" s="179">
        <f>T9/C9*100</f>
        <v>107.52687903225807</v>
      </c>
      <c r="V9" s="77">
        <f t="shared" ref="V9:AA9" si="8">SUM(V11+V17+V23+V28+V34+V35+V36+V37+V38+V39+V40+V41+V42+V43+V44+V45+V47+V48)</f>
        <v>549600</v>
      </c>
      <c r="W9" s="77">
        <f t="shared" si="8"/>
        <v>7450399.7999999998</v>
      </c>
      <c r="X9" s="77">
        <f t="shared" si="8"/>
        <v>3862350.7333333334</v>
      </c>
      <c r="Y9" s="77">
        <f t="shared" si="8"/>
        <v>3588049.0666666664</v>
      </c>
      <c r="Z9" s="77">
        <f t="shared" si="8"/>
        <v>559999.79999999981</v>
      </c>
      <c r="AA9" s="77">
        <f t="shared" si="8"/>
        <v>-186400</v>
      </c>
      <c r="AB9" s="77">
        <f>SUM(AB11+AB17+AB23+AB28+AB34+AB35+AB36+AB37+AB38+AB39+AB40+AB41+AB42+AB43+AB44+AB45+AB47+AB48)</f>
        <v>746399.79999999981</v>
      </c>
      <c r="AC9" s="77">
        <f>SUM(AC11+AC17+AC23+AC28+AC34+AC35+AC36+AC37+AC38+AC39+AC40+AC41+AC42+AC43+AC44+AC45+AC47+AC48)</f>
        <v>55700.733333333395</v>
      </c>
      <c r="AD9" s="77">
        <f>SUM(AD11+AD17+AD23+AD28+AD34+AD35+AD36+AD37+AD38+AD39+AD40+AD41+AD42+AD43+AD44+AD45+AD47+AD48)</f>
        <v>690699.06666666653</v>
      </c>
      <c r="AE9" s="77">
        <f>SUM(AE11+AE17+AE23+AE28+AE34+AE35+AE36+AE37+AE38+AE39+AE40+AE41+AE42+AE43+AE44+AE45+AE47+AE48)</f>
        <v>9066000</v>
      </c>
      <c r="AF9" s="179">
        <f>AE9/T9%</f>
        <v>113.32500283312508</v>
      </c>
      <c r="AG9" s="77">
        <f>SUM(AG11+AG17+AG23+AG28+AG34+AG35+AG36+AG37+AG38+AG39+AG40+AG41+AG42+AG43+AG44+AG45+AG47+AG48)</f>
        <v>581070</v>
      </c>
      <c r="AH9" s="77">
        <f>SUM(AH11+AH17+AH23+AH28+AH34+AH35+AH36+AH37+AH38+AH39+AH40+AH41+AH42+AH43+AH44+AH45+AH47+AH48)</f>
        <v>8484930</v>
      </c>
      <c r="AI9" s="77">
        <f>SUM(AI11+AI17+AI23+AI28+AI34+AI35+AI36+AI37+AI38+AI39+AI40+AI41+AI42+AI43+AI44+AI45+AI47+AI48)</f>
        <v>4545850</v>
      </c>
      <c r="AJ9" s="77">
        <f>SUM(AJ11+AJ17+AJ23+AJ28+AJ34+AJ35+AJ36+AJ37+AJ38+AJ39+AJ40+AJ41+AJ42+AJ43+AJ44+AJ45+AJ47+AJ48)</f>
        <v>3939080</v>
      </c>
      <c r="AK9" s="77">
        <f>SUM(AK11+AK17+AK23+AK28+AK34+AK35+AK36+AK37+AK38+AK39+AK40+AK41+AK42+AK43+AK44+AK45+AK47+AK48)</f>
        <v>9999999.6999999993</v>
      </c>
      <c r="AL9" s="179">
        <f>AK9/AE9*100</f>
        <v>110.30222479594087</v>
      </c>
      <c r="AM9" s="77">
        <f>SUM(AM11+AM17+AM23+AM28+AM34+AM35+AM36+AM37+AM38+AM39+AM40+AM41+AM42+AM43+AM44+AM45+AM47+AM48)</f>
        <v>885600.47961024893</v>
      </c>
      <c r="AN9" s="77">
        <f>SUM(AN11+AN17+AN23+AN28+AN34+AN35+AN36+AN37+AN38+AN39+AN40+AN41+AN42+AN43+AN44+AN45+AN47+AN48)</f>
        <v>9114399.2203897499</v>
      </c>
      <c r="AO9" s="77">
        <f>SUM(AO11+AO17+AO23+AO28+AO34+AO35+AO36+AO37+AO38+AO39+AO40+AO41+AO42+AO43+AO44+AO45+AO47+AO48)</f>
        <v>5618298.9626683053</v>
      </c>
      <c r="AP9" s="77">
        <f>SUM(AP11+AP17+AP23+AP28+AP34+AP35+AP36+AP37+AP38+AP39+AP40+AP41+AP42+AP43+AP44+AP45+AP47+AP48)</f>
        <v>3496100.2577214451</v>
      </c>
      <c r="AQ9" s="77">
        <f>SUM(AQ11+AQ17+AQ23+AQ28+AQ34+AQ35+AQ36+AQ37+AQ38+AQ39+AQ40+AQ41+AQ42+AQ43+AQ44+AQ45+AQ47+AQ48)</f>
        <v>10870000</v>
      </c>
      <c r="AR9" s="179">
        <f>AQ9/AK9*100</f>
        <v>108.70000326100011</v>
      </c>
      <c r="AS9" s="77">
        <f>SUM(AS11+AS17+AS23+AS28+AS34+AS35+AS36+AS37+AS38+AS39+AS40+AS41+AS42+AS43+AS44+AS45+AS47+AS48)</f>
        <v>958999.46675325837</v>
      </c>
      <c r="AT9" s="77">
        <f>SUM(AT11+AT17+AT23+AT28+AT34+AT35+AT36+AT37+AT38+AT39+AT40+AT41+AT42+AT43+AT44+AT45+AT47+AT48)</f>
        <v>9911000.2332467418</v>
      </c>
      <c r="AU9" s="77">
        <f>SUM(AU11+AU17+AU23+AU28+AU34+AU35+AU36+AU37+AU38+AU39+AU40+AU41+AU42+AU43+AU44+AU45+AU47+AU48)</f>
        <v>6172099.8404007535</v>
      </c>
      <c r="AV9" s="2081">
        <f>SUM(AV11+AV17+AV23+AV28+AV34+AV35+AV36+AV37+AV38+AV39+AV40+AV41+AV42+AV43+AV44+AV45+AV47+AV48)</f>
        <v>3738900.3928459887</v>
      </c>
      <c r="AW9" s="2873">
        <f t="shared" ref="AW9:AW61" si="9">AE9/$AE$8</f>
        <v>0.97841571336067346</v>
      </c>
      <c r="AX9" s="108"/>
      <c r="AY9" s="108"/>
      <c r="AZ9" s="108"/>
      <c r="BA9" s="108"/>
      <c r="BB9" s="108"/>
      <c r="BC9" s="108"/>
      <c r="BD9" s="108"/>
      <c r="BE9" s="108"/>
      <c r="BF9" s="108"/>
      <c r="BG9" s="108"/>
      <c r="BH9" s="108"/>
      <c r="BI9" s="108"/>
      <c r="BJ9" s="108"/>
      <c r="BK9" s="108"/>
      <c r="BL9" s="108"/>
      <c r="BM9" s="108"/>
      <c r="BN9" s="108"/>
      <c r="BO9" s="108"/>
      <c r="BP9" s="108"/>
      <c r="BQ9" s="108"/>
      <c r="BR9" s="108"/>
      <c r="BS9" s="108"/>
      <c r="BT9" s="108"/>
      <c r="BU9" s="108"/>
      <c r="BV9" s="108"/>
      <c r="BW9" s="108"/>
      <c r="BX9" s="108"/>
      <c r="BY9" s="108"/>
      <c r="BZ9" s="108"/>
      <c r="CA9" s="108"/>
      <c r="CB9" s="108"/>
      <c r="CC9" s="108"/>
      <c r="CD9" s="108"/>
      <c r="CE9" s="108"/>
      <c r="CF9" s="108"/>
      <c r="CG9" s="108"/>
      <c r="CH9" s="108"/>
      <c r="CI9" s="108"/>
      <c r="CJ9" s="108"/>
      <c r="CK9" s="108"/>
      <c r="CL9" s="108"/>
      <c r="CM9" s="108"/>
      <c r="CN9" s="108"/>
      <c r="CO9" s="108"/>
      <c r="CP9" s="112">
        <v>4336847</v>
      </c>
      <c r="CQ9" s="113">
        <f>H9/CP9</f>
        <v>0.92572262752179169</v>
      </c>
      <c r="CR9" s="113">
        <f>1-CQ9</f>
        <v>7.4277372478208314E-2</v>
      </c>
      <c r="CX9" s="116">
        <f t="shared" ref="CX9:CZ9" si="10">SUM(CX11,CX17,CX23,CX28,CX34,CX35,CX36,CX37,CX38,CX39,CX40,CX41,CX42,CX43,CX44,CX45,CX47,CX48)</f>
        <v>3526945.8</v>
      </c>
      <c r="CY9" s="113">
        <f t="shared" ref="CY9:CY51" si="11">H9/CX9</f>
        <v>1.1382985811690103</v>
      </c>
      <c r="CZ9" s="116">
        <f t="shared" si="10"/>
        <v>3621090</v>
      </c>
      <c r="DA9" s="113">
        <f t="shared" ref="DA9:DA49" si="12">H9/CZ9</f>
        <v>1.1087041194778369</v>
      </c>
      <c r="DB9" s="116">
        <f t="shared" ref="DB9:DD9" si="13">SUM(DB11,DB17,DB23,DB28,DB34,DB35,DB36,DB37,DB38,DB39,DB40,DB41,DB42,DB43,DB44,DB45,DB47,DB48)</f>
        <v>4411015.7999999989</v>
      </c>
      <c r="DC9" s="113">
        <f t="shared" ref="DC9:DC49" si="14">H9/DB9</f>
        <v>0.91015711165668478</v>
      </c>
      <c r="DD9" s="116">
        <f t="shared" si="13"/>
        <v>4336847</v>
      </c>
      <c r="DE9" s="113">
        <f t="shared" ref="DE9:DE49" si="15">H9/DD9</f>
        <v>0.92572262752179169</v>
      </c>
      <c r="DF9" s="116">
        <f t="shared" ref="DF9:DH9" si="16">SUM(DF11,DF17,DF23,DF28,DF34,DF35,DF36,DF37,DF38,DF39,DF40,DF41,DF42,DF43,DF44,DF45,DF47,DF48)</f>
        <v>4396139.5</v>
      </c>
      <c r="DG9" s="113">
        <f t="shared" ref="DG9:DG51" si="17">H9/DF9</f>
        <v>0.91323703444806514</v>
      </c>
      <c r="DH9" s="116">
        <f t="shared" si="16"/>
        <v>3968767.9</v>
      </c>
      <c r="DI9" s="115">
        <f>H9/DH9</f>
        <v>1.0115777745531553</v>
      </c>
    </row>
    <row r="10" spans="1:113" s="3607" customFormat="1" ht="24" customHeight="1">
      <c r="A10" s="3597"/>
      <c r="B10" s="3591" t="s">
        <v>2761</v>
      </c>
      <c r="C10" s="3598">
        <f>C9-C40-C48-C45</f>
        <v>4890000</v>
      </c>
      <c r="D10" s="3599">
        <f t="shared" ref="D10:H10" si="18">D9-D40-D48-D45</f>
        <v>736000</v>
      </c>
      <c r="E10" s="3599">
        <f>E9-E40-E48-E45</f>
        <v>4154000</v>
      </c>
      <c r="F10" s="3599">
        <f>F9-F40-F48-F45</f>
        <v>2056650</v>
      </c>
      <c r="G10" s="3599">
        <f t="shared" si="18"/>
        <v>2097350</v>
      </c>
      <c r="H10" s="3599">
        <f t="shared" si="18"/>
        <v>2599035.4</v>
      </c>
      <c r="I10" s="3600">
        <f>H10/C10*100</f>
        <v>53.150008179959094</v>
      </c>
      <c r="J10" s="3599">
        <f>J9-J40-J48-J45</f>
        <v>253798.32</v>
      </c>
      <c r="K10" s="3599">
        <f>K9-K40-K48-K45</f>
        <v>2345237.0799999996</v>
      </c>
      <c r="L10" s="3599">
        <f>L9-L40-L48-L45</f>
        <v>883288.875</v>
      </c>
      <c r="M10" s="3599">
        <f>M9-M40-M48-M45</f>
        <v>1461948.2050000001</v>
      </c>
      <c r="N10" s="3599">
        <f>N9-N40-N48-N45</f>
        <v>2326364.6999999997</v>
      </c>
      <c r="O10" s="3600">
        <f>N10/C10*100</f>
        <v>47.573920245398767</v>
      </c>
      <c r="P10" s="3599">
        <f>P9-P40-P48-P45</f>
        <v>254801.36000000004</v>
      </c>
      <c r="Q10" s="3599">
        <f>Q9-Q40-Q48-Q45</f>
        <v>2071563.3399999994</v>
      </c>
      <c r="R10" s="3599">
        <f>R9-R40-R48-R45</f>
        <v>1016151.4199999998</v>
      </c>
      <c r="S10" s="3599">
        <f>S9-S40-S48-S45</f>
        <v>1055411.9200000002</v>
      </c>
      <c r="T10" s="3601">
        <f>T9-T40-T48-T45+T45</f>
        <v>4969999.8</v>
      </c>
      <c r="U10" s="3602">
        <f t="shared" ref="U10:U60" si="19">T10/C10*100</f>
        <v>101.63598773006134</v>
      </c>
      <c r="V10" s="3598">
        <f t="shared" ref="V10" si="20">V9-V40-V48-V45</f>
        <v>549600</v>
      </c>
      <c r="W10" s="3601">
        <f>W9-W40-W48-W45+W45</f>
        <v>4420399.8</v>
      </c>
      <c r="X10" s="3601">
        <f>X9-X40-X48-X45+X45</f>
        <v>1812350.7333333334</v>
      </c>
      <c r="Y10" s="3601">
        <f>Y9-Y40-Y48-Y45+Y45</f>
        <v>2608049.0666666664</v>
      </c>
      <c r="Z10" s="3601">
        <f t="shared" ref="Z10:AA10" si="21">Z9-Z40-Z48-Z45+Z45</f>
        <v>29999.799999999814</v>
      </c>
      <c r="AA10" s="3601">
        <f t="shared" si="21"/>
        <v>-186400</v>
      </c>
      <c r="AB10" s="3601">
        <f>AB9-AB40-AB48-AB45+AB45</f>
        <v>216399.79999999981</v>
      </c>
      <c r="AC10" s="3601">
        <f>AC9-AC40-AC48-AC45+AC45</f>
        <v>-294299.2666666666</v>
      </c>
      <c r="AD10" s="3601">
        <f>AD9-AD40-AD48-AD45+AD45</f>
        <v>510699.06666666653</v>
      </c>
      <c r="AE10" s="3598">
        <f>AE9-AE40-AE48-AE45</f>
        <v>5309000</v>
      </c>
      <c r="AF10" s="3603">
        <f>AE10/T10%</f>
        <v>106.82092985194889</v>
      </c>
      <c r="AG10" s="3598">
        <f>AG9-AG40-AG48-AG46</f>
        <v>581070</v>
      </c>
      <c r="AH10" s="3598">
        <f>AH9-AH40-AH48-AH45</f>
        <v>4727930</v>
      </c>
      <c r="AI10" s="3598">
        <f>AI9-AI40-AI48-AI45</f>
        <v>1931850</v>
      </c>
      <c r="AJ10" s="3598">
        <f>AJ9-AJ40-AJ48-AJ45</f>
        <v>2796080</v>
      </c>
      <c r="AK10" s="3598">
        <f>AK9-AK40-AK48-AK45</f>
        <v>6363999.6999999993</v>
      </c>
      <c r="AL10" s="3603">
        <f>AK10/AE10*100</f>
        <v>119.87190996421171</v>
      </c>
      <c r="AM10" s="3598">
        <f>AM9-AM40-AM48-AM45</f>
        <v>885600.47961024893</v>
      </c>
      <c r="AN10" s="3598">
        <f>AN9-AN40-AN48-AN45</f>
        <v>5478399.2203897499</v>
      </c>
      <c r="AO10" s="3598">
        <f>AO9-AO40-AO48-AO45</f>
        <v>2757199.2169055939</v>
      </c>
      <c r="AP10" s="3598">
        <f>AP9-AP40-AP48-AP45</f>
        <v>2721200.0034841569</v>
      </c>
      <c r="AQ10" s="3598">
        <f>AQ9-AQ40-AQ48-AQ45</f>
        <v>6990000</v>
      </c>
      <c r="AR10" s="3603">
        <f>AQ10/AK10*100</f>
        <v>109.83658594452794</v>
      </c>
      <c r="AS10" s="3598">
        <f>AS9-AS40-AS48-AS45</f>
        <v>958999.46675325837</v>
      </c>
      <c r="AT10" s="3598">
        <f>AT9-AT40-AT48-AT45</f>
        <v>6031000.2332467418</v>
      </c>
      <c r="AU10" s="3598">
        <f>AU9-AU40-AU48-AU45</f>
        <v>3105700.1073499061</v>
      </c>
      <c r="AV10" s="3604">
        <f>AV9-AV40-AV48-AV45</f>
        <v>2925300.1258968362</v>
      </c>
      <c r="AW10" s="3605">
        <f t="shared" si="9"/>
        <v>0.57295488884092383</v>
      </c>
      <c r="AX10" s="3606"/>
      <c r="AY10" s="3606"/>
      <c r="AZ10" s="3606"/>
      <c r="BA10" s="3606"/>
      <c r="BB10" s="3606"/>
      <c r="BC10" s="3606"/>
      <c r="BD10" s="3606"/>
      <c r="BE10" s="3606"/>
      <c r="BF10" s="3606"/>
      <c r="BG10" s="3606"/>
      <c r="BH10" s="3606"/>
      <c r="BI10" s="3606"/>
      <c r="BJ10" s="3606"/>
      <c r="BK10" s="3606"/>
      <c r="BL10" s="3606"/>
      <c r="BM10" s="3606"/>
      <c r="BN10" s="3606"/>
      <c r="BO10" s="3606"/>
      <c r="BP10" s="3606"/>
      <c r="BQ10" s="3606"/>
      <c r="BR10" s="3606"/>
      <c r="BS10" s="3606"/>
      <c r="BT10" s="3606"/>
      <c r="BU10" s="3606"/>
      <c r="BV10" s="3606"/>
      <c r="BW10" s="3606"/>
      <c r="BX10" s="3606"/>
      <c r="BY10" s="3606"/>
      <c r="BZ10" s="3606"/>
      <c r="CA10" s="3606"/>
      <c r="CB10" s="3606"/>
      <c r="CC10" s="3606"/>
      <c r="CD10" s="3606"/>
      <c r="CE10" s="3606"/>
      <c r="CF10" s="3606"/>
      <c r="CG10" s="3606"/>
      <c r="CH10" s="3606"/>
      <c r="CI10" s="3606"/>
      <c r="CJ10" s="3606"/>
      <c r="CK10" s="3606"/>
      <c r="CL10" s="3606"/>
      <c r="CM10" s="3606"/>
      <c r="CN10" s="3606"/>
      <c r="CO10" s="3606"/>
      <c r="CX10" s="3608">
        <f t="shared" ref="CX10:CZ10" si="22">CX9-CX40-CX48-CX45</f>
        <v>2346480.4</v>
      </c>
      <c r="CY10" s="3609">
        <f t="shared" si="11"/>
        <v>1.1076314125615538</v>
      </c>
      <c r="CZ10" s="3608">
        <f t="shared" si="22"/>
        <v>2358095</v>
      </c>
      <c r="DA10" s="3609">
        <f t="shared" si="12"/>
        <v>1.1021758665363355</v>
      </c>
      <c r="DB10" s="3608">
        <f t="shared" ref="DB10:DD10" si="23">DB9-DB40-DB48-DB45</f>
        <v>3176806.399999999</v>
      </c>
      <c r="DC10" s="3609">
        <f t="shared" si="14"/>
        <v>0.81812835683030627</v>
      </c>
      <c r="DD10" s="3608">
        <f t="shared" si="23"/>
        <v>2805095</v>
      </c>
      <c r="DE10" s="3609">
        <f t="shared" si="15"/>
        <v>0.92654095494091993</v>
      </c>
      <c r="DF10" s="3608">
        <f t="shared" ref="DF10" si="24">DF9-DF40-DF48-DF45</f>
        <v>2726793.5</v>
      </c>
      <c r="DG10" s="3609">
        <f t="shared" si="17"/>
        <v>0.95314713050328159</v>
      </c>
      <c r="DH10" s="3608">
        <f>DH9-DH40-DH48-DH45</f>
        <v>2607316</v>
      </c>
      <c r="DI10" s="3610">
        <f>H10/DH10</f>
        <v>0.99682409036725883</v>
      </c>
    </row>
    <row r="11" spans="1:113" s="166" customFormat="1" ht="24" customHeight="1">
      <c r="A11" s="2082">
        <v>1</v>
      </c>
      <c r="B11" s="3592" t="s">
        <v>103</v>
      </c>
      <c r="C11" s="59">
        <f>SUM(C12:C16)</f>
        <v>250000</v>
      </c>
      <c r="D11" s="14">
        <f>SUM(D12:D16)</f>
        <v>0</v>
      </c>
      <c r="E11" s="14">
        <f>SUM(E12:E16)</f>
        <v>250000</v>
      </c>
      <c r="F11" s="14">
        <f>SUM(F12:F16)</f>
        <v>250000</v>
      </c>
      <c r="G11" s="14">
        <v>0</v>
      </c>
      <c r="H11" s="14">
        <f>SUM(H12:H16)</f>
        <v>100315</v>
      </c>
      <c r="I11" s="176">
        <f>H11/C11*100</f>
        <v>40.125999999999998</v>
      </c>
      <c r="J11" s="14">
        <f>SUM(J12:J16)</f>
        <v>0</v>
      </c>
      <c r="K11" s="14">
        <f>SUM(K12:K16)</f>
        <v>100315</v>
      </c>
      <c r="L11" s="14">
        <f>SUM(L12:L16)</f>
        <v>100315</v>
      </c>
      <c r="M11" s="14">
        <f>SUM(M12:M16)</f>
        <v>0</v>
      </c>
      <c r="N11" s="14">
        <f>SUM(N12:N16)</f>
        <v>129685</v>
      </c>
      <c r="O11" s="176">
        <f>N11/C11*100</f>
        <v>51.873999999999995</v>
      </c>
      <c r="P11" s="14">
        <f>SUM(P12:P16)</f>
        <v>0</v>
      </c>
      <c r="Q11" s="14">
        <f>SUM(Q12:Q16)</f>
        <v>129685</v>
      </c>
      <c r="R11" s="14">
        <f>SUM(R12:R16)</f>
        <v>129685</v>
      </c>
      <c r="S11" s="14">
        <f>SUM(S12:S16)</f>
        <v>0</v>
      </c>
      <c r="T11" s="2102">
        <f>SUM(T12:T16)</f>
        <v>210000</v>
      </c>
      <c r="U11" s="188">
        <f>T11/C11*100</f>
        <v>84</v>
      </c>
      <c r="V11" s="59">
        <f t="shared" ref="V11:V60" si="25">P11+J11</f>
        <v>0</v>
      </c>
      <c r="W11" s="187">
        <f>SUM(W12:W16)</f>
        <v>210000</v>
      </c>
      <c r="X11" s="187">
        <f t="shared" ref="X11:Y11" si="26">SUM(X12:X16)</f>
        <v>210000</v>
      </c>
      <c r="Y11" s="187">
        <f t="shared" si="26"/>
        <v>0</v>
      </c>
      <c r="Z11" s="59">
        <f>T11-C11</f>
        <v>-40000</v>
      </c>
      <c r="AA11" s="59">
        <f t="shared" ref="AA11:AA61" si="27">V11-D11</f>
        <v>0</v>
      </c>
      <c r="AB11" s="59">
        <f t="shared" ref="AB11:AB45" si="28">W11-E11</f>
        <v>-40000</v>
      </c>
      <c r="AC11" s="187">
        <f>SUM(AC12:AC16)</f>
        <v>-40000</v>
      </c>
      <c r="AD11" s="59">
        <f t="shared" ref="AD11:AD61" si="29">Y11-G11</f>
        <v>0</v>
      </c>
      <c r="AE11" s="187">
        <f>SUM(AE12:AE16)</f>
        <v>230000</v>
      </c>
      <c r="AF11" s="188">
        <f t="shared" ref="AF11:AF16" si="30">AE11/T11%</f>
        <v>109.52380952380952</v>
      </c>
      <c r="AG11" s="187">
        <f>SUM(AG12:AG16)</f>
        <v>0</v>
      </c>
      <c r="AH11" s="187">
        <f>SUM(AH12:AH16)</f>
        <v>230000</v>
      </c>
      <c r="AI11" s="187">
        <f>SUM(AI12:AI16)</f>
        <v>230000</v>
      </c>
      <c r="AJ11" s="187">
        <f>SUM(AJ12:AJ16)</f>
        <v>0</v>
      </c>
      <c r="AK11" s="187">
        <f>SUM(AK12:AK16)</f>
        <v>309999.7</v>
      </c>
      <c r="AL11" s="188">
        <f>AK11/AE11*100</f>
        <v>134.78247826086957</v>
      </c>
      <c r="AM11" s="187">
        <f>SUM(AM12:AM16)</f>
        <v>0</v>
      </c>
      <c r="AN11" s="187">
        <f>SUM(AN12:AN16)</f>
        <v>309999.7</v>
      </c>
      <c r="AO11" s="187">
        <f>SUM(AO12:AO16)</f>
        <v>309999.7</v>
      </c>
      <c r="AP11" s="187">
        <f>SUM(AP12:AP16)</f>
        <v>0</v>
      </c>
      <c r="AQ11" s="187">
        <f>SUM(AQ12:AQ16)</f>
        <v>340000</v>
      </c>
      <c r="AR11" s="188">
        <f>AQ11/AK11*100</f>
        <v>109.67752549437949</v>
      </c>
      <c r="AS11" s="187">
        <f>SUM(AS12:AS16)</f>
        <v>0</v>
      </c>
      <c r="AT11" s="187">
        <f>SUM(AT12:AT16)</f>
        <v>340000</v>
      </c>
      <c r="AU11" s="187">
        <f>SUM(AU12:AU16)</f>
        <v>340000</v>
      </c>
      <c r="AV11" s="2083">
        <f>SUM(AV12:AV16)</f>
        <v>0</v>
      </c>
      <c r="AW11" s="2873">
        <f t="shared" si="9"/>
        <v>2.4821929635225556E-2</v>
      </c>
      <c r="AX11" s="175"/>
      <c r="AY11" s="175"/>
      <c r="AZ11" s="175"/>
      <c r="BA11" s="175"/>
      <c r="BB11" s="175"/>
      <c r="BC11" s="175"/>
      <c r="BD11" s="175"/>
      <c r="BE11" s="175"/>
      <c r="BF11" s="175"/>
      <c r="BG11" s="175"/>
      <c r="BH11" s="175"/>
      <c r="BI11" s="175"/>
      <c r="BJ11" s="175"/>
      <c r="BK11" s="175"/>
      <c r="BL11" s="175"/>
      <c r="BM11" s="175"/>
      <c r="BN11" s="175"/>
      <c r="BO11" s="175"/>
      <c r="BP11" s="175"/>
      <c r="BQ11" s="175"/>
      <c r="BR11" s="175"/>
      <c r="BS11" s="175"/>
      <c r="BT11" s="175"/>
      <c r="BU11" s="175"/>
      <c r="BV11" s="175"/>
      <c r="BW11" s="175"/>
      <c r="BX11" s="175"/>
      <c r="BY11" s="175"/>
      <c r="BZ11" s="175"/>
      <c r="CA11" s="175"/>
      <c r="CB11" s="175"/>
      <c r="CC11" s="175"/>
      <c r="CD11" s="175"/>
      <c r="CE11" s="175"/>
      <c r="CF11" s="175"/>
      <c r="CG11" s="175"/>
      <c r="CH11" s="175"/>
      <c r="CI11" s="175"/>
      <c r="CJ11" s="175"/>
      <c r="CK11" s="175"/>
      <c r="CL11" s="175"/>
      <c r="CM11" s="175"/>
      <c r="CN11" s="175"/>
      <c r="CO11" s="175"/>
      <c r="CX11" s="166">
        <v>98946</v>
      </c>
      <c r="CY11" s="113">
        <f t="shared" si="11"/>
        <v>1.0138358296444525</v>
      </c>
      <c r="CZ11" s="166">
        <v>104189</v>
      </c>
      <c r="DA11" s="113">
        <f t="shared" si="12"/>
        <v>0.96281757191258199</v>
      </c>
      <c r="DB11" s="166">
        <v>108544</v>
      </c>
      <c r="DC11" s="113">
        <f t="shared" si="14"/>
        <v>0.92418742629716977</v>
      </c>
      <c r="DD11" s="166">
        <v>89119</v>
      </c>
      <c r="DE11" s="113">
        <f t="shared" si="15"/>
        <v>1.1256297759175933</v>
      </c>
      <c r="DF11" s="166">
        <v>138252</v>
      </c>
      <c r="DG11" s="113">
        <f t="shared" si="17"/>
        <v>0.72559528976072674</v>
      </c>
      <c r="DH11" s="166">
        <v>123142</v>
      </c>
      <c r="DI11" s="115">
        <f t="shared" ref="DI11:DI49" si="31">H11/DH11</f>
        <v>0.81462864010654368</v>
      </c>
    </row>
    <row r="12" spans="1:113" s="166" customFormat="1" hidden="1">
      <c r="A12" s="2082"/>
      <c r="B12" s="3593" t="s">
        <v>11</v>
      </c>
      <c r="C12" s="183">
        <v>196000</v>
      </c>
      <c r="D12" s="13"/>
      <c r="E12" s="13">
        <f t="shared" ref="E12:E16" si="32">C12-D12</f>
        <v>196000</v>
      </c>
      <c r="F12" s="51">
        <f>E12</f>
        <v>196000</v>
      </c>
      <c r="G12" s="13">
        <v>0</v>
      </c>
      <c r="H12" s="53">
        <v>66348</v>
      </c>
      <c r="I12" s="102"/>
      <c r="J12" s="13">
        <f>0</f>
        <v>0</v>
      </c>
      <c r="K12" s="13">
        <f t="shared" ref="K12:K16" si="33">H12-J12</f>
        <v>66348</v>
      </c>
      <c r="L12" s="13">
        <f t="shared" ref="L12:L16" si="34">K12-M12</f>
        <v>66348</v>
      </c>
      <c r="M12" s="13">
        <v>0</v>
      </c>
      <c r="N12" s="53">
        <v>99415</v>
      </c>
      <c r="O12" s="102"/>
      <c r="P12" s="13">
        <f>0</f>
        <v>0</v>
      </c>
      <c r="Q12" s="13">
        <f t="shared" ref="Q12:Q16" si="35">N12-P12</f>
        <v>99415</v>
      </c>
      <c r="R12" s="13">
        <f t="shared" ref="R12:R16" si="36">Q12-S12</f>
        <v>99415</v>
      </c>
      <c r="S12" s="13">
        <v>0</v>
      </c>
      <c r="T12" s="2103">
        <v>154000</v>
      </c>
      <c r="U12" s="180">
        <f>T12/C12*100</f>
        <v>78.571428571428569</v>
      </c>
      <c r="V12" s="30">
        <f t="shared" si="25"/>
        <v>0</v>
      </c>
      <c r="W12" s="30">
        <f>X12+Y12</f>
        <v>154000</v>
      </c>
      <c r="X12" s="30">
        <f>T12</f>
        <v>154000</v>
      </c>
      <c r="Y12" s="30">
        <f t="shared" ref="Y12:Y60" si="37">S12+M12</f>
        <v>0</v>
      </c>
      <c r="Z12" s="30">
        <f>T12-C12</f>
        <v>-42000</v>
      </c>
      <c r="AA12" s="30">
        <f t="shared" si="27"/>
        <v>0</v>
      </c>
      <c r="AB12" s="30">
        <f t="shared" si="28"/>
        <v>-42000</v>
      </c>
      <c r="AC12" s="30">
        <f t="shared" ref="AC12:AC45" si="38">X12-F12</f>
        <v>-42000</v>
      </c>
      <c r="AD12" s="30">
        <f t="shared" si="29"/>
        <v>0</v>
      </c>
      <c r="AE12" s="80">
        <f>170000</f>
        <v>170000</v>
      </c>
      <c r="AF12" s="180">
        <f t="shared" si="30"/>
        <v>110.3896103896104</v>
      </c>
      <c r="AG12" s="30"/>
      <c r="AH12" s="30">
        <f>SUM(AI12:AJ12)</f>
        <v>170000</v>
      </c>
      <c r="AI12" s="30">
        <f>AE12</f>
        <v>170000</v>
      </c>
      <c r="AJ12" s="2605"/>
      <c r="AK12" s="80">
        <f>182000+62000</f>
        <v>244000</v>
      </c>
      <c r="AL12" s="180">
        <f t="shared" ref="AL12:AL58" si="39">AK12/AE12*100</f>
        <v>143.52941176470588</v>
      </c>
      <c r="AM12" s="30"/>
      <c r="AN12" s="30">
        <f>SUM(AO12:AP12)</f>
        <v>244000</v>
      </c>
      <c r="AO12" s="30">
        <f>AK12</f>
        <v>244000</v>
      </c>
      <c r="AP12" s="30"/>
      <c r="AQ12" s="80">
        <f>217000+51000</f>
        <v>268000</v>
      </c>
      <c r="AR12" s="180">
        <f>AQ12/AK12*100</f>
        <v>109.8360655737705</v>
      </c>
      <c r="AS12" s="30"/>
      <c r="AT12" s="30">
        <f>SUM(AU12:AV12)</f>
        <v>268000</v>
      </c>
      <c r="AU12" s="30">
        <f>AQ12</f>
        <v>268000</v>
      </c>
      <c r="AV12" s="2085">
        <f t="shared" ref="AV12:AV27" si="40">AP12+AJ12</f>
        <v>0</v>
      </c>
      <c r="AW12" s="2873">
        <f t="shared" si="9"/>
        <v>1.8346643643427585E-2</v>
      </c>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Y12" s="189" t="e">
        <f t="shared" si="11"/>
        <v>#DIV/0!</v>
      </c>
      <c r="DA12" s="189" t="e">
        <f t="shared" si="12"/>
        <v>#DIV/0!</v>
      </c>
      <c r="DC12" s="189" t="e">
        <f t="shared" si="14"/>
        <v>#DIV/0!</v>
      </c>
      <c r="DE12" s="189" t="e">
        <f t="shared" si="15"/>
        <v>#DIV/0!</v>
      </c>
      <c r="DG12" s="189" t="e">
        <f t="shared" si="17"/>
        <v>#DIV/0!</v>
      </c>
      <c r="DI12" s="190" t="e">
        <f t="shared" si="31"/>
        <v>#DIV/0!</v>
      </c>
    </row>
    <row r="13" spans="1:113" s="166" customFormat="1" hidden="1">
      <c r="A13" s="2082"/>
      <c r="B13" s="3593" t="s">
        <v>12</v>
      </c>
      <c r="C13" s="183">
        <v>12000</v>
      </c>
      <c r="D13" s="13"/>
      <c r="E13" s="13">
        <f t="shared" si="32"/>
        <v>12000</v>
      </c>
      <c r="F13" s="51">
        <f>E13</f>
        <v>12000</v>
      </c>
      <c r="G13" s="13">
        <v>0</v>
      </c>
      <c r="H13" s="53">
        <v>15237</v>
      </c>
      <c r="I13" s="102"/>
      <c r="J13" s="13">
        <f>0</f>
        <v>0</v>
      </c>
      <c r="K13" s="13">
        <f t="shared" si="33"/>
        <v>15237</v>
      </c>
      <c r="L13" s="13">
        <f t="shared" si="34"/>
        <v>15237</v>
      </c>
      <c r="M13" s="13">
        <v>0</v>
      </c>
      <c r="N13" s="53">
        <v>10000</v>
      </c>
      <c r="O13" s="102"/>
      <c r="P13" s="13">
        <f>0</f>
        <v>0</v>
      </c>
      <c r="Q13" s="13">
        <f t="shared" si="35"/>
        <v>10000</v>
      </c>
      <c r="R13" s="13">
        <f t="shared" si="36"/>
        <v>10000</v>
      </c>
      <c r="S13" s="13">
        <v>0</v>
      </c>
      <c r="T13" s="2103">
        <v>37000</v>
      </c>
      <c r="U13" s="180">
        <f>T13/C13*100</f>
        <v>308.33333333333337</v>
      </c>
      <c r="V13" s="30">
        <f t="shared" si="25"/>
        <v>0</v>
      </c>
      <c r="W13" s="30">
        <f t="shared" ref="W13:W15" si="41">X13+Y13</f>
        <v>37000</v>
      </c>
      <c r="X13" s="30">
        <f>T13</f>
        <v>37000</v>
      </c>
      <c r="Y13" s="30">
        <f t="shared" si="37"/>
        <v>0</v>
      </c>
      <c r="Z13" s="30">
        <f t="shared" ref="Z13:Z61" si="42">T13-C13</f>
        <v>25000</v>
      </c>
      <c r="AA13" s="30">
        <f t="shared" si="27"/>
        <v>0</v>
      </c>
      <c r="AB13" s="30">
        <f t="shared" si="28"/>
        <v>25000</v>
      </c>
      <c r="AC13" s="30">
        <f t="shared" si="38"/>
        <v>25000</v>
      </c>
      <c r="AD13" s="30">
        <f t="shared" si="29"/>
        <v>0</v>
      </c>
      <c r="AE13" s="80">
        <v>20000</v>
      </c>
      <c r="AF13" s="180">
        <f t="shared" si="30"/>
        <v>54.054054054054056</v>
      </c>
      <c r="AG13" s="30"/>
      <c r="AH13" s="30">
        <f t="shared" ref="AH13:AH16" si="43">SUM(AI13:AJ13)</f>
        <v>20000</v>
      </c>
      <c r="AI13" s="30">
        <f t="shared" ref="AI13:AI16" si="44">AE13</f>
        <v>20000</v>
      </c>
      <c r="AJ13" s="2605"/>
      <c r="AK13" s="80">
        <f>22000-8000</f>
        <v>14000</v>
      </c>
      <c r="AL13" s="180">
        <f t="shared" si="39"/>
        <v>70</v>
      </c>
      <c r="AM13" s="30"/>
      <c r="AN13" s="30">
        <f t="shared" ref="AN13:AN16" si="45">SUM(AO13:AP13)</f>
        <v>14000</v>
      </c>
      <c r="AO13" s="30">
        <f>AK13</f>
        <v>14000</v>
      </c>
      <c r="AP13" s="30"/>
      <c r="AQ13" s="80">
        <f>25000-10000</f>
        <v>15000</v>
      </c>
      <c r="AR13" s="180">
        <f t="shared" ref="AR13:AR14" si="46">AQ13/AK13*100</f>
        <v>107.14285714285714</v>
      </c>
      <c r="AS13" s="30"/>
      <c r="AT13" s="30">
        <f t="shared" ref="AT13:AT16" si="47">SUM(AU13:AV13)</f>
        <v>15000</v>
      </c>
      <c r="AU13" s="30">
        <f>AQ13</f>
        <v>15000</v>
      </c>
      <c r="AV13" s="2085">
        <f t="shared" si="40"/>
        <v>0</v>
      </c>
      <c r="AW13" s="2873">
        <f t="shared" si="9"/>
        <v>2.1584286639326571E-3</v>
      </c>
      <c r="AX13" s="73"/>
      <c r="AY13" s="73"/>
      <c r="AZ13" s="73"/>
      <c r="BA13" s="73"/>
      <c r="BB13" s="73"/>
      <c r="BC13" s="73"/>
      <c r="BD13" s="73"/>
      <c r="BE13" s="73"/>
      <c r="BF13" s="73"/>
      <c r="BG13" s="73"/>
      <c r="BH13" s="73"/>
      <c r="BI13" s="73"/>
      <c r="BJ13" s="73"/>
      <c r="BK13" s="73"/>
      <c r="BL13" s="73"/>
      <c r="BM13" s="73"/>
      <c r="BN13" s="73"/>
      <c r="BO13" s="73"/>
      <c r="BP13" s="73"/>
      <c r="BQ13" s="73"/>
      <c r="BR13" s="73"/>
      <c r="BS13" s="73"/>
      <c r="BT13" s="73"/>
      <c r="BU13" s="73"/>
      <c r="BV13" s="73"/>
      <c r="BW13" s="73"/>
      <c r="BX13" s="73"/>
      <c r="BY13" s="73"/>
      <c r="BZ13" s="73"/>
      <c r="CA13" s="73"/>
      <c r="CB13" s="73"/>
      <c r="CC13" s="73"/>
      <c r="CD13" s="73"/>
      <c r="CE13" s="73"/>
      <c r="CF13" s="73"/>
      <c r="CG13" s="73"/>
      <c r="CH13" s="73"/>
      <c r="CI13" s="73"/>
      <c r="CJ13" s="73"/>
      <c r="CK13" s="73"/>
      <c r="CL13" s="73"/>
      <c r="CM13" s="73"/>
      <c r="CN13" s="73"/>
      <c r="CO13" s="73"/>
      <c r="CP13" s="166">
        <f>AD10*70%</f>
        <v>357489.34666666656</v>
      </c>
      <c r="CY13" s="189" t="e">
        <f t="shared" si="11"/>
        <v>#DIV/0!</v>
      </c>
      <c r="DA13" s="189" t="e">
        <f t="shared" si="12"/>
        <v>#DIV/0!</v>
      </c>
      <c r="DC13" s="189" t="e">
        <f t="shared" si="14"/>
        <v>#DIV/0!</v>
      </c>
      <c r="DE13" s="189" t="e">
        <f t="shared" si="15"/>
        <v>#DIV/0!</v>
      </c>
      <c r="DG13" s="189" t="e">
        <f t="shared" si="17"/>
        <v>#DIV/0!</v>
      </c>
      <c r="DI13" s="190" t="e">
        <f t="shared" si="31"/>
        <v>#DIV/0!</v>
      </c>
    </row>
    <row r="14" spans="1:113" s="166" customFormat="1" hidden="1">
      <c r="A14" s="2082"/>
      <c r="B14" s="3593" t="s">
        <v>13</v>
      </c>
      <c r="C14" s="183">
        <v>42000</v>
      </c>
      <c r="D14" s="13"/>
      <c r="E14" s="13">
        <f t="shared" si="32"/>
        <v>42000</v>
      </c>
      <c r="F14" s="51">
        <f>E14</f>
        <v>42000</v>
      </c>
      <c r="G14" s="13">
        <v>0</v>
      </c>
      <c r="H14" s="53">
        <v>18727</v>
      </c>
      <c r="I14" s="102"/>
      <c r="J14" s="13">
        <f>0</f>
        <v>0</v>
      </c>
      <c r="K14" s="13">
        <f t="shared" si="33"/>
        <v>18727</v>
      </c>
      <c r="L14" s="13">
        <f t="shared" si="34"/>
        <v>18727</v>
      </c>
      <c r="M14" s="13">
        <v>0</v>
      </c>
      <c r="N14" s="53">
        <v>20270</v>
      </c>
      <c r="O14" s="102"/>
      <c r="P14" s="13">
        <f>0</f>
        <v>0</v>
      </c>
      <c r="Q14" s="13">
        <f t="shared" si="35"/>
        <v>20270</v>
      </c>
      <c r="R14" s="13">
        <f t="shared" si="36"/>
        <v>20270</v>
      </c>
      <c r="S14" s="13">
        <v>0</v>
      </c>
      <c r="T14" s="2103">
        <v>18990</v>
      </c>
      <c r="U14" s="180">
        <f>T14/C14*100</f>
        <v>45.214285714285715</v>
      </c>
      <c r="V14" s="30">
        <f t="shared" si="25"/>
        <v>0</v>
      </c>
      <c r="W14" s="30">
        <f t="shared" si="41"/>
        <v>18990</v>
      </c>
      <c r="X14" s="30">
        <f>T14</f>
        <v>18990</v>
      </c>
      <c r="Y14" s="30">
        <f t="shared" si="37"/>
        <v>0</v>
      </c>
      <c r="Z14" s="30">
        <f t="shared" si="42"/>
        <v>-23010</v>
      </c>
      <c r="AA14" s="30">
        <f t="shared" si="27"/>
        <v>0</v>
      </c>
      <c r="AB14" s="30">
        <f t="shared" si="28"/>
        <v>-23010</v>
      </c>
      <c r="AC14" s="30">
        <f t="shared" si="38"/>
        <v>-23010</v>
      </c>
      <c r="AD14" s="30">
        <f t="shared" si="29"/>
        <v>0</v>
      </c>
      <c r="AE14" s="80">
        <f>40000</f>
        <v>40000</v>
      </c>
      <c r="AF14" s="180">
        <f t="shared" si="30"/>
        <v>210.63717746182201</v>
      </c>
      <c r="AG14" s="30"/>
      <c r="AH14" s="30">
        <f t="shared" si="43"/>
        <v>40000</v>
      </c>
      <c r="AI14" s="30">
        <f t="shared" si="44"/>
        <v>40000</v>
      </c>
      <c r="AJ14" s="2605"/>
      <c r="AK14" s="80">
        <f>43000+8999.7</f>
        <v>51999.7</v>
      </c>
      <c r="AL14" s="180">
        <f t="shared" si="39"/>
        <v>129.99924999999999</v>
      </c>
      <c r="AM14" s="30"/>
      <c r="AN14" s="30">
        <f t="shared" si="45"/>
        <v>51999.7</v>
      </c>
      <c r="AO14" s="30">
        <f>AK14</f>
        <v>51999.7</v>
      </c>
      <c r="AP14" s="30"/>
      <c r="AQ14" s="80">
        <f>48000+9000</f>
        <v>57000</v>
      </c>
      <c r="AR14" s="180">
        <f t="shared" si="46"/>
        <v>109.61601701548278</v>
      </c>
      <c r="AS14" s="30"/>
      <c r="AT14" s="30">
        <f t="shared" si="47"/>
        <v>57000</v>
      </c>
      <c r="AU14" s="30">
        <f>AQ14</f>
        <v>57000</v>
      </c>
      <c r="AV14" s="2085">
        <f t="shared" si="40"/>
        <v>0</v>
      </c>
      <c r="AW14" s="2873">
        <f t="shared" si="9"/>
        <v>4.3168573278653142E-3</v>
      </c>
      <c r="AX14" s="73"/>
      <c r="AY14" s="73"/>
      <c r="AZ14" s="73"/>
      <c r="BA14" s="73"/>
      <c r="BB14" s="73"/>
      <c r="BC14" s="73"/>
      <c r="BD14" s="73"/>
      <c r="BE14" s="73"/>
      <c r="BF14" s="73"/>
      <c r="BG14" s="73"/>
      <c r="BH14" s="73"/>
      <c r="BI14" s="73"/>
      <c r="BJ14" s="73"/>
      <c r="BK14" s="73"/>
      <c r="BL14" s="73"/>
      <c r="BM14" s="73"/>
      <c r="BN14" s="73"/>
      <c r="BO14" s="73"/>
      <c r="BP14" s="73"/>
      <c r="BQ14" s="73"/>
      <c r="BR14" s="73"/>
      <c r="BS14" s="73"/>
      <c r="BT14" s="73"/>
      <c r="BU14" s="73"/>
      <c r="BV14" s="73"/>
      <c r="BW14" s="73"/>
      <c r="BX14" s="73"/>
      <c r="BY14" s="73"/>
      <c r="BZ14" s="73"/>
      <c r="CA14" s="73"/>
      <c r="CB14" s="73"/>
      <c r="CC14" s="73"/>
      <c r="CD14" s="73"/>
      <c r="CE14" s="73"/>
      <c r="CF14" s="73"/>
      <c r="CG14" s="73"/>
      <c r="CH14" s="73"/>
      <c r="CI14" s="73"/>
      <c r="CJ14" s="73"/>
      <c r="CK14" s="73"/>
      <c r="CL14" s="73"/>
      <c r="CM14" s="73"/>
      <c r="CN14" s="73"/>
      <c r="CO14" s="73"/>
      <c r="CY14" s="189" t="e">
        <f t="shared" si="11"/>
        <v>#DIV/0!</v>
      </c>
      <c r="DA14" s="189" t="e">
        <f t="shared" si="12"/>
        <v>#DIV/0!</v>
      </c>
      <c r="DC14" s="189" t="e">
        <f t="shared" si="14"/>
        <v>#DIV/0!</v>
      </c>
      <c r="DE14" s="189" t="e">
        <f t="shared" si="15"/>
        <v>#DIV/0!</v>
      </c>
      <c r="DG14" s="189" t="e">
        <f t="shared" si="17"/>
        <v>#DIV/0!</v>
      </c>
      <c r="DI14" s="190" t="e">
        <f t="shared" si="31"/>
        <v>#DIV/0!</v>
      </c>
    </row>
    <row r="15" spans="1:113" s="166" customFormat="1" hidden="1">
      <c r="A15" s="2082"/>
      <c r="B15" s="3593" t="s">
        <v>14</v>
      </c>
      <c r="C15" s="30">
        <v>0</v>
      </c>
      <c r="D15" s="13"/>
      <c r="E15" s="13">
        <f t="shared" si="32"/>
        <v>0</v>
      </c>
      <c r="F15" s="13">
        <v>0</v>
      </c>
      <c r="G15" s="13">
        <v>0</v>
      </c>
      <c r="H15" s="53">
        <v>3</v>
      </c>
      <c r="I15" s="102"/>
      <c r="J15" s="13">
        <f>0</f>
        <v>0</v>
      </c>
      <c r="K15" s="13">
        <f t="shared" si="33"/>
        <v>3</v>
      </c>
      <c r="L15" s="13">
        <f t="shared" si="34"/>
        <v>3</v>
      </c>
      <c r="M15" s="13">
        <v>0</v>
      </c>
      <c r="N15" s="53">
        <v>0</v>
      </c>
      <c r="O15" s="102"/>
      <c r="P15" s="13">
        <f>0</f>
        <v>0</v>
      </c>
      <c r="Q15" s="13">
        <f t="shared" si="35"/>
        <v>0</v>
      </c>
      <c r="R15" s="13">
        <f t="shared" si="36"/>
        <v>0</v>
      </c>
      <c r="S15" s="13">
        <v>0</v>
      </c>
      <c r="T15" s="2103">
        <v>10</v>
      </c>
      <c r="U15" s="212" t="e">
        <f>T15/C15*100</f>
        <v>#DIV/0!</v>
      </c>
      <c r="V15" s="30">
        <f t="shared" si="25"/>
        <v>0</v>
      </c>
      <c r="W15" s="30">
        <f t="shared" si="41"/>
        <v>10</v>
      </c>
      <c r="X15" s="30">
        <f>T15</f>
        <v>10</v>
      </c>
      <c r="Y15" s="30">
        <f t="shared" si="37"/>
        <v>0</v>
      </c>
      <c r="Z15" s="30">
        <f t="shared" si="42"/>
        <v>10</v>
      </c>
      <c r="AA15" s="30">
        <f t="shared" si="27"/>
        <v>0</v>
      </c>
      <c r="AB15" s="30">
        <f t="shared" si="28"/>
        <v>10</v>
      </c>
      <c r="AC15" s="30">
        <f t="shared" si="38"/>
        <v>10</v>
      </c>
      <c r="AD15" s="30">
        <f t="shared" si="29"/>
        <v>0</v>
      </c>
      <c r="AE15" s="80">
        <v>0</v>
      </c>
      <c r="AF15" s="180">
        <f t="shared" si="30"/>
        <v>0</v>
      </c>
      <c r="AG15" s="30"/>
      <c r="AH15" s="30">
        <f t="shared" si="43"/>
        <v>0</v>
      </c>
      <c r="AI15" s="30">
        <f t="shared" si="44"/>
        <v>0</v>
      </c>
      <c r="AJ15" s="30"/>
      <c r="AK15" s="80">
        <f t="shared" ref="AK15:AK51" si="48">AE15+Y15</f>
        <v>0</v>
      </c>
      <c r="AL15" s="180"/>
      <c r="AM15" s="30"/>
      <c r="AN15" s="30">
        <f t="shared" si="45"/>
        <v>0</v>
      </c>
      <c r="AO15" s="30"/>
      <c r="AP15" s="30"/>
      <c r="AQ15" s="80">
        <v>0</v>
      </c>
      <c r="AR15" s="180"/>
      <c r="AS15" s="30"/>
      <c r="AT15" s="30">
        <f t="shared" si="47"/>
        <v>0</v>
      </c>
      <c r="AU15" s="30">
        <f>AQ15</f>
        <v>0</v>
      </c>
      <c r="AV15" s="2085">
        <f t="shared" si="40"/>
        <v>0</v>
      </c>
      <c r="AW15" s="2873">
        <f t="shared" si="9"/>
        <v>0</v>
      </c>
      <c r="AX15" s="73"/>
      <c r="AY15" s="73"/>
      <c r="AZ15" s="73"/>
      <c r="BA15" s="73"/>
      <c r="BB15" s="73"/>
      <c r="BC15" s="73"/>
      <c r="BD15" s="73"/>
      <c r="BE15" s="73"/>
      <c r="BF15" s="73"/>
      <c r="BG15" s="73"/>
      <c r="BH15" s="73"/>
      <c r="BI15" s="73"/>
      <c r="BJ15" s="73"/>
      <c r="BK15" s="73"/>
      <c r="BL15" s="73"/>
      <c r="BM15" s="73"/>
      <c r="BN15" s="73"/>
      <c r="BO15" s="73"/>
      <c r="BP15" s="73"/>
      <c r="BQ15" s="73"/>
      <c r="BR15" s="73"/>
      <c r="BS15" s="73"/>
      <c r="BT15" s="73"/>
      <c r="BU15" s="73"/>
      <c r="BV15" s="73"/>
      <c r="BW15" s="73"/>
      <c r="BX15" s="73"/>
      <c r="BY15" s="73"/>
      <c r="BZ15" s="73"/>
      <c r="CA15" s="73"/>
      <c r="CB15" s="73"/>
      <c r="CC15" s="73"/>
      <c r="CD15" s="73"/>
      <c r="CE15" s="73"/>
      <c r="CF15" s="73"/>
      <c r="CG15" s="73"/>
      <c r="CH15" s="73"/>
      <c r="CI15" s="73"/>
      <c r="CJ15" s="73"/>
      <c r="CK15" s="73"/>
      <c r="CL15" s="73"/>
      <c r="CM15" s="73"/>
      <c r="CN15" s="73"/>
      <c r="CO15" s="73"/>
      <c r="CY15" s="189" t="e">
        <f t="shared" si="11"/>
        <v>#DIV/0!</v>
      </c>
      <c r="DA15" s="189" t="e">
        <f t="shared" si="12"/>
        <v>#DIV/0!</v>
      </c>
      <c r="DC15" s="189" t="e">
        <f t="shared" si="14"/>
        <v>#DIV/0!</v>
      </c>
      <c r="DE15" s="189" t="e">
        <f t="shared" si="15"/>
        <v>#DIV/0!</v>
      </c>
      <c r="DG15" s="189" t="e">
        <f t="shared" si="17"/>
        <v>#DIV/0!</v>
      </c>
      <c r="DI15" s="190" t="e">
        <f t="shared" si="31"/>
        <v>#DIV/0!</v>
      </c>
    </row>
    <row r="16" spans="1:113" s="166" customFormat="1" hidden="1">
      <c r="A16" s="2082"/>
      <c r="B16" s="3593" t="s">
        <v>67</v>
      </c>
      <c r="C16" s="30">
        <v>0</v>
      </c>
      <c r="D16" s="13">
        <f>C16</f>
        <v>0</v>
      </c>
      <c r="E16" s="13">
        <f t="shared" si="32"/>
        <v>0</v>
      </c>
      <c r="F16" s="13">
        <v>0</v>
      </c>
      <c r="G16" s="13">
        <v>0</v>
      </c>
      <c r="H16" s="30"/>
      <c r="I16" s="102"/>
      <c r="J16" s="13">
        <f>H16</f>
        <v>0</v>
      </c>
      <c r="K16" s="13">
        <f t="shared" si="33"/>
        <v>0</v>
      </c>
      <c r="L16" s="13">
        <f t="shared" si="34"/>
        <v>0</v>
      </c>
      <c r="M16" s="13">
        <v>0</v>
      </c>
      <c r="N16" s="53"/>
      <c r="O16" s="102"/>
      <c r="P16" s="13">
        <f>N16</f>
        <v>0</v>
      </c>
      <c r="Q16" s="13">
        <f t="shared" si="35"/>
        <v>0</v>
      </c>
      <c r="R16" s="13">
        <f t="shared" si="36"/>
        <v>0</v>
      </c>
      <c r="S16" s="13">
        <v>0</v>
      </c>
      <c r="T16" s="2103">
        <f t="shared" ref="T16:T58" si="49">N16+H16</f>
        <v>0</v>
      </c>
      <c r="U16" s="180"/>
      <c r="V16" s="30">
        <f t="shared" si="25"/>
        <v>0</v>
      </c>
      <c r="W16" s="30">
        <f t="shared" ref="W16:W51" si="50">Q16+K16</f>
        <v>0</v>
      </c>
      <c r="X16" s="30">
        <f t="shared" ref="X16:X59" si="51">R16+L16</f>
        <v>0</v>
      </c>
      <c r="Y16" s="30">
        <f t="shared" si="37"/>
        <v>0</v>
      </c>
      <c r="Z16" s="30">
        <f t="shared" si="42"/>
        <v>0</v>
      </c>
      <c r="AA16" s="30">
        <f t="shared" si="27"/>
        <v>0</v>
      </c>
      <c r="AB16" s="30">
        <f t="shared" si="28"/>
        <v>0</v>
      </c>
      <c r="AC16" s="30">
        <f t="shared" si="38"/>
        <v>0</v>
      </c>
      <c r="AD16" s="30">
        <f t="shared" si="29"/>
        <v>0</v>
      </c>
      <c r="AE16" s="80">
        <v>0</v>
      </c>
      <c r="AF16" s="180" t="e">
        <f t="shared" si="30"/>
        <v>#DIV/0!</v>
      </c>
      <c r="AG16" s="30"/>
      <c r="AH16" s="30">
        <f t="shared" si="43"/>
        <v>0</v>
      </c>
      <c r="AI16" s="30">
        <f t="shared" si="44"/>
        <v>0</v>
      </c>
      <c r="AJ16" s="30"/>
      <c r="AK16" s="80">
        <f t="shared" si="48"/>
        <v>0</v>
      </c>
      <c r="AL16" s="180"/>
      <c r="AM16" s="30"/>
      <c r="AN16" s="30">
        <f t="shared" si="45"/>
        <v>0</v>
      </c>
      <c r="AO16" s="30"/>
      <c r="AP16" s="30"/>
      <c r="AQ16" s="80">
        <v>0</v>
      </c>
      <c r="AR16" s="180"/>
      <c r="AS16" s="30"/>
      <c r="AT16" s="30">
        <f t="shared" si="47"/>
        <v>0</v>
      </c>
      <c r="AU16" s="30">
        <f>AQ16</f>
        <v>0</v>
      </c>
      <c r="AV16" s="2085">
        <f t="shared" si="40"/>
        <v>0</v>
      </c>
      <c r="AW16" s="2873">
        <f t="shared" si="9"/>
        <v>0</v>
      </c>
      <c r="AX16" s="73"/>
      <c r="AY16" s="73"/>
      <c r="AZ16" s="73"/>
      <c r="BA16" s="73"/>
      <c r="BB16" s="73"/>
      <c r="BC16" s="73"/>
      <c r="BD16" s="73"/>
      <c r="BE16" s="73"/>
      <c r="BF16" s="73"/>
      <c r="BG16" s="73"/>
      <c r="BH16" s="73"/>
      <c r="BI16" s="73"/>
      <c r="BJ16" s="73"/>
      <c r="BK16" s="73"/>
      <c r="BL16" s="73"/>
      <c r="BM16" s="73"/>
      <c r="BN16" s="73"/>
      <c r="BO16" s="73"/>
      <c r="BP16" s="73"/>
      <c r="BQ16" s="73"/>
      <c r="BR16" s="73"/>
      <c r="BS16" s="73"/>
      <c r="BT16" s="73"/>
      <c r="BU16" s="73"/>
      <c r="BV16" s="73"/>
      <c r="BW16" s="73"/>
      <c r="BX16" s="73"/>
      <c r="BY16" s="73"/>
      <c r="BZ16" s="73"/>
      <c r="CA16" s="73"/>
      <c r="CB16" s="73"/>
      <c r="CC16" s="73"/>
      <c r="CD16" s="73"/>
      <c r="CE16" s="73"/>
      <c r="CF16" s="73"/>
      <c r="CG16" s="73"/>
      <c r="CH16" s="73"/>
      <c r="CI16" s="73"/>
      <c r="CJ16" s="73"/>
      <c r="CK16" s="73"/>
      <c r="CL16" s="73"/>
      <c r="CM16" s="73"/>
      <c r="CN16" s="73"/>
      <c r="CO16" s="73"/>
      <c r="CY16" s="189" t="e">
        <f t="shared" si="11"/>
        <v>#DIV/0!</v>
      </c>
      <c r="DA16" s="189" t="e">
        <f t="shared" si="12"/>
        <v>#DIV/0!</v>
      </c>
      <c r="DC16" s="189" t="e">
        <f t="shared" si="14"/>
        <v>#DIV/0!</v>
      </c>
      <c r="DE16" s="189" t="e">
        <f t="shared" si="15"/>
        <v>#DIV/0!</v>
      </c>
      <c r="DG16" s="189" t="e">
        <f t="shared" si="17"/>
        <v>#DIV/0!</v>
      </c>
      <c r="DI16" s="190" t="e">
        <f t="shared" si="31"/>
        <v>#DIV/0!</v>
      </c>
    </row>
    <row r="17" spans="1:113" s="166" customFormat="1" ht="24" customHeight="1">
      <c r="A17" s="2082">
        <v>2</v>
      </c>
      <c r="B17" s="3592" t="s">
        <v>104</v>
      </c>
      <c r="C17" s="59">
        <f>SUM(C18:C22)</f>
        <v>350000</v>
      </c>
      <c r="D17" s="14">
        <f>SUM(D18:D22)</f>
        <v>0</v>
      </c>
      <c r="E17" s="14">
        <f>SUM(E18:E22)</f>
        <v>350000</v>
      </c>
      <c r="F17" s="14">
        <f>SUM(F18:F22)</f>
        <v>350000</v>
      </c>
      <c r="G17" s="14">
        <v>0</v>
      </c>
      <c r="H17" s="59">
        <f>SUM(H18:H22)</f>
        <v>120048.3</v>
      </c>
      <c r="I17" s="176">
        <f>H17/C17*100</f>
        <v>34.299514285714288</v>
      </c>
      <c r="J17" s="14">
        <v>0</v>
      </c>
      <c r="K17" s="14">
        <f>L17</f>
        <v>120048.3</v>
      </c>
      <c r="L17" s="14">
        <f>H17</f>
        <v>120048.3</v>
      </c>
      <c r="M17" s="14">
        <v>0</v>
      </c>
      <c r="N17" s="14">
        <f>SUM(N18:N22)</f>
        <v>260000.3</v>
      </c>
      <c r="O17" s="176">
        <f>N17/C17*100</f>
        <v>74.285799999999995</v>
      </c>
      <c r="P17" s="14">
        <v>0</v>
      </c>
      <c r="Q17" s="14">
        <f>N17</f>
        <v>260000.3</v>
      </c>
      <c r="R17" s="14">
        <f>Q17</f>
        <v>260000.3</v>
      </c>
      <c r="S17" s="14">
        <v>0</v>
      </c>
      <c r="T17" s="2102">
        <f>SUM(T18:T22)</f>
        <v>270000</v>
      </c>
      <c r="U17" s="188">
        <f>T17/C17*100</f>
        <v>77.142857142857153</v>
      </c>
      <c r="V17" s="59">
        <f t="shared" si="25"/>
        <v>0</v>
      </c>
      <c r="W17" s="187">
        <f>SUM(W18:W22)</f>
        <v>270000</v>
      </c>
      <c r="X17" s="187">
        <f t="shared" ref="X17:Y17" si="52">SUM(X18:X22)</f>
        <v>270000</v>
      </c>
      <c r="Y17" s="187">
        <f t="shared" si="52"/>
        <v>0</v>
      </c>
      <c r="Z17" s="59">
        <f t="shared" si="42"/>
        <v>-80000</v>
      </c>
      <c r="AA17" s="59">
        <f t="shared" si="27"/>
        <v>0</v>
      </c>
      <c r="AB17" s="59">
        <f t="shared" si="28"/>
        <v>-80000</v>
      </c>
      <c r="AC17" s="59">
        <f>X17-F17</f>
        <v>-80000</v>
      </c>
      <c r="AD17" s="59">
        <f t="shared" si="29"/>
        <v>0</v>
      </c>
      <c r="AE17" s="187">
        <f>SUM(AE18:AE22)</f>
        <v>300000</v>
      </c>
      <c r="AF17" s="188">
        <f t="shared" ref="AF17:AF25" si="53">AE17/T17*100</f>
        <v>111.11111111111111</v>
      </c>
      <c r="AG17" s="187">
        <f>SUM(AG18:AG22)</f>
        <v>0</v>
      </c>
      <c r="AH17" s="187">
        <f>SUM(AH18:AH22)</f>
        <v>300000</v>
      </c>
      <c r="AI17" s="187">
        <f t="shared" ref="AI17:AJ17" si="54">SUM(AI18:AI22)</f>
        <v>300000</v>
      </c>
      <c r="AJ17" s="187">
        <f t="shared" si="54"/>
        <v>0</v>
      </c>
      <c r="AK17" s="187">
        <f>SUM(AK18:AK22)</f>
        <v>470000</v>
      </c>
      <c r="AL17" s="188">
        <f>AK17/AE17*100</f>
        <v>156.66666666666666</v>
      </c>
      <c r="AM17" s="187">
        <f>SUM(AM18:AM22)</f>
        <v>0</v>
      </c>
      <c r="AN17" s="187">
        <f>SUM(AN18:AN22)</f>
        <v>470000</v>
      </c>
      <c r="AO17" s="187">
        <f t="shared" ref="AO17:AP17" si="55">SUM(AO18:AO22)</f>
        <v>470000</v>
      </c>
      <c r="AP17" s="187">
        <f t="shared" si="55"/>
        <v>0</v>
      </c>
      <c r="AQ17" s="187">
        <f>SUM(AQ18:AQ22)</f>
        <v>510000</v>
      </c>
      <c r="AR17" s="188">
        <f>AQ17/AK17*100</f>
        <v>108.51063829787233</v>
      </c>
      <c r="AS17" s="187">
        <f>SUM(AS18:AS22)</f>
        <v>0</v>
      </c>
      <c r="AT17" s="187">
        <f>SUM(AT18:AT22)</f>
        <v>510000</v>
      </c>
      <c r="AU17" s="187">
        <f t="shared" ref="AU17:AV17" si="56">SUM(AU18:AU22)</f>
        <v>510000</v>
      </c>
      <c r="AV17" s="2083">
        <f t="shared" si="56"/>
        <v>0</v>
      </c>
      <c r="AW17" s="2873">
        <f t="shared" si="9"/>
        <v>3.2376429958989858E-2</v>
      </c>
      <c r="AX17" s="175"/>
      <c r="AY17" s="175"/>
      <c r="AZ17" s="175"/>
      <c r="BA17" s="175"/>
      <c r="BB17" s="175"/>
      <c r="BC17" s="175"/>
      <c r="BD17" s="175"/>
      <c r="BE17" s="175"/>
      <c r="BF17" s="175"/>
      <c r="BG17" s="175"/>
      <c r="BH17" s="175"/>
      <c r="BI17" s="175"/>
      <c r="BJ17" s="175"/>
      <c r="BK17" s="175"/>
      <c r="BL17" s="175"/>
      <c r="BM17" s="175"/>
      <c r="BN17" s="175"/>
      <c r="BO17" s="175"/>
      <c r="BP17" s="175"/>
      <c r="BQ17" s="175"/>
      <c r="BR17" s="175"/>
      <c r="BS17" s="175"/>
      <c r="BT17" s="175"/>
      <c r="BU17" s="175"/>
      <c r="BV17" s="175"/>
      <c r="BW17" s="175"/>
      <c r="BX17" s="175"/>
      <c r="BY17" s="175"/>
      <c r="BZ17" s="175"/>
      <c r="CA17" s="175"/>
      <c r="CB17" s="175"/>
      <c r="CC17" s="175"/>
      <c r="CD17" s="175"/>
      <c r="CE17" s="175"/>
      <c r="CF17" s="175"/>
      <c r="CG17" s="175"/>
      <c r="CH17" s="175"/>
      <c r="CI17" s="175"/>
      <c r="CJ17" s="175"/>
      <c r="CK17" s="175"/>
      <c r="CL17" s="175"/>
      <c r="CM17" s="175"/>
      <c r="CN17" s="175"/>
      <c r="CO17" s="175"/>
      <c r="CX17" s="166">
        <v>164938</v>
      </c>
      <c r="CY17" s="113">
        <f t="shared" si="11"/>
        <v>0.72783894554317385</v>
      </c>
      <c r="CZ17" s="166">
        <v>185620</v>
      </c>
      <c r="DA17" s="113">
        <f t="shared" si="12"/>
        <v>0.64674226915203104</v>
      </c>
      <c r="DB17" s="166">
        <v>241618</v>
      </c>
      <c r="DC17" s="113">
        <f t="shared" si="14"/>
        <v>0.49685164184787556</v>
      </c>
      <c r="DD17" s="166">
        <v>245744</v>
      </c>
      <c r="DE17" s="113">
        <f t="shared" si="15"/>
        <v>0.48850958721270915</v>
      </c>
      <c r="DF17" s="166">
        <v>165668</v>
      </c>
      <c r="DG17" s="113">
        <f t="shared" si="17"/>
        <v>0.72463179370789776</v>
      </c>
      <c r="DH17" s="166">
        <v>234803</v>
      </c>
      <c r="DI17" s="115">
        <f t="shared" si="31"/>
        <v>0.51127242837612807</v>
      </c>
    </row>
    <row r="18" spans="1:113" s="166" customFormat="1" ht="18" hidden="1" customHeight="1">
      <c r="A18" s="2082"/>
      <c r="B18" s="3593" t="s">
        <v>11</v>
      </c>
      <c r="C18" s="183">
        <v>183000</v>
      </c>
      <c r="D18" s="13"/>
      <c r="E18" s="13">
        <f t="shared" ref="E18:E22" si="57">C18-D18</f>
        <v>183000</v>
      </c>
      <c r="F18" s="13">
        <f t="shared" ref="F18:F22" si="58">E18</f>
        <v>183000</v>
      </c>
      <c r="G18" s="13">
        <v>0</v>
      </c>
      <c r="H18" s="53">
        <v>43021.3</v>
      </c>
      <c r="I18" s="102"/>
      <c r="J18" s="13">
        <f>0</f>
        <v>0</v>
      </c>
      <c r="K18" s="13">
        <f t="shared" ref="K18:K22" si="59">H18-J18</f>
        <v>43021.3</v>
      </c>
      <c r="L18" s="13">
        <f t="shared" ref="L18:L22" si="60">K18-M18</f>
        <v>43021.3</v>
      </c>
      <c r="M18" s="13">
        <v>0</v>
      </c>
      <c r="N18" s="53">
        <v>135029.9</v>
      </c>
      <c r="O18" s="102"/>
      <c r="P18" s="13">
        <f>0</f>
        <v>0</v>
      </c>
      <c r="Q18" s="13">
        <f t="shared" ref="Q18:Q22" si="61">N18-P18</f>
        <v>135029.9</v>
      </c>
      <c r="R18" s="13">
        <f t="shared" ref="R18:R22" si="62">Q18-S18</f>
        <v>135029.9</v>
      </c>
      <c r="S18" s="13">
        <v>0</v>
      </c>
      <c r="T18" s="2103">
        <f>110000-10000</f>
        <v>100000</v>
      </c>
      <c r="U18" s="180">
        <f>T18/C18*100</f>
        <v>54.644808743169406</v>
      </c>
      <c r="V18" s="30">
        <f t="shared" si="25"/>
        <v>0</v>
      </c>
      <c r="W18" s="30">
        <f>X18+Y18</f>
        <v>100000</v>
      </c>
      <c r="X18" s="30">
        <f>T18</f>
        <v>100000</v>
      </c>
      <c r="Y18" s="30">
        <f t="shared" si="37"/>
        <v>0</v>
      </c>
      <c r="Z18" s="30">
        <f t="shared" si="42"/>
        <v>-83000</v>
      </c>
      <c r="AA18" s="30">
        <f t="shared" si="27"/>
        <v>0</v>
      </c>
      <c r="AB18" s="30">
        <f t="shared" si="28"/>
        <v>-83000</v>
      </c>
      <c r="AC18" s="30">
        <f t="shared" si="38"/>
        <v>-83000</v>
      </c>
      <c r="AD18" s="30">
        <f t="shared" si="29"/>
        <v>0</v>
      </c>
      <c r="AE18" s="1798">
        <f>110000</f>
        <v>110000</v>
      </c>
      <c r="AF18" s="180">
        <f t="shared" si="53"/>
        <v>110.00000000000001</v>
      </c>
      <c r="AG18" s="30"/>
      <c r="AH18" s="30">
        <f>SUM(AI18:AJ18)</f>
        <v>110000</v>
      </c>
      <c r="AI18" s="30">
        <f>AE18</f>
        <v>110000</v>
      </c>
      <c r="AJ18" s="2605"/>
      <c r="AK18" s="80">
        <f>130000+111000</f>
        <v>241000</v>
      </c>
      <c r="AL18" s="180">
        <f t="shared" si="39"/>
        <v>219.09090909090909</v>
      </c>
      <c r="AM18" s="30"/>
      <c r="AN18" s="30">
        <f>SUM(AO18:AP18)</f>
        <v>241000</v>
      </c>
      <c r="AO18" s="30">
        <f>AK18</f>
        <v>241000</v>
      </c>
      <c r="AP18" s="30"/>
      <c r="AQ18" s="80">
        <f>150000+113000</f>
        <v>263000</v>
      </c>
      <c r="AR18" s="180">
        <f>AQ18/AK18*100</f>
        <v>109.12863070539419</v>
      </c>
      <c r="AS18" s="30"/>
      <c r="AT18" s="30">
        <f>SUM(AU18:AV18)</f>
        <v>263000</v>
      </c>
      <c r="AU18" s="30">
        <f>AQ18</f>
        <v>263000</v>
      </c>
      <c r="AV18" s="2085">
        <f t="shared" si="40"/>
        <v>0</v>
      </c>
      <c r="AW18" s="2873">
        <f t="shared" si="9"/>
        <v>1.1871357651629614E-2</v>
      </c>
      <c r="AX18" s="73"/>
      <c r="AY18" s="73"/>
      <c r="AZ18" s="73"/>
      <c r="BA18" s="73"/>
      <c r="BB18" s="73"/>
      <c r="BC18" s="73"/>
      <c r="BD18" s="73"/>
      <c r="BE18" s="73"/>
      <c r="BF18" s="73"/>
      <c r="BG18" s="73"/>
      <c r="BH18" s="73"/>
      <c r="BI18" s="73"/>
      <c r="BJ18" s="73"/>
      <c r="BK18" s="73"/>
      <c r="BL18" s="73"/>
      <c r="BM18" s="73"/>
      <c r="BN18" s="73"/>
      <c r="BO18" s="73"/>
      <c r="BP18" s="73"/>
      <c r="BQ18" s="73"/>
      <c r="BR18" s="73"/>
      <c r="BS18" s="73"/>
      <c r="BT18" s="73"/>
      <c r="BU18" s="73"/>
      <c r="BV18" s="73"/>
      <c r="BW18" s="73"/>
      <c r="BX18" s="73"/>
      <c r="BY18" s="73"/>
      <c r="BZ18" s="73"/>
      <c r="CA18" s="73"/>
      <c r="CB18" s="73"/>
      <c r="CC18" s="73"/>
      <c r="CD18" s="73"/>
      <c r="CE18" s="73"/>
      <c r="CF18" s="73"/>
      <c r="CG18" s="73"/>
      <c r="CH18" s="73"/>
      <c r="CI18" s="73"/>
      <c r="CJ18" s="73"/>
      <c r="CK18" s="73"/>
      <c r="CL18" s="73"/>
      <c r="CM18" s="73"/>
      <c r="CN18" s="73"/>
      <c r="CO18" s="73"/>
      <c r="CY18" s="189" t="e">
        <f t="shared" si="11"/>
        <v>#DIV/0!</v>
      </c>
      <c r="DA18" s="189" t="e">
        <f t="shared" si="12"/>
        <v>#DIV/0!</v>
      </c>
      <c r="DC18" s="189" t="e">
        <f t="shared" si="14"/>
        <v>#DIV/0!</v>
      </c>
      <c r="DE18" s="189" t="e">
        <f t="shared" si="15"/>
        <v>#DIV/0!</v>
      </c>
      <c r="DG18" s="189" t="e">
        <f t="shared" si="17"/>
        <v>#DIV/0!</v>
      </c>
      <c r="DI18" s="190" t="e">
        <f t="shared" si="31"/>
        <v>#DIV/0!</v>
      </c>
    </row>
    <row r="19" spans="1:113" s="166" customFormat="1" ht="18" hidden="1" customHeight="1">
      <c r="A19" s="2082"/>
      <c r="B19" s="3593" t="s">
        <v>12</v>
      </c>
      <c r="C19" s="183">
        <v>65000</v>
      </c>
      <c r="D19" s="13"/>
      <c r="E19" s="13">
        <f t="shared" si="57"/>
        <v>65000</v>
      </c>
      <c r="F19" s="13">
        <f t="shared" si="58"/>
        <v>65000</v>
      </c>
      <c r="G19" s="13">
        <v>0</v>
      </c>
      <c r="H19" s="53">
        <v>48046.5</v>
      </c>
      <c r="I19" s="102"/>
      <c r="J19" s="13">
        <f>0</f>
        <v>0</v>
      </c>
      <c r="K19" s="13">
        <f t="shared" si="59"/>
        <v>48046.5</v>
      </c>
      <c r="L19" s="13">
        <f t="shared" si="60"/>
        <v>48046.5</v>
      </c>
      <c r="M19" s="13">
        <v>0</v>
      </c>
      <c r="N19" s="53">
        <v>46950.400000000001</v>
      </c>
      <c r="O19" s="102"/>
      <c r="P19" s="13">
        <f>0</f>
        <v>0</v>
      </c>
      <c r="Q19" s="13">
        <f t="shared" si="61"/>
        <v>46950.400000000001</v>
      </c>
      <c r="R19" s="13">
        <f t="shared" si="62"/>
        <v>46950.400000000001</v>
      </c>
      <c r="S19" s="13">
        <v>0</v>
      </c>
      <c r="T19" s="2103">
        <v>100000</v>
      </c>
      <c r="U19" s="180">
        <f>T19/C19*100</f>
        <v>153.84615384615387</v>
      </c>
      <c r="V19" s="30">
        <f t="shared" si="25"/>
        <v>0</v>
      </c>
      <c r="W19" s="30">
        <f t="shared" ref="W19:W21" si="63">X19+Y19</f>
        <v>100000</v>
      </c>
      <c r="X19" s="30">
        <f>T19</f>
        <v>100000</v>
      </c>
      <c r="Y19" s="30">
        <f t="shared" si="37"/>
        <v>0</v>
      </c>
      <c r="Z19" s="30">
        <f t="shared" si="42"/>
        <v>35000</v>
      </c>
      <c r="AA19" s="30">
        <f t="shared" si="27"/>
        <v>0</v>
      </c>
      <c r="AB19" s="30">
        <f t="shared" si="28"/>
        <v>35000</v>
      </c>
      <c r="AC19" s="30">
        <f t="shared" si="38"/>
        <v>35000</v>
      </c>
      <c r="AD19" s="30">
        <f t="shared" si="29"/>
        <v>0</v>
      </c>
      <c r="AE19" s="3546">
        <f>106000-30</f>
        <v>105970</v>
      </c>
      <c r="AF19" s="180">
        <f t="shared" si="53"/>
        <v>105.97000000000001</v>
      </c>
      <c r="AG19" s="30"/>
      <c r="AH19" s="30">
        <f t="shared" ref="AH19:AH22" si="64">SUM(AI19:AJ19)</f>
        <v>105970</v>
      </c>
      <c r="AI19" s="30">
        <f t="shared" ref="AI19:AI22" si="65">AE19</f>
        <v>105970</v>
      </c>
      <c r="AJ19" s="2605"/>
      <c r="AK19" s="80">
        <f>115000-12000</f>
        <v>103000</v>
      </c>
      <c r="AL19" s="180">
        <f t="shared" si="39"/>
        <v>97.197319996225346</v>
      </c>
      <c r="AM19" s="30"/>
      <c r="AN19" s="30">
        <f t="shared" ref="AN19:AN22" si="66">SUM(AO19:AP19)</f>
        <v>103000</v>
      </c>
      <c r="AO19" s="30">
        <f t="shared" ref="AO19:AO22" si="67">AK19</f>
        <v>103000</v>
      </c>
      <c r="AP19" s="30"/>
      <c r="AQ19" s="80">
        <f>133000-21000</f>
        <v>112000</v>
      </c>
      <c r="AR19" s="180">
        <f>AQ19/AK19*100</f>
        <v>108.7378640776699</v>
      </c>
      <c r="AS19" s="30"/>
      <c r="AT19" s="30">
        <f t="shared" ref="AT19:AT22" si="68">SUM(AU19:AV19)</f>
        <v>112000</v>
      </c>
      <c r="AU19" s="30">
        <f>AQ19</f>
        <v>112000</v>
      </c>
      <c r="AV19" s="2085">
        <f t="shared" si="40"/>
        <v>0</v>
      </c>
      <c r="AW19" s="2873">
        <f t="shared" si="9"/>
        <v>1.1436434275847182E-2</v>
      </c>
      <c r="AX19" s="73"/>
      <c r="AY19" s="73"/>
      <c r="AZ19" s="73"/>
      <c r="BA19" s="73"/>
      <c r="BB19" s="73"/>
      <c r="BC19" s="73"/>
      <c r="BD19" s="73"/>
      <c r="BE19" s="73"/>
      <c r="BF19" s="73"/>
      <c r="BG19" s="73"/>
      <c r="BH19" s="73"/>
      <c r="BI19" s="73"/>
      <c r="BJ19" s="73"/>
      <c r="BK19" s="73"/>
      <c r="BL19" s="73"/>
      <c r="BM19" s="73"/>
      <c r="BN19" s="73"/>
      <c r="BO19" s="73"/>
      <c r="BP19" s="73"/>
      <c r="BQ19" s="73"/>
      <c r="BR19" s="73"/>
      <c r="BS19" s="73"/>
      <c r="BT19" s="73"/>
      <c r="BU19" s="73"/>
      <c r="BV19" s="73"/>
      <c r="BW19" s="73"/>
      <c r="BX19" s="73"/>
      <c r="BY19" s="73"/>
      <c r="BZ19" s="73"/>
      <c r="CA19" s="73"/>
      <c r="CB19" s="73"/>
      <c r="CC19" s="73"/>
      <c r="CD19" s="73"/>
      <c r="CE19" s="73"/>
      <c r="CF19" s="73"/>
      <c r="CG19" s="73"/>
      <c r="CH19" s="73"/>
      <c r="CI19" s="73"/>
      <c r="CJ19" s="73"/>
      <c r="CK19" s="73"/>
      <c r="CL19" s="73"/>
      <c r="CM19" s="73"/>
      <c r="CN19" s="73"/>
      <c r="CO19" s="73"/>
      <c r="CY19" s="189" t="e">
        <f t="shared" si="11"/>
        <v>#DIV/0!</v>
      </c>
      <c r="DA19" s="189" t="e">
        <f t="shared" si="12"/>
        <v>#DIV/0!</v>
      </c>
      <c r="DC19" s="189" t="e">
        <f t="shared" si="14"/>
        <v>#DIV/0!</v>
      </c>
      <c r="DE19" s="189" t="e">
        <f t="shared" si="15"/>
        <v>#DIV/0!</v>
      </c>
      <c r="DG19" s="189" t="e">
        <f t="shared" si="17"/>
        <v>#DIV/0!</v>
      </c>
      <c r="DI19" s="190" t="e">
        <f t="shared" si="31"/>
        <v>#DIV/0!</v>
      </c>
    </row>
    <row r="20" spans="1:113" s="166" customFormat="1" ht="18" hidden="1" customHeight="1">
      <c r="A20" s="2082"/>
      <c r="B20" s="3593" t="s">
        <v>13</v>
      </c>
      <c r="C20" s="183">
        <v>0</v>
      </c>
      <c r="D20" s="13"/>
      <c r="E20" s="13">
        <f t="shared" si="57"/>
        <v>0</v>
      </c>
      <c r="F20" s="13">
        <f t="shared" si="58"/>
        <v>0</v>
      </c>
      <c r="G20" s="13">
        <v>0</v>
      </c>
      <c r="H20" s="53"/>
      <c r="I20" s="102"/>
      <c r="J20" s="13">
        <f>0</f>
        <v>0</v>
      </c>
      <c r="K20" s="13">
        <f t="shared" si="59"/>
        <v>0</v>
      </c>
      <c r="L20" s="13">
        <f t="shared" si="60"/>
        <v>0</v>
      </c>
      <c r="M20" s="13">
        <v>0</v>
      </c>
      <c r="N20" s="53"/>
      <c r="O20" s="102"/>
      <c r="P20" s="13">
        <f>0</f>
        <v>0</v>
      </c>
      <c r="Q20" s="13">
        <f t="shared" si="61"/>
        <v>0</v>
      </c>
      <c r="R20" s="13">
        <f t="shared" si="62"/>
        <v>0</v>
      </c>
      <c r="S20" s="13">
        <v>0</v>
      </c>
      <c r="T20" s="2103">
        <f t="shared" si="49"/>
        <v>0</v>
      </c>
      <c r="U20" s="180"/>
      <c r="V20" s="30">
        <f t="shared" si="25"/>
        <v>0</v>
      </c>
      <c r="W20" s="30">
        <f t="shared" si="63"/>
        <v>0</v>
      </c>
      <c r="X20" s="30">
        <f>T20</f>
        <v>0</v>
      </c>
      <c r="Y20" s="30">
        <f t="shared" si="37"/>
        <v>0</v>
      </c>
      <c r="Z20" s="30">
        <f t="shared" si="42"/>
        <v>0</v>
      </c>
      <c r="AA20" s="30">
        <f t="shared" si="27"/>
        <v>0</v>
      </c>
      <c r="AB20" s="30">
        <f t="shared" si="28"/>
        <v>0</v>
      </c>
      <c r="AC20" s="30">
        <f t="shared" si="38"/>
        <v>0</v>
      </c>
      <c r="AD20" s="30">
        <f t="shared" si="29"/>
        <v>0</v>
      </c>
      <c r="AE20" s="1798">
        <f t="shared" ref="AE20:AE27" si="69">Y20+S20</f>
        <v>0</v>
      </c>
      <c r="AF20" s="180" t="e">
        <f t="shared" si="53"/>
        <v>#DIV/0!</v>
      </c>
      <c r="AG20" s="30"/>
      <c r="AH20" s="30">
        <f t="shared" si="64"/>
        <v>0</v>
      </c>
      <c r="AI20" s="30">
        <f t="shared" si="65"/>
        <v>0</v>
      </c>
      <c r="AJ20" s="2605"/>
      <c r="AK20" s="80"/>
      <c r="AL20" s="180"/>
      <c r="AM20" s="30"/>
      <c r="AN20" s="30">
        <f t="shared" si="66"/>
        <v>0</v>
      </c>
      <c r="AO20" s="30">
        <f t="shared" si="67"/>
        <v>0</v>
      </c>
      <c r="AP20" s="30"/>
      <c r="AQ20" s="80">
        <v>0</v>
      </c>
      <c r="AR20" s="180"/>
      <c r="AS20" s="30"/>
      <c r="AT20" s="30">
        <f t="shared" si="68"/>
        <v>0</v>
      </c>
      <c r="AU20" s="30">
        <f t="shared" ref="AU20:AU22" si="70">AQ20</f>
        <v>0</v>
      </c>
      <c r="AV20" s="2085">
        <f t="shared" si="40"/>
        <v>0</v>
      </c>
      <c r="AW20" s="2873">
        <f t="shared" si="9"/>
        <v>0</v>
      </c>
      <c r="AX20" s="73"/>
      <c r="AY20" s="73"/>
      <c r="AZ20" s="73"/>
      <c r="BA20" s="73"/>
      <c r="BB20" s="73"/>
      <c r="BC20" s="73"/>
      <c r="BD20" s="73"/>
      <c r="BE20" s="73"/>
      <c r="BF20" s="73"/>
      <c r="BG20" s="73"/>
      <c r="BH20" s="73"/>
      <c r="BI20" s="73"/>
      <c r="BJ20" s="73"/>
      <c r="BK20" s="73"/>
      <c r="BL20" s="73"/>
      <c r="BM20" s="73"/>
      <c r="BN20" s="73"/>
      <c r="BO20" s="73"/>
      <c r="BP20" s="73"/>
      <c r="BQ20" s="73"/>
      <c r="BR20" s="73"/>
      <c r="BS20" s="73"/>
      <c r="BT20" s="73"/>
      <c r="BU20" s="73"/>
      <c r="BV20" s="73"/>
      <c r="BW20" s="73"/>
      <c r="BX20" s="73"/>
      <c r="BY20" s="73"/>
      <c r="BZ20" s="73"/>
      <c r="CA20" s="73"/>
      <c r="CB20" s="73"/>
      <c r="CC20" s="73"/>
      <c r="CD20" s="73"/>
      <c r="CE20" s="73"/>
      <c r="CF20" s="73"/>
      <c r="CG20" s="73"/>
      <c r="CH20" s="73"/>
      <c r="CI20" s="73"/>
      <c r="CJ20" s="73"/>
      <c r="CK20" s="73"/>
      <c r="CL20" s="73"/>
      <c r="CM20" s="73"/>
      <c r="CN20" s="73"/>
      <c r="CO20" s="73"/>
      <c r="CY20" s="189" t="e">
        <f t="shared" si="11"/>
        <v>#DIV/0!</v>
      </c>
      <c r="DA20" s="189" t="e">
        <f t="shared" si="12"/>
        <v>#DIV/0!</v>
      </c>
      <c r="DC20" s="189" t="e">
        <f t="shared" si="14"/>
        <v>#DIV/0!</v>
      </c>
      <c r="DE20" s="189" t="e">
        <f t="shared" si="15"/>
        <v>#DIV/0!</v>
      </c>
      <c r="DG20" s="189" t="e">
        <f t="shared" si="17"/>
        <v>#DIV/0!</v>
      </c>
      <c r="DI20" s="190" t="e">
        <f t="shared" si="31"/>
        <v>#DIV/0!</v>
      </c>
    </row>
    <row r="21" spans="1:113" s="166" customFormat="1" ht="18" hidden="1" customHeight="1">
      <c r="A21" s="2082"/>
      <c r="B21" s="3593" t="s">
        <v>14</v>
      </c>
      <c r="C21" s="183">
        <v>102000</v>
      </c>
      <c r="D21" s="13"/>
      <c r="E21" s="13">
        <f t="shared" si="57"/>
        <v>102000</v>
      </c>
      <c r="F21" s="13">
        <f t="shared" si="58"/>
        <v>102000</v>
      </c>
      <c r="G21" s="13">
        <v>0</v>
      </c>
      <c r="H21" s="53">
        <v>28980.5</v>
      </c>
      <c r="I21" s="102"/>
      <c r="J21" s="13">
        <f>0</f>
        <v>0</v>
      </c>
      <c r="K21" s="13">
        <f t="shared" si="59"/>
        <v>28980.5</v>
      </c>
      <c r="L21" s="13">
        <f t="shared" si="60"/>
        <v>28980.5</v>
      </c>
      <c r="M21" s="13">
        <v>0</v>
      </c>
      <c r="N21" s="53">
        <v>78020</v>
      </c>
      <c r="O21" s="102"/>
      <c r="P21" s="13">
        <f>0</f>
        <v>0</v>
      </c>
      <c r="Q21" s="13">
        <f t="shared" si="61"/>
        <v>78020</v>
      </c>
      <c r="R21" s="13">
        <f t="shared" si="62"/>
        <v>78020</v>
      </c>
      <c r="S21" s="13">
        <v>0</v>
      </c>
      <c r="T21" s="2103">
        <v>70000</v>
      </c>
      <c r="U21" s="180">
        <f>T21/C21*100</f>
        <v>68.627450980392155</v>
      </c>
      <c r="V21" s="30">
        <f t="shared" si="25"/>
        <v>0</v>
      </c>
      <c r="W21" s="30">
        <f t="shared" si="63"/>
        <v>70000</v>
      </c>
      <c r="X21" s="30">
        <f>T21</f>
        <v>70000</v>
      </c>
      <c r="Y21" s="30">
        <f t="shared" si="37"/>
        <v>0</v>
      </c>
      <c r="Z21" s="30">
        <f t="shared" si="42"/>
        <v>-32000</v>
      </c>
      <c r="AA21" s="30">
        <f t="shared" si="27"/>
        <v>0</v>
      </c>
      <c r="AB21" s="30">
        <f t="shared" si="28"/>
        <v>-32000</v>
      </c>
      <c r="AC21" s="30">
        <f t="shared" si="38"/>
        <v>-32000</v>
      </c>
      <c r="AD21" s="30">
        <f t="shared" si="29"/>
        <v>0</v>
      </c>
      <c r="AE21" s="3546">
        <f>84000+30</f>
        <v>84030</v>
      </c>
      <c r="AF21" s="180">
        <f t="shared" si="53"/>
        <v>120.04285714285714</v>
      </c>
      <c r="AG21" s="30"/>
      <c r="AH21" s="30">
        <f t="shared" si="64"/>
        <v>84030</v>
      </c>
      <c r="AI21" s="30">
        <f t="shared" si="65"/>
        <v>84030</v>
      </c>
      <c r="AJ21" s="2605"/>
      <c r="AK21" s="80">
        <f>90000+36000</f>
        <v>126000</v>
      </c>
      <c r="AL21" s="180">
        <f t="shared" si="39"/>
        <v>149.94644769725099</v>
      </c>
      <c r="AM21" s="30"/>
      <c r="AN21" s="30">
        <f t="shared" si="66"/>
        <v>126000</v>
      </c>
      <c r="AO21" s="30">
        <f t="shared" si="67"/>
        <v>126000</v>
      </c>
      <c r="AP21" s="30"/>
      <c r="AQ21" s="80">
        <f>97000+38000</f>
        <v>135000</v>
      </c>
      <c r="AR21" s="180">
        <f>AQ21/AK21*100</f>
        <v>107.14285714285714</v>
      </c>
      <c r="AS21" s="30"/>
      <c r="AT21" s="30">
        <f t="shared" si="68"/>
        <v>135000</v>
      </c>
      <c r="AU21" s="30">
        <f>AQ21</f>
        <v>135000</v>
      </c>
      <c r="AV21" s="2085">
        <f t="shared" si="40"/>
        <v>0</v>
      </c>
      <c r="AW21" s="2873">
        <f t="shared" si="9"/>
        <v>9.0686380315130582E-3</v>
      </c>
      <c r="AX21" s="73"/>
      <c r="AY21" s="73"/>
      <c r="AZ21" s="73"/>
      <c r="BA21" s="73"/>
      <c r="BB21" s="73"/>
      <c r="BC21" s="73"/>
      <c r="BD21" s="73"/>
      <c r="BE21" s="73"/>
      <c r="BF21" s="73"/>
      <c r="BG21" s="73"/>
      <c r="BH21" s="73"/>
      <c r="BI21" s="73"/>
      <c r="BJ21" s="73"/>
      <c r="BK21" s="73"/>
      <c r="BL21" s="73"/>
      <c r="BM21" s="73"/>
      <c r="BN21" s="73"/>
      <c r="BO21" s="73"/>
      <c r="BP21" s="73"/>
      <c r="BQ21" s="73"/>
      <c r="BR21" s="73"/>
      <c r="BS21" s="73"/>
      <c r="BT21" s="73"/>
      <c r="BU21" s="73"/>
      <c r="BV21" s="73"/>
      <c r="BW21" s="73"/>
      <c r="BX21" s="73"/>
      <c r="BY21" s="73"/>
      <c r="BZ21" s="73"/>
      <c r="CA21" s="73"/>
      <c r="CB21" s="73"/>
      <c r="CC21" s="73"/>
      <c r="CD21" s="73"/>
      <c r="CE21" s="73"/>
      <c r="CF21" s="73"/>
      <c r="CG21" s="73"/>
      <c r="CH21" s="73"/>
      <c r="CI21" s="73"/>
      <c r="CJ21" s="73"/>
      <c r="CK21" s="73"/>
      <c r="CL21" s="73"/>
      <c r="CM21" s="73"/>
      <c r="CN21" s="73"/>
      <c r="CO21" s="73"/>
      <c r="CY21" s="189" t="e">
        <f t="shared" si="11"/>
        <v>#DIV/0!</v>
      </c>
      <c r="DA21" s="189" t="e">
        <f t="shared" si="12"/>
        <v>#DIV/0!</v>
      </c>
      <c r="DC21" s="189" t="e">
        <f t="shared" si="14"/>
        <v>#DIV/0!</v>
      </c>
      <c r="DE21" s="189" t="e">
        <f t="shared" si="15"/>
        <v>#DIV/0!</v>
      </c>
      <c r="DG21" s="189" t="e">
        <f t="shared" si="17"/>
        <v>#DIV/0!</v>
      </c>
      <c r="DI21" s="190" t="e">
        <f t="shared" si="31"/>
        <v>#DIV/0!</v>
      </c>
    </row>
    <row r="22" spans="1:113" s="166" customFormat="1" hidden="1">
      <c r="A22" s="2082"/>
      <c r="B22" s="3593" t="s">
        <v>67</v>
      </c>
      <c r="C22" s="30">
        <v>0</v>
      </c>
      <c r="D22" s="13"/>
      <c r="E22" s="13">
        <f t="shared" si="57"/>
        <v>0</v>
      </c>
      <c r="F22" s="13">
        <f t="shared" si="58"/>
        <v>0</v>
      </c>
      <c r="G22" s="13">
        <v>0</v>
      </c>
      <c r="H22" s="30"/>
      <c r="I22" s="102"/>
      <c r="J22" s="13">
        <f>0</f>
        <v>0</v>
      </c>
      <c r="K22" s="13">
        <f t="shared" si="59"/>
        <v>0</v>
      </c>
      <c r="L22" s="13">
        <f t="shared" si="60"/>
        <v>0</v>
      </c>
      <c r="M22" s="13">
        <v>0</v>
      </c>
      <c r="N22" s="30"/>
      <c r="O22" s="102"/>
      <c r="P22" s="13">
        <f>0</f>
        <v>0</v>
      </c>
      <c r="Q22" s="13">
        <f t="shared" si="61"/>
        <v>0</v>
      </c>
      <c r="R22" s="13">
        <f t="shared" si="62"/>
        <v>0</v>
      </c>
      <c r="S22" s="13">
        <v>0</v>
      </c>
      <c r="T22" s="2103">
        <f t="shared" si="49"/>
        <v>0</v>
      </c>
      <c r="U22" s="180"/>
      <c r="V22" s="30">
        <f t="shared" si="25"/>
        <v>0</v>
      </c>
      <c r="W22" s="30">
        <f t="shared" si="50"/>
        <v>0</v>
      </c>
      <c r="X22" s="30">
        <f t="shared" si="51"/>
        <v>0</v>
      </c>
      <c r="Y22" s="30">
        <f t="shared" si="37"/>
        <v>0</v>
      </c>
      <c r="Z22" s="30">
        <f t="shared" si="42"/>
        <v>0</v>
      </c>
      <c r="AA22" s="30">
        <f t="shared" si="27"/>
        <v>0</v>
      </c>
      <c r="AB22" s="30">
        <f t="shared" si="28"/>
        <v>0</v>
      </c>
      <c r="AC22" s="30">
        <f t="shared" si="38"/>
        <v>0</v>
      </c>
      <c r="AD22" s="30">
        <f t="shared" si="29"/>
        <v>0</v>
      </c>
      <c r="AE22" s="80">
        <f t="shared" si="69"/>
        <v>0</v>
      </c>
      <c r="AF22" s="180" t="e">
        <f t="shared" si="53"/>
        <v>#DIV/0!</v>
      </c>
      <c r="AG22" s="30"/>
      <c r="AH22" s="30">
        <f t="shared" si="64"/>
        <v>0</v>
      </c>
      <c r="AI22" s="30">
        <f t="shared" si="65"/>
        <v>0</v>
      </c>
      <c r="AJ22" s="30"/>
      <c r="AK22" s="80"/>
      <c r="AL22" s="180"/>
      <c r="AM22" s="30"/>
      <c r="AN22" s="30">
        <f t="shared" si="66"/>
        <v>0</v>
      </c>
      <c r="AO22" s="30">
        <f t="shared" si="67"/>
        <v>0</v>
      </c>
      <c r="AP22" s="30"/>
      <c r="AQ22" s="80">
        <v>0</v>
      </c>
      <c r="AR22" s="180"/>
      <c r="AS22" s="30"/>
      <c r="AT22" s="30">
        <f t="shared" si="68"/>
        <v>0</v>
      </c>
      <c r="AU22" s="30">
        <f t="shared" si="70"/>
        <v>0</v>
      </c>
      <c r="AV22" s="2085">
        <f t="shared" si="40"/>
        <v>0</v>
      </c>
      <c r="AW22" s="2873">
        <f t="shared" si="9"/>
        <v>0</v>
      </c>
      <c r="AX22" s="73"/>
      <c r="AY22" s="73"/>
      <c r="AZ22" s="73"/>
      <c r="BA22" s="73"/>
      <c r="BB22" s="73"/>
      <c r="BC22" s="73"/>
      <c r="BD22" s="73"/>
      <c r="BE22" s="73"/>
      <c r="BF22" s="73"/>
      <c r="BG22" s="73"/>
      <c r="BH22" s="73"/>
      <c r="BI22" s="73"/>
      <c r="BJ22" s="73"/>
      <c r="BK22" s="73"/>
      <c r="BL22" s="73"/>
      <c r="BM22" s="73"/>
      <c r="BN22" s="73"/>
      <c r="BO22" s="73"/>
      <c r="BP22" s="73"/>
      <c r="BQ22" s="73"/>
      <c r="BR22" s="73"/>
      <c r="BS22" s="73"/>
      <c r="BT22" s="73"/>
      <c r="BU22" s="73"/>
      <c r="BV22" s="73"/>
      <c r="BW22" s="73"/>
      <c r="BX22" s="73"/>
      <c r="BY22" s="73"/>
      <c r="BZ22" s="73"/>
      <c r="CA22" s="73"/>
      <c r="CB22" s="73"/>
      <c r="CC22" s="73"/>
      <c r="CD22" s="73"/>
      <c r="CE22" s="73"/>
      <c r="CF22" s="73"/>
      <c r="CG22" s="73"/>
      <c r="CH22" s="73"/>
      <c r="CI22" s="73"/>
      <c r="CJ22" s="73"/>
      <c r="CK22" s="73"/>
      <c r="CL22" s="73"/>
      <c r="CM22" s="73"/>
      <c r="CN22" s="73"/>
      <c r="CO22" s="73"/>
      <c r="CY22" s="189" t="e">
        <f t="shared" si="11"/>
        <v>#DIV/0!</v>
      </c>
      <c r="DA22" s="189" t="e">
        <f t="shared" si="12"/>
        <v>#DIV/0!</v>
      </c>
      <c r="DC22" s="189" t="e">
        <f t="shared" si="14"/>
        <v>#DIV/0!</v>
      </c>
      <c r="DE22" s="189" t="e">
        <f t="shared" si="15"/>
        <v>#DIV/0!</v>
      </c>
      <c r="DG22" s="189" t="e">
        <f t="shared" si="17"/>
        <v>#DIV/0!</v>
      </c>
      <c r="DI22" s="190" t="e">
        <f t="shared" si="31"/>
        <v>#DIV/0!</v>
      </c>
    </row>
    <row r="23" spans="1:113" s="166" customFormat="1" ht="24" customHeight="1">
      <c r="A23" s="2082">
        <v>3</v>
      </c>
      <c r="B23" s="3592" t="s">
        <v>68</v>
      </c>
      <c r="C23" s="59">
        <f>SUM(C24:C27)</f>
        <v>70000</v>
      </c>
      <c r="D23" s="14">
        <f>SUM(D24:D27)</f>
        <v>0</v>
      </c>
      <c r="E23" s="14">
        <f>SUM(E24:E27)</f>
        <v>70000</v>
      </c>
      <c r="F23" s="14">
        <f>SUM(F24:F27)</f>
        <v>70000</v>
      </c>
      <c r="G23" s="14">
        <v>0</v>
      </c>
      <c r="H23" s="14">
        <f>SUM(H24:H27)</f>
        <v>29448.3</v>
      </c>
      <c r="I23" s="176">
        <f>H23/C23*100</f>
        <v>42.069000000000003</v>
      </c>
      <c r="J23" s="14">
        <v>0</v>
      </c>
      <c r="K23" s="14">
        <f>L23</f>
        <v>29448.3</v>
      </c>
      <c r="L23" s="14">
        <f>H23</f>
        <v>29448.3</v>
      </c>
      <c r="M23" s="14">
        <v>0</v>
      </c>
      <c r="N23" s="14">
        <f>SUM(N24:N27)</f>
        <v>40551.9</v>
      </c>
      <c r="O23" s="176">
        <f>N23/C23*100</f>
        <v>57.931285714285721</v>
      </c>
      <c r="P23" s="14">
        <v>0</v>
      </c>
      <c r="Q23" s="14">
        <f>N23</f>
        <v>40551.9</v>
      </c>
      <c r="R23" s="14">
        <f>Q23</f>
        <v>40551.9</v>
      </c>
      <c r="S23" s="14">
        <v>0</v>
      </c>
      <c r="T23" s="2102">
        <f>SUM(T24:T27)</f>
        <v>70000</v>
      </c>
      <c r="U23" s="188">
        <f>T23/C23*100</f>
        <v>100</v>
      </c>
      <c r="V23" s="59">
        <f t="shared" si="25"/>
        <v>0</v>
      </c>
      <c r="W23" s="187">
        <f>SUM(W24:W27)</f>
        <v>70000</v>
      </c>
      <c r="X23" s="187">
        <f t="shared" ref="X23:Y23" si="71">SUM(X24:X27)</f>
        <v>70000</v>
      </c>
      <c r="Y23" s="187">
        <f t="shared" si="71"/>
        <v>0</v>
      </c>
      <c r="Z23" s="59">
        <f t="shared" si="42"/>
        <v>0</v>
      </c>
      <c r="AA23" s="59">
        <f t="shared" si="27"/>
        <v>0</v>
      </c>
      <c r="AB23" s="59">
        <f t="shared" si="28"/>
        <v>0</v>
      </c>
      <c r="AC23" s="59">
        <f t="shared" si="38"/>
        <v>0</v>
      </c>
      <c r="AD23" s="59">
        <f t="shared" si="29"/>
        <v>0</v>
      </c>
      <c r="AE23" s="187">
        <f>SUM(AE24:AE27)</f>
        <v>75000</v>
      </c>
      <c r="AF23" s="188">
        <f t="shared" si="53"/>
        <v>107.14285714285714</v>
      </c>
      <c r="AG23" s="187">
        <f>SUM(AG24:AG27)</f>
        <v>0</v>
      </c>
      <c r="AH23" s="187">
        <f>SUM(AH24:AH27)</f>
        <v>75000</v>
      </c>
      <c r="AI23" s="187">
        <f t="shared" ref="AI23:AJ23" si="72">SUM(AI24:AI27)</f>
        <v>75000</v>
      </c>
      <c r="AJ23" s="187">
        <f t="shared" si="72"/>
        <v>0</v>
      </c>
      <c r="AK23" s="187">
        <f>SUM(AK24:AK27)</f>
        <v>100000</v>
      </c>
      <c r="AL23" s="188">
        <f t="shared" si="39"/>
        <v>133.33333333333331</v>
      </c>
      <c r="AM23" s="59">
        <f t="shared" ref="AM23:AM27" si="73">AG23+AA23</f>
        <v>0</v>
      </c>
      <c r="AN23" s="187">
        <f>SUM(AN24:AN27)</f>
        <v>100000</v>
      </c>
      <c r="AO23" s="187">
        <f>SUM(AO24:AO27)</f>
        <v>100000</v>
      </c>
      <c r="AP23" s="187">
        <f>SUM(AP24:AP27)</f>
        <v>0</v>
      </c>
      <c r="AQ23" s="187">
        <f>SUM(AQ24:AQ27)</f>
        <v>110000</v>
      </c>
      <c r="AR23" s="188">
        <f>AQ23/AK23*100</f>
        <v>110.00000000000001</v>
      </c>
      <c r="AS23" s="187">
        <f>SUM(AS24:AS27)</f>
        <v>0</v>
      </c>
      <c r="AT23" s="187">
        <f>SUM(AT24:AT27)</f>
        <v>110000</v>
      </c>
      <c r="AU23" s="187">
        <f>SUM(AU24:AU27)</f>
        <v>110000</v>
      </c>
      <c r="AV23" s="2083">
        <f>SUM(AV24:AV27)</f>
        <v>0</v>
      </c>
      <c r="AW23" s="2873">
        <f t="shared" si="9"/>
        <v>8.0941074897474645E-3</v>
      </c>
      <c r="AX23" s="175"/>
      <c r="AY23" s="175"/>
      <c r="AZ23" s="175"/>
      <c r="BA23" s="175"/>
      <c r="BB23" s="175"/>
      <c r="BC23" s="175"/>
      <c r="BD23" s="175"/>
      <c r="BE23" s="175"/>
      <c r="BF23" s="175"/>
      <c r="BG23" s="175"/>
      <c r="BH23" s="175"/>
      <c r="BI23" s="175"/>
      <c r="BJ23" s="175"/>
      <c r="BK23" s="175"/>
      <c r="BL23" s="175"/>
      <c r="BM23" s="175"/>
      <c r="BN23" s="175"/>
      <c r="BO23" s="175"/>
      <c r="BP23" s="175"/>
      <c r="BQ23" s="175"/>
      <c r="BR23" s="175"/>
      <c r="BS23" s="175"/>
      <c r="BT23" s="175"/>
      <c r="BU23" s="175"/>
      <c r="BV23" s="175"/>
      <c r="BW23" s="175"/>
      <c r="BX23" s="175"/>
      <c r="BY23" s="175"/>
      <c r="BZ23" s="175"/>
      <c r="CA23" s="175"/>
      <c r="CB23" s="175"/>
      <c r="CC23" s="175"/>
      <c r="CD23" s="175"/>
      <c r="CE23" s="175"/>
      <c r="CF23" s="175"/>
      <c r="CG23" s="175"/>
      <c r="CH23" s="175"/>
      <c r="CI23" s="175"/>
      <c r="CJ23" s="175"/>
      <c r="CK23" s="175"/>
      <c r="CL23" s="175"/>
      <c r="CM23" s="175"/>
      <c r="CN23" s="175"/>
      <c r="CO23" s="175"/>
      <c r="CX23" s="166">
        <v>28251</v>
      </c>
      <c r="CY23" s="113">
        <f t="shared" si="11"/>
        <v>1.042380800679622</v>
      </c>
      <c r="CZ23" s="166">
        <v>15701</v>
      </c>
      <c r="DA23" s="113">
        <f t="shared" si="12"/>
        <v>1.8755684351315203</v>
      </c>
      <c r="DB23" s="166">
        <v>40214</v>
      </c>
      <c r="DC23" s="113">
        <f t="shared" si="14"/>
        <v>0.7322897498383647</v>
      </c>
      <c r="DD23" s="166">
        <v>33148</v>
      </c>
      <c r="DE23" s="113">
        <f t="shared" si="15"/>
        <v>0.88838843972487025</v>
      </c>
      <c r="DF23" s="166">
        <v>34936</v>
      </c>
      <c r="DG23" s="113">
        <f t="shared" si="17"/>
        <v>0.84292134188229906</v>
      </c>
      <c r="DH23" s="166">
        <v>28861</v>
      </c>
      <c r="DI23" s="115">
        <f t="shared" si="31"/>
        <v>1.0203492602473927</v>
      </c>
    </row>
    <row r="24" spans="1:113" s="166" customFormat="1" ht="18" hidden="1" customHeight="1">
      <c r="A24" s="2082"/>
      <c r="B24" s="3593" t="s">
        <v>11</v>
      </c>
      <c r="C24" s="183">
        <v>18000</v>
      </c>
      <c r="D24" s="13"/>
      <c r="E24" s="13">
        <f>C24-D24</f>
        <v>18000</v>
      </c>
      <c r="F24" s="13">
        <f>E24</f>
        <v>18000</v>
      </c>
      <c r="G24" s="13">
        <v>0</v>
      </c>
      <c r="H24" s="53">
        <v>7852.3</v>
      </c>
      <c r="I24" s="102"/>
      <c r="J24" s="13">
        <f>0</f>
        <v>0</v>
      </c>
      <c r="K24" s="13">
        <f>H24-J24</f>
        <v>7852.3</v>
      </c>
      <c r="L24" s="13">
        <f>K24-M24</f>
        <v>7852.3</v>
      </c>
      <c r="M24" s="13">
        <v>0</v>
      </c>
      <c r="N24" s="53">
        <v>10147.9</v>
      </c>
      <c r="O24" s="102"/>
      <c r="P24" s="13">
        <f>0</f>
        <v>0</v>
      </c>
      <c r="Q24" s="13">
        <f>N24-P24</f>
        <v>10147.9</v>
      </c>
      <c r="R24" s="13">
        <f>Q24-S24</f>
        <v>10147.9</v>
      </c>
      <c r="S24" s="13">
        <v>0</v>
      </c>
      <c r="T24" s="2103">
        <v>15000</v>
      </c>
      <c r="U24" s="180">
        <f>T24/C24*100</f>
        <v>83.333333333333343</v>
      </c>
      <c r="V24" s="30">
        <f t="shared" si="25"/>
        <v>0</v>
      </c>
      <c r="W24" s="30">
        <f>X24+Y24</f>
        <v>15000</v>
      </c>
      <c r="X24" s="30">
        <f>T24</f>
        <v>15000</v>
      </c>
      <c r="Y24" s="30">
        <f t="shared" ref="Y24:Y27" si="74">S24+M24</f>
        <v>0</v>
      </c>
      <c r="Z24" s="30">
        <f t="shared" si="42"/>
        <v>-3000</v>
      </c>
      <c r="AA24" s="30">
        <f t="shared" si="27"/>
        <v>0</v>
      </c>
      <c r="AB24" s="30">
        <f t="shared" si="28"/>
        <v>-3000</v>
      </c>
      <c r="AC24" s="30">
        <f t="shared" si="38"/>
        <v>-3000</v>
      </c>
      <c r="AD24" s="30">
        <f t="shared" si="29"/>
        <v>0</v>
      </c>
      <c r="AE24" s="80">
        <v>16000</v>
      </c>
      <c r="AF24" s="180">
        <f t="shared" si="53"/>
        <v>106.66666666666667</v>
      </c>
      <c r="AG24" s="30"/>
      <c r="AH24" s="30">
        <f>SUM(AI24:AJ24)</f>
        <v>16000</v>
      </c>
      <c r="AI24" s="30">
        <f>AE24</f>
        <v>16000</v>
      </c>
      <c r="AJ24" s="30"/>
      <c r="AK24" s="80">
        <f>17000+5000</f>
        <v>22000</v>
      </c>
      <c r="AL24" s="180">
        <f t="shared" si="39"/>
        <v>137.5</v>
      </c>
      <c r="AM24" s="30">
        <f t="shared" si="73"/>
        <v>0</v>
      </c>
      <c r="AN24" s="30">
        <f>SUM(AO24:AP24)</f>
        <v>22000</v>
      </c>
      <c r="AO24" s="30">
        <f>AK24</f>
        <v>22000</v>
      </c>
      <c r="AP24" s="30"/>
      <c r="AQ24" s="80">
        <f>21500+2500</f>
        <v>24000</v>
      </c>
      <c r="AR24" s="180">
        <f>AQ24/AK24*100</f>
        <v>109.09090909090908</v>
      </c>
      <c r="AS24" s="30"/>
      <c r="AT24" s="30">
        <f>SUM(AU24:AV24)</f>
        <v>24000</v>
      </c>
      <c r="AU24" s="30">
        <f>AQ24</f>
        <v>24000</v>
      </c>
      <c r="AV24" s="2085">
        <f t="shared" si="40"/>
        <v>0</v>
      </c>
      <c r="AW24" s="2873">
        <f t="shared" si="9"/>
        <v>1.7267429311461256E-3</v>
      </c>
      <c r="AX24" s="73"/>
      <c r="AY24" s="73"/>
      <c r="AZ24" s="73"/>
      <c r="BA24" s="73"/>
      <c r="BB24" s="73"/>
      <c r="BC24" s="73"/>
      <c r="BD24" s="73"/>
      <c r="BE24" s="73"/>
      <c r="BF24" s="73"/>
      <c r="BG24" s="73"/>
      <c r="BH24" s="73"/>
      <c r="BI24" s="73"/>
      <c r="BJ24" s="73"/>
      <c r="BK24" s="73"/>
      <c r="BL24" s="73"/>
      <c r="BM24" s="73"/>
      <c r="BN24" s="73"/>
      <c r="BO24" s="73"/>
      <c r="BP24" s="73"/>
      <c r="BQ24" s="73"/>
      <c r="BR24" s="73"/>
      <c r="BS24" s="73"/>
      <c r="BT24" s="73"/>
      <c r="BU24" s="73"/>
      <c r="BV24" s="73"/>
      <c r="BW24" s="73"/>
      <c r="BX24" s="73"/>
      <c r="BY24" s="73"/>
      <c r="BZ24" s="73"/>
      <c r="CA24" s="73"/>
      <c r="CB24" s="73"/>
      <c r="CC24" s="73"/>
      <c r="CD24" s="73"/>
      <c r="CE24" s="73"/>
      <c r="CF24" s="73"/>
      <c r="CG24" s="73"/>
      <c r="CH24" s="73"/>
      <c r="CI24" s="73"/>
      <c r="CJ24" s="73"/>
      <c r="CK24" s="73"/>
      <c r="CL24" s="73"/>
      <c r="CM24" s="73"/>
      <c r="CN24" s="73"/>
      <c r="CO24" s="73"/>
      <c r="CY24" s="189" t="e">
        <f t="shared" si="11"/>
        <v>#DIV/0!</v>
      </c>
      <c r="DA24" s="189" t="e">
        <f t="shared" si="12"/>
        <v>#DIV/0!</v>
      </c>
      <c r="DC24" s="189" t="e">
        <f t="shared" si="14"/>
        <v>#DIV/0!</v>
      </c>
      <c r="DE24" s="189" t="e">
        <f t="shared" si="15"/>
        <v>#DIV/0!</v>
      </c>
      <c r="DG24" s="189" t="e">
        <f t="shared" si="17"/>
        <v>#DIV/0!</v>
      </c>
      <c r="DI24" s="190" t="e">
        <f t="shared" si="31"/>
        <v>#DIV/0!</v>
      </c>
    </row>
    <row r="25" spans="1:113" s="166" customFormat="1" ht="18" hidden="1" customHeight="1">
      <c r="A25" s="2082"/>
      <c r="B25" s="3593" t="s">
        <v>12</v>
      </c>
      <c r="C25" s="183">
        <v>52000</v>
      </c>
      <c r="D25" s="13"/>
      <c r="E25" s="13">
        <f>C25-D25</f>
        <v>52000</v>
      </c>
      <c r="F25" s="13">
        <f>E25</f>
        <v>52000</v>
      </c>
      <c r="G25" s="13">
        <v>0</v>
      </c>
      <c r="H25" s="53">
        <v>21593</v>
      </c>
      <c r="I25" s="102"/>
      <c r="J25" s="13">
        <f>0</f>
        <v>0</v>
      </c>
      <c r="K25" s="13">
        <f>H25-J25</f>
        <v>21593</v>
      </c>
      <c r="L25" s="13">
        <f>K25-M25</f>
        <v>21593</v>
      </c>
      <c r="M25" s="13">
        <v>0</v>
      </c>
      <c r="N25" s="53">
        <v>30404</v>
      </c>
      <c r="O25" s="102"/>
      <c r="P25" s="13">
        <f>0</f>
        <v>0</v>
      </c>
      <c r="Q25" s="13">
        <f>N25-P25</f>
        <v>30404</v>
      </c>
      <c r="R25" s="13">
        <f>Q25-S25</f>
        <v>30404</v>
      </c>
      <c r="S25" s="13">
        <v>0</v>
      </c>
      <c r="T25" s="2103">
        <v>54990</v>
      </c>
      <c r="U25" s="180">
        <f>T25/C25*100</f>
        <v>105.75000000000001</v>
      </c>
      <c r="V25" s="30">
        <f t="shared" si="25"/>
        <v>0</v>
      </c>
      <c r="W25" s="30">
        <f t="shared" ref="W25:W33" si="75">X25+Y25</f>
        <v>54990</v>
      </c>
      <c r="X25" s="30">
        <f>T25</f>
        <v>54990</v>
      </c>
      <c r="Y25" s="30">
        <f t="shared" si="74"/>
        <v>0</v>
      </c>
      <c r="Z25" s="30">
        <f t="shared" si="42"/>
        <v>2990</v>
      </c>
      <c r="AA25" s="30">
        <f t="shared" si="27"/>
        <v>0</v>
      </c>
      <c r="AB25" s="30">
        <f t="shared" si="28"/>
        <v>2990</v>
      </c>
      <c r="AC25" s="30">
        <f t="shared" si="38"/>
        <v>2990</v>
      </c>
      <c r="AD25" s="30">
        <f t="shared" si="29"/>
        <v>0</v>
      </c>
      <c r="AE25" s="80">
        <v>59000</v>
      </c>
      <c r="AF25" s="180">
        <f t="shared" si="53"/>
        <v>107.29223495180942</v>
      </c>
      <c r="AG25" s="30"/>
      <c r="AH25" s="30">
        <f t="shared" ref="AH25:AH27" si="76">SUM(AI25:AJ25)</f>
        <v>59000</v>
      </c>
      <c r="AI25" s="30">
        <f t="shared" ref="AI25:AI27" si="77">AE25</f>
        <v>59000</v>
      </c>
      <c r="AJ25" s="30"/>
      <c r="AK25" s="80">
        <f>63000+15000</f>
        <v>78000</v>
      </c>
      <c r="AL25" s="180">
        <f t="shared" si="39"/>
        <v>132.20338983050848</v>
      </c>
      <c r="AM25" s="30">
        <f t="shared" si="73"/>
        <v>0</v>
      </c>
      <c r="AN25" s="30">
        <f t="shared" ref="AN25:AN27" si="78">SUM(AO25:AP25)</f>
        <v>78000</v>
      </c>
      <c r="AO25" s="30">
        <f>AK25</f>
        <v>78000</v>
      </c>
      <c r="AP25" s="30"/>
      <c r="AQ25" s="80">
        <f>68500+17500</f>
        <v>86000</v>
      </c>
      <c r="AR25" s="180">
        <f>AQ25/AK25*100</f>
        <v>110.25641025641026</v>
      </c>
      <c r="AS25" s="30"/>
      <c r="AT25" s="30">
        <f t="shared" ref="AT25:AT27" si="79">SUM(AU25:AV25)</f>
        <v>86000</v>
      </c>
      <c r="AU25" s="30">
        <f>AQ25</f>
        <v>86000</v>
      </c>
      <c r="AV25" s="2085">
        <f t="shared" si="40"/>
        <v>0</v>
      </c>
      <c r="AW25" s="2873">
        <f t="shared" si="9"/>
        <v>6.3673645586013383E-3</v>
      </c>
      <c r="AX25" s="73"/>
      <c r="AY25" s="73"/>
      <c r="AZ25" s="73"/>
      <c r="BA25" s="73"/>
      <c r="BB25" s="73"/>
      <c r="BC25" s="73"/>
      <c r="BD25" s="73"/>
      <c r="BE25" s="73"/>
      <c r="BF25" s="73"/>
      <c r="BG25" s="73"/>
      <c r="BH25" s="73"/>
      <c r="BI25" s="73"/>
      <c r="BJ25" s="73"/>
      <c r="BK25" s="73"/>
      <c r="BL25" s="73"/>
      <c r="BM25" s="73"/>
      <c r="BN25" s="73"/>
      <c r="BO25" s="73"/>
      <c r="BP25" s="73"/>
      <c r="BQ25" s="73"/>
      <c r="BR25" s="73"/>
      <c r="BS25" s="73"/>
      <c r="BT25" s="73"/>
      <c r="BU25" s="73"/>
      <c r="BV25" s="73"/>
      <c r="BW25" s="73"/>
      <c r="BX25" s="73"/>
      <c r="BY25" s="73"/>
      <c r="BZ25" s="73"/>
      <c r="CA25" s="73"/>
      <c r="CB25" s="73"/>
      <c r="CC25" s="73"/>
      <c r="CD25" s="73"/>
      <c r="CE25" s="73"/>
      <c r="CF25" s="73"/>
      <c r="CG25" s="73"/>
      <c r="CH25" s="73"/>
      <c r="CI25" s="73"/>
      <c r="CJ25" s="73"/>
      <c r="CK25" s="73"/>
      <c r="CL25" s="73"/>
      <c r="CM25" s="73"/>
      <c r="CN25" s="73"/>
      <c r="CO25" s="73"/>
      <c r="CY25" s="189" t="e">
        <f t="shared" si="11"/>
        <v>#DIV/0!</v>
      </c>
      <c r="DA25" s="189" t="e">
        <f t="shared" si="12"/>
        <v>#DIV/0!</v>
      </c>
      <c r="DC25" s="189" t="e">
        <f t="shared" si="14"/>
        <v>#DIV/0!</v>
      </c>
      <c r="DE25" s="189" t="e">
        <f t="shared" si="15"/>
        <v>#DIV/0!</v>
      </c>
      <c r="DG25" s="189" t="e">
        <f t="shared" si="17"/>
        <v>#DIV/0!</v>
      </c>
      <c r="DI25" s="190" t="e">
        <f t="shared" si="31"/>
        <v>#DIV/0!</v>
      </c>
    </row>
    <row r="26" spans="1:113" s="166" customFormat="1" hidden="1">
      <c r="A26" s="2082"/>
      <c r="B26" s="3593" t="s">
        <v>14</v>
      </c>
      <c r="C26" s="30">
        <v>0</v>
      </c>
      <c r="D26" s="13"/>
      <c r="E26" s="13">
        <f>C26-D26</f>
        <v>0</v>
      </c>
      <c r="F26" s="13">
        <f>E26</f>
        <v>0</v>
      </c>
      <c r="G26" s="13"/>
      <c r="H26" s="53"/>
      <c r="I26" s="102"/>
      <c r="J26" s="13">
        <f>0</f>
        <v>0</v>
      </c>
      <c r="K26" s="13">
        <f>H26-J26</f>
        <v>0</v>
      </c>
      <c r="L26" s="13">
        <f>K26-M26</f>
        <v>0</v>
      </c>
      <c r="M26" s="13">
        <v>0</v>
      </c>
      <c r="N26" s="53"/>
      <c r="O26" s="102"/>
      <c r="P26" s="13">
        <f>0</f>
        <v>0</v>
      </c>
      <c r="Q26" s="13">
        <f>N26-P26</f>
        <v>0</v>
      </c>
      <c r="R26" s="13">
        <f>Q26-S26</f>
        <v>0</v>
      </c>
      <c r="S26" s="13">
        <v>0</v>
      </c>
      <c r="T26" s="2103">
        <f t="shared" si="49"/>
        <v>0</v>
      </c>
      <c r="U26" s="212" t="e">
        <f t="shared" ref="U26:U27" si="80">T26/C26*100</f>
        <v>#DIV/0!</v>
      </c>
      <c r="V26" s="30">
        <f t="shared" si="25"/>
        <v>0</v>
      </c>
      <c r="W26" s="30">
        <f t="shared" si="75"/>
        <v>0</v>
      </c>
      <c r="X26" s="30">
        <f>T26</f>
        <v>0</v>
      </c>
      <c r="Y26" s="30">
        <f t="shared" si="74"/>
        <v>0</v>
      </c>
      <c r="Z26" s="30">
        <f t="shared" si="42"/>
        <v>0</v>
      </c>
      <c r="AA26" s="30">
        <f t="shared" si="27"/>
        <v>0</v>
      </c>
      <c r="AB26" s="30">
        <f t="shared" si="28"/>
        <v>0</v>
      </c>
      <c r="AC26" s="30">
        <f t="shared" si="38"/>
        <v>0</v>
      </c>
      <c r="AD26" s="30">
        <f t="shared" si="29"/>
        <v>0</v>
      </c>
      <c r="AE26" s="80">
        <f t="shared" si="69"/>
        <v>0</v>
      </c>
      <c r="AF26" s="180" t="e">
        <f t="shared" ref="AF26" si="81">AE26/T26*100</f>
        <v>#DIV/0!</v>
      </c>
      <c r="AG26" s="30"/>
      <c r="AH26" s="30">
        <f t="shared" si="76"/>
        <v>0</v>
      </c>
      <c r="AI26" s="30">
        <f t="shared" si="77"/>
        <v>0</v>
      </c>
      <c r="AJ26" s="30"/>
      <c r="AK26" s="80">
        <v>0</v>
      </c>
      <c r="AL26" s="180"/>
      <c r="AM26" s="30">
        <f t="shared" si="73"/>
        <v>0</v>
      </c>
      <c r="AN26" s="30">
        <f t="shared" si="78"/>
        <v>0</v>
      </c>
      <c r="AO26" s="30">
        <f t="shared" ref="AO26:AO27" si="82">AK26</f>
        <v>0</v>
      </c>
      <c r="AP26" s="30"/>
      <c r="AQ26" s="80">
        <v>0</v>
      </c>
      <c r="AR26" s="180"/>
      <c r="AS26" s="30"/>
      <c r="AT26" s="30">
        <f t="shared" si="79"/>
        <v>0</v>
      </c>
      <c r="AU26" s="30">
        <f>AQ26</f>
        <v>0</v>
      </c>
      <c r="AV26" s="2085">
        <f t="shared" si="40"/>
        <v>0</v>
      </c>
      <c r="AW26" s="2873">
        <f t="shared" si="9"/>
        <v>0</v>
      </c>
      <c r="AX26" s="73"/>
      <c r="AY26" s="73"/>
      <c r="AZ26" s="73"/>
      <c r="BA26" s="73"/>
      <c r="BB26" s="73"/>
      <c r="BC26" s="73"/>
      <c r="BD26" s="73"/>
      <c r="BE26" s="73"/>
      <c r="BF26" s="73"/>
      <c r="BG26" s="73"/>
      <c r="BH26" s="73"/>
      <c r="BI26" s="73"/>
      <c r="BJ26" s="73"/>
      <c r="BK26" s="73"/>
      <c r="BL26" s="73"/>
      <c r="BM26" s="73"/>
      <c r="BN26" s="73"/>
      <c r="BO26" s="73"/>
      <c r="BP26" s="73"/>
      <c r="BQ26" s="73"/>
      <c r="BR26" s="73"/>
      <c r="BS26" s="73"/>
      <c r="BT26" s="73"/>
      <c r="BU26" s="73"/>
      <c r="BV26" s="73"/>
      <c r="BW26" s="73"/>
      <c r="BX26" s="73"/>
      <c r="BY26" s="73"/>
      <c r="BZ26" s="73"/>
      <c r="CA26" s="73"/>
      <c r="CB26" s="73"/>
      <c r="CC26" s="73"/>
      <c r="CD26" s="73"/>
      <c r="CE26" s="73"/>
      <c r="CF26" s="73"/>
      <c r="CG26" s="73"/>
      <c r="CH26" s="73"/>
      <c r="CI26" s="73"/>
      <c r="CJ26" s="73"/>
      <c r="CK26" s="73"/>
      <c r="CL26" s="73"/>
      <c r="CM26" s="73"/>
      <c r="CN26" s="73"/>
      <c r="CO26" s="73"/>
      <c r="CY26" s="189" t="e">
        <f t="shared" si="11"/>
        <v>#DIV/0!</v>
      </c>
      <c r="DA26" s="189" t="e">
        <f t="shared" si="12"/>
        <v>#DIV/0!</v>
      </c>
      <c r="DC26" s="189" t="e">
        <f t="shared" si="14"/>
        <v>#DIV/0!</v>
      </c>
      <c r="DE26" s="189" t="e">
        <f t="shared" si="15"/>
        <v>#DIV/0!</v>
      </c>
      <c r="DG26" s="189" t="e">
        <f t="shared" si="17"/>
        <v>#DIV/0!</v>
      </c>
      <c r="DI26" s="190" t="e">
        <f t="shared" si="31"/>
        <v>#DIV/0!</v>
      </c>
    </row>
    <row r="27" spans="1:113" s="166" customFormat="1" hidden="1">
      <c r="A27" s="2082"/>
      <c r="B27" s="3593" t="s">
        <v>105</v>
      </c>
      <c r="C27" s="30"/>
      <c r="D27" s="13">
        <v>0</v>
      </c>
      <c r="E27" s="13">
        <f>C27-D27</f>
        <v>0</v>
      </c>
      <c r="F27" s="13">
        <f>E27</f>
        <v>0</v>
      </c>
      <c r="G27" s="13">
        <v>0</v>
      </c>
      <c r="H27" s="53">
        <v>3</v>
      </c>
      <c r="I27" s="102"/>
      <c r="J27" s="13"/>
      <c r="K27" s="13"/>
      <c r="L27" s="13"/>
      <c r="M27" s="13"/>
      <c r="N27" s="53"/>
      <c r="O27" s="102"/>
      <c r="P27" s="13"/>
      <c r="Q27" s="13"/>
      <c r="R27" s="13"/>
      <c r="S27" s="13"/>
      <c r="T27" s="2103">
        <v>10</v>
      </c>
      <c r="U27" s="212" t="e">
        <f t="shared" si="80"/>
        <v>#DIV/0!</v>
      </c>
      <c r="V27" s="30">
        <f t="shared" si="25"/>
        <v>0</v>
      </c>
      <c r="W27" s="30">
        <f t="shared" si="75"/>
        <v>10</v>
      </c>
      <c r="X27" s="30">
        <f>T27</f>
        <v>10</v>
      </c>
      <c r="Y27" s="30">
        <f t="shared" si="74"/>
        <v>0</v>
      </c>
      <c r="Z27" s="30">
        <f t="shared" si="42"/>
        <v>10</v>
      </c>
      <c r="AA27" s="30">
        <f t="shared" si="27"/>
        <v>0</v>
      </c>
      <c r="AB27" s="30">
        <f t="shared" si="28"/>
        <v>10</v>
      </c>
      <c r="AC27" s="30">
        <f t="shared" si="38"/>
        <v>10</v>
      </c>
      <c r="AD27" s="30">
        <f t="shared" si="29"/>
        <v>0</v>
      </c>
      <c r="AE27" s="80">
        <f t="shared" si="69"/>
        <v>0</v>
      </c>
      <c r="AF27" s="180">
        <f t="shared" ref="AF27:AF45" si="83">AE27/T27*100</f>
        <v>0</v>
      </c>
      <c r="AG27" s="30"/>
      <c r="AH27" s="30">
        <f t="shared" si="76"/>
        <v>0</v>
      </c>
      <c r="AI27" s="30">
        <f t="shared" si="77"/>
        <v>0</v>
      </c>
      <c r="AJ27" s="30"/>
      <c r="AK27" s="80">
        <v>0</v>
      </c>
      <c r="AL27" s="180"/>
      <c r="AM27" s="30">
        <f t="shared" si="73"/>
        <v>0</v>
      </c>
      <c r="AN27" s="30">
        <f t="shared" si="78"/>
        <v>0</v>
      </c>
      <c r="AO27" s="30">
        <f t="shared" si="82"/>
        <v>0</v>
      </c>
      <c r="AP27" s="30"/>
      <c r="AQ27" s="80">
        <v>0</v>
      </c>
      <c r="AR27" s="180"/>
      <c r="AS27" s="30"/>
      <c r="AT27" s="30">
        <f t="shared" si="79"/>
        <v>0</v>
      </c>
      <c r="AU27" s="30">
        <f>AQ27</f>
        <v>0</v>
      </c>
      <c r="AV27" s="2085">
        <f t="shared" si="40"/>
        <v>0</v>
      </c>
      <c r="AW27" s="2873">
        <f t="shared" si="9"/>
        <v>0</v>
      </c>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Y27" s="189" t="e">
        <f t="shared" si="11"/>
        <v>#DIV/0!</v>
      </c>
      <c r="DA27" s="189" t="e">
        <f t="shared" si="12"/>
        <v>#DIV/0!</v>
      </c>
      <c r="DC27" s="189" t="e">
        <f t="shared" si="14"/>
        <v>#DIV/0!</v>
      </c>
      <c r="DE27" s="189" t="e">
        <f t="shared" si="15"/>
        <v>#DIV/0!</v>
      </c>
      <c r="DG27" s="189" t="e">
        <f t="shared" si="17"/>
        <v>#DIV/0!</v>
      </c>
      <c r="DI27" s="190" t="e">
        <f t="shared" si="31"/>
        <v>#DIV/0!</v>
      </c>
    </row>
    <row r="28" spans="1:113" s="191" customFormat="1" ht="24" customHeight="1">
      <c r="A28" s="2082">
        <v>4</v>
      </c>
      <c r="B28" s="3592" t="s">
        <v>106</v>
      </c>
      <c r="C28" s="59">
        <f>SUM(C29:C33)</f>
        <v>1265000</v>
      </c>
      <c r="D28" s="14">
        <f t="shared" ref="D28:H28" si="84">SUM(D29:D33)</f>
        <v>0</v>
      </c>
      <c r="E28" s="14">
        <f t="shared" si="84"/>
        <v>1265000</v>
      </c>
      <c r="F28" s="14">
        <f t="shared" si="84"/>
        <v>88850</v>
      </c>
      <c r="G28" s="14">
        <f t="shared" si="84"/>
        <v>1176150</v>
      </c>
      <c r="H28" s="14">
        <f t="shared" si="84"/>
        <v>1013490.8</v>
      </c>
      <c r="I28" s="176">
        <f>H28/C28*100</f>
        <v>80.117849802371538</v>
      </c>
      <c r="J28" s="14">
        <f>SUM(J29:J33)</f>
        <v>0</v>
      </c>
      <c r="K28" s="14">
        <f>SUM(K29:K33)</f>
        <v>1013490.8</v>
      </c>
      <c r="L28" s="14">
        <f>SUM(L29:L33)</f>
        <v>37156</v>
      </c>
      <c r="M28" s="14">
        <f>SUM(M29:M33)</f>
        <v>976334.8</v>
      </c>
      <c r="N28" s="14">
        <f>SUM(N29:N33)</f>
        <v>556519.9</v>
      </c>
      <c r="O28" s="176">
        <f>N28/C28*100</f>
        <v>43.993667984189727</v>
      </c>
      <c r="P28" s="14">
        <v>0</v>
      </c>
      <c r="Q28" s="14">
        <f>SUM(Q29:Q33)</f>
        <v>556519.9</v>
      </c>
      <c r="R28" s="14">
        <f>SUM(R29:R33)</f>
        <v>57339.9</v>
      </c>
      <c r="S28" s="14">
        <f>SUM(S29:S33)</f>
        <v>499180</v>
      </c>
      <c r="T28" s="2102">
        <f>SUM(T29:T33)</f>
        <v>1600000.2999999998</v>
      </c>
      <c r="U28" s="188">
        <f>T28/C28*100</f>
        <v>126.48223715415018</v>
      </c>
      <c r="V28" s="59">
        <f t="shared" si="25"/>
        <v>0</v>
      </c>
      <c r="W28" s="187">
        <f>SUM(W29:W33)</f>
        <v>1600000.2999999998</v>
      </c>
      <c r="X28" s="187">
        <f>SUM(X29:X33)</f>
        <v>80950.399999999994</v>
      </c>
      <c r="Y28" s="187">
        <f>SUM(Y29:Y33)</f>
        <v>1519049.9</v>
      </c>
      <c r="Z28" s="59">
        <f t="shared" si="42"/>
        <v>335000.29999999981</v>
      </c>
      <c r="AA28" s="59">
        <f t="shared" si="27"/>
        <v>0</v>
      </c>
      <c r="AB28" s="59">
        <f t="shared" si="28"/>
        <v>335000.29999999981</v>
      </c>
      <c r="AC28" s="59">
        <f t="shared" si="38"/>
        <v>-7899.6000000000058</v>
      </c>
      <c r="AD28" s="59">
        <f t="shared" si="29"/>
        <v>342899.89999999991</v>
      </c>
      <c r="AE28" s="187">
        <f>SUM(AE29:AE33)</f>
        <v>1701000</v>
      </c>
      <c r="AF28" s="188">
        <f t="shared" si="83"/>
        <v>106.31248006641</v>
      </c>
      <c r="AG28" s="187">
        <f>SUM(AG29:AG33)</f>
        <v>0</v>
      </c>
      <c r="AH28" s="187">
        <f>SUM(AH29:AH33)</f>
        <v>1701000</v>
      </c>
      <c r="AI28" s="187">
        <f>SUM(AI29:AI33)</f>
        <v>70920</v>
      </c>
      <c r="AJ28" s="187">
        <f>SUM(AJ29:AJ33)</f>
        <v>1630080</v>
      </c>
      <c r="AK28" s="187">
        <f>SUM(AK29:AK33)</f>
        <v>1620000</v>
      </c>
      <c r="AL28" s="188">
        <f t="shared" si="39"/>
        <v>95.238095238095227</v>
      </c>
      <c r="AM28" s="187">
        <f>SUM(AM29:AM33)</f>
        <v>0</v>
      </c>
      <c r="AN28" s="187">
        <f>SUM(AN29:AN33)</f>
        <v>1620000</v>
      </c>
      <c r="AO28" s="187">
        <f t="shared" ref="AO28" si="85">SUM(AO29:AO33)</f>
        <v>118000</v>
      </c>
      <c r="AP28" s="187">
        <f>SUM(AP29:AP33)</f>
        <v>1502000</v>
      </c>
      <c r="AQ28" s="187">
        <f>SUM(AQ29:AQ33)</f>
        <v>1790000</v>
      </c>
      <c r="AR28" s="188">
        <f>AQ28/AK28*100</f>
        <v>110.49382716049382</v>
      </c>
      <c r="AS28" s="187">
        <f>SUM(AS29:AS33)</f>
        <v>0</v>
      </c>
      <c r="AT28" s="187">
        <f>SUM(AT29:AT33)</f>
        <v>1790000</v>
      </c>
      <c r="AU28" s="187">
        <f>SUM(AU29:AU33)</f>
        <v>131000</v>
      </c>
      <c r="AV28" s="2083">
        <f>SUM(AV29:AV33)</f>
        <v>1659000</v>
      </c>
      <c r="AW28" s="2874">
        <f>AE28/$AE$8</f>
        <v>0.18357435786747248</v>
      </c>
      <c r="AX28" s="175"/>
      <c r="AY28" s="175"/>
      <c r="AZ28" s="175"/>
      <c r="BA28" s="175"/>
      <c r="BB28" s="175"/>
      <c r="BC28" s="175"/>
      <c r="BD28" s="175"/>
      <c r="BE28" s="175"/>
      <c r="BF28" s="175"/>
      <c r="BG28" s="175"/>
      <c r="BH28" s="175"/>
      <c r="BI28" s="175"/>
      <c r="BJ28" s="175"/>
      <c r="BK28" s="175"/>
      <c r="BL28" s="175"/>
      <c r="BM28" s="175"/>
      <c r="BN28" s="175"/>
      <c r="BO28" s="175"/>
      <c r="BP28" s="175"/>
      <c r="BQ28" s="175"/>
      <c r="BR28" s="175"/>
      <c r="BS28" s="175"/>
      <c r="BT28" s="175"/>
      <c r="BU28" s="175"/>
      <c r="BV28" s="175"/>
      <c r="BW28" s="175"/>
      <c r="BX28" s="175"/>
      <c r="BY28" s="175"/>
      <c r="BZ28" s="175"/>
      <c r="CA28" s="175"/>
      <c r="CB28" s="175"/>
      <c r="CC28" s="175"/>
      <c r="CD28" s="175"/>
      <c r="CE28" s="175"/>
      <c r="CF28" s="175"/>
      <c r="CG28" s="175"/>
      <c r="CH28" s="175"/>
      <c r="CI28" s="175"/>
      <c r="CJ28" s="175"/>
      <c r="CK28" s="175"/>
      <c r="CL28" s="175"/>
      <c r="CM28" s="175"/>
      <c r="CN28" s="175"/>
      <c r="CO28" s="175"/>
      <c r="CP28" s="191">
        <f>AD28+AD34+AD35+AD37+AD39+AD43</f>
        <v>496039.06666666653</v>
      </c>
      <c r="CX28" s="191">
        <v>475245</v>
      </c>
      <c r="CY28" s="113">
        <f t="shared" si="11"/>
        <v>2.1325648875842989</v>
      </c>
      <c r="CZ28" s="191">
        <v>513317</v>
      </c>
      <c r="DA28" s="113">
        <f t="shared" si="12"/>
        <v>1.9743955489492848</v>
      </c>
      <c r="DB28" s="191">
        <v>846838</v>
      </c>
      <c r="DC28" s="113">
        <f t="shared" si="14"/>
        <v>1.1967941920414531</v>
      </c>
      <c r="DD28" s="191">
        <v>682306</v>
      </c>
      <c r="DE28" s="113">
        <f t="shared" si="15"/>
        <v>1.4853904259965471</v>
      </c>
      <c r="DF28" s="191">
        <v>587865</v>
      </c>
      <c r="DG28" s="113">
        <f t="shared" si="17"/>
        <v>1.7240196303573101</v>
      </c>
      <c r="DH28" s="191">
        <v>625600</v>
      </c>
      <c r="DI28" s="115">
        <f t="shared" si="31"/>
        <v>1.6200300511508952</v>
      </c>
    </row>
    <row r="29" spans="1:113" s="166" customFormat="1" hidden="1">
      <c r="A29" s="2082"/>
      <c r="B29" s="3593" t="s">
        <v>11</v>
      </c>
      <c r="C29" s="30">
        <f>'[23]Phụ lục số 5'!$C$8</f>
        <v>651170</v>
      </c>
      <c r="D29" s="13"/>
      <c r="E29" s="13">
        <f t="shared" ref="E29:E36" si="86">C29-D29</f>
        <v>651170</v>
      </c>
      <c r="F29" s="13">
        <f t="shared" ref="F29:F33" si="87">E29-G29</f>
        <v>0</v>
      </c>
      <c r="G29" s="13">
        <f>C29</f>
        <v>651170</v>
      </c>
      <c r="H29" s="53">
        <v>360391.4</v>
      </c>
      <c r="I29" s="102"/>
      <c r="J29" s="13">
        <f>0</f>
        <v>0</v>
      </c>
      <c r="K29" s="13">
        <f t="shared" ref="K29:K33" si="88">H29-J29</f>
        <v>360391.4</v>
      </c>
      <c r="L29" s="13">
        <f>K29-M29</f>
        <v>0</v>
      </c>
      <c r="M29" s="13">
        <f>H29</f>
        <v>360391.4</v>
      </c>
      <c r="N29" s="53">
        <v>349180</v>
      </c>
      <c r="O29" s="102"/>
      <c r="P29" s="13">
        <f>0</f>
        <v>0</v>
      </c>
      <c r="Q29" s="13">
        <f t="shared" ref="Q29:Q33" si="89">N29-P29</f>
        <v>349180</v>
      </c>
      <c r="R29" s="13">
        <f>Q29-S29</f>
        <v>0</v>
      </c>
      <c r="S29" s="13">
        <f>N29</f>
        <v>349180</v>
      </c>
      <c r="T29" s="2103">
        <f>678599.9+(50300)</f>
        <v>728899.9</v>
      </c>
      <c r="U29" s="180">
        <f>T29/C29*100</f>
        <v>111.93695962651842</v>
      </c>
      <c r="V29" s="30">
        <f t="shared" si="25"/>
        <v>0</v>
      </c>
      <c r="W29" s="30">
        <f t="shared" si="75"/>
        <v>728899.9</v>
      </c>
      <c r="X29" s="30">
        <f t="shared" si="51"/>
        <v>0</v>
      </c>
      <c r="Y29" s="30">
        <f>T29</f>
        <v>728899.9</v>
      </c>
      <c r="Z29" s="30">
        <f t="shared" si="42"/>
        <v>77729.900000000023</v>
      </c>
      <c r="AA29" s="30">
        <f t="shared" si="27"/>
        <v>0</v>
      </c>
      <c r="AB29" s="30">
        <f t="shared" si="28"/>
        <v>77729.900000000023</v>
      </c>
      <c r="AC29" s="30">
        <f t="shared" si="38"/>
        <v>0</v>
      </c>
      <c r="AD29" s="30">
        <f t="shared" si="29"/>
        <v>77729.900000000023</v>
      </c>
      <c r="AE29" s="80">
        <f>'Phụ lục số 5'!C10</f>
        <v>724290</v>
      </c>
      <c r="AF29" s="180">
        <f t="shared" si="83"/>
        <v>99.367553761497291</v>
      </c>
      <c r="AG29" s="30"/>
      <c r="AH29" s="30">
        <f>SUM(AI29:AJ29)</f>
        <v>724290</v>
      </c>
      <c r="AI29" s="30"/>
      <c r="AJ29" s="2605">
        <f>AE29</f>
        <v>724290</v>
      </c>
      <c r="AK29" s="80">
        <f>786100+123900</f>
        <v>910000</v>
      </c>
      <c r="AL29" s="180">
        <f t="shared" si="39"/>
        <v>125.6402822074031</v>
      </c>
      <c r="AM29" s="30"/>
      <c r="AN29" s="30">
        <f>SUM(AO29:AP29)</f>
        <v>910000</v>
      </c>
      <c r="AO29" s="30"/>
      <c r="AP29" s="30">
        <f>AK29</f>
        <v>910000</v>
      </c>
      <c r="AQ29" s="80">
        <f>845000+159000</f>
        <v>1004000</v>
      </c>
      <c r="AR29" s="180">
        <f>AQ29/AK29*100</f>
        <v>110.32967032967034</v>
      </c>
      <c r="AS29" s="30"/>
      <c r="AT29" s="30">
        <f>SUM(AU29:AV29)</f>
        <v>1004000</v>
      </c>
      <c r="AU29" s="30"/>
      <c r="AV29" s="2085">
        <f>AQ29</f>
        <v>1004000</v>
      </c>
      <c r="AW29" s="2873">
        <f t="shared" si="9"/>
        <v>7.8166414849989208E-2</v>
      </c>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Y29" s="189" t="e">
        <f t="shared" si="11"/>
        <v>#DIV/0!</v>
      </c>
      <c r="DA29" s="189" t="e">
        <f t="shared" si="12"/>
        <v>#DIV/0!</v>
      </c>
      <c r="DC29" s="189" t="e">
        <f t="shared" si="14"/>
        <v>#DIV/0!</v>
      </c>
      <c r="DE29" s="189" t="e">
        <f t="shared" si="15"/>
        <v>#DIV/0!</v>
      </c>
      <c r="DG29" s="189" t="e">
        <f t="shared" si="17"/>
        <v>#DIV/0!</v>
      </c>
      <c r="DI29" s="190" t="e">
        <f t="shared" si="31"/>
        <v>#DIV/0!</v>
      </c>
    </row>
    <row r="30" spans="1:113" s="166" customFormat="1" hidden="1">
      <c r="A30" s="2082"/>
      <c r="B30" s="3593" t="s">
        <v>12</v>
      </c>
      <c r="C30" s="30">
        <f>'[23]Phụ lục số 5'!$C$9</f>
        <v>524980</v>
      </c>
      <c r="D30" s="13"/>
      <c r="E30" s="13">
        <f t="shared" si="86"/>
        <v>524980</v>
      </c>
      <c r="F30" s="13">
        <f t="shared" si="87"/>
        <v>0</v>
      </c>
      <c r="G30" s="13">
        <f>C30</f>
        <v>524980</v>
      </c>
      <c r="H30" s="53">
        <v>615859.4</v>
      </c>
      <c r="I30" s="102"/>
      <c r="J30" s="13">
        <f>0</f>
        <v>0</v>
      </c>
      <c r="K30" s="13">
        <f t="shared" si="88"/>
        <v>615859.4</v>
      </c>
      <c r="L30" s="13">
        <f t="shared" ref="L30:L43" si="90">K30-M30</f>
        <v>0</v>
      </c>
      <c r="M30" s="13">
        <f>H30</f>
        <v>615859.4</v>
      </c>
      <c r="N30" s="53">
        <v>150000</v>
      </c>
      <c r="O30" s="102"/>
      <c r="P30" s="13">
        <f>0</f>
        <v>0</v>
      </c>
      <c r="Q30" s="13">
        <f t="shared" si="89"/>
        <v>150000</v>
      </c>
      <c r="R30" s="13">
        <f t="shared" ref="R30:R47" si="91">Q30-S30</f>
        <v>0</v>
      </c>
      <c r="S30" s="13">
        <f t="shared" ref="S30" si="92">N30</f>
        <v>150000</v>
      </c>
      <c r="T30" s="2103">
        <f>770000+20000</f>
        <v>790000</v>
      </c>
      <c r="U30" s="180">
        <f>T30/C30*100</f>
        <v>150.48192312088079</v>
      </c>
      <c r="V30" s="30">
        <f t="shared" si="25"/>
        <v>0</v>
      </c>
      <c r="W30" s="30">
        <f t="shared" si="75"/>
        <v>790000</v>
      </c>
      <c r="X30" s="30">
        <f t="shared" si="51"/>
        <v>0</v>
      </c>
      <c r="Y30" s="30">
        <f>T30</f>
        <v>790000</v>
      </c>
      <c r="Z30" s="30">
        <f t="shared" si="42"/>
        <v>265020</v>
      </c>
      <c r="AA30" s="30">
        <f t="shared" si="27"/>
        <v>0</v>
      </c>
      <c r="AB30" s="30">
        <f t="shared" si="28"/>
        <v>265020</v>
      </c>
      <c r="AC30" s="30">
        <f t="shared" si="38"/>
        <v>0</v>
      </c>
      <c r="AD30" s="30">
        <f t="shared" si="29"/>
        <v>265020</v>
      </c>
      <c r="AE30" s="80">
        <f>'Phụ lục số 5'!C11</f>
        <v>905790</v>
      </c>
      <c r="AF30" s="180">
        <f t="shared" si="83"/>
        <v>114.65696202531646</v>
      </c>
      <c r="AG30" s="30"/>
      <c r="AH30" s="30">
        <f t="shared" ref="AH30:AH33" si="93">SUM(AI30:AJ30)</f>
        <v>905790</v>
      </c>
      <c r="AI30" s="30"/>
      <c r="AJ30" s="2605">
        <f>AE30</f>
        <v>905790</v>
      </c>
      <c r="AK30" s="80">
        <f>852500-260500</f>
        <v>592000</v>
      </c>
      <c r="AL30" s="180">
        <f t="shared" si="39"/>
        <v>65.357312401329224</v>
      </c>
      <c r="AM30" s="30"/>
      <c r="AN30" s="30">
        <f t="shared" ref="AN30:AN33" si="94">SUM(AO30:AP30)</f>
        <v>592000</v>
      </c>
      <c r="AO30" s="30"/>
      <c r="AP30" s="30">
        <f>AK30</f>
        <v>592000</v>
      </c>
      <c r="AQ30" s="80">
        <f>900000-245000</f>
        <v>655000</v>
      </c>
      <c r="AR30" s="180">
        <f>AQ30/AK30*100</f>
        <v>110.64189189189189</v>
      </c>
      <c r="AS30" s="30"/>
      <c r="AT30" s="30">
        <f t="shared" ref="AT30:AT33" si="95">SUM(AU30:AV30)</f>
        <v>655000</v>
      </c>
      <c r="AU30" s="30"/>
      <c r="AV30" s="2085">
        <f>AQ30</f>
        <v>655000</v>
      </c>
      <c r="AW30" s="2873">
        <f t="shared" si="9"/>
        <v>9.7754154975178073E-2</v>
      </c>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Y30" s="189" t="e">
        <f t="shared" si="11"/>
        <v>#DIV/0!</v>
      </c>
      <c r="DA30" s="189" t="e">
        <f t="shared" si="12"/>
        <v>#DIV/0!</v>
      </c>
      <c r="DC30" s="189" t="e">
        <f t="shared" si="14"/>
        <v>#DIV/0!</v>
      </c>
      <c r="DE30" s="189" t="e">
        <f t="shared" si="15"/>
        <v>#DIV/0!</v>
      </c>
      <c r="DG30" s="189" t="e">
        <f t="shared" si="17"/>
        <v>#DIV/0!</v>
      </c>
      <c r="DI30" s="190" t="e">
        <f t="shared" si="31"/>
        <v>#DIV/0!</v>
      </c>
    </row>
    <row r="31" spans="1:113" s="166" customFormat="1" hidden="1">
      <c r="A31" s="2082"/>
      <c r="B31" s="3593" t="s">
        <v>13</v>
      </c>
      <c r="C31" s="30">
        <f>'[23]Phụ lục số 5'!$C$10</f>
        <v>85120</v>
      </c>
      <c r="D31" s="13"/>
      <c r="E31" s="13">
        <f t="shared" si="86"/>
        <v>85120</v>
      </c>
      <c r="F31" s="13">
        <f t="shared" si="87"/>
        <v>85120</v>
      </c>
      <c r="G31" s="13">
        <v>0</v>
      </c>
      <c r="H31" s="53">
        <v>34307</v>
      </c>
      <c r="I31" s="102"/>
      <c r="J31" s="13">
        <f>0</f>
        <v>0</v>
      </c>
      <c r="K31" s="13">
        <f t="shared" si="88"/>
        <v>34307</v>
      </c>
      <c r="L31" s="13">
        <f t="shared" si="90"/>
        <v>34307</v>
      </c>
      <c r="M31" s="13">
        <v>0</v>
      </c>
      <c r="N31" s="53">
        <v>55200</v>
      </c>
      <c r="O31" s="102"/>
      <c r="P31" s="13">
        <f>0</f>
        <v>0</v>
      </c>
      <c r="Q31" s="13">
        <f t="shared" si="89"/>
        <v>55200</v>
      </c>
      <c r="R31" s="13">
        <f>Q31-S31</f>
        <v>55200</v>
      </c>
      <c r="S31" s="13">
        <v>0</v>
      </c>
      <c r="T31" s="2103">
        <f>66100.2+(9900)</f>
        <v>76000.2</v>
      </c>
      <c r="U31" s="180">
        <f>T31/C31*100</f>
        <v>89.285949248120303</v>
      </c>
      <c r="V31" s="30">
        <f t="shared" si="25"/>
        <v>0</v>
      </c>
      <c r="W31" s="30">
        <f t="shared" si="75"/>
        <v>76000.2</v>
      </c>
      <c r="X31" s="30">
        <f>T31</f>
        <v>76000.2</v>
      </c>
      <c r="Y31" s="30">
        <f t="shared" si="37"/>
        <v>0</v>
      </c>
      <c r="Z31" s="30">
        <f t="shared" si="42"/>
        <v>-9119.8000000000029</v>
      </c>
      <c r="AA31" s="30">
        <f t="shared" si="27"/>
        <v>0</v>
      </c>
      <c r="AB31" s="30">
        <f t="shared" si="28"/>
        <v>-9119.8000000000029</v>
      </c>
      <c r="AC31" s="30">
        <f t="shared" si="38"/>
        <v>-9119.8000000000029</v>
      </c>
      <c r="AD31" s="30">
        <f t="shared" si="29"/>
        <v>0</v>
      </c>
      <c r="AE31" s="80">
        <f>'Phụ lục số 5'!C12</f>
        <v>63450</v>
      </c>
      <c r="AF31" s="180">
        <f t="shared" si="83"/>
        <v>83.486622403625262</v>
      </c>
      <c r="AG31" s="30"/>
      <c r="AH31" s="30">
        <f t="shared" si="93"/>
        <v>63450</v>
      </c>
      <c r="AI31" s="30">
        <f>AE31</f>
        <v>63450</v>
      </c>
      <c r="AJ31" s="2605"/>
      <c r="AK31" s="1798">
        <f>77000+32400</f>
        <v>109400</v>
      </c>
      <c r="AL31" s="180">
        <f t="shared" si="39"/>
        <v>172.41922773837669</v>
      </c>
      <c r="AM31" s="30"/>
      <c r="AN31" s="30">
        <f t="shared" si="94"/>
        <v>109400</v>
      </c>
      <c r="AO31" s="30">
        <f>AK31</f>
        <v>109400</v>
      </c>
      <c r="AP31" s="30"/>
      <c r="AQ31" s="80">
        <f>82100+39900</f>
        <v>122000</v>
      </c>
      <c r="AR31" s="180">
        <f t="shared" ref="AR31:AR34" si="96">AQ31/AK31*100</f>
        <v>111.51736745886653</v>
      </c>
      <c r="AS31" s="30"/>
      <c r="AT31" s="30">
        <f t="shared" si="95"/>
        <v>122000</v>
      </c>
      <c r="AU31" s="30">
        <f>AQ31</f>
        <v>122000</v>
      </c>
      <c r="AV31" s="2085"/>
      <c r="AW31" s="2873">
        <f t="shared" si="9"/>
        <v>6.8476149363263543E-3</v>
      </c>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Y31" s="189" t="e">
        <f t="shared" si="11"/>
        <v>#DIV/0!</v>
      </c>
      <c r="DA31" s="189" t="e">
        <f t="shared" si="12"/>
        <v>#DIV/0!</v>
      </c>
      <c r="DC31" s="189" t="e">
        <f t="shared" si="14"/>
        <v>#DIV/0!</v>
      </c>
      <c r="DE31" s="189" t="e">
        <f t="shared" si="15"/>
        <v>#DIV/0!</v>
      </c>
      <c r="DG31" s="189" t="e">
        <f t="shared" si="17"/>
        <v>#DIV/0!</v>
      </c>
      <c r="DI31" s="190" t="e">
        <f t="shared" si="31"/>
        <v>#DIV/0!</v>
      </c>
    </row>
    <row r="32" spans="1:113" s="166" customFormat="1" hidden="1">
      <c r="A32" s="2082"/>
      <c r="B32" s="3593" t="s">
        <v>14</v>
      </c>
      <c r="C32" s="30">
        <f>'[23]Phụ lục số 5'!$C$11</f>
        <v>3730</v>
      </c>
      <c r="D32" s="13"/>
      <c r="E32" s="13">
        <f t="shared" si="86"/>
        <v>3730</v>
      </c>
      <c r="F32" s="13">
        <f t="shared" si="87"/>
        <v>3730</v>
      </c>
      <c r="G32" s="13">
        <v>0</v>
      </c>
      <c r="H32" s="53">
        <v>2849</v>
      </c>
      <c r="I32" s="102"/>
      <c r="J32" s="13">
        <f>0</f>
        <v>0</v>
      </c>
      <c r="K32" s="13">
        <f t="shared" si="88"/>
        <v>2849</v>
      </c>
      <c r="L32" s="13">
        <f t="shared" si="90"/>
        <v>2849</v>
      </c>
      <c r="M32" s="13">
        <v>0</v>
      </c>
      <c r="N32" s="53">
        <v>2139.9</v>
      </c>
      <c r="O32" s="102"/>
      <c r="P32" s="13">
        <f>0</f>
        <v>0</v>
      </c>
      <c r="Q32" s="13">
        <f t="shared" si="89"/>
        <v>2139.9</v>
      </c>
      <c r="R32" s="13">
        <f t="shared" si="91"/>
        <v>2139.9</v>
      </c>
      <c r="S32" s="13">
        <v>0</v>
      </c>
      <c r="T32" s="2103">
        <f>5300.2-350</f>
        <v>4950.2</v>
      </c>
      <c r="U32" s="180">
        <f>T32/C32*100</f>
        <v>132.71313672922253</v>
      </c>
      <c r="V32" s="30">
        <f t="shared" si="25"/>
        <v>0</v>
      </c>
      <c r="W32" s="30">
        <f t="shared" si="75"/>
        <v>4950.2</v>
      </c>
      <c r="X32" s="30">
        <f>T32</f>
        <v>4950.2</v>
      </c>
      <c r="Y32" s="30">
        <f t="shared" si="37"/>
        <v>0</v>
      </c>
      <c r="Z32" s="30">
        <f t="shared" si="42"/>
        <v>1220.1999999999998</v>
      </c>
      <c r="AA32" s="30">
        <f t="shared" si="27"/>
        <v>0</v>
      </c>
      <c r="AB32" s="30">
        <f t="shared" si="28"/>
        <v>1220.1999999999998</v>
      </c>
      <c r="AC32" s="30">
        <f t="shared" si="38"/>
        <v>1220.1999999999998</v>
      </c>
      <c r="AD32" s="30">
        <f t="shared" si="29"/>
        <v>0</v>
      </c>
      <c r="AE32" s="80">
        <f>'Phụ lục số 5'!C13</f>
        <v>5970</v>
      </c>
      <c r="AF32" s="180">
        <f t="shared" si="83"/>
        <v>120.60118783079471</v>
      </c>
      <c r="AG32" s="30"/>
      <c r="AH32" s="30">
        <f t="shared" si="93"/>
        <v>5970</v>
      </c>
      <c r="AI32" s="30">
        <f>AE32</f>
        <v>5970</v>
      </c>
      <c r="AJ32" s="2605"/>
      <c r="AK32" s="1798">
        <f>6400+2200</f>
        <v>8600</v>
      </c>
      <c r="AL32" s="180">
        <f t="shared" si="39"/>
        <v>144.05360134003351</v>
      </c>
      <c r="AM32" s="30"/>
      <c r="AN32" s="30">
        <f t="shared" si="94"/>
        <v>8600</v>
      </c>
      <c r="AO32" s="30">
        <f>AK32</f>
        <v>8600</v>
      </c>
      <c r="AP32" s="30"/>
      <c r="AQ32" s="80">
        <f>6900+2100</f>
        <v>9000</v>
      </c>
      <c r="AR32" s="180">
        <f t="shared" si="96"/>
        <v>104.65116279069768</v>
      </c>
      <c r="AS32" s="30"/>
      <c r="AT32" s="30">
        <f t="shared" si="95"/>
        <v>9000</v>
      </c>
      <c r="AU32" s="30">
        <f>AQ32</f>
        <v>9000</v>
      </c>
      <c r="AV32" s="2085"/>
      <c r="AW32" s="2873">
        <f t="shared" si="9"/>
        <v>6.4429095618389817E-4</v>
      </c>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Y32" s="189" t="e">
        <f t="shared" si="11"/>
        <v>#DIV/0!</v>
      </c>
      <c r="DA32" s="189" t="e">
        <f t="shared" si="12"/>
        <v>#DIV/0!</v>
      </c>
      <c r="DC32" s="189" t="e">
        <f t="shared" si="14"/>
        <v>#DIV/0!</v>
      </c>
      <c r="DE32" s="189" t="e">
        <f t="shared" si="15"/>
        <v>#DIV/0!</v>
      </c>
      <c r="DG32" s="189" t="e">
        <f t="shared" si="17"/>
        <v>#DIV/0!</v>
      </c>
      <c r="DI32" s="190" t="e">
        <f t="shared" si="31"/>
        <v>#DIV/0!</v>
      </c>
    </row>
    <row r="33" spans="1:113" s="166" customFormat="1" hidden="1">
      <c r="A33" s="2082"/>
      <c r="B33" s="3593" t="s">
        <v>15</v>
      </c>
      <c r="C33" s="30">
        <f>'[23]Phụ lục số 5'!$C$12</f>
        <v>0</v>
      </c>
      <c r="D33" s="13"/>
      <c r="E33" s="13">
        <f t="shared" si="86"/>
        <v>0</v>
      </c>
      <c r="F33" s="13">
        <f t="shared" si="87"/>
        <v>0</v>
      </c>
      <c r="G33" s="13">
        <f>C33</f>
        <v>0</v>
      </c>
      <c r="H33" s="53">
        <v>84</v>
      </c>
      <c r="I33" s="102"/>
      <c r="J33" s="13">
        <f>0</f>
        <v>0</v>
      </c>
      <c r="K33" s="13">
        <f t="shared" si="88"/>
        <v>84</v>
      </c>
      <c r="L33" s="13">
        <f t="shared" si="90"/>
        <v>0</v>
      </c>
      <c r="M33" s="13">
        <f>H33</f>
        <v>84</v>
      </c>
      <c r="N33" s="53"/>
      <c r="O33" s="102"/>
      <c r="P33" s="13">
        <f>0</f>
        <v>0</v>
      </c>
      <c r="Q33" s="13">
        <f t="shared" si="89"/>
        <v>0</v>
      </c>
      <c r="R33" s="13">
        <f t="shared" si="91"/>
        <v>0</v>
      </c>
      <c r="S33" s="13">
        <f>N33</f>
        <v>0</v>
      </c>
      <c r="T33" s="2103">
        <f>150</f>
        <v>150</v>
      </c>
      <c r="U33" s="180"/>
      <c r="V33" s="30">
        <f t="shared" si="25"/>
        <v>0</v>
      </c>
      <c r="W33" s="30">
        <f t="shared" si="75"/>
        <v>150</v>
      </c>
      <c r="X33" s="30">
        <f>R33+L33</f>
        <v>0</v>
      </c>
      <c r="Y33" s="30">
        <f>T33</f>
        <v>150</v>
      </c>
      <c r="Z33" s="30">
        <f t="shared" si="42"/>
        <v>150</v>
      </c>
      <c r="AA33" s="30">
        <f t="shared" si="27"/>
        <v>0</v>
      </c>
      <c r="AB33" s="30">
        <f t="shared" si="28"/>
        <v>150</v>
      </c>
      <c r="AC33" s="30">
        <f t="shared" si="38"/>
        <v>0</v>
      </c>
      <c r="AD33" s="30">
        <f t="shared" si="29"/>
        <v>150</v>
      </c>
      <c r="AE33" s="80">
        <f>'Phụ lục số 5'!C14</f>
        <v>1500</v>
      </c>
      <c r="AF33" s="180">
        <f t="shared" si="83"/>
        <v>1000</v>
      </c>
      <c r="AG33" s="30"/>
      <c r="AH33" s="30">
        <f t="shared" si="93"/>
        <v>1500</v>
      </c>
      <c r="AI33" s="30">
        <f>AE33</f>
        <v>1500</v>
      </c>
      <c r="AJ33" s="2605"/>
      <c r="AK33" s="80">
        <v>0</v>
      </c>
      <c r="AL33" s="180">
        <f t="shared" si="39"/>
        <v>0</v>
      </c>
      <c r="AM33" s="30"/>
      <c r="AN33" s="30">
        <f t="shared" si="94"/>
        <v>0</v>
      </c>
      <c r="AO33" s="30"/>
      <c r="AP33" s="30"/>
      <c r="AQ33" s="80"/>
      <c r="AR33" s="180" t="e">
        <f t="shared" si="96"/>
        <v>#DIV/0!</v>
      </c>
      <c r="AS33" s="30"/>
      <c r="AT33" s="30">
        <f t="shared" si="95"/>
        <v>0</v>
      </c>
      <c r="AU33" s="30"/>
      <c r="AV33" s="2085"/>
      <c r="AW33" s="2873">
        <f t="shared" si="9"/>
        <v>1.6188214979494928E-4</v>
      </c>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Y33" s="189" t="e">
        <f t="shared" si="11"/>
        <v>#DIV/0!</v>
      </c>
      <c r="DA33" s="189" t="e">
        <f t="shared" si="12"/>
        <v>#DIV/0!</v>
      </c>
      <c r="DC33" s="189" t="e">
        <f t="shared" si="14"/>
        <v>#DIV/0!</v>
      </c>
      <c r="DE33" s="189" t="e">
        <f t="shared" si="15"/>
        <v>#DIV/0!</v>
      </c>
      <c r="DG33" s="189" t="e">
        <f t="shared" si="17"/>
        <v>#DIV/0!</v>
      </c>
      <c r="DI33" s="190" t="e">
        <f t="shared" si="31"/>
        <v>#DIV/0!</v>
      </c>
    </row>
    <row r="34" spans="1:113" s="166" customFormat="1" ht="24" customHeight="1">
      <c r="A34" s="2082">
        <v>5</v>
      </c>
      <c r="B34" s="3592" t="s">
        <v>16</v>
      </c>
      <c r="C34" s="59">
        <f>'[23]Phụ lục số 5'!$C$14</f>
        <v>295000</v>
      </c>
      <c r="D34" s="14">
        <v>0</v>
      </c>
      <c r="E34" s="14">
        <f t="shared" si="86"/>
        <v>295000</v>
      </c>
      <c r="F34" s="14">
        <v>0</v>
      </c>
      <c r="G34" s="14">
        <f>C34</f>
        <v>295000</v>
      </c>
      <c r="H34" s="14">
        <v>154975</v>
      </c>
      <c r="I34" s="176">
        <f>H34/C34*100</f>
        <v>52.533898305084747</v>
      </c>
      <c r="J34" s="14">
        <f>0</f>
        <v>0</v>
      </c>
      <c r="K34" s="14">
        <f>H34-J34</f>
        <v>154975</v>
      </c>
      <c r="L34" s="14">
        <f t="shared" si="90"/>
        <v>0</v>
      </c>
      <c r="M34" s="14">
        <f>H34</f>
        <v>154975</v>
      </c>
      <c r="N34" s="14">
        <v>195030</v>
      </c>
      <c r="O34" s="176">
        <f t="shared" ref="O34:O49" si="97">N34/C34*100</f>
        <v>66.111864406779659</v>
      </c>
      <c r="P34" s="14">
        <f>0</f>
        <v>0</v>
      </c>
      <c r="Q34" s="14">
        <f>N34-P34</f>
        <v>195030</v>
      </c>
      <c r="R34" s="14">
        <f t="shared" si="91"/>
        <v>0</v>
      </c>
      <c r="S34" s="14">
        <f>N34</f>
        <v>195030</v>
      </c>
      <c r="T34" s="2102">
        <f>330000+10000</f>
        <v>340000</v>
      </c>
      <c r="U34" s="188">
        <f>T34/C34*100</f>
        <v>115.2542372881356</v>
      </c>
      <c r="V34" s="59">
        <f t="shared" si="25"/>
        <v>0</v>
      </c>
      <c r="W34" s="59">
        <f t="shared" ref="W34:W39" si="98">SUM(X34:Y34)</f>
        <v>340000</v>
      </c>
      <c r="X34" s="59">
        <f t="shared" si="51"/>
        <v>0</v>
      </c>
      <c r="Y34" s="59">
        <f>T34</f>
        <v>340000</v>
      </c>
      <c r="Z34" s="59">
        <f t="shared" si="42"/>
        <v>45000</v>
      </c>
      <c r="AA34" s="59">
        <f t="shared" si="27"/>
        <v>0</v>
      </c>
      <c r="AB34" s="59">
        <f t="shared" si="28"/>
        <v>45000</v>
      </c>
      <c r="AC34" s="59">
        <f t="shared" si="38"/>
        <v>0</v>
      </c>
      <c r="AD34" s="59">
        <f t="shared" si="29"/>
        <v>45000</v>
      </c>
      <c r="AE34" s="187">
        <f>'Phụ lục số 5'!C18</f>
        <v>350000</v>
      </c>
      <c r="AF34" s="188">
        <f t="shared" si="83"/>
        <v>102.94117647058823</v>
      </c>
      <c r="AG34" s="59">
        <v>0</v>
      </c>
      <c r="AH34" s="59">
        <f>SUM(AI34:AJ34)</f>
        <v>350000</v>
      </c>
      <c r="AI34" s="59"/>
      <c r="AJ34" s="2606">
        <f>AE34</f>
        <v>350000</v>
      </c>
      <c r="AK34" s="187">
        <f>375000+61000</f>
        <v>436000</v>
      </c>
      <c r="AL34" s="188">
        <f>AK34/AE34*100</f>
        <v>124.57142857142858</v>
      </c>
      <c r="AM34" s="59"/>
      <c r="AN34" s="59">
        <f>SUM(AO34:AP34)</f>
        <v>436000</v>
      </c>
      <c r="AO34" s="59"/>
      <c r="AP34" s="59">
        <f>AK34</f>
        <v>436000</v>
      </c>
      <c r="AQ34" s="187">
        <f>400000+80000</f>
        <v>480000</v>
      </c>
      <c r="AR34" s="188">
        <f t="shared" si="96"/>
        <v>110.09174311926606</v>
      </c>
      <c r="AS34" s="59"/>
      <c r="AT34" s="59">
        <f>SUM(AU34:AV34)</f>
        <v>480000</v>
      </c>
      <c r="AU34" s="59"/>
      <c r="AV34" s="2086">
        <f>AQ34</f>
        <v>480000</v>
      </c>
      <c r="AW34" s="2873">
        <f t="shared" si="9"/>
        <v>3.7772501618821501E-2</v>
      </c>
      <c r="AX34" s="175"/>
      <c r="AY34" s="175"/>
      <c r="AZ34" s="175"/>
      <c r="BA34" s="175"/>
      <c r="BB34" s="175"/>
      <c r="BC34" s="175"/>
      <c r="BD34" s="175"/>
      <c r="BE34" s="175"/>
      <c r="BF34" s="175"/>
      <c r="BG34" s="175"/>
      <c r="BH34" s="175"/>
      <c r="BI34" s="175"/>
      <c r="BJ34" s="175"/>
      <c r="BK34" s="175"/>
      <c r="BL34" s="175"/>
      <c r="BM34" s="175"/>
      <c r="BN34" s="175"/>
      <c r="BO34" s="175"/>
      <c r="BP34" s="175"/>
      <c r="BQ34" s="175"/>
      <c r="BR34" s="175"/>
      <c r="BS34" s="175"/>
      <c r="BT34" s="175"/>
      <c r="BU34" s="175"/>
      <c r="BV34" s="175"/>
      <c r="BW34" s="175"/>
      <c r="BX34" s="175"/>
      <c r="BY34" s="175"/>
      <c r="BZ34" s="175"/>
      <c r="CA34" s="175"/>
      <c r="CB34" s="175"/>
      <c r="CC34" s="175"/>
      <c r="CD34" s="175"/>
      <c r="CE34" s="175"/>
      <c r="CF34" s="175"/>
      <c r="CG34" s="175"/>
      <c r="CH34" s="175"/>
      <c r="CI34" s="175"/>
      <c r="CJ34" s="175"/>
      <c r="CK34" s="175"/>
      <c r="CL34" s="175"/>
      <c r="CM34" s="175"/>
      <c r="CN34" s="175"/>
      <c r="CO34" s="175"/>
      <c r="CX34" s="166">
        <v>73620</v>
      </c>
      <c r="CY34" s="113">
        <f t="shared" si="11"/>
        <v>2.1050665580005434</v>
      </c>
      <c r="CZ34" s="166">
        <v>107691</v>
      </c>
      <c r="DA34" s="113">
        <f t="shared" si="12"/>
        <v>1.4390710458626998</v>
      </c>
      <c r="DB34" s="166">
        <v>149522</v>
      </c>
      <c r="DC34" s="113">
        <f t="shared" si="14"/>
        <v>1.0364695496314924</v>
      </c>
      <c r="DD34" s="166">
        <v>127792</v>
      </c>
      <c r="DE34" s="113">
        <f t="shared" si="15"/>
        <v>1.2127128458745462</v>
      </c>
      <c r="DF34" s="166">
        <v>161627</v>
      </c>
      <c r="DG34" s="113">
        <f t="shared" si="17"/>
        <v>0.95884351005710677</v>
      </c>
      <c r="DH34" s="166">
        <v>172524</v>
      </c>
      <c r="DI34" s="115">
        <f t="shared" si="31"/>
        <v>0.89828081890055878</v>
      </c>
    </row>
    <row r="35" spans="1:113" s="166" customFormat="1" ht="24" customHeight="1">
      <c r="A35" s="2082">
        <v>6</v>
      </c>
      <c r="B35" s="3592" t="s">
        <v>96</v>
      </c>
      <c r="C35" s="59">
        <v>0</v>
      </c>
      <c r="D35" s="14">
        <v>0</v>
      </c>
      <c r="E35" s="14">
        <f t="shared" si="86"/>
        <v>0</v>
      </c>
      <c r="F35" s="14">
        <v>0</v>
      </c>
      <c r="G35" s="14">
        <v>0</v>
      </c>
      <c r="H35" s="14">
        <v>336</v>
      </c>
      <c r="I35" s="176"/>
      <c r="J35" s="14">
        <f>0</f>
        <v>0</v>
      </c>
      <c r="K35" s="14">
        <f t="shared" ref="K35:K48" si="99">H35-J35</f>
        <v>336</v>
      </c>
      <c r="L35" s="14">
        <f t="shared" si="90"/>
        <v>0</v>
      </c>
      <c r="M35" s="14">
        <f>H35</f>
        <v>336</v>
      </c>
      <c r="N35" s="14">
        <v>0</v>
      </c>
      <c r="O35" s="176"/>
      <c r="P35" s="14">
        <f>0</f>
        <v>0</v>
      </c>
      <c r="Q35" s="14">
        <f t="shared" ref="Q35:Q48" si="100">N35-P35</f>
        <v>0</v>
      </c>
      <c r="R35" s="14">
        <f t="shared" si="91"/>
        <v>0</v>
      </c>
      <c r="S35" s="14">
        <f>N35</f>
        <v>0</v>
      </c>
      <c r="T35" s="2102">
        <v>339.5</v>
      </c>
      <c r="U35" s="188"/>
      <c r="V35" s="59">
        <f t="shared" si="25"/>
        <v>0</v>
      </c>
      <c r="W35" s="59">
        <f t="shared" si="98"/>
        <v>339.5</v>
      </c>
      <c r="X35" s="59">
        <f t="shared" si="51"/>
        <v>0</v>
      </c>
      <c r="Y35" s="59">
        <f>T35</f>
        <v>339.5</v>
      </c>
      <c r="Z35" s="59">
        <f t="shared" si="42"/>
        <v>339.5</v>
      </c>
      <c r="AA35" s="59">
        <f t="shared" si="27"/>
        <v>0</v>
      </c>
      <c r="AB35" s="59">
        <f t="shared" si="28"/>
        <v>339.5</v>
      </c>
      <c r="AC35" s="59">
        <f t="shared" si="38"/>
        <v>0</v>
      </c>
      <c r="AD35" s="59">
        <f t="shared" si="29"/>
        <v>339.5</v>
      </c>
      <c r="AE35" s="187">
        <f>'Phụ lục số 5'!C19</f>
        <v>0</v>
      </c>
      <c r="AF35" s="188">
        <f t="shared" si="83"/>
        <v>0</v>
      </c>
      <c r="AG35" s="59"/>
      <c r="AH35" s="59">
        <f>SUM(AI35:AJ35)</f>
        <v>0</v>
      </c>
      <c r="AI35" s="59"/>
      <c r="AJ35" s="2606">
        <f>AE35</f>
        <v>0</v>
      </c>
      <c r="AK35" s="187">
        <v>0</v>
      </c>
      <c r="AL35" s="188"/>
      <c r="AM35" s="59"/>
      <c r="AN35" s="59">
        <f>SUM(AO35:AP35)</f>
        <v>0</v>
      </c>
      <c r="AO35" s="59"/>
      <c r="AP35" s="59">
        <f>AK35</f>
        <v>0</v>
      </c>
      <c r="AQ35" s="187">
        <v>0</v>
      </c>
      <c r="AR35" s="180"/>
      <c r="AS35" s="59"/>
      <c r="AT35" s="59">
        <f>SUM(AU35:AV35)</f>
        <v>0</v>
      </c>
      <c r="AU35" s="59"/>
      <c r="AV35" s="2086"/>
      <c r="AW35" s="2873">
        <f t="shared" si="9"/>
        <v>0</v>
      </c>
      <c r="AX35" s="175"/>
      <c r="AY35" s="175"/>
      <c r="AZ35" s="175"/>
      <c r="BA35" s="175"/>
      <c r="BB35" s="175"/>
      <c r="BC35" s="175"/>
      <c r="BD35" s="175"/>
      <c r="BE35" s="175"/>
      <c r="BF35" s="175"/>
      <c r="BG35" s="175"/>
      <c r="BH35" s="175"/>
      <c r="BI35" s="175"/>
      <c r="BJ35" s="175"/>
      <c r="BK35" s="175"/>
      <c r="BL35" s="175"/>
      <c r="BM35" s="175"/>
      <c r="BN35" s="175"/>
      <c r="BO35" s="175"/>
      <c r="BP35" s="175"/>
      <c r="BQ35" s="175"/>
      <c r="BR35" s="175"/>
      <c r="BS35" s="175"/>
      <c r="BT35" s="175"/>
      <c r="BU35" s="175"/>
      <c r="BV35" s="175"/>
      <c r="BW35" s="175"/>
      <c r="BX35" s="175"/>
      <c r="BY35" s="175"/>
      <c r="BZ35" s="175"/>
      <c r="CA35" s="175"/>
      <c r="CB35" s="175"/>
      <c r="CC35" s="175"/>
      <c r="CD35" s="175"/>
      <c r="CE35" s="175"/>
      <c r="CF35" s="175"/>
      <c r="CG35" s="175"/>
      <c r="CH35" s="175"/>
      <c r="CI35" s="175"/>
      <c r="CJ35" s="175"/>
      <c r="CK35" s="175"/>
      <c r="CL35" s="175"/>
      <c r="CM35" s="175"/>
      <c r="CN35" s="175"/>
      <c r="CO35" s="175"/>
      <c r="CX35" s="166">
        <v>321</v>
      </c>
      <c r="CY35" s="113">
        <f t="shared" si="11"/>
        <v>1.0467289719626167</v>
      </c>
      <c r="CZ35" s="166">
        <v>450</v>
      </c>
      <c r="DA35" s="113">
        <f t="shared" si="12"/>
        <v>0.7466666666666667</v>
      </c>
      <c r="DB35" s="166">
        <v>967</v>
      </c>
      <c r="DC35" s="113">
        <f t="shared" si="14"/>
        <v>0.34746639089968978</v>
      </c>
      <c r="DD35" s="166">
        <v>628</v>
      </c>
      <c r="DE35" s="113">
        <f t="shared" si="15"/>
        <v>0.53503184713375795</v>
      </c>
      <c r="DF35" s="166">
        <v>24</v>
      </c>
      <c r="DG35" s="113">
        <f t="shared" si="17"/>
        <v>14</v>
      </c>
      <c r="DH35" s="166">
        <v>205</v>
      </c>
      <c r="DI35" s="115">
        <f t="shared" si="31"/>
        <v>1.6390243902439023</v>
      </c>
    </row>
    <row r="36" spans="1:113" s="166" customFormat="1" ht="24" customHeight="1">
      <c r="A36" s="2082">
        <v>7</v>
      </c>
      <c r="B36" s="3592" t="s">
        <v>119</v>
      </c>
      <c r="C36" s="59">
        <f>'[23]Phụ lục số 5'!$C$16</f>
        <v>10000</v>
      </c>
      <c r="D36" s="14">
        <v>0</v>
      </c>
      <c r="E36" s="14">
        <f t="shared" si="86"/>
        <v>10000</v>
      </c>
      <c r="F36" s="14">
        <v>0</v>
      </c>
      <c r="G36" s="14">
        <f>C36</f>
        <v>10000</v>
      </c>
      <c r="H36" s="14">
        <v>5518</v>
      </c>
      <c r="I36" s="176">
        <f t="shared" ref="I36:I55" si="101">H36/C36*100</f>
        <v>55.179999999999993</v>
      </c>
      <c r="J36" s="14">
        <f>0</f>
        <v>0</v>
      </c>
      <c r="K36" s="14">
        <f t="shared" si="99"/>
        <v>5518</v>
      </c>
      <c r="L36" s="14">
        <f t="shared" si="90"/>
        <v>0</v>
      </c>
      <c r="M36" s="14">
        <f>H36</f>
        <v>5518</v>
      </c>
      <c r="N36" s="14">
        <v>4482</v>
      </c>
      <c r="O36" s="176">
        <f t="shared" si="97"/>
        <v>44.82</v>
      </c>
      <c r="P36" s="14">
        <f>0</f>
        <v>0</v>
      </c>
      <c r="Q36" s="14">
        <f t="shared" si="100"/>
        <v>4482</v>
      </c>
      <c r="R36" s="14">
        <f t="shared" si="91"/>
        <v>0</v>
      </c>
      <c r="S36" s="14">
        <f>N36</f>
        <v>4482</v>
      </c>
      <c r="T36" s="2102">
        <f>11000-339.9+4000</f>
        <v>14660.1</v>
      </c>
      <c r="U36" s="188">
        <f>T36/C36*100</f>
        <v>146.601</v>
      </c>
      <c r="V36" s="59">
        <f t="shared" si="25"/>
        <v>0</v>
      </c>
      <c r="W36" s="59">
        <f t="shared" si="98"/>
        <v>14660.1</v>
      </c>
      <c r="X36" s="59">
        <f t="shared" si="51"/>
        <v>0</v>
      </c>
      <c r="Y36" s="59">
        <f>T36</f>
        <v>14660.1</v>
      </c>
      <c r="Z36" s="59">
        <f t="shared" si="42"/>
        <v>4660.1000000000004</v>
      </c>
      <c r="AA36" s="59">
        <f t="shared" si="27"/>
        <v>0</v>
      </c>
      <c r="AB36" s="59">
        <f t="shared" si="28"/>
        <v>4660.1000000000004</v>
      </c>
      <c r="AC36" s="59">
        <f t="shared" si="38"/>
        <v>0</v>
      </c>
      <c r="AD36" s="59">
        <f t="shared" si="29"/>
        <v>4660.1000000000004</v>
      </c>
      <c r="AE36" s="187">
        <f>'Phụ lục số 5'!C20</f>
        <v>15000</v>
      </c>
      <c r="AF36" s="188">
        <f t="shared" si="83"/>
        <v>102.31853807272802</v>
      </c>
      <c r="AG36" s="59"/>
      <c r="AH36" s="59">
        <f>SUM(AI36:AJ36)</f>
        <v>15000</v>
      </c>
      <c r="AI36" s="59"/>
      <c r="AJ36" s="2606">
        <f>AE36</f>
        <v>15000</v>
      </c>
      <c r="AK36" s="187">
        <v>12000</v>
      </c>
      <c r="AL36" s="188">
        <f>AK36/AE36*100</f>
        <v>80</v>
      </c>
      <c r="AM36" s="59"/>
      <c r="AN36" s="59">
        <f>SUM(AO36:AP36)</f>
        <v>12000</v>
      </c>
      <c r="AO36" s="59"/>
      <c r="AP36" s="59">
        <f>AK36</f>
        <v>12000</v>
      </c>
      <c r="AQ36" s="187">
        <f>12000+1000</f>
        <v>13000</v>
      </c>
      <c r="AR36" s="188">
        <f t="shared" ref="AR36:AR41" si="102">AQ36/AK36*100</f>
        <v>108.33333333333333</v>
      </c>
      <c r="AS36" s="59"/>
      <c r="AT36" s="59">
        <f>SUM(AU36:AV36)</f>
        <v>13000</v>
      </c>
      <c r="AU36" s="59"/>
      <c r="AV36" s="2086">
        <f>AQ36</f>
        <v>13000</v>
      </c>
      <c r="AW36" s="2873">
        <f t="shared" si="9"/>
        <v>1.6188214979494927E-3</v>
      </c>
      <c r="AX36" s="175"/>
      <c r="AY36" s="175"/>
      <c r="AZ36" s="175"/>
      <c r="BA36" s="175"/>
      <c r="BB36" s="175"/>
      <c r="BC36" s="175"/>
      <c r="BD36" s="175"/>
      <c r="BE36" s="175"/>
      <c r="BF36" s="175"/>
      <c r="BG36" s="175"/>
      <c r="BH36" s="175"/>
      <c r="BI36" s="175"/>
      <c r="BJ36" s="175"/>
      <c r="BK36" s="175"/>
      <c r="BL36" s="175"/>
      <c r="BM36" s="175"/>
      <c r="BN36" s="175"/>
      <c r="BO36" s="175"/>
      <c r="BP36" s="175"/>
      <c r="BQ36" s="175"/>
      <c r="BR36" s="175"/>
      <c r="BS36" s="175"/>
      <c r="BT36" s="175"/>
      <c r="BU36" s="175"/>
      <c r="BV36" s="175"/>
      <c r="BW36" s="175"/>
      <c r="BX36" s="175"/>
      <c r="BY36" s="175"/>
      <c r="BZ36" s="175"/>
      <c r="CA36" s="175"/>
      <c r="CB36" s="175"/>
      <c r="CC36" s="175"/>
      <c r="CD36" s="175"/>
      <c r="CE36" s="175"/>
      <c r="CF36" s="175"/>
      <c r="CG36" s="175"/>
      <c r="CH36" s="175"/>
      <c r="CI36" s="175"/>
      <c r="CJ36" s="175"/>
      <c r="CK36" s="175"/>
      <c r="CL36" s="175"/>
      <c r="CM36" s="175"/>
      <c r="CN36" s="175"/>
      <c r="CO36" s="175"/>
      <c r="CX36" s="166">
        <v>2129</v>
      </c>
      <c r="CY36" s="113">
        <f t="shared" si="11"/>
        <v>2.5918271488961953</v>
      </c>
      <c r="CZ36" s="166">
        <v>5515</v>
      </c>
      <c r="DA36" s="113">
        <f t="shared" si="12"/>
        <v>1.000543970988214</v>
      </c>
      <c r="DB36" s="166">
        <v>4889.3999999999996</v>
      </c>
      <c r="DC36" s="113">
        <f t="shared" si="14"/>
        <v>1.1285638319630222</v>
      </c>
      <c r="DD36" s="166">
        <v>3485</v>
      </c>
      <c r="DE36" s="113">
        <f t="shared" si="15"/>
        <v>1.5833572453371592</v>
      </c>
      <c r="DF36" s="166">
        <v>4307</v>
      </c>
      <c r="DG36" s="113">
        <f t="shared" si="17"/>
        <v>1.2811701880659392</v>
      </c>
      <c r="DH36" s="166">
        <v>6470</v>
      </c>
      <c r="DI36" s="115">
        <f t="shared" si="31"/>
        <v>0.85285935085007725</v>
      </c>
    </row>
    <row r="37" spans="1:113" s="193" customFormat="1" ht="24" customHeight="1">
      <c r="A37" s="2087">
        <v>8</v>
      </c>
      <c r="B37" s="3594" t="s">
        <v>97</v>
      </c>
      <c r="C37" s="59">
        <f>'[23]Phụ lục số 1'!$N$37</f>
        <v>600000</v>
      </c>
      <c r="D37" s="59">
        <v>0</v>
      </c>
      <c r="E37" s="59">
        <f>C37-D37</f>
        <v>600000</v>
      </c>
      <c r="F37" s="59">
        <f t="shared" ref="F37" si="103">E37-G37</f>
        <v>290500</v>
      </c>
      <c r="G37" s="59">
        <f>'[23]Phụ lục số 5'!$C$13</f>
        <v>309500</v>
      </c>
      <c r="H37" s="59">
        <v>395438</v>
      </c>
      <c r="I37" s="188">
        <f t="shared" si="101"/>
        <v>65.906333333333336</v>
      </c>
      <c r="J37" s="59">
        <f>0</f>
        <v>0</v>
      </c>
      <c r="K37" s="59">
        <f>H37-J37</f>
        <v>395438</v>
      </c>
      <c r="L37" s="59">
        <f>K37-M37</f>
        <v>257437.7</v>
      </c>
      <c r="M37" s="59">
        <f>H37*35%-403</f>
        <v>138000.29999999999</v>
      </c>
      <c r="N37" s="59">
        <v>314562</v>
      </c>
      <c r="O37" s="188">
        <f t="shared" si="97"/>
        <v>52.427</v>
      </c>
      <c r="P37" s="59">
        <f>0</f>
        <v>0</v>
      </c>
      <c r="Q37" s="59">
        <f t="shared" si="100"/>
        <v>314562</v>
      </c>
      <c r="R37" s="59">
        <f t="shared" si="91"/>
        <v>169962.47999999998</v>
      </c>
      <c r="S37" s="59">
        <f>N37*46%-99</f>
        <v>144599.52000000002</v>
      </c>
      <c r="T37" s="2102">
        <f>700000-30000+40000</f>
        <v>710000</v>
      </c>
      <c r="U37" s="188">
        <f t="shared" si="19"/>
        <v>118.33333333333333</v>
      </c>
      <c r="V37" s="59">
        <f t="shared" si="25"/>
        <v>0</v>
      </c>
      <c r="W37" s="59">
        <f t="shared" si="98"/>
        <v>710000</v>
      </c>
      <c r="X37" s="59">
        <f>T37-Y37</f>
        <v>344000.33333333337</v>
      </c>
      <c r="Y37" s="59">
        <f>G37*U37/100-242</f>
        <v>365999.66666666663</v>
      </c>
      <c r="Z37" s="59">
        <f t="shared" si="42"/>
        <v>110000</v>
      </c>
      <c r="AA37" s="59">
        <f t="shared" si="27"/>
        <v>0</v>
      </c>
      <c r="AB37" s="59">
        <f t="shared" si="28"/>
        <v>110000</v>
      </c>
      <c r="AC37" s="59">
        <f t="shared" si="38"/>
        <v>53500.333333333372</v>
      </c>
      <c r="AD37" s="59">
        <f>Y37-G37</f>
        <v>56499.666666666628</v>
      </c>
      <c r="AE37" s="187">
        <f>745000-15000</f>
        <v>730000</v>
      </c>
      <c r="AF37" s="188">
        <f t="shared" si="83"/>
        <v>102.8169014084507</v>
      </c>
      <c r="AG37" s="59"/>
      <c r="AH37" s="59">
        <f t="shared" ref="AH37" si="104">SUM(AI37:AJ37)</f>
        <v>730000</v>
      </c>
      <c r="AI37" s="59">
        <f>AE37-AJ37</f>
        <v>408000</v>
      </c>
      <c r="AJ37" s="2606">
        <f>'Phụ lục số 5'!E15</f>
        <v>322000</v>
      </c>
      <c r="AK37" s="187">
        <f>780000+90000</f>
        <v>870000</v>
      </c>
      <c r="AL37" s="188">
        <f>AK37/AE37*100</f>
        <v>119.17808219178083</v>
      </c>
      <c r="AM37" s="59"/>
      <c r="AN37" s="59">
        <f>SUM(AO37:AP37)</f>
        <v>870000</v>
      </c>
      <c r="AO37" s="59">
        <f>AK37-AP37</f>
        <v>485999.57534246572</v>
      </c>
      <c r="AP37" s="59">
        <f>AL37*AJ37/100+247</f>
        <v>384000.42465753428</v>
      </c>
      <c r="AQ37" s="187">
        <f>850000+90000</f>
        <v>940000</v>
      </c>
      <c r="AR37" s="188">
        <f t="shared" si="102"/>
        <v>108.04597701149426</v>
      </c>
      <c r="AS37" s="59"/>
      <c r="AT37" s="59">
        <f t="shared" ref="AT37:AT38" si="105">SUM(AU37:AV37)</f>
        <v>940000</v>
      </c>
      <c r="AU37" s="59">
        <f>AQ37-AV37</f>
        <v>525099.98945048021</v>
      </c>
      <c r="AV37" s="2086">
        <f>AR37*AP37/100+3</f>
        <v>414900.01054951979</v>
      </c>
      <c r="AW37" s="2873">
        <f t="shared" si="9"/>
        <v>7.8782646233541975E-2</v>
      </c>
      <c r="AX37" s="192"/>
      <c r="AY37" s="192"/>
      <c r="AZ37" s="192"/>
      <c r="BA37" s="192"/>
      <c r="BB37" s="192"/>
      <c r="BC37" s="192"/>
      <c r="BD37" s="192"/>
      <c r="BE37" s="192"/>
      <c r="BF37" s="192"/>
      <c r="BG37" s="192"/>
      <c r="BH37" s="192"/>
      <c r="BI37" s="192"/>
      <c r="BJ37" s="192"/>
      <c r="BK37" s="192"/>
      <c r="BL37" s="192"/>
      <c r="BM37" s="192"/>
      <c r="BN37" s="192"/>
      <c r="BO37" s="192"/>
      <c r="BP37" s="192"/>
      <c r="BQ37" s="192"/>
      <c r="BR37" s="192"/>
      <c r="BS37" s="192"/>
      <c r="BT37" s="192"/>
      <c r="BU37" s="192"/>
      <c r="BV37" s="192"/>
      <c r="BW37" s="192"/>
      <c r="BX37" s="192"/>
      <c r="BY37" s="192"/>
      <c r="BZ37" s="192"/>
      <c r="CA37" s="192"/>
      <c r="CB37" s="192"/>
      <c r="CC37" s="192"/>
      <c r="CD37" s="192"/>
      <c r="CE37" s="192"/>
      <c r="CF37" s="192"/>
      <c r="CG37" s="192"/>
      <c r="CH37" s="192"/>
      <c r="CI37" s="192"/>
      <c r="CJ37" s="192"/>
      <c r="CK37" s="192"/>
      <c r="CL37" s="192"/>
      <c r="CM37" s="192"/>
      <c r="CN37" s="192"/>
      <c r="CO37" s="192"/>
      <c r="CR37" s="194">
        <f>X37/W37</f>
        <v>0.48450751173708928</v>
      </c>
      <c r="CS37" s="194">
        <f>Y37/W37</f>
        <v>0.51549248826291072</v>
      </c>
      <c r="CX37" s="193">
        <v>197498</v>
      </c>
      <c r="CY37" s="113">
        <f t="shared" si="11"/>
        <v>2.0022379973468087</v>
      </c>
      <c r="CZ37" s="193">
        <v>259529</v>
      </c>
      <c r="DA37" s="113">
        <f t="shared" si="12"/>
        <v>1.5236755815342409</v>
      </c>
      <c r="DB37" s="193">
        <v>281292.40000000002</v>
      </c>
      <c r="DC37" s="113">
        <f t="shared" si="14"/>
        <v>1.4057898471483765</v>
      </c>
      <c r="DD37" s="193">
        <v>270381</v>
      </c>
      <c r="DE37" s="113">
        <f t="shared" si="15"/>
        <v>1.4625214049803796</v>
      </c>
      <c r="DF37" s="193">
        <v>305513</v>
      </c>
      <c r="DG37" s="113">
        <f t="shared" si="17"/>
        <v>1.2943409936729371</v>
      </c>
      <c r="DH37" s="193">
        <v>375676</v>
      </c>
      <c r="DI37" s="115">
        <f t="shared" si="31"/>
        <v>1.0526038394786996</v>
      </c>
    </row>
    <row r="38" spans="1:113" s="166" customFormat="1" ht="24" customHeight="1">
      <c r="A38" s="2082">
        <v>9</v>
      </c>
      <c r="B38" s="3592" t="s">
        <v>108</v>
      </c>
      <c r="C38" s="59">
        <f>'[23]Phụ lục số 1'!$N$38</f>
        <v>1500000</v>
      </c>
      <c r="D38" s="14">
        <f>ROUND(C38*40%,-3)</f>
        <v>600000</v>
      </c>
      <c r="E38" s="14">
        <f>C38-D38</f>
        <v>900000</v>
      </c>
      <c r="F38" s="14">
        <f>E38</f>
        <v>900000</v>
      </c>
      <c r="G38" s="14">
        <v>0</v>
      </c>
      <c r="H38" s="14">
        <v>464497</v>
      </c>
      <c r="I38" s="176">
        <f t="shared" si="101"/>
        <v>30.966466666666665</v>
      </c>
      <c r="J38" s="14">
        <f>H38*40%</f>
        <v>185798.80000000002</v>
      </c>
      <c r="K38" s="14">
        <f t="shared" si="99"/>
        <v>278698.19999999995</v>
      </c>
      <c r="L38" s="14">
        <f t="shared" si="90"/>
        <v>278698.19999999995</v>
      </c>
      <c r="M38" s="14">
        <v>0</v>
      </c>
      <c r="N38" s="14">
        <v>495502.9</v>
      </c>
      <c r="O38" s="176">
        <f t="shared" si="97"/>
        <v>33.033526666666667</v>
      </c>
      <c r="P38" s="14">
        <f>N38*40%</f>
        <v>198201.16000000003</v>
      </c>
      <c r="Q38" s="14">
        <f>N38-P38</f>
        <v>297301.74</v>
      </c>
      <c r="R38" s="14">
        <f>Q38-S38</f>
        <v>297301.74</v>
      </c>
      <c r="S38" s="14">
        <v>0</v>
      </c>
      <c r="T38" s="2102">
        <f>920000+80000-20000</f>
        <v>980000</v>
      </c>
      <c r="U38" s="188">
        <f t="shared" si="19"/>
        <v>65.333333333333329</v>
      </c>
      <c r="V38" s="59">
        <f>T38*40%</f>
        <v>392000</v>
      </c>
      <c r="W38" s="59">
        <f t="shared" si="98"/>
        <v>588000</v>
      </c>
      <c r="X38" s="59">
        <f>T38-V38-Y38</f>
        <v>588000</v>
      </c>
      <c r="Y38" s="59">
        <f t="shared" si="37"/>
        <v>0</v>
      </c>
      <c r="Z38" s="59">
        <f t="shared" si="42"/>
        <v>-520000</v>
      </c>
      <c r="AA38" s="59">
        <f t="shared" si="27"/>
        <v>-208000</v>
      </c>
      <c r="AB38" s="59">
        <f t="shared" si="28"/>
        <v>-312000</v>
      </c>
      <c r="AC38" s="59">
        <f>X38-F38</f>
        <v>-312000</v>
      </c>
      <c r="AD38" s="59">
        <f t="shared" si="29"/>
        <v>0</v>
      </c>
      <c r="AE38" s="187">
        <f>1065000</f>
        <v>1065000</v>
      </c>
      <c r="AF38" s="188">
        <f t="shared" si="83"/>
        <v>108.67346938775511</v>
      </c>
      <c r="AG38" s="59">
        <f>AE38*40%</f>
        <v>426000</v>
      </c>
      <c r="AH38" s="59">
        <f t="shared" ref="AH38:AH43" si="106">SUM(AI38:AJ38)</f>
        <v>639000</v>
      </c>
      <c r="AI38" s="59">
        <f>AE38-AG38</f>
        <v>639000</v>
      </c>
      <c r="AJ38" s="2606"/>
      <c r="AK38" s="187">
        <f>1820000-70000</f>
        <v>1750000</v>
      </c>
      <c r="AL38" s="188">
        <f>AK38/AE38*100</f>
        <v>164.31924882629107</v>
      </c>
      <c r="AM38" s="59">
        <f>AK38*40%</f>
        <v>700000</v>
      </c>
      <c r="AN38" s="59">
        <f t="shared" ref="AN38" si="107">SUM(AO38:AP38)</f>
        <v>1050000</v>
      </c>
      <c r="AO38" s="59">
        <f>AK38-AM38</f>
        <v>1050000</v>
      </c>
      <c r="AP38" s="59"/>
      <c r="AQ38" s="187">
        <f>1950000-50000</f>
        <v>1900000</v>
      </c>
      <c r="AR38" s="188">
        <f t="shared" si="102"/>
        <v>108.57142857142857</v>
      </c>
      <c r="AS38" s="59">
        <f>AQ38*40%</f>
        <v>760000</v>
      </c>
      <c r="AT38" s="59">
        <f t="shared" si="105"/>
        <v>1140000</v>
      </c>
      <c r="AU38" s="59">
        <f>AQ38-AS38</f>
        <v>1140000</v>
      </c>
      <c r="AV38" s="2086"/>
      <c r="AW38" s="2874">
        <f>AE38/$AE$8</f>
        <v>0.11493632635441399</v>
      </c>
      <c r="AX38" s="175"/>
      <c r="AY38" s="175"/>
      <c r="AZ38" s="175"/>
      <c r="BA38" s="175"/>
      <c r="BB38" s="175"/>
      <c r="BC38" s="175"/>
      <c r="BD38" s="175"/>
      <c r="BE38" s="175"/>
      <c r="BF38" s="175"/>
      <c r="BG38" s="175"/>
      <c r="BH38" s="175"/>
      <c r="BI38" s="175"/>
      <c r="BJ38" s="175"/>
      <c r="BK38" s="175"/>
      <c r="BL38" s="175"/>
      <c r="BM38" s="175"/>
      <c r="BN38" s="175"/>
      <c r="BO38" s="175"/>
      <c r="BP38" s="175"/>
      <c r="BQ38" s="175"/>
      <c r="BR38" s="175"/>
      <c r="BS38" s="175"/>
      <c r="BT38" s="175"/>
      <c r="BU38" s="175"/>
      <c r="BV38" s="175"/>
      <c r="BW38" s="175"/>
      <c r="BX38" s="175"/>
      <c r="BY38" s="175"/>
      <c r="BZ38" s="175"/>
      <c r="CA38" s="175"/>
      <c r="CB38" s="175"/>
      <c r="CC38" s="175"/>
      <c r="CD38" s="175"/>
      <c r="CE38" s="175"/>
      <c r="CF38" s="175"/>
      <c r="CG38" s="175"/>
      <c r="CH38" s="175"/>
      <c r="CI38" s="175"/>
      <c r="CJ38" s="175"/>
      <c r="CK38" s="175"/>
      <c r="CL38" s="175"/>
      <c r="CM38" s="175"/>
      <c r="CN38" s="175"/>
      <c r="CO38" s="175"/>
      <c r="CX38" s="166">
        <v>999378</v>
      </c>
      <c r="CY38" s="113">
        <f t="shared" si="11"/>
        <v>0.46478609695230433</v>
      </c>
      <c r="CZ38" s="166">
        <v>860438</v>
      </c>
      <c r="DA38" s="113">
        <f t="shared" si="12"/>
        <v>0.53983785002521967</v>
      </c>
      <c r="DB38" s="166">
        <v>1143480.3999999999</v>
      </c>
      <c r="DC38" s="113">
        <f t="shared" si="14"/>
        <v>0.40621334655145819</v>
      </c>
      <c r="DD38" s="166">
        <v>1076471</v>
      </c>
      <c r="DE38" s="113">
        <f t="shared" si="15"/>
        <v>0.43149978030063046</v>
      </c>
      <c r="DF38" s="166">
        <v>842096</v>
      </c>
      <c r="DG38" s="113">
        <f t="shared" si="17"/>
        <v>0.55159625505880561</v>
      </c>
      <c r="DH38" s="166">
        <v>623012</v>
      </c>
      <c r="DI38" s="115">
        <f t="shared" si="31"/>
        <v>0.74556669855476299</v>
      </c>
    </row>
    <row r="39" spans="1:113" s="193" customFormat="1" ht="24" customHeight="1">
      <c r="A39" s="2087">
        <v>10</v>
      </c>
      <c r="B39" s="3594" t="s">
        <v>17</v>
      </c>
      <c r="C39" s="59">
        <f>'[23]Phụ lục số 1'!$N$39</f>
        <v>160000</v>
      </c>
      <c r="D39" s="59">
        <f>'[23]Phụ lục số 1'!$P$39</f>
        <v>82000</v>
      </c>
      <c r="E39" s="59">
        <f>C39-D39</f>
        <v>78000</v>
      </c>
      <c r="F39" s="59">
        <f>E39-G39</f>
        <v>18800</v>
      </c>
      <c r="G39" s="59">
        <f>'[23]Phụ lục số 5'!$C$20</f>
        <v>59200</v>
      </c>
      <c r="H39" s="59">
        <v>86280</v>
      </c>
      <c r="I39" s="188">
        <f t="shared" si="101"/>
        <v>53.924999999999997</v>
      </c>
      <c r="J39" s="59">
        <f>H39*30%-884</f>
        <v>25000</v>
      </c>
      <c r="K39" s="59">
        <f t="shared" si="99"/>
        <v>61280</v>
      </c>
      <c r="L39" s="59">
        <f>K39-M39</f>
        <v>20279.599999999999</v>
      </c>
      <c r="M39" s="59">
        <f>H39*48%-414</f>
        <v>41000.400000000001</v>
      </c>
      <c r="N39" s="59">
        <v>93720</v>
      </c>
      <c r="O39" s="188">
        <f t="shared" si="97"/>
        <v>58.575000000000003</v>
      </c>
      <c r="P39" s="59">
        <f>N39*30%-116</f>
        <v>28000</v>
      </c>
      <c r="Q39" s="59">
        <f>N39-P39</f>
        <v>65720</v>
      </c>
      <c r="R39" s="59">
        <f>Q39-S39</f>
        <v>20820.400000000001</v>
      </c>
      <c r="S39" s="59">
        <f>N39*48%-86</f>
        <v>44899.6</v>
      </c>
      <c r="T39" s="2102">
        <f>165000-5000</f>
        <v>160000</v>
      </c>
      <c r="U39" s="188">
        <f t="shared" si="19"/>
        <v>100</v>
      </c>
      <c r="V39" s="59">
        <f>D39*U39/100</f>
        <v>82000</v>
      </c>
      <c r="W39" s="59">
        <f t="shared" si="98"/>
        <v>78000</v>
      </c>
      <c r="X39" s="59">
        <f>T39-V39-Y39</f>
        <v>19000</v>
      </c>
      <c r="Y39" s="59">
        <f>(G39*U39/100)-200</f>
        <v>59000</v>
      </c>
      <c r="Z39" s="59">
        <f t="shared" si="42"/>
        <v>0</v>
      </c>
      <c r="AA39" s="59">
        <f t="shared" si="27"/>
        <v>0</v>
      </c>
      <c r="AB39" s="59">
        <f t="shared" si="28"/>
        <v>0</v>
      </c>
      <c r="AC39" s="59">
        <f t="shared" si="38"/>
        <v>200</v>
      </c>
      <c r="AD39" s="59">
        <f t="shared" si="29"/>
        <v>-200</v>
      </c>
      <c r="AE39" s="187">
        <v>170000</v>
      </c>
      <c r="AF39" s="188">
        <f t="shared" si="83"/>
        <v>106.25</v>
      </c>
      <c r="AG39" s="2801">
        <f>V39*AF39/100-125</f>
        <v>87000</v>
      </c>
      <c r="AH39" s="59">
        <f t="shared" si="106"/>
        <v>83000</v>
      </c>
      <c r="AI39" s="59">
        <f>AE39-AG39-AJ39</f>
        <v>20600</v>
      </c>
      <c r="AJ39" s="59">
        <f>'Phụ lục số 5'!E24</f>
        <v>62400</v>
      </c>
      <c r="AK39" s="187">
        <f>193000+19000</f>
        <v>212000</v>
      </c>
      <c r="AL39" s="188">
        <f>AK39/AE39*100</f>
        <v>124.70588235294117</v>
      </c>
      <c r="AM39" s="59">
        <f>AL39*AG39/100-94</f>
        <v>108400.11764705881</v>
      </c>
      <c r="AN39" s="59">
        <f>SUM(AO39:AP39)</f>
        <v>103599.88235294119</v>
      </c>
      <c r="AO39" s="59">
        <f>AK39-AM39-AP39</f>
        <v>25799.911764705888</v>
      </c>
      <c r="AP39" s="59">
        <f>AJ39*AL39/100-16.5</f>
        <v>77799.970588235301</v>
      </c>
      <c r="AQ39" s="187">
        <f>210000+16000</f>
        <v>226000</v>
      </c>
      <c r="AR39" s="188">
        <f t="shared" si="102"/>
        <v>106.60377358490567</v>
      </c>
      <c r="AS39" s="59">
        <f>AR39*AM39/100-59</f>
        <v>115499.61598224194</v>
      </c>
      <c r="AT39" s="59">
        <f>SUM(AU39:AV39)</f>
        <v>110500.18401775806</v>
      </c>
      <c r="AU39" s="59">
        <f>AQ39-AS39-AV39-0.2</f>
        <v>27600.479522752499</v>
      </c>
      <c r="AV39" s="2086">
        <f>AP39*AR39/100-38</f>
        <v>82899.704495005557</v>
      </c>
      <c r="AW39" s="2873">
        <f t="shared" si="9"/>
        <v>1.8346643643427585E-2</v>
      </c>
      <c r="AX39" s="192"/>
      <c r="AY39" s="192"/>
      <c r="AZ39" s="192"/>
      <c r="BA39" s="192"/>
      <c r="BB39" s="192"/>
      <c r="BC39" s="192"/>
      <c r="BD39" s="192"/>
      <c r="BE39" s="192"/>
      <c r="BF39" s="192"/>
      <c r="BG39" s="192"/>
      <c r="BH39" s="192"/>
      <c r="BI39" s="192"/>
      <c r="BJ39" s="192"/>
      <c r="BK39" s="192"/>
      <c r="BL39" s="192"/>
      <c r="BM39" s="192"/>
      <c r="BN39" s="192"/>
      <c r="BO39" s="192"/>
      <c r="BP39" s="192"/>
      <c r="BQ39" s="192"/>
      <c r="BR39" s="192"/>
      <c r="BS39" s="192"/>
      <c r="BT39" s="192"/>
      <c r="BU39" s="192"/>
      <c r="BV39" s="192"/>
      <c r="BW39" s="192"/>
      <c r="BX39" s="192"/>
      <c r="BY39" s="192"/>
      <c r="BZ39" s="192"/>
      <c r="CA39" s="192"/>
      <c r="CB39" s="192"/>
      <c r="CC39" s="192"/>
      <c r="CD39" s="192"/>
      <c r="CE39" s="192"/>
      <c r="CF39" s="192"/>
      <c r="CG39" s="192"/>
      <c r="CH39" s="192"/>
      <c r="CI39" s="192"/>
      <c r="CJ39" s="192"/>
      <c r="CK39" s="192"/>
      <c r="CL39" s="192"/>
      <c r="CM39" s="192"/>
      <c r="CN39" s="192"/>
      <c r="CO39" s="192"/>
      <c r="CX39" s="193">
        <v>173210</v>
      </c>
      <c r="CY39" s="113">
        <f t="shared" si="11"/>
        <v>0.49812366491542059</v>
      </c>
      <c r="CZ39" s="193">
        <v>82258</v>
      </c>
      <c r="DA39" s="113">
        <f t="shared" si="12"/>
        <v>1.0488949403097572</v>
      </c>
      <c r="DB39" s="193">
        <v>91013.4</v>
      </c>
      <c r="DC39" s="113">
        <f t="shared" si="14"/>
        <v>0.94799227366519656</v>
      </c>
      <c r="DD39" s="193">
        <v>91843</v>
      </c>
      <c r="DE39" s="113">
        <f t="shared" si="15"/>
        <v>0.93942924338272926</v>
      </c>
      <c r="DF39" s="193">
        <v>106231</v>
      </c>
      <c r="DG39" s="113">
        <f t="shared" si="17"/>
        <v>0.81219229791680392</v>
      </c>
      <c r="DH39" s="193">
        <v>95910</v>
      </c>
      <c r="DI39" s="115">
        <f t="shared" si="31"/>
        <v>0.89959336878323426</v>
      </c>
    </row>
    <row r="40" spans="1:113" s="166" customFormat="1" ht="24" customHeight="1">
      <c r="A40" s="2082">
        <v>11</v>
      </c>
      <c r="B40" s="3592" t="s">
        <v>18</v>
      </c>
      <c r="C40" s="59">
        <f>900000</f>
        <v>900000</v>
      </c>
      <c r="D40" s="14">
        <v>0</v>
      </c>
      <c r="E40" s="14">
        <f>F40+G40</f>
        <v>900000</v>
      </c>
      <c r="F40" s="14">
        <f>C40-G40</f>
        <v>100000</v>
      </c>
      <c r="G40" s="14">
        <v>800000</v>
      </c>
      <c r="H40" s="14">
        <v>476206</v>
      </c>
      <c r="I40" s="176">
        <f>H40/C40*100</f>
        <v>52.911777777777779</v>
      </c>
      <c r="J40" s="14">
        <f>0</f>
        <v>0</v>
      </c>
      <c r="K40" s="14">
        <f t="shared" si="99"/>
        <v>476206</v>
      </c>
      <c r="L40" s="14">
        <f>29208+792</f>
        <v>30000</v>
      </c>
      <c r="M40" s="14">
        <f>H40-L40</f>
        <v>446206</v>
      </c>
      <c r="N40" s="14">
        <v>623794</v>
      </c>
      <c r="O40" s="176">
        <f t="shared" si="97"/>
        <v>69.310444444444443</v>
      </c>
      <c r="P40" s="14">
        <f>0</f>
        <v>0</v>
      </c>
      <c r="Q40" s="14">
        <f t="shared" si="100"/>
        <v>623794</v>
      </c>
      <c r="R40" s="14">
        <f>F40-L40</f>
        <v>70000</v>
      </c>
      <c r="S40" s="14">
        <f>Q40-R40</f>
        <v>553794</v>
      </c>
      <c r="T40" s="2102">
        <f>950000+130000</f>
        <v>1080000</v>
      </c>
      <c r="U40" s="188">
        <f t="shared" si="19"/>
        <v>120</v>
      </c>
      <c r="V40" s="59">
        <f t="shared" si="25"/>
        <v>0</v>
      </c>
      <c r="W40" s="59">
        <f t="shared" ref="W40:W44" si="108">SUM(X40:Y40)</f>
        <v>1080000</v>
      </c>
      <c r="X40" s="59">
        <f>T40-Y40</f>
        <v>100000</v>
      </c>
      <c r="Y40" s="59">
        <f>G40*U40/100+20000</f>
        <v>980000</v>
      </c>
      <c r="Z40" s="59">
        <f t="shared" si="42"/>
        <v>180000</v>
      </c>
      <c r="AA40" s="59">
        <f t="shared" si="27"/>
        <v>0</v>
      </c>
      <c r="AB40" s="59">
        <f t="shared" si="28"/>
        <v>180000</v>
      </c>
      <c r="AC40" s="59">
        <f t="shared" si="38"/>
        <v>0</v>
      </c>
      <c r="AD40" s="59">
        <f t="shared" si="29"/>
        <v>180000</v>
      </c>
      <c r="AE40" s="187">
        <f>1200000+270000+300000</f>
        <v>1770000</v>
      </c>
      <c r="AF40" s="188">
        <f t="shared" si="83"/>
        <v>163.88888888888889</v>
      </c>
      <c r="AG40" s="59"/>
      <c r="AH40" s="59">
        <f t="shared" si="106"/>
        <v>1770000</v>
      </c>
      <c r="AI40" s="59">
        <f>AE40-AG40-AJ40</f>
        <v>627000</v>
      </c>
      <c r="AJ40" s="59">
        <f>'Phụ lục số 5'!E30</f>
        <v>1143000</v>
      </c>
      <c r="AK40" s="2102">
        <f>1050000+150000</f>
        <v>1200000</v>
      </c>
      <c r="AL40" s="188">
        <f t="shared" si="39"/>
        <v>67.796610169491515</v>
      </c>
      <c r="AM40" s="59"/>
      <c r="AN40" s="59">
        <f>SUM(AO40:AP40)</f>
        <v>1200000</v>
      </c>
      <c r="AO40" s="59">
        <f>AK40-AP40</f>
        <v>425099.74576271186</v>
      </c>
      <c r="AP40" s="59">
        <f>AJ40*AL40/100-15</f>
        <v>774900.25423728814</v>
      </c>
      <c r="AQ40" s="187">
        <f>1120000+140000</f>
        <v>1260000</v>
      </c>
      <c r="AR40" s="188">
        <f t="shared" si="102"/>
        <v>105</v>
      </c>
      <c r="AS40" s="59"/>
      <c r="AT40" s="59">
        <f>SUM(AU40:AV40)</f>
        <v>1260000</v>
      </c>
      <c r="AU40" s="59">
        <f>AQ40-AV40</f>
        <v>446399.73305084754</v>
      </c>
      <c r="AV40" s="2086">
        <f>AP40*AR40/100-45</f>
        <v>813600.26694915246</v>
      </c>
      <c r="AW40" s="2874">
        <f>AE40/$AE$8</f>
        <v>0.19102093675804013</v>
      </c>
      <c r="AX40" s="175"/>
      <c r="AY40" s="175"/>
      <c r="AZ40" s="175"/>
      <c r="BA40" s="175"/>
      <c r="BB40" s="175"/>
      <c r="BC40" s="175"/>
      <c r="BD40" s="175"/>
      <c r="BE40" s="175"/>
      <c r="BF40" s="175"/>
      <c r="BG40" s="175"/>
      <c r="BH40" s="175"/>
      <c r="BI40" s="175"/>
      <c r="BJ40" s="175"/>
      <c r="BK40" s="175"/>
      <c r="BL40" s="175"/>
      <c r="BM40" s="175"/>
      <c r="BN40" s="175"/>
      <c r="BO40" s="175"/>
      <c r="BP40" s="175"/>
      <c r="BQ40" s="175"/>
      <c r="BR40" s="175"/>
      <c r="BS40" s="175"/>
      <c r="BT40" s="175"/>
      <c r="BU40" s="175"/>
      <c r="BV40" s="175"/>
      <c r="BW40" s="175"/>
      <c r="BX40" s="175"/>
      <c r="BY40" s="175"/>
      <c r="BZ40" s="175"/>
      <c r="CA40" s="175"/>
      <c r="CB40" s="175"/>
      <c r="CC40" s="175"/>
      <c r="CD40" s="175"/>
      <c r="CE40" s="175"/>
      <c r="CF40" s="175"/>
      <c r="CG40" s="175"/>
      <c r="CH40" s="175"/>
      <c r="CI40" s="175"/>
      <c r="CJ40" s="175"/>
      <c r="CK40" s="175"/>
      <c r="CL40" s="175"/>
      <c r="CM40" s="175"/>
      <c r="CN40" s="175"/>
      <c r="CO40" s="175"/>
      <c r="CX40" s="166">
        <v>270504</v>
      </c>
      <c r="CY40" s="113">
        <f t="shared" si="11"/>
        <v>1.7604397716854465</v>
      </c>
      <c r="CZ40" s="166">
        <v>396349</v>
      </c>
      <c r="DA40" s="113">
        <f t="shared" si="12"/>
        <v>1.2014815225975088</v>
      </c>
      <c r="DB40" s="166">
        <v>282860.40000000002</v>
      </c>
      <c r="DC40" s="113">
        <f t="shared" si="14"/>
        <v>1.6835371794708625</v>
      </c>
      <c r="DD40" s="166">
        <v>382398</v>
      </c>
      <c r="DE40" s="113">
        <f t="shared" si="15"/>
        <v>1.2453150905600971</v>
      </c>
      <c r="DF40" s="166">
        <v>717544</v>
      </c>
      <c r="DG40" s="113">
        <f t="shared" si="17"/>
        <v>0.66366104378268087</v>
      </c>
      <c r="DH40" s="166">
        <v>492545</v>
      </c>
      <c r="DI40" s="115">
        <f t="shared" si="31"/>
        <v>0.9668273964815397</v>
      </c>
    </row>
    <row r="41" spans="1:113" s="166" customFormat="1" ht="24" customHeight="1">
      <c r="A41" s="2082">
        <v>12</v>
      </c>
      <c r="B41" s="3592" t="s">
        <v>98</v>
      </c>
      <c r="C41" s="59">
        <f>'[23]Phụ lục số 1'!$N$41</f>
        <v>115000</v>
      </c>
      <c r="D41" s="14">
        <v>0</v>
      </c>
      <c r="E41" s="14">
        <f>C41-D41</f>
        <v>115000</v>
      </c>
      <c r="F41" s="14">
        <f>C41-G41</f>
        <v>0</v>
      </c>
      <c r="G41" s="14">
        <f>'[23]Phụ lục số 5'!$C$23</f>
        <v>115000</v>
      </c>
      <c r="H41" s="14">
        <v>38939</v>
      </c>
      <c r="I41" s="176">
        <f t="shared" si="101"/>
        <v>33.86</v>
      </c>
      <c r="J41" s="14">
        <f>0</f>
        <v>0</v>
      </c>
      <c r="K41" s="14">
        <f t="shared" si="99"/>
        <v>38939</v>
      </c>
      <c r="L41" s="14">
        <f t="shared" si="90"/>
        <v>0</v>
      </c>
      <c r="M41" s="14">
        <f>H41</f>
        <v>38939</v>
      </c>
      <c r="N41" s="14">
        <v>111060.8</v>
      </c>
      <c r="O41" s="176">
        <f t="shared" si="97"/>
        <v>96.574608695652174</v>
      </c>
      <c r="P41" s="14">
        <f>0</f>
        <v>0</v>
      </c>
      <c r="Q41" s="14">
        <f t="shared" si="100"/>
        <v>111060.8</v>
      </c>
      <c r="R41" s="14">
        <f>F41-L41</f>
        <v>0</v>
      </c>
      <c r="S41" s="14">
        <f>Q41-R41</f>
        <v>111060.8</v>
      </c>
      <c r="T41" s="2102">
        <f>130000-0.2-20000+16000</f>
        <v>125999.8</v>
      </c>
      <c r="U41" s="188">
        <f t="shared" si="19"/>
        <v>109.56504347826088</v>
      </c>
      <c r="V41" s="59">
        <f t="shared" si="25"/>
        <v>0</v>
      </c>
      <c r="W41" s="59">
        <f t="shared" si="108"/>
        <v>125999.8</v>
      </c>
      <c r="X41" s="59">
        <f t="shared" si="51"/>
        <v>0</v>
      </c>
      <c r="Y41" s="59">
        <f>T41</f>
        <v>125999.8</v>
      </c>
      <c r="Z41" s="59">
        <f t="shared" si="42"/>
        <v>10999.800000000003</v>
      </c>
      <c r="AA41" s="59">
        <f t="shared" si="27"/>
        <v>0</v>
      </c>
      <c r="AB41" s="59">
        <f>W41-E41</f>
        <v>10999.800000000003</v>
      </c>
      <c r="AC41" s="59">
        <f t="shared" si="38"/>
        <v>0</v>
      </c>
      <c r="AD41" s="59">
        <f t="shared" si="29"/>
        <v>10999.800000000003</v>
      </c>
      <c r="AE41" s="187">
        <f>155000+160000</f>
        <v>315000</v>
      </c>
      <c r="AF41" s="188">
        <f t="shared" si="83"/>
        <v>250.0003968260267</v>
      </c>
      <c r="AG41" s="59"/>
      <c r="AH41" s="59">
        <f t="shared" si="106"/>
        <v>315000</v>
      </c>
      <c r="AI41" s="59">
        <f>AE41-AJ41</f>
        <v>45900</v>
      </c>
      <c r="AJ41" s="59">
        <f>'Phụ lục số 5'!E27</f>
        <v>269100</v>
      </c>
      <c r="AK41" s="2102">
        <f>161000+23000</f>
        <v>184000</v>
      </c>
      <c r="AL41" s="188">
        <f t="shared" si="39"/>
        <v>58.412698412698418</v>
      </c>
      <c r="AM41" s="59"/>
      <c r="AN41" s="59">
        <f>SUM(AO41:AP41)</f>
        <v>184000</v>
      </c>
      <c r="AO41" s="59">
        <f>AK41-AP41</f>
        <v>42700.428571428551</v>
      </c>
      <c r="AP41" s="59">
        <f>AJ41*AL41/100-189-(157000*10%)</f>
        <v>141299.57142857145</v>
      </c>
      <c r="AQ41" s="187">
        <f>180000+70000</f>
        <v>250000</v>
      </c>
      <c r="AR41" s="188">
        <f t="shared" si="102"/>
        <v>135.86956521739131</v>
      </c>
      <c r="AS41" s="59"/>
      <c r="AT41" s="59">
        <f>SUM(AU41:AV41)</f>
        <v>250000</v>
      </c>
      <c r="AU41" s="2801">
        <f>AQ41-AV41</f>
        <v>155999.51542857144</v>
      </c>
      <c r="AV41" s="2086">
        <f>AP41/AR41*100+404-(104000*10%)</f>
        <v>94000.484571428577</v>
      </c>
      <c r="AW41" s="2873">
        <f t="shared" si="9"/>
        <v>3.3995251456939352E-2</v>
      </c>
      <c r="AX41" s="175"/>
      <c r="AY41" s="175"/>
      <c r="AZ41" s="175"/>
      <c r="BA41" s="175"/>
      <c r="BB41" s="175"/>
      <c r="BC41" s="175"/>
      <c r="BD41" s="175"/>
      <c r="BE41" s="175"/>
      <c r="BF41" s="175"/>
      <c r="BG41" s="175"/>
      <c r="BH41" s="175"/>
      <c r="BI41" s="175"/>
      <c r="BJ41" s="175"/>
      <c r="BK41" s="175"/>
      <c r="BL41" s="175"/>
      <c r="BM41" s="175"/>
      <c r="BN41" s="175"/>
      <c r="BO41" s="175"/>
      <c r="BP41" s="175"/>
      <c r="BQ41" s="175"/>
      <c r="BR41" s="175"/>
      <c r="BS41" s="175"/>
      <c r="BT41" s="175"/>
      <c r="BU41" s="175"/>
      <c r="BV41" s="175"/>
      <c r="BW41" s="175"/>
      <c r="BX41" s="175"/>
      <c r="BY41" s="175"/>
      <c r="BZ41" s="175"/>
      <c r="CA41" s="175"/>
      <c r="CB41" s="175"/>
      <c r="CC41" s="175"/>
      <c r="CD41" s="175"/>
      <c r="CE41" s="175"/>
      <c r="CF41" s="175"/>
      <c r="CG41" s="175"/>
      <c r="CH41" s="175"/>
      <c r="CI41" s="175"/>
      <c r="CJ41" s="175"/>
      <c r="CK41" s="175"/>
      <c r="CL41" s="175"/>
      <c r="CM41" s="175"/>
      <c r="CN41" s="175"/>
      <c r="CO41" s="175"/>
      <c r="CX41" s="166">
        <v>34299</v>
      </c>
      <c r="CY41" s="113">
        <f t="shared" si="11"/>
        <v>1.1352809119799412</v>
      </c>
      <c r="CZ41" s="166">
        <v>90198</v>
      </c>
      <c r="DA41" s="113">
        <f t="shared" si="12"/>
        <v>0.43170580278941884</v>
      </c>
      <c r="DB41" s="166">
        <v>68080.399999999994</v>
      </c>
      <c r="DC41" s="113">
        <f t="shared" si="14"/>
        <v>0.57195609896534105</v>
      </c>
      <c r="DD41" s="166">
        <v>34148</v>
      </c>
      <c r="DE41" s="113">
        <f t="shared" si="15"/>
        <v>1.1403010425207918</v>
      </c>
      <c r="DF41" s="166">
        <v>201698</v>
      </c>
      <c r="DG41" s="113">
        <f t="shared" si="17"/>
        <v>0.19305595494253786</v>
      </c>
      <c r="DH41" s="166">
        <v>161594</v>
      </c>
      <c r="DI41" s="115">
        <f t="shared" si="31"/>
        <v>0.24096810525143261</v>
      </c>
    </row>
    <row r="42" spans="1:113" s="166" customFormat="1" ht="24" customHeight="1">
      <c r="A42" s="2082">
        <v>13</v>
      </c>
      <c r="B42" s="3592" t="s">
        <v>136</v>
      </c>
      <c r="C42" s="59">
        <v>0</v>
      </c>
      <c r="D42" s="14"/>
      <c r="E42" s="14"/>
      <c r="F42" s="14"/>
      <c r="G42" s="14"/>
      <c r="H42" s="14">
        <v>6</v>
      </c>
      <c r="I42" s="176"/>
      <c r="J42" s="14"/>
      <c r="K42" s="14">
        <f t="shared" si="99"/>
        <v>6</v>
      </c>
      <c r="L42" s="14">
        <f t="shared" si="90"/>
        <v>6</v>
      </c>
      <c r="M42" s="14"/>
      <c r="N42" s="14">
        <v>0</v>
      </c>
      <c r="O42" s="176"/>
      <c r="P42" s="14"/>
      <c r="Q42" s="14">
        <f t="shared" ref="Q42" si="109">N42-P42</f>
        <v>0</v>
      </c>
      <c r="R42" s="14">
        <f>Q42</f>
        <v>0</v>
      </c>
      <c r="S42" s="14">
        <v>0</v>
      </c>
      <c r="T42" s="2102">
        <f>60-60</f>
        <v>0</v>
      </c>
      <c r="U42" s="188"/>
      <c r="V42" s="59">
        <f t="shared" si="25"/>
        <v>0</v>
      </c>
      <c r="W42" s="59">
        <f t="shared" si="108"/>
        <v>0</v>
      </c>
      <c r="X42" s="59">
        <f>T42</f>
        <v>0</v>
      </c>
      <c r="Y42" s="59">
        <f t="shared" si="37"/>
        <v>0</v>
      </c>
      <c r="Z42" s="59">
        <f t="shared" si="42"/>
        <v>0</v>
      </c>
      <c r="AA42" s="59">
        <f t="shared" si="27"/>
        <v>0</v>
      </c>
      <c r="AB42" s="59">
        <f t="shared" si="28"/>
        <v>0</v>
      </c>
      <c r="AC42" s="59">
        <f t="shared" si="38"/>
        <v>0</v>
      </c>
      <c r="AD42" s="59">
        <f t="shared" si="29"/>
        <v>0</v>
      </c>
      <c r="AE42" s="187">
        <v>0</v>
      </c>
      <c r="AF42" s="188" t="e">
        <f t="shared" si="83"/>
        <v>#DIV/0!</v>
      </c>
      <c r="AG42" s="59"/>
      <c r="AH42" s="59">
        <f t="shared" si="106"/>
        <v>0</v>
      </c>
      <c r="AI42" s="59">
        <v>0</v>
      </c>
      <c r="AJ42" s="59">
        <v>0</v>
      </c>
      <c r="AK42" s="2102">
        <v>0</v>
      </c>
      <c r="AL42" s="188" t="e">
        <f t="shared" si="39"/>
        <v>#DIV/0!</v>
      </c>
      <c r="AM42" s="59"/>
      <c r="AN42" s="59">
        <f>SUM(AO42:AP42)</f>
        <v>0</v>
      </c>
      <c r="AO42" s="59">
        <f>AK42</f>
        <v>0</v>
      </c>
      <c r="AP42" s="59"/>
      <c r="AQ42" s="187">
        <v>0</v>
      </c>
      <c r="AR42" s="188" t="e">
        <f t="shared" ref="AR42:AR44" si="110">AQ42/AK42*100</f>
        <v>#DIV/0!</v>
      </c>
      <c r="AS42" s="59"/>
      <c r="AT42" s="59">
        <f>SUM(AU42:AV42)</f>
        <v>0</v>
      </c>
      <c r="AU42" s="59"/>
      <c r="AV42" s="2086"/>
      <c r="AW42" s="2873">
        <f t="shared" si="9"/>
        <v>0</v>
      </c>
      <c r="AX42" s="175"/>
      <c r="AY42" s="175"/>
      <c r="AZ42" s="175"/>
      <c r="BA42" s="175"/>
      <c r="BB42" s="175"/>
      <c r="BC42" s="175"/>
      <c r="BD42" s="175"/>
      <c r="BE42" s="175"/>
      <c r="BF42" s="175"/>
      <c r="BG42" s="175"/>
      <c r="BH42" s="175"/>
      <c r="BI42" s="175"/>
      <c r="BJ42" s="175"/>
      <c r="BK42" s="175"/>
      <c r="BL42" s="175"/>
      <c r="BM42" s="175"/>
      <c r="BN42" s="175"/>
      <c r="BO42" s="175"/>
      <c r="BP42" s="175"/>
      <c r="BQ42" s="175"/>
      <c r="BR42" s="175"/>
      <c r="BS42" s="175"/>
      <c r="BT42" s="175"/>
      <c r="BU42" s="175"/>
      <c r="BV42" s="175"/>
      <c r="BW42" s="175"/>
      <c r="BX42" s="175"/>
      <c r="BY42" s="175"/>
      <c r="BZ42" s="175"/>
      <c r="CA42" s="175"/>
      <c r="CB42" s="175"/>
      <c r="CC42" s="175"/>
      <c r="CD42" s="175"/>
      <c r="CE42" s="175"/>
      <c r="CF42" s="175"/>
      <c r="CG42" s="175"/>
      <c r="CH42" s="175"/>
      <c r="CI42" s="175"/>
      <c r="CJ42" s="175"/>
      <c r="CK42" s="175"/>
      <c r="CL42" s="175"/>
      <c r="CM42" s="175"/>
      <c r="CN42" s="175"/>
      <c r="CO42" s="175"/>
      <c r="CX42" s="166">
        <v>1348</v>
      </c>
      <c r="CY42" s="113">
        <f t="shared" si="11"/>
        <v>4.4510385756676559E-3</v>
      </c>
      <c r="CZ42" s="166">
        <v>166</v>
      </c>
      <c r="DA42" s="113">
        <f t="shared" si="12"/>
        <v>3.614457831325301E-2</v>
      </c>
      <c r="DB42" s="166">
        <v>7888.4</v>
      </c>
      <c r="DC42" s="113">
        <f t="shared" si="14"/>
        <v>7.6061051670807769E-4</v>
      </c>
      <c r="DD42" s="166">
        <v>63</v>
      </c>
      <c r="DE42" s="113">
        <f t="shared" si="15"/>
        <v>9.5238095238095233E-2</v>
      </c>
      <c r="DF42" s="166">
        <v>84</v>
      </c>
      <c r="DG42" s="113">
        <f t="shared" si="17"/>
        <v>7.1428571428571425E-2</v>
      </c>
      <c r="DH42" s="166">
        <v>75</v>
      </c>
      <c r="DI42" s="115">
        <f t="shared" si="31"/>
        <v>0.08</v>
      </c>
    </row>
    <row r="43" spans="1:113" s="193" customFormat="1" ht="24" customHeight="1">
      <c r="A43" s="2087">
        <v>14</v>
      </c>
      <c r="B43" s="3594" t="s">
        <v>127</v>
      </c>
      <c r="C43" s="59">
        <f>'[23]Phụ lục số 1'!$N$43</f>
        <v>250000</v>
      </c>
      <c r="D43" s="59">
        <f>'[23]Phụ lục số 1'!$P$43</f>
        <v>54000</v>
      </c>
      <c r="E43" s="59">
        <f>C43-D43</f>
        <v>196000</v>
      </c>
      <c r="F43" s="59">
        <f>E43-G43</f>
        <v>66500</v>
      </c>
      <c r="G43" s="59">
        <f>'[23]Phụ lục số 5'!$C$30</f>
        <v>129500</v>
      </c>
      <c r="H43" s="59">
        <v>179673</v>
      </c>
      <c r="I43" s="188">
        <f t="shared" si="101"/>
        <v>71.869200000000006</v>
      </c>
      <c r="J43" s="59">
        <f>H43*24%-122</f>
        <v>42999.519999999997</v>
      </c>
      <c r="K43" s="59">
        <f t="shared" si="99"/>
        <v>136673.48000000001</v>
      </c>
      <c r="L43" s="59">
        <f t="shared" si="90"/>
        <v>31673.775000000023</v>
      </c>
      <c r="M43" s="59">
        <f>H43*58.5%-109</f>
        <v>104999.70499999999</v>
      </c>
      <c r="N43" s="59">
        <v>110320</v>
      </c>
      <c r="O43" s="188">
        <f t="shared" si="97"/>
        <v>44.128</v>
      </c>
      <c r="P43" s="59">
        <f>N43*26%-83</f>
        <v>28600.2</v>
      </c>
      <c r="Q43" s="59">
        <f t="shared" si="100"/>
        <v>81719.8</v>
      </c>
      <c r="R43" s="59">
        <f>Q43-S43</f>
        <v>26719.800000000003</v>
      </c>
      <c r="S43" s="59">
        <f>N43*50%-160</f>
        <v>55000</v>
      </c>
      <c r="T43" s="2102">
        <f>300000+10000+40000</f>
        <v>350000</v>
      </c>
      <c r="U43" s="188">
        <f>T43/C43*100</f>
        <v>140</v>
      </c>
      <c r="V43" s="59">
        <f>D43*U43/100</f>
        <v>75600</v>
      </c>
      <c r="W43" s="59">
        <f t="shared" si="108"/>
        <v>274400</v>
      </c>
      <c r="X43" s="59">
        <f>T43-V43-Y43</f>
        <v>93400</v>
      </c>
      <c r="Y43" s="59">
        <f>(G43*U43/100)-300</f>
        <v>181000</v>
      </c>
      <c r="Z43" s="59">
        <f t="shared" si="42"/>
        <v>100000</v>
      </c>
      <c r="AA43" s="59">
        <f t="shared" si="27"/>
        <v>21600</v>
      </c>
      <c r="AB43" s="59">
        <f t="shared" si="28"/>
        <v>78400</v>
      </c>
      <c r="AC43" s="59">
        <f t="shared" si="38"/>
        <v>26900</v>
      </c>
      <c r="AD43" s="59">
        <f t="shared" si="29"/>
        <v>51500</v>
      </c>
      <c r="AE43" s="187">
        <v>326000</v>
      </c>
      <c r="AF43" s="188">
        <f>AE43/T43*100</f>
        <v>93.142857142857139</v>
      </c>
      <c r="AG43" s="2801">
        <f>AF43*V43/100-2346</f>
        <v>68070</v>
      </c>
      <c r="AH43" s="59">
        <f t="shared" si="106"/>
        <v>257930</v>
      </c>
      <c r="AI43" s="59">
        <f>AE43-AG43-AJ43</f>
        <v>112430</v>
      </c>
      <c r="AJ43" s="59">
        <f>'Phụ lục số 5'!E34</f>
        <v>145500</v>
      </c>
      <c r="AK43" s="2102">
        <f>350000+20000</f>
        <v>370000</v>
      </c>
      <c r="AL43" s="188">
        <f t="shared" si="39"/>
        <v>113.49693251533743</v>
      </c>
      <c r="AM43" s="59">
        <f>AL43*AG43/100-57</f>
        <v>77200.361963190197</v>
      </c>
      <c r="AN43" s="59">
        <f>SUM(AO43:AP43)</f>
        <v>292799.6380368098</v>
      </c>
      <c r="AO43" s="59">
        <f>AK43-AM43-AP43</f>
        <v>127699.60122699384</v>
      </c>
      <c r="AP43" s="59">
        <f>AJ43*AL43/100-38</f>
        <v>165100.03680981597</v>
      </c>
      <c r="AQ43" s="187">
        <f>376000+24000</f>
        <v>400000</v>
      </c>
      <c r="AR43" s="188">
        <f t="shared" si="110"/>
        <v>108.10810810810811</v>
      </c>
      <c r="AS43" s="59">
        <f>AR43*AM43/100+40</f>
        <v>83499.850771016427</v>
      </c>
      <c r="AT43" s="59">
        <f>SUM(AU43:AV43)</f>
        <v>316500.14922898356</v>
      </c>
      <c r="AU43" s="59">
        <f>AQ43-AS43-AV43</f>
        <v>138000.12294810143</v>
      </c>
      <c r="AV43" s="2086">
        <f>AP43*AR43/100+13.5</f>
        <v>178500.02628088213</v>
      </c>
      <c r="AW43" s="2873">
        <f t="shared" si="9"/>
        <v>3.5182387222102311E-2</v>
      </c>
      <c r="AX43" s="192"/>
      <c r="AY43" s="192"/>
      <c r="AZ43" s="192"/>
      <c r="BA43" s="192"/>
      <c r="BB43" s="192"/>
      <c r="BC43" s="192"/>
      <c r="BD43" s="192"/>
      <c r="BE43" s="192"/>
      <c r="BF43" s="192"/>
      <c r="BG43" s="192"/>
      <c r="BH43" s="192"/>
      <c r="BI43" s="192"/>
      <c r="BJ43" s="192"/>
      <c r="BK43" s="192"/>
      <c r="BL43" s="192"/>
      <c r="BM43" s="192"/>
      <c r="BN43" s="192"/>
      <c r="BO43" s="192"/>
      <c r="BP43" s="192"/>
      <c r="BQ43" s="192"/>
      <c r="BR43" s="192"/>
      <c r="BS43" s="192"/>
      <c r="BT43" s="192"/>
      <c r="BU43" s="192"/>
      <c r="BV43" s="192"/>
      <c r="BW43" s="192"/>
      <c r="BX43" s="192"/>
      <c r="BY43" s="192"/>
      <c r="BZ43" s="192"/>
      <c r="CA43" s="192"/>
      <c r="CB43" s="192"/>
      <c r="CC43" s="192"/>
      <c r="CD43" s="192"/>
      <c r="CE43" s="192"/>
      <c r="CF43" s="192"/>
      <c r="CG43" s="192"/>
      <c r="CH43" s="192"/>
      <c r="CI43" s="192"/>
      <c r="CJ43" s="192"/>
      <c r="CK43" s="192"/>
      <c r="CL43" s="192"/>
      <c r="CM43" s="192"/>
      <c r="CN43" s="192"/>
      <c r="CO43" s="192"/>
      <c r="CX43" s="193">
        <v>88484</v>
      </c>
      <c r="CY43" s="113">
        <f t="shared" si="11"/>
        <v>2.0305704986212199</v>
      </c>
      <c r="CZ43" s="193">
        <v>124878</v>
      </c>
      <c r="DA43" s="113">
        <f t="shared" si="12"/>
        <v>1.438788257339163</v>
      </c>
      <c r="DB43" s="193">
        <v>180315</v>
      </c>
      <c r="DC43" s="113">
        <f t="shared" si="14"/>
        <v>0.99643956409616508</v>
      </c>
      <c r="DD43" s="193">
        <v>144081</v>
      </c>
      <c r="DE43" s="113">
        <f t="shared" si="15"/>
        <v>1.2470277135777792</v>
      </c>
      <c r="DF43" s="193">
        <v>172977</v>
      </c>
      <c r="DG43" s="113">
        <f t="shared" si="17"/>
        <v>1.0387103487746925</v>
      </c>
      <c r="DH43" s="193">
        <v>147071</v>
      </c>
      <c r="DI43" s="115">
        <f t="shared" si="31"/>
        <v>1.22167524528969</v>
      </c>
    </row>
    <row r="44" spans="1:113" s="166" customFormat="1" ht="24" customHeight="1">
      <c r="A44" s="2082">
        <v>15</v>
      </c>
      <c r="B44" s="3592" t="s">
        <v>128</v>
      </c>
      <c r="C44" s="59">
        <f>'[23]Phụ lục số 1'!$N$44</f>
        <v>22000</v>
      </c>
      <c r="D44" s="14"/>
      <c r="E44" s="14">
        <f t="shared" ref="E44:E46" si="111">C44-D44</f>
        <v>22000</v>
      </c>
      <c r="F44" s="14">
        <f t="shared" ref="F44:F45" si="112">C44</f>
        <v>22000</v>
      </c>
      <c r="G44" s="14">
        <v>0</v>
      </c>
      <c r="H44" s="14">
        <v>8226</v>
      </c>
      <c r="I44" s="176">
        <f t="shared" si="101"/>
        <v>37.390909090909091</v>
      </c>
      <c r="J44" s="14">
        <f>0</f>
        <v>0</v>
      </c>
      <c r="K44" s="14">
        <f t="shared" ref="K44:K45" si="113">H44-J44</f>
        <v>8226</v>
      </c>
      <c r="L44" s="14">
        <f t="shared" ref="L44:L45" si="114">K44-M44</f>
        <v>8226</v>
      </c>
      <c r="M44" s="14">
        <v>0</v>
      </c>
      <c r="N44" s="14">
        <v>13769.9</v>
      </c>
      <c r="O44" s="176">
        <f t="shared" si="97"/>
        <v>62.590454545454541</v>
      </c>
      <c r="P44" s="195"/>
      <c r="Q44" s="14">
        <f t="shared" si="100"/>
        <v>13769.9</v>
      </c>
      <c r="R44" s="14">
        <f t="shared" ref="R44" si="115">Q44-S44</f>
        <v>13769.9</v>
      </c>
      <c r="S44" s="14">
        <v>0</v>
      </c>
      <c r="T44" s="2102">
        <f>27000+10000</f>
        <v>37000</v>
      </c>
      <c r="U44" s="188">
        <f t="shared" si="19"/>
        <v>168.18181818181819</v>
      </c>
      <c r="V44" s="59">
        <f t="shared" si="25"/>
        <v>0</v>
      </c>
      <c r="W44" s="59">
        <f t="shared" si="108"/>
        <v>37000</v>
      </c>
      <c r="X44" s="59">
        <f>T44</f>
        <v>37000</v>
      </c>
      <c r="Y44" s="59">
        <f t="shared" si="37"/>
        <v>0</v>
      </c>
      <c r="Z44" s="59">
        <f t="shared" si="42"/>
        <v>15000</v>
      </c>
      <c r="AA44" s="59">
        <f t="shared" si="27"/>
        <v>0</v>
      </c>
      <c r="AB44" s="59">
        <f t="shared" si="28"/>
        <v>15000</v>
      </c>
      <c r="AC44" s="59">
        <f t="shared" si="38"/>
        <v>15000</v>
      </c>
      <c r="AD44" s="59">
        <f t="shared" si="29"/>
        <v>0</v>
      </c>
      <c r="AE44" s="187">
        <v>30000</v>
      </c>
      <c r="AF44" s="188">
        <f t="shared" si="83"/>
        <v>81.081081081081081</v>
      </c>
      <c r="AG44" s="59"/>
      <c r="AH44" s="59">
        <f t="shared" ref="AH44:AH46" si="116">SUM(AI44:AJ44)</f>
        <v>30000</v>
      </c>
      <c r="AI44" s="59">
        <f>AE44</f>
        <v>30000</v>
      </c>
      <c r="AJ44" s="59"/>
      <c r="AK44" s="2102">
        <f>33000-6000</f>
        <v>27000</v>
      </c>
      <c r="AL44" s="188">
        <f t="shared" si="39"/>
        <v>90</v>
      </c>
      <c r="AM44" s="59"/>
      <c r="AN44" s="59">
        <f t="shared" ref="AN44" si="117">SUM(AO44:AP44)</f>
        <v>27000</v>
      </c>
      <c r="AO44" s="59">
        <f>AK44</f>
        <v>27000</v>
      </c>
      <c r="AP44" s="59"/>
      <c r="AQ44" s="187">
        <f>35000-7000</f>
        <v>28000</v>
      </c>
      <c r="AR44" s="188">
        <f t="shared" si="110"/>
        <v>103.7037037037037</v>
      </c>
      <c r="AS44" s="59"/>
      <c r="AT44" s="59">
        <f t="shared" ref="AT44:AT46" si="118">SUM(AU44:AV44)</f>
        <v>28000</v>
      </c>
      <c r="AU44" s="59">
        <f>AQ44</f>
        <v>28000</v>
      </c>
      <c r="AV44" s="2086"/>
      <c r="AW44" s="2873">
        <f t="shared" si="9"/>
        <v>3.2376429958989855E-3</v>
      </c>
      <c r="AX44" s="175"/>
      <c r="AY44" s="175"/>
      <c r="AZ44" s="175"/>
      <c r="BA44" s="175"/>
      <c r="BB44" s="175"/>
      <c r="BC44" s="175"/>
      <c r="BD44" s="175"/>
      <c r="BE44" s="175"/>
      <c r="BF44" s="175"/>
      <c r="BG44" s="175"/>
      <c r="BH44" s="175"/>
      <c r="BI44" s="175"/>
      <c r="BJ44" s="175"/>
      <c r="BK44" s="175"/>
      <c r="BL44" s="175"/>
      <c r="BM44" s="175"/>
      <c r="BN44" s="175"/>
      <c r="BO44" s="175"/>
      <c r="BP44" s="175"/>
      <c r="BQ44" s="175"/>
      <c r="BR44" s="175"/>
      <c r="BS44" s="175"/>
      <c r="BT44" s="175"/>
      <c r="BU44" s="175"/>
      <c r="BV44" s="175"/>
      <c r="BW44" s="175"/>
      <c r="BX44" s="175"/>
      <c r="BY44" s="175"/>
      <c r="BZ44" s="175"/>
      <c r="CA44" s="175"/>
      <c r="CB44" s="175"/>
      <c r="CC44" s="175"/>
      <c r="CD44" s="175"/>
      <c r="CE44" s="175"/>
      <c r="CF44" s="175"/>
      <c r="CG44" s="175"/>
      <c r="CH44" s="175"/>
      <c r="CI44" s="175"/>
      <c r="CJ44" s="175"/>
      <c r="CK44" s="175"/>
      <c r="CL44" s="175"/>
      <c r="CM44" s="175"/>
      <c r="CN44" s="175"/>
      <c r="CO44" s="175"/>
      <c r="CY44" s="113" t="e">
        <f t="shared" si="11"/>
        <v>#DIV/0!</v>
      </c>
      <c r="CZ44" s="166">
        <v>7127</v>
      </c>
      <c r="DA44" s="113">
        <f t="shared" si="12"/>
        <v>1.154202329170759</v>
      </c>
      <c r="DB44" s="166">
        <v>10878</v>
      </c>
      <c r="DC44" s="113">
        <f t="shared" si="14"/>
        <v>0.75620518477661336</v>
      </c>
      <c r="DD44" s="166">
        <v>5370</v>
      </c>
      <c r="DE44" s="113">
        <f t="shared" si="15"/>
        <v>1.5318435754189945</v>
      </c>
      <c r="DF44" s="166">
        <v>3851</v>
      </c>
      <c r="DG44" s="113">
        <f t="shared" si="17"/>
        <v>2.1360685536224358</v>
      </c>
      <c r="DH44" s="166">
        <v>10910</v>
      </c>
      <c r="DI44" s="115">
        <f t="shared" si="31"/>
        <v>0.75398716773602203</v>
      </c>
    </row>
    <row r="45" spans="1:113" s="166" customFormat="1" ht="24" customHeight="1">
      <c r="A45" s="2082">
        <v>16</v>
      </c>
      <c r="B45" s="3592" t="s">
        <v>129</v>
      </c>
      <c r="C45" s="59">
        <f>'[23]Phụ lục số 1'!$N$45</f>
        <v>50000</v>
      </c>
      <c r="D45" s="14"/>
      <c r="E45" s="14">
        <f t="shared" si="111"/>
        <v>50000</v>
      </c>
      <c r="F45" s="14">
        <f t="shared" si="112"/>
        <v>50000</v>
      </c>
      <c r="G45" s="14">
        <v>0</v>
      </c>
      <c r="H45" s="14">
        <v>0</v>
      </c>
      <c r="I45" s="176">
        <f t="shared" si="101"/>
        <v>0</v>
      </c>
      <c r="J45" s="14">
        <f>0</f>
        <v>0</v>
      </c>
      <c r="K45" s="14">
        <f t="shared" si="113"/>
        <v>0</v>
      </c>
      <c r="L45" s="14">
        <f t="shared" si="114"/>
        <v>0</v>
      </c>
      <c r="M45" s="14">
        <v>0</v>
      </c>
      <c r="N45" s="14">
        <f>C45-H45+44999.9</f>
        <v>94999.9</v>
      </c>
      <c r="O45" s="176">
        <f t="shared" ref="O45:O46" si="119">N45/C45*100</f>
        <v>189.99979999999999</v>
      </c>
      <c r="P45" s="14">
        <f>0</f>
        <v>0</v>
      </c>
      <c r="Q45" s="14">
        <f t="shared" ref="Q45" si="120">N45-P45</f>
        <v>94999.9</v>
      </c>
      <c r="R45" s="14">
        <f t="shared" ref="R45" si="121">Q45-S45</f>
        <v>94999.9</v>
      </c>
      <c r="S45" s="14">
        <v>0</v>
      </c>
      <c r="T45" s="2102">
        <f>54000-19000+65000</f>
        <v>100000</v>
      </c>
      <c r="U45" s="188">
        <f t="shared" si="19"/>
        <v>200</v>
      </c>
      <c r="V45" s="59">
        <f t="shared" si="25"/>
        <v>0</v>
      </c>
      <c r="W45" s="59">
        <f>SUM(X45:Y45)</f>
        <v>100000</v>
      </c>
      <c r="X45" s="59">
        <f>T45</f>
        <v>100000</v>
      </c>
      <c r="Y45" s="59">
        <f t="shared" si="37"/>
        <v>0</v>
      </c>
      <c r="Z45" s="59">
        <f t="shared" si="42"/>
        <v>50000</v>
      </c>
      <c r="AA45" s="59">
        <f t="shared" si="27"/>
        <v>0</v>
      </c>
      <c r="AB45" s="59">
        <f t="shared" si="28"/>
        <v>50000</v>
      </c>
      <c r="AC45" s="59">
        <f t="shared" si="38"/>
        <v>50000</v>
      </c>
      <c r="AD45" s="59">
        <f t="shared" si="29"/>
        <v>0</v>
      </c>
      <c r="AE45" s="3365">
        <f>37000+AE46</f>
        <v>37000</v>
      </c>
      <c r="AF45" s="2899">
        <f t="shared" si="83"/>
        <v>37</v>
      </c>
      <c r="AG45" s="59"/>
      <c r="AH45" s="59">
        <f t="shared" si="116"/>
        <v>37000</v>
      </c>
      <c r="AI45" s="59">
        <f>AE45</f>
        <v>37000</v>
      </c>
      <c r="AJ45" s="59"/>
      <c r="AK45" s="3215">
        <f>64000+AK46+50000</f>
        <v>114000</v>
      </c>
      <c r="AL45" s="188">
        <f t="shared" si="39"/>
        <v>308.10810810810813</v>
      </c>
      <c r="AM45" s="59"/>
      <c r="AN45" s="59">
        <f>SUM(AO45:AP45)</f>
        <v>114000</v>
      </c>
      <c r="AO45" s="59">
        <f>AK45+AO46</f>
        <v>114000</v>
      </c>
      <c r="AP45" s="59"/>
      <c r="AQ45" s="187">
        <f>70000+AQ46+50000</f>
        <v>120000</v>
      </c>
      <c r="AR45" s="188">
        <f>AQ45/AK45*100</f>
        <v>105.26315789473684</v>
      </c>
      <c r="AS45" s="59"/>
      <c r="AT45" s="59">
        <f>SUM(AU45:AV45)</f>
        <v>120000</v>
      </c>
      <c r="AU45" s="59">
        <f>AQ45</f>
        <v>120000</v>
      </c>
      <c r="AV45" s="2086"/>
      <c r="AW45" s="2873">
        <f t="shared" si="9"/>
        <v>3.9930930282754155E-3</v>
      </c>
      <c r="AX45" s="175"/>
      <c r="AY45" s="175"/>
      <c r="AZ45" s="175"/>
      <c r="BA45" s="175"/>
      <c r="BB45" s="175"/>
      <c r="BC45" s="175"/>
      <c r="BD45" s="175"/>
      <c r="BE45" s="175"/>
      <c r="BF45" s="175"/>
      <c r="BG45" s="175"/>
      <c r="BH45" s="175"/>
      <c r="BI45" s="175"/>
      <c r="BJ45" s="175"/>
      <c r="BK45" s="175"/>
      <c r="BL45" s="175"/>
      <c r="BM45" s="175"/>
      <c r="BN45" s="175"/>
      <c r="BO45" s="175"/>
      <c r="BP45" s="175"/>
      <c r="BQ45" s="175"/>
      <c r="BR45" s="175"/>
      <c r="BS45" s="175"/>
      <c r="BT45" s="175"/>
      <c r="BU45" s="175"/>
      <c r="BV45" s="175"/>
      <c r="BW45" s="175"/>
      <c r="BX45" s="175"/>
      <c r="BY45" s="175"/>
      <c r="BZ45" s="175"/>
      <c r="CA45" s="175"/>
      <c r="CB45" s="175"/>
      <c r="CC45" s="175"/>
      <c r="CD45" s="175"/>
      <c r="CE45" s="175"/>
      <c r="CF45" s="175"/>
      <c r="CG45" s="175"/>
      <c r="CH45" s="175"/>
      <c r="CI45" s="175"/>
      <c r="CJ45" s="175"/>
      <c r="CK45" s="175"/>
      <c r="CL45" s="175"/>
      <c r="CM45" s="175"/>
      <c r="CN45" s="175"/>
      <c r="CO45" s="175"/>
      <c r="CY45" s="113" t="e">
        <f t="shared" si="11"/>
        <v>#DIV/0!</v>
      </c>
      <c r="CZ45" s="166">
        <v>0</v>
      </c>
      <c r="DA45" s="113" t="e">
        <f t="shared" si="12"/>
        <v>#DIV/0!</v>
      </c>
      <c r="DB45" s="166">
        <v>97677</v>
      </c>
      <c r="DC45" s="113">
        <f t="shared" si="14"/>
        <v>0</v>
      </c>
      <c r="DD45" s="166">
        <v>0</v>
      </c>
      <c r="DE45" s="113" t="e">
        <f t="shared" si="15"/>
        <v>#DIV/0!</v>
      </c>
      <c r="DF45" s="166">
        <v>47617.5</v>
      </c>
      <c r="DG45" s="113">
        <f t="shared" si="17"/>
        <v>0</v>
      </c>
      <c r="DH45" s="166">
        <v>40142</v>
      </c>
      <c r="DI45" s="115">
        <f t="shared" si="31"/>
        <v>0</v>
      </c>
    </row>
    <row r="46" spans="1:113" s="1924" customFormat="1" ht="24" hidden="1" customHeight="1">
      <c r="A46" s="2623" t="s">
        <v>137</v>
      </c>
      <c r="B46" s="3595" t="s">
        <v>138</v>
      </c>
      <c r="C46" s="184">
        <v>0</v>
      </c>
      <c r="D46" s="184"/>
      <c r="E46" s="184">
        <f t="shared" si="111"/>
        <v>0</v>
      </c>
      <c r="F46" s="184">
        <f t="shared" ref="F46" si="122">C46</f>
        <v>0</v>
      </c>
      <c r="G46" s="184">
        <v>0</v>
      </c>
      <c r="H46" s="184"/>
      <c r="I46" s="1920" t="e">
        <f t="shared" si="101"/>
        <v>#DIV/0!</v>
      </c>
      <c r="J46" s="184"/>
      <c r="K46" s="184">
        <f t="shared" ref="K46" si="123">H46-J46</f>
        <v>0</v>
      </c>
      <c r="L46" s="184">
        <f t="shared" ref="L46" si="124">K46-M46</f>
        <v>0</v>
      </c>
      <c r="M46" s="184">
        <v>0</v>
      </c>
      <c r="N46" s="184">
        <f>C46-H46</f>
        <v>0</v>
      </c>
      <c r="O46" s="1920" t="e">
        <f t="shared" si="119"/>
        <v>#DIV/0!</v>
      </c>
      <c r="P46" s="184"/>
      <c r="Q46" s="184">
        <f t="shared" ref="Q46" si="125">N46-P46</f>
        <v>0</v>
      </c>
      <c r="R46" s="184">
        <f t="shared" ref="R46" si="126">Q46-S46</f>
        <v>0</v>
      </c>
      <c r="S46" s="184">
        <v>0</v>
      </c>
      <c r="T46" s="3216">
        <f t="shared" ref="T46" si="127">N46+H46</f>
        <v>0</v>
      </c>
      <c r="U46" s="1920" t="e">
        <f t="shared" ref="U46" si="128">T46/C46*100</f>
        <v>#DIV/0!</v>
      </c>
      <c r="V46" s="184">
        <f t="shared" ref="V46" si="129">P46+J46</f>
        <v>0</v>
      </c>
      <c r="W46" s="184">
        <f>SUM(X46:Y46)</f>
        <v>0</v>
      </c>
      <c r="X46" s="184">
        <f t="shared" ref="X46" si="130">R46+L46</f>
        <v>0</v>
      </c>
      <c r="Y46" s="184"/>
      <c r="Z46" s="184"/>
      <c r="AA46" s="184"/>
      <c r="AB46" s="184"/>
      <c r="AC46" s="184"/>
      <c r="AD46" s="184"/>
      <c r="AE46" s="196">
        <f>(408054162000+91945838000)/1000000-(408054162000+91945838000)/1000000</f>
        <v>0</v>
      </c>
      <c r="AF46" s="197"/>
      <c r="AG46" s="184"/>
      <c r="AH46" s="184">
        <f t="shared" si="116"/>
        <v>0</v>
      </c>
      <c r="AI46" s="184">
        <f>AE46</f>
        <v>0</v>
      </c>
      <c r="AJ46" s="184"/>
      <c r="AK46" s="3216"/>
      <c r="AL46" s="197" t="e">
        <f t="shared" si="39"/>
        <v>#DIV/0!</v>
      </c>
      <c r="AM46" s="184"/>
      <c r="AN46" s="1919">
        <f>SUM(AO46:AP46)</f>
        <v>0</v>
      </c>
      <c r="AO46" s="184">
        <f>AK46</f>
        <v>0</v>
      </c>
      <c r="AP46" s="184"/>
      <c r="AQ46" s="196"/>
      <c r="AR46" s="1920"/>
      <c r="AS46" s="184">
        <f t="shared" ref="AS46:AT55" si="131">AM46+AG46</f>
        <v>0</v>
      </c>
      <c r="AT46" s="1919">
        <f t="shared" si="118"/>
        <v>0</v>
      </c>
      <c r="AU46" s="184">
        <f>AQ46</f>
        <v>0</v>
      </c>
      <c r="AV46" s="2088"/>
      <c r="AW46" s="2873">
        <f t="shared" si="9"/>
        <v>0</v>
      </c>
      <c r="AX46" s="1923"/>
      <c r="AY46" s="1923"/>
      <c r="AZ46" s="1923"/>
      <c r="BA46" s="1923"/>
      <c r="BB46" s="1923"/>
      <c r="BC46" s="1923"/>
      <c r="BD46" s="1923"/>
      <c r="BE46" s="1923"/>
      <c r="BF46" s="1923"/>
      <c r="BG46" s="1923"/>
      <c r="BH46" s="1923"/>
      <c r="BI46" s="1923"/>
      <c r="BJ46" s="1923"/>
      <c r="BK46" s="1923"/>
      <c r="BL46" s="1923"/>
      <c r="BM46" s="1923"/>
      <c r="BN46" s="1923"/>
      <c r="BO46" s="1923"/>
      <c r="BP46" s="1923"/>
      <c r="BQ46" s="1923"/>
      <c r="BR46" s="1923"/>
      <c r="BS46" s="1923"/>
      <c r="BT46" s="1923"/>
      <c r="BU46" s="1923"/>
      <c r="BV46" s="1923"/>
      <c r="BW46" s="1923"/>
      <c r="BX46" s="1923"/>
      <c r="BY46" s="1923"/>
      <c r="BZ46" s="1923"/>
      <c r="CA46" s="1923"/>
      <c r="CB46" s="1923"/>
      <c r="CC46" s="1923"/>
      <c r="CD46" s="1923"/>
      <c r="CE46" s="1923"/>
      <c r="CF46" s="1923"/>
      <c r="CG46" s="1923"/>
      <c r="CH46" s="1923"/>
      <c r="CI46" s="1923"/>
      <c r="CJ46" s="1923"/>
      <c r="CK46" s="1923"/>
      <c r="CL46" s="1923"/>
      <c r="CM46" s="1923"/>
      <c r="CN46" s="1923"/>
      <c r="CO46" s="1923"/>
      <c r="CY46" s="1925" t="e">
        <f t="shared" si="11"/>
        <v>#DIV/0!</v>
      </c>
      <c r="DA46" s="1925" t="e">
        <f t="shared" si="12"/>
        <v>#DIV/0!</v>
      </c>
      <c r="DC46" s="1925" t="e">
        <f t="shared" si="14"/>
        <v>#DIV/0!</v>
      </c>
      <c r="DE46" s="1925" t="e">
        <f t="shared" si="15"/>
        <v>#DIV/0!</v>
      </c>
      <c r="DG46" s="1925" t="e">
        <f t="shared" si="17"/>
        <v>#DIV/0!</v>
      </c>
      <c r="DI46" s="1926" t="e">
        <f t="shared" si="31"/>
        <v>#DIV/0!</v>
      </c>
    </row>
    <row r="47" spans="1:113" s="166" customFormat="1" ht="24" customHeight="1">
      <c r="A47" s="2082">
        <v>17</v>
      </c>
      <c r="B47" s="3592" t="s">
        <v>19</v>
      </c>
      <c r="C47" s="59">
        <f>'[23]Phụ lục số 1'!$N$47</f>
        <v>3000</v>
      </c>
      <c r="D47" s="14">
        <v>0</v>
      </c>
      <c r="E47" s="14">
        <f>F47+G47</f>
        <v>3000</v>
      </c>
      <c r="F47" s="14">
        <v>0</v>
      </c>
      <c r="G47" s="14">
        <f>C47</f>
        <v>3000</v>
      </c>
      <c r="H47" s="14">
        <v>1845</v>
      </c>
      <c r="I47" s="176">
        <f t="shared" si="101"/>
        <v>61.5</v>
      </c>
      <c r="J47" s="14">
        <f>0</f>
        <v>0</v>
      </c>
      <c r="K47" s="14">
        <f t="shared" si="99"/>
        <v>1845</v>
      </c>
      <c r="L47" s="14">
        <f>K47-M47</f>
        <v>0</v>
      </c>
      <c r="M47" s="14">
        <f>H47</f>
        <v>1845</v>
      </c>
      <c r="N47" s="14">
        <v>1160</v>
      </c>
      <c r="O47" s="176">
        <f t="shared" si="97"/>
        <v>38.666666666666664</v>
      </c>
      <c r="P47" s="14">
        <f>0</f>
        <v>0</v>
      </c>
      <c r="Q47" s="14">
        <f t="shared" si="100"/>
        <v>1160</v>
      </c>
      <c r="R47" s="14">
        <f t="shared" si="91"/>
        <v>0</v>
      </c>
      <c r="S47" s="14">
        <f>N47</f>
        <v>1160</v>
      </c>
      <c r="T47" s="2102">
        <f>2600-599.9</f>
        <v>2000.1</v>
      </c>
      <c r="U47" s="188">
        <f t="shared" si="19"/>
        <v>66.67</v>
      </c>
      <c r="V47" s="59">
        <f t="shared" si="25"/>
        <v>0</v>
      </c>
      <c r="W47" s="59">
        <f>SUM(X47:Y47)</f>
        <v>2000.1</v>
      </c>
      <c r="X47" s="59">
        <f t="shared" si="51"/>
        <v>0</v>
      </c>
      <c r="Y47" s="59">
        <f>T47</f>
        <v>2000.1</v>
      </c>
      <c r="Z47" s="59">
        <f t="shared" si="42"/>
        <v>-999.90000000000009</v>
      </c>
      <c r="AA47" s="59">
        <f t="shared" si="27"/>
        <v>0</v>
      </c>
      <c r="AB47" s="59">
        <f t="shared" ref="AB47:AC49" si="132">W47-E47</f>
        <v>-999.90000000000009</v>
      </c>
      <c r="AC47" s="59">
        <f t="shared" si="132"/>
        <v>0</v>
      </c>
      <c r="AD47" s="59">
        <f t="shared" si="29"/>
        <v>-999.90000000000009</v>
      </c>
      <c r="AE47" s="187">
        <f>'Phụ lục số 5'!C35</f>
        <v>2000</v>
      </c>
      <c r="AF47" s="188">
        <f>AE47/T47*100</f>
        <v>99.995000249987513</v>
      </c>
      <c r="AG47" s="59"/>
      <c r="AH47" s="59">
        <f>SUM(AI47:AJ47)</f>
        <v>2000</v>
      </c>
      <c r="AI47" s="59"/>
      <c r="AJ47" s="59">
        <f>AE47</f>
        <v>2000</v>
      </c>
      <c r="AK47" s="2102">
        <v>3000</v>
      </c>
      <c r="AL47" s="188">
        <f t="shared" si="39"/>
        <v>150</v>
      </c>
      <c r="AM47" s="59"/>
      <c r="AN47" s="59">
        <f>SUM(AO47:AP47)</f>
        <v>3000</v>
      </c>
      <c r="AO47" s="59"/>
      <c r="AP47" s="59">
        <f>AK47</f>
        <v>3000</v>
      </c>
      <c r="AQ47" s="187">
        <f>INT(3000)</f>
        <v>3000</v>
      </c>
      <c r="AR47" s="188">
        <f>AQ47/AK47*100</f>
        <v>100</v>
      </c>
      <c r="AS47" s="59"/>
      <c r="AT47" s="59">
        <f>SUM(AU47:AV47)</f>
        <v>2999.9</v>
      </c>
      <c r="AU47" s="59"/>
      <c r="AV47" s="2086">
        <f>AQ47-0.1</f>
        <v>2999.9</v>
      </c>
      <c r="AW47" s="2873">
        <f t="shared" si="9"/>
        <v>2.1584286639326569E-4</v>
      </c>
      <c r="AX47" s="175"/>
      <c r="AY47" s="175"/>
      <c r="AZ47" s="175"/>
      <c r="BA47" s="175"/>
      <c r="BB47" s="175"/>
      <c r="BC47" s="175"/>
      <c r="BD47" s="175"/>
      <c r="BE47" s="175"/>
      <c r="BF47" s="175"/>
      <c r="BG47" s="175"/>
      <c r="BH47" s="175"/>
      <c r="BI47" s="175"/>
      <c r="BJ47" s="175"/>
      <c r="BK47" s="175"/>
      <c r="BL47" s="175"/>
      <c r="BM47" s="175"/>
      <c r="BN47" s="175"/>
      <c r="BO47" s="175"/>
      <c r="BP47" s="175"/>
      <c r="BQ47" s="175"/>
      <c r="BR47" s="175"/>
      <c r="BS47" s="175"/>
      <c r="BT47" s="175"/>
      <c r="BU47" s="175"/>
      <c r="BV47" s="175"/>
      <c r="BW47" s="175"/>
      <c r="BX47" s="175"/>
      <c r="BY47" s="175"/>
      <c r="BZ47" s="175"/>
      <c r="CA47" s="175"/>
      <c r="CB47" s="175"/>
      <c r="CC47" s="175"/>
      <c r="CD47" s="175"/>
      <c r="CE47" s="175"/>
      <c r="CF47" s="175"/>
      <c r="CG47" s="175"/>
      <c r="CH47" s="175"/>
      <c r="CI47" s="175"/>
      <c r="CJ47" s="175"/>
      <c r="CK47" s="175"/>
      <c r="CL47" s="175"/>
      <c r="CM47" s="175"/>
      <c r="CN47" s="175"/>
      <c r="CO47" s="175"/>
      <c r="CX47" s="166">
        <v>8813.4</v>
      </c>
      <c r="CY47" s="113">
        <f t="shared" si="11"/>
        <v>0.20934032269044864</v>
      </c>
      <c r="CZ47" s="166">
        <v>1018</v>
      </c>
      <c r="DA47" s="113">
        <f t="shared" si="12"/>
        <v>1.81237721021611</v>
      </c>
      <c r="DB47" s="166">
        <v>1266</v>
      </c>
      <c r="DC47" s="113">
        <f t="shared" si="14"/>
        <v>1.4573459715639809</v>
      </c>
      <c r="DD47" s="166">
        <v>516</v>
      </c>
      <c r="DE47" s="113">
        <f t="shared" si="15"/>
        <v>3.5755813953488373</v>
      </c>
      <c r="DF47" s="166">
        <v>1664.5</v>
      </c>
      <c r="DG47" s="113">
        <f t="shared" si="17"/>
        <v>1.1084409732652447</v>
      </c>
      <c r="DH47" s="166">
        <v>1463</v>
      </c>
      <c r="DI47" s="115">
        <f t="shared" si="31"/>
        <v>1.2611073137388926</v>
      </c>
    </row>
    <row r="48" spans="1:113" s="191" customFormat="1" ht="24" customHeight="1">
      <c r="A48" s="2082">
        <v>18</v>
      </c>
      <c r="B48" s="3592" t="s">
        <v>101</v>
      </c>
      <c r="C48" s="59">
        <f>'[23]Phụ lục số 1'!$N$48</f>
        <v>1600000</v>
      </c>
      <c r="D48" s="14">
        <v>0</v>
      </c>
      <c r="E48" s="14">
        <f>C48-D48</f>
        <v>1600000</v>
      </c>
      <c r="F48" s="14">
        <f>C48</f>
        <v>1600000</v>
      </c>
      <c r="G48" s="14">
        <v>0</v>
      </c>
      <c r="H48" s="14">
        <v>939476</v>
      </c>
      <c r="I48" s="176">
        <f t="shared" si="101"/>
        <v>58.71725</v>
      </c>
      <c r="J48" s="14">
        <v>0</v>
      </c>
      <c r="K48" s="14">
        <f t="shared" si="99"/>
        <v>939476</v>
      </c>
      <c r="L48" s="14">
        <f>H48</f>
        <v>939476</v>
      </c>
      <c r="M48" s="14">
        <v>0</v>
      </c>
      <c r="N48" s="14">
        <v>960524</v>
      </c>
      <c r="O48" s="176"/>
      <c r="P48" s="14">
        <v>0</v>
      </c>
      <c r="Q48" s="14">
        <f t="shared" si="100"/>
        <v>960524</v>
      </c>
      <c r="R48" s="14">
        <f>N48</f>
        <v>960524</v>
      </c>
      <c r="S48" s="14">
        <v>0</v>
      </c>
      <c r="T48" s="2102">
        <f>1850000+100000</f>
        <v>1950000</v>
      </c>
      <c r="U48" s="188">
        <f t="shared" si="19"/>
        <v>121.875</v>
      </c>
      <c r="V48" s="59">
        <f t="shared" si="25"/>
        <v>0</v>
      </c>
      <c r="W48" s="59">
        <f>SUM(X48:Y48)</f>
        <v>1950000</v>
      </c>
      <c r="X48" s="59">
        <f>T48</f>
        <v>1950000</v>
      </c>
      <c r="Y48" s="59">
        <f t="shared" si="37"/>
        <v>0</v>
      </c>
      <c r="Z48" s="59">
        <f t="shared" si="42"/>
        <v>350000</v>
      </c>
      <c r="AA48" s="59">
        <f t="shared" si="27"/>
        <v>0</v>
      </c>
      <c r="AB48" s="59">
        <f>W48-E48</f>
        <v>350000</v>
      </c>
      <c r="AC48" s="59">
        <f t="shared" si="132"/>
        <v>350000</v>
      </c>
      <c r="AD48" s="59">
        <f t="shared" si="29"/>
        <v>0</v>
      </c>
      <c r="AE48" s="187">
        <f>1850000+100000</f>
        <v>1950000</v>
      </c>
      <c r="AF48" s="188">
        <f>AE48/T48*100</f>
        <v>100</v>
      </c>
      <c r="AG48" s="59"/>
      <c r="AH48" s="59">
        <f>SUM(AI48:AJ48)</f>
        <v>1950000</v>
      </c>
      <c r="AI48" s="59">
        <f>AE48</f>
        <v>1950000</v>
      </c>
      <c r="AJ48" s="59">
        <v>0</v>
      </c>
      <c r="AK48" s="187">
        <f>1950000+372000</f>
        <v>2322000</v>
      </c>
      <c r="AL48" s="188">
        <f t="shared" si="39"/>
        <v>119.07692307692308</v>
      </c>
      <c r="AM48" s="59"/>
      <c r="AN48" s="59">
        <f>SUM(AO48:AP48)</f>
        <v>2322000</v>
      </c>
      <c r="AO48" s="59">
        <f>AK48</f>
        <v>2322000</v>
      </c>
      <c r="AP48" s="59"/>
      <c r="AQ48" s="187">
        <f>2200000+300000</f>
        <v>2500000</v>
      </c>
      <c r="AR48" s="188">
        <f>AQ48/AK48*100</f>
        <v>107.66580534022394</v>
      </c>
      <c r="AS48" s="59"/>
      <c r="AT48" s="59">
        <f>SUM(AU48:AV48)</f>
        <v>2500000</v>
      </c>
      <c r="AU48" s="59">
        <f>AQ48</f>
        <v>2500000</v>
      </c>
      <c r="AV48" s="2086"/>
      <c r="AW48" s="2874">
        <f>AE48/$AE$8</f>
        <v>0.21044679473343406</v>
      </c>
      <c r="AX48" s="175"/>
      <c r="AY48" s="175"/>
      <c r="AZ48" s="175"/>
      <c r="BA48" s="175"/>
      <c r="BB48" s="175"/>
      <c r="BC48" s="175"/>
      <c r="BD48" s="175"/>
      <c r="BE48" s="175"/>
      <c r="BF48" s="175"/>
      <c r="BG48" s="175"/>
      <c r="BH48" s="175"/>
      <c r="BI48" s="175"/>
      <c r="BJ48" s="175"/>
      <c r="BK48" s="175"/>
      <c r="BL48" s="175"/>
      <c r="BM48" s="175"/>
      <c r="BN48" s="175"/>
      <c r="BO48" s="175"/>
      <c r="BP48" s="175"/>
      <c r="BQ48" s="175"/>
      <c r="BR48" s="175"/>
      <c r="BS48" s="175"/>
      <c r="BT48" s="175"/>
      <c r="BU48" s="175"/>
      <c r="BV48" s="175"/>
      <c r="BW48" s="175"/>
      <c r="BX48" s="175"/>
      <c r="BY48" s="175"/>
      <c r="BZ48" s="175"/>
      <c r="CA48" s="175"/>
      <c r="CB48" s="175"/>
      <c r="CC48" s="175"/>
      <c r="CD48" s="175"/>
      <c r="CE48" s="175"/>
      <c r="CF48" s="175"/>
      <c r="CG48" s="175"/>
      <c r="CH48" s="175"/>
      <c r="CI48" s="175"/>
      <c r="CJ48" s="175"/>
      <c r="CK48" s="175"/>
      <c r="CL48" s="175"/>
      <c r="CM48" s="175"/>
      <c r="CN48" s="175"/>
      <c r="CO48" s="175"/>
      <c r="CX48" s="191">
        <v>909961.4</v>
      </c>
      <c r="CY48" s="113">
        <f t="shared" si="11"/>
        <v>1.0324350021880049</v>
      </c>
      <c r="CZ48" s="191">
        <v>866646</v>
      </c>
      <c r="DA48" s="113">
        <f t="shared" si="12"/>
        <v>1.0840366193347688</v>
      </c>
      <c r="DB48" s="191">
        <v>853672</v>
      </c>
      <c r="DC48" s="113">
        <f t="shared" si="14"/>
        <v>1.1005116719302026</v>
      </c>
      <c r="DD48" s="191">
        <v>1149354</v>
      </c>
      <c r="DE48" s="113">
        <f t="shared" si="15"/>
        <v>0.81739481482641552</v>
      </c>
      <c r="DF48" s="191">
        <v>904184.5</v>
      </c>
      <c r="DG48" s="113">
        <f t="shared" si="17"/>
        <v>1.0390313038987065</v>
      </c>
      <c r="DH48" s="191">
        <v>828764.9</v>
      </c>
      <c r="DI48" s="115">
        <f t="shared" si="31"/>
        <v>1.1335856525777093</v>
      </c>
    </row>
    <row r="49" spans="1:113" s="112" customFormat="1" ht="24" customHeight="1">
      <c r="A49" s="2080" t="s">
        <v>20</v>
      </c>
      <c r="B49" s="3590" t="s">
        <v>107</v>
      </c>
      <c r="C49" s="77">
        <f>SUM(C50:C51)</f>
        <v>150000</v>
      </c>
      <c r="D49" s="18">
        <f t="shared" ref="D49:H49" si="133">SUM(D50:D51)</f>
        <v>150000</v>
      </c>
      <c r="E49" s="18">
        <f t="shared" si="133"/>
        <v>0</v>
      </c>
      <c r="F49" s="18">
        <f t="shared" si="133"/>
        <v>0</v>
      </c>
      <c r="G49" s="18">
        <f t="shared" si="133"/>
        <v>0</v>
      </c>
      <c r="H49" s="18">
        <f t="shared" si="133"/>
        <v>108000</v>
      </c>
      <c r="I49" s="176">
        <f t="shared" si="101"/>
        <v>72</v>
      </c>
      <c r="J49" s="18">
        <f t="shared" ref="J49" si="134">SUM(J50:J51)</f>
        <v>108000</v>
      </c>
      <c r="K49" s="18">
        <f t="shared" ref="K49" si="135">SUM(K50:K51)</f>
        <v>0</v>
      </c>
      <c r="L49" s="18">
        <f t="shared" ref="L49" si="136">SUM(L50:L51)</f>
        <v>0</v>
      </c>
      <c r="M49" s="18">
        <f t="shared" ref="M49" si="137">SUM(M50:M51)</f>
        <v>0</v>
      </c>
      <c r="N49" s="18">
        <f t="shared" ref="N49" si="138">SUM(N50:N51)</f>
        <v>42000</v>
      </c>
      <c r="O49" s="176">
        <f t="shared" si="97"/>
        <v>28.000000000000004</v>
      </c>
      <c r="P49" s="18">
        <f t="shared" ref="P49" si="139">SUM(P50:P51)</f>
        <v>42000</v>
      </c>
      <c r="Q49" s="18">
        <f t="shared" ref="Q49" si="140">SUM(Q50:Q51)</f>
        <v>0</v>
      </c>
      <c r="R49" s="18">
        <f t="shared" ref="R49" si="141">SUM(R50:R51)</f>
        <v>0</v>
      </c>
      <c r="S49" s="18">
        <f t="shared" ref="S49" si="142">SUM(S50:S51)</f>
        <v>0</v>
      </c>
      <c r="T49" s="3225">
        <v>150745.51999999999</v>
      </c>
      <c r="U49" s="188">
        <f t="shared" si="19"/>
        <v>100.49701333333331</v>
      </c>
      <c r="V49" s="77">
        <v>150745.51999999999</v>
      </c>
      <c r="W49" s="77">
        <f>SUM(X49:Y49)</f>
        <v>0</v>
      </c>
      <c r="X49" s="77">
        <f t="shared" si="51"/>
        <v>0</v>
      </c>
      <c r="Y49" s="77">
        <f t="shared" si="37"/>
        <v>0</v>
      </c>
      <c r="Z49" s="77">
        <f t="shared" si="42"/>
        <v>745.51999999998952</v>
      </c>
      <c r="AA49" s="77">
        <f>V49-D49</f>
        <v>745.51999999998952</v>
      </c>
      <c r="AB49" s="77">
        <f t="shared" si="132"/>
        <v>0</v>
      </c>
      <c r="AC49" s="77">
        <f t="shared" si="132"/>
        <v>0</v>
      </c>
      <c r="AD49" s="77">
        <f t="shared" si="29"/>
        <v>0</v>
      </c>
      <c r="AE49" s="79">
        <f>157000+43000</f>
        <v>200000</v>
      </c>
      <c r="AF49" s="188">
        <f>AE49/T49*100</f>
        <v>132.67392623011284</v>
      </c>
      <c r="AG49" s="77">
        <f>AE49</f>
        <v>200000</v>
      </c>
      <c r="AH49" s="77">
        <f>SUM(AI49:AJ49)</f>
        <v>0</v>
      </c>
      <c r="AI49" s="77"/>
      <c r="AJ49" s="77"/>
      <c r="AK49" s="79">
        <f>163500-1000</f>
        <v>162500</v>
      </c>
      <c r="AL49" s="188">
        <f t="shared" si="39"/>
        <v>81.25</v>
      </c>
      <c r="AM49" s="77">
        <f>AK49</f>
        <v>162500</v>
      </c>
      <c r="AN49" s="77">
        <f>SUM(AO49:AP49)</f>
        <v>0</v>
      </c>
      <c r="AO49" s="77"/>
      <c r="AP49" s="77"/>
      <c r="AQ49" s="79">
        <f>170040-1040</f>
        <v>169000</v>
      </c>
      <c r="AR49" s="188">
        <f>AQ49/AK49*100</f>
        <v>104</v>
      </c>
      <c r="AS49" s="77">
        <f>AQ49</f>
        <v>169000</v>
      </c>
      <c r="AT49" s="77"/>
      <c r="AU49" s="77"/>
      <c r="AV49" s="2081"/>
      <c r="AW49" s="2873">
        <f t="shared" si="9"/>
        <v>2.1584286639326572E-2</v>
      </c>
      <c r="AX49" s="108"/>
      <c r="AY49" s="108"/>
      <c r="AZ49" s="108"/>
      <c r="BA49" s="108"/>
      <c r="BB49" s="108"/>
      <c r="BC49" s="108"/>
      <c r="BD49" s="108"/>
      <c r="BE49" s="108"/>
      <c r="BF49" s="108"/>
      <c r="BG49" s="108"/>
      <c r="BH49" s="108"/>
      <c r="BI49" s="108"/>
      <c r="BJ49" s="108"/>
      <c r="BK49" s="108"/>
      <c r="BL49" s="108"/>
      <c r="BM49" s="108"/>
      <c r="BN49" s="108"/>
      <c r="BO49" s="108"/>
      <c r="BP49" s="108"/>
      <c r="BQ49" s="108"/>
      <c r="BR49" s="108"/>
      <c r="BS49" s="108"/>
      <c r="BT49" s="108"/>
      <c r="BU49" s="108"/>
      <c r="BV49" s="108"/>
      <c r="BW49" s="108"/>
      <c r="BX49" s="108"/>
      <c r="BY49" s="108"/>
      <c r="BZ49" s="108"/>
      <c r="CA49" s="108"/>
      <c r="CB49" s="108"/>
      <c r="CC49" s="108"/>
      <c r="CD49" s="108"/>
      <c r="CE49" s="108"/>
      <c r="CF49" s="108"/>
      <c r="CG49" s="108"/>
      <c r="CH49" s="108"/>
      <c r="CI49" s="108"/>
      <c r="CJ49" s="108"/>
      <c r="CK49" s="108"/>
      <c r="CL49" s="108"/>
      <c r="CM49" s="108"/>
      <c r="CN49" s="108"/>
      <c r="CO49" s="108"/>
      <c r="CP49" s="112">
        <v>54936</v>
      </c>
      <c r="CQ49" s="113">
        <f>H49/CP49</f>
        <v>1.9659239842726082</v>
      </c>
      <c r="CR49" s="113">
        <f>1-CQ49</f>
        <v>-0.96592398427260817</v>
      </c>
      <c r="CX49" s="112">
        <v>25639</v>
      </c>
      <c r="CY49" s="113">
        <f t="shared" si="11"/>
        <v>4.2123327742891687</v>
      </c>
      <c r="CZ49" s="112">
        <v>37899</v>
      </c>
      <c r="DA49" s="113">
        <f t="shared" si="12"/>
        <v>2.8496794110662549</v>
      </c>
      <c r="DB49" s="112">
        <v>37217</v>
      </c>
      <c r="DC49" s="113">
        <f t="shared" si="14"/>
        <v>2.901899669505871</v>
      </c>
      <c r="DD49" s="112">
        <v>54936</v>
      </c>
      <c r="DE49" s="113">
        <f t="shared" si="15"/>
        <v>1.9659239842726082</v>
      </c>
      <c r="DF49" s="112">
        <v>89689.5</v>
      </c>
      <c r="DG49" s="113">
        <f t="shared" si="17"/>
        <v>1.2041543324469419</v>
      </c>
      <c r="DH49" s="112">
        <v>220385.5</v>
      </c>
      <c r="DI49" s="115">
        <f t="shared" si="31"/>
        <v>0.49005038897749625</v>
      </c>
    </row>
    <row r="50" spans="1:113" s="166" customFormat="1" hidden="1">
      <c r="A50" s="2082"/>
      <c r="B50" s="3593" t="s">
        <v>120</v>
      </c>
      <c r="C50" s="30">
        <f>'[23]Phụ lục số 1'!$N$50</f>
        <v>39500</v>
      </c>
      <c r="D50" s="13">
        <f>C50</f>
        <v>39500</v>
      </c>
      <c r="E50" s="13">
        <f>C50-D50</f>
        <v>0</v>
      </c>
      <c r="F50" s="13">
        <v>0</v>
      </c>
      <c r="G50" s="13">
        <v>0</v>
      </c>
      <c r="H50" s="52">
        <f>C50*72%</f>
        <v>28440</v>
      </c>
      <c r="I50" s="198"/>
      <c r="J50" s="52">
        <f>H50</f>
        <v>28440</v>
      </c>
      <c r="K50" s="13">
        <f>L50+M50</f>
        <v>0</v>
      </c>
      <c r="L50" s="13"/>
      <c r="M50" s="13"/>
      <c r="N50" s="52">
        <f>C50-H50</f>
        <v>11060</v>
      </c>
      <c r="O50" s="102"/>
      <c r="P50" s="13">
        <f>N50</f>
        <v>11060</v>
      </c>
      <c r="Q50" s="13">
        <f>R50+S50</f>
        <v>0</v>
      </c>
      <c r="R50" s="13"/>
      <c r="S50" s="13"/>
      <c r="T50" s="2103">
        <f t="shared" si="49"/>
        <v>39500</v>
      </c>
      <c r="U50" s="180">
        <f t="shared" si="19"/>
        <v>100</v>
      </c>
      <c r="V50" s="30">
        <f t="shared" si="25"/>
        <v>39500</v>
      </c>
      <c r="W50" s="30">
        <f t="shared" si="50"/>
        <v>0</v>
      </c>
      <c r="X50" s="30">
        <f t="shared" si="51"/>
        <v>0</v>
      </c>
      <c r="Y50" s="30">
        <f t="shared" si="37"/>
        <v>0</v>
      </c>
      <c r="Z50" s="30">
        <f t="shared" si="42"/>
        <v>0</v>
      </c>
      <c r="AA50" s="30">
        <f t="shared" si="27"/>
        <v>0</v>
      </c>
      <c r="AB50" s="30">
        <f t="shared" ref="AB50:AB61" si="143">W50-E50</f>
        <v>0</v>
      </c>
      <c r="AC50" s="30">
        <f t="shared" ref="AC50:AC51" si="144">X50-F50</f>
        <v>0</v>
      </c>
      <c r="AD50" s="30">
        <f t="shared" si="29"/>
        <v>0</v>
      </c>
      <c r="AE50" s="80">
        <f>1000+35000+(10000)</f>
        <v>46000</v>
      </c>
      <c r="AF50" s="180">
        <f t="shared" ref="AF50:AF51" si="145">AE50/N50*100</f>
        <v>415.91320072332729</v>
      </c>
      <c r="AG50" s="30">
        <f t="shared" ref="AG50:AG58" si="146">AA50+U50</f>
        <v>100</v>
      </c>
      <c r="AH50" s="30"/>
      <c r="AI50" s="30">
        <f t="shared" ref="AI50:AI51" si="147">AC50+W50</f>
        <v>0</v>
      </c>
      <c r="AJ50" s="30">
        <f t="shared" ref="AJ50:AJ51" si="148">AD50+X50</f>
        <v>0</v>
      </c>
      <c r="AK50" s="80">
        <f t="shared" si="48"/>
        <v>46000</v>
      </c>
      <c r="AL50" s="188">
        <f t="shared" si="39"/>
        <v>100</v>
      </c>
      <c r="AM50" s="30">
        <f t="shared" ref="AM50:AN51" si="149">AG50+AA50</f>
        <v>100</v>
      </c>
      <c r="AN50" s="30">
        <f t="shared" si="149"/>
        <v>0</v>
      </c>
      <c r="AO50" s="30">
        <f t="shared" ref="AO50:AO51" si="150">AI50+AC50</f>
        <v>0</v>
      </c>
      <c r="AP50" s="30">
        <f t="shared" ref="AP50:AP51" si="151">AJ50+AD50</f>
        <v>0</v>
      </c>
      <c r="AQ50" s="80">
        <f t="shared" ref="AQ50:AQ51" si="152">AK50+AE50</f>
        <v>92000</v>
      </c>
      <c r="AR50" s="180" t="e">
        <f t="shared" ref="AR50:AR51" si="153">AQ50/Z50*100</f>
        <v>#DIV/0!</v>
      </c>
      <c r="AS50" s="30">
        <f t="shared" si="131"/>
        <v>200</v>
      </c>
      <c r="AT50" s="30">
        <f t="shared" si="131"/>
        <v>0</v>
      </c>
      <c r="AU50" s="30">
        <f t="shared" ref="AU50:AU51" si="154">AO50+AI50</f>
        <v>0</v>
      </c>
      <c r="AV50" s="2085">
        <f t="shared" ref="AV50:AV55" si="155">AP50+AJ50</f>
        <v>0</v>
      </c>
      <c r="AW50" s="2873">
        <f t="shared" si="9"/>
        <v>4.9643859270451108E-3</v>
      </c>
      <c r="AX50" s="73"/>
      <c r="AY50" s="73"/>
      <c r="AZ50" s="73"/>
      <c r="BA50" s="73"/>
      <c r="BB50" s="73"/>
      <c r="BC50" s="73"/>
      <c r="BD50" s="73"/>
      <c r="BE50" s="73"/>
      <c r="BF50" s="73"/>
      <c r="BG50" s="73"/>
      <c r="BH50" s="73"/>
      <c r="BI50" s="73"/>
      <c r="BJ50" s="73"/>
      <c r="BK50" s="73"/>
      <c r="BL50" s="73"/>
      <c r="BM50" s="73"/>
      <c r="BN50" s="73"/>
      <c r="BO50" s="73"/>
      <c r="BP50" s="73"/>
      <c r="BQ50" s="73"/>
      <c r="BR50" s="73"/>
      <c r="BS50" s="73"/>
      <c r="BT50" s="73"/>
      <c r="BU50" s="73"/>
      <c r="BV50" s="73"/>
      <c r="BW50" s="73"/>
      <c r="BX50" s="73"/>
      <c r="BY50" s="73"/>
      <c r="BZ50" s="73"/>
      <c r="CA50" s="73"/>
      <c r="CB50" s="73"/>
      <c r="CC50" s="73"/>
      <c r="CD50" s="73"/>
      <c r="CE50" s="73"/>
      <c r="CF50" s="73"/>
      <c r="CG50" s="73"/>
      <c r="CH50" s="73"/>
      <c r="CI50" s="73"/>
      <c r="CJ50" s="73"/>
      <c r="CK50" s="73"/>
      <c r="CL50" s="73"/>
      <c r="CM50" s="73"/>
      <c r="CN50" s="73"/>
      <c r="CO50" s="73"/>
      <c r="CY50" s="113" t="e">
        <f t="shared" si="11"/>
        <v>#DIV/0!</v>
      </c>
      <c r="DG50" s="112" t="e">
        <f t="shared" si="17"/>
        <v>#DIV/0!</v>
      </c>
    </row>
    <row r="51" spans="1:113" s="166" customFormat="1" hidden="1">
      <c r="A51" s="2082"/>
      <c r="B51" s="3593" t="s">
        <v>21</v>
      </c>
      <c r="C51" s="30">
        <f>'[23]Phụ lục số 1'!$N$51</f>
        <v>110500</v>
      </c>
      <c r="D51" s="13">
        <f>C51</f>
        <v>110500</v>
      </c>
      <c r="E51" s="13">
        <f>C51-D51</f>
        <v>0</v>
      </c>
      <c r="F51" s="13">
        <v>0</v>
      </c>
      <c r="G51" s="13">
        <v>0</v>
      </c>
      <c r="H51" s="52">
        <f>C51*72%</f>
        <v>79560</v>
      </c>
      <c r="I51" s="198"/>
      <c r="J51" s="52">
        <f>H51</f>
        <v>79560</v>
      </c>
      <c r="K51" s="13">
        <f>L51+M51</f>
        <v>0</v>
      </c>
      <c r="L51" s="13"/>
      <c r="M51" s="13"/>
      <c r="N51" s="52">
        <f>C51-H51</f>
        <v>30940</v>
      </c>
      <c r="O51" s="102"/>
      <c r="P51" s="13">
        <f>N51</f>
        <v>30940</v>
      </c>
      <c r="Q51" s="13">
        <f>R51+S51</f>
        <v>0</v>
      </c>
      <c r="R51" s="13"/>
      <c r="S51" s="13"/>
      <c r="T51" s="2103">
        <f t="shared" si="49"/>
        <v>110500</v>
      </c>
      <c r="U51" s="180">
        <f t="shared" si="19"/>
        <v>100</v>
      </c>
      <c r="V51" s="30">
        <f t="shared" si="25"/>
        <v>110500</v>
      </c>
      <c r="W51" s="30">
        <f t="shared" si="50"/>
        <v>0</v>
      </c>
      <c r="X51" s="30">
        <f t="shared" si="51"/>
        <v>0</v>
      </c>
      <c r="Y51" s="30">
        <f t="shared" si="37"/>
        <v>0</v>
      </c>
      <c r="Z51" s="30">
        <f t="shared" si="42"/>
        <v>0</v>
      </c>
      <c r="AA51" s="30">
        <f t="shared" si="27"/>
        <v>0</v>
      </c>
      <c r="AB51" s="30">
        <f t="shared" si="143"/>
        <v>0</v>
      </c>
      <c r="AC51" s="30">
        <f t="shared" si="144"/>
        <v>0</v>
      </c>
      <c r="AD51" s="30">
        <f t="shared" si="29"/>
        <v>0</v>
      </c>
      <c r="AE51" s="80">
        <f>121000+(33000)</f>
        <v>154000</v>
      </c>
      <c r="AF51" s="180">
        <f t="shared" si="145"/>
        <v>497.73755656108597</v>
      </c>
      <c r="AG51" s="30">
        <f t="shared" si="146"/>
        <v>100</v>
      </c>
      <c r="AH51" s="30"/>
      <c r="AI51" s="30">
        <f t="shared" si="147"/>
        <v>0</v>
      </c>
      <c r="AJ51" s="30">
        <f t="shared" si="148"/>
        <v>0</v>
      </c>
      <c r="AK51" s="80">
        <f t="shared" si="48"/>
        <v>154000</v>
      </c>
      <c r="AL51" s="188">
        <f t="shared" si="39"/>
        <v>100</v>
      </c>
      <c r="AM51" s="30">
        <f t="shared" si="149"/>
        <v>100</v>
      </c>
      <c r="AN51" s="30">
        <f t="shared" si="149"/>
        <v>0</v>
      </c>
      <c r="AO51" s="30">
        <f t="shared" si="150"/>
        <v>0</v>
      </c>
      <c r="AP51" s="30">
        <f t="shared" si="151"/>
        <v>0</v>
      </c>
      <c r="AQ51" s="80">
        <f t="shared" si="152"/>
        <v>308000</v>
      </c>
      <c r="AR51" s="180" t="e">
        <f t="shared" si="153"/>
        <v>#DIV/0!</v>
      </c>
      <c r="AS51" s="30">
        <f t="shared" si="131"/>
        <v>200</v>
      </c>
      <c r="AT51" s="30">
        <f t="shared" si="131"/>
        <v>0</v>
      </c>
      <c r="AU51" s="30">
        <f t="shared" si="154"/>
        <v>0</v>
      </c>
      <c r="AV51" s="2085">
        <f t="shared" si="155"/>
        <v>0</v>
      </c>
      <c r="AW51" s="2873">
        <f t="shared" si="9"/>
        <v>1.6619900712281459E-2</v>
      </c>
      <c r="AX51" s="73"/>
      <c r="AY51" s="73"/>
      <c r="AZ51" s="73"/>
      <c r="BA51" s="73"/>
      <c r="BB51" s="73"/>
      <c r="BC51" s="73"/>
      <c r="BD51" s="73"/>
      <c r="BE51" s="73"/>
      <c r="BF51" s="73"/>
      <c r="BG51" s="73"/>
      <c r="BH51" s="73"/>
      <c r="BI51" s="73"/>
      <c r="BJ51" s="73"/>
      <c r="BK51" s="73"/>
      <c r="BL51" s="73"/>
      <c r="BM51" s="73"/>
      <c r="BN51" s="73"/>
      <c r="BO51" s="73"/>
      <c r="BP51" s="73"/>
      <c r="BQ51" s="73"/>
      <c r="BR51" s="73"/>
      <c r="BS51" s="73"/>
      <c r="BT51" s="73"/>
      <c r="BU51" s="73"/>
      <c r="BV51" s="73"/>
      <c r="BW51" s="73"/>
      <c r="BX51" s="73"/>
      <c r="BY51" s="73"/>
      <c r="BZ51" s="73"/>
      <c r="CA51" s="73"/>
      <c r="CB51" s="73"/>
      <c r="CC51" s="73"/>
      <c r="CD51" s="73"/>
      <c r="CE51" s="73"/>
      <c r="CF51" s="73"/>
      <c r="CG51" s="73"/>
      <c r="CH51" s="73"/>
      <c r="CI51" s="73"/>
      <c r="CJ51" s="73"/>
      <c r="CK51" s="73"/>
      <c r="CL51" s="73"/>
      <c r="CM51" s="73"/>
      <c r="CN51" s="73"/>
      <c r="CO51" s="73"/>
      <c r="CY51" s="113" t="e">
        <f t="shared" si="11"/>
        <v>#DIV/0!</v>
      </c>
      <c r="DG51" s="112" t="e">
        <f t="shared" si="17"/>
        <v>#DIV/0!</v>
      </c>
    </row>
    <row r="52" spans="1:113" s="112" customFormat="1" ht="24" customHeight="1">
      <c r="A52" s="2080" t="s">
        <v>22</v>
      </c>
      <c r="B52" s="3590" t="s">
        <v>23</v>
      </c>
      <c r="C52" s="77">
        <f>SUM(C53:C55)</f>
        <v>9084495</v>
      </c>
      <c r="D52" s="18">
        <v>0</v>
      </c>
      <c r="E52" s="18">
        <f>SUM(E53:E55)</f>
        <v>9084495</v>
      </c>
      <c r="F52" s="18">
        <f>SUM(F53:F55)</f>
        <v>9084495</v>
      </c>
      <c r="G52" s="18">
        <v>0</v>
      </c>
      <c r="H52" s="18">
        <f>SUM(H53:H55)</f>
        <v>3764632</v>
      </c>
      <c r="I52" s="111">
        <f t="shared" si="101"/>
        <v>41.440190126143499</v>
      </c>
      <c r="J52" s="18">
        <f t="shared" ref="J52:S52" si="156">SUM(J53:J55)</f>
        <v>0</v>
      </c>
      <c r="K52" s="18">
        <f>SUM(K53:K55)</f>
        <v>3764632</v>
      </c>
      <c r="L52" s="18">
        <f t="shared" si="156"/>
        <v>3764632</v>
      </c>
      <c r="M52" s="18">
        <f t="shared" si="156"/>
        <v>0</v>
      </c>
      <c r="N52" s="18">
        <f>SUM(N53:N55)</f>
        <v>5319863</v>
      </c>
      <c r="O52" s="111">
        <f>N52/C52*100</f>
        <v>58.559809873856494</v>
      </c>
      <c r="P52" s="18">
        <f t="shared" si="156"/>
        <v>0</v>
      </c>
      <c r="Q52" s="18">
        <f t="shared" si="156"/>
        <v>5319863</v>
      </c>
      <c r="R52" s="18">
        <f t="shared" si="156"/>
        <v>5319863</v>
      </c>
      <c r="S52" s="18">
        <f t="shared" si="156"/>
        <v>0</v>
      </c>
      <c r="T52" s="3225">
        <f t="shared" si="49"/>
        <v>9084495</v>
      </c>
      <c r="U52" s="179">
        <f t="shared" si="19"/>
        <v>100</v>
      </c>
      <c r="V52" s="77">
        <f t="shared" si="25"/>
        <v>0</v>
      </c>
      <c r="W52" s="77">
        <f>SUM(W53:W55)</f>
        <v>9084495</v>
      </c>
      <c r="X52" s="77">
        <f t="shared" ref="X52:Y52" si="157">SUM(X53:X55)</f>
        <v>9084495</v>
      </c>
      <c r="Y52" s="77">
        <f t="shared" si="157"/>
        <v>0</v>
      </c>
      <c r="Z52" s="77">
        <f t="shared" si="42"/>
        <v>0</v>
      </c>
      <c r="AA52" s="77">
        <f t="shared" si="27"/>
        <v>0</v>
      </c>
      <c r="AB52" s="77">
        <f t="shared" ref="AB52:AC59" si="158">W52-E52</f>
        <v>0</v>
      </c>
      <c r="AC52" s="77">
        <f t="shared" si="158"/>
        <v>0</v>
      </c>
      <c r="AD52" s="77">
        <f t="shared" si="29"/>
        <v>0</v>
      </c>
      <c r="AE52" s="79">
        <f>AE53+AE55</f>
        <v>9256479</v>
      </c>
      <c r="AF52" s="179">
        <f>AE52/T52*100</f>
        <v>101.89315971883963</v>
      </c>
      <c r="AG52" s="79">
        <f>SUM(AG53:AG55)</f>
        <v>0</v>
      </c>
      <c r="AH52" s="79">
        <f>AH53+AH55</f>
        <v>9256479</v>
      </c>
      <c r="AI52" s="79">
        <f>AI53+AI55</f>
        <v>9256479</v>
      </c>
      <c r="AJ52" s="79">
        <f>AJ53+AJ55</f>
        <v>0</v>
      </c>
      <c r="AK52" s="79">
        <f>AK53+AK55</f>
        <v>9646988.3000000007</v>
      </c>
      <c r="AL52" s="188">
        <f t="shared" si="39"/>
        <v>104.21876720078987</v>
      </c>
      <c r="AM52" s="79">
        <f>AM53+AM55</f>
        <v>0</v>
      </c>
      <c r="AN52" s="79">
        <f>AN53+AN55</f>
        <v>9646988.3000000007</v>
      </c>
      <c r="AO52" s="79">
        <f>AO53+AO55</f>
        <v>9646988.3000000007</v>
      </c>
      <c r="AP52" s="79">
        <f>AP53+AP55</f>
        <v>0</v>
      </c>
      <c r="AQ52" s="79">
        <f>AQ53+AQ55</f>
        <v>9646988.3000000007</v>
      </c>
      <c r="AR52" s="188">
        <f t="shared" ref="AR52:AR56" si="159">AQ52/AK52*100</f>
        <v>100</v>
      </c>
      <c r="AS52" s="77">
        <f t="shared" si="131"/>
        <v>0</v>
      </c>
      <c r="AT52" s="79">
        <f>AT53+AT55</f>
        <v>9646988.3000000007</v>
      </c>
      <c r="AU52" s="79">
        <f>AU53+AU55</f>
        <v>9646988.3000000007</v>
      </c>
      <c r="AV52" s="2089">
        <f>AV53+AV55</f>
        <v>0</v>
      </c>
      <c r="AW52" s="2873">
        <f t="shared" si="9"/>
        <v>0.99897248003453487</v>
      </c>
      <c r="AX52" s="108"/>
      <c r="AY52" s="108"/>
      <c r="AZ52" s="108"/>
      <c r="BA52" s="108"/>
      <c r="BB52" s="108"/>
      <c r="BC52" s="108"/>
      <c r="BD52" s="108"/>
      <c r="BE52" s="108"/>
      <c r="BF52" s="108"/>
      <c r="BG52" s="108"/>
      <c r="BH52" s="108"/>
      <c r="BI52" s="108"/>
      <c r="BJ52" s="108"/>
      <c r="BK52" s="108"/>
      <c r="BL52" s="108"/>
      <c r="BM52" s="108"/>
      <c r="BN52" s="108"/>
      <c r="BO52" s="108"/>
      <c r="BP52" s="108"/>
      <c r="BQ52" s="108"/>
      <c r="BR52" s="108"/>
      <c r="BS52" s="108"/>
      <c r="BT52" s="108"/>
      <c r="BU52" s="108"/>
      <c r="BV52" s="108"/>
      <c r="BW52" s="108"/>
      <c r="BX52" s="108"/>
      <c r="BY52" s="108"/>
      <c r="BZ52" s="108"/>
      <c r="CA52" s="108"/>
      <c r="CB52" s="108"/>
      <c r="CC52" s="108"/>
      <c r="CD52" s="108"/>
      <c r="CE52" s="108"/>
      <c r="CF52" s="108"/>
      <c r="CG52" s="108"/>
      <c r="CH52" s="108"/>
      <c r="CI52" s="108"/>
      <c r="CJ52" s="108"/>
      <c r="CK52" s="108"/>
      <c r="CL52" s="108"/>
      <c r="CM52" s="108"/>
      <c r="CN52" s="108"/>
      <c r="CO52" s="108"/>
    </row>
    <row r="53" spans="1:113" s="112" customFormat="1" ht="17.399999999999999">
      <c r="A53" s="2080" t="s">
        <v>9</v>
      </c>
      <c r="B53" s="3590" t="s">
        <v>24</v>
      </c>
      <c r="C53" s="77">
        <f>'[23]Phụ lục số 1'!$N$53</f>
        <v>6487488</v>
      </c>
      <c r="D53" s="18">
        <v>0</v>
      </c>
      <c r="E53" s="18">
        <f>F53+G53</f>
        <v>6487488</v>
      </c>
      <c r="F53" s="18">
        <f>C53</f>
        <v>6487488</v>
      </c>
      <c r="G53" s="18">
        <v>0</v>
      </c>
      <c r="H53" s="18">
        <f>C53*50%+415502</f>
        <v>3659246</v>
      </c>
      <c r="I53" s="111">
        <f t="shared" si="101"/>
        <v>56.404666952755832</v>
      </c>
      <c r="J53" s="18"/>
      <c r="K53" s="18">
        <f>H53</f>
        <v>3659246</v>
      </c>
      <c r="L53" s="18">
        <f>K53</f>
        <v>3659246</v>
      </c>
      <c r="M53" s="18"/>
      <c r="N53" s="18">
        <f>C53-H53</f>
        <v>2828242</v>
      </c>
      <c r="O53" s="111">
        <f>N53/C53*100</f>
        <v>43.595333047244175</v>
      </c>
      <c r="P53" s="18"/>
      <c r="Q53" s="18">
        <f>N53</f>
        <v>2828242</v>
      </c>
      <c r="R53" s="18">
        <f>Q53</f>
        <v>2828242</v>
      </c>
      <c r="S53" s="18"/>
      <c r="T53" s="3225">
        <f>N53+H53</f>
        <v>6487488</v>
      </c>
      <c r="U53" s="179">
        <f t="shared" si="19"/>
        <v>100</v>
      </c>
      <c r="V53" s="77">
        <f t="shared" si="25"/>
        <v>0</v>
      </c>
      <c r="W53" s="77">
        <f>SUM(X53:Y53)</f>
        <v>6487488</v>
      </c>
      <c r="X53" s="77">
        <f t="shared" si="51"/>
        <v>6487488</v>
      </c>
      <c r="Y53" s="77">
        <f t="shared" si="37"/>
        <v>0</v>
      </c>
      <c r="Z53" s="77">
        <f t="shared" si="42"/>
        <v>0</v>
      </c>
      <c r="AA53" s="77">
        <f t="shared" si="27"/>
        <v>0</v>
      </c>
      <c r="AB53" s="77">
        <f t="shared" si="158"/>
        <v>0</v>
      </c>
      <c r="AC53" s="77">
        <f t="shared" si="158"/>
        <v>0</v>
      </c>
      <c r="AD53" s="77">
        <f t="shared" si="29"/>
        <v>0</v>
      </c>
      <c r="AE53" s="79">
        <f>6487488+AE54</f>
        <v>6617188</v>
      </c>
      <c r="AF53" s="179">
        <f>AE53/T53*100</f>
        <v>101.99923298509377</v>
      </c>
      <c r="AG53" s="79"/>
      <c r="AH53" s="79">
        <f>SUM(AI53:AJ53)</f>
        <v>6617188</v>
      </c>
      <c r="AI53" s="79">
        <f>AE53</f>
        <v>6617188</v>
      </c>
      <c r="AJ53" s="79">
        <f>Y53</f>
        <v>0</v>
      </c>
      <c r="AK53" s="79">
        <f>AE53+Y53</f>
        <v>6617188</v>
      </c>
      <c r="AL53" s="188">
        <f t="shared" si="39"/>
        <v>100</v>
      </c>
      <c r="AM53" s="77"/>
      <c r="AN53" s="79">
        <f>SUM(AO53:AP53)</f>
        <v>6617188</v>
      </c>
      <c r="AO53" s="77">
        <f>AI53+AC53</f>
        <v>6617188</v>
      </c>
      <c r="AP53" s="77">
        <f>AJ53+AD53</f>
        <v>0</v>
      </c>
      <c r="AQ53" s="79">
        <f>AK53</f>
        <v>6617188</v>
      </c>
      <c r="AR53" s="188">
        <f t="shared" si="159"/>
        <v>100</v>
      </c>
      <c r="AS53" s="77"/>
      <c r="AT53" s="79">
        <f>SUM(AU53:AV53)</f>
        <v>6617188</v>
      </c>
      <c r="AU53" s="77">
        <f>AO53</f>
        <v>6617188</v>
      </c>
      <c r="AV53" s="2081"/>
      <c r="AW53" s="2873">
        <f t="shared" si="9"/>
        <v>0.71413641269156058</v>
      </c>
      <c r="AX53" s="108"/>
      <c r="AY53" s="108"/>
      <c r="AZ53" s="108"/>
      <c r="BA53" s="108"/>
      <c r="BB53" s="108"/>
      <c r="BC53" s="108"/>
      <c r="BD53" s="108"/>
      <c r="BE53" s="108"/>
      <c r="BF53" s="108"/>
      <c r="BG53" s="108"/>
      <c r="BH53" s="108"/>
      <c r="BI53" s="108"/>
      <c r="BJ53" s="108"/>
      <c r="BK53" s="108"/>
      <c r="BL53" s="108"/>
      <c r="BM53" s="108"/>
      <c r="BN53" s="108"/>
      <c r="BO53" s="108"/>
      <c r="BP53" s="108"/>
      <c r="BQ53" s="108"/>
      <c r="BR53" s="108"/>
      <c r="BS53" s="108"/>
      <c r="BT53" s="108"/>
      <c r="BU53" s="108"/>
      <c r="BV53" s="108"/>
      <c r="BW53" s="108"/>
      <c r="BX53" s="108"/>
      <c r="BY53" s="108"/>
      <c r="BZ53" s="108"/>
      <c r="CA53" s="108"/>
      <c r="CB53" s="108"/>
      <c r="CC53" s="108"/>
      <c r="CD53" s="108"/>
      <c r="CE53" s="108"/>
      <c r="CF53" s="108"/>
      <c r="CG53" s="108"/>
      <c r="CH53" s="108"/>
      <c r="CI53" s="108"/>
      <c r="CJ53" s="108"/>
      <c r="CK53" s="108"/>
      <c r="CL53" s="108"/>
      <c r="CM53" s="108"/>
      <c r="CN53" s="108"/>
      <c r="CO53" s="108"/>
    </row>
    <row r="54" spans="1:113" s="112" customFormat="1" ht="17.399999999999999" hidden="1">
      <c r="A54" s="2080"/>
      <c r="B54" s="3590" t="s">
        <v>2608</v>
      </c>
      <c r="C54" s="77"/>
      <c r="D54" s="18"/>
      <c r="E54" s="18"/>
      <c r="F54" s="18"/>
      <c r="G54" s="18"/>
      <c r="H54" s="18"/>
      <c r="I54" s="111"/>
      <c r="J54" s="18"/>
      <c r="K54" s="18"/>
      <c r="L54" s="18"/>
      <c r="M54" s="18"/>
      <c r="N54" s="18"/>
      <c r="O54" s="111"/>
      <c r="P54" s="18"/>
      <c r="Q54" s="18"/>
      <c r="R54" s="18"/>
      <c r="S54" s="18"/>
      <c r="T54" s="3225"/>
      <c r="U54" s="179"/>
      <c r="V54" s="77"/>
      <c r="W54" s="77"/>
      <c r="X54" s="77"/>
      <c r="Y54" s="77"/>
      <c r="Z54" s="77"/>
      <c r="AA54" s="77"/>
      <c r="AB54" s="77"/>
      <c r="AC54" s="77"/>
      <c r="AD54" s="77"/>
      <c r="AE54" s="79">
        <f>129700</f>
        <v>129700</v>
      </c>
      <c r="AF54" s="179"/>
      <c r="AG54" s="79"/>
      <c r="AH54" s="79">
        <f>SUM(AI54:AJ54)</f>
        <v>129700</v>
      </c>
      <c r="AI54" s="79">
        <f>AE54</f>
        <v>129700</v>
      </c>
      <c r="AJ54" s="79"/>
      <c r="AK54" s="79"/>
      <c r="AL54" s="188"/>
      <c r="AM54" s="79"/>
      <c r="AN54" s="79"/>
      <c r="AO54" s="79"/>
      <c r="AP54" s="79"/>
      <c r="AQ54" s="79"/>
      <c r="AR54" s="188"/>
      <c r="AS54" s="77"/>
      <c r="AT54" s="79"/>
      <c r="AU54" s="79"/>
      <c r="AV54" s="2081"/>
      <c r="AW54" s="2873"/>
      <c r="AX54" s="108"/>
      <c r="AY54" s="108"/>
      <c r="AZ54" s="108"/>
      <c r="BA54" s="108"/>
      <c r="BB54" s="108"/>
      <c r="BC54" s="108"/>
      <c r="BD54" s="108"/>
      <c r="BE54" s="108"/>
      <c r="BF54" s="108"/>
      <c r="BG54" s="108"/>
      <c r="BH54" s="108"/>
      <c r="BI54" s="108"/>
      <c r="BJ54" s="108"/>
      <c r="BK54" s="108"/>
      <c r="BL54" s="108"/>
      <c r="BM54" s="108"/>
      <c r="BN54" s="108"/>
      <c r="BO54" s="108"/>
      <c r="BP54" s="108"/>
      <c r="BQ54" s="108"/>
      <c r="BR54" s="108"/>
      <c r="BS54" s="108"/>
      <c r="BT54" s="108"/>
      <c r="BU54" s="108"/>
      <c r="BV54" s="108"/>
      <c r="BW54" s="108"/>
      <c r="BX54" s="108"/>
      <c r="BY54" s="108"/>
      <c r="BZ54" s="108"/>
      <c r="CA54" s="108"/>
      <c r="CB54" s="108"/>
      <c r="CC54" s="108"/>
      <c r="CD54" s="108"/>
      <c r="CE54" s="108"/>
      <c r="CF54" s="108"/>
      <c r="CG54" s="108"/>
      <c r="CH54" s="108"/>
      <c r="CI54" s="108"/>
      <c r="CJ54" s="108"/>
      <c r="CK54" s="108"/>
      <c r="CL54" s="108"/>
      <c r="CM54" s="108"/>
      <c r="CN54" s="108"/>
      <c r="CO54" s="108"/>
    </row>
    <row r="55" spans="1:113" s="112" customFormat="1" ht="24" customHeight="1">
      <c r="A55" s="2080" t="s">
        <v>20</v>
      </c>
      <c r="B55" s="3590" t="s">
        <v>25</v>
      </c>
      <c r="C55" s="77">
        <f>SUM(C56:C58)</f>
        <v>2597007</v>
      </c>
      <c r="D55" s="18">
        <v>0</v>
      </c>
      <c r="E55" s="18">
        <f>SUM(E56:E58)</f>
        <v>2597007</v>
      </c>
      <c r="F55" s="18">
        <f>SUM(F56:F58)</f>
        <v>2597007</v>
      </c>
      <c r="G55" s="18">
        <v>0</v>
      </c>
      <c r="H55" s="18">
        <f>SUM(H56:H58)</f>
        <v>105386</v>
      </c>
      <c r="I55" s="111">
        <f t="shared" si="101"/>
        <v>4.0579790504992861</v>
      </c>
      <c r="J55" s="18"/>
      <c r="K55" s="18">
        <f>SUM(K56:K58)</f>
        <v>105386</v>
      </c>
      <c r="L55" s="18">
        <f>SUM(L56:L58)</f>
        <v>105386</v>
      </c>
      <c r="M55" s="18"/>
      <c r="N55" s="18">
        <f>SUM(N56:N58)</f>
        <v>2491621</v>
      </c>
      <c r="O55" s="111"/>
      <c r="P55" s="18"/>
      <c r="Q55" s="18">
        <f>SUM(Q56:Q58)</f>
        <v>2491621</v>
      </c>
      <c r="R55" s="18">
        <f>SUM(R56:R58)</f>
        <v>2491621</v>
      </c>
      <c r="S55" s="18"/>
      <c r="T55" s="3225">
        <f t="shared" si="49"/>
        <v>2597007</v>
      </c>
      <c r="U55" s="179">
        <f t="shared" si="19"/>
        <v>100</v>
      </c>
      <c r="V55" s="77">
        <f t="shared" si="25"/>
        <v>0</v>
      </c>
      <c r="W55" s="77">
        <f>SUM(W56:W58)</f>
        <v>2597007</v>
      </c>
      <c r="X55" s="77">
        <f t="shared" ref="X55:Y55" si="160">SUM(X56:X58)</f>
        <v>2597007</v>
      </c>
      <c r="Y55" s="77">
        <f t="shared" si="160"/>
        <v>0</v>
      </c>
      <c r="Z55" s="77">
        <f t="shared" si="42"/>
        <v>0</v>
      </c>
      <c r="AA55" s="77">
        <f t="shared" si="27"/>
        <v>0</v>
      </c>
      <c r="AB55" s="77">
        <f t="shared" si="158"/>
        <v>0</v>
      </c>
      <c r="AC55" s="77">
        <f t="shared" si="158"/>
        <v>0</v>
      </c>
      <c r="AD55" s="77">
        <f t="shared" si="29"/>
        <v>0</v>
      </c>
      <c r="AE55" s="79">
        <f>SUM(AE56:AE58)</f>
        <v>2639291</v>
      </c>
      <c r="AF55" s="179">
        <f>AE55/T55*100</f>
        <v>101.6281819802565</v>
      </c>
      <c r="AG55" s="79">
        <f>SUM(AG56:AG58)</f>
        <v>0</v>
      </c>
      <c r="AH55" s="79">
        <f>SUM(AH56:AH58)</f>
        <v>2639291</v>
      </c>
      <c r="AI55" s="79">
        <f>SUM(AI56:AI58)</f>
        <v>2639291</v>
      </c>
      <c r="AJ55" s="79">
        <f t="shared" ref="AJ55" si="161">SUM(AJ56:AJ58)</f>
        <v>0</v>
      </c>
      <c r="AK55" s="79">
        <f>SUM(AK56:AK58)</f>
        <v>3029800.3</v>
      </c>
      <c r="AL55" s="188">
        <f t="shared" si="39"/>
        <v>114.79599256012314</v>
      </c>
      <c r="AM55" s="79">
        <f>SUM(AM56:AM58)</f>
        <v>0</v>
      </c>
      <c r="AN55" s="79">
        <f>SUM(AN56:AN58)</f>
        <v>3029800.3</v>
      </c>
      <c r="AO55" s="79">
        <f>SUM(AO56:AO58)</f>
        <v>3029800.3</v>
      </c>
      <c r="AP55" s="79">
        <f>SUM(AP56:AP58)</f>
        <v>0</v>
      </c>
      <c r="AQ55" s="79">
        <f>SUM(AQ56:AQ58)</f>
        <v>3029800.3</v>
      </c>
      <c r="AR55" s="188">
        <f t="shared" si="159"/>
        <v>100</v>
      </c>
      <c r="AS55" s="77">
        <f t="shared" si="131"/>
        <v>0</v>
      </c>
      <c r="AT55" s="79">
        <f>SUM(AT56:AT58)</f>
        <v>3029800.3</v>
      </c>
      <c r="AU55" s="79">
        <f>SUM(AU56:AU58)</f>
        <v>3029800.3</v>
      </c>
      <c r="AV55" s="2081">
        <f t="shared" si="155"/>
        <v>0</v>
      </c>
      <c r="AW55" s="2873">
        <f t="shared" si="9"/>
        <v>0.28483606734297434</v>
      </c>
      <c r="AX55" s="108"/>
      <c r="AY55" s="108"/>
      <c r="AZ55" s="108"/>
      <c r="BA55" s="108"/>
      <c r="BB55" s="108"/>
      <c r="BC55" s="108"/>
      <c r="BD55" s="108"/>
      <c r="BE55" s="108"/>
      <c r="BF55" s="108"/>
      <c r="BG55" s="108"/>
      <c r="BH55" s="108"/>
      <c r="BI55" s="108"/>
      <c r="BJ55" s="108"/>
      <c r="BK55" s="108"/>
      <c r="BL55" s="108"/>
      <c r="BM55" s="108"/>
      <c r="BN55" s="108"/>
      <c r="BO55" s="108"/>
      <c r="BP55" s="108"/>
      <c r="BQ55" s="108"/>
      <c r="BR55" s="108"/>
      <c r="BS55" s="108"/>
      <c r="BT55" s="108"/>
      <c r="BU55" s="108"/>
      <c r="BV55" s="108"/>
      <c r="BW55" s="108"/>
      <c r="BX55" s="108"/>
      <c r="BY55" s="108"/>
      <c r="BZ55" s="108"/>
      <c r="CA55" s="108"/>
      <c r="CB55" s="108"/>
      <c r="CC55" s="108"/>
      <c r="CD55" s="108"/>
      <c r="CE55" s="108"/>
      <c r="CF55" s="108"/>
      <c r="CG55" s="108"/>
      <c r="CH55" s="108"/>
      <c r="CI55" s="108"/>
      <c r="CJ55" s="108"/>
      <c r="CK55" s="108"/>
      <c r="CL55" s="108"/>
      <c r="CM55" s="108"/>
      <c r="CN55" s="108"/>
      <c r="CO55" s="108"/>
    </row>
    <row r="56" spans="1:113" s="166" customFormat="1" ht="36">
      <c r="A56" s="2082">
        <v>1</v>
      </c>
      <c r="B56" s="3593" t="s">
        <v>1798</v>
      </c>
      <c r="C56" s="30">
        <f>'[23]Phụ lục số 1'!$N$55</f>
        <v>2417971</v>
      </c>
      <c r="D56" s="13">
        <v>0</v>
      </c>
      <c r="E56" s="13">
        <f t="shared" ref="E56:E60" si="162">F56+G56</f>
        <v>2417971</v>
      </c>
      <c r="F56" s="13">
        <f>C56</f>
        <v>2417971</v>
      </c>
      <c r="G56" s="13">
        <v>0</v>
      </c>
      <c r="H56" s="13">
        <f>H93</f>
        <v>0</v>
      </c>
      <c r="I56" s="13"/>
      <c r="J56" s="13"/>
      <c r="K56" s="13">
        <f>H56</f>
        <v>0</v>
      </c>
      <c r="L56" s="13">
        <f>H56</f>
        <v>0</v>
      </c>
      <c r="M56" s="13"/>
      <c r="N56" s="13">
        <f>C56-H56</f>
        <v>2417971</v>
      </c>
      <c r="O56" s="102"/>
      <c r="P56" s="13"/>
      <c r="Q56" s="13">
        <f>N56-P56</f>
        <v>2417971</v>
      </c>
      <c r="R56" s="13">
        <f>Q56-S56</f>
        <v>2417971</v>
      </c>
      <c r="S56" s="13"/>
      <c r="T56" s="2103">
        <f>C56</f>
        <v>2417971</v>
      </c>
      <c r="U56" s="180">
        <f t="shared" si="19"/>
        <v>100</v>
      </c>
      <c r="V56" s="30">
        <f t="shared" si="25"/>
        <v>0</v>
      </c>
      <c r="W56" s="30">
        <f>SUM(X56:Y56)</f>
        <v>2417971</v>
      </c>
      <c r="X56" s="30">
        <f>T56</f>
        <v>2417971</v>
      </c>
      <c r="Y56" s="30">
        <f t="shared" si="37"/>
        <v>0</v>
      </c>
      <c r="Z56" s="30">
        <f t="shared" si="42"/>
        <v>0</v>
      </c>
      <c r="AA56" s="30">
        <f t="shared" si="27"/>
        <v>0</v>
      </c>
      <c r="AB56" s="30">
        <f t="shared" si="158"/>
        <v>0</v>
      </c>
      <c r="AC56" s="30">
        <f t="shared" si="158"/>
        <v>0</v>
      </c>
      <c r="AD56" s="30">
        <f t="shared" si="29"/>
        <v>0</v>
      </c>
      <c r="AE56" s="80">
        <f>'Phụ lục số 8'!D7</f>
        <v>1814491</v>
      </c>
      <c r="AF56" s="180">
        <f>AE56/T56*100</f>
        <v>75.041884290589095</v>
      </c>
      <c r="AG56" s="30"/>
      <c r="AH56" s="80">
        <f>SUM(AI56:AJ56)</f>
        <v>1814491</v>
      </c>
      <c r="AI56" s="30">
        <f>AE56</f>
        <v>1814491</v>
      </c>
      <c r="AJ56" s="30"/>
      <c r="AK56" s="80">
        <f>ROUND(AE56*(1+'[1]Chi từ NSTW bổ sung 2010-2025'!$R$13),-3)</f>
        <v>2205000</v>
      </c>
      <c r="AL56" s="180">
        <f t="shared" si="39"/>
        <v>121.52168294028462</v>
      </c>
      <c r="AM56" s="30"/>
      <c r="AN56" s="80">
        <f>SUM(AO56:AP56)</f>
        <v>2205000</v>
      </c>
      <c r="AO56" s="30">
        <f>AK56</f>
        <v>2205000</v>
      </c>
      <c r="AP56" s="30"/>
      <c r="AQ56" s="80">
        <f>AK56</f>
        <v>2205000</v>
      </c>
      <c r="AR56" s="180">
        <f t="shared" si="159"/>
        <v>100</v>
      </c>
      <c r="AS56" s="30"/>
      <c r="AT56" s="80">
        <f>SUM(AU56:AV56)</f>
        <v>2205000</v>
      </c>
      <c r="AU56" s="30">
        <f>AQ56</f>
        <v>2205000</v>
      </c>
      <c r="AV56" s="2085"/>
      <c r="AW56" s="2873">
        <f t="shared" si="9"/>
        <v>0.19582246924239155</v>
      </c>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row>
    <row r="57" spans="1:113" s="165" customFormat="1" ht="36">
      <c r="A57" s="2082">
        <v>2</v>
      </c>
      <c r="B57" s="3593" t="s">
        <v>1294</v>
      </c>
      <c r="C57" s="30">
        <f>'[23]Phụ lục số 1'!$N$56</f>
        <v>179036</v>
      </c>
      <c r="D57" s="13">
        <v>0</v>
      </c>
      <c r="E57" s="13">
        <f t="shared" si="162"/>
        <v>179036</v>
      </c>
      <c r="F57" s="13">
        <f>C57</f>
        <v>179036</v>
      </c>
      <c r="G57" s="13">
        <v>0</v>
      </c>
      <c r="H57" s="13">
        <f>105386</f>
        <v>105386</v>
      </c>
      <c r="I57" s="13"/>
      <c r="J57" s="13"/>
      <c r="K57" s="13">
        <f>H57</f>
        <v>105386</v>
      </c>
      <c r="L57" s="13">
        <f>H57</f>
        <v>105386</v>
      </c>
      <c r="M57" s="13"/>
      <c r="N57" s="13">
        <f>C57-H57</f>
        <v>73650</v>
      </c>
      <c r="O57" s="102"/>
      <c r="P57" s="13"/>
      <c r="Q57" s="13">
        <f>N57-P57</f>
        <v>73650</v>
      </c>
      <c r="R57" s="13">
        <f>Q57-S57</f>
        <v>73650</v>
      </c>
      <c r="S57" s="13"/>
      <c r="T57" s="80">
        <f>C57</f>
        <v>179036</v>
      </c>
      <c r="U57" s="180">
        <f t="shared" si="19"/>
        <v>100</v>
      </c>
      <c r="V57" s="30">
        <f t="shared" si="25"/>
        <v>0</v>
      </c>
      <c r="W57" s="30">
        <f>SUM(X57:Y57)</f>
        <v>179036</v>
      </c>
      <c r="X57" s="30">
        <f>T57</f>
        <v>179036</v>
      </c>
      <c r="Y57" s="30">
        <f t="shared" si="37"/>
        <v>0</v>
      </c>
      <c r="Z57" s="30">
        <f t="shared" si="42"/>
        <v>0</v>
      </c>
      <c r="AA57" s="30">
        <f t="shared" si="27"/>
        <v>0</v>
      </c>
      <c r="AB57" s="30">
        <f t="shared" si="158"/>
        <v>0</v>
      </c>
      <c r="AC57" s="30">
        <f t="shared" si="158"/>
        <v>0</v>
      </c>
      <c r="AD57" s="30">
        <f t="shared" si="29"/>
        <v>0</v>
      </c>
      <c r="AE57" s="80">
        <f>'Phụ lục số 8'!E7</f>
        <v>174485</v>
      </c>
      <c r="AF57" s="180">
        <f>AE57/T57*100</f>
        <v>97.458053128979643</v>
      </c>
      <c r="AG57" s="30"/>
      <c r="AH57" s="80">
        <f>SUM(AI57:AJ57)</f>
        <v>174485</v>
      </c>
      <c r="AI57" s="30">
        <f>AE57</f>
        <v>174485</v>
      </c>
      <c r="AJ57" s="30"/>
      <c r="AK57" s="80">
        <f>AE57+Y57+0.3</f>
        <v>174485.3</v>
      </c>
      <c r="AL57" s="180">
        <f t="shared" si="39"/>
        <v>100.00017193455024</v>
      </c>
      <c r="AM57" s="30"/>
      <c r="AN57" s="80">
        <f>SUM(AO57:AP57)</f>
        <v>174485.3</v>
      </c>
      <c r="AO57" s="30">
        <f>AK57</f>
        <v>174485.3</v>
      </c>
      <c r="AP57" s="30"/>
      <c r="AQ57" s="80">
        <f>AK57</f>
        <v>174485.3</v>
      </c>
      <c r="AR57" s="180">
        <f>AQ57/AK57*100</f>
        <v>100</v>
      </c>
      <c r="AS57" s="30"/>
      <c r="AT57" s="80">
        <f>SUM(AU57:AV57)</f>
        <v>174485.3</v>
      </c>
      <c r="AU57" s="30">
        <f>AQ57</f>
        <v>174485.3</v>
      </c>
      <c r="AV57" s="2085"/>
      <c r="AW57" s="2873">
        <f t="shared" si="9"/>
        <v>1.8830671271314482E-2</v>
      </c>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row>
    <row r="58" spans="1:113" s="165" customFormat="1" ht="36">
      <c r="A58" s="2084">
        <v>3</v>
      </c>
      <c r="B58" s="3593" t="s">
        <v>1787</v>
      </c>
      <c r="C58" s="3855">
        <v>0</v>
      </c>
      <c r="D58" s="13"/>
      <c r="E58" s="13">
        <f t="shared" si="162"/>
        <v>0</v>
      </c>
      <c r="F58" s="13">
        <f>C58</f>
        <v>0</v>
      </c>
      <c r="G58" s="13">
        <v>0</v>
      </c>
      <c r="H58" s="13">
        <f>C58/2</f>
        <v>0</v>
      </c>
      <c r="I58" s="13"/>
      <c r="J58" s="13"/>
      <c r="K58" s="13">
        <f>H58</f>
        <v>0</v>
      </c>
      <c r="L58" s="13">
        <f>H58</f>
        <v>0</v>
      </c>
      <c r="M58" s="13"/>
      <c r="N58" s="13">
        <f>C58-H58</f>
        <v>0</v>
      </c>
      <c r="O58" s="102"/>
      <c r="P58" s="13"/>
      <c r="Q58" s="13">
        <f>N58-P58</f>
        <v>0</v>
      </c>
      <c r="R58" s="13">
        <f>N58</f>
        <v>0</v>
      </c>
      <c r="S58" s="13"/>
      <c r="T58" s="80">
        <f t="shared" si="49"/>
        <v>0</v>
      </c>
      <c r="U58" s="180"/>
      <c r="V58" s="30">
        <f t="shared" si="25"/>
        <v>0</v>
      </c>
      <c r="W58" s="30">
        <f>SUM(X58:Y58)</f>
        <v>0</v>
      </c>
      <c r="X58" s="30">
        <f t="shared" si="51"/>
        <v>0</v>
      </c>
      <c r="Y58" s="30">
        <f t="shared" si="37"/>
        <v>0</v>
      </c>
      <c r="Z58" s="30">
        <f t="shared" si="42"/>
        <v>0</v>
      </c>
      <c r="AA58" s="30">
        <f t="shared" si="27"/>
        <v>0</v>
      </c>
      <c r="AB58" s="30">
        <f t="shared" si="158"/>
        <v>0</v>
      </c>
      <c r="AC58" s="30">
        <f t="shared" si="158"/>
        <v>0</v>
      </c>
      <c r="AD58" s="30">
        <f t="shared" si="29"/>
        <v>0</v>
      </c>
      <c r="AE58" s="80">
        <f>650315</f>
        <v>650315</v>
      </c>
      <c r="AF58" s="180"/>
      <c r="AG58" s="30">
        <f t="shared" si="146"/>
        <v>0</v>
      </c>
      <c r="AH58" s="80">
        <f>SUM(AI58:AJ58)</f>
        <v>650315</v>
      </c>
      <c r="AI58" s="30">
        <f t="shared" ref="AI58" si="163">AE58</f>
        <v>650315</v>
      </c>
      <c r="AJ58" s="30"/>
      <c r="AK58" s="80">
        <f t="shared" ref="AK58" si="164">AE58+Y58</f>
        <v>650315</v>
      </c>
      <c r="AL58" s="180">
        <f t="shared" si="39"/>
        <v>100</v>
      </c>
      <c r="AM58" s="30"/>
      <c r="AN58" s="2103">
        <f>SUM(AO58:AP58)</f>
        <v>650315</v>
      </c>
      <c r="AO58" s="13">
        <f>AK58</f>
        <v>650315</v>
      </c>
      <c r="AP58" s="13"/>
      <c r="AQ58" s="2103">
        <f>AN58</f>
        <v>650315</v>
      </c>
      <c r="AR58" s="102"/>
      <c r="AS58" s="13"/>
      <c r="AT58" s="2103">
        <f>SUM(AU58:AV58)</f>
        <v>650315</v>
      </c>
      <c r="AU58" s="13">
        <f>AQ58</f>
        <v>650315</v>
      </c>
      <c r="AV58" s="2119"/>
      <c r="AW58" s="3856">
        <f t="shared" si="9"/>
        <v>7.01829268292683E-2</v>
      </c>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row>
    <row r="59" spans="1:113" s="33" customFormat="1" ht="24" customHeight="1">
      <c r="A59" s="2080" t="s">
        <v>26</v>
      </c>
      <c r="B59" s="3590" t="s">
        <v>109</v>
      </c>
      <c r="C59" s="77">
        <f>'[23]Phụ lục số 1'!$N$57</f>
        <v>0</v>
      </c>
      <c r="D59" s="18">
        <v>0</v>
      </c>
      <c r="E59" s="18">
        <f t="shared" si="162"/>
        <v>0</v>
      </c>
      <c r="F59" s="18">
        <f>C59</f>
        <v>0</v>
      </c>
      <c r="G59" s="32">
        <v>0</v>
      </c>
      <c r="H59" s="18">
        <f>L59+M59</f>
        <v>0</v>
      </c>
      <c r="I59" s="18"/>
      <c r="J59" s="18">
        <v>0</v>
      </c>
      <c r="K59" s="18">
        <f>H59-J59</f>
        <v>0</v>
      </c>
      <c r="L59" s="18"/>
      <c r="M59" s="32"/>
      <c r="N59" s="199">
        <f>R59+S59</f>
        <v>431000</v>
      </c>
      <c r="O59" s="103"/>
      <c r="P59" s="199"/>
      <c r="Q59" s="199">
        <f>N59</f>
        <v>431000</v>
      </c>
      <c r="R59" s="200">
        <f>89700</f>
        <v>89700</v>
      </c>
      <c r="S59" s="200">
        <v>341300</v>
      </c>
      <c r="T59" s="201">
        <v>431000</v>
      </c>
      <c r="U59" s="211" t="e">
        <f t="shared" si="19"/>
        <v>#DIV/0!</v>
      </c>
      <c r="V59" s="202">
        <f t="shared" si="25"/>
        <v>0</v>
      </c>
      <c r="W59" s="202">
        <f>SUM(X59:Y59)</f>
        <v>431000</v>
      </c>
      <c r="X59" s="77">
        <f t="shared" si="51"/>
        <v>89700</v>
      </c>
      <c r="Y59" s="77">
        <f>S59+M59</f>
        <v>341300</v>
      </c>
      <c r="Z59" s="202">
        <f t="shared" si="42"/>
        <v>431000</v>
      </c>
      <c r="AA59" s="202">
        <f t="shared" si="27"/>
        <v>0</v>
      </c>
      <c r="AB59" s="202">
        <f t="shared" si="158"/>
        <v>431000</v>
      </c>
      <c r="AC59" s="202">
        <f t="shared" si="158"/>
        <v>89700</v>
      </c>
      <c r="AD59" s="202">
        <f t="shared" si="29"/>
        <v>341300</v>
      </c>
      <c r="AE59" s="201">
        <f>AH59</f>
        <v>886000</v>
      </c>
      <c r="AF59" s="181">
        <f t="shared" ref="AF59" si="165">AE59/N59*100</f>
        <v>205.56844547563804</v>
      </c>
      <c r="AG59" s="1921"/>
      <c r="AH59" s="202">
        <f>SUM(AI59:AJ59)</f>
        <v>886000</v>
      </c>
      <c r="AI59" s="200">
        <f>(81000)+(117624.777)+(297086.8)-(35)+95023-((81000)+(117624.777)+(297086.8)-(35)+95023)+81000+86565-((81000)+(117624.777)+(297086.8)-(35)+95023-((81000)+(117624.777)+(297086.8)-(35)+95023)+81000+86565)</f>
        <v>0</v>
      </c>
      <c r="AJ59" s="77">
        <f>'Phụ lục số 5'!E44</f>
        <v>886000</v>
      </c>
      <c r="AK59" s="201">
        <f>SUM(AO59:AP59)</f>
        <v>717399.2</v>
      </c>
      <c r="AL59" s="188"/>
      <c r="AM59" s="202"/>
      <c r="AN59" s="32">
        <f>SUM(AO59:AP59)</f>
        <v>717399.2</v>
      </c>
      <c r="AO59" s="18">
        <f>'Phụ lục số 2'!AA32</f>
        <v>79139.200000000012</v>
      </c>
      <c r="AP59" s="18">
        <f>'Phụ lục số 2'!AB32</f>
        <v>638260</v>
      </c>
      <c r="AQ59" s="3226">
        <f>SUM(AU59:AV59)</f>
        <v>881301.31019487511</v>
      </c>
      <c r="AR59" s="104">
        <f t="shared" ref="AR59" si="166">AQ59/Z59*100</f>
        <v>204.47826222618909</v>
      </c>
      <c r="AS59" s="32"/>
      <c r="AT59" s="32">
        <f>SUM(AU59:AV59)</f>
        <v>881301.31019487511</v>
      </c>
      <c r="AU59" s="18">
        <f>'Phụ lục số 2'!AF32</f>
        <v>565518.00845279661</v>
      </c>
      <c r="AV59" s="3227">
        <f>'Phụ lục số 2'!AG32</f>
        <v>315783.30174207845</v>
      </c>
      <c r="AW59" s="2873">
        <f t="shared" si="9"/>
        <v>9.5618389812216709E-2</v>
      </c>
      <c r="AX59" s="108"/>
      <c r="AY59" s="108"/>
      <c r="AZ59" s="108"/>
      <c r="BA59" s="108"/>
      <c r="BB59" s="108"/>
      <c r="BC59" s="108"/>
      <c r="BD59" s="108"/>
      <c r="BE59" s="108"/>
      <c r="BF59" s="108"/>
      <c r="BG59" s="108"/>
      <c r="BH59" s="108"/>
      <c r="BI59" s="108"/>
      <c r="BJ59" s="108"/>
      <c r="BK59" s="108"/>
      <c r="BL59" s="108"/>
      <c r="BM59" s="108"/>
      <c r="BN59" s="108"/>
      <c r="BO59" s="108"/>
      <c r="BP59" s="108"/>
      <c r="BQ59" s="108"/>
      <c r="BR59" s="108"/>
      <c r="BS59" s="108"/>
      <c r="BT59" s="108"/>
      <c r="BU59" s="108"/>
      <c r="BV59" s="108"/>
      <c r="BW59" s="108"/>
      <c r="BX59" s="108"/>
      <c r="BY59" s="108"/>
      <c r="BZ59" s="108"/>
      <c r="CA59" s="108"/>
      <c r="CB59" s="108"/>
      <c r="CC59" s="108"/>
      <c r="CD59" s="108"/>
      <c r="CE59" s="108"/>
      <c r="CF59" s="108"/>
      <c r="CG59" s="108"/>
      <c r="CH59" s="108"/>
      <c r="CI59" s="108"/>
      <c r="CJ59" s="108"/>
      <c r="CK59" s="108"/>
      <c r="CL59" s="108"/>
      <c r="CM59" s="108"/>
      <c r="CN59" s="108"/>
      <c r="CO59" s="108"/>
    </row>
    <row r="60" spans="1:113" s="33" customFormat="1" ht="24" customHeight="1">
      <c r="A60" s="2090" t="s">
        <v>130</v>
      </c>
      <c r="B60" s="3590" t="s">
        <v>132</v>
      </c>
      <c r="C60" s="77">
        <f>'[23]Phụ lục số 1'!$N$58</f>
        <v>31500</v>
      </c>
      <c r="D60" s="32"/>
      <c r="E60" s="18">
        <f t="shared" si="162"/>
        <v>31500</v>
      </c>
      <c r="F60" s="32">
        <f>C60</f>
        <v>31500</v>
      </c>
      <c r="G60" s="32"/>
      <c r="H60" s="18">
        <f>L60+M60</f>
        <v>16000</v>
      </c>
      <c r="I60" s="18"/>
      <c r="J60" s="18">
        <v>0</v>
      </c>
      <c r="K60" s="18">
        <f>H60-J60</f>
        <v>16000</v>
      </c>
      <c r="L60" s="18">
        <f>INT(C60/2)+250</f>
        <v>16000</v>
      </c>
      <c r="M60" s="32"/>
      <c r="N60" s="32">
        <f>C60-H60</f>
        <v>15500</v>
      </c>
      <c r="O60" s="104"/>
      <c r="P60" s="32"/>
      <c r="Q60" s="32">
        <f>R60+S60</f>
        <v>15500</v>
      </c>
      <c r="R60" s="18">
        <f>F60-L60</f>
        <v>15500</v>
      </c>
      <c r="S60" s="18">
        <f>G60-M60</f>
        <v>0</v>
      </c>
      <c r="T60" s="201">
        <f>C60</f>
        <v>31500</v>
      </c>
      <c r="U60" s="181">
        <f t="shared" si="19"/>
        <v>100</v>
      </c>
      <c r="V60" s="202">
        <f t="shared" si="25"/>
        <v>0</v>
      </c>
      <c r="W60" s="202">
        <f>SUM(X60:Y60)</f>
        <v>31500</v>
      </c>
      <c r="X60" s="77">
        <f>T60</f>
        <v>31500</v>
      </c>
      <c r="Y60" s="77">
        <f t="shared" si="37"/>
        <v>0</v>
      </c>
      <c r="Z60" s="202">
        <f t="shared" si="42"/>
        <v>0</v>
      </c>
      <c r="AA60" s="202">
        <f t="shared" si="27"/>
        <v>0</v>
      </c>
      <c r="AB60" s="202">
        <f t="shared" si="143"/>
        <v>0</v>
      </c>
      <c r="AC60" s="202">
        <f>X60-F60</f>
        <v>0</v>
      </c>
      <c r="AD60" s="202">
        <f t="shared" si="29"/>
        <v>0</v>
      </c>
      <c r="AE60" s="201">
        <f>AI60</f>
        <v>0</v>
      </c>
      <c r="AF60" s="1922">
        <f>AE60/T60*100</f>
        <v>0</v>
      </c>
      <c r="AG60" s="202"/>
      <c r="AH60" s="202">
        <f>SUM(AI60:AJ60)</f>
        <v>0</v>
      </c>
      <c r="AI60" s="77"/>
      <c r="AJ60" s="77"/>
      <c r="AK60" s="201">
        <v>0</v>
      </c>
      <c r="AL60" s="188"/>
      <c r="AM60" s="202"/>
      <c r="AN60" s="202">
        <f>SUM(AO60:AP60)</f>
        <v>0</v>
      </c>
      <c r="AO60" s="77">
        <f>AK60</f>
        <v>0</v>
      </c>
      <c r="AP60" s="77"/>
      <c r="AQ60" s="201"/>
      <c r="AR60" s="181"/>
      <c r="AS60" s="202"/>
      <c r="AT60" s="202">
        <f>SUM(AU60:AV60)</f>
        <v>0</v>
      </c>
      <c r="AU60" s="77">
        <f>AQ60</f>
        <v>0</v>
      </c>
      <c r="AV60" s="2081"/>
      <c r="AW60" s="2873">
        <f t="shared" si="9"/>
        <v>0</v>
      </c>
      <c r="AX60" s="108"/>
      <c r="AY60" s="108"/>
      <c r="AZ60" s="108"/>
      <c r="BA60" s="108"/>
      <c r="BB60" s="108"/>
      <c r="BC60" s="108"/>
      <c r="BD60" s="108"/>
      <c r="BE60" s="108"/>
      <c r="BF60" s="108"/>
      <c r="BG60" s="108"/>
      <c r="BH60" s="108"/>
      <c r="BI60" s="108"/>
      <c r="BJ60" s="108"/>
      <c r="BK60" s="108"/>
      <c r="BL60" s="108"/>
      <c r="BM60" s="108"/>
      <c r="BN60" s="108"/>
      <c r="BO60" s="108"/>
      <c r="BP60" s="108"/>
      <c r="BQ60" s="108"/>
      <c r="BR60" s="108"/>
      <c r="BS60" s="108"/>
      <c r="BT60" s="108"/>
      <c r="BU60" s="108"/>
      <c r="BV60" s="108"/>
      <c r="BW60" s="108"/>
      <c r="BX60" s="108"/>
      <c r="BY60" s="108"/>
      <c r="BZ60" s="108"/>
      <c r="CA60" s="108"/>
      <c r="CB60" s="108"/>
      <c r="CC60" s="108"/>
      <c r="CD60" s="108"/>
      <c r="CE60" s="108"/>
      <c r="CF60" s="108"/>
      <c r="CG60" s="108"/>
      <c r="CH60" s="108"/>
      <c r="CI60" s="108"/>
      <c r="CJ60" s="108"/>
      <c r="CK60" s="108"/>
      <c r="CL60" s="108"/>
      <c r="CM60" s="108"/>
      <c r="CN60" s="108"/>
      <c r="CO60" s="108"/>
    </row>
    <row r="61" spans="1:113" s="33" customFormat="1" ht="24" customHeight="1" thickBot="1">
      <c r="A61" s="2091"/>
      <c r="B61" s="3596" t="s">
        <v>131</v>
      </c>
      <c r="C61" s="2092">
        <f t="shared" ref="C61:G61" si="167">SUM(C8,C52,C59,C60)</f>
        <v>16705995</v>
      </c>
      <c r="D61" s="2093">
        <f t="shared" si="167"/>
        <v>886000</v>
      </c>
      <c r="E61" s="2093">
        <f t="shared" si="167"/>
        <v>15819995</v>
      </c>
      <c r="F61" s="2093">
        <f t="shared" si="167"/>
        <v>12922645</v>
      </c>
      <c r="G61" s="2093">
        <f t="shared" si="167"/>
        <v>2897350</v>
      </c>
      <c r="H61" s="2093">
        <f>SUM(H8,H52,H59,H60)</f>
        <v>7903349.4000000004</v>
      </c>
      <c r="I61" s="2093"/>
      <c r="J61" s="2093">
        <f>SUM(J8,J52,J59,J60)</f>
        <v>361798.32</v>
      </c>
      <c r="K61" s="2093">
        <f>SUM(K8,K52,K59,K60)</f>
        <v>7541551.0800000001</v>
      </c>
      <c r="L61" s="2093">
        <f>SUM(L8,L52,L59,L60)</f>
        <v>5633396.875</v>
      </c>
      <c r="M61" s="2093">
        <f>SUM(M8,M52,M59,M60)</f>
        <v>1908154.2050000001</v>
      </c>
      <c r="N61" s="2093">
        <f>SUM(N8,N52,N59,N60)</f>
        <v>9814045.5999999996</v>
      </c>
      <c r="O61" s="2094"/>
      <c r="P61" s="2093">
        <f>SUM(P8,P52,P59,P60)</f>
        <v>296801.36000000004</v>
      </c>
      <c r="Q61" s="2093">
        <f>SUM(Q8,Q52,Q59,Q60)</f>
        <v>9517244.2399999984</v>
      </c>
      <c r="R61" s="2093">
        <f>SUM(R8,R52,R59,R60)</f>
        <v>7566738.3200000003</v>
      </c>
      <c r="S61" s="2093">
        <f>SUM(S8,S52,S59,S60)</f>
        <v>1950505.9200000002</v>
      </c>
      <c r="T61" s="2095">
        <f t="shared" ref="T61:X61" si="168">SUM(T8,T52,T59,T60)</f>
        <v>17697740.32</v>
      </c>
      <c r="U61" s="2096" t="e">
        <f t="shared" si="168"/>
        <v>#DIV/0!</v>
      </c>
      <c r="V61" s="2092">
        <f t="shared" si="168"/>
        <v>700345.52</v>
      </c>
      <c r="W61" s="2092">
        <f t="shared" si="168"/>
        <v>16997394.800000001</v>
      </c>
      <c r="X61" s="2092">
        <f t="shared" si="168"/>
        <v>13068045.733333334</v>
      </c>
      <c r="Y61" s="2092">
        <f t="shared" ref="Y61" si="169">SUM(Y8,Y52,Y59,Y60)</f>
        <v>3929349.0666666664</v>
      </c>
      <c r="Z61" s="2092">
        <f t="shared" si="42"/>
        <v>991745.3200000003</v>
      </c>
      <c r="AA61" s="2092">
        <f t="shared" si="27"/>
        <v>-185654.47999999998</v>
      </c>
      <c r="AB61" s="2092">
        <f t="shared" si="143"/>
        <v>1177399.8000000007</v>
      </c>
      <c r="AC61" s="2092">
        <f>X61-F61</f>
        <v>145400.73333333433</v>
      </c>
      <c r="AD61" s="2092">
        <f t="shared" si="29"/>
        <v>1031999.0666666664</v>
      </c>
      <c r="AE61" s="2092">
        <f>SUM(AE8,AE52,AE59,AE60)</f>
        <v>19408479</v>
      </c>
      <c r="AF61" s="2097">
        <f>AE61/T61*100</f>
        <v>109.66642435173893</v>
      </c>
      <c r="AG61" s="2092">
        <f>SUM(AG8,AG52,AG59,AG60)</f>
        <v>781070</v>
      </c>
      <c r="AH61" s="2092">
        <f>SUM(AH8,AH52,AH59,AH60)</f>
        <v>18627409</v>
      </c>
      <c r="AI61" s="2092">
        <f>SUM(AI8,AI52,AI59,AI60)</f>
        <v>13802329</v>
      </c>
      <c r="AJ61" s="2092">
        <f>SUM(AJ8,AJ52,AJ59,AJ60)</f>
        <v>4825080</v>
      </c>
      <c r="AK61" s="2092">
        <f>SUM(AK8+AK52+AK59+AK60)</f>
        <v>20526887.199999999</v>
      </c>
      <c r="AL61" s="2098">
        <f>AK61/AE61*100</f>
        <v>105.76247216487185</v>
      </c>
      <c r="AM61" s="2092">
        <f>SUM(AM8,AM52,AM59,AM60)</f>
        <v>1048100.4796102489</v>
      </c>
      <c r="AN61" s="2092">
        <f>SUM(AN8+AN52+AN59+AN60)</f>
        <v>19478786.72038975</v>
      </c>
      <c r="AO61" s="2092">
        <f>SUM(AO8+AO52+AO59+AO60)</f>
        <v>15344426.462668305</v>
      </c>
      <c r="AP61" s="2092">
        <f>SUM(AP8+AP52+AP59+AP60)</f>
        <v>4134360.2577214451</v>
      </c>
      <c r="AQ61" s="2092">
        <f>SUM(AQ8,AQ52,AQ59,AQ60)</f>
        <v>21567289.610194877</v>
      </c>
      <c r="AR61" s="2097">
        <f>AQ61/AK61*100</f>
        <v>105.06848603033625</v>
      </c>
      <c r="AS61" s="2092">
        <f>SUM(AS8,AS52,AS59,AS60)</f>
        <v>1127999.4667532584</v>
      </c>
      <c r="AT61" s="2092">
        <f>SUM(AT8,AT52,AT59,AT60)</f>
        <v>20439289.843441617</v>
      </c>
      <c r="AU61" s="2092">
        <f>SUM(AU8,AU52,AU59,AU60)</f>
        <v>16384606.148853552</v>
      </c>
      <c r="AV61" s="2099">
        <f>SUM(AV8,AV52,AV59,AV60)</f>
        <v>4054683.694588067</v>
      </c>
      <c r="AW61" s="2873">
        <f t="shared" si="9"/>
        <v>2.0945908698467517</v>
      </c>
      <c r="AX61" s="108"/>
      <c r="AY61" s="108"/>
      <c r="AZ61" s="108"/>
      <c r="BA61" s="108"/>
      <c r="BB61" s="108"/>
      <c r="BC61" s="108"/>
      <c r="BD61" s="108"/>
      <c r="BE61" s="108"/>
      <c r="BF61" s="108"/>
      <c r="BG61" s="108"/>
      <c r="BH61" s="108"/>
      <c r="BI61" s="108"/>
      <c r="BJ61" s="108"/>
      <c r="BK61" s="108"/>
      <c r="BL61" s="108"/>
      <c r="BM61" s="108"/>
      <c r="BN61" s="108"/>
      <c r="BO61" s="108"/>
      <c r="BP61" s="108"/>
      <c r="BQ61" s="108"/>
      <c r="BR61" s="108"/>
      <c r="BS61" s="108"/>
      <c r="BT61" s="108"/>
      <c r="BU61" s="108"/>
      <c r="BV61" s="108"/>
      <c r="BW61" s="108"/>
      <c r="BX61" s="108"/>
      <c r="BY61" s="108"/>
      <c r="BZ61" s="108"/>
      <c r="CA61" s="108"/>
      <c r="CB61" s="108"/>
      <c r="CC61" s="108"/>
      <c r="CD61" s="108"/>
      <c r="CE61" s="108"/>
      <c r="CF61" s="108"/>
      <c r="CG61" s="108"/>
      <c r="CH61" s="108"/>
      <c r="CI61" s="108"/>
      <c r="CJ61" s="108"/>
      <c r="CK61" s="108"/>
      <c r="CL61" s="108"/>
      <c r="CM61" s="108"/>
      <c r="CN61" s="108"/>
      <c r="CO61" s="108"/>
    </row>
    <row r="62" spans="1:113" ht="18.600000000000001" thickTop="1"/>
    <row r="63" spans="1:113" hidden="1">
      <c r="E63" s="35">
        <f>E8/C8</f>
        <v>0.8832674571805007</v>
      </c>
      <c r="F63" s="35">
        <f>F8/E8</f>
        <v>0.56781772076372317</v>
      </c>
      <c r="G63" s="35">
        <f>G8/E8</f>
        <v>0.43218227923627683</v>
      </c>
      <c r="H63" s="34"/>
      <c r="W63" s="35">
        <f>W8/T8</f>
        <v>0.91407589214184903</v>
      </c>
      <c r="X63" s="35">
        <f>X8/W8</f>
        <v>0.51840851994725623</v>
      </c>
      <c r="Y63" s="35">
        <f>Y8/W8</f>
        <v>0.48159148005274383</v>
      </c>
      <c r="AD63" s="1" t="s">
        <v>227</v>
      </c>
      <c r="AH63" s="35">
        <f>AH8/AE8</f>
        <v>0.91570580617310593</v>
      </c>
      <c r="AI63" s="35">
        <f>AI8/AH8</f>
        <v>0.53575574577515661</v>
      </c>
      <c r="AJ63" s="35">
        <f>AJ8/AH8</f>
        <v>0.46424425422484333</v>
      </c>
      <c r="AN63" s="35">
        <f>AN8/AK8</f>
        <v>0.89686587842061638</v>
      </c>
      <c r="AO63" s="35">
        <f>AO8/AN8</f>
        <v>0.61642010919377477</v>
      </c>
      <c r="AP63" s="35">
        <f>AP8/AN8</f>
        <v>0.38357989080622529</v>
      </c>
      <c r="AT63" s="35">
        <f>AT8/AQ8</f>
        <v>0.8978168523640494</v>
      </c>
      <c r="AU63" s="35">
        <f>AU8/AT8</f>
        <v>0.62275246646612548</v>
      </c>
      <c r="AV63" s="35">
        <f>AV8/AT8</f>
        <v>0.37724753353387458</v>
      </c>
    </row>
    <row r="64" spans="1:113" hidden="1">
      <c r="H64" s="35"/>
      <c r="L64" s="35"/>
      <c r="M64" s="35"/>
    </row>
    <row r="65" spans="1:48" hidden="1">
      <c r="H65" s="34"/>
      <c r="U65" s="35"/>
    </row>
    <row r="66" spans="1:48" hidden="1">
      <c r="F66" s="35"/>
      <c r="H66" s="35"/>
      <c r="T66" s="35">
        <f>T53/'Phụ lục số 2'!C8</f>
        <v>0.49179349592707056</v>
      </c>
      <c r="U66" s="36"/>
    </row>
    <row r="67" spans="1:48" hidden="1">
      <c r="C67" s="35"/>
      <c r="F67" s="35"/>
      <c r="T67" s="35">
        <f>T53/'Phụ lục số 2'!C15</f>
        <v>0.69356228681940568</v>
      </c>
      <c r="U67" s="35"/>
      <c r="AI67" s="35"/>
      <c r="AJ67" s="147"/>
      <c r="AO67" s="3367"/>
      <c r="AP67" s="35"/>
      <c r="AU67" s="35"/>
      <c r="AV67" s="35"/>
    </row>
    <row r="68" spans="1:48" hidden="1">
      <c r="B68" s="3"/>
      <c r="E68" s="3"/>
      <c r="F68" s="3"/>
      <c r="G68" s="3"/>
      <c r="H68" s="35"/>
      <c r="J68" s="35"/>
      <c r="U68" s="35"/>
      <c r="AH68" s="3"/>
      <c r="AI68" s="3"/>
      <c r="AJ68" s="3"/>
      <c r="AN68" s="3"/>
      <c r="AO68" s="3"/>
      <c r="AP68" s="3"/>
      <c r="AT68" s="3"/>
      <c r="AU68" s="3"/>
      <c r="AV68" s="3"/>
    </row>
    <row r="69" spans="1:48" hidden="1">
      <c r="B69" s="3"/>
      <c r="F69" s="147"/>
      <c r="G69" s="147"/>
      <c r="AE69" s="2401" t="s">
        <v>2455</v>
      </c>
      <c r="AF69" s="2401" t="s">
        <v>1245</v>
      </c>
      <c r="AH69" s="2401" t="s">
        <v>2656</v>
      </c>
      <c r="AI69" s="3360" t="s">
        <v>2657</v>
      </c>
      <c r="AJ69" s="3360" t="s">
        <v>2658</v>
      </c>
      <c r="AO69" s="147"/>
      <c r="AP69" s="147"/>
      <c r="AU69" s="147"/>
      <c r="AV69" s="147"/>
    </row>
    <row r="70" spans="1:48" hidden="1">
      <c r="B70" s="3"/>
      <c r="C70" s="3350">
        <f>C71+C88</f>
        <v>7540000</v>
      </c>
      <c r="D70" s="3350">
        <f>D71+D88</f>
        <v>7590000</v>
      </c>
      <c r="E70" s="3350">
        <f t="shared" ref="E70:S70" si="170">E71+E88</f>
        <v>50000</v>
      </c>
      <c r="F70" s="3350">
        <f t="shared" si="170"/>
        <v>6654000</v>
      </c>
      <c r="G70" s="3350">
        <f t="shared" si="170"/>
        <v>6704000</v>
      </c>
      <c r="H70" s="3350">
        <f t="shared" si="170"/>
        <v>0</v>
      </c>
      <c r="I70" s="3350">
        <f t="shared" si="170"/>
        <v>0</v>
      </c>
      <c r="J70" s="3350">
        <f t="shared" si="170"/>
        <v>0</v>
      </c>
      <c r="K70" s="3350">
        <f t="shared" si="170"/>
        <v>0</v>
      </c>
      <c r="L70" s="3350">
        <f t="shared" si="170"/>
        <v>0</v>
      </c>
      <c r="M70" s="3350">
        <f t="shared" si="170"/>
        <v>0</v>
      </c>
      <c r="N70" s="3350">
        <f t="shared" si="170"/>
        <v>0</v>
      </c>
      <c r="O70" s="3350">
        <f t="shared" si="170"/>
        <v>0</v>
      </c>
      <c r="P70" s="3350">
        <f t="shared" si="170"/>
        <v>0</v>
      </c>
      <c r="Q70" s="3350">
        <f t="shared" si="170"/>
        <v>0</v>
      </c>
      <c r="R70" s="3350">
        <f t="shared" si="170"/>
        <v>0</v>
      </c>
      <c r="S70" s="3350">
        <f t="shared" si="170"/>
        <v>0</v>
      </c>
      <c r="AE70" s="3350">
        <f t="shared" ref="AE70:AJ70" si="171">AE71+AE88</f>
        <v>8514000</v>
      </c>
      <c r="AF70" s="3350">
        <f t="shared" si="171"/>
        <v>8696000</v>
      </c>
      <c r="AG70" s="3350">
        <f t="shared" si="171"/>
        <v>182000</v>
      </c>
      <c r="AH70" s="3350">
        <f t="shared" si="171"/>
        <v>9266000</v>
      </c>
      <c r="AI70" s="3350">
        <f t="shared" si="171"/>
        <v>7775930</v>
      </c>
      <c r="AJ70" s="3350">
        <f t="shared" si="171"/>
        <v>8484930</v>
      </c>
      <c r="AO70" s="147"/>
      <c r="AP70" s="147"/>
      <c r="AU70" s="147"/>
      <c r="AV70" s="147"/>
    </row>
    <row r="71" spans="1:48" hidden="1">
      <c r="B71" s="3"/>
      <c r="C71" s="3350">
        <f>SUM(C72:C87)</f>
        <v>7390000</v>
      </c>
      <c r="D71" s="3350">
        <f>SUM(D72:D87)</f>
        <v>7440000</v>
      </c>
      <c r="E71" s="3350">
        <f t="shared" ref="E71:S71" si="172">SUM(E72:E87)</f>
        <v>50000</v>
      </c>
      <c r="F71" s="3350">
        <f>SUM(F72:F87)</f>
        <v>6654000</v>
      </c>
      <c r="G71" s="3350">
        <f t="shared" si="172"/>
        <v>6704000</v>
      </c>
      <c r="H71" s="3350">
        <f t="shared" si="172"/>
        <v>0</v>
      </c>
      <c r="I71" s="3350">
        <f t="shared" si="172"/>
        <v>0</v>
      </c>
      <c r="J71" s="3350">
        <f t="shared" si="172"/>
        <v>0</v>
      </c>
      <c r="K71" s="3350">
        <f t="shared" si="172"/>
        <v>0</v>
      </c>
      <c r="L71" s="3350">
        <f t="shared" si="172"/>
        <v>0</v>
      </c>
      <c r="M71" s="3350">
        <f t="shared" si="172"/>
        <v>0</v>
      </c>
      <c r="N71" s="3350">
        <f t="shared" si="172"/>
        <v>0</v>
      </c>
      <c r="O71" s="3350">
        <f t="shared" si="172"/>
        <v>0</v>
      </c>
      <c r="P71" s="3350">
        <f t="shared" si="172"/>
        <v>0</v>
      </c>
      <c r="Q71" s="3350">
        <f t="shared" si="172"/>
        <v>0</v>
      </c>
      <c r="R71" s="3350">
        <f t="shared" si="172"/>
        <v>0</v>
      </c>
      <c r="S71" s="3350">
        <f t="shared" si="172"/>
        <v>0</v>
      </c>
      <c r="AE71" s="3350">
        <f t="shared" ref="AE71:AJ71" si="173">SUM(AE72:AE87)</f>
        <v>8357000</v>
      </c>
      <c r="AF71" s="3350">
        <f t="shared" si="173"/>
        <v>8496000</v>
      </c>
      <c r="AG71" s="3350">
        <f t="shared" si="173"/>
        <v>139000</v>
      </c>
      <c r="AH71" s="3350">
        <f t="shared" si="173"/>
        <v>9066000</v>
      </c>
      <c r="AI71" s="3350">
        <f t="shared" si="173"/>
        <v>7775930</v>
      </c>
      <c r="AJ71" s="3350">
        <f t="shared" si="173"/>
        <v>8484930</v>
      </c>
      <c r="AO71" s="147"/>
      <c r="AP71" s="147"/>
      <c r="AU71" s="147"/>
      <c r="AV71" s="147"/>
    </row>
    <row r="72" spans="1:48" s="166" customFormat="1" hidden="1">
      <c r="A72" s="191"/>
      <c r="B72" s="165"/>
      <c r="C72" s="3351">
        <f>C11</f>
        <v>250000</v>
      </c>
      <c r="D72" s="3351">
        <f>C72</f>
        <v>250000</v>
      </c>
      <c r="E72" s="166">
        <f>D72-C72</f>
        <v>0</v>
      </c>
      <c r="F72" s="166">
        <f>C72</f>
        <v>250000</v>
      </c>
      <c r="G72" s="166">
        <f>D72</f>
        <v>250000</v>
      </c>
      <c r="T72" s="3217"/>
      <c r="W72" s="3218"/>
      <c r="AE72" s="3351">
        <f>AE11</f>
        <v>230000</v>
      </c>
      <c r="AF72" s="3351">
        <f>AE72</f>
        <v>230000</v>
      </c>
      <c r="AG72" s="166">
        <f>AF72-AE72</f>
        <v>0</v>
      </c>
      <c r="AH72" s="3354">
        <f t="shared" ref="AH72:AH80" si="174">AF72</f>
        <v>230000</v>
      </c>
      <c r="AI72" s="1874">
        <f t="shared" ref="AI72:AI78" si="175">AE72</f>
        <v>230000</v>
      </c>
      <c r="AJ72" s="166">
        <f>AI72</f>
        <v>230000</v>
      </c>
    </row>
    <row r="73" spans="1:48" s="166" customFormat="1" hidden="1">
      <c r="A73" s="191"/>
      <c r="B73" s="165"/>
      <c r="C73" s="3351">
        <f>C17</f>
        <v>350000</v>
      </c>
      <c r="D73" s="3351">
        <f t="shared" ref="D73:D87" si="176">C73</f>
        <v>350000</v>
      </c>
      <c r="E73" s="166">
        <f t="shared" ref="E73:E88" si="177">D73-C73</f>
        <v>0</v>
      </c>
      <c r="F73" s="166">
        <f t="shared" ref="F73:F87" si="178">C73</f>
        <v>350000</v>
      </c>
      <c r="G73" s="166">
        <f t="shared" ref="G73:G87" si="179">D73</f>
        <v>350000</v>
      </c>
      <c r="T73" s="3217"/>
      <c r="AE73" s="3351">
        <f>AE17</f>
        <v>300000</v>
      </c>
      <c r="AF73" s="3351">
        <f>AE73</f>
        <v>300000</v>
      </c>
      <c r="AG73" s="166">
        <f t="shared" ref="AG73:AG87" si="180">AF73-AE73</f>
        <v>0</v>
      </c>
      <c r="AH73" s="3354">
        <f t="shared" si="174"/>
        <v>300000</v>
      </c>
      <c r="AI73" s="1874">
        <f t="shared" si="175"/>
        <v>300000</v>
      </c>
      <c r="AJ73" s="166">
        <f>AI73</f>
        <v>300000</v>
      </c>
    </row>
    <row r="74" spans="1:48" s="161" customFormat="1" hidden="1">
      <c r="A74" s="3219"/>
      <c r="C74" s="3352">
        <f>C23</f>
        <v>70000</v>
      </c>
      <c r="D74" s="3351">
        <f t="shared" si="176"/>
        <v>70000</v>
      </c>
      <c r="E74" s="166">
        <f t="shared" si="177"/>
        <v>0</v>
      </c>
      <c r="F74" s="166">
        <f t="shared" si="178"/>
        <v>70000</v>
      </c>
      <c r="G74" s="166">
        <f t="shared" si="179"/>
        <v>70000</v>
      </c>
      <c r="T74" s="3220"/>
      <c r="W74" s="3221"/>
      <c r="AE74" s="3352">
        <f>AE23</f>
        <v>75000</v>
      </c>
      <c r="AF74" s="3353">
        <f>AE74</f>
        <v>75000</v>
      </c>
      <c r="AG74" s="166">
        <f t="shared" si="180"/>
        <v>0</v>
      </c>
      <c r="AH74" s="34">
        <f t="shared" si="174"/>
        <v>75000</v>
      </c>
      <c r="AI74" s="3355">
        <f t="shared" si="175"/>
        <v>75000</v>
      </c>
      <c r="AJ74" s="1">
        <f>AI74</f>
        <v>75000</v>
      </c>
    </row>
    <row r="75" spans="1:48" s="161" customFormat="1" hidden="1">
      <c r="A75" s="3219"/>
      <c r="B75" s="3222"/>
      <c r="C75" s="3352">
        <f>C28</f>
        <v>1265000</v>
      </c>
      <c r="D75" s="3351">
        <f t="shared" si="176"/>
        <v>1265000</v>
      </c>
      <c r="E75" s="166">
        <f t="shared" si="177"/>
        <v>0</v>
      </c>
      <c r="F75" s="166">
        <f t="shared" si="178"/>
        <v>1265000</v>
      </c>
      <c r="G75" s="166">
        <f t="shared" si="179"/>
        <v>1265000</v>
      </c>
      <c r="AE75" s="3352">
        <f>AE28-49000</f>
        <v>1652000</v>
      </c>
      <c r="AF75" s="3352">
        <f>AE75+49000</f>
        <v>1701000</v>
      </c>
      <c r="AG75" s="166">
        <f t="shared" si="180"/>
        <v>49000</v>
      </c>
      <c r="AH75" s="34">
        <f t="shared" si="174"/>
        <v>1701000</v>
      </c>
      <c r="AI75" s="3356">
        <f t="shared" si="175"/>
        <v>1652000</v>
      </c>
      <c r="AJ75" s="1">
        <f>AH75</f>
        <v>1701000</v>
      </c>
    </row>
    <row r="76" spans="1:48" s="161" customFormat="1" hidden="1">
      <c r="A76" s="3219"/>
      <c r="B76" s="3222"/>
      <c r="C76" s="3352">
        <f>C34</f>
        <v>295000</v>
      </c>
      <c r="D76" s="3351">
        <f t="shared" si="176"/>
        <v>295000</v>
      </c>
      <c r="E76" s="166">
        <f t="shared" si="177"/>
        <v>0</v>
      </c>
      <c r="F76" s="166">
        <f t="shared" si="178"/>
        <v>295000</v>
      </c>
      <c r="G76" s="166">
        <f t="shared" si="179"/>
        <v>295000</v>
      </c>
      <c r="AE76" s="3352">
        <f>AE34</f>
        <v>350000</v>
      </c>
      <c r="AF76" s="3353">
        <f>AE76</f>
        <v>350000</v>
      </c>
      <c r="AG76" s="166">
        <f t="shared" si="180"/>
        <v>0</v>
      </c>
      <c r="AH76" s="34">
        <f t="shared" si="174"/>
        <v>350000</v>
      </c>
      <c r="AI76" s="3355">
        <f t="shared" si="175"/>
        <v>350000</v>
      </c>
      <c r="AJ76" s="1">
        <f>AH76</f>
        <v>350000</v>
      </c>
    </row>
    <row r="77" spans="1:48" s="161" customFormat="1" hidden="1">
      <c r="A77" s="3219"/>
      <c r="B77" s="3222"/>
      <c r="C77" s="3352">
        <f>C36</f>
        <v>10000</v>
      </c>
      <c r="D77" s="3351">
        <f t="shared" si="176"/>
        <v>10000</v>
      </c>
      <c r="E77" s="166">
        <f t="shared" si="177"/>
        <v>0</v>
      </c>
      <c r="F77" s="166">
        <f t="shared" si="178"/>
        <v>10000</v>
      </c>
      <c r="G77" s="166">
        <f t="shared" si="179"/>
        <v>10000</v>
      </c>
      <c r="AE77" s="3352">
        <f>AE36</f>
        <v>15000</v>
      </c>
      <c r="AF77" s="3353">
        <f>AE77</f>
        <v>15000</v>
      </c>
      <c r="AG77" s="166">
        <f t="shared" si="180"/>
        <v>0</v>
      </c>
      <c r="AH77" s="34">
        <f t="shared" si="174"/>
        <v>15000</v>
      </c>
      <c r="AI77" s="3355">
        <f t="shared" si="175"/>
        <v>15000</v>
      </c>
      <c r="AJ77" s="1">
        <f>AH77</f>
        <v>15000</v>
      </c>
    </row>
    <row r="78" spans="1:48" hidden="1">
      <c r="C78" s="3352">
        <f>C37</f>
        <v>600000</v>
      </c>
      <c r="D78" s="3351">
        <f t="shared" si="176"/>
        <v>600000</v>
      </c>
      <c r="E78" s="166">
        <f t="shared" si="177"/>
        <v>0</v>
      </c>
      <c r="F78" s="166">
        <f t="shared" si="178"/>
        <v>600000</v>
      </c>
      <c r="G78" s="166">
        <f t="shared" si="179"/>
        <v>600000</v>
      </c>
      <c r="AE78" s="3352">
        <f>AE37</f>
        <v>730000</v>
      </c>
      <c r="AF78" s="3352">
        <f>AE78</f>
        <v>730000</v>
      </c>
      <c r="AG78" s="166">
        <f t="shared" si="180"/>
        <v>0</v>
      </c>
      <c r="AH78" s="34">
        <f t="shared" si="174"/>
        <v>730000</v>
      </c>
      <c r="AI78" s="3356">
        <f t="shared" si="175"/>
        <v>730000</v>
      </c>
      <c r="AJ78" s="1">
        <f>AH78</f>
        <v>730000</v>
      </c>
    </row>
    <row r="79" spans="1:48" s="161" customFormat="1" hidden="1">
      <c r="A79" s="3219"/>
      <c r="C79" s="3352">
        <f>C38</f>
        <v>1500000</v>
      </c>
      <c r="D79" s="3351">
        <f t="shared" si="176"/>
        <v>1500000</v>
      </c>
      <c r="E79" s="166">
        <f t="shared" si="177"/>
        <v>0</v>
      </c>
      <c r="F79" s="191">
        <f>C79-600000</f>
        <v>900000</v>
      </c>
      <c r="G79" s="191">
        <f>F79</f>
        <v>900000</v>
      </c>
      <c r="AE79" s="3352">
        <f>AE38</f>
        <v>1065000</v>
      </c>
      <c r="AF79" s="3352">
        <f>AE79</f>
        <v>1065000</v>
      </c>
      <c r="AG79" s="166">
        <f t="shared" si="180"/>
        <v>0</v>
      </c>
      <c r="AH79" s="34">
        <f t="shared" si="174"/>
        <v>1065000</v>
      </c>
      <c r="AI79" s="3361">
        <f>AE79*60%</f>
        <v>639000</v>
      </c>
      <c r="AJ79" s="3">
        <f>AI79</f>
        <v>639000</v>
      </c>
    </row>
    <row r="80" spans="1:48" hidden="1">
      <c r="C80" s="3352">
        <f>C39</f>
        <v>160000</v>
      </c>
      <c r="D80" s="3351">
        <f t="shared" si="176"/>
        <v>160000</v>
      </c>
      <c r="E80" s="166">
        <f t="shared" si="177"/>
        <v>0</v>
      </c>
      <c r="F80" s="191">
        <f>C80-82000</f>
        <v>78000</v>
      </c>
      <c r="G80" s="191">
        <f>F80</f>
        <v>78000</v>
      </c>
      <c r="P80" s="34"/>
      <c r="AE80" s="3352">
        <f>AE39</f>
        <v>170000</v>
      </c>
      <c r="AF80" s="3352">
        <f>AE80</f>
        <v>170000</v>
      </c>
      <c r="AG80" s="166">
        <f t="shared" si="180"/>
        <v>0</v>
      </c>
      <c r="AH80" s="147">
        <f t="shared" si="174"/>
        <v>170000</v>
      </c>
      <c r="AI80" s="3359">
        <f>AE80-87000</f>
        <v>83000</v>
      </c>
      <c r="AJ80" s="3363">
        <f>AI80</f>
        <v>83000</v>
      </c>
      <c r="AN80" s="35"/>
      <c r="AO80" s="35"/>
      <c r="AP80" s="35"/>
    </row>
    <row r="81" spans="1:48" hidden="1">
      <c r="C81" s="3352">
        <f>C40-50000</f>
        <v>850000</v>
      </c>
      <c r="D81" s="3351">
        <f>C81+50000</f>
        <v>900000</v>
      </c>
      <c r="E81" s="166">
        <f t="shared" si="177"/>
        <v>50000</v>
      </c>
      <c r="F81" s="166">
        <f t="shared" si="178"/>
        <v>850000</v>
      </c>
      <c r="G81" s="166">
        <f t="shared" si="179"/>
        <v>900000</v>
      </c>
      <c r="P81" s="34"/>
      <c r="AE81" s="3352">
        <f>AE40</f>
        <v>1770000</v>
      </c>
      <c r="AF81" s="3352">
        <f>AE81-570000</f>
        <v>1200000</v>
      </c>
      <c r="AG81" s="166">
        <f t="shared" si="180"/>
        <v>-570000</v>
      </c>
      <c r="AH81" s="147">
        <f>AF81-AG81</f>
        <v>1770000</v>
      </c>
      <c r="AI81" s="3357">
        <f>AE81</f>
        <v>1770000</v>
      </c>
      <c r="AJ81" s="3362">
        <f>AI81</f>
        <v>1770000</v>
      </c>
      <c r="AN81" s="35"/>
      <c r="AO81" s="35"/>
      <c r="AP81" s="35"/>
    </row>
    <row r="82" spans="1:48" s="161" customFormat="1" hidden="1">
      <c r="A82" s="3219"/>
      <c r="C82" s="3352">
        <f>C41</f>
        <v>115000</v>
      </c>
      <c r="D82" s="3351">
        <f t="shared" si="176"/>
        <v>115000</v>
      </c>
      <c r="E82" s="166">
        <f t="shared" si="177"/>
        <v>0</v>
      </c>
      <c r="F82" s="166">
        <f t="shared" si="178"/>
        <v>115000</v>
      </c>
      <c r="G82" s="166">
        <f t="shared" si="179"/>
        <v>115000</v>
      </c>
      <c r="P82" s="3222"/>
      <c r="AE82" s="3352">
        <f>AE41-160000</f>
        <v>155000</v>
      </c>
      <c r="AF82" s="3352">
        <f>AE82+160000</f>
        <v>315000</v>
      </c>
      <c r="AG82" s="166">
        <f t="shared" si="180"/>
        <v>160000</v>
      </c>
      <c r="AH82" s="147">
        <f t="shared" ref="AH82:AH88" si="181">AF82</f>
        <v>315000</v>
      </c>
      <c r="AI82" s="3358">
        <f>AE82</f>
        <v>155000</v>
      </c>
      <c r="AJ82" s="3362">
        <f>AH82</f>
        <v>315000</v>
      </c>
      <c r="AN82" s="3223"/>
      <c r="AO82" s="3223"/>
      <c r="AP82" s="3223"/>
      <c r="AT82" s="3223"/>
      <c r="AU82" s="3223"/>
      <c r="AV82" s="3223"/>
    </row>
    <row r="83" spans="1:48" hidden="1">
      <c r="C83" s="3352">
        <f>C43</f>
        <v>250000</v>
      </c>
      <c r="D83" s="3351">
        <f t="shared" si="176"/>
        <v>250000</v>
      </c>
      <c r="E83" s="166">
        <f t="shared" si="177"/>
        <v>0</v>
      </c>
      <c r="F83" s="191">
        <f>C83-54000</f>
        <v>196000</v>
      </c>
      <c r="G83" s="191">
        <f>F83</f>
        <v>196000</v>
      </c>
      <c r="J83" s="35"/>
      <c r="AE83" s="3352">
        <f>AE43</f>
        <v>326000</v>
      </c>
      <c r="AF83" s="3352">
        <f>AE83</f>
        <v>326000</v>
      </c>
      <c r="AG83" s="166">
        <f t="shared" si="180"/>
        <v>0</v>
      </c>
      <c r="AH83" s="147">
        <f t="shared" si="181"/>
        <v>326000</v>
      </c>
      <c r="AI83" s="3359">
        <f>AE83-68070</f>
        <v>257930</v>
      </c>
      <c r="AJ83" s="3363">
        <f>AI83</f>
        <v>257930</v>
      </c>
      <c r="AN83" s="36"/>
      <c r="AO83" s="36"/>
      <c r="AP83" s="36"/>
      <c r="AT83" s="36"/>
      <c r="AU83" s="36"/>
      <c r="AV83" s="36"/>
    </row>
    <row r="84" spans="1:48" hidden="1">
      <c r="C84" s="3352">
        <f>C44</f>
        <v>22000</v>
      </c>
      <c r="D84" s="3351">
        <f t="shared" si="176"/>
        <v>22000</v>
      </c>
      <c r="E84" s="166">
        <f t="shared" si="177"/>
        <v>0</v>
      </c>
      <c r="F84" s="166">
        <f t="shared" si="178"/>
        <v>22000</v>
      </c>
      <c r="G84" s="166">
        <f t="shared" si="179"/>
        <v>22000</v>
      </c>
      <c r="AE84" s="3352">
        <f>AE44</f>
        <v>30000</v>
      </c>
      <c r="AF84" s="3352">
        <f>AE84</f>
        <v>30000</v>
      </c>
      <c r="AG84" s="166">
        <f t="shared" si="180"/>
        <v>0</v>
      </c>
      <c r="AH84" s="34">
        <f t="shared" si="181"/>
        <v>30000</v>
      </c>
      <c r="AI84" s="3356">
        <f>AE84</f>
        <v>30000</v>
      </c>
      <c r="AJ84" s="1">
        <f>AH84</f>
        <v>30000</v>
      </c>
    </row>
    <row r="85" spans="1:48" hidden="1">
      <c r="C85" s="3352">
        <f>C45</f>
        <v>50000</v>
      </c>
      <c r="D85" s="3351">
        <f t="shared" si="176"/>
        <v>50000</v>
      </c>
      <c r="E85" s="166">
        <f t="shared" si="177"/>
        <v>0</v>
      </c>
      <c r="F85" s="166">
        <f t="shared" si="178"/>
        <v>50000</v>
      </c>
      <c r="G85" s="166">
        <f t="shared" si="179"/>
        <v>50000</v>
      </c>
      <c r="AE85" s="3352">
        <f>AE45-500000</f>
        <v>-463000</v>
      </c>
      <c r="AF85" s="3352">
        <f>AE85+500000</f>
        <v>37000</v>
      </c>
      <c r="AG85" s="166">
        <f t="shared" si="180"/>
        <v>500000</v>
      </c>
      <c r="AH85" s="34">
        <f t="shared" si="181"/>
        <v>37000</v>
      </c>
      <c r="AI85" s="3356">
        <f>AE85</f>
        <v>-463000</v>
      </c>
      <c r="AJ85" s="1">
        <f>AH85</f>
        <v>37000</v>
      </c>
    </row>
    <row r="86" spans="1:48" hidden="1">
      <c r="C86" s="3352">
        <f>C47</f>
        <v>3000</v>
      </c>
      <c r="D86" s="3351">
        <f t="shared" si="176"/>
        <v>3000</v>
      </c>
      <c r="E86" s="166">
        <f t="shared" si="177"/>
        <v>0</v>
      </c>
      <c r="F86" s="166">
        <f t="shared" si="178"/>
        <v>3000</v>
      </c>
      <c r="G86" s="166">
        <f t="shared" si="179"/>
        <v>3000</v>
      </c>
      <c r="U86" s="35"/>
      <c r="AE86" s="3352">
        <f>AE47</f>
        <v>2000</v>
      </c>
      <c r="AF86" s="3352">
        <f>AE86</f>
        <v>2000</v>
      </c>
      <c r="AG86" s="166">
        <f t="shared" si="180"/>
        <v>0</v>
      </c>
      <c r="AH86" s="34">
        <f t="shared" si="181"/>
        <v>2000</v>
      </c>
      <c r="AI86" s="3356">
        <f>AE86</f>
        <v>2000</v>
      </c>
      <c r="AJ86" s="1">
        <f>AH86</f>
        <v>2000</v>
      </c>
    </row>
    <row r="87" spans="1:48" hidden="1">
      <c r="B87" s="34"/>
      <c r="C87" s="3352">
        <f>C48</f>
        <v>1600000</v>
      </c>
      <c r="D87" s="3351">
        <f t="shared" si="176"/>
        <v>1600000</v>
      </c>
      <c r="E87" s="166">
        <f t="shared" si="177"/>
        <v>0</v>
      </c>
      <c r="F87" s="166">
        <f t="shared" si="178"/>
        <v>1600000</v>
      </c>
      <c r="G87" s="166">
        <f t="shared" si="179"/>
        <v>1600000</v>
      </c>
      <c r="H87" s="34"/>
      <c r="AE87" s="3352">
        <f>AE48</f>
        <v>1950000</v>
      </c>
      <c r="AF87" s="3352">
        <f>AE87</f>
        <v>1950000</v>
      </c>
      <c r="AG87" s="166">
        <f t="shared" si="180"/>
        <v>0</v>
      </c>
      <c r="AH87" s="147">
        <f t="shared" si="181"/>
        <v>1950000</v>
      </c>
      <c r="AI87" s="3357">
        <f>AE87</f>
        <v>1950000</v>
      </c>
      <c r="AJ87" s="147">
        <f>AH87</f>
        <v>1950000</v>
      </c>
      <c r="AN87" s="162"/>
      <c r="AO87" s="162"/>
      <c r="AP87" s="162"/>
      <c r="AT87" s="35"/>
      <c r="AU87" s="35"/>
      <c r="AV87" s="35"/>
    </row>
    <row r="88" spans="1:48" hidden="1">
      <c r="C88" s="3350">
        <f>C49</f>
        <v>150000</v>
      </c>
      <c r="D88" s="3350">
        <f>C88</f>
        <v>150000</v>
      </c>
      <c r="E88" s="166">
        <f t="shared" si="177"/>
        <v>0</v>
      </c>
      <c r="F88" s="166"/>
      <c r="AE88" s="3350">
        <f>AE49-43000</f>
        <v>157000</v>
      </c>
      <c r="AF88" s="3350">
        <f>AE88+43000</f>
        <v>200000</v>
      </c>
      <c r="AG88" s="3">
        <f>AF88-AE88</f>
        <v>43000</v>
      </c>
      <c r="AH88" s="1402">
        <f t="shared" si="181"/>
        <v>200000</v>
      </c>
      <c r="AI88" s="163"/>
      <c r="AJ88" s="163"/>
      <c r="AN88" s="163"/>
      <c r="AO88" s="163"/>
      <c r="AP88" s="163"/>
      <c r="AT88" s="163"/>
      <c r="AU88" s="163"/>
      <c r="AV88" s="163"/>
    </row>
    <row r="89" spans="1:48" hidden="1">
      <c r="AH89" s="163"/>
      <c r="AI89" s="163"/>
      <c r="AJ89" s="163"/>
      <c r="AN89" s="163"/>
      <c r="AO89" s="163"/>
      <c r="AP89" s="163"/>
      <c r="AT89" s="163"/>
      <c r="AU89" s="163"/>
      <c r="AV89" s="163"/>
    </row>
    <row r="90" spans="1:48" s="3" customFormat="1" ht="17.399999999999999" hidden="1">
      <c r="B90" s="3" t="s">
        <v>2659</v>
      </c>
      <c r="C90" s="3">
        <f>C71-C81-C87-C85</f>
        <v>4890000</v>
      </c>
      <c r="D90" s="3">
        <f t="shared" ref="D90:S90" si="182">D71-D81-D87-D85</f>
        <v>4890000</v>
      </c>
      <c r="E90" s="3">
        <f t="shared" si="182"/>
        <v>0</v>
      </c>
      <c r="F90" s="3">
        <f>F71-F81-F87-F85</f>
        <v>4154000</v>
      </c>
      <c r="G90" s="3">
        <f t="shared" si="182"/>
        <v>4154000</v>
      </c>
      <c r="H90" s="3">
        <f t="shared" si="182"/>
        <v>0</v>
      </c>
      <c r="I90" s="3">
        <f t="shared" si="182"/>
        <v>0</v>
      </c>
      <c r="J90" s="3">
        <f t="shared" si="182"/>
        <v>0</v>
      </c>
      <c r="K90" s="3">
        <f t="shared" si="182"/>
        <v>0</v>
      </c>
      <c r="L90" s="3">
        <f t="shared" si="182"/>
        <v>0</v>
      </c>
      <c r="M90" s="3">
        <f t="shared" si="182"/>
        <v>0</v>
      </c>
      <c r="N90" s="3">
        <f t="shared" si="182"/>
        <v>0</v>
      </c>
      <c r="O90" s="3">
        <f t="shared" si="182"/>
        <v>0</v>
      </c>
      <c r="P90" s="3">
        <f t="shared" si="182"/>
        <v>0</v>
      </c>
      <c r="Q90" s="3">
        <f t="shared" si="182"/>
        <v>0</v>
      </c>
      <c r="R90" s="3">
        <f t="shared" si="182"/>
        <v>0</v>
      </c>
      <c r="S90" s="3">
        <f t="shared" si="182"/>
        <v>0</v>
      </c>
      <c r="AE90" s="3">
        <f>AE71-AE81-AE87-AE85</f>
        <v>5100000</v>
      </c>
      <c r="AF90" s="3">
        <f t="shared" ref="AF90:AJ90" si="183">AF71-AF81-AF87-AF85</f>
        <v>5309000</v>
      </c>
      <c r="AG90" s="3">
        <f t="shared" si="183"/>
        <v>209000</v>
      </c>
      <c r="AH90" s="3">
        <f t="shared" si="183"/>
        <v>5309000</v>
      </c>
      <c r="AI90" s="3">
        <f>AI71-AI81-AI87-AI85</f>
        <v>4518930</v>
      </c>
      <c r="AJ90" s="3">
        <f t="shared" si="183"/>
        <v>4727930</v>
      </c>
      <c r="AN90" s="3364"/>
      <c r="AO90" s="3364"/>
      <c r="AP90" s="3364"/>
      <c r="AT90" s="3364"/>
      <c r="AU90" s="3364"/>
      <c r="AV90" s="3364"/>
    </row>
    <row r="91" spans="1:48" hidden="1">
      <c r="AJ91" s="3">
        <f>AJ90-AI90</f>
        <v>209000</v>
      </c>
    </row>
    <row r="92" spans="1:48" hidden="1">
      <c r="B92" s="3" t="s">
        <v>2660</v>
      </c>
      <c r="C92" s="34"/>
      <c r="D92" s="34"/>
      <c r="F92" s="3">
        <f>SUM(F93:F97)</f>
        <v>83000</v>
      </c>
      <c r="G92" s="3">
        <f>SUM(G93:G97)</f>
        <v>83000</v>
      </c>
      <c r="AI92" s="3">
        <f>SUM(AI93:AI97)</f>
        <v>117000</v>
      </c>
      <c r="AJ92" s="3">
        <f>SUM(AJ93:AJ97)</f>
        <v>117000</v>
      </c>
    </row>
    <row r="93" spans="1:48" hidden="1">
      <c r="C93" s="34"/>
      <c r="D93" s="34"/>
      <c r="F93" s="1">
        <v>30000</v>
      </c>
      <c r="G93" s="1">
        <f>F93</f>
        <v>30000</v>
      </c>
      <c r="H93" s="4600"/>
      <c r="AI93" s="1">
        <v>40000</v>
      </c>
      <c r="AJ93" s="1">
        <f>AI93</f>
        <v>40000</v>
      </c>
    </row>
    <row r="94" spans="1:48" hidden="1">
      <c r="C94" s="34"/>
      <c r="D94" s="34"/>
      <c r="F94" s="1">
        <v>18000</v>
      </c>
      <c r="G94" s="1">
        <f>F94</f>
        <v>18000</v>
      </c>
      <c r="H94" s="4600"/>
      <c r="AI94" s="1">
        <v>25000</v>
      </c>
      <c r="AJ94" s="1">
        <f>AI94</f>
        <v>25000</v>
      </c>
    </row>
    <row r="95" spans="1:48" hidden="1">
      <c r="D95" s="34"/>
      <c r="F95" s="1">
        <v>10000</v>
      </c>
      <c r="G95" s="1">
        <f>F95</f>
        <v>10000</v>
      </c>
      <c r="AI95" s="1">
        <v>20000</v>
      </c>
      <c r="AJ95" s="1">
        <f>AI95</f>
        <v>20000</v>
      </c>
    </row>
    <row r="96" spans="1:48" hidden="1">
      <c r="F96" s="1">
        <v>22000</v>
      </c>
      <c r="G96" s="1">
        <f>F96</f>
        <v>22000</v>
      </c>
      <c r="AI96" s="1">
        <v>30000</v>
      </c>
      <c r="AJ96" s="1">
        <f>AI96</f>
        <v>30000</v>
      </c>
    </row>
    <row r="97" spans="2:36" hidden="1">
      <c r="F97" s="1">
        <v>3000</v>
      </c>
      <c r="G97" s="1">
        <f>F97</f>
        <v>3000</v>
      </c>
      <c r="AI97" s="1">
        <v>2000</v>
      </c>
      <c r="AJ97" s="1">
        <f>AI97</f>
        <v>2000</v>
      </c>
    </row>
    <row r="98" spans="2:36" hidden="1"/>
    <row r="99" spans="2:36" s="3" customFormat="1" ht="17.399999999999999" hidden="1">
      <c r="B99" s="3" t="s">
        <v>2661</v>
      </c>
      <c r="F99" s="3">
        <f>F90-F92</f>
        <v>4071000</v>
      </c>
      <c r="G99" s="3">
        <f>G90-G92</f>
        <v>4071000</v>
      </c>
      <c r="I99" s="1402"/>
      <c r="AI99" s="3">
        <f>AI90-AI92</f>
        <v>4401930</v>
      </c>
      <c r="AJ99" s="3">
        <f>AJ90-AJ92</f>
        <v>4610930</v>
      </c>
    </row>
    <row r="100" spans="2:36" hidden="1">
      <c r="AH100" s="35"/>
      <c r="AI100" s="1">
        <f>AI99-G99</f>
        <v>330930</v>
      </c>
      <c r="AJ100" s="1">
        <f>AJ99-G99</f>
        <v>539930</v>
      </c>
    </row>
    <row r="101" spans="2:36" hidden="1">
      <c r="AI101" s="1">
        <f>AI100/2</f>
        <v>165465</v>
      </c>
      <c r="AJ101" s="1">
        <f>AJ100/2</f>
        <v>269965</v>
      </c>
    </row>
    <row r="102" spans="2:36" hidden="1">
      <c r="AJ102" s="1">
        <f>AJ101-AI101</f>
        <v>104500</v>
      </c>
    </row>
    <row r="103" spans="2:36" hidden="1">
      <c r="AI103" s="35"/>
      <c r="AJ103" s="35"/>
    </row>
    <row r="104" spans="2:36" hidden="1"/>
    <row r="105" spans="2:36" hidden="1">
      <c r="W105" s="162"/>
    </row>
    <row r="106" spans="2:36" hidden="1">
      <c r="U106" s="162"/>
      <c r="AE106" s="162"/>
    </row>
    <row r="107" spans="2:36" hidden="1">
      <c r="C107" s="36"/>
      <c r="U107" s="36"/>
      <c r="V107" s="3224"/>
      <c r="W107" s="35"/>
      <c r="AH107" s="35"/>
      <c r="AI107" s="35"/>
      <c r="AJ107" s="35"/>
    </row>
    <row r="108" spans="2:36" hidden="1">
      <c r="C108" s="36"/>
      <c r="AH108" s="35"/>
      <c r="AI108" s="35"/>
      <c r="AJ108" s="35"/>
    </row>
    <row r="109" spans="2:36" hidden="1"/>
    <row r="110" spans="2:36" hidden="1"/>
    <row r="111" spans="2:36" hidden="1"/>
    <row r="112" spans="2:36" hidden="1"/>
    <row r="113" spans="20:36" hidden="1"/>
    <row r="114" spans="20:36" hidden="1">
      <c r="AF114" s="35"/>
      <c r="AI114" s="35"/>
      <c r="AJ114" s="35"/>
    </row>
    <row r="115" spans="20:36" hidden="1"/>
    <row r="116" spans="20:36" hidden="1">
      <c r="AH116" s="35"/>
    </row>
    <row r="117" spans="20:36" hidden="1">
      <c r="T117" s="35"/>
      <c r="W117" s="36"/>
    </row>
    <row r="118" spans="20:36" hidden="1"/>
    <row r="119" spans="20:36" hidden="1"/>
    <row r="120" spans="20:36" hidden="1"/>
    <row r="121" spans="20:36" hidden="1">
      <c r="W121" s="35"/>
    </row>
    <row r="122" spans="20:36" hidden="1">
      <c r="AG122" s="34"/>
    </row>
    <row r="123" spans="20:36" hidden="1">
      <c r="AG123" s="34"/>
    </row>
    <row r="124" spans="20:36" hidden="1">
      <c r="AG124" s="34"/>
    </row>
    <row r="125" spans="20:36" hidden="1"/>
    <row r="126" spans="20:36" hidden="1"/>
    <row r="127" spans="20:36" hidden="1"/>
    <row r="128" spans="20:36" hidden="1"/>
    <row r="129" spans="5:36" hidden="1"/>
    <row r="130" spans="5:36" hidden="1"/>
    <row r="131" spans="5:36" hidden="1"/>
    <row r="132" spans="5:36" hidden="1"/>
    <row r="133" spans="5:36" hidden="1"/>
    <row r="134" spans="5:36" hidden="1"/>
    <row r="135" spans="5:36" hidden="1"/>
    <row r="136" spans="5:36" hidden="1"/>
    <row r="137" spans="5:36" hidden="1"/>
    <row r="138" spans="5:36" hidden="1"/>
    <row r="139" spans="5:36" hidden="1"/>
    <row r="140" spans="5:36" hidden="1">
      <c r="E140" s="2270"/>
      <c r="AE140" s="3"/>
      <c r="AH140" s="3"/>
    </row>
    <row r="141" spans="5:36" hidden="1">
      <c r="AE141" s="3"/>
      <c r="AH141" s="3"/>
      <c r="AI141" s="3"/>
      <c r="AJ141" s="3"/>
    </row>
    <row r="142" spans="5:36" hidden="1">
      <c r="AE142" s="3219"/>
      <c r="AH142" s="3219"/>
      <c r="AI142" s="3"/>
    </row>
    <row r="143" spans="5:36" hidden="1">
      <c r="V143" s="35"/>
      <c r="AI143" s="3"/>
    </row>
    <row r="144" spans="5:36" hidden="1">
      <c r="AE144" s="3"/>
      <c r="AH144" s="3"/>
      <c r="AI144" s="3"/>
    </row>
    <row r="145" spans="22:34" hidden="1"/>
    <row r="146" spans="22:34" hidden="1">
      <c r="AE146" s="2123"/>
    </row>
    <row r="147" spans="22:34" hidden="1"/>
    <row r="148" spans="22:34" hidden="1"/>
    <row r="149" spans="22:34" hidden="1">
      <c r="X149" s="2123"/>
    </row>
    <row r="150" spans="22:34" hidden="1"/>
    <row r="151" spans="22:34" hidden="1"/>
    <row r="152" spans="22:34" hidden="1"/>
    <row r="153" spans="22:34" hidden="1"/>
    <row r="154" spans="22:34" hidden="1"/>
    <row r="155" spans="22:34" hidden="1"/>
    <row r="156" spans="22:34" hidden="1">
      <c r="AH156" s="3850">
        <f>AH8/W8</f>
        <v>1.1388556624840456</v>
      </c>
    </row>
    <row r="157" spans="22:34" hidden="1">
      <c r="V157" s="3"/>
      <c r="AH157" s="3850">
        <f>AH9/W9</f>
        <v>1.1388556624840456</v>
      </c>
    </row>
    <row r="158" spans="22:34" hidden="1"/>
    <row r="159" spans="22:34" hidden="1"/>
    <row r="160" spans="22:34" hidden="1">
      <c r="AE160" s="3"/>
      <c r="AH160" s="35">
        <f>AH52/W52</f>
        <v>1.0189315971883963</v>
      </c>
    </row>
    <row r="161" spans="22:34" hidden="1">
      <c r="V161" s="2123"/>
    </row>
    <row r="162" spans="22:34" hidden="1">
      <c r="AH162" s="3">
        <f>AH61-W61</f>
        <v>1630014.1999999993</v>
      </c>
    </row>
    <row r="163" spans="22:34" hidden="1"/>
    <row r="164" spans="22:34" hidden="1">
      <c r="AH164" s="36">
        <f>AH61/W61</f>
        <v>1.095897884304011</v>
      </c>
    </row>
    <row r="165" spans="22:34" hidden="1"/>
    <row r="166" spans="22:34" hidden="1"/>
    <row r="167" spans="22:34" hidden="1"/>
    <row r="168" spans="22:34" hidden="1"/>
    <row r="169" spans="22:34" hidden="1"/>
    <row r="170" spans="22:34" hidden="1"/>
    <row r="171" spans="22:34" hidden="1"/>
    <row r="172" spans="22:34" hidden="1"/>
    <row r="173" spans="22:34" hidden="1"/>
    <row r="174" spans="22:34" hidden="1"/>
    <row r="175" spans="22:34" hidden="1"/>
    <row r="176" spans="22:34"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spans="1:1" hidden="1"/>
    <row r="194" spans="1:1" hidden="1"/>
    <row r="195" spans="1:1" hidden="1"/>
    <row r="196" spans="1:1" hidden="1"/>
    <row r="197" spans="1:1" hidden="1"/>
    <row r="198" spans="1:1" hidden="1"/>
    <row r="199" spans="1:1" hidden="1"/>
    <row r="200" spans="1:1" hidden="1"/>
    <row r="201" spans="1:1" hidden="1"/>
    <row r="202" spans="1:1" hidden="1"/>
    <row r="203" spans="1:1" hidden="1"/>
    <row r="204" spans="1:1" hidden="1"/>
    <row r="205" spans="1:1" hidden="1"/>
    <row r="206" spans="1:1" s="4" customFormat="1" hidden="1">
      <c r="A206" s="81"/>
    </row>
    <row r="207" spans="1:1" s="4" customFormat="1" hidden="1">
      <c r="A207" s="81"/>
    </row>
    <row r="208" spans="1:1" s="4" customFormat="1" hidden="1">
      <c r="A208" s="81"/>
    </row>
    <row r="209" spans="1:1" s="4" customFormat="1" hidden="1">
      <c r="A209" s="81"/>
    </row>
    <row r="210" spans="1:1" s="4" customFormat="1" hidden="1">
      <c r="A210" s="81"/>
    </row>
    <row r="211" spans="1:1" s="4" customFormat="1" hidden="1">
      <c r="A211" s="81"/>
    </row>
    <row r="212" spans="1:1" s="4" customFormat="1" hidden="1">
      <c r="A212" s="81"/>
    </row>
    <row r="213" spans="1:1" s="4" customFormat="1" hidden="1">
      <c r="A213" s="81"/>
    </row>
    <row r="214" spans="1:1" s="4" customFormat="1" hidden="1">
      <c r="A214" s="81"/>
    </row>
    <row r="215" spans="1:1" s="4" customFormat="1" hidden="1">
      <c r="A215" s="81"/>
    </row>
    <row r="216" spans="1:1" s="4" customFormat="1" hidden="1">
      <c r="A216" s="81"/>
    </row>
    <row r="217" spans="1:1" s="4" customFormat="1" hidden="1">
      <c r="A217" s="81"/>
    </row>
    <row r="218" spans="1:1" s="4" customFormat="1" hidden="1">
      <c r="A218" s="81"/>
    </row>
    <row r="219" spans="1:1" s="4" customFormat="1" hidden="1">
      <c r="A219" s="81"/>
    </row>
    <row r="220" spans="1:1" s="4" customFormat="1" hidden="1">
      <c r="A220" s="81"/>
    </row>
    <row r="221" spans="1:1" s="4" customFormat="1" hidden="1">
      <c r="A221" s="81"/>
    </row>
    <row r="222" spans="1:1" s="4" customFormat="1" hidden="1">
      <c r="A222" s="81"/>
    </row>
    <row r="223" spans="1:1" s="4" customFormat="1" hidden="1">
      <c r="A223" s="81"/>
    </row>
    <row r="224" spans="1:1" s="4" customFormat="1" hidden="1">
      <c r="A224" s="81"/>
    </row>
    <row r="225" spans="1:1" s="4" customFormat="1" hidden="1">
      <c r="A225" s="81"/>
    </row>
    <row r="226" spans="1:1" s="4" customFormat="1" hidden="1">
      <c r="A226" s="81"/>
    </row>
    <row r="227" spans="1:1" s="4" customFormat="1" hidden="1">
      <c r="A227" s="81"/>
    </row>
    <row r="228" spans="1:1" s="4" customFormat="1" hidden="1">
      <c r="A228" s="81"/>
    </row>
    <row r="229" spans="1:1" s="4" customFormat="1" hidden="1">
      <c r="A229" s="81"/>
    </row>
    <row r="230" spans="1:1" s="4" customFormat="1" hidden="1">
      <c r="A230" s="81"/>
    </row>
    <row r="231" spans="1:1" s="4" customFormat="1" hidden="1">
      <c r="A231" s="81"/>
    </row>
    <row r="232" spans="1:1" s="4" customFormat="1" hidden="1">
      <c r="A232" s="81"/>
    </row>
    <row r="233" spans="1:1" s="4" customFormat="1" hidden="1">
      <c r="A233" s="81"/>
    </row>
    <row r="234" spans="1:1" s="4" customFormat="1" hidden="1">
      <c r="A234" s="81"/>
    </row>
    <row r="235" spans="1:1" s="4" customFormat="1" hidden="1">
      <c r="A235" s="81"/>
    </row>
    <row r="236" spans="1:1" s="4" customFormat="1" hidden="1">
      <c r="A236" s="81"/>
    </row>
    <row r="237" spans="1:1" s="4" customFormat="1" hidden="1">
      <c r="A237" s="81"/>
    </row>
    <row r="238" spans="1:1" s="4" customFormat="1" hidden="1">
      <c r="A238" s="81"/>
    </row>
    <row r="239" spans="1:1" s="4" customFormat="1" hidden="1">
      <c r="A239" s="81"/>
    </row>
    <row r="240" spans="1:1" s="4" customFormat="1" hidden="1">
      <c r="A240" s="81"/>
    </row>
    <row r="241" spans="1:34" s="4" customFormat="1">
      <c r="A241" s="81"/>
    </row>
    <row r="242" spans="1:34" s="4" customFormat="1">
      <c r="A242" s="81"/>
    </row>
    <row r="243" spans="1:34" s="4" customFormat="1">
      <c r="A243" s="81"/>
      <c r="AF243" s="1822"/>
      <c r="AH243" s="3870">
        <f>AH61/W61</f>
        <v>1.095897884304011</v>
      </c>
    </row>
    <row r="244" spans="1:34" s="4" customFormat="1">
      <c r="A244" s="81"/>
      <c r="AH244" s="1822">
        <f>AH61-W61</f>
        <v>1630014.1999999993</v>
      </c>
    </row>
    <row r="245" spans="1:34" s="4" customFormat="1">
      <c r="A245" s="81"/>
    </row>
    <row r="246" spans="1:34" s="4" customFormat="1">
      <c r="A246" s="81"/>
    </row>
    <row r="247" spans="1:34" s="4" customFormat="1">
      <c r="A247" s="81"/>
    </row>
    <row r="248" spans="1:34" s="4" customFormat="1">
      <c r="A248" s="81"/>
    </row>
    <row r="249" spans="1:34" s="4" customFormat="1">
      <c r="A249" s="81"/>
      <c r="AH249" s="1822">
        <f>AH8-W8</f>
        <v>1034530.2000000002</v>
      </c>
    </row>
    <row r="250" spans="1:34" s="4" customFormat="1">
      <c r="A250" s="81"/>
      <c r="AH250" s="3870">
        <f>AH8/W8</f>
        <v>1.1388556624840456</v>
      </c>
    </row>
    <row r="251" spans="1:34" s="4" customFormat="1">
      <c r="A251" s="81"/>
    </row>
    <row r="252" spans="1:34" s="4" customFormat="1">
      <c r="A252" s="81"/>
    </row>
    <row r="253" spans="1:34" s="4" customFormat="1">
      <c r="A253" s="81"/>
    </row>
    <row r="254" spans="1:34" s="4" customFormat="1">
      <c r="A254" s="81"/>
    </row>
    <row r="255" spans="1:34" s="4" customFormat="1">
      <c r="A255" s="81"/>
    </row>
    <row r="256" spans="1:34" s="4" customFormat="1">
      <c r="A256" s="81"/>
    </row>
    <row r="257" spans="1:1" s="4" customFormat="1">
      <c r="A257" s="81"/>
    </row>
    <row r="258" spans="1:1" s="4" customFormat="1">
      <c r="A258" s="81"/>
    </row>
    <row r="259" spans="1:1" s="4" customFormat="1">
      <c r="A259" s="81"/>
    </row>
    <row r="260" spans="1:1" s="4" customFormat="1">
      <c r="A260" s="81"/>
    </row>
    <row r="261" spans="1:1" s="4" customFormat="1">
      <c r="A261" s="81"/>
    </row>
    <row r="262" spans="1:1" s="4" customFormat="1">
      <c r="A262" s="81"/>
    </row>
    <row r="263" spans="1:1" s="4" customFormat="1">
      <c r="A263" s="81"/>
    </row>
    <row r="264" spans="1:1" s="4" customFormat="1">
      <c r="A264" s="81"/>
    </row>
    <row r="265" spans="1:1" s="4" customFormat="1">
      <c r="A265" s="81"/>
    </row>
    <row r="266" spans="1:1" s="4" customFormat="1">
      <c r="A266" s="81"/>
    </row>
    <row r="267" spans="1:1" s="4" customFormat="1">
      <c r="A267" s="81"/>
    </row>
    <row r="268" spans="1:1" s="4" customFormat="1">
      <c r="A268" s="81"/>
    </row>
    <row r="269" spans="1:1" s="4" customFormat="1">
      <c r="A269" s="81"/>
    </row>
    <row r="270" spans="1:1" s="4" customFormat="1">
      <c r="A270" s="81"/>
    </row>
    <row r="271" spans="1:1" s="4" customFormat="1">
      <c r="A271" s="81"/>
    </row>
    <row r="272" spans="1:1" s="4" customFormat="1">
      <c r="A272" s="81"/>
    </row>
    <row r="273" spans="1:1" s="4" customFormat="1">
      <c r="A273" s="81"/>
    </row>
    <row r="274" spans="1:1" s="4" customFormat="1">
      <c r="A274" s="81"/>
    </row>
    <row r="275" spans="1:1" s="4" customFormat="1">
      <c r="A275" s="81"/>
    </row>
    <row r="276" spans="1:1" s="4" customFormat="1">
      <c r="A276" s="81"/>
    </row>
    <row r="277" spans="1:1" s="4" customFormat="1">
      <c r="A277" s="81"/>
    </row>
    <row r="278" spans="1:1" s="4" customFormat="1">
      <c r="A278" s="81"/>
    </row>
    <row r="279" spans="1:1" s="4" customFormat="1">
      <c r="A279" s="81"/>
    </row>
    <row r="280" spans="1:1" s="4" customFormat="1">
      <c r="A280" s="81"/>
    </row>
    <row r="281" spans="1:1" s="4" customFormat="1">
      <c r="A281" s="81"/>
    </row>
    <row r="282" spans="1:1" s="4" customFormat="1">
      <c r="A282" s="81"/>
    </row>
    <row r="283" spans="1:1" s="4" customFormat="1">
      <c r="A283" s="81"/>
    </row>
    <row r="284" spans="1:1" s="4" customFormat="1">
      <c r="A284" s="81"/>
    </row>
    <row r="285" spans="1:1" s="4" customFormat="1">
      <c r="A285" s="81"/>
    </row>
    <row r="286" spans="1:1" s="4" customFormat="1">
      <c r="A286" s="81"/>
    </row>
    <row r="287" spans="1:1" s="4" customFormat="1">
      <c r="A287" s="81"/>
    </row>
    <row r="288" spans="1:1" s="4" customFormat="1">
      <c r="A288" s="81"/>
    </row>
    <row r="289" spans="1:1" s="4" customFormat="1">
      <c r="A289" s="81"/>
    </row>
    <row r="290" spans="1:1" s="4" customFormat="1">
      <c r="A290" s="81"/>
    </row>
    <row r="291" spans="1:1" s="4" customFormat="1">
      <c r="A291" s="81"/>
    </row>
    <row r="292" spans="1:1" s="4" customFormat="1">
      <c r="A292" s="81"/>
    </row>
    <row r="293" spans="1:1" s="4" customFormat="1">
      <c r="A293" s="81"/>
    </row>
    <row r="294" spans="1:1" s="4" customFormat="1">
      <c r="A294" s="81"/>
    </row>
    <row r="295" spans="1:1" s="4" customFormat="1">
      <c r="A295" s="81"/>
    </row>
    <row r="296" spans="1:1" s="4" customFormat="1">
      <c r="A296" s="81"/>
    </row>
    <row r="297" spans="1:1" s="4" customFormat="1">
      <c r="A297" s="81"/>
    </row>
    <row r="298" spans="1:1" s="4" customFormat="1">
      <c r="A298" s="81"/>
    </row>
    <row r="299" spans="1:1" s="4" customFormat="1">
      <c r="A299" s="81"/>
    </row>
    <row r="300" spans="1:1" s="4" customFormat="1">
      <c r="A300" s="81"/>
    </row>
    <row r="301" spans="1:1" s="4" customFormat="1">
      <c r="A301" s="81"/>
    </row>
    <row r="302" spans="1:1" s="4" customFormat="1">
      <c r="A302" s="81"/>
    </row>
    <row r="303" spans="1:1" s="4" customFormat="1">
      <c r="A303" s="81"/>
    </row>
    <row r="304" spans="1:1" s="4" customFormat="1">
      <c r="A304" s="81"/>
    </row>
    <row r="305" spans="1:1" s="4" customFormat="1">
      <c r="A305" s="81"/>
    </row>
    <row r="306" spans="1:1" s="4" customFormat="1">
      <c r="A306" s="81"/>
    </row>
    <row r="307" spans="1:1" s="4" customFormat="1">
      <c r="A307" s="81"/>
    </row>
    <row r="308" spans="1:1" s="4" customFormat="1">
      <c r="A308" s="81"/>
    </row>
    <row r="309" spans="1:1" s="4" customFormat="1">
      <c r="A309" s="81"/>
    </row>
    <row r="310" spans="1:1" s="4" customFormat="1">
      <c r="A310" s="81"/>
    </row>
    <row r="311" spans="1:1" s="4" customFormat="1">
      <c r="A311" s="81"/>
    </row>
    <row r="312" spans="1:1" s="4" customFormat="1">
      <c r="A312" s="81"/>
    </row>
    <row r="313" spans="1:1" s="4" customFormat="1">
      <c r="A313" s="81"/>
    </row>
    <row r="314" spans="1:1" s="4" customFormat="1">
      <c r="A314" s="81"/>
    </row>
    <row r="315" spans="1:1" s="4" customFormat="1">
      <c r="A315" s="81"/>
    </row>
    <row r="316" spans="1:1" s="4" customFormat="1">
      <c r="A316" s="81"/>
    </row>
    <row r="317" spans="1:1" s="4" customFormat="1">
      <c r="A317" s="81"/>
    </row>
    <row r="318" spans="1:1" s="4" customFormat="1">
      <c r="A318" s="81"/>
    </row>
    <row r="319" spans="1:1" s="4" customFormat="1">
      <c r="A319" s="81"/>
    </row>
    <row r="320" spans="1:1" s="4" customFormat="1">
      <c r="A320" s="81"/>
    </row>
    <row r="321" spans="1:1" s="4" customFormat="1">
      <c r="A321" s="81"/>
    </row>
    <row r="322" spans="1:1" s="4" customFormat="1">
      <c r="A322" s="81"/>
    </row>
    <row r="323" spans="1:1" s="4" customFormat="1">
      <c r="A323" s="81"/>
    </row>
    <row r="324" spans="1:1" s="4" customFormat="1">
      <c r="A324" s="81"/>
    </row>
    <row r="325" spans="1:1" s="4" customFormat="1">
      <c r="A325" s="81"/>
    </row>
    <row r="326" spans="1:1" s="4" customFormat="1">
      <c r="A326" s="81"/>
    </row>
    <row r="327" spans="1:1" s="4" customFormat="1">
      <c r="A327" s="81"/>
    </row>
    <row r="328" spans="1:1" s="4" customFormat="1">
      <c r="A328" s="81"/>
    </row>
    <row r="329" spans="1:1" s="4" customFormat="1">
      <c r="A329" s="81"/>
    </row>
    <row r="330" spans="1:1" s="4" customFormat="1">
      <c r="A330" s="81"/>
    </row>
    <row r="331" spans="1:1" s="4" customFormat="1">
      <c r="A331" s="81"/>
    </row>
    <row r="332" spans="1:1" s="4" customFormat="1">
      <c r="A332" s="81"/>
    </row>
    <row r="333" spans="1:1" s="4" customFormat="1">
      <c r="A333" s="81"/>
    </row>
    <row r="334" spans="1:1" s="4" customFormat="1">
      <c r="A334" s="81"/>
    </row>
    <row r="335" spans="1:1" s="4" customFormat="1">
      <c r="A335" s="81"/>
    </row>
    <row r="336" spans="1:1" s="4" customFormat="1">
      <c r="A336" s="81"/>
    </row>
    <row r="337" spans="1:1" s="4" customFormat="1">
      <c r="A337" s="81"/>
    </row>
    <row r="338" spans="1:1" s="4" customFormat="1">
      <c r="A338" s="81"/>
    </row>
    <row r="339" spans="1:1" s="4" customFormat="1">
      <c r="A339" s="81"/>
    </row>
    <row r="340" spans="1:1" s="4" customFormat="1">
      <c r="A340" s="81"/>
    </row>
    <row r="341" spans="1:1" s="4" customFormat="1">
      <c r="A341" s="81"/>
    </row>
    <row r="342" spans="1:1" s="4" customFormat="1">
      <c r="A342" s="81"/>
    </row>
    <row r="343" spans="1:1" s="4" customFormat="1">
      <c r="A343" s="81"/>
    </row>
    <row r="344" spans="1:1" s="4" customFormat="1">
      <c r="A344" s="81"/>
    </row>
    <row r="345" spans="1:1" s="4" customFormat="1">
      <c r="A345" s="81"/>
    </row>
    <row r="346" spans="1:1" s="4" customFormat="1">
      <c r="A346" s="81"/>
    </row>
    <row r="347" spans="1:1" s="4" customFormat="1">
      <c r="A347" s="81"/>
    </row>
    <row r="348" spans="1:1" s="4" customFormat="1">
      <c r="A348" s="81"/>
    </row>
    <row r="349" spans="1:1" s="4" customFormat="1">
      <c r="A349" s="81"/>
    </row>
    <row r="350" spans="1:1" s="4" customFormat="1">
      <c r="A350" s="81"/>
    </row>
    <row r="351" spans="1:1" s="4" customFormat="1">
      <c r="A351" s="81"/>
    </row>
    <row r="352" spans="1:1" s="4" customFormat="1">
      <c r="A352" s="81"/>
    </row>
    <row r="353" spans="1:1" s="4" customFormat="1">
      <c r="A353" s="81"/>
    </row>
    <row r="354" spans="1:1" s="4" customFormat="1">
      <c r="A354" s="81"/>
    </row>
    <row r="355" spans="1:1" s="4" customFormat="1">
      <c r="A355" s="81"/>
    </row>
    <row r="356" spans="1:1" s="4" customFormat="1">
      <c r="A356" s="81"/>
    </row>
    <row r="357" spans="1:1" s="4" customFormat="1">
      <c r="A357" s="81"/>
    </row>
    <row r="358" spans="1:1" s="4" customFormat="1">
      <c r="A358" s="81"/>
    </row>
    <row r="359" spans="1:1" s="4" customFormat="1">
      <c r="A359" s="81"/>
    </row>
    <row r="360" spans="1:1" s="4" customFormat="1">
      <c r="A360" s="81"/>
    </row>
    <row r="361" spans="1:1" s="4" customFormat="1">
      <c r="A361" s="81"/>
    </row>
    <row r="362" spans="1:1" s="4" customFormat="1">
      <c r="A362" s="81"/>
    </row>
    <row r="363" spans="1:1" s="4" customFormat="1">
      <c r="A363" s="81"/>
    </row>
    <row r="364" spans="1:1" s="4" customFormat="1">
      <c r="A364" s="81"/>
    </row>
    <row r="365" spans="1:1" s="4" customFormat="1">
      <c r="A365" s="81"/>
    </row>
    <row r="366" spans="1:1" s="4" customFormat="1">
      <c r="A366" s="81"/>
    </row>
    <row r="367" spans="1:1" s="4" customFormat="1">
      <c r="A367" s="81"/>
    </row>
    <row r="368" spans="1:1" s="4" customFormat="1">
      <c r="A368" s="81"/>
    </row>
    <row r="369" spans="1:1" s="4" customFormat="1">
      <c r="A369" s="81"/>
    </row>
    <row r="370" spans="1:1" s="4" customFormat="1">
      <c r="A370" s="81"/>
    </row>
    <row r="371" spans="1:1" s="4" customFormat="1">
      <c r="A371" s="81"/>
    </row>
    <row r="372" spans="1:1" s="4" customFormat="1">
      <c r="A372" s="81"/>
    </row>
    <row r="373" spans="1:1" s="4" customFormat="1">
      <c r="A373" s="81"/>
    </row>
    <row r="374" spans="1:1" s="4" customFormat="1">
      <c r="A374" s="81"/>
    </row>
    <row r="375" spans="1:1" s="4" customFormat="1">
      <c r="A375" s="81"/>
    </row>
    <row r="376" spans="1:1" s="4" customFormat="1">
      <c r="A376" s="81"/>
    </row>
    <row r="377" spans="1:1" s="4" customFormat="1">
      <c r="A377" s="81"/>
    </row>
    <row r="378" spans="1:1" s="4" customFormat="1">
      <c r="A378" s="81"/>
    </row>
    <row r="379" spans="1:1" s="4" customFormat="1">
      <c r="A379" s="81"/>
    </row>
    <row r="380" spans="1:1" s="4" customFormat="1">
      <c r="A380" s="81"/>
    </row>
    <row r="381" spans="1:1" s="4" customFormat="1">
      <c r="A381" s="81"/>
    </row>
    <row r="382" spans="1:1" s="4" customFormat="1">
      <c r="A382" s="81"/>
    </row>
    <row r="383" spans="1:1" s="4" customFormat="1">
      <c r="A383" s="81"/>
    </row>
    <row r="384" spans="1:1" s="4" customFormat="1">
      <c r="A384" s="81"/>
    </row>
    <row r="385" spans="1:1" s="4" customFormat="1">
      <c r="A385" s="81"/>
    </row>
    <row r="386" spans="1:1" s="4" customFormat="1">
      <c r="A386" s="81"/>
    </row>
    <row r="387" spans="1:1" s="4" customFormat="1">
      <c r="A387" s="81"/>
    </row>
    <row r="388" spans="1:1" s="4" customFormat="1">
      <c r="A388" s="81"/>
    </row>
    <row r="389" spans="1:1" s="4" customFormat="1">
      <c r="A389" s="81"/>
    </row>
    <row r="390" spans="1:1" s="4" customFormat="1">
      <c r="A390" s="81"/>
    </row>
    <row r="391" spans="1:1" s="4" customFormat="1">
      <c r="A391" s="81"/>
    </row>
    <row r="392" spans="1:1" s="4" customFormat="1">
      <c r="A392" s="81"/>
    </row>
    <row r="393" spans="1:1" s="4" customFormat="1">
      <c r="A393" s="81"/>
    </row>
    <row r="394" spans="1:1" s="4" customFormat="1">
      <c r="A394" s="81"/>
    </row>
    <row r="395" spans="1:1" s="4" customFormat="1">
      <c r="A395" s="81"/>
    </row>
    <row r="396" spans="1:1" s="4" customFormat="1">
      <c r="A396" s="81"/>
    </row>
    <row r="397" spans="1:1" s="4" customFormat="1">
      <c r="A397" s="81"/>
    </row>
    <row r="398" spans="1:1" s="4" customFormat="1">
      <c r="A398" s="81"/>
    </row>
    <row r="399" spans="1:1" s="4" customFormat="1">
      <c r="A399" s="81"/>
    </row>
    <row r="400" spans="1:1" s="4" customFormat="1">
      <c r="A400" s="81"/>
    </row>
    <row r="401" spans="1:1" s="4" customFormat="1">
      <c r="A401" s="81"/>
    </row>
    <row r="402" spans="1:1" s="4" customFormat="1">
      <c r="A402" s="81"/>
    </row>
    <row r="403" spans="1:1" s="4" customFormat="1">
      <c r="A403" s="81"/>
    </row>
    <row r="404" spans="1:1" s="4" customFormat="1">
      <c r="A404" s="81"/>
    </row>
    <row r="405" spans="1:1" s="4" customFormat="1">
      <c r="A405" s="81"/>
    </row>
    <row r="406" spans="1:1" s="4" customFormat="1">
      <c r="A406" s="81"/>
    </row>
    <row r="407" spans="1:1" s="4" customFormat="1">
      <c r="A407" s="81"/>
    </row>
    <row r="408" spans="1:1" s="4" customFormat="1">
      <c r="A408" s="81"/>
    </row>
    <row r="409" spans="1:1" s="4" customFormat="1">
      <c r="A409" s="81"/>
    </row>
    <row r="410" spans="1:1" s="4" customFormat="1">
      <c r="A410" s="81"/>
    </row>
    <row r="411" spans="1:1" s="4" customFormat="1">
      <c r="A411" s="81"/>
    </row>
    <row r="412" spans="1:1" s="4" customFormat="1">
      <c r="A412" s="81"/>
    </row>
    <row r="413" spans="1:1" s="4" customFormat="1">
      <c r="A413" s="81"/>
    </row>
    <row r="414" spans="1:1" s="4" customFormat="1">
      <c r="A414" s="81"/>
    </row>
    <row r="415" spans="1:1" s="4" customFormat="1">
      <c r="A415" s="81"/>
    </row>
    <row r="416" spans="1:1" s="4" customFormat="1">
      <c r="A416" s="81"/>
    </row>
    <row r="417" spans="1:1" s="4" customFormat="1">
      <c r="A417" s="81"/>
    </row>
    <row r="418" spans="1:1" s="4" customFormat="1">
      <c r="A418" s="81"/>
    </row>
    <row r="419" spans="1:1" s="4" customFormat="1">
      <c r="A419" s="81"/>
    </row>
    <row r="420" spans="1:1" s="4" customFormat="1">
      <c r="A420" s="81"/>
    </row>
    <row r="421" spans="1:1" s="4" customFormat="1">
      <c r="A421" s="81"/>
    </row>
    <row r="422" spans="1:1" s="4" customFormat="1">
      <c r="A422" s="81"/>
    </row>
    <row r="423" spans="1:1" s="4" customFormat="1">
      <c r="A423" s="81"/>
    </row>
    <row r="424" spans="1:1" s="4" customFormat="1">
      <c r="A424" s="81"/>
    </row>
    <row r="425" spans="1:1" s="4" customFormat="1">
      <c r="A425" s="81"/>
    </row>
    <row r="426" spans="1:1" s="4" customFormat="1">
      <c r="A426" s="81"/>
    </row>
    <row r="427" spans="1:1" s="4" customFormat="1">
      <c r="A427" s="81"/>
    </row>
    <row r="428" spans="1:1" s="4" customFormat="1">
      <c r="A428" s="81"/>
    </row>
    <row r="429" spans="1:1" s="4" customFormat="1">
      <c r="A429" s="81"/>
    </row>
    <row r="430" spans="1:1" s="4" customFormat="1">
      <c r="A430" s="81"/>
    </row>
    <row r="431" spans="1:1" s="4" customFormat="1">
      <c r="A431" s="81"/>
    </row>
    <row r="432" spans="1:1" s="4" customFormat="1">
      <c r="A432" s="81"/>
    </row>
    <row r="433" spans="1:1" s="4" customFormat="1">
      <c r="A433" s="81"/>
    </row>
    <row r="434" spans="1:1" s="4" customFormat="1">
      <c r="A434" s="81"/>
    </row>
    <row r="435" spans="1:1" s="4" customFormat="1">
      <c r="A435" s="81"/>
    </row>
    <row r="436" spans="1:1" s="4" customFormat="1">
      <c r="A436" s="81"/>
    </row>
    <row r="437" spans="1:1" s="4" customFormat="1">
      <c r="A437" s="81"/>
    </row>
    <row r="438" spans="1:1" s="4" customFormat="1">
      <c r="A438" s="81"/>
    </row>
    <row r="439" spans="1:1" s="4" customFormat="1">
      <c r="A439" s="81"/>
    </row>
    <row r="440" spans="1:1" s="4" customFormat="1">
      <c r="A440" s="81"/>
    </row>
    <row r="441" spans="1:1" s="4" customFormat="1">
      <c r="A441" s="81"/>
    </row>
    <row r="442" spans="1:1" s="4" customFormat="1">
      <c r="A442" s="81"/>
    </row>
    <row r="443" spans="1:1" s="4" customFormat="1">
      <c r="A443" s="81"/>
    </row>
    <row r="444" spans="1:1" s="4" customFormat="1">
      <c r="A444" s="81"/>
    </row>
    <row r="445" spans="1:1" s="4" customFormat="1">
      <c r="A445" s="81"/>
    </row>
    <row r="446" spans="1:1" s="4" customFormat="1">
      <c r="A446" s="81"/>
    </row>
    <row r="447" spans="1:1" s="4" customFormat="1">
      <c r="A447" s="81"/>
    </row>
    <row r="448" spans="1:1" s="4" customFormat="1">
      <c r="A448" s="81"/>
    </row>
    <row r="449" spans="1:1" s="4" customFormat="1">
      <c r="A449" s="81"/>
    </row>
    <row r="450" spans="1:1" s="4" customFormat="1">
      <c r="A450" s="81"/>
    </row>
    <row r="451" spans="1:1" s="4" customFormat="1">
      <c r="A451" s="81"/>
    </row>
    <row r="452" spans="1:1" s="4" customFormat="1">
      <c r="A452" s="81"/>
    </row>
  </sheetData>
  <mergeCells count="39">
    <mergeCell ref="D5:D6"/>
    <mergeCell ref="A4:A6"/>
    <mergeCell ref="A1:AJ1"/>
    <mergeCell ref="A2:AJ2"/>
    <mergeCell ref="H93:H94"/>
    <mergeCell ref="H4:M4"/>
    <mergeCell ref="N4:S4"/>
    <mergeCell ref="T4:Y4"/>
    <mergeCell ref="B4:B6"/>
    <mergeCell ref="C4:C6"/>
    <mergeCell ref="AA5:AA6"/>
    <mergeCell ref="U5:U6"/>
    <mergeCell ref="V5:V6"/>
    <mergeCell ref="E3:G3"/>
    <mergeCell ref="N5:N6"/>
    <mergeCell ref="O5:O6"/>
    <mergeCell ref="P5:P6"/>
    <mergeCell ref="T5:T6"/>
    <mergeCell ref="Z4:AD4"/>
    <mergeCell ref="H5:H6"/>
    <mergeCell ref="I5:I6"/>
    <mergeCell ref="J5:J6"/>
    <mergeCell ref="Z5:Z6"/>
    <mergeCell ref="AB5:AD5"/>
    <mergeCell ref="AE4:AJ4"/>
    <mergeCell ref="AE5:AE6"/>
    <mergeCell ref="AF5:AF6"/>
    <mergeCell ref="AG5:AG6"/>
    <mergeCell ref="AH5:AJ5"/>
    <mergeCell ref="AK4:AP4"/>
    <mergeCell ref="AK5:AK6"/>
    <mergeCell ref="AL5:AL6"/>
    <mergeCell ref="AM5:AM6"/>
    <mergeCell ref="AN5:AP5"/>
    <mergeCell ref="AQ4:AV4"/>
    <mergeCell ref="AQ5:AQ6"/>
    <mergeCell ref="AR5:AR6"/>
    <mergeCell ref="AS5:AS6"/>
    <mergeCell ref="AT5:AV5"/>
  </mergeCells>
  <phoneticPr fontId="2" type="noConversion"/>
  <hyperlinks>
    <hyperlink ref="A7" location="'List danh mục'!A1" display="'List danh mục'!A1"/>
    <hyperlink ref="A4:A6" location="'List danh mục'!A1" display="SỐ TT"/>
  </hyperlinks>
  <printOptions horizontalCentered="1"/>
  <pageMargins left="0" right="0" top="0.19685039370078741" bottom="0" header="0" footer="0"/>
  <pageSetup paperSize="9" scale="60" orientation="landscape" r:id="rId1"/>
  <headerFooter alignWithMargins="0">
    <oddHeader>&amp;R&amp;"Times New Roman,Bold"Phụ lục số 1</oddHeader>
    <oddFooter>&amp;C&amp;"Tahoma,Regular"&amp;8&amp;P/&amp;N</oddFooter>
  </headerFooter>
  <ignoredErrors>
    <ignoredError sqref="I10:I11 O27 K17:L21 K55 I52 Q17:R21 O10:O15 I28 E17:E21 O52 F55 O8:O9 I9 E27:E28 O16:O21 K22:L23 Q22:R23 E22:E25 O22:O25 E47:E49 O49 E40 F23" formula="1"/>
    <ignoredError sqref="N55" formula="1" formulaRange="1"/>
    <ignoredError sqref="N28 C55 M11 F28:H28 D28 G49 S11" formulaRange="1"/>
  </ignoredErrors>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N256"/>
  <sheetViews>
    <sheetView zoomScale="60" zoomScaleNormal="60" workbookViewId="0">
      <pane xSplit="4" ySplit="8" topLeftCell="E20" activePane="bottomRight" state="frozen"/>
      <selection activeCell="A30" sqref="A30:G30"/>
      <selection pane="topRight" activeCell="A30" sqref="A30:G30"/>
      <selection pane="bottomLeft" activeCell="A30" sqref="A30:G30"/>
      <selection pane="bottomRight" activeCell="A30" sqref="A30:G30"/>
    </sheetView>
  </sheetViews>
  <sheetFormatPr defaultColWidth="9" defaultRowHeight="18"/>
  <cols>
    <col min="1" max="1" width="5.69921875" style="19" customWidth="1"/>
    <col min="2" max="2" width="52.69921875" style="1" customWidth="1"/>
    <col min="3" max="5" width="12.69921875" style="1" customWidth="1"/>
    <col min="6" max="15" width="12.69921875" style="1" hidden="1" customWidth="1"/>
    <col min="16" max="20" width="12.69921875" style="1" customWidth="1"/>
    <col min="21" max="23" width="12.69921875" style="1" hidden="1" customWidth="1"/>
    <col min="24" max="38" width="12.69921875" style="1" customWidth="1"/>
    <col min="39" max="46" width="12" style="1" customWidth="1"/>
    <col min="47" max="47" width="9.8984375" style="1" bestFit="1" customWidth="1"/>
    <col min="48" max="48" width="10.19921875" style="1" customWidth="1"/>
    <col min="49" max="50" width="9" style="1"/>
    <col min="51" max="51" width="10.59765625" style="1" bestFit="1" customWidth="1"/>
    <col min="52" max="52" width="9.09765625" style="1" bestFit="1" customWidth="1"/>
    <col min="53" max="53" width="10.59765625" style="1" bestFit="1" customWidth="1"/>
    <col min="54" max="54" width="9.09765625" style="1" bestFit="1" customWidth="1"/>
    <col min="55" max="55" width="10.59765625" style="1" bestFit="1" customWidth="1"/>
    <col min="56" max="56" width="9.09765625" style="1" bestFit="1" customWidth="1"/>
    <col min="57" max="57" width="10.59765625" style="1" bestFit="1" customWidth="1"/>
    <col min="58" max="58" width="9.09765625" style="1" bestFit="1" customWidth="1"/>
    <col min="59" max="59" width="10.59765625" style="1" bestFit="1" customWidth="1"/>
    <col min="60" max="60" width="9.09765625" style="1" bestFit="1" customWidth="1"/>
    <col min="61" max="61" width="10.59765625" style="1" bestFit="1" customWidth="1"/>
    <col min="62" max="66" width="9.09765625" style="1" bestFit="1" customWidth="1"/>
    <col min="67" max="16384" width="9" style="1"/>
  </cols>
  <sheetData>
    <row r="1" spans="1:66" ht="43.95" customHeight="1">
      <c r="A1" s="4395" t="s">
        <v>243</v>
      </c>
      <c r="B1" s="4395"/>
      <c r="C1" s="4395"/>
      <c r="D1" s="4395"/>
      <c r="E1" s="4395"/>
      <c r="F1" s="4395"/>
      <c r="G1" s="4395"/>
      <c r="H1" s="4395"/>
      <c r="I1" s="4395"/>
      <c r="J1" s="4395"/>
      <c r="K1" s="4395"/>
      <c r="L1" s="4395"/>
      <c r="M1" s="4395"/>
      <c r="N1" s="4395"/>
      <c r="O1" s="4395"/>
      <c r="P1" s="4395"/>
      <c r="Q1" s="4395"/>
      <c r="R1" s="4395"/>
      <c r="S1" s="4395"/>
      <c r="T1" s="4395"/>
      <c r="U1" s="4395"/>
      <c r="V1" s="4395"/>
      <c r="W1" s="4395"/>
      <c r="X1" s="4395"/>
      <c r="Y1" s="4395"/>
      <c r="Z1" s="4395"/>
      <c r="AA1" s="4395"/>
      <c r="AB1" s="4395"/>
    </row>
    <row r="2" spans="1:66">
      <c r="A2" s="4441" t="str">
        <f>'Phụ lục số 1'!A2:AJ2</f>
        <v>(Kèm theo Báo cáo số         /BC-UBND ngày      tháng 10 năm 2023 của Ủy ban nhân dân tỉnh Đồng Tháp)</v>
      </c>
      <c r="B2" s="4441"/>
      <c r="C2" s="4441"/>
      <c r="D2" s="4441"/>
      <c r="E2" s="4441"/>
      <c r="F2" s="4441"/>
      <c r="G2" s="4441"/>
      <c r="H2" s="4441"/>
      <c r="I2" s="4441"/>
      <c r="J2" s="4441"/>
      <c r="K2" s="4441"/>
      <c r="L2" s="4441"/>
      <c r="M2" s="4441"/>
      <c r="N2" s="4441"/>
      <c r="O2" s="4441"/>
      <c r="P2" s="4441"/>
      <c r="Q2" s="4441"/>
      <c r="R2" s="4441"/>
      <c r="S2" s="4441"/>
      <c r="T2" s="4441"/>
      <c r="U2" s="4441"/>
      <c r="V2" s="4441"/>
      <c r="W2" s="4441"/>
      <c r="X2" s="4441"/>
      <c r="Y2" s="4441"/>
      <c r="Z2" s="4441"/>
      <c r="AA2" s="4441"/>
      <c r="AB2" s="4441"/>
    </row>
    <row r="3" spans="1:66" ht="18.600000000000001" thickBot="1">
      <c r="A3" s="2"/>
      <c r="B3" s="3"/>
      <c r="D3" s="4442"/>
      <c r="E3" s="4442"/>
      <c r="H3" s="3"/>
      <c r="I3" s="81">
        <f>+I30/D30</f>
        <v>0.298278944025055</v>
      </c>
      <c r="J3" s="81">
        <f>34467-34868</f>
        <v>-401</v>
      </c>
      <c r="K3" s="4"/>
      <c r="O3" s="82" t="s">
        <v>70</v>
      </c>
      <c r="X3" s="3132"/>
      <c r="Y3" s="68"/>
      <c r="Z3" s="3852"/>
      <c r="AA3" s="4612" t="s">
        <v>224</v>
      </c>
      <c r="AB3" s="4612"/>
    </row>
    <row r="4" spans="1:66" s="5" customFormat="1" ht="17.399999999999999" customHeight="1" thickTop="1">
      <c r="A4" s="4613" t="s">
        <v>0</v>
      </c>
      <c r="B4" s="4610" t="s">
        <v>27</v>
      </c>
      <c r="C4" s="4610" t="s">
        <v>145</v>
      </c>
      <c r="D4" s="4610"/>
      <c r="E4" s="4610"/>
      <c r="F4" s="4615" t="s">
        <v>110</v>
      </c>
      <c r="G4" s="4615"/>
      <c r="H4" s="4615"/>
      <c r="I4" s="4615"/>
      <c r="J4" s="4615"/>
      <c r="K4" s="4615" t="s">
        <v>111</v>
      </c>
      <c r="L4" s="4615"/>
      <c r="M4" s="4615"/>
      <c r="N4" s="4615"/>
      <c r="O4" s="4615"/>
      <c r="P4" s="4610" t="s">
        <v>150</v>
      </c>
      <c r="Q4" s="4610"/>
      <c r="R4" s="4610"/>
      <c r="S4" s="4610"/>
      <c r="T4" s="4610"/>
      <c r="U4" s="4610" t="s">
        <v>139</v>
      </c>
      <c r="V4" s="4610"/>
      <c r="W4" s="4610"/>
      <c r="X4" s="4610" t="s">
        <v>176</v>
      </c>
      <c r="Y4" s="4610"/>
      <c r="Z4" s="4610"/>
      <c r="AA4" s="4610"/>
      <c r="AB4" s="4616"/>
      <c r="AC4" s="4431" t="s">
        <v>177</v>
      </c>
      <c r="AD4" s="4418"/>
      <c r="AE4" s="4418"/>
      <c r="AF4" s="4418"/>
      <c r="AG4" s="4418"/>
      <c r="AH4" s="4418" t="s">
        <v>178</v>
      </c>
      <c r="AI4" s="4418"/>
      <c r="AJ4" s="4418"/>
      <c r="AK4" s="4418"/>
      <c r="AL4" s="4418"/>
      <c r="AM4" s="60"/>
      <c r="AN4" s="60"/>
      <c r="AO4" s="60"/>
      <c r="AP4" s="60"/>
      <c r="AQ4" s="60"/>
      <c r="AR4" s="60"/>
      <c r="AS4" s="60"/>
      <c r="AT4" s="60"/>
    </row>
    <row r="5" spans="1:66" s="5" customFormat="1" ht="57" customHeight="1">
      <c r="A5" s="4614"/>
      <c r="B5" s="4318"/>
      <c r="C5" s="6" t="s">
        <v>28</v>
      </c>
      <c r="D5" s="7" t="s">
        <v>30</v>
      </c>
      <c r="E5" s="7" t="s">
        <v>71</v>
      </c>
      <c r="F5" s="173" t="s">
        <v>28</v>
      </c>
      <c r="G5" s="173" t="s">
        <v>29</v>
      </c>
      <c r="H5" s="173" t="s">
        <v>171</v>
      </c>
      <c r="I5" s="2912" t="s">
        <v>30</v>
      </c>
      <c r="J5" s="2912" t="s">
        <v>71</v>
      </c>
      <c r="K5" s="173" t="s">
        <v>28</v>
      </c>
      <c r="L5" s="173" t="s">
        <v>29</v>
      </c>
      <c r="M5" s="173" t="s">
        <v>171</v>
      </c>
      <c r="N5" s="2912" t="s">
        <v>30</v>
      </c>
      <c r="O5" s="2912" t="s">
        <v>71</v>
      </c>
      <c r="P5" s="6" t="s">
        <v>28</v>
      </c>
      <c r="Q5" s="6" t="s">
        <v>29</v>
      </c>
      <c r="R5" s="6" t="s">
        <v>171</v>
      </c>
      <c r="S5" s="7" t="s">
        <v>30</v>
      </c>
      <c r="T5" s="7" t="s">
        <v>71</v>
      </c>
      <c r="U5" s="6" t="s">
        <v>28</v>
      </c>
      <c r="V5" s="7" t="s">
        <v>30</v>
      </c>
      <c r="W5" s="7" t="s">
        <v>71</v>
      </c>
      <c r="X5" s="182" t="s">
        <v>28</v>
      </c>
      <c r="Y5" s="182" t="s">
        <v>29</v>
      </c>
      <c r="Z5" s="182" t="s">
        <v>171</v>
      </c>
      <c r="AA5" s="1396" t="s">
        <v>30</v>
      </c>
      <c r="AB5" s="3066" t="s">
        <v>71</v>
      </c>
      <c r="AC5" s="2625" t="s">
        <v>28</v>
      </c>
      <c r="AD5" s="6" t="s">
        <v>29</v>
      </c>
      <c r="AE5" s="6" t="s">
        <v>223</v>
      </c>
      <c r="AF5" s="7" t="s">
        <v>30</v>
      </c>
      <c r="AG5" s="7" t="s">
        <v>71</v>
      </c>
      <c r="AH5" s="6" t="s">
        <v>28</v>
      </c>
      <c r="AI5" s="6" t="s">
        <v>29</v>
      </c>
      <c r="AJ5" s="6" t="s">
        <v>222</v>
      </c>
      <c r="AK5" s="7" t="s">
        <v>30</v>
      </c>
      <c r="AL5" s="7" t="s">
        <v>71</v>
      </c>
      <c r="AM5" s="70"/>
      <c r="AN5" s="70"/>
      <c r="AO5" s="70"/>
      <c r="AP5" s="70"/>
      <c r="AQ5" s="70"/>
      <c r="AR5" s="70"/>
      <c r="AS5" s="70"/>
      <c r="AT5" s="70"/>
      <c r="AY5" s="69" t="s">
        <v>162</v>
      </c>
      <c r="AZ5" s="60" t="s">
        <v>154</v>
      </c>
      <c r="BA5" s="69" t="s">
        <v>163</v>
      </c>
      <c r="BB5" s="60" t="s">
        <v>159</v>
      </c>
      <c r="BC5" s="69" t="s">
        <v>164</v>
      </c>
      <c r="BD5" s="60" t="s">
        <v>155</v>
      </c>
      <c r="BE5" s="69" t="s">
        <v>165</v>
      </c>
      <c r="BF5" s="60" t="s">
        <v>156</v>
      </c>
      <c r="BG5" s="69" t="s">
        <v>166</v>
      </c>
      <c r="BH5" s="60" t="s">
        <v>157</v>
      </c>
      <c r="BI5" s="69" t="s">
        <v>167</v>
      </c>
      <c r="BJ5" s="60" t="s">
        <v>158</v>
      </c>
      <c r="BK5" s="60" t="s">
        <v>175</v>
      </c>
      <c r="BL5" s="60" t="s">
        <v>174</v>
      </c>
      <c r="BM5" s="60" t="s">
        <v>173</v>
      </c>
      <c r="BN5" s="60" t="s">
        <v>172</v>
      </c>
    </row>
    <row r="6" spans="1:66" s="3" customFormat="1" ht="19.5" customHeight="1">
      <c r="A6" s="3067">
        <v>1</v>
      </c>
      <c r="B6" s="8">
        <v>2</v>
      </c>
      <c r="C6" s="8" t="s">
        <v>6</v>
      </c>
      <c r="D6" s="9">
        <v>4</v>
      </c>
      <c r="E6" s="8">
        <v>5</v>
      </c>
      <c r="F6" s="204" t="s">
        <v>74</v>
      </c>
      <c r="G6" s="205">
        <v>7</v>
      </c>
      <c r="H6" s="204" t="s">
        <v>75</v>
      </c>
      <c r="I6" s="205">
        <v>9</v>
      </c>
      <c r="J6" s="204">
        <v>10</v>
      </c>
      <c r="K6" s="204" t="s">
        <v>83</v>
      </c>
      <c r="L6" s="205">
        <v>12</v>
      </c>
      <c r="M6" s="204" t="s">
        <v>84</v>
      </c>
      <c r="N6" s="205">
        <v>14</v>
      </c>
      <c r="O6" s="204">
        <v>15</v>
      </c>
      <c r="P6" s="9"/>
      <c r="Q6" s="8"/>
      <c r="R6" s="9"/>
      <c r="S6" s="8"/>
      <c r="T6" s="9"/>
      <c r="U6" s="9"/>
      <c r="V6" s="8"/>
      <c r="W6" s="9"/>
      <c r="X6" s="1832"/>
      <c r="Y6" s="2914"/>
      <c r="Z6" s="1832"/>
      <c r="AA6" s="2914"/>
      <c r="AB6" s="3068"/>
      <c r="AC6" s="2626"/>
      <c r="AD6" s="8"/>
      <c r="AE6" s="9"/>
      <c r="AF6" s="8"/>
      <c r="AG6" s="9"/>
      <c r="AH6" s="9"/>
      <c r="AI6" s="8"/>
      <c r="AJ6" s="9"/>
      <c r="AK6" s="8"/>
      <c r="AL6" s="1832"/>
      <c r="AM6" s="71"/>
      <c r="AN6" s="71"/>
      <c r="AO6" s="71"/>
      <c r="AP6" s="71"/>
      <c r="AQ6" s="71"/>
      <c r="AR6" s="71"/>
      <c r="AS6" s="71"/>
      <c r="AT6" s="71"/>
    </row>
    <row r="7" spans="1:66" s="1842" customFormat="1" ht="17.399999999999999">
      <c r="A7" s="3616"/>
      <c r="B7" s="3611" t="s">
        <v>134</v>
      </c>
      <c r="C7" s="1833">
        <f>SUM(C8+C35+C39)</f>
        <v>15819995</v>
      </c>
      <c r="D7" s="1833">
        <f>SUM(D8+D35+D39)</f>
        <v>8173924</v>
      </c>
      <c r="E7" s="1833">
        <f>SUM(E8+E35+E39)</f>
        <v>7646071</v>
      </c>
      <c r="F7" s="1833">
        <f>SUM(F8+F35+F39)</f>
        <v>6613943.9000000004</v>
      </c>
      <c r="G7" s="1834">
        <f>F7/$F$7*100</f>
        <v>100</v>
      </c>
      <c r="H7" s="1835">
        <f t="shared" ref="H7:H12" si="0">F7/C7%</f>
        <v>41.807496778602015</v>
      </c>
      <c r="I7" s="1833">
        <f>SUM(I8+I35+I39)</f>
        <v>2822302.6</v>
      </c>
      <c r="J7" s="1833">
        <f>SUM(J8+J35+J39)</f>
        <v>3791641.3</v>
      </c>
      <c r="K7" s="1833">
        <f>SUM(K8+K35+K39)</f>
        <v>10620543.1</v>
      </c>
      <c r="L7" s="1834">
        <f>K7/$K$7*100</f>
        <v>100</v>
      </c>
      <c r="M7" s="1835">
        <f t="shared" ref="M7:M12" si="1">K7/C7%</f>
        <v>67.133669132006673</v>
      </c>
      <c r="N7" s="1833">
        <f>SUM(N8+N35+N39)</f>
        <v>5741321.4000000004</v>
      </c>
      <c r="O7" s="1836">
        <f>SUM(O8+O35+O39)</f>
        <v>4879221.7</v>
      </c>
      <c r="P7" s="1837">
        <f>SUM(P8+P35+P39)</f>
        <v>17291694.066666666</v>
      </c>
      <c r="Q7" s="1833">
        <f>P7/$P$7*100</f>
        <v>100</v>
      </c>
      <c r="R7" s="1838">
        <f>P7/C7*100</f>
        <v>109.30277832999738</v>
      </c>
      <c r="S7" s="1833">
        <f>SUM(S8+S35+S39)</f>
        <v>8613624</v>
      </c>
      <c r="T7" s="1833">
        <f>SUM(T8+T35+T39)</f>
        <v>8678070.0666666664</v>
      </c>
      <c r="U7" s="1833">
        <f t="shared" ref="U7:W7" si="2">SUM(U8+U35+U39)</f>
        <v>1471699.0666666667</v>
      </c>
      <c r="V7" s="1833">
        <f t="shared" si="2"/>
        <v>439700</v>
      </c>
      <c r="W7" s="1833">
        <f t="shared" si="2"/>
        <v>1031999.0666666665</v>
      </c>
      <c r="X7" s="1833">
        <f>SUM(X8+X35+X39)</f>
        <v>18627408.915999997</v>
      </c>
      <c r="Y7" s="1833">
        <f>X7/$X$7%</f>
        <v>100</v>
      </c>
      <c r="Z7" s="1838">
        <f>X7/C7*100</f>
        <v>117.74598485018484</v>
      </c>
      <c r="AA7" s="1833">
        <f>SUM(AA8+AA35+AA39)</f>
        <v>8719005.568</v>
      </c>
      <c r="AB7" s="3069">
        <f>SUM(AB8+AB35+AB39)</f>
        <v>9908403.3479999993</v>
      </c>
      <c r="AC7" s="1837">
        <f>SUM(AC8+AC35+AC39)</f>
        <v>19478786.610194877</v>
      </c>
      <c r="AD7" s="1834">
        <f t="shared" ref="AD7:AD20" si="3">AC7/$AC$7*100</f>
        <v>100</v>
      </c>
      <c r="AE7" s="1835">
        <f>AC7/X7*100</f>
        <v>104.57056425847607</v>
      </c>
      <c r="AF7" s="1833">
        <f>SUM(AF8+AF35+AF39)</f>
        <v>10261103.054215508</v>
      </c>
      <c r="AG7" s="1833">
        <f>SUM(AG8+AG35+AG39)</f>
        <v>9217683.5559793673</v>
      </c>
      <c r="AH7" s="1833">
        <f>SUM(AH8+AH35+AH39)</f>
        <v>20439289.916623373</v>
      </c>
      <c r="AI7" s="1834">
        <f>AH7/$AH$7*100</f>
        <v>100</v>
      </c>
      <c r="AJ7" s="1839">
        <f t="shared" ref="AJ7:AJ39" si="4">AH7/AC7*100</f>
        <v>104.93102227387092</v>
      </c>
      <c r="AK7" s="1833">
        <f>SUM(AK8+AK35+AK39)</f>
        <v>11301282.9867258</v>
      </c>
      <c r="AL7" s="1833">
        <f>SUM(AL8+AL35+AL39)</f>
        <v>9138006.929897571</v>
      </c>
      <c r="AM7" s="1840"/>
      <c r="AN7" s="1840"/>
      <c r="AO7" s="1840"/>
      <c r="AP7" s="1840"/>
      <c r="AQ7" s="1840"/>
      <c r="AR7" s="1840"/>
      <c r="AS7" s="1840"/>
      <c r="AT7" s="1841"/>
      <c r="AU7" s="1842">
        <f>'Phụ lục số 1'!AC8</f>
        <v>55700.733333333395</v>
      </c>
      <c r="AV7" s="1842">
        <f>'Phụ lục số 1'!AD9</f>
        <v>690699.06666666653</v>
      </c>
      <c r="AY7" s="1843">
        <f>SUM(AY8,AY35,AY39)</f>
        <v>4430864.8</v>
      </c>
      <c r="AZ7" s="1844">
        <f>F7/AY7</f>
        <v>1.4926981974263807</v>
      </c>
      <c r="BA7" s="1843">
        <f>SUM(BA8,BA35,BA39)</f>
        <v>5434781.7999999998</v>
      </c>
      <c r="BB7" s="1844">
        <f>F7/BA7</f>
        <v>1.2169658586845198</v>
      </c>
      <c r="BC7" s="1843">
        <f>SUM(BC8,BC35,BC39)</f>
        <v>6096202</v>
      </c>
      <c r="BD7" s="1844">
        <f>F7/BC7</f>
        <v>1.0849285998068963</v>
      </c>
      <c r="BE7" s="1843">
        <f>SUM(BE8,BE35,BE39)</f>
        <v>6751202</v>
      </c>
      <c r="BF7" s="1844">
        <f>F7/BE7</f>
        <v>0.97966908707516087</v>
      </c>
      <c r="BG7" s="1843">
        <f>SUM(BG8,BG35,BG39)</f>
        <v>6072570</v>
      </c>
      <c r="BH7" s="1844">
        <f>F7/BG7</f>
        <v>1.0891507055497096</v>
      </c>
      <c r="BI7" s="1843">
        <f>SUM(BI8,BI35,BI39)</f>
        <v>7397115</v>
      </c>
      <c r="BJ7" s="1845">
        <f>F7/BI7</f>
        <v>0.89412479054334026</v>
      </c>
      <c r="BK7" s="1845">
        <f>BC7/BA7</f>
        <v>1.1217013349091587</v>
      </c>
      <c r="BL7" s="1844">
        <f>BE7/BC7</f>
        <v>1.1074439462471879</v>
      </c>
      <c r="BM7" s="1844">
        <f>BG7/BE7</f>
        <v>0.89947982596284337</v>
      </c>
      <c r="BN7" s="1844">
        <f>BI7/BG7</f>
        <v>1.2181193465040336</v>
      </c>
    </row>
    <row r="8" spans="1:66" s="1842" customFormat="1" ht="17.399999999999999">
      <c r="A8" s="3070" t="s">
        <v>7</v>
      </c>
      <c r="B8" s="3562" t="s">
        <v>88</v>
      </c>
      <c r="C8" s="1846">
        <f>SUM(C9+C15+C29+C30+C31+C32+C34)</f>
        <v>13191488</v>
      </c>
      <c r="D8" s="1846">
        <f>SUM(D9+D15+D29+D30+D31+D32+D34)</f>
        <v>5545417</v>
      </c>
      <c r="E8" s="1846">
        <f>SUM(E9+E15+E29+E30+E31+E32+E34)</f>
        <v>7646071</v>
      </c>
      <c r="F8" s="1846">
        <f>SUM(F9+F15+F29+F30+F31+F32+F34)</f>
        <v>6492557.9000000004</v>
      </c>
      <c r="G8" s="1847">
        <f>F8/$F$7*100</f>
        <v>98.164695651561246</v>
      </c>
      <c r="H8" s="1848">
        <f>F8/C8%</f>
        <v>49.21778270957757</v>
      </c>
      <c r="I8" s="1846">
        <f>SUM(I9+I15+I29+I30+I31+I32+I34)</f>
        <v>2700916.6</v>
      </c>
      <c r="J8" s="1846">
        <f>SUM(J9+J15+J29+J30+J31+J32+J34)</f>
        <v>3791641.3</v>
      </c>
      <c r="K8" s="1846">
        <f>SUM(K9+K15+K29+K30+K31+K32+K34)</f>
        <v>8113422.0999999996</v>
      </c>
      <c r="L8" s="1847">
        <f t="shared" ref="L8:L17" si="5">K8/$K$7*100</f>
        <v>76.393664839983558</v>
      </c>
      <c r="M8" s="1848">
        <f t="shared" si="1"/>
        <v>61.504980332772156</v>
      </c>
      <c r="N8" s="1846">
        <f>SUM(N9+N15+N29+N30+N31+N32+N34)</f>
        <v>3234200.4</v>
      </c>
      <c r="O8" s="1849">
        <f>SUM(O9+O15+O29+O30+O31+O32+O34)</f>
        <v>4879221.7</v>
      </c>
      <c r="P8" s="1846">
        <f>SUM(P9+P15+P29+P30+P31+P32+P34+P33)</f>
        <v>14663187.066666666</v>
      </c>
      <c r="Q8" s="1846">
        <f t="shared" ref="Q8:Q39" si="6">P8/$P$7*100</f>
        <v>84.79901974979424</v>
      </c>
      <c r="R8" s="1850">
        <f t="shared" ref="R8:R39" si="7">P8/C8*100</f>
        <v>111.15642956023359</v>
      </c>
      <c r="S8" s="1846">
        <f t="shared" ref="S8:W8" si="8">SUM(S9+S15+S29+S30+S31+S32+S34+S33)</f>
        <v>5985117</v>
      </c>
      <c r="T8" s="1846">
        <f t="shared" si="8"/>
        <v>8678070.0666666664</v>
      </c>
      <c r="U8" s="1846">
        <f t="shared" si="8"/>
        <v>1471699.0666666667</v>
      </c>
      <c r="V8" s="1846">
        <f t="shared" si="8"/>
        <v>439700</v>
      </c>
      <c r="W8" s="1846">
        <f t="shared" si="8"/>
        <v>1031999.0666666665</v>
      </c>
      <c r="X8" s="1846">
        <f>SUM(X9+X15+X29+X30+X31+X32+X34+X33)</f>
        <v>16638432.915999997</v>
      </c>
      <c r="Y8" s="1846">
        <f>X8/$X$7%</f>
        <v>89.322315256140797</v>
      </c>
      <c r="Z8" s="1850">
        <f>X8/C8*100</f>
        <v>126.1300689960071</v>
      </c>
      <c r="AA8" s="1846">
        <f>SUM(AA9+AA15+AA29+AA30+AA31+AA32+AA34+AA33)</f>
        <v>6730029.568</v>
      </c>
      <c r="AB8" s="3071">
        <f>SUM(AB9+AB15+AB29+AB30+AB31+AB32+AB34+AB33)</f>
        <v>9908403.3479999993</v>
      </c>
      <c r="AC8" s="1897">
        <f>SUM(AC9+AC15+AC29+AC30+AC31+AC32+AC34+AC33)</f>
        <v>17099301.310194876</v>
      </c>
      <c r="AD8" s="1847">
        <f t="shared" si="3"/>
        <v>87.784222150908434</v>
      </c>
      <c r="AE8" s="1848">
        <f t="shared" ref="AE8:AE19" si="9">AC8/X8*100</f>
        <v>102.76990264961607</v>
      </c>
      <c r="AF8" s="1846">
        <f>SUM(AF9+AF15+AF29+AF30+AF31+AF32+AF34+AF33)</f>
        <v>7881617.7542155078</v>
      </c>
      <c r="AG8" s="1846">
        <f t="shared" ref="AG8:AH8" si="10">SUM(AG9+AG15+AG29+AG30+AG31+AG32+AG34+AG33)</f>
        <v>9217683.5559793673</v>
      </c>
      <c r="AH8" s="1846">
        <f t="shared" si="10"/>
        <v>18059804.616623372</v>
      </c>
      <c r="AI8" s="1847">
        <f t="shared" ref="AI8:AI39" si="11">AH8/$AH$7*100</f>
        <v>88.358278053168789</v>
      </c>
      <c r="AJ8" s="1851">
        <f t="shared" si="4"/>
        <v>105.61720791396212</v>
      </c>
      <c r="AK8" s="1846">
        <f t="shared" ref="AK8:AL8" si="12">SUM(AK9+AK15+AK29+AK30+AK31+AK32+AK34+AK33)</f>
        <v>8921797.6867258009</v>
      </c>
      <c r="AL8" s="1846">
        <f t="shared" si="12"/>
        <v>9138006.929897571</v>
      </c>
      <c r="AM8" s="1840"/>
      <c r="AN8" s="1840"/>
      <c r="AO8" s="1840"/>
      <c r="AP8" s="1840"/>
      <c r="AQ8" s="1840"/>
      <c r="AR8" s="1840"/>
      <c r="AS8" s="1840"/>
      <c r="AT8" s="1841"/>
      <c r="AU8" s="1842">
        <f>'Phụ lục số 1'!AC10</f>
        <v>-294299.2666666666</v>
      </c>
      <c r="AV8" s="1842">
        <f>'Phụ lục số 1'!AD10</f>
        <v>510699.06666666653</v>
      </c>
      <c r="AY8" s="1846">
        <f>SUM(AY9,AY15,AY29:AY34)</f>
        <v>4273642.8</v>
      </c>
      <c r="AZ8" s="1844">
        <f t="shared" ref="AZ8:AZ39" si="13">F8/AY8</f>
        <v>1.5192093031265974</v>
      </c>
      <c r="BA8" s="1846">
        <f>SUM(BA9,BA15,BA29:BA34)</f>
        <v>5047600.8</v>
      </c>
      <c r="BB8" s="1844">
        <f t="shared" ref="BB8:BB39" si="14">F8/BA8</f>
        <v>1.2862661207280894</v>
      </c>
      <c r="BC8" s="1846">
        <f>SUM(BC9,BC15,BC29:BC34)</f>
        <v>5866277</v>
      </c>
      <c r="BD8" s="1844">
        <f t="shared" ref="BD8:BD39" si="15">F8/BC8</f>
        <v>1.1067595171520199</v>
      </c>
      <c r="BE8" s="1846">
        <f>SUM(BE9,BE15,BE29:BE34)</f>
        <v>6418683</v>
      </c>
      <c r="BF8" s="1844">
        <f t="shared" ref="BF8:BF39" si="16">F8/BE8</f>
        <v>1.0115093548006655</v>
      </c>
      <c r="BG8" s="1846">
        <f>SUM(BG9,BG15,BG29:BG34)</f>
        <v>5920850</v>
      </c>
      <c r="BH8" s="1844">
        <f t="shared" ref="BH8:BH39" si="17">F8/BG8</f>
        <v>1.0965584164435851</v>
      </c>
      <c r="BI8" s="1846">
        <f>SUM(BI9,BI15,BI29:BI34)</f>
        <v>6887844</v>
      </c>
      <c r="BJ8" s="1845">
        <f t="shared" ref="BJ8:BJ39" si="18">F8/BI8</f>
        <v>0.94261105507035303</v>
      </c>
      <c r="BK8" s="1845">
        <f t="shared" ref="BK8:BK39" si="19">BC8/BA8</f>
        <v>1.1621911542608521</v>
      </c>
      <c r="BL8" s="1844">
        <f t="shared" ref="BL8:BL39" si="20">BE8/BC8</f>
        <v>1.094166368209343</v>
      </c>
      <c r="BM8" s="1844">
        <f t="shared" ref="BM8:BM39" si="21">BG8/BE8</f>
        <v>0.9224400083319273</v>
      </c>
      <c r="BN8" s="1844">
        <f t="shared" ref="BN8:BN39" si="22">BI8/BG8</f>
        <v>1.1633201314000523</v>
      </c>
    </row>
    <row r="9" spans="1:66" s="1861" customFormat="1" ht="17.399999999999999">
      <c r="A9" s="3072" t="s">
        <v>9</v>
      </c>
      <c r="B9" s="3612" t="s">
        <v>31</v>
      </c>
      <c r="C9" s="1852">
        <f>SUM(C10:C13)</f>
        <v>3561000</v>
      </c>
      <c r="D9" s="1852">
        <f>SUM(D10:D13)</f>
        <v>2240000</v>
      </c>
      <c r="E9" s="1852">
        <f t="shared" ref="E9:F9" si="23">SUM(E10:E13)</f>
        <v>1321000</v>
      </c>
      <c r="F9" s="1853">
        <f t="shared" si="23"/>
        <v>1729400</v>
      </c>
      <c r="G9" s="1853">
        <f t="shared" ref="G9:G17" si="24">F9/$F$7*100</f>
        <v>26.147787555319301</v>
      </c>
      <c r="H9" s="1854">
        <f t="shared" si="0"/>
        <v>48.5650098286998</v>
      </c>
      <c r="I9" s="1853">
        <f>SUM(I10:I13)</f>
        <v>1075000</v>
      </c>
      <c r="J9" s="1853">
        <f t="shared" ref="J9:K9" si="25">SUM(J10:J13)</f>
        <v>654400</v>
      </c>
      <c r="K9" s="1853">
        <f t="shared" si="25"/>
        <v>2394600</v>
      </c>
      <c r="L9" s="1853">
        <f t="shared" si="5"/>
        <v>22.54686956639722</v>
      </c>
      <c r="M9" s="1854">
        <f t="shared" si="1"/>
        <v>67.245155855096883</v>
      </c>
      <c r="N9" s="1853">
        <f>SUM(N10:N13)</f>
        <v>1465000</v>
      </c>
      <c r="O9" s="1855">
        <f>SUM(O10:O13)</f>
        <v>929600</v>
      </c>
      <c r="P9" s="1856">
        <f t="shared" ref="P9" si="26">SUM(P10:P13)</f>
        <v>4091000</v>
      </c>
      <c r="Q9" s="1852">
        <f>P9/$P$7*100</f>
        <v>23.658757691568535</v>
      </c>
      <c r="R9" s="1857">
        <f t="shared" si="7"/>
        <v>114.88345970233081</v>
      </c>
      <c r="S9" s="1852">
        <f t="shared" ref="S9:V9" si="27">SUM(S10:S13)</f>
        <v>2590000</v>
      </c>
      <c r="T9" s="1852">
        <f>SUM(T10:T13)</f>
        <v>1501000</v>
      </c>
      <c r="U9" s="1853">
        <f>SUM(U10:U13)</f>
        <v>530000</v>
      </c>
      <c r="V9" s="1853">
        <f t="shared" si="27"/>
        <v>350000</v>
      </c>
      <c r="W9" s="1853">
        <f>SUM(W10:W13)</f>
        <v>180000</v>
      </c>
      <c r="X9" s="1856">
        <f>SUM(X10:X14)</f>
        <v>4923186.4089698764</v>
      </c>
      <c r="Y9" s="1852">
        <f>X9/$X$7%</f>
        <v>26.429797247544769</v>
      </c>
      <c r="Z9" s="1857">
        <f>X9/C9*100</f>
        <v>138.25291797163371</v>
      </c>
      <c r="AA9" s="1856">
        <f>SUM(AA10:AA14)</f>
        <v>3199186</v>
      </c>
      <c r="AB9" s="1856">
        <f>SUM(AB10:AB14)</f>
        <v>1724000.4089698761</v>
      </c>
      <c r="AC9" s="1853">
        <f>SUM(AC10:AC14)</f>
        <v>4795000</v>
      </c>
      <c r="AD9" s="1853">
        <f t="shared" si="3"/>
        <v>24.616523071772733</v>
      </c>
      <c r="AE9" s="1854">
        <f t="shared" si="9"/>
        <v>97.396271472956514</v>
      </c>
      <c r="AF9" s="1853">
        <f>SUM(AF10:AF14)</f>
        <v>3439099.7457627119</v>
      </c>
      <c r="AG9" s="1853">
        <f>SUM(AG10:AG14)</f>
        <v>1355900.2542372881</v>
      </c>
      <c r="AH9" s="1853">
        <f>SUM(AH10:AH14)</f>
        <v>5085000</v>
      </c>
      <c r="AI9" s="1853">
        <f t="shared" si="11"/>
        <v>24.878555080645658</v>
      </c>
      <c r="AJ9" s="1859">
        <f t="shared" si="4"/>
        <v>106.04796663190822</v>
      </c>
      <c r="AK9" s="1853">
        <f>SUM(AK10:AK14)</f>
        <v>3690399.7330508474</v>
      </c>
      <c r="AL9" s="1853">
        <f>SUM(AL10:AL14)</f>
        <v>1394600.2669491526</v>
      </c>
      <c r="AM9" s="1860"/>
      <c r="AN9" s="1860"/>
      <c r="AO9" s="1860"/>
      <c r="AP9" s="1860"/>
      <c r="AQ9" s="1860"/>
      <c r="AR9" s="1860"/>
      <c r="AS9" s="1860"/>
      <c r="AT9" s="1860"/>
      <c r="AU9" s="1861">
        <f>AU8/2</f>
        <v>-147149.6333333333</v>
      </c>
      <c r="AV9" s="1861">
        <f>AV8*70%-7</f>
        <v>357482.34666666656</v>
      </c>
      <c r="AY9" s="1852">
        <f>SUM(AY10:AY13)</f>
        <v>1169863.8</v>
      </c>
      <c r="AZ9" s="1862">
        <f>F9/AY9</f>
        <v>1.4782917464409104</v>
      </c>
      <c r="BA9" s="1852">
        <f>SUM(BA10:BA13)</f>
        <v>1710031</v>
      </c>
      <c r="BB9" s="1862">
        <f t="shared" si="14"/>
        <v>1.0113266952470452</v>
      </c>
      <c r="BC9" s="1852">
        <f>SUM(BC10:BC13)</f>
        <v>1301045</v>
      </c>
      <c r="BD9" s="1862">
        <f t="shared" si="15"/>
        <v>1.3292391884984762</v>
      </c>
      <c r="BE9" s="1852">
        <f>SUM(BE10:BE13)</f>
        <v>2157621</v>
      </c>
      <c r="BF9" s="1862">
        <f t="shared" si="16"/>
        <v>0.80153094542554049</v>
      </c>
      <c r="BG9" s="1852">
        <f>SUM(BG10:BG13)</f>
        <v>1693634</v>
      </c>
      <c r="BH9" s="1862">
        <f t="shared" si="17"/>
        <v>1.0211179038682501</v>
      </c>
      <c r="BI9" s="1852">
        <f>SUM(BI10:BI13)</f>
        <v>2704340</v>
      </c>
      <c r="BJ9" s="1863">
        <f t="shared" si="18"/>
        <v>0.63949059659658181</v>
      </c>
      <c r="BK9" s="1863">
        <f t="shared" si="19"/>
        <v>0.76083123639279049</v>
      </c>
      <c r="BL9" s="1862">
        <f t="shared" si="20"/>
        <v>1.6583753828653121</v>
      </c>
      <c r="BM9" s="1862">
        <f t="shared" si="21"/>
        <v>0.78495435481949793</v>
      </c>
      <c r="BN9" s="1862">
        <f t="shared" si="22"/>
        <v>1.5967676605453127</v>
      </c>
    </row>
    <row r="10" spans="1:66" s="1874" customFormat="1">
      <c r="A10" s="3018">
        <v>1</v>
      </c>
      <c r="B10" s="3587" t="s">
        <v>1305</v>
      </c>
      <c r="C10" s="1865">
        <f t="shared" ref="C10:C39" si="28">D10+E10</f>
        <v>1061000</v>
      </c>
      <c r="D10" s="1865">
        <f>'[23]Phụ lục số 2'!$N$10</f>
        <v>540000</v>
      </c>
      <c r="E10" s="1865">
        <f>'[23]Phụ lục số 2'!$O$10</f>
        <v>521000</v>
      </c>
      <c r="F10" s="1865">
        <f>SUM(I10,J10)</f>
        <v>424400</v>
      </c>
      <c r="G10" s="1865">
        <f t="shared" si="24"/>
        <v>6.416746292631843</v>
      </c>
      <c r="H10" s="1866">
        <f t="shared" si="0"/>
        <v>40</v>
      </c>
      <c r="I10" s="1865">
        <f>INT(D10*40%)</f>
        <v>216000</v>
      </c>
      <c r="J10" s="1865">
        <f>INT(E10*40%)</f>
        <v>208400</v>
      </c>
      <c r="K10" s="1867">
        <f>SUM(N10,O10)</f>
        <v>636600</v>
      </c>
      <c r="L10" s="1867">
        <f t="shared" si="5"/>
        <v>5.9940437509264477</v>
      </c>
      <c r="M10" s="1868">
        <f t="shared" si="1"/>
        <v>60</v>
      </c>
      <c r="N10" s="1867">
        <f>(D10)-I10</f>
        <v>324000</v>
      </c>
      <c r="O10" s="1869">
        <f>(E10)-J10</f>
        <v>312600</v>
      </c>
      <c r="P10" s="1870">
        <f>SUM(S10:T10)</f>
        <v>1061000</v>
      </c>
      <c r="Q10" s="1865">
        <f t="shared" si="6"/>
        <v>6.1358938916534385</v>
      </c>
      <c r="R10" s="1866">
        <f t="shared" si="7"/>
        <v>100</v>
      </c>
      <c r="S10" s="1865">
        <f t="shared" ref="S10:S39" si="29">N10+I10</f>
        <v>540000</v>
      </c>
      <c r="T10" s="1865">
        <f t="shared" ref="T10:T39" si="30">O10+J10</f>
        <v>521000</v>
      </c>
      <c r="U10" s="1867">
        <f t="shared" ref="U10:U37" si="31">P10-C10</f>
        <v>0</v>
      </c>
      <c r="V10" s="1867">
        <f t="shared" ref="V10:V39" si="32">S10-D10</f>
        <v>0</v>
      </c>
      <c r="W10" s="1867">
        <f t="shared" ref="W10:W39" si="33">T10-E10</f>
        <v>0</v>
      </c>
      <c r="X10" s="1865">
        <f>SUM(AA10:AB10)</f>
        <v>1143186.4089698761</v>
      </c>
      <c r="Y10" s="1865">
        <f t="shared" ref="Y10:Y12" si="34">X10/$X$7%</f>
        <v>6.1371198438014485</v>
      </c>
      <c r="Z10" s="1866">
        <f t="shared" ref="Z10:Z12" si="35">X10/C10*100</f>
        <v>107.74612714136438</v>
      </c>
      <c r="AA10" s="1865">
        <f>'Phụ lục số 4'!E9</f>
        <v>562186</v>
      </c>
      <c r="AB10" s="3073">
        <f>'Phụ lục số 6'!C8</f>
        <v>581000.40896987612</v>
      </c>
      <c r="AC10" s="1871">
        <f>SUM(AF10:AG10)</f>
        <v>1213000</v>
      </c>
      <c r="AD10" s="1867">
        <f t="shared" si="3"/>
        <v>6.227287275507889</v>
      </c>
      <c r="AE10" s="1868">
        <f t="shared" si="9"/>
        <v>106.10692976074067</v>
      </c>
      <c r="AF10" s="1865">
        <f>ROUND(AA10*$AF$125,-3)</f>
        <v>632000</v>
      </c>
      <c r="AG10" s="1865">
        <f>ROUND(AB10*1,-3)</f>
        <v>581000</v>
      </c>
      <c r="AH10" s="1870">
        <f>SUM(AK10:AL10)</f>
        <v>1265000</v>
      </c>
      <c r="AI10" s="1865">
        <f t="shared" si="11"/>
        <v>6.1890604084595395</v>
      </c>
      <c r="AJ10" s="1872">
        <f t="shared" si="4"/>
        <v>104.28689200329761</v>
      </c>
      <c r="AK10" s="1865">
        <f>ROUND(AF10*$AK$125,-3)</f>
        <v>684000</v>
      </c>
      <c r="AL10" s="1865">
        <f>ROUND(AG10*1,-3)</f>
        <v>581000</v>
      </c>
      <c r="AM10" s="1873"/>
      <c r="AN10" s="1873"/>
      <c r="AO10" s="1873"/>
      <c r="AP10" s="1873"/>
      <c r="AQ10" s="1873"/>
      <c r="AR10" s="1873"/>
      <c r="AS10" s="1873"/>
      <c r="AT10" s="1873"/>
      <c r="AU10" s="1874">
        <f>AU8/2</f>
        <v>-147149.6333333333</v>
      </c>
      <c r="AV10" s="1874">
        <f>AV8-AV9</f>
        <v>153216.71999999997</v>
      </c>
      <c r="AY10" s="1874">
        <v>294954</v>
      </c>
      <c r="AZ10" s="1875">
        <f t="shared" si="13"/>
        <v>1.4388684337218685</v>
      </c>
      <c r="BA10" s="1874">
        <f>544311</f>
        <v>544311</v>
      </c>
      <c r="BB10" s="1875">
        <f t="shared" si="14"/>
        <v>0.77970131046405455</v>
      </c>
      <c r="BC10" s="1874">
        <v>477918</v>
      </c>
      <c r="BD10" s="1875">
        <f t="shared" si="15"/>
        <v>0.88801844667913743</v>
      </c>
      <c r="BE10" s="1874">
        <v>213734</v>
      </c>
      <c r="BF10" s="1875">
        <f t="shared" si="16"/>
        <v>1.9856457091524979</v>
      </c>
      <c r="BG10" s="1874">
        <v>120811</v>
      </c>
      <c r="BH10" s="1875">
        <f t="shared" si="17"/>
        <v>3.5129251475445118</v>
      </c>
      <c r="BI10" s="1874">
        <f>207316</f>
        <v>207316</v>
      </c>
      <c r="BJ10" s="1876">
        <f t="shared" si="18"/>
        <v>2.0471164791911862</v>
      </c>
      <c r="BK10" s="1876">
        <f t="shared" si="19"/>
        <v>0.87802377684816213</v>
      </c>
      <c r="BL10" s="1875">
        <f t="shared" si="20"/>
        <v>0.44721897898802726</v>
      </c>
      <c r="BM10" s="1875">
        <f t="shared" si="21"/>
        <v>0.56523997117912916</v>
      </c>
      <c r="BN10" s="1875">
        <f t="shared" si="22"/>
        <v>1.7160357914428321</v>
      </c>
    </row>
    <row r="11" spans="1:66" s="1874" customFormat="1">
      <c r="A11" s="3018">
        <v>2</v>
      </c>
      <c r="B11" s="3587" t="s">
        <v>391</v>
      </c>
      <c r="C11" s="1865">
        <f t="shared" si="28"/>
        <v>900000</v>
      </c>
      <c r="D11" s="1865">
        <f>'[23]Phụ lục số 2'!$N$11</f>
        <v>100000</v>
      </c>
      <c r="E11" s="1865">
        <f>'[23]Phụ lục số 2'!$O$11</f>
        <v>800000</v>
      </c>
      <c r="F11" s="1877">
        <f>SUM(I11,J11)</f>
        <v>476000</v>
      </c>
      <c r="G11" s="1877">
        <f>F11/$F$7*100</f>
        <v>7.1969162000300608</v>
      </c>
      <c r="H11" s="1878">
        <f t="shared" si="0"/>
        <v>52.888888888888886</v>
      </c>
      <c r="I11" s="1877">
        <f>'Phụ lục số 1'!L40</f>
        <v>30000</v>
      </c>
      <c r="J11" s="1877">
        <f>'Phụ lục số 1'!M40-206</f>
        <v>446000</v>
      </c>
      <c r="K11" s="1877">
        <f>SUM(N11,O11)</f>
        <v>624000</v>
      </c>
      <c r="L11" s="1877">
        <f>K11/$K$7*100</f>
        <v>5.8754057502012307</v>
      </c>
      <c r="M11" s="1878">
        <f t="shared" si="1"/>
        <v>69.333333333333329</v>
      </c>
      <c r="N11" s="1877">
        <f>'Phụ lục số 1'!R40</f>
        <v>70000</v>
      </c>
      <c r="O11" s="1879">
        <f>'Phụ lục số 1'!S40+206</f>
        <v>554000</v>
      </c>
      <c r="P11" s="1870">
        <f>SUM(S11:T11)</f>
        <v>1080000</v>
      </c>
      <c r="Q11" s="1865">
        <f t="shared" si="6"/>
        <v>6.245773235613302</v>
      </c>
      <c r="R11" s="1866">
        <f t="shared" si="7"/>
        <v>120</v>
      </c>
      <c r="S11" s="1865">
        <f>'Phụ lục số 1'!X40</f>
        <v>100000</v>
      </c>
      <c r="T11" s="1865">
        <f>'Phụ lục số 1'!Y40</f>
        <v>980000</v>
      </c>
      <c r="U11" s="1867">
        <f t="shared" si="31"/>
        <v>180000</v>
      </c>
      <c r="V11" s="1867">
        <f t="shared" si="32"/>
        <v>0</v>
      </c>
      <c r="W11" s="1867">
        <f t="shared" si="33"/>
        <v>180000</v>
      </c>
      <c r="X11" s="1865">
        <f>SUM(AA11:AB11)</f>
        <v>1770000</v>
      </c>
      <c r="Y11" s="1865">
        <f t="shared" si="34"/>
        <v>9.5021267208004438</v>
      </c>
      <c r="Z11" s="1866">
        <f>X11/C11*100</f>
        <v>196.66666666666666</v>
      </c>
      <c r="AA11" s="1865">
        <f>'Phụ lục số 1'!AI40</f>
        <v>627000</v>
      </c>
      <c r="AB11" s="3073">
        <f>'Phụ lục số 6'!C9</f>
        <v>1143000</v>
      </c>
      <c r="AC11" s="1871">
        <f>SUM(AF11:AG11)</f>
        <v>1200000</v>
      </c>
      <c r="AD11" s="1867">
        <f t="shared" si="3"/>
        <v>6.1605480054488595</v>
      </c>
      <c r="AE11" s="1868">
        <f t="shared" si="9"/>
        <v>67.796610169491515</v>
      </c>
      <c r="AF11" s="1865">
        <f>'Phụ lục số 1'!AO40</f>
        <v>425099.74576271186</v>
      </c>
      <c r="AG11" s="1865">
        <f>'Phụ lục số 1'!AP40</f>
        <v>774900.25423728814</v>
      </c>
      <c r="AH11" s="1870">
        <f>SUM(AK11:AL11)</f>
        <v>1260000</v>
      </c>
      <c r="AI11" s="1865">
        <f t="shared" si="11"/>
        <v>6.1645977190980394</v>
      </c>
      <c r="AJ11" s="1872">
        <f t="shared" si="4"/>
        <v>105</v>
      </c>
      <c r="AK11" s="1865">
        <f>'Phụ lục số 1'!AU40</f>
        <v>446399.73305084754</v>
      </c>
      <c r="AL11" s="1865">
        <f>'Phụ lục số 1'!AV40</f>
        <v>813600.26694915246</v>
      </c>
      <c r="AM11" s="1873"/>
      <c r="AN11" s="1873"/>
      <c r="AO11" s="1873"/>
      <c r="AP11" s="1873"/>
      <c r="AQ11" s="1873"/>
      <c r="AR11" s="1873"/>
      <c r="AS11" s="1873"/>
      <c r="AT11" s="1873"/>
      <c r="AV11" s="1874">
        <f>AV10*50%-5</f>
        <v>76603.359999999986</v>
      </c>
      <c r="AY11" s="1874">
        <v>100359</v>
      </c>
      <c r="AZ11" s="1875">
        <f t="shared" si="13"/>
        <v>4.7429727279068148</v>
      </c>
      <c r="BA11" s="1874">
        <f>63353+36520</f>
        <v>99873</v>
      </c>
      <c r="BB11" s="1875">
        <f t="shared" si="14"/>
        <v>4.7660528871667021</v>
      </c>
      <c r="BC11" s="1874">
        <f>99899+33206</f>
        <v>133105</v>
      </c>
      <c r="BD11" s="1875">
        <f t="shared" si="15"/>
        <v>3.5761241125427294</v>
      </c>
      <c r="BE11" s="1874">
        <f>80815+33206</f>
        <v>114021</v>
      </c>
      <c r="BF11" s="1875">
        <f t="shared" si="16"/>
        <v>4.1746695784109944</v>
      </c>
      <c r="BG11" s="1874">
        <f>86983+42546</f>
        <v>129529</v>
      </c>
      <c r="BH11" s="1875">
        <f t="shared" si="17"/>
        <v>3.6748527356808127</v>
      </c>
      <c r="BI11" s="1874">
        <f>256179+33206</f>
        <v>289385</v>
      </c>
      <c r="BJ11" s="1876">
        <f t="shared" si="18"/>
        <v>1.6448675639718713</v>
      </c>
      <c r="BK11" s="1876">
        <f t="shared" si="19"/>
        <v>1.3327425830805122</v>
      </c>
      <c r="BL11" s="1875">
        <f t="shared" si="20"/>
        <v>0.85662446940385406</v>
      </c>
      <c r="BM11" s="1875">
        <f t="shared" si="21"/>
        <v>1.1360100332394909</v>
      </c>
      <c r="BN11" s="1875">
        <f t="shared" si="22"/>
        <v>2.2341328968802352</v>
      </c>
    </row>
    <row r="12" spans="1:66" s="1874" customFormat="1">
      <c r="A12" s="3018">
        <v>3</v>
      </c>
      <c r="B12" s="3587" t="s">
        <v>1378</v>
      </c>
      <c r="C12" s="1865">
        <f t="shared" si="28"/>
        <v>1600000</v>
      </c>
      <c r="D12" s="1865">
        <f>'[23]Phụ lục số 2'!$N$12</f>
        <v>1600000</v>
      </c>
      <c r="E12" s="1865">
        <v>0</v>
      </c>
      <c r="F12" s="1865">
        <f t="shared" ref="F12:F13" si="36">SUM(I12,J12)</f>
        <v>829000</v>
      </c>
      <c r="G12" s="1865">
        <f>F12/$F$7*100</f>
        <v>12.534125062657395</v>
      </c>
      <c r="H12" s="1866">
        <f t="shared" si="0"/>
        <v>51.8125</v>
      </c>
      <c r="I12" s="1865">
        <f>'Phụ lục số 1'!L48-476-110000</f>
        <v>829000</v>
      </c>
      <c r="J12" s="1865">
        <f>'Phụ lục số 1'!M48</f>
        <v>0</v>
      </c>
      <c r="K12" s="1865">
        <f t="shared" ref="K12:K13" si="37">SUM(N12,O12)</f>
        <v>1071000</v>
      </c>
      <c r="L12" s="1865">
        <f>K12/$K$7*100</f>
        <v>10.084230061643458</v>
      </c>
      <c r="M12" s="1866">
        <f t="shared" si="1"/>
        <v>66.9375</v>
      </c>
      <c r="N12" s="1865">
        <f>'Phụ lục số 1'!R48+476+110000</f>
        <v>1071000</v>
      </c>
      <c r="O12" s="1880">
        <f>'Phụ lục số 1'!S48</f>
        <v>0</v>
      </c>
      <c r="P12" s="1870">
        <f>SUM(S12:T12)</f>
        <v>1950000</v>
      </c>
      <c r="Q12" s="1865">
        <f>P12/$P$7*100</f>
        <v>11.277090564301794</v>
      </c>
      <c r="R12" s="1866">
        <f t="shared" si="7"/>
        <v>121.875</v>
      </c>
      <c r="S12" s="1865">
        <f>'Phụ lục số 1'!X48</f>
        <v>1950000</v>
      </c>
      <c r="T12" s="1865">
        <f t="shared" si="30"/>
        <v>0</v>
      </c>
      <c r="U12" s="1867">
        <f t="shared" si="31"/>
        <v>350000</v>
      </c>
      <c r="V12" s="1867">
        <f t="shared" si="32"/>
        <v>350000</v>
      </c>
      <c r="W12" s="1867">
        <f t="shared" si="33"/>
        <v>0</v>
      </c>
      <c r="X12" s="1865">
        <f>SUM(AA12:AB12)</f>
        <v>1950000</v>
      </c>
      <c r="Y12" s="1865">
        <f t="shared" si="34"/>
        <v>10.468444692407269</v>
      </c>
      <c r="Z12" s="1866">
        <f t="shared" si="35"/>
        <v>121.875</v>
      </c>
      <c r="AA12" s="1865">
        <f>'Phụ lục số 1'!AI48</f>
        <v>1950000</v>
      </c>
      <c r="AB12" s="3073">
        <f>'Phụ lục số 1'!AJ48</f>
        <v>0</v>
      </c>
      <c r="AC12" s="1871">
        <f t="shared" ref="AC12:AC37" si="38">SUM(AF12:AG12)</f>
        <v>2322000</v>
      </c>
      <c r="AD12" s="1867">
        <f t="shared" si="3"/>
        <v>11.920660390543542</v>
      </c>
      <c r="AE12" s="1868">
        <f t="shared" si="9"/>
        <v>119.07692307692308</v>
      </c>
      <c r="AF12" s="1865">
        <f>'Phụ lục số 1'!AO48</f>
        <v>2322000</v>
      </c>
      <c r="AG12" s="1865">
        <f>'Phụ lục số 1'!AP48</f>
        <v>0</v>
      </c>
      <c r="AH12" s="1870">
        <f t="shared" ref="AH12:AH14" si="39">SUM(AK12:AL12)</f>
        <v>2500000</v>
      </c>
      <c r="AI12" s="1865">
        <f t="shared" si="11"/>
        <v>12.231344680750079</v>
      </c>
      <c r="AJ12" s="1872">
        <f t="shared" si="4"/>
        <v>107.66580534022394</v>
      </c>
      <c r="AK12" s="1865">
        <f>'Phụ lục số 1'!AU48</f>
        <v>2500000</v>
      </c>
      <c r="AL12" s="1865">
        <f>'Phụ lục số 1'!AV48</f>
        <v>0</v>
      </c>
      <c r="AM12" s="1873"/>
      <c r="AN12" s="1873"/>
      <c r="AO12" s="1873"/>
      <c r="AP12" s="1873"/>
      <c r="AQ12" s="1873"/>
      <c r="AR12" s="1873"/>
      <c r="AS12" s="1873"/>
      <c r="AT12" s="1873"/>
      <c r="AV12" s="1874">
        <f>AV10-AV11</f>
        <v>76613.359999999986</v>
      </c>
      <c r="AY12" s="1874">
        <v>264702.40000000002</v>
      </c>
      <c r="AZ12" s="1875">
        <f t="shared" si="13"/>
        <v>3.1318189785963404</v>
      </c>
      <c r="BA12" s="1874">
        <f>267654</f>
        <v>267654</v>
      </c>
      <c r="BB12" s="1875">
        <f t="shared" si="14"/>
        <v>3.0972823122389355</v>
      </c>
      <c r="BC12" s="1874">
        <v>428933</v>
      </c>
      <c r="BD12" s="1875">
        <f t="shared" si="15"/>
        <v>1.9327027764242901</v>
      </c>
      <c r="BE12" s="1874">
        <f>229523</f>
        <v>229523</v>
      </c>
      <c r="BF12" s="1875">
        <f t="shared" si="16"/>
        <v>3.6118384649904365</v>
      </c>
      <c r="BG12" s="1874">
        <v>265992</v>
      </c>
      <c r="BH12" s="1875">
        <f t="shared" si="17"/>
        <v>3.1166350867695267</v>
      </c>
      <c r="BI12" s="1874">
        <v>283187</v>
      </c>
      <c r="BJ12" s="1876">
        <f t="shared" si="18"/>
        <v>2.9273942659797236</v>
      </c>
      <c r="BK12" s="1876">
        <f t="shared" si="19"/>
        <v>1.6025652521539002</v>
      </c>
      <c r="BL12" s="1875">
        <f t="shared" si="20"/>
        <v>0.53510221876143826</v>
      </c>
      <c r="BM12" s="1875">
        <f t="shared" si="21"/>
        <v>1.1588903944267024</v>
      </c>
      <c r="BN12" s="1875">
        <f t="shared" si="22"/>
        <v>1.064644801347409</v>
      </c>
    </row>
    <row r="13" spans="1:66" s="3865" customFormat="1" ht="36" hidden="1">
      <c r="A13" s="3859">
        <v>4</v>
      </c>
      <c r="B13" s="3860" t="s">
        <v>2756</v>
      </c>
      <c r="C13" s="1877">
        <f t="shared" si="28"/>
        <v>0</v>
      </c>
      <c r="D13" s="1877">
        <f>'[23]Phụ lục số 2'!$N$13</f>
        <v>0</v>
      </c>
      <c r="E13" s="1877">
        <v>0</v>
      </c>
      <c r="F13" s="1877">
        <f t="shared" si="36"/>
        <v>0</v>
      </c>
      <c r="G13" s="1877"/>
      <c r="H13" s="1878"/>
      <c r="I13" s="1877">
        <v>0</v>
      </c>
      <c r="J13" s="1877">
        <f>'Phụ lục số 1'!M46</f>
        <v>0</v>
      </c>
      <c r="K13" s="1877">
        <f t="shared" si="37"/>
        <v>63000</v>
      </c>
      <c r="L13" s="1877"/>
      <c r="M13" s="1878"/>
      <c r="N13" s="1877">
        <f>'Phụ lục số 1'!R46</f>
        <v>0</v>
      </c>
      <c r="O13" s="1879">
        <v>63000</v>
      </c>
      <c r="P13" s="3861">
        <f>SUM(S13:T13)</f>
        <v>0</v>
      </c>
      <c r="Q13" s="1877"/>
      <c r="R13" s="1878"/>
      <c r="S13" s="1877">
        <f t="shared" ref="S13" si="40">N13+I13</f>
        <v>0</v>
      </c>
      <c r="T13" s="1877"/>
      <c r="U13" s="1877">
        <f t="shared" si="31"/>
        <v>0</v>
      </c>
      <c r="V13" s="1877">
        <f t="shared" si="32"/>
        <v>0</v>
      </c>
      <c r="W13" s="1877">
        <f t="shared" ref="W13" si="41">T13-E13</f>
        <v>0</v>
      </c>
      <c r="X13" s="1877">
        <f>SUM(AA13:AB13)</f>
        <v>0</v>
      </c>
      <c r="Y13" s="1877">
        <f>X13/$X$7%</f>
        <v>0</v>
      </c>
      <c r="Z13" s="1878" t="e">
        <f t="shared" ref="Z13:Z24" si="42">X13/C13*100</f>
        <v>#DIV/0!</v>
      </c>
      <c r="AA13" s="1877">
        <f>'Phụ lục số 1'!AI46</f>
        <v>0</v>
      </c>
      <c r="AB13" s="3862">
        <f>'Phụ lục số 1'!AJ45</f>
        <v>0</v>
      </c>
      <c r="AC13" s="3861">
        <f t="shared" si="38"/>
        <v>0</v>
      </c>
      <c r="AD13" s="1877">
        <f t="shared" si="3"/>
        <v>0</v>
      </c>
      <c r="AE13" s="1878" t="e">
        <f t="shared" si="9"/>
        <v>#DIV/0!</v>
      </c>
      <c r="AF13" s="1877">
        <f>'Phụ lục số 1'!AO46</f>
        <v>0</v>
      </c>
      <c r="AG13" s="1877">
        <f>'Phụ lục số 1'!AP45</f>
        <v>0</v>
      </c>
      <c r="AH13" s="3861">
        <f t="shared" si="39"/>
        <v>0</v>
      </c>
      <c r="AI13" s="1877">
        <f t="shared" si="11"/>
        <v>0</v>
      </c>
      <c r="AJ13" s="3863" t="e">
        <f t="shared" si="4"/>
        <v>#DIV/0!</v>
      </c>
      <c r="AK13" s="1877">
        <f>'Phụ lục số 1'!AU46</f>
        <v>0</v>
      </c>
      <c r="AL13" s="1877">
        <f>'Phụ lục số 1'!AV46</f>
        <v>0</v>
      </c>
      <c r="AM13" s="3864"/>
      <c r="AN13" s="3864"/>
      <c r="AO13" s="3864"/>
      <c r="AP13" s="3864"/>
      <c r="AQ13" s="3864"/>
      <c r="AR13" s="3864"/>
      <c r="AS13" s="3864"/>
      <c r="AT13" s="3864"/>
      <c r="AV13" s="3865">
        <f>AV12*45%+45</f>
        <v>34521.011999999995</v>
      </c>
      <c r="AY13" s="3865">
        <f>9276+500572.4</f>
        <v>509848.4</v>
      </c>
      <c r="AZ13" s="3866">
        <f t="shared" si="13"/>
        <v>0</v>
      </c>
      <c r="BA13" s="3865">
        <v>798193</v>
      </c>
      <c r="BB13" s="3866">
        <f t="shared" si="14"/>
        <v>0</v>
      </c>
      <c r="BC13" s="3865">
        <v>261089</v>
      </c>
      <c r="BD13" s="3866">
        <f t="shared" si="15"/>
        <v>0</v>
      </c>
      <c r="BE13" s="3865">
        <f>1600343</f>
        <v>1600343</v>
      </c>
      <c r="BF13" s="3866">
        <f t="shared" si="16"/>
        <v>0</v>
      </c>
      <c r="BG13" s="3865">
        <v>1177302</v>
      </c>
      <c r="BH13" s="3866">
        <f t="shared" si="17"/>
        <v>0</v>
      </c>
      <c r="BI13" s="3865">
        <v>1924452</v>
      </c>
      <c r="BJ13" s="3867">
        <f t="shared" si="18"/>
        <v>0</v>
      </c>
      <c r="BK13" s="3867">
        <f t="shared" si="19"/>
        <v>0.32710008732223911</v>
      </c>
      <c r="BL13" s="3866">
        <f t="shared" si="20"/>
        <v>6.1294922421090128</v>
      </c>
      <c r="BM13" s="3866">
        <f t="shared" si="21"/>
        <v>0.73565604373562421</v>
      </c>
      <c r="BN13" s="3866">
        <f t="shared" si="22"/>
        <v>1.6346290076802723</v>
      </c>
    </row>
    <row r="14" spans="1:66" s="1874" customFormat="1" ht="36">
      <c r="A14" s="3018">
        <v>4</v>
      </c>
      <c r="B14" s="3587" t="s">
        <v>2802</v>
      </c>
      <c r="C14" s="1865"/>
      <c r="D14" s="3542"/>
      <c r="E14" s="1865"/>
      <c r="F14" s="1865"/>
      <c r="G14" s="1865"/>
      <c r="H14" s="1866"/>
      <c r="I14" s="1865"/>
      <c r="J14" s="1865"/>
      <c r="K14" s="1865"/>
      <c r="L14" s="1865"/>
      <c r="M14" s="1866"/>
      <c r="N14" s="1865"/>
      <c r="O14" s="1880"/>
      <c r="P14" s="1870"/>
      <c r="Q14" s="1865"/>
      <c r="R14" s="1866"/>
      <c r="S14" s="1865"/>
      <c r="T14" s="1865"/>
      <c r="U14" s="1867"/>
      <c r="V14" s="1867"/>
      <c r="W14" s="1867"/>
      <c r="X14" s="1865">
        <f>SUM(AA14:AB14)</f>
        <v>60000</v>
      </c>
      <c r="Y14" s="1865"/>
      <c r="Z14" s="1881"/>
      <c r="AA14" s="1865">
        <v>60000</v>
      </c>
      <c r="AB14" s="3073"/>
      <c r="AC14" s="1871">
        <f t="shared" si="38"/>
        <v>60000</v>
      </c>
      <c r="AD14" s="1867"/>
      <c r="AE14" s="1868"/>
      <c r="AF14" s="1865">
        <f>AA14</f>
        <v>60000</v>
      </c>
      <c r="AG14" s="1865"/>
      <c r="AH14" s="1870">
        <f t="shared" si="39"/>
        <v>60000</v>
      </c>
      <c r="AI14" s="1865"/>
      <c r="AJ14" s="1882"/>
      <c r="AK14" s="1865">
        <f>AF14</f>
        <v>60000</v>
      </c>
      <c r="AL14" s="1865"/>
      <c r="AM14" s="1873"/>
      <c r="AN14" s="1873"/>
      <c r="AO14" s="1873"/>
      <c r="AP14" s="1873"/>
      <c r="AQ14" s="1873"/>
      <c r="AR14" s="1873"/>
      <c r="AS14" s="1873"/>
      <c r="AT14" s="1873"/>
      <c r="AZ14" s="1875"/>
      <c r="BB14" s="1875"/>
      <c r="BD14" s="1875"/>
      <c r="BF14" s="1875"/>
      <c r="BH14" s="1875"/>
      <c r="BJ14" s="1876"/>
      <c r="BK14" s="1876"/>
      <c r="BL14" s="1875"/>
      <c r="BM14" s="1875"/>
      <c r="BN14" s="1875"/>
    </row>
    <row r="15" spans="1:66" s="1861" customFormat="1" ht="17.399999999999999">
      <c r="A15" s="3074" t="s">
        <v>20</v>
      </c>
      <c r="B15" s="3588" t="s">
        <v>33</v>
      </c>
      <c r="C15" s="1852">
        <f>C16+C17+C18+C26+C27+C28</f>
        <v>9353865</v>
      </c>
      <c r="D15" s="1852">
        <f t="shared" ref="D15:F15" si="43">D16+D17+D18+D26+D27+D28</f>
        <v>3168035</v>
      </c>
      <c r="E15" s="1852">
        <f t="shared" si="43"/>
        <v>6185830</v>
      </c>
      <c r="F15" s="1852">
        <f t="shared" si="43"/>
        <v>4678535</v>
      </c>
      <c r="G15" s="1852">
        <f t="shared" si="24"/>
        <v>70.737446079637905</v>
      </c>
      <c r="H15" s="1857">
        <f t="shared" ref="H15:H21" si="44">F15/C15%</f>
        <v>50.017131955614076</v>
      </c>
      <c r="I15" s="1852">
        <f t="shared" ref="I15:K15" si="45">I16+I17+I18+I26+I27+I28</f>
        <v>1583535</v>
      </c>
      <c r="J15" s="1852">
        <f t="shared" si="45"/>
        <v>3095000</v>
      </c>
      <c r="K15" s="1852">
        <f t="shared" si="45"/>
        <v>4738340</v>
      </c>
      <c r="L15" s="1852">
        <f t="shared" si="5"/>
        <v>44.61485590129567</v>
      </c>
      <c r="M15" s="1857">
        <f t="shared" ref="M15:M21" si="46">K15/C15%</f>
        <v>50.656493331900776</v>
      </c>
      <c r="N15" s="1852">
        <f t="shared" ref="N15:O15" si="47">N16+N17+N18+N26+N27+N28</f>
        <v>1584500</v>
      </c>
      <c r="O15" s="1884">
        <f t="shared" si="47"/>
        <v>3153840</v>
      </c>
      <c r="P15" s="1856">
        <f>P16+P17+P18+P26+P27+P28</f>
        <v>9353865</v>
      </c>
      <c r="Q15" s="1852">
        <f t="shared" si="6"/>
        <v>54.094555246796318</v>
      </c>
      <c r="R15" s="1857">
        <f t="shared" si="7"/>
        <v>100</v>
      </c>
      <c r="S15" s="1852">
        <f t="shared" ref="S15:W15" si="48">S16+S17+S18+S26+S27+S28</f>
        <v>3168035</v>
      </c>
      <c r="T15" s="1852">
        <f t="shared" si="48"/>
        <v>6185830</v>
      </c>
      <c r="U15" s="1852">
        <f t="shared" si="48"/>
        <v>0</v>
      </c>
      <c r="V15" s="1852">
        <f t="shared" si="32"/>
        <v>0</v>
      </c>
      <c r="W15" s="1852">
        <f t="shared" si="48"/>
        <v>0</v>
      </c>
      <c r="X15" s="1852">
        <f>X16+X17+X18+X26+X27+X28</f>
        <v>10664978.394711081</v>
      </c>
      <c r="Y15" s="1852">
        <f>X15/$X$7%</f>
        <v>57.254223831154569</v>
      </c>
      <c r="Z15" s="1857">
        <f>X15/C15*100</f>
        <v>114.01680903787985</v>
      </c>
      <c r="AA15" s="1852">
        <f>AA16+AA17+AA18+AA26+AA27+AA28</f>
        <v>3294440</v>
      </c>
      <c r="AB15" s="3075">
        <f>AB16+AB17+AB18+AB26+AB27+AB28</f>
        <v>7370538.3947110809</v>
      </c>
      <c r="AC15" s="1856">
        <f>AC16+AC17+AC18+AC26+AC27+AC28</f>
        <v>11071000</v>
      </c>
      <c r="AD15" s="1853">
        <f t="shared" si="3"/>
        <v>56.836189140270264</v>
      </c>
      <c r="AE15" s="1857">
        <f t="shared" si="9"/>
        <v>103.80705511311932</v>
      </c>
      <c r="AF15" s="1852">
        <f>AF16+AF17+AF18+AF26+AF27+AF28</f>
        <v>3701000</v>
      </c>
      <c r="AG15" s="1852">
        <f>AG16+AG17+AG18+AG26+AG27+AG28</f>
        <v>7370000</v>
      </c>
      <c r="AH15" s="1856">
        <f>AH16+AH17+AH18+AH26+AH27+AH28</f>
        <v>11373000</v>
      </c>
      <c r="AI15" s="1853">
        <f t="shared" si="11"/>
        <v>55.642833221668255</v>
      </c>
      <c r="AJ15" s="1859">
        <f t="shared" si="4"/>
        <v>102.72784752958179</v>
      </c>
      <c r="AK15" s="1852">
        <f t="shared" ref="AK15:AL15" si="49">AK16+AK17+AK18+AK26+AK27+AK28</f>
        <v>4003000</v>
      </c>
      <c r="AL15" s="1852">
        <f t="shared" si="49"/>
        <v>7370000</v>
      </c>
      <c r="AM15" s="1885"/>
      <c r="AN15" s="1885"/>
      <c r="AO15" s="1885"/>
      <c r="AP15" s="1885"/>
      <c r="AQ15" s="1885"/>
      <c r="AR15" s="1885"/>
      <c r="AS15" s="1885"/>
      <c r="AT15" s="1860"/>
      <c r="AV15" s="1861">
        <f>AV12-AV13</f>
        <v>42092.347999999991</v>
      </c>
      <c r="AY15" s="1852">
        <f>SUM(AY16:AY18,AY26,AY27,AY28)</f>
        <v>3101779</v>
      </c>
      <c r="AZ15" s="1862">
        <f t="shared" si="13"/>
        <v>1.5083392466065442</v>
      </c>
      <c r="BA15" s="1852">
        <f>SUM(BA16:BA18,BA26,BA27,BA28)</f>
        <v>3335569.8</v>
      </c>
      <c r="BB15" s="1862">
        <f t="shared" si="14"/>
        <v>1.4026194265219694</v>
      </c>
      <c r="BC15" s="1852">
        <f>SUM(BC16:BC18,BC26,BC27,BC28)</f>
        <v>3604353</v>
      </c>
      <c r="BD15" s="1862">
        <f t="shared" si="15"/>
        <v>1.2980235287720154</v>
      </c>
      <c r="BE15" s="1852">
        <f>SUM(BE16:BE18,BE26,BE27,BE28)</f>
        <v>4069243</v>
      </c>
      <c r="BF15" s="1862">
        <f t="shared" si="16"/>
        <v>1.1497310433414765</v>
      </c>
      <c r="BG15" s="1852">
        <f>SUM(BG16:BG18,BG26,BG27,BG28)</f>
        <v>3678802</v>
      </c>
      <c r="BH15" s="1862">
        <f t="shared" si="17"/>
        <v>1.2717550441692704</v>
      </c>
      <c r="BI15" s="1852">
        <f>SUM(BI16:BI18,BI26,BI27,BI28)</f>
        <v>3842637</v>
      </c>
      <c r="BJ15" s="1863">
        <f t="shared" si="18"/>
        <v>1.2175323872642667</v>
      </c>
      <c r="BK15" s="1863">
        <f t="shared" si="19"/>
        <v>1.0805808950542724</v>
      </c>
      <c r="BL15" s="1862">
        <f t="shared" si="20"/>
        <v>1.1289801526099137</v>
      </c>
      <c r="BM15" s="1862">
        <f t="shared" si="21"/>
        <v>0.90405070427104006</v>
      </c>
      <c r="BN15" s="1862">
        <f t="shared" si="22"/>
        <v>1.0445348784740249</v>
      </c>
    </row>
    <row r="16" spans="1:66" s="1861" customFormat="1" ht="17.399999999999999">
      <c r="A16" s="3074">
        <v>1</v>
      </c>
      <c r="B16" s="3588" t="s">
        <v>2648</v>
      </c>
      <c r="C16" s="1852">
        <f t="shared" ref="C16:C34" si="50">D16+E16</f>
        <v>1793642</v>
      </c>
      <c r="D16" s="1852">
        <f>'[23]Phụ lục số 2'!$N$15</f>
        <v>540000</v>
      </c>
      <c r="E16" s="1852">
        <f>'[23]Phụ lục số 2'!$O$15</f>
        <v>1253642</v>
      </c>
      <c r="F16" s="1852">
        <f>(I16+J16)</f>
        <v>896000</v>
      </c>
      <c r="G16" s="1852">
        <f t="shared" si="24"/>
        <v>13.547136376527172</v>
      </c>
      <c r="H16" s="1857">
        <f t="shared" si="44"/>
        <v>49.954227209220129</v>
      </c>
      <c r="I16" s="1852">
        <f>INT(D16/2)</f>
        <v>270000</v>
      </c>
      <c r="J16" s="1852">
        <f>INT(E16/2)-821</f>
        <v>626000</v>
      </c>
      <c r="K16" s="1852">
        <f>N16+O16</f>
        <v>926042</v>
      </c>
      <c r="L16" s="1852">
        <f t="shared" si="5"/>
        <v>8.7193469418715512</v>
      </c>
      <c r="M16" s="1857">
        <f t="shared" si="46"/>
        <v>51.629143385357843</v>
      </c>
      <c r="N16" s="1852">
        <f>D16-I16</f>
        <v>270000</v>
      </c>
      <c r="O16" s="1884">
        <f>(E16-J16)+28400</f>
        <v>656042</v>
      </c>
      <c r="P16" s="1856">
        <f>SUM(S16:T16)</f>
        <v>1793642</v>
      </c>
      <c r="Q16" s="1852">
        <f t="shared" si="6"/>
        <v>10.372852960992512</v>
      </c>
      <c r="R16" s="1857">
        <f t="shared" si="7"/>
        <v>100</v>
      </c>
      <c r="S16" s="1852">
        <f>N16+I16</f>
        <v>540000</v>
      </c>
      <c r="T16" s="1852">
        <f>E16</f>
        <v>1253642</v>
      </c>
      <c r="U16" s="1852">
        <f t="shared" si="31"/>
        <v>0</v>
      </c>
      <c r="V16" s="1852">
        <f t="shared" si="32"/>
        <v>0</v>
      </c>
      <c r="W16" s="1852">
        <f t="shared" si="33"/>
        <v>0</v>
      </c>
      <c r="X16" s="1852">
        <f>SUM(AA16:AB16)</f>
        <v>2068978.6115313373</v>
      </c>
      <c r="Y16" s="1852">
        <f t="shared" ref="Y16:Y39" si="51">X16/$X$7%</f>
        <v>11.107173417738148</v>
      </c>
      <c r="Z16" s="1857">
        <f t="shared" si="42"/>
        <v>115.35070050385401</v>
      </c>
      <c r="AA16" s="1852">
        <f>'Phụ lục số 4'!K9</f>
        <v>545710</v>
      </c>
      <c r="AB16" s="3075">
        <f>'Phụ lục số 6'!C13-AB17-SUM(AB22:AB28)</f>
        <v>1523268.6115313373</v>
      </c>
      <c r="AC16" s="1856">
        <f>SUM(AF16:AG16)</f>
        <v>2136000</v>
      </c>
      <c r="AD16" s="1853">
        <f t="shared" si="3"/>
        <v>10.96577544969897</v>
      </c>
      <c r="AE16" s="1857">
        <f t="shared" si="9"/>
        <v>103.23934660779588</v>
      </c>
      <c r="AF16" s="1852">
        <f>ROUND(AA16*$AF$125,-3)</f>
        <v>613000</v>
      </c>
      <c r="AG16" s="1852">
        <f>ROUND(AB16*1,-3)</f>
        <v>1523000</v>
      </c>
      <c r="AH16" s="1858">
        <f>SUM(AK16:AL16)</f>
        <v>2186000</v>
      </c>
      <c r="AI16" s="1853">
        <f t="shared" si="11"/>
        <v>10.695087788847868</v>
      </c>
      <c r="AJ16" s="1859">
        <f t="shared" si="4"/>
        <v>102.34082397003745</v>
      </c>
      <c r="AK16" s="1852">
        <f>ROUND(AF16*$AK$125,-3)</f>
        <v>663000</v>
      </c>
      <c r="AL16" s="1852">
        <f>ROUND(AG16*1,-3)</f>
        <v>1523000</v>
      </c>
      <c r="AM16" s="1885"/>
      <c r="AN16" s="1885"/>
      <c r="AO16" s="1885"/>
      <c r="AP16" s="1885"/>
      <c r="AQ16" s="1885"/>
      <c r="AR16" s="1885"/>
      <c r="AS16" s="1885"/>
      <c r="AT16" s="1860"/>
      <c r="AV16" s="1861">
        <v>17810</v>
      </c>
      <c r="AW16" s="1863">
        <f>I16/D16</f>
        <v>0.5</v>
      </c>
      <c r="AY16" s="1861">
        <v>291007</v>
      </c>
      <c r="AZ16" s="1862">
        <f t="shared" si="13"/>
        <v>3.0789637362675126</v>
      </c>
      <c r="BA16" s="1861">
        <v>330792</v>
      </c>
      <c r="BB16" s="1862">
        <f t="shared" si="14"/>
        <v>2.7086507533434907</v>
      </c>
      <c r="BC16" s="1861">
        <v>430338</v>
      </c>
      <c r="BD16" s="1862">
        <f t="shared" si="15"/>
        <v>2.0820843151197432</v>
      </c>
      <c r="BE16" s="1861">
        <v>541793</v>
      </c>
      <c r="BF16" s="1862">
        <f t="shared" si="16"/>
        <v>1.6537681365392318</v>
      </c>
      <c r="BG16" s="1861">
        <v>404875</v>
      </c>
      <c r="BH16" s="1862">
        <f t="shared" si="17"/>
        <v>2.2130287125656065</v>
      </c>
      <c r="BI16" s="1861">
        <v>468804</v>
      </c>
      <c r="BJ16" s="1863">
        <f>F16/BI16</f>
        <v>1.9112464910708953</v>
      </c>
      <c r="BK16" s="1863">
        <f t="shared" si="19"/>
        <v>1.3009323079155481</v>
      </c>
      <c r="BL16" s="1862">
        <f t="shared" si="20"/>
        <v>1.2589940930152577</v>
      </c>
      <c r="BM16" s="1862">
        <f t="shared" si="21"/>
        <v>0.747287248081832</v>
      </c>
      <c r="BN16" s="1862">
        <f t="shared" si="22"/>
        <v>1.1578981167026861</v>
      </c>
    </row>
    <row r="17" spans="1:66" s="1861" customFormat="1" ht="17.399999999999999">
      <c r="A17" s="3074">
        <v>2</v>
      </c>
      <c r="B17" s="3588" t="s">
        <v>89</v>
      </c>
      <c r="C17" s="1852">
        <f t="shared" si="50"/>
        <v>136670</v>
      </c>
      <c r="D17" s="1852">
        <f>'[23]Phụ lục số 2'!$N$16</f>
        <v>62000</v>
      </c>
      <c r="E17" s="1852">
        <f>'[23]Phụ lục số 2'!$O$16</f>
        <v>74670</v>
      </c>
      <c r="F17" s="1852">
        <f>I17+J17</f>
        <v>68000</v>
      </c>
      <c r="G17" s="1852">
        <f t="shared" si="24"/>
        <v>1.02813088571858</v>
      </c>
      <c r="H17" s="1857">
        <f t="shared" si="44"/>
        <v>49.75488402721885</v>
      </c>
      <c r="I17" s="1852">
        <f>INT(D17/2)</f>
        <v>31000</v>
      </c>
      <c r="J17" s="1852">
        <f>INT(E17/2)-335</f>
        <v>37000</v>
      </c>
      <c r="K17" s="1852">
        <f>N17+O17</f>
        <v>68670</v>
      </c>
      <c r="L17" s="1852">
        <f t="shared" si="5"/>
        <v>0.64657710395243351</v>
      </c>
      <c r="M17" s="1857">
        <f t="shared" si="46"/>
        <v>50.24511597278115</v>
      </c>
      <c r="N17" s="1852">
        <f>D17-I17</f>
        <v>31000</v>
      </c>
      <c r="O17" s="1884">
        <f>E17-J17</f>
        <v>37670</v>
      </c>
      <c r="P17" s="1856">
        <f t="shared" ref="P17:P35" si="52">K17+F17</f>
        <v>136670</v>
      </c>
      <c r="Q17" s="1852">
        <f t="shared" si="6"/>
        <v>0.79037947047339818</v>
      </c>
      <c r="R17" s="1857">
        <f t="shared" si="7"/>
        <v>100</v>
      </c>
      <c r="S17" s="1852">
        <f>D17</f>
        <v>62000</v>
      </c>
      <c r="T17" s="1852">
        <f>E17</f>
        <v>74670</v>
      </c>
      <c r="U17" s="1852">
        <f t="shared" si="31"/>
        <v>0</v>
      </c>
      <c r="V17" s="1852">
        <f t="shared" si="32"/>
        <v>0</v>
      </c>
      <c r="W17" s="1852">
        <f t="shared" si="33"/>
        <v>0</v>
      </c>
      <c r="X17" s="1852">
        <f>SUM(AA17:AB17)</f>
        <v>151965</v>
      </c>
      <c r="Y17" s="1852">
        <f t="shared" si="51"/>
        <v>0.81581394752906178</v>
      </c>
      <c r="Z17" s="1857">
        <f t="shared" si="42"/>
        <v>111.19119045876931</v>
      </c>
      <c r="AA17" s="1852">
        <f>'Phụ lục số 4'!L9</f>
        <v>67965</v>
      </c>
      <c r="AB17" s="3075">
        <f>ROUND(E17*1.13,-3)+AB156</f>
        <v>84000</v>
      </c>
      <c r="AC17" s="1858">
        <f t="shared" si="38"/>
        <v>160000</v>
      </c>
      <c r="AD17" s="1853">
        <f t="shared" si="3"/>
        <v>0.82140640072651472</v>
      </c>
      <c r="AE17" s="1857">
        <f t="shared" si="9"/>
        <v>105.28740170433981</v>
      </c>
      <c r="AF17" s="1852">
        <f>ROUND(AA17*$AF$125,-3)</f>
        <v>76000</v>
      </c>
      <c r="AG17" s="1852">
        <f>ROUND(AB17*1,-3)</f>
        <v>84000</v>
      </c>
      <c r="AH17" s="1858">
        <f>SUM(AK17:AL17)</f>
        <v>166000</v>
      </c>
      <c r="AI17" s="1853">
        <f t="shared" si="11"/>
        <v>0.81216128680180522</v>
      </c>
      <c r="AJ17" s="1859">
        <f t="shared" si="4"/>
        <v>103.75000000000001</v>
      </c>
      <c r="AK17" s="1852">
        <f>ROUND(AF17*$AK$125,-3)</f>
        <v>82000</v>
      </c>
      <c r="AL17" s="1852">
        <f>ROUND(AG17*1,-3)</f>
        <v>84000</v>
      </c>
      <c r="AM17" s="1885"/>
      <c r="AN17" s="1885"/>
      <c r="AO17" s="1885"/>
      <c r="AP17" s="1885"/>
      <c r="AQ17" s="1885"/>
      <c r="AR17" s="1885"/>
      <c r="AS17" s="1885"/>
      <c r="AT17" s="1860"/>
      <c r="AV17" s="1861">
        <f>AV15-AV16-1</f>
        <v>24281.347999999991</v>
      </c>
      <c r="AW17" s="1863">
        <f t="shared" ref="AW17:AW34" si="53">I17/D17</f>
        <v>0.5</v>
      </c>
      <c r="AY17" s="1861">
        <v>54662</v>
      </c>
      <c r="AZ17" s="1862">
        <f t="shared" si="13"/>
        <v>1.2440086348834656</v>
      </c>
      <c r="BA17" s="1861">
        <v>102409</v>
      </c>
      <c r="BB17" s="1862">
        <f t="shared" si="14"/>
        <v>0.66400414026110988</v>
      </c>
      <c r="BC17" s="1861">
        <v>48533</v>
      </c>
      <c r="BD17" s="1862">
        <f t="shared" si="15"/>
        <v>1.4011085240970063</v>
      </c>
      <c r="BE17" s="1861">
        <v>29662</v>
      </c>
      <c r="BF17" s="1862">
        <f t="shared" si="16"/>
        <v>2.2924954487222711</v>
      </c>
      <c r="BG17" s="1861">
        <v>26587</v>
      </c>
      <c r="BH17" s="1862">
        <f t="shared" si="17"/>
        <v>2.5576409523451309</v>
      </c>
      <c r="BI17" s="1861">
        <v>29116</v>
      </c>
      <c r="BJ17" s="1863">
        <f t="shared" si="18"/>
        <v>2.3354856436323672</v>
      </c>
      <c r="BK17" s="1863">
        <f t="shared" si="19"/>
        <v>0.47391342557783006</v>
      </c>
      <c r="BL17" s="1862">
        <f t="shared" si="20"/>
        <v>0.61117178002596173</v>
      </c>
      <c r="BM17" s="1862">
        <f t="shared" si="21"/>
        <v>0.89633200728204432</v>
      </c>
      <c r="BN17" s="1862">
        <f t="shared" si="22"/>
        <v>1.0951216760070712</v>
      </c>
    </row>
    <row r="18" spans="1:66" s="1861" customFormat="1" ht="17.399999999999999">
      <c r="A18" s="3074">
        <v>3</v>
      </c>
      <c r="B18" s="3588" t="s">
        <v>38</v>
      </c>
      <c r="C18" s="1852">
        <f>SUM(C19:C25)</f>
        <v>5659998</v>
      </c>
      <c r="D18" s="1852">
        <f t="shared" ref="D18:F18" si="54">SUM(D19:D25)</f>
        <v>1951035</v>
      </c>
      <c r="E18" s="1852">
        <f t="shared" si="54"/>
        <v>3708963</v>
      </c>
      <c r="F18" s="1852">
        <f t="shared" si="54"/>
        <v>2834535</v>
      </c>
      <c r="G18" s="1852"/>
      <c r="H18" s="1857">
        <f t="shared" si="44"/>
        <v>50.080141371074689</v>
      </c>
      <c r="I18" s="1852">
        <f t="shared" ref="I18:K18" si="55">SUM(I19:I25)</f>
        <v>975535</v>
      </c>
      <c r="J18" s="1852">
        <f t="shared" si="55"/>
        <v>1859000</v>
      </c>
      <c r="K18" s="1852">
        <f t="shared" si="55"/>
        <v>2860073</v>
      </c>
      <c r="L18" s="1852"/>
      <c r="M18" s="1857">
        <f t="shared" si="46"/>
        <v>50.531342943937432</v>
      </c>
      <c r="N18" s="1852">
        <f t="shared" ref="N18:P18" si="56">SUM(N19:N25)</f>
        <v>975500</v>
      </c>
      <c r="O18" s="1884">
        <f t="shared" si="56"/>
        <v>1884573</v>
      </c>
      <c r="P18" s="1856">
        <f t="shared" si="56"/>
        <v>5659998</v>
      </c>
      <c r="Q18" s="1852">
        <f t="shared" si="6"/>
        <v>32.732466687060018</v>
      </c>
      <c r="R18" s="1857">
        <f t="shared" si="7"/>
        <v>100</v>
      </c>
      <c r="S18" s="1852">
        <f t="shared" ref="S18:W18" si="57">SUM(S19:S25)</f>
        <v>1951035</v>
      </c>
      <c r="T18" s="1852">
        <f t="shared" si="57"/>
        <v>3708963</v>
      </c>
      <c r="U18" s="1852">
        <f t="shared" si="57"/>
        <v>0</v>
      </c>
      <c r="V18" s="1852">
        <f t="shared" si="32"/>
        <v>0</v>
      </c>
      <c r="W18" s="1852">
        <f t="shared" si="57"/>
        <v>0</v>
      </c>
      <c r="X18" s="1852">
        <f>SUM(X19:X25)</f>
        <v>6454249.7831797441</v>
      </c>
      <c r="Y18" s="1852">
        <f t="shared" si="51"/>
        <v>34.649208659589107</v>
      </c>
      <c r="Z18" s="1857">
        <f t="shared" si="42"/>
        <v>114.03272197586898</v>
      </c>
      <c r="AA18" s="1852">
        <f>SUM(AA19:AA25)</f>
        <v>1996980</v>
      </c>
      <c r="AB18" s="3075">
        <f t="shared" ref="AB18:AC18" si="58">SUM(AB19:AB25)</f>
        <v>4457269.7831797441</v>
      </c>
      <c r="AC18" s="1856">
        <f t="shared" si="58"/>
        <v>6701000</v>
      </c>
      <c r="AD18" s="1853">
        <f t="shared" si="3"/>
        <v>34.401526820427343</v>
      </c>
      <c r="AE18" s="1857">
        <f t="shared" si="9"/>
        <v>103.82306581104601</v>
      </c>
      <c r="AF18" s="1852">
        <f>SUM(AF19:AF25)</f>
        <v>2244000</v>
      </c>
      <c r="AG18" s="1852">
        <f t="shared" ref="AG18:AH18" si="59">SUM(AG19:AG25)</f>
        <v>4457000</v>
      </c>
      <c r="AH18" s="1856">
        <f t="shared" si="59"/>
        <v>6884000</v>
      </c>
      <c r="AI18" s="1853">
        <f t="shared" si="11"/>
        <v>33.680230712913414</v>
      </c>
      <c r="AJ18" s="1859">
        <f t="shared" si="4"/>
        <v>102.7309356812416</v>
      </c>
      <c r="AK18" s="1852">
        <f t="shared" ref="AK18:AL18" si="60">SUM(AK19:AK25)</f>
        <v>2427000</v>
      </c>
      <c r="AL18" s="1852">
        <f t="shared" si="60"/>
        <v>4457000</v>
      </c>
      <c r="AM18" s="1885"/>
      <c r="AN18" s="1885"/>
      <c r="AO18" s="1885"/>
      <c r="AP18" s="1885"/>
      <c r="AQ18" s="1885"/>
      <c r="AR18" s="1885"/>
      <c r="AS18" s="1885"/>
      <c r="AT18" s="1860"/>
      <c r="AW18" s="1863">
        <f t="shared" si="53"/>
        <v>0.50000896959818764</v>
      </c>
      <c r="AY18" s="1852">
        <f t="shared" ref="AY18:BI18" si="61">SUM(AY19:AY25)</f>
        <v>1820998</v>
      </c>
      <c r="AZ18" s="1862">
        <f t="shared" si="13"/>
        <v>1.5565832581913874</v>
      </c>
      <c r="BA18" s="1852">
        <f t="shared" si="61"/>
        <v>2033162</v>
      </c>
      <c r="BB18" s="1862">
        <f t="shared" si="14"/>
        <v>1.3941510809271469</v>
      </c>
      <c r="BC18" s="1852">
        <f t="shared" si="61"/>
        <v>2236290</v>
      </c>
      <c r="BD18" s="1862">
        <f t="shared" si="15"/>
        <v>1.2675167353071382</v>
      </c>
      <c r="BE18" s="1852">
        <f t="shared" si="61"/>
        <v>2495164</v>
      </c>
      <c r="BF18" s="1862">
        <f t="shared" si="16"/>
        <v>1.1360115006468512</v>
      </c>
      <c r="BG18" s="1852">
        <f t="shared" si="61"/>
        <v>2255345</v>
      </c>
      <c r="BH18" s="1862">
        <f t="shared" si="17"/>
        <v>1.2568077167794727</v>
      </c>
      <c r="BI18" s="1852">
        <f t="shared" si="61"/>
        <v>2385470</v>
      </c>
      <c r="BJ18" s="1863">
        <f t="shared" si="18"/>
        <v>1.1882501142332538</v>
      </c>
      <c r="BK18" s="1863">
        <f t="shared" si="19"/>
        <v>1.0999074348231965</v>
      </c>
      <c r="BL18" s="1862">
        <f t="shared" si="20"/>
        <v>1.1157604782921715</v>
      </c>
      <c r="BM18" s="1862">
        <f t="shared" si="21"/>
        <v>0.90388647800304911</v>
      </c>
      <c r="BN18" s="1862">
        <f t="shared" si="22"/>
        <v>1.0576962726323467</v>
      </c>
    </row>
    <row r="19" spans="1:66" s="1874" customFormat="1">
      <c r="A19" s="3076" t="s">
        <v>34</v>
      </c>
      <c r="B19" s="3613" t="s">
        <v>99</v>
      </c>
      <c r="C19" s="1865">
        <f t="shared" si="50"/>
        <v>31000</v>
      </c>
      <c r="D19" s="1865">
        <f>'[23]Phụ lục số 2'!$N$18</f>
        <v>31000</v>
      </c>
      <c r="E19" s="1865">
        <v>0</v>
      </c>
      <c r="F19" s="1865">
        <f t="shared" ref="F19:F25" si="62">I19+J19</f>
        <v>15000</v>
      </c>
      <c r="G19" s="1865"/>
      <c r="H19" s="1866">
        <f t="shared" si="44"/>
        <v>48.387096774193552</v>
      </c>
      <c r="I19" s="1865">
        <f>INT(D19/2)-500</f>
        <v>15000</v>
      </c>
      <c r="J19" s="1865">
        <f>E19/2</f>
        <v>0</v>
      </c>
      <c r="K19" s="1865">
        <f t="shared" ref="K19:K25" si="63">N19+O19</f>
        <v>16000</v>
      </c>
      <c r="L19" s="1865"/>
      <c r="M19" s="1866">
        <f t="shared" si="46"/>
        <v>51.612903225806448</v>
      </c>
      <c r="N19" s="1865">
        <f t="shared" ref="N19:N29" si="64">D19-I19</f>
        <v>16000</v>
      </c>
      <c r="O19" s="1880">
        <f t="shared" ref="N19:O29" si="65">E19-J19</f>
        <v>0</v>
      </c>
      <c r="P19" s="1870">
        <f>SUM(S19:T19)</f>
        <v>31000</v>
      </c>
      <c r="Q19" s="1865">
        <f t="shared" si="6"/>
        <v>0.17927682435556699</v>
      </c>
      <c r="R19" s="1866">
        <f t="shared" si="7"/>
        <v>100</v>
      </c>
      <c r="S19" s="1865">
        <f>D19</f>
        <v>31000</v>
      </c>
      <c r="T19" s="1865">
        <f>E19</f>
        <v>0</v>
      </c>
      <c r="U19" s="1865">
        <f t="shared" si="31"/>
        <v>0</v>
      </c>
      <c r="V19" s="1865">
        <f t="shared" si="32"/>
        <v>0</v>
      </c>
      <c r="W19" s="1865">
        <f t="shared" si="33"/>
        <v>0</v>
      </c>
      <c r="X19" s="1865">
        <f t="shared" ref="X19:X32" si="66">SUM(AA19:AB19)</f>
        <v>31218</v>
      </c>
      <c r="Y19" s="1865">
        <f t="shared" si="51"/>
        <v>0.16759174687567699</v>
      </c>
      <c r="Z19" s="1866">
        <f t="shared" si="42"/>
        <v>100.70322580645161</v>
      </c>
      <c r="AA19" s="1865">
        <f>'Phụ lục số 4'!M9</f>
        <v>31218</v>
      </c>
      <c r="AB19" s="3073"/>
      <c r="AC19" s="1871">
        <f t="shared" si="38"/>
        <v>35000</v>
      </c>
      <c r="AD19" s="1867">
        <f t="shared" si="3"/>
        <v>0.17968265015892507</v>
      </c>
      <c r="AE19" s="1866">
        <f t="shared" si="9"/>
        <v>112.11480556089435</v>
      </c>
      <c r="AF19" s="1865">
        <f t="shared" ref="AF19:AF31" si="67">ROUND(AA19*$AF$125,-3)</f>
        <v>35000</v>
      </c>
      <c r="AG19" s="1852">
        <f>ROUND(AB19*1,-3)</f>
        <v>0</v>
      </c>
      <c r="AH19" s="1871">
        <f>SUM(AK19:AL19)</f>
        <v>38000</v>
      </c>
      <c r="AI19" s="1867">
        <f t="shared" si="11"/>
        <v>0.18591643914740119</v>
      </c>
      <c r="AJ19" s="1886">
        <f t="shared" si="4"/>
        <v>108.57142857142857</v>
      </c>
      <c r="AK19" s="1865">
        <f t="shared" ref="AK19:AK28" si="68">ROUND(AF19*$AK$125,-3)</f>
        <v>38000</v>
      </c>
      <c r="AL19" s="1865">
        <f>ROUND(AG19*1,-3)</f>
        <v>0</v>
      </c>
      <c r="AM19" s="1887"/>
      <c r="AN19" s="1887"/>
      <c r="AO19" s="1887"/>
      <c r="AP19" s="1887"/>
      <c r="AQ19" s="1887"/>
      <c r="AR19" s="1887"/>
      <c r="AS19" s="1887"/>
      <c r="AT19" s="1873"/>
      <c r="AW19" s="1876">
        <f t="shared" si="53"/>
        <v>0.4838709677419355</v>
      </c>
      <c r="AY19" s="1874">
        <v>9023</v>
      </c>
      <c r="AZ19" s="1875">
        <f t="shared" si="13"/>
        <v>1.662418264435332</v>
      </c>
      <c r="BA19" s="1874">
        <v>8955</v>
      </c>
      <c r="BB19" s="1875">
        <f t="shared" si="14"/>
        <v>1.6750418760469012</v>
      </c>
      <c r="BC19" s="1874">
        <v>9458</v>
      </c>
      <c r="BD19" s="1875">
        <f t="shared" si="15"/>
        <v>1.585958976527807</v>
      </c>
      <c r="BE19" s="1874">
        <v>11002</v>
      </c>
      <c r="BF19" s="1875">
        <f t="shared" si="16"/>
        <v>1.3633884748227596</v>
      </c>
      <c r="BG19" s="1874">
        <v>5377</v>
      </c>
      <c r="BH19" s="1875">
        <f t="shared" si="17"/>
        <v>2.7896596615212945</v>
      </c>
      <c r="BI19" s="1874">
        <v>6506</v>
      </c>
      <c r="BJ19" s="1876">
        <f t="shared" si="18"/>
        <v>2.3055640946818321</v>
      </c>
      <c r="BK19" s="1876">
        <f t="shared" si="19"/>
        <v>1.0561697375767727</v>
      </c>
      <c r="BL19" s="1875">
        <f t="shared" si="20"/>
        <v>1.163248043983929</v>
      </c>
      <c r="BM19" s="1875">
        <f t="shared" si="21"/>
        <v>0.48872932194146518</v>
      </c>
      <c r="BN19" s="1875">
        <f t="shared" si="22"/>
        <v>1.2099683838571693</v>
      </c>
    </row>
    <row r="20" spans="1:66" s="1874" customFormat="1">
      <c r="A20" s="3076" t="s">
        <v>35</v>
      </c>
      <c r="B20" s="3613" t="s">
        <v>86</v>
      </c>
      <c r="C20" s="1865">
        <f t="shared" si="50"/>
        <v>4179745</v>
      </c>
      <c r="D20" s="1865">
        <f>'[23]Phụ lục số 2'!$N$19</f>
        <v>1017035</v>
      </c>
      <c r="E20" s="1865">
        <f>'[23]Phụ lục số 2'!$O$19</f>
        <v>3162710</v>
      </c>
      <c r="F20" s="1865">
        <f t="shared" si="62"/>
        <v>2089535</v>
      </c>
      <c r="G20" s="1865">
        <f>F20/$F$7*100</f>
        <v>31.592874563087843</v>
      </c>
      <c r="H20" s="1866">
        <f t="shared" si="44"/>
        <v>49.991925344727974</v>
      </c>
      <c r="I20" s="1865">
        <f>INT(D20/2)+18</f>
        <v>508535</v>
      </c>
      <c r="J20" s="1865">
        <f>INT(E20/2)-355</f>
        <v>1581000</v>
      </c>
      <c r="K20" s="1865">
        <f t="shared" si="63"/>
        <v>2108020</v>
      </c>
      <c r="L20" s="1865">
        <f>K20/$K$7*100</f>
        <v>19.848514149902559</v>
      </c>
      <c r="M20" s="1866">
        <f t="shared" si="46"/>
        <v>50.434177204590235</v>
      </c>
      <c r="N20" s="1865">
        <f t="shared" si="64"/>
        <v>508500</v>
      </c>
      <c r="O20" s="1880">
        <f>E20-J20+17810</f>
        <v>1599520</v>
      </c>
      <c r="P20" s="1870">
        <f t="shared" ref="P20:P25" si="69">SUM(S20:T20)</f>
        <v>4179745</v>
      </c>
      <c r="Q20" s="1865">
        <f t="shared" si="6"/>
        <v>24.171980974711595</v>
      </c>
      <c r="R20" s="1866">
        <f t="shared" si="7"/>
        <v>100</v>
      </c>
      <c r="S20" s="1865">
        <f t="shared" ref="S20:S25" si="70">D20</f>
        <v>1017035</v>
      </c>
      <c r="T20" s="1865">
        <f t="shared" ref="T20:T25" si="71">E20</f>
        <v>3162710</v>
      </c>
      <c r="U20" s="1865">
        <f t="shared" si="31"/>
        <v>0</v>
      </c>
      <c r="V20" s="1865">
        <f t="shared" si="32"/>
        <v>0</v>
      </c>
      <c r="W20" s="1865">
        <f t="shared" si="33"/>
        <v>0</v>
      </c>
      <c r="X20" s="1865">
        <f t="shared" si="66"/>
        <v>4797945.7831797441</v>
      </c>
      <c r="Y20" s="1865">
        <f>X20/$X$7%</f>
        <v>25.757451317120935</v>
      </c>
      <c r="Z20" s="1866">
        <f t="shared" si="42"/>
        <v>114.7903947054125</v>
      </c>
      <c r="AA20" s="1877">
        <f>'Phụ lục số 4'!N9</f>
        <v>956676</v>
      </c>
      <c r="AB20" s="3073">
        <f>'Phụ lục số 6'!C12</f>
        <v>3841269.7831797441</v>
      </c>
      <c r="AC20" s="1871">
        <f>SUM(AF20:AG20)</f>
        <v>4916000</v>
      </c>
      <c r="AD20" s="1867">
        <f t="shared" si="3"/>
        <v>25.237711662322159</v>
      </c>
      <c r="AE20" s="1866">
        <f t="shared" ref="AE20:AE29" si="72">AC20/X20*100</f>
        <v>102.46051585730962</v>
      </c>
      <c r="AF20" s="1865">
        <f>ROUND(AA20*$AF$125,-3)</f>
        <v>1075000</v>
      </c>
      <c r="AG20" s="1865">
        <f t="shared" ref="AG20:AG28" si="73">ROUND(AB20*1,-3)</f>
        <v>3841000</v>
      </c>
      <c r="AH20" s="1871">
        <f t="shared" ref="AH20:AH30" si="74">SUM(AK20:AL20)</f>
        <v>5004000</v>
      </c>
      <c r="AI20" s="1867">
        <f t="shared" si="11"/>
        <v>24.482259512989359</v>
      </c>
      <c r="AJ20" s="1886">
        <f t="shared" si="4"/>
        <v>101.79007323026852</v>
      </c>
      <c r="AK20" s="1865">
        <f t="shared" si="68"/>
        <v>1163000</v>
      </c>
      <c r="AL20" s="1865">
        <f>ROUND(AG20*1,-3)</f>
        <v>3841000</v>
      </c>
      <c r="AM20" s="1887"/>
      <c r="AN20" s="1887"/>
      <c r="AO20" s="1887"/>
      <c r="AP20" s="1887"/>
      <c r="AQ20" s="1887"/>
      <c r="AR20" s="1887"/>
      <c r="AS20" s="1887"/>
      <c r="AT20" s="1873"/>
      <c r="AU20" s="1874">
        <f>7140</f>
        <v>7140</v>
      </c>
      <c r="AW20" s="1876">
        <f t="shared" si="53"/>
        <v>0.50001720688078577</v>
      </c>
      <c r="AY20" s="1874">
        <v>1268895</v>
      </c>
      <c r="AZ20" s="1875">
        <f t="shared" si="13"/>
        <v>1.6467359395379444</v>
      </c>
      <c r="BA20" s="1874">
        <v>1372438</v>
      </c>
      <c r="BB20" s="1875">
        <f t="shared" si="14"/>
        <v>1.5224986483906742</v>
      </c>
      <c r="BC20" s="1874">
        <v>1503038</v>
      </c>
      <c r="BD20" s="1875">
        <f t="shared" si="15"/>
        <v>1.3902076993396042</v>
      </c>
      <c r="BE20" s="1874">
        <v>1556571</v>
      </c>
      <c r="BF20" s="1875">
        <f t="shared" si="16"/>
        <v>1.3423962029358121</v>
      </c>
      <c r="BG20" s="1874">
        <v>1548341</v>
      </c>
      <c r="BH20" s="1875">
        <f t="shared" si="17"/>
        <v>1.3495315308449496</v>
      </c>
      <c r="BI20" s="1874">
        <v>1478622</v>
      </c>
      <c r="BJ20" s="1876">
        <f t="shared" si="18"/>
        <v>1.4131637429985486</v>
      </c>
      <c r="BK20" s="1876">
        <f t="shared" si="19"/>
        <v>1.0951591255852724</v>
      </c>
      <c r="BL20" s="1875">
        <f t="shared" si="20"/>
        <v>1.0356165313185695</v>
      </c>
      <c r="BM20" s="1875">
        <f t="shared" si="21"/>
        <v>0.99471273716393283</v>
      </c>
      <c r="BN20" s="1875">
        <f t="shared" si="22"/>
        <v>0.95497180530645376</v>
      </c>
    </row>
    <row r="21" spans="1:66" s="1874" customFormat="1">
      <c r="A21" s="3076" t="s">
        <v>36</v>
      </c>
      <c r="B21" s="3613" t="s">
        <v>39</v>
      </c>
      <c r="C21" s="1865">
        <f t="shared" si="50"/>
        <v>750000</v>
      </c>
      <c r="D21" s="1865">
        <f>'[23]Phụ lục số 2'!$N$20</f>
        <v>750000</v>
      </c>
      <c r="E21" s="1865">
        <v>0</v>
      </c>
      <c r="F21" s="1865">
        <f t="shared" si="62"/>
        <v>375000</v>
      </c>
      <c r="G21" s="1865"/>
      <c r="H21" s="1866">
        <f t="shared" si="44"/>
        <v>50</v>
      </c>
      <c r="I21" s="1865">
        <f>INT(D21/2)</f>
        <v>375000</v>
      </c>
      <c r="J21" s="1865">
        <f t="shared" ref="J21" si="75">E21/2</f>
        <v>0</v>
      </c>
      <c r="K21" s="1865">
        <f t="shared" si="63"/>
        <v>375000</v>
      </c>
      <c r="L21" s="1865"/>
      <c r="M21" s="1866">
        <f t="shared" si="46"/>
        <v>50</v>
      </c>
      <c r="N21" s="1865">
        <f>D21-I21</f>
        <v>375000</v>
      </c>
      <c r="O21" s="1880">
        <f t="shared" si="65"/>
        <v>0</v>
      </c>
      <c r="P21" s="1870">
        <f t="shared" si="69"/>
        <v>750000</v>
      </c>
      <c r="Q21" s="1865">
        <f t="shared" si="6"/>
        <v>4.3373425247314596</v>
      </c>
      <c r="R21" s="1866">
        <f t="shared" si="7"/>
        <v>100</v>
      </c>
      <c r="S21" s="1865">
        <f t="shared" si="70"/>
        <v>750000</v>
      </c>
      <c r="T21" s="1865">
        <f t="shared" si="71"/>
        <v>0</v>
      </c>
      <c r="U21" s="1865">
        <f t="shared" si="31"/>
        <v>0</v>
      </c>
      <c r="V21" s="1865">
        <f t="shared" si="32"/>
        <v>0</v>
      </c>
      <c r="W21" s="1865">
        <f t="shared" si="33"/>
        <v>0</v>
      </c>
      <c r="X21" s="1865">
        <f t="shared" si="66"/>
        <v>828538</v>
      </c>
      <c r="Y21" s="1865">
        <f t="shared" si="51"/>
        <v>4.4479508864398634</v>
      </c>
      <c r="Z21" s="1866">
        <f t="shared" si="42"/>
        <v>110.47173333333333</v>
      </c>
      <c r="AA21" s="1865">
        <f>'Phụ lục số 4'!O9</f>
        <v>828538</v>
      </c>
      <c r="AB21" s="3073"/>
      <c r="AC21" s="1871">
        <f>SUM(AF21:AG21)</f>
        <v>931000</v>
      </c>
      <c r="AD21" s="1867">
        <f t="shared" ref="AD21:AD39" si="76">AC21/$AC$7*100</f>
        <v>4.7795584942274063</v>
      </c>
      <c r="AE21" s="1866">
        <f t="shared" si="72"/>
        <v>112.36660237671659</v>
      </c>
      <c r="AF21" s="1865">
        <f t="shared" si="67"/>
        <v>931000</v>
      </c>
      <c r="AG21" s="1865">
        <f t="shared" si="73"/>
        <v>0</v>
      </c>
      <c r="AH21" s="1871">
        <f t="shared" si="74"/>
        <v>1007000</v>
      </c>
      <c r="AI21" s="1867">
        <f t="shared" si="11"/>
        <v>4.9267856374061312</v>
      </c>
      <c r="AJ21" s="1886">
        <f t="shared" si="4"/>
        <v>108.16326530612245</v>
      </c>
      <c r="AK21" s="1865">
        <f t="shared" si="68"/>
        <v>1007000</v>
      </c>
      <c r="AL21" s="1865">
        <f t="shared" ref="AL21:AL30" si="77">ROUND(AG21*1,-3)</f>
        <v>0</v>
      </c>
      <c r="AM21" s="1887"/>
      <c r="AN21" s="1887"/>
      <c r="AO21" s="1887"/>
      <c r="AP21" s="1887"/>
      <c r="AQ21" s="1887"/>
      <c r="AR21" s="1887"/>
      <c r="AS21" s="1887"/>
      <c r="AT21" s="1873"/>
      <c r="AU21" s="1874">
        <f>F8/1000</f>
        <v>6492.5579000000007</v>
      </c>
      <c r="AW21" s="1876">
        <f t="shared" si="53"/>
        <v>0.5</v>
      </c>
      <c r="AY21" s="1874">
        <v>282284</v>
      </c>
      <c r="AZ21" s="1875">
        <f t="shared" si="13"/>
        <v>1.328449363052812</v>
      </c>
      <c r="BA21" s="1874">
        <v>386037</v>
      </c>
      <c r="BB21" s="1875">
        <f t="shared" si="14"/>
        <v>0.9714094762937231</v>
      </c>
      <c r="BC21" s="1874">
        <v>477181</v>
      </c>
      <c r="BD21" s="1875">
        <f t="shared" si="15"/>
        <v>0.78586532154465494</v>
      </c>
      <c r="BE21" s="1874">
        <v>466198</v>
      </c>
      <c r="BF21" s="1875">
        <f t="shared" si="16"/>
        <v>0.80437925516625985</v>
      </c>
      <c r="BG21" s="1874">
        <v>426201</v>
      </c>
      <c r="BH21" s="1875">
        <f t="shared" si="17"/>
        <v>0.87986654184293323</v>
      </c>
      <c r="BI21" s="1874">
        <v>468622</v>
      </c>
      <c r="BJ21" s="1876">
        <f>F21/BI21</f>
        <v>0.80021851300195035</v>
      </c>
      <c r="BK21" s="1876">
        <f t="shared" si="19"/>
        <v>1.2361017208195069</v>
      </c>
      <c r="BL21" s="1875">
        <f t="shared" si="20"/>
        <v>0.97698357646260015</v>
      </c>
      <c r="BM21" s="1875">
        <f t="shared" si="21"/>
        <v>0.91420598114964025</v>
      </c>
      <c r="BN21" s="1875">
        <f t="shared" si="22"/>
        <v>1.0995328495240508</v>
      </c>
    </row>
    <row r="22" spans="1:66" s="1874" customFormat="1">
      <c r="A22" s="3076" t="s">
        <v>37</v>
      </c>
      <c r="B22" s="3613" t="s">
        <v>41</v>
      </c>
      <c r="C22" s="1865">
        <f t="shared" si="50"/>
        <v>78978</v>
      </c>
      <c r="D22" s="1865">
        <f>'[23]Phụ lục số 2'!$N$21</f>
        <v>40000</v>
      </c>
      <c r="E22" s="1865">
        <f>'[23]Phụ lục số 2'!$O$21</f>
        <v>38978</v>
      </c>
      <c r="F22" s="1865">
        <f t="shared" si="62"/>
        <v>45000</v>
      </c>
      <c r="G22" s="1865"/>
      <c r="H22" s="1866"/>
      <c r="I22" s="1865">
        <f>INT(D22/2)</f>
        <v>20000</v>
      </c>
      <c r="J22" s="1865">
        <f>INT(E22/2)-489+6000</f>
        <v>25000</v>
      </c>
      <c r="K22" s="1865">
        <f t="shared" si="63"/>
        <v>33978</v>
      </c>
      <c r="L22" s="1865"/>
      <c r="M22" s="1866"/>
      <c r="N22" s="1865">
        <f t="shared" si="64"/>
        <v>20000</v>
      </c>
      <c r="O22" s="1880">
        <f t="shared" si="65"/>
        <v>13978</v>
      </c>
      <c r="P22" s="1870">
        <f t="shared" si="69"/>
        <v>78978</v>
      </c>
      <c r="Q22" s="1865">
        <f t="shared" si="6"/>
        <v>0.45673951722432166</v>
      </c>
      <c r="R22" s="1866">
        <f t="shared" si="7"/>
        <v>100</v>
      </c>
      <c r="S22" s="1865">
        <f t="shared" si="70"/>
        <v>40000</v>
      </c>
      <c r="T22" s="1865">
        <f t="shared" si="71"/>
        <v>38978</v>
      </c>
      <c r="U22" s="1865">
        <f t="shared" si="31"/>
        <v>0</v>
      </c>
      <c r="V22" s="1865">
        <f t="shared" si="32"/>
        <v>0</v>
      </c>
      <c r="W22" s="1865">
        <f t="shared" si="33"/>
        <v>0</v>
      </c>
      <c r="X22" s="1865">
        <f t="shared" si="66"/>
        <v>91888</v>
      </c>
      <c r="Y22" s="1865">
        <f t="shared" si="51"/>
        <v>0.49329458763893286</v>
      </c>
      <c r="Z22" s="1866">
        <f t="shared" si="42"/>
        <v>116.34632429284105</v>
      </c>
      <c r="AA22" s="1865">
        <f>'Phụ lục số 4'!P9</f>
        <v>47888</v>
      </c>
      <c r="AB22" s="3073">
        <f>ROUND(E22*1.13,-3)</f>
        <v>44000</v>
      </c>
      <c r="AC22" s="1871">
        <f t="shared" si="38"/>
        <v>98000</v>
      </c>
      <c r="AD22" s="1867">
        <f t="shared" si="76"/>
        <v>0.50311142044499024</v>
      </c>
      <c r="AE22" s="1866">
        <f t="shared" si="72"/>
        <v>106.65157583144698</v>
      </c>
      <c r="AF22" s="1865">
        <f t="shared" si="67"/>
        <v>54000</v>
      </c>
      <c r="AG22" s="1865">
        <f t="shared" si="73"/>
        <v>44000</v>
      </c>
      <c r="AH22" s="1871">
        <f t="shared" si="74"/>
        <v>102000</v>
      </c>
      <c r="AI22" s="1867">
        <f t="shared" si="11"/>
        <v>0.49903886297460326</v>
      </c>
      <c r="AJ22" s="1886">
        <f t="shared" si="4"/>
        <v>104.08163265306123</v>
      </c>
      <c r="AK22" s="1865">
        <f t="shared" si="68"/>
        <v>58000</v>
      </c>
      <c r="AL22" s="1865">
        <f t="shared" si="77"/>
        <v>44000</v>
      </c>
      <c r="AM22" s="1887"/>
      <c r="AN22" s="1887"/>
      <c r="AO22" s="1887"/>
      <c r="AP22" s="1887"/>
      <c r="AQ22" s="1887"/>
      <c r="AR22" s="1887"/>
      <c r="AS22" s="1887"/>
      <c r="AT22" s="1873"/>
      <c r="AU22" s="1874">
        <f>AU20-AU21</f>
        <v>647.4420999999993</v>
      </c>
      <c r="AW22" s="1876">
        <f t="shared" si="53"/>
        <v>0.5</v>
      </c>
      <c r="AY22" s="1874">
        <v>40174</v>
      </c>
      <c r="AZ22" s="1875">
        <f t="shared" si="13"/>
        <v>1.1201274456115895</v>
      </c>
      <c r="BA22" s="1874">
        <v>33547</v>
      </c>
      <c r="BB22" s="1875">
        <f t="shared" si="14"/>
        <v>1.3414016156437236</v>
      </c>
      <c r="BC22" s="1874">
        <v>33112</v>
      </c>
      <c r="BD22" s="1875">
        <f t="shared" si="15"/>
        <v>1.3590239188209712</v>
      </c>
      <c r="BE22" s="1874">
        <v>34273</v>
      </c>
      <c r="BF22" s="1875">
        <f t="shared" si="16"/>
        <v>1.3129868993084937</v>
      </c>
      <c r="BG22" s="1874">
        <v>30990</v>
      </c>
      <c r="BH22" s="1875">
        <f t="shared" si="17"/>
        <v>1.452081316553727</v>
      </c>
      <c r="BI22" s="1874">
        <v>37100</v>
      </c>
      <c r="BJ22" s="1876">
        <f t="shared" si="18"/>
        <v>1.2129380053908356</v>
      </c>
      <c r="BK22" s="1876">
        <f t="shared" si="19"/>
        <v>0.987033117715444</v>
      </c>
      <c r="BL22" s="1875">
        <f t="shared" si="20"/>
        <v>1.0350628171055811</v>
      </c>
      <c r="BM22" s="1875">
        <f t="shared" si="21"/>
        <v>0.9042103113237826</v>
      </c>
      <c r="BN22" s="1875">
        <f t="shared" si="22"/>
        <v>1.1971603743142949</v>
      </c>
    </row>
    <row r="23" spans="1:66" s="1874" customFormat="1">
      <c r="A23" s="3076" t="s">
        <v>40</v>
      </c>
      <c r="B23" s="3613" t="s">
        <v>43</v>
      </c>
      <c r="C23" s="1865">
        <f t="shared" si="50"/>
        <v>42757</v>
      </c>
      <c r="D23" s="1865">
        <f>'[23]Phụ lục số 2'!$N$22</f>
        <v>14000</v>
      </c>
      <c r="E23" s="1865">
        <f>'[23]Phụ lục số 2'!$O$22</f>
        <v>28757</v>
      </c>
      <c r="F23" s="1865">
        <f t="shared" si="62"/>
        <v>22000</v>
      </c>
      <c r="G23" s="1865"/>
      <c r="H23" s="1866"/>
      <c r="I23" s="1865">
        <f>INT(D23/2)+1000</f>
        <v>8000</v>
      </c>
      <c r="J23" s="1865">
        <f>INT(E23/2)-378</f>
        <v>14000</v>
      </c>
      <c r="K23" s="1865">
        <f t="shared" si="63"/>
        <v>20757</v>
      </c>
      <c r="L23" s="1865"/>
      <c r="M23" s="1866"/>
      <c r="N23" s="1865">
        <f t="shared" si="64"/>
        <v>6000</v>
      </c>
      <c r="O23" s="1880">
        <f t="shared" si="65"/>
        <v>14757</v>
      </c>
      <c r="P23" s="1870">
        <f t="shared" si="69"/>
        <v>42757</v>
      </c>
      <c r="Q23" s="1865">
        <f t="shared" si="6"/>
        <v>0.24726900577325736</v>
      </c>
      <c r="R23" s="1866">
        <f t="shared" si="7"/>
        <v>100</v>
      </c>
      <c r="S23" s="1865">
        <f t="shared" si="70"/>
        <v>14000</v>
      </c>
      <c r="T23" s="1865">
        <f t="shared" si="71"/>
        <v>28757</v>
      </c>
      <c r="U23" s="1865">
        <f t="shared" si="31"/>
        <v>0</v>
      </c>
      <c r="V23" s="1865">
        <f t="shared" si="32"/>
        <v>0</v>
      </c>
      <c r="W23" s="1865">
        <f t="shared" si="33"/>
        <v>0</v>
      </c>
      <c r="X23" s="1865">
        <f t="shared" si="66"/>
        <v>50073</v>
      </c>
      <c r="Y23" s="1865">
        <f t="shared" si="51"/>
        <v>0.26881355440149185</v>
      </c>
      <c r="Z23" s="1866">
        <f t="shared" si="42"/>
        <v>117.11064854877564</v>
      </c>
      <c r="AA23" s="1865">
        <f>'Phụ lục số 4'!Q9</f>
        <v>18073</v>
      </c>
      <c r="AB23" s="3073">
        <f t="shared" ref="AB23:AB28" si="78">ROUND(E23*1.13,-3)</f>
        <v>32000</v>
      </c>
      <c r="AC23" s="1871">
        <f t="shared" si="38"/>
        <v>52000</v>
      </c>
      <c r="AD23" s="1867">
        <f t="shared" si="76"/>
        <v>0.26695708023611725</v>
      </c>
      <c r="AE23" s="1866">
        <f t="shared" si="72"/>
        <v>103.84838136320971</v>
      </c>
      <c r="AF23" s="1865">
        <f t="shared" si="67"/>
        <v>20000</v>
      </c>
      <c r="AG23" s="1865">
        <f t="shared" si="73"/>
        <v>32000</v>
      </c>
      <c r="AH23" s="1871">
        <f t="shared" si="74"/>
        <v>54000</v>
      </c>
      <c r="AI23" s="1867">
        <f t="shared" si="11"/>
        <v>0.26419704510420172</v>
      </c>
      <c r="AJ23" s="1886">
        <f t="shared" si="4"/>
        <v>103.84615384615385</v>
      </c>
      <c r="AK23" s="1865">
        <f t="shared" si="68"/>
        <v>22000</v>
      </c>
      <c r="AL23" s="1865">
        <f t="shared" si="77"/>
        <v>32000</v>
      </c>
      <c r="AM23" s="1887"/>
      <c r="AN23" s="1887"/>
      <c r="AO23" s="1887"/>
      <c r="AP23" s="1887"/>
      <c r="AQ23" s="1887"/>
      <c r="AR23" s="1887"/>
      <c r="AS23" s="1887"/>
      <c r="AT23" s="1873"/>
      <c r="AW23" s="1876">
        <f t="shared" si="53"/>
        <v>0.5714285714285714</v>
      </c>
      <c r="AY23" s="1874">
        <v>8777</v>
      </c>
      <c r="AZ23" s="1875">
        <f t="shared" si="13"/>
        <v>2.5065512133986556</v>
      </c>
      <c r="BA23" s="1874">
        <v>8503</v>
      </c>
      <c r="BB23" s="1875">
        <f t="shared" si="14"/>
        <v>2.5873221216041395</v>
      </c>
      <c r="BC23" s="1874">
        <v>7371</v>
      </c>
      <c r="BD23" s="1875">
        <f t="shared" si="15"/>
        <v>2.984669651336318</v>
      </c>
      <c r="BE23" s="1874">
        <v>9427</v>
      </c>
      <c r="BF23" s="1875">
        <f t="shared" si="16"/>
        <v>2.3337222870478413</v>
      </c>
      <c r="BG23" s="1874">
        <v>9814</v>
      </c>
      <c r="BH23" s="1875">
        <f t="shared" si="17"/>
        <v>2.2416955369879763</v>
      </c>
      <c r="BI23" s="1874">
        <v>9969</v>
      </c>
      <c r="BJ23" s="1876">
        <f t="shared" si="18"/>
        <v>2.2068412077440063</v>
      </c>
      <c r="BK23" s="1876">
        <f t="shared" si="19"/>
        <v>0.86687051628836886</v>
      </c>
      <c r="BL23" s="1875">
        <f t="shared" si="20"/>
        <v>1.2789309455976123</v>
      </c>
      <c r="BM23" s="1875">
        <f t="shared" si="21"/>
        <v>1.041052296594887</v>
      </c>
      <c r="BN23" s="1875">
        <f t="shared" si="22"/>
        <v>1.0157937640105972</v>
      </c>
    </row>
    <row r="24" spans="1:66" s="1874" customFormat="1">
      <c r="A24" s="3076" t="s">
        <v>42</v>
      </c>
      <c r="B24" s="3613" t="s">
        <v>45</v>
      </c>
      <c r="C24" s="1865">
        <f t="shared" si="50"/>
        <v>38378</v>
      </c>
      <c r="D24" s="1865">
        <f>'[23]Phụ lục số 2'!$N$23</f>
        <v>24000</v>
      </c>
      <c r="E24" s="1865">
        <f>'[23]Phụ lục số 2'!$O$23</f>
        <v>14378</v>
      </c>
      <c r="F24" s="1865">
        <f t="shared" si="62"/>
        <v>19000</v>
      </c>
      <c r="G24" s="1865"/>
      <c r="H24" s="1866"/>
      <c r="I24" s="1865">
        <f>INT(D24/2)</f>
        <v>12000</v>
      </c>
      <c r="J24" s="1865">
        <f>INT(E24/2)-189</f>
        <v>7000</v>
      </c>
      <c r="K24" s="1865">
        <f t="shared" si="63"/>
        <v>19378</v>
      </c>
      <c r="L24" s="1865"/>
      <c r="M24" s="1866"/>
      <c r="N24" s="1865">
        <f t="shared" si="64"/>
        <v>12000</v>
      </c>
      <c r="O24" s="1880">
        <f t="shared" si="65"/>
        <v>7378</v>
      </c>
      <c r="P24" s="1870">
        <f t="shared" si="69"/>
        <v>38378</v>
      </c>
      <c r="Q24" s="1865">
        <f t="shared" si="6"/>
        <v>0.22194470855219198</v>
      </c>
      <c r="R24" s="1866">
        <f t="shared" si="7"/>
        <v>100</v>
      </c>
      <c r="S24" s="1865">
        <f t="shared" si="70"/>
        <v>24000</v>
      </c>
      <c r="T24" s="1865">
        <f t="shared" si="71"/>
        <v>14378</v>
      </c>
      <c r="U24" s="1865">
        <f t="shared" si="31"/>
        <v>0</v>
      </c>
      <c r="V24" s="1865">
        <f t="shared" si="32"/>
        <v>0</v>
      </c>
      <c r="W24" s="1865">
        <f t="shared" si="33"/>
        <v>0</v>
      </c>
      <c r="X24" s="1865">
        <f t="shared" si="66"/>
        <v>53202</v>
      </c>
      <c r="Y24" s="1865">
        <f t="shared" si="51"/>
        <v>0.28561138180792384</v>
      </c>
      <c r="Z24" s="1866">
        <f t="shared" si="42"/>
        <v>138.62629631559747</v>
      </c>
      <c r="AA24" s="1865">
        <f>'Phụ lục số 4'!R9</f>
        <v>37202</v>
      </c>
      <c r="AB24" s="3073">
        <f t="shared" si="78"/>
        <v>16000</v>
      </c>
      <c r="AC24" s="1871">
        <f t="shared" si="38"/>
        <v>58000</v>
      </c>
      <c r="AD24" s="1867">
        <f t="shared" si="76"/>
        <v>0.29775982026336151</v>
      </c>
      <c r="AE24" s="1866">
        <f t="shared" si="72"/>
        <v>109.01845795270854</v>
      </c>
      <c r="AF24" s="1865">
        <f t="shared" si="67"/>
        <v>42000</v>
      </c>
      <c r="AG24" s="1865">
        <f t="shared" si="73"/>
        <v>16000</v>
      </c>
      <c r="AH24" s="1871">
        <f t="shared" si="74"/>
        <v>61000</v>
      </c>
      <c r="AI24" s="1867">
        <f t="shared" si="11"/>
        <v>0.29844481021030189</v>
      </c>
      <c r="AJ24" s="1886">
        <f t="shared" si="4"/>
        <v>105.17241379310344</v>
      </c>
      <c r="AK24" s="1865">
        <f t="shared" si="68"/>
        <v>45000</v>
      </c>
      <c r="AL24" s="1865">
        <f t="shared" si="77"/>
        <v>16000</v>
      </c>
      <c r="AM24" s="1887"/>
      <c r="AN24" s="1887"/>
      <c r="AO24" s="1887"/>
      <c r="AP24" s="1887"/>
      <c r="AQ24" s="1887"/>
      <c r="AR24" s="1887"/>
      <c r="AS24" s="1887"/>
      <c r="AT24" s="1873"/>
      <c r="AW24" s="1876">
        <f t="shared" si="53"/>
        <v>0.5</v>
      </c>
      <c r="AY24" s="1874">
        <v>15359</v>
      </c>
      <c r="AZ24" s="1875">
        <f t="shared" si="13"/>
        <v>1.2370597044078391</v>
      </c>
      <c r="BA24" s="1874">
        <v>17021</v>
      </c>
      <c r="BB24" s="1875">
        <f t="shared" si="14"/>
        <v>1.1162681393572647</v>
      </c>
      <c r="BC24" s="1874">
        <v>13849</v>
      </c>
      <c r="BD24" s="1875">
        <f t="shared" si="15"/>
        <v>1.371940212289696</v>
      </c>
      <c r="BE24" s="1874">
        <v>14466</v>
      </c>
      <c r="BF24" s="1875">
        <f t="shared" si="16"/>
        <v>1.3134245817779622</v>
      </c>
      <c r="BG24" s="1874">
        <v>10791</v>
      </c>
      <c r="BH24" s="1875">
        <f t="shared" si="17"/>
        <v>1.7607265313687332</v>
      </c>
      <c r="BI24" s="1874">
        <v>21020</v>
      </c>
      <c r="BJ24" s="1876">
        <f t="shared" si="18"/>
        <v>0.90390104662226456</v>
      </c>
      <c r="BK24" s="1876">
        <f t="shared" si="19"/>
        <v>0.81364197168203989</v>
      </c>
      <c r="BL24" s="1875">
        <f t="shared" si="20"/>
        <v>1.0445519532096181</v>
      </c>
      <c r="BM24" s="1875">
        <f t="shared" si="21"/>
        <v>0.74595603484031525</v>
      </c>
      <c r="BN24" s="1875">
        <f t="shared" si="22"/>
        <v>1.9479195625984618</v>
      </c>
    </row>
    <row r="25" spans="1:66" s="1874" customFormat="1">
      <c r="A25" s="3076" t="s">
        <v>44</v>
      </c>
      <c r="B25" s="3613" t="s">
        <v>46</v>
      </c>
      <c r="C25" s="1865">
        <f t="shared" si="50"/>
        <v>539140</v>
      </c>
      <c r="D25" s="1865">
        <f>'[23]Phụ lục số 2'!$N$24</f>
        <v>75000</v>
      </c>
      <c r="E25" s="1865">
        <f>'[23]Phụ lục số 2'!$O$24</f>
        <v>464140</v>
      </c>
      <c r="F25" s="1865">
        <f t="shared" si="62"/>
        <v>269000</v>
      </c>
      <c r="G25" s="1865"/>
      <c r="H25" s="1866"/>
      <c r="I25" s="1865">
        <f>INT(D25/2)-500</f>
        <v>37000</v>
      </c>
      <c r="J25" s="1865">
        <f>INT(E25/2)-70</f>
        <v>232000</v>
      </c>
      <c r="K25" s="1865">
        <f t="shared" si="63"/>
        <v>286940</v>
      </c>
      <c r="L25" s="1865"/>
      <c r="M25" s="1866"/>
      <c r="N25" s="1865">
        <f>D25-I25</f>
        <v>38000</v>
      </c>
      <c r="O25" s="1880">
        <f>E25-J25+16800</f>
        <v>248940</v>
      </c>
      <c r="P25" s="1870">
        <f t="shared" si="69"/>
        <v>539140</v>
      </c>
      <c r="Q25" s="1865">
        <f t="shared" si="6"/>
        <v>3.1179131317116258</v>
      </c>
      <c r="R25" s="1866">
        <f t="shared" si="7"/>
        <v>100</v>
      </c>
      <c r="S25" s="1865">
        <f t="shared" si="70"/>
        <v>75000</v>
      </c>
      <c r="T25" s="1865">
        <f t="shared" si="71"/>
        <v>464140</v>
      </c>
      <c r="U25" s="1865">
        <f t="shared" si="31"/>
        <v>0</v>
      </c>
      <c r="V25" s="1865">
        <f t="shared" si="32"/>
        <v>0</v>
      </c>
      <c r="W25" s="1865">
        <f t="shared" si="33"/>
        <v>0</v>
      </c>
      <c r="X25" s="1865">
        <f t="shared" si="66"/>
        <v>601385</v>
      </c>
      <c r="Y25" s="1865">
        <f t="shared" si="51"/>
        <v>3.2284951853042796</v>
      </c>
      <c r="Z25" s="1866">
        <f t="shared" ref="Z25:Z28" si="79">X25/C25*100</f>
        <v>111.54523871350671</v>
      </c>
      <c r="AA25" s="1865">
        <f>'Phụ lục số 4'!S9</f>
        <v>77385</v>
      </c>
      <c r="AB25" s="3073">
        <f t="shared" si="78"/>
        <v>524000</v>
      </c>
      <c r="AC25" s="1871">
        <f t="shared" si="38"/>
        <v>611000</v>
      </c>
      <c r="AD25" s="1867">
        <f t="shared" si="76"/>
        <v>3.1367456927743778</v>
      </c>
      <c r="AE25" s="1866">
        <f t="shared" si="72"/>
        <v>101.59880941493387</v>
      </c>
      <c r="AF25" s="1865">
        <f t="shared" si="67"/>
        <v>87000</v>
      </c>
      <c r="AG25" s="1865">
        <f t="shared" si="73"/>
        <v>524000</v>
      </c>
      <c r="AH25" s="1871">
        <f t="shared" si="74"/>
        <v>618000</v>
      </c>
      <c r="AI25" s="1867">
        <f t="shared" si="11"/>
        <v>3.0235884050814192</v>
      </c>
      <c r="AJ25" s="1886">
        <f t="shared" si="4"/>
        <v>101.14566284779052</v>
      </c>
      <c r="AK25" s="1865">
        <f t="shared" si="68"/>
        <v>94000</v>
      </c>
      <c r="AL25" s="1865">
        <f t="shared" si="77"/>
        <v>524000</v>
      </c>
      <c r="AM25" s="1887"/>
      <c r="AN25" s="1887"/>
      <c r="AO25" s="1887"/>
      <c r="AP25" s="1887"/>
      <c r="AQ25" s="1887"/>
      <c r="AR25" s="1887"/>
      <c r="AS25" s="1887"/>
      <c r="AT25" s="1873"/>
      <c r="AW25" s="1876">
        <f t="shared" si="53"/>
        <v>0.49333333333333335</v>
      </c>
      <c r="AY25" s="1874">
        <v>196486</v>
      </c>
      <c r="AZ25" s="1875">
        <f t="shared" si="13"/>
        <v>1.3690542837657644</v>
      </c>
      <c r="BA25" s="1874">
        <v>206661</v>
      </c>
      <c r="BB25" s="1875">
        <f t="shared" si="14"/>
        <v>1.3016485935904694</v>
      </c>
      <c r="BC25" s="1874">
        <v>192281</v>
      </c>
      <c r="BD25" s="1875">
        <f t="shared" si="15"/>
        <v>1.3989941803922386</v>
      </c>
      <c r="BE25" s="1874">
        <v>403227</v>
      </c>
      <c r="BF25" s="1875">
        <f t="shared" si="16"/>
        <v>0.66711802533064501</v>
      </c>
      <c r="BG25" s="1874">
        <v>223831</v>
      </c>
      <c r="BH25" s="1875">
        <f t="shared" si="17"/>
        <v>1.2017995719985168</v>
      </c>
      <c r="BI25" s="1874">
        <v>363631</v>
      </c>
      <c r="BJ25" s="1876">
        <f t="shared" si="18"/>
        <v>0.73976091147344425</v>
      </c>
      <c r="BK25" s="1876">
        <f t="shared" si="19"/>
        <v>0.93041744692999651</v>
      </c>
      <c r="BL25" s="1875">
        <f t="shared" si="20"/>
        <v>2.0970714735205247</v>
      </c>
      <c r="BM25" s="1875">
        <f t="shared" si="21"/>
        <v>0.55509923690625873</v>
      </c>
      <c r="BN25" s="1875">
        <f t="shared" si="22"/>
        <v>1.6245783649271102</v>
      </c>
    </row>
    <row r="26" spans="1:66" s="1861" customFormat="1" ht="17.399999999999999">
      <c r="A26" s="3074">
        <v>4</v>
      </c>
      <c r="B26" s="3588" t="s">
        <v>47</v>
      </c>
      <c r="C26" s="1852">
        <f t="shared" si="50"/>
        <v>1388540</v>
      </c>
      <c r="D26" s="1852">
        <f>'[23]Phụ lục số 2'!$N$25</f>
        <v>455000</v>
      </c>
      <c r="E26" s="1852">
        <f>'[23]Phụ lục số 2'!$O$25</f>
        <v>933540</v>
      </c>
      <c r="F26" s="1852">
        <f t="shared" ref="F26:F34" si="80">SUM(I26,J26)</f>
        <v>693000</v>
      </c>
      <c r="G26" s="1852">
        <f>F26/$F$7*100</f>
        <v>10.477863291220235</v>
      </c>
      <c r="H26" s="1857">
        <f>F26/C26%</f>
        <v>49.908537024500554</v>
      </c>
      <c r="I26" s="1852">
        <f>INT(D26/2)-500</f>
        <v>227000</v>
      </c>
      <c r="J26" s="1852">
        <f>INT(E26/2)-770</f>
        <v>466000</v>
      </c>
      <c r="K26" s="1852">
        <f t="shared" ref="K26:K34" si="81">SUM(N26,O26)</f>
        <v>695540</v>
      </c>
      <c r="L26" s="1852">
        <f>K26/$K$7*100</f>
        <v>6.5490059543188526</v>
      </c>
      <c r="M26" s="1857">
        <f>K26/C26%</f>
        <v>50.091462975499446</v>
      </c>
      <c r="N26" s="1852">
        <f t="shared" si="64"/>
        <v>228000</v>
      </c>
      <c r="O26" s="1884">
        <f>(E26-J26)</f>
        <v>467540</v>
      </c>
      <c r="P26" s="1856">
        <f t="shared" ref="P26:P34" si="82">SUM(S26:T26)</f>
        <v>1388540</v>
      </c>
      <c r="Q26" s="1852">
        <f t="shared" si="6"/>
        <v>8.0300981190541609</v>
      </c>
      <c r="R26" s="1857">
        <f t="shared" si="7"/>
        <v>100</v>
      </c>
      <c r="S26" s="1852">
        <f t="shared" si="29"/>
        <v>455000</v>
      </c>
      <c r="T26" s="1852">
        <f t="shared" si="30"/>
        <v>933540</v>
      </c>
      <c r="U26" s="1852">
        <f t="shared" si="31"/>
        <v>0</v>
      </c>
      <c r="V26" s="1852">
        <f t="shared" si="32"/>
        <v>0</v>
      </c>
      <c r="W26" s="1852">
        <f t="shared" si="33"/>
        <v>0</v>
      </c>
      <c r="X26" s="1852">
        <f t="shared" si="66"/>
        <v>1570458</v>
      </c>
      <c r="Y26" s="1852">
        <f t="shared" si="51"/>
        <v>8.4308988280761703</v>
      </c>
      <c r="Z26" s="1857">
        <f>X26/C26*100</f>
        <v>113.10138706843158</v>
      </c>
      <c r="AA26" s="1852">
        <f>'Phụ lục số 4'!T9</f>
        <v>515458</v>
      </c>
      <c r="AB26" s="3075">
        <f t="shared" si="78"/>
        <v>1055000</v>
      </c>
      <c r="AC26" s="1858">
        <f t="shared" si="38"/>
        <v>1634000</v>
      </c>
      <c r="AD26" s="1853">
        <f t="shared" si="76"/>
        <v>8.3886128674195302</v>
      </c>
      <c r="AE26" s="1857">
        <f t="shared" si="72"/>
        <v>104.04608082482945</v>
      </c>
      <c r="AF26" s="1852">
        <f t="shared" si="67"/>
        <v>579000</v>
      </c>
      <c r="AG26" s="1852">
        <f t="shared" si="73"/>
        <v>1055000</v>
      </c>
      <c r="AH26" s="1858">
        <f t="shared" si="74"/>
        <v>1681000</v>
      </c>
      <c r="AI26" s="1853">
        <f t="shared" si="11"/>
        <v>8.2243561633363527</v>
      </c>
      <c r="AJ26" s="1859">
        <f t="shared" si="4"/>
        <v>102.87637698898409</v>
      </c>
      <c r="AK26" s="1852">
        <f t="shared" si="68"/>
        <v>626000</v>
      </c>
      <c r="AL26" s="1852">
        <f t="shared" si="77"/>
        <v>1055000</v>
      </c>
      <c r="AM26" s="1885"/>
      <c r="AN26" s="1885"/>
      <c r="AO26" s="1885"/>
      <c r="AP26" s="1885"/>
      <c r="AQ26" s="1885"/>
      <c r="AR26" s="1885"/>
      <c r="AS26" s="1885"/>
      <c r="AT26" s="1860"/>
      <c r="AW26" s="1863">
        <f t="shared" si="53"/>
        <v>0.49890109890109891</v>
      </c>
      <c r="AY26" s="1861">
        <v>672712</v>
      </c>
      <c r="AZ26" s="1862">
        <f t="shared" si="13"/>
        <v>1.0301585225178085</v>
      </c>
      <c r="BA26" s="1861">
        <v>656790</v>
      </c>
      <c r="BB26" s="1862">
        <f t="shared" si="14"/>
        <v>1.0551317772804092</v>
      </c>
      <c r="BC26" s="1861">
        <v>645612</v>
      </c>
      <c r="BD26" s="1862">
        <f t="shared" si="15"/>
        <v>1.0734001226742997</v>
      </c>
      <c r="BE26" s="1861">
        <v>735984</v>
      </c>
      <c r="BF26" s="1862">
        <f t="shared" si="16"/>
        <v>0.94159655644687923</v>
      </c>
      <c r="BG26" s="1861">
        <v>717213</v>
      </c>
      <c r="BH26" s="1862">
        <f t="shared" si="17"/>
        <v>0.96624015459842472</v>
      </c>
      <c r="BI26" s="1861">
        <v>711017</v>
      </c>
      <c r="BJ26" s="1863">
        <f t="shared" si="18"/>
        <v>0.97466024019116282</v>
      </c>
      <c r="BK26" s="1863">
        <f t="shared" si="19"/>
        <v>0.98298086146256791</v>
      </c>
      <c r="BL26" s="1862">
        <f t="shared" si="20"/>
        <v>1.1399788108027731</v>
      </c>
      <c r="BM26" s="1862">
        <f t="shared" si="21"/>
        <v>0.97449536946455362</v>
      </c>
      <c r="BN26" s="1862">
        <f t="shared" si="22"/>
        <v>0.99136100433204644</v>
      </c>
    </row>
    <row r="27" spans="1:66" s="1861" customFormat="1" ht="17.399999999999999">
      <c r="A27" s="3074">
        <v>5</v>
      </c>
      <c r="B27" s="3588" t="s">
        <v>48</v>
      </c>
      <c r="C27" s="1852">
        <f t="shared" si="50"/>
        <v>326504</v>
      </c>
      <c r="D27" s="1852">
        <f>'[23]Phụ lục số 2'!$N$26</f>
        <v>140000</v>
      </c>
      <c r="E27" s="1852">
        <f>'[23]Phụ lục số 2'!$O$26</f>
        <v>186504</v>
      </c>
      <c r="F27" s="1852">
        <f t="shared" si="80"/>
        <v>163000</v>
      </c>
      <c r="G27" s="1852"/>
      <c r="H27" s="1857">
        <f>F27/C27%</f>
        <v>49.922818709724844</v>
      </c>
      <c r="I27" s="1852">
        <f>INT(D27/2)</f>
        <v>70000</v>
      </c>
      <c r="J27" s="1852">
        <f>INT(E27/2)-252</f>
        <v>93000</v>
      </c>
      <c r="K27" s="1852">
        <f t="shared" si="81"/>
        <v>163504</v>
      </c>
      <c r="L27" s="1852"/>
      <c r="M27" s="1857">
        <f>K27/C27%</f>
        <v>50.077181290275156</v>
      </c>
      <c r="N27" s="1852">
        <f t="shared" si="65"/>
        <v>70000</v>
      </c>
      <c r="O27" s="1884">
        <f t="shared" si="65"/>
        <v>93504</v>
      </c>
      <c r="P27" s="1856">
        <f t="shared" si="82"/>
        <v>326504</v>
      </c>
      <c r="Q27" s="1852">
        <f t="shared" si="6"/>
        <v>1.8882129115932276</v>
      </c>
      <c r="R27" s="1857">
        <f t="shared" si="7"/>
        <v>100</v>
      </c>
      <c r="S27" s="1852">
        <f t="shared" si="29"/>
        <v>140000</v>
      </c>
      <c r="T27" s="1852">
        <f t="shared" si="30"/>
        <v>186504</v>
      </c>
      <c r="U27" s="1852">
        <f t="shared" si="31"/>
        <v>0</v>
      </c>
      <c r="V27" s="1852">
        <f t="shared" si="32"/>
        <v>0</v>
      </c>
      <c r="W27" s="1852">
        <f t="shared" si="33"/>
        <v>0</v>
      </c>
      <c r="X27" s="1852">
        <f t="shared" si="66"/>
        <v>367327</v>
      </c>
      <c r="Y27" s="1852">
        <f t="shared" si="51"/>
        <v>1.971970453091223</v>
      </c>
      <c r="Z27" s="1857">
        <f t="shared" si="79"/>
        <v>112.5030627496141</v>
      </c>
      <c r="AA27" s="1852">
        <f>'Phụ lục số 4'!U9</f>
        <v>148327</v>
      </c>
      <c r="AB27" s="3075">
        <f>ROUND(E27*1.13,-3)+8000</f>
        <v>219000</v>
      </c>
      <c r="AC27" s="1858">
        <f t="shared" si="38"/>
        <v>386000</v>
      </c>
      <c r="AD27" s="1853">
        <f t="shared" si="76"/>
        <v>1.9816429417527166</v>
      </c>
      <c r="AE27" s="1857">
        <f t="shared" si="72"/>
        <v>105.08348147563342</v>
      </c>
      <c r="AF27" s="1852">
        <f t="shared" si="67"/>
        <v>167000</v>
      </c>
      <c r="AG27" s="1852">
        <f t="shared" si="73"/>
        <v>219000</v>
      </c>
      <c r="AH27" s="1858">
        <f t="shared" si="74"/>
        <v>400000</v>
      </c>
      <c r="AI27" s="1853">
        <f t="shared" si="11"/>
        <v>1.9570151489200125</v>
      </c>
      <c r="AJ27" s="1859">
        <f t="shared" si="4"/>
        <v>103.62694300518133</v>
      </c>
      <c r="AK27" s="1852">
        <f t="shared" si="68"/>
        <v>181000</v>
      </c>
      <c r="AL27" s="1852">
        <f t="shared" si="77"/>
        <v>219000</v>
      </c>
      <c r="AM27" s="1885"/>
      <c r="AN27" s="1885"/>
      <c r="AO27" s="1885"/>
      <c r="AP27" s="1885"/>
      <c r="AQ27" s="1885"/>
      <c r="AR27" s="1885"/>
      <c r="AS27" s="1885"/>
      <c r="AT27" s="1860"/>
      <c r="AW27" s="1863">
        <f t="shared" si="53"/>
        <v>0.5</v>
      </c>
      <c r="AY27" s="1861">
        <v>164387</v>
      </c>
      <c r="AZ27" s="1862">
        <f t="shared" si="13"/>
        <v>0.99156259314909334</v>
      </c>
      <c r="BA27" s="1861">
        <v>179912.4</v>
      </c>
      <c r="BB27" s="1862">
        <f t="shared" si="14"/>
        <v>0.90599647383949078</v>
      </c>
      <c r="BC27" s="1861">
        <v>198242</v>
      </c>
      <c r="BD27" s="1862">
        <f t="shared" si="15"/>
        <v>0.82222737865840745</v>
      </c>
      <c r="BE27" s="1861">
        <f>221139</f>
        <v>221139</v>
      </c>
      <c r="BF27" s="1862">
        <f t="shared" si="16"/>
        <v>0.73709295963172483</v>
      </c>
      <c r="BG27" s="1861">
        <v>259629</v>
      </c>
      <c r="BH27" s="1862">
        <f t="shared" si="17"/>
        <v>0.6278189262370536</v>
      </c>
      <c r="BI27" s="1861">
        <v>218776</v>
      </c>
      <c r="BJ27" s="1863">
        <f t="shared" si="18"/>
        <v>0.74505430211723411</v>
      </c>
      <c r="BK27" s="1863">
        <f t="shared" si="19"/>
        <v>1.1018806930483946</v>
      </c>
      <c r="BL27" s="1862">
        <f t="shared" si="20"/>
        <v>1.1155002471726476</v>
      </c>
      <c r="BM27" s="1862">
        <f t="shared" si="21"/>
        <v>1.1740534234124238</v>
      </c>
      <c r="BN27" s="1862">
        <f t="shared" si="22"/>
        <v>0.84264854850575244</v>
      </c>
    </row>
    <row r="28" spans="1:66" s="1861" customFormat="1" ht="17.399999999999999">
      <c r="A28" s="3074">
        <v>6</v>
      </c>
      <c r="B28" s="3588" t="s">
        <v>90</v>
      </c>
      <c r="C28" s="1852">
        <f t="shared" si="50"/>
        <v>48511</v>
      </c>
      <c r="D28" s="1852">
        <f>'[23]Phụ lục số 2'!$N$27</f>
        <v>20000</v>
      </c>
      <c r="E28" s="1852">
        <f>'[23]Phụ lục số 2'!$O$27</f>
        <v>28511</v>
      </c>
      <c r="F28" s="1852">
        <f t="shared" si="80"/>
        <v>24000</v>
      </c>
      <c r="G28" s="1852"/>
      <c r="H28" s="1857">
        <f>F28/C28%</f>
        <v>49.473315330543585</v>
      </c>
      <c r="I28" s="1852">
        <f>INT(D28/2)</f>
        <v>10000</v>
      </c>
      <c r="J28" s="1852">
        <f>INT(E28/2)-255</f>
        <v>14000</v>
      </c>
      <c r="K28" s="1852">
        <f t="shared" si="81"/>
        <v>24511</v>
      </c>
      <c r="L28" s="1852"/>
      <c r="M28" s="1857">
        <f>K28/C28%</f>
        <v>50.526684669456408</v>
      </c>
      <c r="N28" s="1852">
        <f t="shared" si="64"/>
        <v>10000</v>
      </c>
      <c r="O28" s="1884">
        <f t="shared" si="65"/>
        <v>14511</v>
      </c>
      <c r="P28" s="1856">
        <f t="shared" si="82"/>
        <v>48511</v>
      </c>
      <c r="Q28" s="1852">
        <f t="shared" si="6"/>
        <v>0.28054509762299712</v>
      </c>
      <c r="R28" s="1857">
        <f t="shared" si="7"/>
        <v>100</v>
      </c>
      <c r="S28" s="1852">
        <f t="shared" si="29"/>
        <v>20000</v>
      </c>
      <c r="T28" s="1852">
        <f t="shared" si="30"/>
        <v>28511</v>
      </c>
      <c r="U28" s="1852">
        <f t="shared" si="31"/>
        <v>0</v>
      </c>
      <c r="V28" s="1852">
        <f t="shared" si="32"/>
        <v>0</v>
      </c>
      <c r="W28" s="1852">
        <f t="shared" si="33"/>
        <v>0</v>
      </c>
      <c r="X28" s="1852">
        <f t="shared" si="66"/>
        <v>52000</v>
      </c>
      <c r="Y28" s="1852">
        <f t="shared" si="51"/>
        <v>0.27915852513086048</v>
      </c>
      <c r="Z28" s="1857">
        <f t="shared" si="79"/>
        <v>107.19218321617778</v>
      </c>
      <c r="AA28" s="1852">
        <f>'Phụ lục số 4'!V9</f>
        <v>20000</v>
      </c>
      <c r="AB28" s="3075">
        <f t="shared" si="78"/>
        <v>32000</v>
      </c>
      <c r="AC28" s="1858">
        <f t="shared" si="38"/>
        <v>54000</v>
      </c>
      <c r="AD28" s="1853">
        <f t="shared" si="76"/>
        <v>0.27722466024519865</v>
      </c>
      <c r="AE28" s="1857">
        <f t="shared" si="72"/>
        <v>103.84615384615385</v>
      </c>
      <c r="AF28" s="1852">
        <f t="shared" si="67"/>
        <v>22000</v>
      </c>
      <c r="AG28" s="1852">
        <f t="shared" si="73"/>
        <v>32000</v>
      </c>
      <c r="AH28" s="1858">
        <f t="shared" si="74"/>
        <v>56000</v>
      </c>
      <c r="AI28" s="1853">
        <f t="shared" si="11"/>
        <v>0.27398212084880175</v>
      </c>
      <c r="AJ28" s="1859">
        <f t="shared" si="4"/>
        <v>103.7037037037037</v>
      </c>
      <c r="AK28" s="1852">
        <f t="shared" si="68"/>
        <v>24000</v>
      </c>
      <c r="AL28" s="1852">
        <f t="shared" si="77"/>
        <v>32000</v>
      </c>
      <c r="AM28" s="1885"/>
      <c r="AN28" s="1885"/>
      <c r="AO28" s="1885"/>
      <c r="AP28" s="1885"/>
      <c r="AQ28" s="1885"/>
      <c r="AR28" s="1885"/>
      <c r="AS28" s="1885"/>
      <c r="AT28" s="1860"/>
      <c r="AW28" s="1863">
        <f t="shared" si="53"/>
        <v>0.5</v>
      </c>
      <c r="AY28" s="1861">
        <v>98013</v>
      </c>
      <c r="AZ28" s="1862">
        <f t="shared" si="13"/>
        <v>0.24486547702855743</v>
      </c>
      <c r="BA28" s="1861">
        <v>32504.400000000001</v>
      </c>
      <c r="BB28" s="1862">
        <f t="shared" si="14"/>
        <v>0.73836157566360239</v>
      </c>
      <c r="BC28" s="1861">
        <v>45338</v>
      </c>
      <c r="BD28" s="1862">
        <f t="shared" si="15"/>
        <v>0.52935727204552474</v>
      </c>
      <c r="BE28" s="1861">
        <v>45501</v>
      </c>
      <c r="BF28" s="1862">
        <f t="shared" si="16"/>
        <v>0.52746093492450719</v>
      </c>
      <c r="BG28" s="1861">
        <v>15153</v>
      </c>
      <c r="BH28" s="1862">
        <f t="shared" si="17"/>
        <v>1.5838447832112452</v>
      </c>
      <c r="BI28" s="1861">
        <v>29454</v>
      </c>
      <c r="BJ28" s="1863">
        <f t="shared" si="18"/>
        <v>0.81482990425748625</v>
      </c>
      <c r="BK28" s="1863">
        <f t="shared" si="19"/>
        <v>1.3948265465598504</v>
      </c>
      <c r="BL28" s="1862">
        <f t="shared" si="20"/>
        <v>1.0035952181393093</v>
      </c>
      <c r="BM28" s="1862">
        <f t="shared" si="21"/>
        <v>0.33302564778796068</v>
      </c>
      <c r="BN28" s="1862">
        <f t="shared" si="22"/>
        <v>1.9437735101960008</v>
      </c>
    </row>
    <row r="29" spans="1:66" s="1889" customFormat="1" ht="17.399999999999999">
      <c r="A29" s="3074" t="s">
        <v>49</v>
      </c>
      <c r="B29" s="3588" t="s">
        <v>65</v>
      </c>
      <c r="C29" s="1852">
        <f t="shared" si="50"/>
        <v>2000</v>
      </c>
      <c r="D29" s="1852">
        <f>'[23]Phụ lục số 2'!$N$28</f>
        <v>2000</v>
      </c>
      <c r="E29" s="1852">
        <v>0</v>
      </c>
      <c r="F29" s="1852">
        <f t="shared" si="80"/>
        <v>2000</v>
      </c>
      <c r="G29" s="1852"/>
      <c r="H29" s="1857"/>
      <c r="I29" s="1852">
        <f>D29</f>
        <v>2000</v>
      </c>
      <c r="J29" s="1852"/>
      <c r="K29" s="1852">
        <f t="shared" si="81"/>
        <v>0</v>
      </c>
      <c r="L29" s="1852"/>
      <c r="M29" s="1857"/>
      <c r="N29" s="1852">
        <f t="shared" si="64"/>
        <v>0</v>
      </c>
      <c r="O29" s="1884">
        <f t="shared" si="65"/>
        <v>0</v>
      </c>
      <c r="P29" s="1856">
        <f t="shared" si="82"/>
        <v>2000</v>
      </c>
      <c r="Q29" s="1852">
        <f t="shared" si="6"/>
        <v>1.1566246732617226E-2</v>
      </c>
      <c r="R29" s="1857">
        <f t="shared" si="7"/>
        <v>100</v>
      </c>
      <c r="S29" s="1852">
        <f t="shared" si="29"/>
        <v>2000</v>
      </c>
      <c r="T29" s="1852">
        <f t="shared" si="30"/>
        <v>0</v>
      </c>
      <c r="U29" s="1852">
        <f t="shared" si="31"/>
        <v>0</v>
      </c>
      <c r="V29" s="1852">
        <f t="shared" ref="V29:V31" si="83">S29-D29</f>
        <v>0</v>
      </c>
      <c r="W29" s="1852">
        <f t="shared" ref="W29:W31" si="84">T29-E29</f>
        <v>0</v>
      </c>
      <c r="X29" s="1852">
        <f t="shared" si="66"/>
        <v>2000</v>
      </c>
      <c r="Y29" s="1852">
        <f t="shared" si="51"/>
        <v>1.0736866351186942E-2</v>
      </c>
      <c r="Z29" s="1857">
        <f>X29/C29*100</f>
        <v>100</v>
      </c>
      <c r="AA29" s="1852">
        <f>1400+600</f>
        <v>2000</v>
      </c>
      <c r="AB29" s="3075"/>
      <c r="AC29" s="1858">
        <f t="shared" si="38"/>
        <v>2000</v>
      </c>
      <c r="AD29" s="1853">
        <f t="shared" si="76"/>
        <v>1.0267580009081432E-2</v>
      </c>
      <c r="AE29" s="1857">
        <f t="shared" si="72"/>
        <v>100</v>
      </c>
      <c r="AF29" s="1852">
        <f t="shared" si="67"/>
        <v>2000</v>
      </c>
      <c r="AG29" s="1852">
        <f t="shared" ref="AG29:AG37" si="85">AB29+W29</f>
        <v>0</v>
      </c>
      <c r="AH29" s="1858">
        <f t="shared" si="74"/>
        <v>2000</v>
      </c>
      <c r="AI29" s="1853">
        <f t="shared" si="11"/>
        <v>9.7850757446000629E-3</v>
      </c>
      <c r="AJ29" s="1859">
        <f t="shared" si="4"/>
        <v>100</v>
      </c>
      <c r="AK29" s="1852">
        <f>AF29</f>
        <v>2000</v>
      </c>
      <c r="AL29" s="1852">
        <f t="shared" si="77"/>
        <v>0</v>
      </c>
      <c r="AM29" s="1885"/>
      <c r="AN29" s="1885"/>
      <c r="AO29" s="1885"/>
      <c r="AP29" s="1885"/>
      <c r="AQ29" s="1885"/>
      <c r="AR29" s="1885"/>
      <c r="AS29" s="1885"/>
      <c r="AT29" s="1888"/>
      <c r="AW29" s="1863">
        <f t="shared" si="53"/>
        <v>1</v>
      </c>
      <c r="AY29" s="1889">
        <v>2000</v>
      </c>
      <c r="AZ29" s="1862">
        <f t="shared" si="13"/>
        <v>1</v>
      </c>
      <c r="BA29" s="1889">
        <v>2000</v>
      </c>
      <c r="BB29" s="1862">
        <f t="shared" si="14"/>
        <v>1</v>
      </c>
      <c r="BC29" s="1889">
        <v>2000</v>
      </c>
      <c r="BD29" s="1862">
        <f t="shared" si="15"/>
        <v>1</v>
      </c>
      <c r="BE29" s="1889">
        <v>2000</v>
      </c>
      <c r="BF29" s="1862">
        <f t="shared" si="16"/>
        <v>1</v>
      </c>
      <c r="BG29" s="1889">
        <v>2000</v>
      </c>
      <c r="BH29" s="1862">
        <f t="shared" si="17"/>
        <v>1</v>
      </c>
      <c r="BI29" s="1889">
        <v>2000</v>
      </c>
      <c r="BJ29" s="1863">
        <f t="shared" si="18"/>
        <v>1</v>
      </c>
      <c r="BK29" s="1863">
        <f t="shared" si="19"/>
        <v>1</v>
      </c>
      <c r="BL29" s="1862">
        <f t="shared" si="20"/>
        <v>1</v>
      </c>
      <c r="BM29" s="1862">
        <f t="shared" si="21"/>
        <v>1</v>
      </c>
      <c r="BN29" s="1862">
        <f t="shared" si="22"/>
        <v>1</v>
      </c>
    </row>
    <row r="30" spans="1:66" s="1889" customFormat="1" ht="17.399999999999999">
      <c r="A30" s="3074" t="s">
        <v>50</v>
      </c>
      <c r="B30" s="3588" t="s">
        <v>87</v>
      </c>
      <c r="C30" s="1852">
        <f t="shared" si="50"/>
        <v>274623</v>
      </c>
      <c r="D30" s="1852">
        <f>'[23]Phụ lục số 2'!$N$29</f>
        <v>135382</v>
      </c>
      <c r="E30" s="1852">
        <f>'[23]Phụ lục số 2'!$O$29</f>
        <v>139241</v>
      </c>
      <c r="F30" s="1852">
        <f>SUM(I30:J30)</f>
        <v>82622.899999999994</v>
      </c>
      <c r="G30" s="1852"/>
      <c r="H30" s="1857">
        <f>F30/C30%</f>
        <v>30.085935992251194</v>
      </c>
      <c r="I30" s="1852">
        <f>D30*30%-233</f>
        <v>40381.599999999999</v>
      </c>
      <c r="J30" s="1852">
        <f>E30*30%+469</f>
        <v>42241.299999999996</v>
      </c>
      <c r="K30" s="1852">
        <f t="shared" si="81"/>
        <v>192000.1</v>
      </c>
      <c r="L30" s="1852"/>
      <c r="M30" s="1857">
        <f>K30/C30%</f>
        <v>69.914064007748806</v>
      </c>
      <c r="N30" s="1852">
        <f>D30-I30</f>
        <v>95000.4</v>
      </c>
      <c r="O30" s="1884">
        <f>E30-J30</f>
        <v>96999.700000000012</v>
      </c>
      <c r="P30" s="1856">
        <f t="shared" si="82"/>
        <v>274623</v>
      </c>
      <c r="Q30" s="1852">
        <f t="shared" si="6"/>
        <v>1.5881786882257702</v>
      </c>
      <c r="R30" s="1857">
        <f t="shared" si="7"/>
        <v>100</v>
      </c>
      <c r="S30" s="1852">
        <f t="shared" si="29"/>
        <v>135382</v>
      </c>
      <c r="T30" s="1852">
        <f t="shared" si="30"/>
        <v>139241</v>
      </c>
      <c r="U30" s="1852">
        <f t="shared" si="31"/>
        <v>0</v>
      </c>
      <c r="V30" s="1852">
        <f t="shared" si="83"/>
        <v>0</v>
      </c>
      <c r="W30" s="1852">
        <f t="shared" si="84"/>
        <v>0</v>
      </c>
      <c r="X30" s="1852">
        <f>SUM(AA30:AB30)</f>
        <v>327868.91231904214</v>
      </c>
      <c r="Y30" s="1852">
        <f>X30/$X$7%</f>
        <v>1.7601423461392927</v>
      </c>
      <c r="Z30" s="1857">
        <f>X30/C30*100</f>
        <v>119.38873012058062</v>
      </c>
      <c r="AA30" s="1852">
        <f>ROUND(D30*1.124,3)+95</f>
        <v>152264.36799999999</v>
      </c>
      <c r="AB30" s="3075">
        <f>'Phụ lục số 6'!C14</f>
        <v>175604.54431904212</v>
      </c>
      <c r="AC30" s="1858">
        <f>SUM(AF30:AG30)</f>
        <v>347000</v>
      </c>
      <c r="AD30" s="1853">
        <f t="shared" si="76"/>
        <v>1.7814251315756287</v>
      </c>
      <c r="AE30" s="1857">
        <f t="shared" ref="AE30:AE39" si="86">AC30/X30*100</f>
        <v>105.83498067738178</v>
      </c>
      <c r="AF30" s="1852">
        <f t="shared" si="67"/>
        <v>171000</v>
      </c>
      <c r="AG30" s="1852">
        <f>ROUND(AB30*1,-3)</f>
        <v>176000</v>
      </c>
      <c r="AH30" s="1858">
        <f t="shared" si="74"/>
        <v>361000</v>
      </c>
      <c r="AI30" s="1853">
        <f t="shared" si="11"/>
        <v>1.7662061719003113</v>
      </c>
      <c r="AJ30" s="1859">
        <f t="shared" si="4"/>
        <v>104.03458213256485</v>
      </c>
      <c r="AK30" s="1852">
        <f>ROUND(AF30*$AK$125,-3)</f>
        <v>185000</v>
      </c>
      <c r="AL30" s="1852">
        <f t="shared" si="77"/>
        <v>176000</v>
      </c>
      <c r="AM30" s="1885"/>
      <c r="AN30" s="1885"/>
      <c r="AO30" s="1885"/>
      <c r="AP30" s="1885"/>
      <c r="AQ30" s="1885"/>
      <c r="AR30" s="1885"/>
      <c r="AS30" s="1885"/>
      <c r="AT30" s="1888"/>
      <c r="AW30" s="1863">
        <f t="shared" si="53"/>
        <v>0.298278944025055</v>
      </c>
      <c r="AY30" s="1889">
        <v>0</v>
      </c>
      <c r="AZ30" s="1862" t="e">
        <f t="shared" si="13"/>
        <v>#DIV/0!</v>
      </c>
      <c r="BB30" s="1862" t="e">
        <f t="shared" si="14"/>
        <v>#DIV/0!</v>
      </c>
      <c r="BD30" s="1862" t="e">
        <f t="shared" si="15"/>
        <v>#DIV/0!</v>
      </c>
      <c r="BF30" s="1862" t="e">
        <f t="shared" si="16"/>
        <v>#DIV/0!</v>
      </c>
      <c r="BH30" s="1862" t="e">
        <f t="shared" si="17"/>
        <v>#DIV/0!</v>
      </c>
      <c r="BJ30" s="1863" t="e">
        <f t="shared" si="18"/>
        <v>#DIV/0!</v>
      </c>
      <c r="BK30" s="1863" t="e">
        <f t="shared" si="19"/>
        <v>#DIV/0!</v>
      </c>
      <c r="BL30" s="1862" t="e">
        <f t="shared" si="20"/>
        <v>#DIV/0!</v>
      </c>
      <c r="BM30" s="1862" t="e">
        <f t="shared" si="21"/>
        <v>#DIV/0!</v>
      </c>
      <c r="BN30" s="1862" t="e">
        <f t="shared" si="22"/>
        <v>#DIV/0!</v>
      </c>
    </row>
    <row r="31" spans="1:66" s="1892" customFormat="1">
      <c r="A31" s="3074" t="s">
        <v>72</v>
      </c>
      <c r="B31" s="3588" t="s">
        <v>146</v>
      </c>
      <c r="C31" s="1852"/>
      <c r="D31" s="1852"/>
      <c r="E31" s="1852"/>
      <c r="F31" s="1852"/>
      <c r="G31" s="1852"/>
      <c r="H31" s="1857"/>
      <c r="I31" s="1852"/>
      <c r="J31" s="1852"/>
      <c r="K31" s="1852">
        <f t="shared" si="81"/>
        <v>431000</v>
      </c>
      <c r="L31" s="1852"/>
      <c r="M31" s="1857"/>
      <c r="N31" s="1852">
        <f>INT(89700)</f>
        <v>89700</v>
      </c>
      <c r="O31" s="1884">
        <f>INT(341300)</f>
        <v>341300</v>
      </c>
      <c r="P31" s="1856">
        <f t="shared" si="82"/>
        <v>431000</v>
      </c>
      <c r="Q31" s="1852"/>
      <c r="R31" s="1857"/>
      <c r="S31" s="1852">
        <f>INT(89700)</f>
        <v>89700</v>
      </c>
      <c r="T31" s="1852">
        <f>INT(341300)</f>
        <v>341300</v>
      </c>
      <c r="U31" s="1852">
        <f>P31-C31</f>
        <v>431000</v>
      </c>
      <c r="V31" s="1852">
        <f t="shared" si="83"/>
        <v>89700</v>
      </c>
      <c r="W31" s="1852">
        <f t="shared" si="84"/>
        <v>341300</v>
      </c>
      <c r="X31" s="1852">
        <f t="shared" si="66"/>
        <v>0</v>
      </c>
      <c r="Y31" s="1852">
        <f t="shared" si="51"/>
        <v>0</v>
      </c>
      <c r="Z31" s="1890" t="e">
        <f>X31/C31*100</f>
        <v>#DIV/0!</v>
      </c>
      <c r="AA31" s="1852"/>
      <c r="AB31" s="3075"/>
      <c r="AC31" s="1856">
        <f>SUM(AF31:AG31)</f>
        <v>0</v>
      </c>
      <c r="AD31" s="1852">
        <f t="shared" si="76"/>
        <v>0</v>
      </c>
      <c r="AE31" s="1890" t="e">
        <f t="shared" si="86"/>
        <v>#DIV/0!</v>
      </c>
      <c r="AF31" s="1852">
        <f t="shared" si="67"/>
        <v>0</v>
      </c>
      <c r="AG31" s="1852"/>
      <c r="AH31" s="1856">
        <f>SUM(AK31:AL31)</f>
        <v>0</v>
      </c>
      <c r="AI31" s="1852">
        <f t="shared" si="11"/>
        <v>0</v>
      </c>
      <c r="AJ31" s="1891" t="e">
        <f t="shared" si="4"/>
        <v>#DIV/0!</v>
      </c>
      <c r="AK31" s="1852"/>
      <c r="AL31" s="1865">
        <f t="shared" ref="AL31" si="87">ROUND(AG31*$AL$125,-3)</f>
        <v>0</v>
      </c>
      <c r="AM31" s="1885"/>
      <c r="AN31" s="1885"/>
      <c r="AO31" s="1885"/>
      <c r="AP31" s="1885"/>
      <c r="AQ31" s="1885"/>
      <c r="AR31" s="1885"/>
      <c r="AS31" s="1885"/>
      <c r="AT31" s="1885"/>
      <c r="AW31" s="1863" t="e">
        <f t="shared" si="53"/>
        <v>#DIV/0!</v>
      </c>
      <c r="AY31" s="1892">
        <v>0</v>
      </c>
      <c r="AZ31" s="1862" t="e">
        <f t="shared" si="13"/>
        <v>#DIV/0!</v>
      </c>
      <c r="BB31" s="1862" t="e">
        <f t="shared" si="14"/>
        <v>#DIV/0!</v>
      </c>
      <c r="BD31" s="1862" t="e">
        <f t="shared" si="15"/>
        <v>#DIV/0!</v>
      </c>
      <c r="BF31" s="1862" t="e">
        <f t="shared" si="16"/>
        <v>#DIV/0!</v>
      </c>
      <c r="BH31" s="1862" t="e">
        <f t="shared" si="17"/>
        <v>#DIV/0!</v>
      </c>
      <c r="BJ31" s="1863" t="e">
        <f t="shared" si="18"/>
        <v>#DIV/0!</v>
      </c>
      <c r="BK31" s="1863" t="e">
        <f t="shared" si="19"/>
        <v>#DIV/0!</v>
      </c>
      <c r="BL31" s="1862" t="e">
        <f t="shared" si="20"/>
        <v>#DIV/0!</v>
      </c>
      <c r="BM31" s="1862" t="e">
        <f t="shared" si="21"/>
        <v>#DIV/0!</v>
      </c>
      <c r="BN31" s="1862" t="e">
        <f t="shared" si="22"/>
        <v>#DIV/0!</v>
      </c>
    </row>
    <row r="32" spans="1:66" s="1861" customFormat="1" ht="34.799999999999997">
      <c r="A32" s="3074" t="s">
        <v>100</v>
      </c>
      <c r="B32" s="3588" t="s">
        <v>2612</v>
      </c>
      <c r="C32" s="2142">
        <f t="shared" si="50"/>
        <v>0</v>
      </c>
      <c r="D32" s="1852">
        <v>0</v>
      </c>
      <c r="E32" s="1852">
        <v>0</v>
      </c>
      <c r="F32" s="1852">
        <f t="shared" si="80"/>
        <v>0</v>
      </c>
      <c r="G32" s="1852">
        <f>F32/$F$7*100</f>
        <v>0</v>
      </c>
      <c r="H32" s="1857"/>
      <c r="I32" s="1852">
        <f>ROUNDUP(D32/4,-3)</f>
        <v>0</v>
      </c>
      <c r="J32" s="1852"/>
      <c r="K32" s="1852">
        <f t="shared" si="81"/>
        <v>357482</v>
      </c>
      <c r="L32" s="1852">
        <f>K32/$K$7*100</f>
        <v>3.3659483948612761</v>
      </c>
      <c r="M32" s="1857"/>
      <c r="N32" s="1852">
        <f>IF(('Phụ lục số 1'!X10-'Phụ lục số 1'!F10)/2,0,('Phụ lục số 1'!X10-'Phụ lục số 1'!F10)/2)</f>
        <v>0</v>
      </c>
      <c r="O32" s="1884">
        <f>E32+INT(('Phụ lục số 1'!AD10*70%))-7</f>
        <v>357482</v>
      </c>
      <c r="P32" s="1856">
        <f t="shared" si="82"/>
        <v>357489.34666666656</v>
      </c>
      <c r="Q32" s="1852">
        <f t="shared" si="6"/>
        <v>2.0674049939143995</v>
      </c>
      <c r="R32" s="1857"/>
      <c r="S32" s="1852">
        <f t="shared" ref="S32" si="88">N32+I32</f>
        <v>0</v>
      </c>
      <c r="T32" s="1852">
        <f>'Phụ lục số 1'!AD10*70%</f>
        <v>357489.34666666656</v>
      </c>
      <c r="U32" s="1852">
        <f>P32-C32</f>
        <v>357489.34666666656</v>
      </c>
      <c r="V32" s="1852">
        <f t="shared" si="32"/>
        <v>0</v>
      </c>
      <c r="W32" s="1852">
        <f>T32-E32</f>
        <v>357489.34666666656</v>
      </c>
      <c r="X32" s="1852">
        <f t="shared" si="66"/>
        <v>717399.2</v>
      </c>
      <c r="Y32" s="1852">
        <f>X32/$X$7%</f>
        <v>3.8513096654242154</v>
      </c>
      <c r="Z32" s="1890" t="e">
        <f t="shared" ref="Z32:Z37" si="89">X32/C32*100</f>
        <v>#DIV/0!</v>
      </c>
      <c r="AA32" s="1852">
        <f>105109.1-298.3-277-626+232-(20000.6)-5000</f>
        <v>79139.200000000012</v>
      </c>
      <c r="AB32" s="3075">
        <f>'Phụ lục số 6'!C15</f>
        <v>638260</v>
      </c>
      <c r="AC32" s="1856">
        <f>SUM(AF32:AG32)</f>
        <v>881301.31019487511</v>
      </c>
      <c r="AD32" s="1852">
        <f t="shared" si="76"/>
        <v>4.5244158572670869</v>
      </c>
      <c r="AE32" s="1857">
        <f t="shared" si="86"/>
        <v>122.84670936277531</v>
      </c>
      <c r="AF32" s="1852">
        <f>'Phụ lục số 3.1'!M55+AA32+17472.2+13000-54768+43000-2000</f>
        <v>565518.00845279661</v>
      </c>
      <c r="AG32" s="1852">
        <f>'Phụ lục số 3.1'!N55+AB32-284805+0.3-232</f>
        <v>315783.30174207845</v>
      </c>
      <c r="AH32" s="1856">
        <f>SUM(AK32:AL32)</f>
        <v>1235804.6166233711</v>
      </c>
      <c r="AI32" s="1852">
        <f t="shared" si="11"/>
        <v>6.046220889593064</v>
      </c>
      <c r="AJ32" s="1893">
        <f t="shared" si="4"/>
        <v>140.224983479272</v>
      </c>
      <c r="AK32" s="1852">
        <f>'Phụ lục số 3.1'!P55+AF32+299397.5+11000-42768+33000-3000-2000</f>
        <v>1038397.953674953</v>
      </c>
      <c r="AL32" s="1852">
        <f>'Phụ lục số 3.1'!Q55+AG32-220195+0.3-232</f>
        <v>197406.66294841812</v>
      </c>
      <c r="AM32" s="1885"/>
      <c r="AN32" s="1885"/>
      <c r="AO32" s="1885"/>
      <c r="AP32" s="1885"/>
      <c r="AQ32" s="1885"/>
      <c r="AR32" s="1885"/>
      <c r="AS32" s="1885"/>
      <c r="AT32" s="1860"/>
      <c r="AW32" s="1863" t="e">
        <f t="shared" si="53"/>
        <v>#DIV/0!</v>
      </c>
      <c r="AZ32" s="1862" t="e">
        <f t="shared" si="13"/>
        <v>#DIV/0!</v>
      </c>
      <c r="BB32" s="1862" t="e">
        <f t="shared" si="14"/>
        <v>#DIV/0!</v>
      </c>
      <c r="BC32" s="1894">
        <v>958879</v>
      </c>
      <c r="BD32" s="1862">
        <f t="shared" si="15"/>
        <v>0</v>
      </c>
      <c r="BE32" s="1894">
        <f>189819</f>
        <v>189819</v>
      </c>
      <c r="BF32" s="1862">
        <f t="shared" si="16"/>
        <v>0</v>
      </c>
      <c r="BG32" s="1894">
        <v>546118</v>
      </c>
      <c r="BH32" s="1862">
        <f t="shared" si="17"/>
        <v>0</v>
      </c>
      <c r="BI32" s="1894">
        <f>338867</f>
        <v>338867</v>
      </c>
      <c r="BJ32" s="1863">
        <f t="shared" si="18"/>
        <v>0</v>
      </c>
      <c r="BK32" s="1863" t="e">
        <f t="shared" si="19"/>
        <v>#DIV/0!</v>
      </c>
      <c r="BL32" s="1862">
        <f t="shared" si="20"/>
        <v>0.19795928370524332</v>
      </c>
      <c r="BM32" s="1862">
        <f t="shared" si="21"/>
        <v>2.8770460280583081</v>
      </c>
      <c r="BN32" s="1862">
        <f t="shared" si="22"/>
        <v>0.62050143009386249</v>
      </c>
    </row>
    <row r="33" spans="1:66" s="1861" customFormat="1" ht="34.799999999999997">
      <c r="A33" s="3074" t="s">
        <v>151</v>
      </c>
      <c r="B33" s="3588" t="s">
        <v>231</v>
      </c>
      <c r="C33" s="1852"/>
      <c r="D33" s="1852"/>
      <c r="E33" s="1852"/>
      <c r="F33" s="1852"/>
      <c r="G33" s="1852"/>
      <c r="H33" s="1857"/>
      <c r="I33" s="1852"/>
      <c r="J33" s="1852"/>
      <c r="K33" s="1852"/>
      <c r="L33" s="1852"/>
      <c r="M33" s="1857"/>
      <c r="N33" s="1852"/>
      <c r="O33" s="1884"/>
      <c r="P33" s="1856">
        <f t="shared" si="82"/>
        <v>153209.71999999997</v>
      </c>
      <c r="Q33" s="1852"/>
      <c r="R33" s="1857"/>
      <c r="S33" s="1852"/>
      <c r="T33" s="1852">
        <f>'Phụ lục số 1'!AD10-'Phụ lục số 2'!T32</f>
        <v>153209.71999999997</v>
      </c>
      <c r="U33" s="1852">
        <f>P33-C33</f>
        <v>153209.71999999997</v>
      </c>
      <c r="V33" s="1852"/>
      <c r="W33" s="1852">
        <f>T33-E33</f>
        <v>153209.71999999997</v>
      </c>
      <c r="X33" s="1852">
        <f t="shared" ref="X33:X34" si="90">SUM(AA33:AB33)</f>
        <v>0</v>
      </c>
      <c r="Y33" s="1852"/>
      <c r="Z33" s="1890"/>
      <c r="AA33" s="1852"/>
      <c r="AB33" s="3075"/>
      <c r="AC33" s="1856">
        <f t="shared" ref="AC33:AC34" si="91">SUM(AF33:AG33)</f>
        <v>0</v>
      </c>
      <c r="AD33" s="1852"/>
      <c r="AE33" s="1857"/>
      <c r="AF33" s="1852"/>
      <c r="AG33" s="1852"/>
      <c r="AH33" s="1856">
        <f>SUM(AK33:AL33)</f>
        <v>0</v>
      </c>
      <c r="AI33" s="1852"/>
      <c r="AJ33" s="1893"/>
      <c r="AK33" s="1852"/>
      <c r="AL33" s="1852"/>
      <c r="AM33" s="1885"/>
      <c r="AN33" s="1885"/>
      <c r="AO33" s="1885"/>
      <c r="AP33" s="1885"/>
      <c r="AQ33" s="1885"/>
      <c r="AR33" s="1885"/>
      <c r="AS33" s="1885"/>
      <c r="AT33" s="1860"/>
      <c r="AW33" s="1863"/>
      <c r="AZ33" s="1862"/>
      <c r="BB33" s="1862"/>
      <c r="BC33" s="1894"/>
      <c r="BD33" s="1862"/>
      <c r="BE33" s="1894"/>
      <c r="BF33" s="1862"/>
      <c r="BG33" s="1894"/>
      <c r="BH33" s="1862"/>
      <c r="BI33" s="1894"/>
      <c r="BJ33" s="1863"/>
      <c r="BK33" s="1863"/>
      <c r="BL33" s="1862"/>
      <c r="BM33" s="1862"/>
      <c r="BN33" s="1862"/>
    </row>
    <row r="34" spans="1:66" s="1861" customFormat="1" ht="17.399999999999999">
      <c r="A34" s="3074" t="s">
        <v>229</v>
      </c>
      <c r="B34" s="3588" t="s">
        <v>126</v>
      </c>
      <c r="C34" s="1852">
        <f t="shared" si="50"/>
        <v>0</v>
      </c>
      <c r="D34" s="1852">
        <f>'[23]Phụ lục số 2'!$N$31</f>
        <v>0</v>
      </c>
      <c r="E34" s="1852">
        <v>0</v>
      </c>
      <c r="F34" s="1852">
        <f t="shared" si="80"/>
        <v>0</v>
      </c>
      <c r="G34" s="1852"/>
      <c r="H34" s="1857"/>
      <c r="I34" s="1852">
        <v>0</v>
      </c>
      <c r="J34" s="1852">
        <f>ROUNDUP(E34/2,0)</f>
        <v>0</v>
      </c>
      <c r="K34" s="1852">
        <f t="shared" si="81"/>
        <v>0</v>
      </c>
      <c r="L34" s="1852"/>
      <c r="M34" s="1857"/>
      <c r="N34" s="1852">
        <f>D34-I34</f>
        <v>0</v>
      </c>
      <c r="O34" s="1884">
        <f>E34-J34</f>
        <v>0</v>
      </c>
      <c r="P34" s="1856">
        <f t="shared" si="82"/>
        <v>0</v>
      </c>
      <c r="Q34" s="1852">
        <f t="shared" si="6"/>
        <v>0</v>
      </c>
      <c r="R34" s="1890" t="e">
        <f t="shared" si="7"/>
        <v>#DIV/0!</v>
      </c>
      <c r="S34" s="1852">
        <f t="shared" si="29"/>
        <v>0</v>
      </c>
      <c r="T34" s="1852">
        <f t="shared" si="30"/>
        <v>0</v>
      </c>
      <c r="U34" s="1852">
        <f t="shared" si="31"/>
        <v>0</v>
      </c>
      <c r="V34" s="1852">
        <f t="shared" si="32"/>
        <v>0</v>
      </c>
      <c r="W34" s="1852">
        <f t="shared" si="33"/>
        <v>0</v>
      </c>
      <c r="X34" s="1852">
        <f t="shared" si="90"/>
        <v>3000</v>
      </c>
      <c r="Y34" s="1852">
        <f>X34/$X$7%</f>
        <v>1.6105299526780414E-2</v>
      </c>
      <c r="Z34" s="1890" t="e">
        <f>X34/C34*100</f>
        <v>#DIV/0!</v>
      </c>
      <c r="AA34" s="1852">
        <f>'Phụ lục số 4'!AA9</f>
        <v>3000</v>
      </c>
      <c r="AB34" s="3075"/>
      <c r="AC34" s="1856">
        <f t="shared" si="91"/>
        <v>3000</v>
      </c>
      <c r="AD34" s="1853">
        <f t="shared" si="76"/>
        <v>1.5401370013622148E-2</v>
      </c>
      <c r="AE34" s="1890">
        <f t="shared" si="86"/>
        <v>100</v>
      </c>
      <c r="AF34" s="1852">
        <f>AA34+V34</f>
        <v>3000</v>
      </c>
      <c r="AG34" s="1852"/>
      <c r="AH34" s="1856">
        <f>AF34</f>
        <v>3000</v>
      </c>
      <c r="AI34" s="1853">
        <f t="shared" si="11"/>
        <v>1.4677613616900096E-2</v>
      </c>
      <c r="AJ34" s="1891">
        <f t="shared" si="4"/>
        <v>100</v>
      </c>
      <c r="AK34" s="1895">
        <f>AH34</f>
        <v>3000</v>
      </c>
      <c r="AL34" s="1852"/>
      <c r="AM34" s="1885"/>
      <c r="AN34" s="1885"/>
      <c r="AO34" s="1885"/>
      <c r="AP34" s="1885"/>
      <c r="AQ34" s="1885"/>
      <c r="AR34" s="1885"/>
      <c r="AS34" s="1885"/>
      <c r="AT34" s="1860"/>
      <c r="AW34" s="1863" t="e">
        <f t="shared" si="53"/>
        <v>#DIV/0!</v>
      </c>
      <c r="AZ34" s="1862" t="e">
        <f t="shared" si="13"/>
        <v>#DIV/0!</v>
      </c>
      <c r="BB34" s="1862" t="e">
        <f t="shared" si="14"/>
        <v>#DIV/0!</v>
      </c>
      <c r="BD34" s="1862" t="e">
        <f t="shared" si="15"/>
        <v>#DIV/0!</v>
      </c>
      <c r="BF34" s="1862" t="e">
        <f t="shared" si="16"/>
        <v>#DIV/0!</v>
      </c>
      <c r="BG34" s="1861">
        <v>296</v>
      </c>
      <c r="BH34" s="1862">
        <f t="shared" si="17"/>
        <v>0</v>
      </c>
      <c r="BJ34" s="1863" t="e">
        <f t="shared" si="18"/>
        <v>#DIV/0!</v>
      </c>
      <c r="BK34" s="1863" t="e">
        <f t="shared" si="19"/>
        <v>#DIV/0!</v>
      </c>
      <c r="BL34" s="1862" t="e">
        <f t="shared" si="20"/>
        <v>#DIV/0!</v>
      </c>
      <c r="BM34" s="1862" t="e">
        <f t="shared" si="21"/>
        <v>#DIV/0!</v>
      </c>
      <c r="BN34" s="1862">
        <f t="shared" si="22"/>
        <v>0</v>
      </c>
    </row>
    <row r="35" spans="1:66" s="1899" customFormat="1" ht="34.799999999999997">
      <c r="A35" s="3077" t="s">
        <v>22</v>
      </c>
      <c r="B35" s="3614" t="s">
        <v>1416</v>
      </c>
      <c r="C35" s="1846">
        <f>D35+E35</f>
        <v>2597007</v>
      </c>
      <c r="D35" s="1846">
        <f>SUM(D36:D38)</f>
        <v>2597007</v>
      </c>
      <c r="E35" s="1846">
        <f t="shared" ref="E35:O35" si="92">SUM(E36:E38)</f>
        <v>0</v>
      </c>
      <c r="F35" s="1846">
        <f t="shared" si="92"/>
        <v>105386</v>
      </c>
      <c r="G35" s="1846">
        <f t="shared" si="92"/>
        <v>0</v>
      </c>
      <c r="H35" s="1846">
        <f t="shared" si="92"/>
        <v>0</v>
      </c>
      <c r="I35" s="1846">
        <f t="shared" si="92"/>
        <v>105386</v>
      </c>
      <c r="J35" s="1846">
        <f t="shared" si="92"/>
        <v>0</v>
      </c>
      <c r="K35" s="1846">
        <f t="shared" si="92"/>
        <v>2491621</v>
      </c>
      <c r="L35" s="1846">
        <f t="shared" si="92"/>
        <v>0</v>
      </c>
      <c r="M35" s="1846">
        <f t="shared" si="92"/>
        <v>0</v>
      </c>
      <c r="N35" s="1846">
        <f t="shared" si="92"/>
        <v>2491621</v>
      </c>
      <c r="O35" s="1846">
        <f t="shared" si="92"/>
        <v>0</v>
      </c>
      <c r="P35" s="1897">
        <f t="shared" si="52"/>
        <v>2597007</v>
      </c>
      <c r="Q35" s="1846">
        <f t="shared" si="6"/>
        <v>15.018811864167031</v>
      </c>
      <c r="R35" s="1850">
        <f t="shared" si="7"/>
        <v>100</v>
      </c>
      <c r="S35" s="1846">
        <f>N35+I35</f>
        <v>2597007</v>
      </c>
      <c r="T35" s="1846">
        <f t="shared" si="30"/>
        <v>0</v>
      </c>
      <c r="U35" s="1846">
        <f t="shared" si="31"/>
        <v>0</v>
      </c>
      <c r="V35" s="1846">
        <f>S35-D35</f>
        <v>0</v>
      </c>
      <c r="W35" s="1846">
        <f t="shared" si="33"/>
        <v>0</v>
      </c>
      <c r="X35" s="1846">
        <f>SUM(X36:X37)</f>
        <v>1988976</v>
      </c>
      <c r="Y35" s="1846">
        <f t="shared" si="51"/>
        <v>10.677684743859199</v>
      </c>
      <c r="Z35" s="1850">
        <f>X35/C35*100</f>
        <v>76.587240619682589</v>
      </c>
      <c r="AA35" s="1897">
        <f>SUM(AA36:AA37)</f>
        <v>1988976</v>
      </c>
      <c r="AB35" s="3078">
        <f t="shared" ref="AB35" si="93">SUM(AB36:AB37)</f>
        <v>0</v>
      </c>
      <c r="AC35" s="1897">
        <f>SUM(AC36:AC37)</f>
        <v>2379485.2999999998</v>
      </c>
      <c r="AD35" s="1847">
        <f t="shared" si="76"/>
        <v>12.215777849091566</v>
      </c>
      <c r="AE35" s="1850">
        <f t="shared" si="86"/>
        <v>119.63368587655154</v>
      </c>
      <c r="AF35" s="1897">
        <f>SUM(AF36:AF37)</f>
        <v>2379485.2999999998</v>
      </c>
      <c r="AG35" s="1897">
        <f t="shared" ref="AG35:AH35" si="94">SUM(AG36:AG37)</f>
        <v>0</v>
      </c>
      <c r="AH35" s="1897">
        <f t="shared" si="94"/>
        <v>2379485.2999999998</v>
      </c>
      <c r="AI35" s="1847">
        <f t="shared" si="11"/>
        <v>11.641721946831201</v>
      </c>
      <c r="AJ35" s="1851">
        <f t="shared" si="4"/>
        <v>100</v>
      </c>
      <c r="AK35" s="1897">
        <f t="shared" ref="AK35" si="95">SUM(AK36:AK37)</f>
        <v>2379485.2999999998</v>
      </c>
      <c r="AL35" s="1897">
        <f t="shared" ref="AL35" si="96">SUM(AL36:AL37)</f>
        <v>0</v>
      </c>
      <c r="AM35" s="1840"/>
      <c r="AN35" s="1840"/>
      <c r="AO35" s="1840"/>
      <c r="AP35" s="1840"/>
      <c r="AQ35" s="1840"/>
      <c r="AR35" s="1840"/>
      <c r="AS35" s="1840"/>
      <c r="AT35" s="1898"/>
      <c r="AY35" s="1900">
        <f>SUM(AY36:AY37)</f>
        <v>157222</v>
      </c>
      <c r="AZ35" s="1844">
        <f t="shared" si="13"/>
        <v>0.67030059406444387</v>
      </c>
      <c r="BA35" s="1900">
        <f>SUM(BA36:BA37)</f>
        <v>387181</v>
      </c>
      <c r="BB35" s="1844">
        <f t="shared" si="14"/>
        <v>0.27218794310671235</v>
      </c>
      <c r="BC35" s="1900">
        <f>SUM(BC36:BC37)</f>
        <v>229925</v>
      </c>
      <c r="BD35" s="1844">
        <f t="shared" si="15"/>
        <v>0.45834946178101554</v>
      </c>
      <c r="BE35" s="1900">
        <f>SUM(BE36:BE37)</f>
        <v>332519</v>
      </c>
      <c r="BF35" s="1844">
        <f t="shared" si="16"/>
        <v>0.31693226552467679</v>
      </c>
      <c r="BG35" s="1900">
        <f>SUM(BG36:BG37)</f>
        <v>151720</v>
      </c>
      <c r="BH35" s="1844">
        <f t="shared" si="17"/>
        <v>0.69460848932243602</v>
      </c>
      <c r="BI35" s="1900">
        <f>SUM(BI36:BI37)</f>
        <v>509271</v>
      </c>
      <c r="BJ35" s="1845">
        <f t="shared" si="18"/>
        <v>0.206935011025564</v>
      </c>
      <c r="BK35" s="1845">
        <f t="shared" si="19"/>
        <v>0.59384370617359838</v>
      </c>
      <c r="BL35" s="1844">
        <f t="shared" si="20"/>
        <v>1.446206371642927</v>
      </c>
      <c r="BM35" s="1844">
        <f t="shared" si="21"/>
        <v>0.45627467904089691</v>
      </c>
      <c r="BN35" s="1844">
        <f t="shared" si="22"/>
        <v>3.3566504086475084</v>
      </c>
    </row>
    <row r="36" spans="1:66" s="1902" customFormat="1" ht="36">
      <c r="A36" s="3076">
        <v>1</v>
      </c>
      <c r="B36" s="3613" t="s">
        <v>1306</v>
      </c>
      <c r="C36" s="1865">
        <f>D36+E36</f>
        <v>2417971</v>
      </c>
      <c r="D36" s="1865">
        <f>'[23]Phụ lục số 2'!$N$33</f>
        <v>2417971</v>
      </c>
      <c r="E36" s="1865"/>
      <c r="F36" s="1865">
        <f>'Phụ lục số 1'!H56</f>
        <v>0</v>
      </c>
      <c r="G36" s="1865"/>
      <c r="H36" s="1866"/>
      <c r="I36" s="1865">
        <f>F36-J36</f>
        <v>0</v>
      </c>
      <c r="J36" s="1865"/>
      <c r="K36" s="1865">
        <f>'Phụ lục số 1'!N56</f>
        <v>2417971</v>
      </c>
      <c r="L36" s="1865"/>
      <c r="M36" s="1866"/>
      <c r="N36" s="1865">
        <f>D36-I36</f>
        <v>2417971</v>
      </c>
      <c r="O36" s="1880">
        <v>0</v>
      </c>
      <c r="P36" s="1870">
        <f>SUM(S36:T36)</f>
        <v>2417971</v>
      </c>
      <c r="Q36" s="1865">
        <f t="shared" si="6"/>
        <v>13.983424589156604</v>
      </c>
      <c r="R36" s="1866">
        <f t="shared" si="7"/>
        <v>100</v>
      </c>
      <c r="S36" s="1865">
        <f t="shared" si="29"/>
        <v>2417971</v>
      </c>
      <c r="T36" s="1865">
        <f t="shared" si="30"/>
        <v>0</v>
      </c>
      <c r="U36" s="1865">
        <f t="shared" si="31"/>
        <v>0</v>
      </c>
      <c r="V36" s="1865">
        <f t="shared" si="32"/>
        <v>0</v>
      </c>
      <c r="W36" s="1865">
        <f t="shared" si="33"/>
        <v>0</v>
      </c>
      <c r="X36" s="1865">
        <f>SUM(AA36:AB36)</f>
        <v>1814491</v>
      </c>
      <c r="Y36" s="1865">
        <f t="shared" si="51"/>
        <v>9.7409736812157721</v>
      </c>
      <c r="Z36" s="1866">
        <f t="shared" si="89"/>
        <v>75.041884290589095</v>
      </c>
      <c r="AA36" s="1865">
        <f>'Phụ lục số 8'!D7</f>
        <v>1814491</v>
      </c>
      <c r="AB36" s="3073"/>
      <c r="AC36" s="1871">
        <f>SUM(AF36:AG36)</f>
        <v>2205000</v>
      </c>
      <c r="AD36" s="1853">
        <f t="shared" si="76"/>
        <v>11.320006960012281</v>
      </c>
      <c r="AE36" s="1866">
        <f t="shared" si="86"/>
        <v>121.52168294028462</v>
      </c>
      <c r="AF36" s="1865">
        <f>'Phụ lục số 1'!AO56</f>
        <v>2205000</v>
      </c>
      <c r="AG36" s="1865">
        <f t="shared" si="85"/>
        <v>0</v>
      </c>
      <c r="AH36" s="1870">
        <f>SUM(AK36:AL36)</f>
        <v>2205000</v>
      </c>
      <c r="AI36" s="1853">
        <f t="shared" si="11"/>
        <v>10.788046008421569</v>
      </c>
      <c r="AJ36" s="1859">
        <f t="shared" si="4"/>
        <v>100</v>
      </c>
      <c r="AK36" s="1865">
        <f>'Phụ lục số 1'!AU56</f>
        <v>2205000</v>
      </c>
      <c r="AL36" s="1865">
        <f t="shared" ref="AL36:AL37" si="97">AG36+AB36</f>
        <v>0</v>
      </c>
      <c r="AM36" s="1887"/>
      <c r="AN36" s="1887"/>
      <c r="AO36" s="1887"/>
      <c r="AP36" s="1887"/>
      <c r="AQ36" s="1887"/>
      <c r="AR36" s="1887"/>
      <c r="AS36" s="1887"/>
      <c r="AT36" s="1901"/>
      <c r="AY36" s="1902">
        <f>142955</f>
        <v>142955</v>
      </c>
      <c r="AZ36" s="1875">
        <f t="shared" si="13"/>
        <v>0</v>
      </c>
      <c r="BA36" s="1902">
        <v>387181</v>
      </c>
      <c r="BB36" s="1875">
        <f t="shared" si="14"/>
        <v>0</v>
      </c>
      <c r="BC36" s="1902">
        <v>229925</v>
      </c>
      <c r="BD36" s="1875">
        <f t="shared" si="15"/>
        <v>0</v>
      </c>
      <c r="BE36" s="1902">
        <f>195959</f>
        <v>195959</v>
      </c>
      <c r="BF36" s="1875">
        <f t="shared" si="16"/>
        <v>0</v>
      </c>
      <c r="BG36" s="1902">
        <v>151720</v>
      </c>
      <c r="BH36" s="1875">
        <f t="shared" si="17"/>
        <v>0</v>
      </c>
      <c r="BI36" s="1902">
        <f>509271</f>
        <v>509271</v>
      </c>
      <c r="BJ36" s="1876">
        <f t="shared" si="18"/>
        <v>0</v>
      </c>
      <c r="BK36" s="1863">
        <f t="shared" si="19"/>
        <v>0.59384370617359838</v>
      </c>
      <c r="BL36" s="1862">
        <f t="shared" si="20"/>
        <v>0.85227356746765248</v>
      </c>
      <c r="BM36" s="1862">
        <f t="shared" si="21"/>
        <v>0.77424359177174817</v>
      </c>
      <c r="BN36" s="1862">
        <f t="shared" si="22"/>
        <v>3.3566504086475084</v>
      </c>
    </row>
    <row r="37" spans="1:66" s="1902" customFormat="1" ht="36">
      <c r="A37" s="3076">
        <v>2</v>
      </c>
      <c r="B37" s="3613" t="s">
        <v>92</v>
      </c>
      <c r="C37" s="1865">
        <f>D37+E37</f>
        <v>179036</v>
      </c>
      <c r="D37" s="1865">
        <f>'[23]Phụ lục số 2'!$N$34</f>
        <v>179036</v>
      </c>
      <c r="E37" s="1865"/>
      <c r="F37" s="1865">
        <f>'Phụ lục số 1'!L57</f>
        <v>105386</v>
      </c>
      <c r="G37" s="1865"/>
      <c r="H37" s="1866"/>
      <c r="I37" s="1865">
        <f>F37-J37</f>
        <v>105386</v>
      </c>
      <c r="J37" s="1865"/>
      <c r="K37" s="1865">
        <f>N37+O37</f>
        <v>73650</v>
      </c>
      <c r="L37" s="1865"/>
      <c r="M37" s="1866"/>
      <c r="N37" s="1865">
        <f>D37-I37</f>
        <v>73650</v>
      </c>
      <c r="O37" s="1880">
        <v>0</v>
      </c>
      <c r="P37" s="1870">
        <f>SUM(S37:T37)</f>
        <v>179036</v>
      </c>
      <c r="Q37" s="1865">
        <f t="shared" si="6"/>
        <v>1.0353872750104287</v>
      </c>
      <c r="R37" s="1866">
        <f t="shared" si="7"/>
        <v>100</v>
      </c>
      <c r="S37" s="1865">
        <f t="shared" si="29"/>
        <v>179036</v>
      </c>
      <c r="T37" s="1865">
        <f t="shared" si="30"/>
        <v>0</v>
      </c>
      <c r="U37" s="1865">
        <f t="shared" si="31"/>
        <v>0</v>
      </c>
      <c r="V37" s="1865">
        <f t="shared" si="32"/>
        <v>0</v>
      </c>
      <c r="W37" s="1865">
        <f t="shared" si="33"/>
        <v>0</v>
      </c>
      <c r="X37" s="1865">
        <f>SUM(AA37:AB37)</f>
        <v>174485</v>
      </c>
      <c r="Y37" s="1865">
        <f t="shared" si="51"/>
        <v>0.93671106264342674</v>
      </c>
      <c r="Z37" s="1866">
        <f t="shared" si="89"/>
        <v>97.458053128979643</v>
      </c>
      <c r="AA37" s="1877">
        <f>'Phụ lục số 8'!E7</f>
        <v>174485</v>
      </c>
      <c r="AB37" s="3073"/>
      <c r="AC37" s="1871">
        <f t="shared" si="38"/>
        <v>174485.3</v>
      </c>
      <c r="AD37" s="1853">
        <f t="shared" si="76"/>
        <v>0.89577088907928826</v>
      </c>
      <c r="AE37" s="1866">
        <f t="shared" si="86"/>
        <v>100.00017193455024</v>
      </c>
      <c r="AF37" s="1865">
        <f>'Phụ lục số 1'!AO57</f>
        <v>174485.3</v>
      </c>
      <c r="AG37" s="1865">
        <f t="shared" si="85"/>
        <v>0</v>
      </c>
      <c r="AH37" s="1870">
        <f>SUM(AK37:AL37)</f>
        <v>174485.3</v>
      </c>
      <c r="AI37" s="1853">
        <f t="shared" si="11"/>
        <v>0.85367593840963252</v>
      </c>
      <c r="AJ37" s="1859">
        <f t="shared" si="4"/>
        <v>100</v>
      </c>
      <c r="AK37" s="1865">
        <f>'Phụ lục số 1'!AU57</f>
        <v>174485.3</v>
      </c>
      <c r="AL37" s="1865">
        <f t="shared" si="97"/>
        <v>0</v>
      </c>
      <c r="AM37" s="1887"/>
      <c r="AN37" s="1887"/>
      <c r="AO37" s="1887"/>
      <c r="AP37" s="1887"/>
      <c r="AQ37" s="1887"/>
      <c r="AR37" s="1887"/>
      <c r="AS37" s="1887"/>
      <c r="AT37" s="1901"/>
      <c r="AY37" s="1902">
        <f>14267+0</f>
        <v>14267</v>
      </c>
      <c r="AZ37" s="1875">
        <f t="shared" si="13"/>
        <v>7.3866965725099885</v>
      </c>
      <c r="BB37" s="1875" t="e">
        <f t="shared" si="14"/>
        <v>#DIV/0!</v>
      </c>
      <c r="BD37" s="1875" t="e">
        <f t="shared" si="15"/>
        <v>#DIV/0!</v>
      </c>
      <c r="BE37" s="1902">
        <f>136560</f>
        <v>136560</v>
      </c>
      <c r="BF37" s="1875">
        <f t="shared" si="16"/>
        <v>0.77171939074399531</v>
      </c>
      <c r="BH37" s="1875" t="e">
        <f t="shared" si="17"/>
        <v>#DIV/0!</v>
      </c>
      <c r="BJ37" s="1876" t="e">
        <f t="shared" si="18"/>
        <v>#DIV/0!</v>
      </c>
      <c r="BK37" s="1863" t="e">
        <f t="shared" si="19"/>
        <v>#DIV/0!</v>
      </c>
      <c r="BL37" s="1862" t="e">
        <f t="shared" si="20"/>
        <v>#DIV/0!</v>
      </c>
      <c r="BM37" s="1862">
        <f t="shared" si="21"/>
        <v>0</v>
      </c>
      <c r="BN37" s="1862" t="e">
        <f t="shared" si="22"/>
        <v>#DIV/0!</v>
      </c>
    </row>
    <row r="38" spans="1:66" s="1902" customFormat="1" ht="36">
      <c r="A38" s="3079">
        <v>3</v>
      </c>
      <c r="B38" s="3613" t="s">
        <v>2533</v>
      </c>
      <c r="C38" s="1865">
        <f>D38+E38</f>
        <v>0</v>
      </c>
      <c r="D38" s="1903"/>
      <c r="E38" s="1903"/>
      <c r="F38" s="1903"/>
      <c r="G38" s="1903"/>
      <c r="H38" s="1904"/>
      <c r="I38" s="1903"/>
      <c r="J38" s="1903"/>
      <c r="K38" s="1903"/>
      <c r="L38" s="1903"/>
      <c r="M38" s="1904"/>
      <c r="N38" s="1903"/>
      <c r="O38" s="1905"/>
      <c r="P38" s="1906"/>
      <c r="Q38" s="1903"/>
      <c r="R38" s="1904"/>
      <c r="S38" s="1903"/>
      <c r="T38" s="1903"/>
      <c r="U38" s="1903"/>
      <c r="V38" s="1903"/>
      <c r="W38" s="1903"/>
      <c r="X38" s="1903"/>
      <c r="Y38" s="2915"/>
      <c r="Z38" s="1904"/>
      <c r="AA38" s="1903"/>
      <c r="AB38" s="3080"/>
      <c r="AC38" s="1908"/>
      <c r="AD38" s="1907"/>
      <c r="AE38" s="1904"/>
      <c r="AF38" s="1903"/>
      <c r="AG38" s="1903"/>
      <c r="AH38" s="1906"/>
      <c r="AI38" s="1907"/>
      <c r="AJ38" s="1909"/>
      <c r="AK38" s="1903"/>
      <c r="AL38" s="1903"/>
      <c r="AM38" s="1887"/>
      <c r="AN38" s="1887"/>
      <c r="AO38" s="1887"/>
      <c r="AP38" s="1887"/>
      <c r="AQ38" s="1887"/>
      <c r="AR38" s="1887"/>
      <c r="AS38" s="1887"/>
      <c r="AT38" s="1901"/>
      <c r="AZ38" s="1875"/>
      <c r="BB38" s="1875"/>
      <c r="BD38" s="1875"/>
      <c r="BF38" s="1875"/>
      <c r="BH38" s="1875"/>
      <c r="BJ38" s="1876"/>
      <c r="BK38" s="1863"/>
      <c r="BL38" s="1862"/>
      <c r="BM38" s="1862"/>
      <c r="BN38" s="1862"/>
    </row>
    <row r="39" spans="1:66" s="1899" customFormat="1" ht="35.4" thickBot="1">
      <c r="A39" s="3081" t="s">
        <v>26</v>
      </c>
      <c r="B39" s="3615" t="s">
        <v>133</v>
      </c>
      <c r="C39" s="3082">
        <f t="shared" si="28"/>
        <v>31500</v>
      </c>
      <c r="D39" s="3082">
        <f>'[23]Phụ lục số 2'!$N$35</f>
        <v>31500</v>
      </c>
      <c r="E39" s="3082">
        <v>0</v>
      </c>
      <c r="F39" s="3082">
        <f>SUM(I39:J39)</f>
        <v>16000</v>
      </c>
      <c r="G39" s="3082"/>
      <c r="H39" s="3083"/>
      <c r="I39" s="3082">
        <f>'Phụ lục số 1'!H60</f>
        <v>16000</v>
      </c>
      <c r="J39" s="3082">
        <f>E39/2</f>
        <v>0</v>
      </c>
      <c r="K39" s="3082">
        <f>SUM(N39:O39)</f>
        <v>15500</v>
      </c>
      <c r="L39" s="3082"/>
      <c r="M39" s="3083"/>
      <c r="N39" s="3082">
        <f>D39-I39</f>
        <v>15500</v>
      </c>
      <c r="O39" s="3084">
        <f>E39-J39</f>
        <v>0</v>
      </c>
      <c r="P39" s="3085">
        <f>SUM(S39:T39)</f>
        <v>31500</v>
      </c>
      <c r="Q39" s="3082">
        <f t="shared" si="6"/>
        <v>0.18216838603872129</v>
      </c>
      <c r="R39" s="3083">
        <f t="shared" si="7"/>
        <v>100</v>
      </c>
      <c r="S39" s="3082">
        <f t="shared" si="29"/>
        <v>31500</v>
      </c>
      <c r="T39" s="3082">
        <f t="shared" si="30"/>
        <v>0</v>
      </c>
      <c r="U39" s="3082">
        <f>P39-C39</f>
        <v>0</v>
      </c>
      <c r="V39" s="3082">
        <f t="shared" si="32"/>
        <v>0</v>
      </c>
      <c r="W39" s="3082">
        <f t="shared" si="33"/>
        <v>0</v>
      </c>
      <c r="X39" s="3082">
        <f t="shared" ref="X39" si="98">SUM(AA39:AB39)</f>
        <v>0</v>
      </c>
      <c r="Y39" s="3082">
        <f t="shared" si="51"/>
        <v>0</v>
      </c>
      <c r="Z39" s="3083">
        <f>X39/C39*100</f>
        <v>0</v>
      </c>
      <c r="AA39" s="3082"/>
      <c r="AB39" s="3086"/>
      <c r="AC39" s="2627">
        <f>SUM(AF39:AG39)</f>
        <v>0</v>
      </c>
      <c r="AD39" s="1911">
        <f t="shared" si="76"/>
        <v>0</v>
      </c>
      <c r="AE39" s="1912" t="e">
        <f t="shared" si="86"/>
        <v>#DIV/0!</v>
      </c>
      <c r="AF39" s="1910"/>
      <c r="AG39" s="1910"/>
      <c r="AH39" s="1913">
        <f>SUM(AK39:AL39)</f>
        <v>0</v>
      </c>
      <c r="AI39" s="1911">
        <f t="shared" si="11"/>
        <v>0</v>
      </c>
      <c r="AJ39" s="1914" t="e">
        <f t="shared" si="4"/>
        <v>#DIV/0!</v>
      </c>
      <c r="AK39" s="1910"/>
      <c r="AL39" s="1910"/>
      <c r="AM39" s="1840"/>
      <c r="AN39" s="1840"/>
      <c r="AO39" s="1840"/>
      <c r="AP39" s="1840"/>
      <c r="AQ39" s="1840"/>
      <c r="AR39" s="1840"/>
      <c r="AS39" s="1840"/>
      <c r="AT39" s="1898"/>
      <c r="AZ39" s="1915" t="e">
        <f t="shared" si="13"/>
        <v>#DIV/0!</v>
      </c>
      <c r="BB39" s="1915" t="e">
        <f t="shared" si="14"/>
        <v>#DIV/0!</v>
      </c>
      <c r="BD39" s="1915" t="e">
        <f t="shared" si="15"/>
        <v>#DIV/0!</v>
      </c>
      <c r="BF39" s="1915" t="e">
        <f t="shared" si="16"/>
        <v>#DIV/0!</v>
      </c>
      <c r="BH39" s="1915" t="e">
        <f t="shared" si="17"/>
        <v>#DIV/0!</v>
      </c>
      <c r="BJ39" s="1916" t="e">
        <f t="shared" si="18"/>
        <v>#DIV/0!</v>
      </c>
      <c r="BK39" s="1845" t="e">
        <f t="shared" si="19"/>
        <v>#DIV/0!</v>
      </c>
      <c r="BL39" s="1844" t="e">
        <f t="shared" si="20"/>
        <v>#DIV/0!</v>
      </c>
      <c r="BM39" s="1844" t="e">
        <f t="shared" si="21"/>
        <v>#DIV/0!</v>
      </c>
      <c r="BN39" s="1844" t="e">
        <f t="shared" si="22"/>
        <v>#DIV/0!</v>
      </c>
    </row>
    <row r="40" spans="1:66" s="57" customFormat="1" ht="18.600000000000001" thickTop="1">
      <c r="A40" s="83"/>
      <c r="B40" s="84"/>
      <c r="C40" s="85"/>
      <c r="D40" s="85"/>
      <c r="E40" s="85"/>
      <c r="F40" s="85"/>
      <c r="G40" s="85"/>
      <c r="H40" s="122"/>
      <c r="I40" s="85"/>
      <c r="J40" s="85"/>
      <c r="K40" s="85"/>
      <c r="L40" s="85"/>
      <c r="M40" s="122"/>
      <c r="N40" s="85"/>
      <c r="O40" s="85"/>
      <c r="P40" s="85"/>
      <c r="Q40" s="85"/>
      <c r="R40" s="122"/>
      <c r="S40" s="85"/>
      <c r="T40" s="85"/>
      <c r="U40" s="85"/>
      <c r="V40" s="85"/>
      <c r="W40" s="85"/>
      <c r="X40" s="85"/>
      <c r="Y40" s="72"/>
      <c r="Z40" s="123"/>
      <c r="AA40" s="85"/>
      <c r="AB40" s="85"/>
      <c r="AC40" s="72"/>
      <c r="AD40" s="72"/>
      <c r="AE40" s="122"/>
      <c r="AF40" s="85"/>
      <c r="AG40" s="85"/>
      <c r="AH40" s="121"/>
      <c r="AI40" s="72"/>
      <c r="AJ40" s="124"/>
      <c r="AK40" s="85"/>
      <c r="AL40" s="85"/>
      <c r="AM40" s="85"/>
      <c r="AN40" s="85"/>
      <c r="AO40" s="85"/>
      <c r="AP40" s="85"/>
      <c r="AQ40" s="85"/>
      <c r="AR40" s="85"/>
      <c r="AS40" s="85"/>
      <c r="AT40" s="74"/>
      <c r="AZ40" s="117"/>
      <c r="BB40" s="117"/>
      <c r="BD40" s="117"/>
      <c r="BF40" s="117"/>
      <c r="BH40" s="117"/>
      <c r="BJ40" s="118"/>
      <c r="BK40" s="120"/>
      <c r="BL40" s="119"/>
      <c r="BM40" s="119"/>
      <c r="BN40" s="119"/>
    </row>
    <row r="41" spans="1:66" s="57" customFormat="1">
      <c r="A41" s="83"/>
      <c r="B41" s="84"/>
      <c r="C41" s="85"/>
      <c r="D41" s="85"/>
      <c r="E41" s="85"/>
      <c r="F41" s="85"/>
      <c r="G41" s="85"/>
      <c r="H41" s="122"/>
      <c r="I41" s="85"/>
      <c r="J41" s="85"/>
      <c r="K41" s="85"/>
      <c r="L41" s="85"/>
      <c r="M41" s="122"/>
      <c r="N41" s="85"/>
      <c r="O41" s="85"/>
      <c r="P41" s="85"/>
      <c r="Q41" s="85"/>
      <c r="R41" s="122"/>
      <c r="S41" s="85"/>
      <c r="T41" s="85"/>
      <c r="U41" s="85"/>
      <c r="V41" s="85"/>
      <c r="W41" s="85"/>
      <c r="X41" s="85">
        <f>X30-C30</f>
        <v>53245.912319042138</v>
      </c>
      <c r="Y41" s="72"/>
      <c r="Z41" s="123"/>
      <c r="AA41" s="85"/>
      <c r="AB41" s="85"/>
      <c r="AC41" s="72"/>
      <c r="AD41" s="72"/>
      <c r="AE41" s="122"/>
      <c r="AF41" s="85"/>
      <c r="AG41" s="85"/>
      <c r="AH41" s="121"/>
      <c r="AI41" s="72"/>
      <c r="AJ41" s="124"/>
      <c r="AK41" s="85"/>
      <c r="AL41" s="85"/>
      <c r="AM41" s="85"/>
      <c r="AN41" s="85"/>
      <c r="AO41" s="85"/>
      <c r="AP41" s="85"/>
      <c r="AQ41" s="85"/>
      <c r="AR41" s="85"/>
      <c r="AS41" s="85"/>
      <c r="AT41" s="74"/>
      <c r="AZ41" s="117"/>
      <c r="BB41" s="117"/>
      <c r="BD41" s="117"/>
      <c r="BF41" s="117"/>
      <c r="BH41" s="117"/>
      <c r="BJ41" s="118"/>
      <c r="BK41" s="120"/>
      <c r="BL41" s="119"/>
      <c r="BM41" s="119"/>
      <c r="BN41" s="119"/>
    </row>
    <row r="42" spans="1:66" s="57" customFormat="1">
      <c r="A42" s="83"/>
      <c r="B42" s="84"/>
      <c r="C42" s="85"/>
      <c r="D42" s="85"/>
      <c r="E42" s="85"/>
      <c r="F42" s="85"/>
      <c r="G42" s="85"/>
      <c r="H42" s="122"/>
      <c r="I42" s="85"/>
      <c r="J42" s="85"/>
      <c r="K42" s="85"/>
      <c r="L42" s="85"/>
      <c r="M42" s="122"/>
      <c r="N42" s="85"/>
      <c r="O42" s="85"/>
      <c r="P42" s="85"/>
      <c r="Q42" s="85"/>
      <c r="R42" s="122"/>
      <c r="S42" s="85"/>
      <c r="T42" s="85"/>
      <c r="U42" s="85"/>
      <c r="V42" s="85"/>
      <c r="W42" s="85"/>
      <c r="X42" s="85">
        <v>308869</v>
      </c>
      <c r="Y42" s="72"/>
      <c r="Z42" s="123"/>
      <c r="AA42" s="85"/>
      <c r="AB42" s="85">
        <f>AB30-E30</f>
        <v>36363.544319042121</v>
      </c>
      <c r="AC42" s="72"/>
      <c r="AD42" s="72"/>
      <c r="AE42" s="122"/>
      <c r="AF42" s="85"/>
      <c r="AG42" s="85"/>
      <c r="AH42" s="121"/>
      <c r="AI42" s="72"/>
      <c r="AJ42" s="124"/>
      <c r="AK42" s="85"/>
      <c r="AL42" s="85"/>
      <c r="AM42" s="85"/>
      <c r="AN42" s="85"/>
      <c r="AO42" s="85"/>
      <c r="AP42" s="85"/>
      <c r="AQ42" s="85"/>
      <c r="AR42" s="85"/>
      <c r="AS42" s="85"/>
      <c r="AT42" s="74"/>
      <c r="AZ42" s="117"/>
      <c r="BB42" s="117"/>
      <c r="BD42" s="117"/>
      <c r="BF42" s="117"/>
      <c r="BH42" s="117"/>
      <c r="BJ42" s="118"/>
      <c r="BK42" s="120"/>
      <c r="BL42" s="119"/>
      <c r="BM42" s="119"/>
      <c r="BN42" s="119"/>
    </row>
    <row r="43" spans="1:66" s="57" customFormat="1">
      <c r="A43" s="83"/>
      <c r="B43" s="84"/>
      <c r="C43" s="101">
        <f>C15/C7</f>
        <v>0.59126851810003733</v>
      </c>
      <c r="D43" s="85"/>
      <c r="E43" s="85"/>
      <c r="F43" s="85"/>
      <c r="G43" s="85"/>
      <c r="H43" s="122"/>
      <c r="I43" s="85"/>
      <c r="J43" s="85"/>
      <c r="K43" s="85"/>
      <c r="L43" s="85"/>
      <c r="M43" s="122"/>
      <c r="N43" s="85"/>
      <c r="O43" s="85"/>
      <c r="P43" s="85"/>
      <c r="Q43" s="85"/>
      <c r="R43" s="122"/>
      <c r="S43" s="85"/>
      <c r="T43" s="85"/>
      <c r="U43" s="85"/>
      <c r="V43" s="85"/>
      <c r="W43" s="85"/>
      <c r="X43" s="101">
        <f>X42/C30</f>
        <v>1.1247018640099335</v>
      </c>
      <c r="Y43" s="72"/>
      <c r="Z43" s="3377">
        <f>AA43-X42</f>
        <v>18999.932072434924</v>
      </c>
      <c r="AA43" s="85">
        <f>AA44+AB30</f>
        <v>327868.93207243492</v>
      </c>
      <c r="AB43" s="85"/>
      <c r="AC43" s="72"/>
      <c r="AD43" s="72"/>
      <c r="AE43" s="122"/>
      <c r="AF43" s="85"/>
      <c r="AG43" s="85"/>
      <c r="AH43" s="121"/>
      <c r="AI43" s="72"/>
      <c r="AJ43" s="124"/>
      <c r="AK43" s="85"/>
      <c r="AL43" s="85"/>
      <c r="AM43" s="85"/>
      <c r="AN43" s="85"/>
      <c r="AO43" s="85"/>
      <c r="AP43" s="85"/>
      <c r="AQ43" s="85"/>
      <c r="AR43" s="85"/>
      <c r="AS43" s="85"/>
      <c r="AT43" s="74"/>
      <c r="AZ43" s="117"/>
      <c r="BB43" s="117"/>
      <c r="BD43" s="117"/>
      <c r="BF43" s="117"/>
      <c r="BH43" s="117"/>
      <c r="BJ43" s="118"/>
      <c r="BK43" s="120"/>
      <c r="BL43" s="119"/>
      <c r="BM43" s="119"/>
      <c r="BN43" s="119"/>
    </row>
    <row r="44" spans="1:66" s="57" customFormat="1">
      <c r="A44" s="83"/>
      <c r="B44" s="84"/>
      <c r="C44" s="85"/>
      <c r="D44" s="85"/>
      <c r="E44" s="85"/>
      <c r="F44" s="85"/>
      <c r="G44" s="85"/>
      <c r="H44" s="122"/>
      <c r="I44" s="85"/>
      <c r="J44" s="85"/>
      <c r="K44" s="85"/>
      <c r="L44" s="85"/>
      <c r="M44" s="122"/>
      <c r="N44" s="85"/>
      <c r="O44" s="85"/>
      <c r="P44" s="85"/>
      <c r="Q44" s="85"/>
      <c r="R44" s="122"/>
      <c r="S44" s="85"/>
      <c r="T44" s="85"/>
      <c r="U44" s="85"/>
      <c r="V44" s="85"/>
      <c r="W44" s="85"/>
      <c r="X44" s="85">
        <f>X42-C30</f>
        <v>34246</v>
      </c>
      <c r="Y44" s="72"/>
      <c r="Z44" s="123">
        <f>AA44-AA30</f>
        <v>1.9753392843995243E-2</v>
      </c>
      <c r="AA44" s="85">
        <f>X43*D30</f>
        <v>152264.38775339283</v>
      </c>
      <c r="AB44" s="85"/>
      <c r="AC44" s="72"/>
      <c r="AD44" s="72"/>
      <c r="AE44" s="122"/>
      <c r="AF44" s="85"/>
      <c r="AG44" s="85"/>
      <c r="AH44" s="121"/>
      <c r="AI44" s="72"/>
      <c r="AJ44" s="124"/>
      <c r="AK44" s="85"/>
      <c r="AL44" s="85"/>
      <c r="AM44" s="85"/>
      <c r="AN44" s="85"/>
      <c r="AO44" s="85"/>
      <c r="AP44" s="85"/>
      <c r="AQ44" s="85"/>
      <c r="AR44" s="85"/>
      <c r="AS44" s="85"/>
      <c r="AT44" s="74"/>
      <c r="AZ44" s="117"/>
      <c r="BB44" s="117"/>
      <c r="BD44" s="117"/>
      <c r="BF44" s="117"/>
      <c r="BH44" s="117"/>
      <c r="BJ44" s="118"/>
      <c r="BK44" s="120"/>
      <c r="BL44" s="119"/>
      <c r="BM44" s="119"/>
      <c r="BN44" s="119"/>
    </row>
    <row r="45" spans="1:66" s="57" customFormat="1">
      <c r="A45" s="83"/>
      <c r="B45" s="84"/>
      <c r="C45" s="85"/>
      <c r="D45" s="85"/>
      <c r="E45" s="85"/>
      <c r="F45" s="85"/>
      <c r="G45" s="85"/>
      <c r="H45" s="122"/>
      <c r="I45" s="85"/>
      <c r="J45" s="85"/>
      <c r="K45" s="85"/>
      <c r="L45" s="85"/>
      <c r="M45" s="122"/>
      <c r="N45" s="85"/>
      <c r="O45" s="85"/>
      <c r="P45" s="85"/>
      <c r="Q45" s="85"/>
      <c r="R45" s="122"/>
      <c r="S45" s="85"/>
      <c r="T45" s="85"/>
      <c r="U45" s="85"/>
      <c r="V45" s="85"/>
      <c r="W45" s="85"/>
      <c r="X45" s="85"/>
      <c r="Y45" s="72"/>
      <c r="Z45" s="123"/>
      <c r="AA45" s="85">
        <f>AA30-D30</f>
        <v>16882.367999999988</v>
      </c>
      <c r="AB45" s="85"/>
      <c r="AC45" s="72"/>
      <c r="AD45" s="72"/>
      <c r="AE45" s="122"/>
      <c r="AF45" s="85"/>
      <c r="AG45" s="85"/>
      <c r="AH45" s="121"/>
      <c r="AI45" s="72"/>
      <c r="AJ45" s="124"/>
      <c r="AK45" s="85"/>
      <c r="AL45" s="85"/>
      <c r="AM45" s="85"/>
      <c r="AN45" s="85"/>
      <c r="AO45" s="85"/>
      <c r="AP45" s="85"/>
      <c r="AQ45" s="85"/>
      <c r="AR45" s="85"/>
      <c r="AS45" s="85"/>
      <c r="AT45" s="74"/>
      <c r="AZ45" s="117"/>
      <c r="BB45" s="117"/>
      <c r="BD45" s="117"/>
      <c r="BF45" s="117"/>
      <c r="BH45" s="117"/>
      <c r="BJ45" s="118"/>
      <c r="BK45" s="120"/>
      <c r="BL45" s="119"/>
      <c r="BM45" s="119"/>
      <c r="BN45" s="119"/>
    </row>
    <row r="46" spans="1:66" s="57" customFormat="1">
      <c r="A46" s="83"/>
      <c r="B46" s="84"/>
      <c r="C46" s="85"/>
      <c r="D46" s="85"/>
      <c r="E46" s="85"/>
      <c r="F46" s="85"/>
      <c r="G46" s="85"/>
      <c r="H46" s="122"/>
      <c r="I46" s="85"/>
      <c r="J46" s="85"/>
      <c r="K46" s="85"/>
      <c r="L46" s="85"/>
      <c r="M46" s="122"/>
      <c r="N46" s="85"/>
      <c r="O46" s="85"/>
      <c r="P46" s="85"/>
      <c r="Q46" s="85"/>
      <c r="R46" s="122"/>
      <c r="S46" s="85"/>
      <c r="T46" s="85"/>
      <c r="U46" s="85"/>
      <c r="V46" s="85"/>
      <c r="W46" s="85"/>
      <c r="X46" s="85">
        <v>978</v>
      </c>
      <c r="Y46" s="72"/>
      <c r="Z46" s="123"/>
      <c r="AA46" s="85"/>
      <c r="AB46" s="85"/>
      <c r="AC46" s="72"/>
      <c r="AD46" s="72"/>
      <c r="AE46" s="122"/>
      <c r="AF46" s="85"/>
      <c r="AG46" s="85"/>
      <c r="AH46" s="121"/>
      <c r="AI46" s="72"/>
      <c r="AJ46" s="124"/>
      <c r="AK46" s="85"/>
      <c r="AL46" s="85"/>
      <c r="AM46" s="85"/>
      <c r="AN46" s="85"/>
      <c r="AO46" s="85"/>
      <c r="AP46" s="85"/>
      <c r="AQ46" s="85"/>
      <c r="AR46" s="85"/>
      <c r="AS46" s="85"/>
      <c r="AT46" s="74"/>
      <c r="AZ46" s="117"/>
      <c r="BB46" s="117"/>
      <c r="BD46" s="117"/>
      <c r="BF46" s="117"/>
      <c r="BH46" s="117"/>
      <c r="BJ46" s="118"/>
      <c r="BK46" s="120"/>
      <c r="BL46" s="119"/>
      <c r="BM46" s="119"/>
      <c r="BN46" s="119"/>
    </row>
    <row r="47" spans="1:66" s="57" customFormat="1">
      <c r="A47" s="83"/>
      <c r="B47" s="84"/>
      <c r="C47" s="85"/>
      <c r="D47" s="85"/>
      <c r="E47" s="85"/>
      <c r="F47" s="85"/>
      <c r="G47" s="85"/>
      <c r="H47" s="122"/>
      <c r="I47" s="85"/>
      <c r="J47" s="85"/>
      <c r="K47" s="85"/>
      <c r="L47" s="85"/>
      <c r="M47" s="122"/>
      <c r="N47" s="85"/>
      <c r="O47" s="85"/>
      <c r="P47" s="85"/>
      <c r="Q47" s="85"/>
      <c r="R47" s="122"/>
      <c r="S47" s="85"/>
      <c r="T47" s="85"/>
      <c r="U47" s="85"/>
      <c r="V47" s="85"/>
      <c r="W47" s="85"/>
      <c r="X47" s="85">
        <v>391</v>
      </c>
      <c r="Y47" s="72"/>
      <c r="Z47" s="123"/>
      <c r="AA47" s="85"/>
      <c r="AB47" s="85"/>
      <c r="AC47" s="72"/>
      <c r="AD47" s="72"/>
      <c r="AE47" s="122"/>
      <c r="AF47" s="85"/>
      <c r="AG47" s="85"/>
      <c r="AH47" s="121"/>
      <c r="AI47" s="72"/>
      <c r="AJ47" s="124"/>
      <c r="AK47" s="85"/>
      <c r="AL47" s="85"/>
      <c r="AM47" s="85"/>
      <c r="AN47" s="85"/>
      <c r="AO47" s="85"/>
      <c r="AP47" s="85"/>
      <c r="AQ47" s="85"/>
      <c r="AR47" s="85"/>
      <c r="AS47" s="85"/>
      <c r="AT47" s="74"/>
      <c r="AZ47" s="117"/>
      <c r="BB47" s="117"/>
      <c r="BD47" s="117"/>
      <c r="BF47" s="117"/>
      <c r="BH47" s="117"/>
      <c r="BJ47" s="118"/>
      <c r="BK47" s="120"/>
      <c r="BL47" s="119"/>
      <c r="BM47" s="119"/>
      <c r="BN47" s="119"/>
    </row>
    <row r="48" spans="1:66" s="57" customFormat="1">
      <c r="A48" s="83"/>
      <c r="B48" s="84"/>
      <c r="C48" s="85"/>
      <c r="D48" s="85"/>
      <c r="E48" s="85"/>
      <c r="F48" s="85"/>
      <c r="G48" s="85"/>
      <c r="H48" s="122"/>
      <c r="I48" s="85"/>
      <c r="J48" s="85"/>
      <c r="K48" s="85"/>
      <c r="L48" s="85"/>
      <c r="M48" s="122"/>
      <c r="N48" s="85"/>
      <c r="O48" s="85"/>
      <c r="P48" s="85"/>
      <c r="Q48" s="85"/>
      <c r="R48" s="122"/>
      <c r="S48" s="85"/>
      <c r="T48" s="85"/>
      <c r="U48" s="85"/>
      <c r="V48" s="85"/>
      <c r="W48" s="85"/>
      <c r="X48" s="85">
        <f>X46-X47</f>
        <v>587</v>
      </c>
      <c r="Y48" s="72"/>
      <c r="Z48" s="123"/>
      <c r="AA48" s="85"/>
      <c r="AB48" s="85"/>
      <c r="AC48" s="72"/>
      <c r="AD48" s="72"/>
      <c r="AE48" s="122"/>
      <c r="AF48" s="85"/>
      <c r="AG48" s="85"/>
      <c r="AH48" s="121"/>
      <c r="AI48" s="72"/>
      <c r="AJ48" s="124"/>
      <c r="AK48" s="85"/>
      <c r="AL48" s="85"/>
      <c r="AM48" s="85"/>
      <c r="AN48" s="85"/>
      <c r="AO48" s="85"/>
      <c r="AP48" s="85"/>
      <c r="AQ48" s="85"/>
      <c r="AR48" s="85"/>
      <c r="AS48" s="85"/>
      <c r="AT48" s="74"/>
      <c r="AZ48" s="117"/>
      <c r="BB48" s="117"/>
      <c r="BD48" s="117"/>
      <c r="BF48" s="117"/>
      <c r="BH48" s="117"/>
      <c r="BJ48" s="118"/>
      <c r="BK48" s="120"/>
      <c r="BL48" s="119"/>
      <c r="BM48" s="119"/>
      <c r="BN48" s="119"/>
    </row>
    <row r="49" spans="1:66" s="57" customFormat="1">
      <c r="A49" s="83"/>
      <c r="B49" s="84"/>
      <c r="C49" s="85"/>
      <c r="D49" s="85"/>
      <c r="E49" s="85"/>
      <c r="F49" s="85"/>
      <c r="G49" s="85"/>
      <c r="H49" s="122"/>
      <c r="I49" s="85"/>
      <c r="J49" s="85"/>
      <c r="K49" s="85"/>
      <c r="L49" s="85"/>
      <c r="M49" s="122"/>
      <c r="N49" s="85"/>
      <c r="O49" s="85"/>
      <c r="P49" s="85"/>
      <c r="Q49" s="85"/>
      <c r="R49" s="122"/>
      <c r="S49" s="85"/>
      <c r="T49" s="85"/>
      <c r="U49" s="85"/>
      <c r="V49" s="85"/>
      <c r="W49" s="85"/>
      <c r="X49" s="85"/>
      <c r="Y49" s="72"/>
      <c r="Z49" s="123"/>
      <c r="AA49" s="85"/>
      <c r="AB49" s="85"/>
      <c r="AC49" s="72"/>
      <c r="AD49" s="72"/>
      <c r="AE49" s="122"/>
      <c r="AF49" s="85"/>
      <c r="AG49" s="85"/>
      <c r="AH49" s="121"/>
      <c r="AI49" s="72"/>
      <c r="AJ49" s="124"/>
      <c r="AK49" s="85"/>
      <c r="AL49" s="85"/>
      <c r="AM49" s="85"/>
      <c r="AN49" s="85"/>
      <c r="AO49" s="85"/>
      <c r="AP49" s="85"/>
      <c r="AQ49" s="85"/>
      <c r="AR49" s="85"/>
      <c r="AS49" s="85"/>
      <c r="AT49" s="74"/>
      <c r="AZ49" s="117"/>
      <c r="BB49" s="117"/>
      <c r="BD49" s="117"/>
      <c r="BF49" s="117"/>
      <c r="BH49" s="117"/>
      <c r="BJ49" s="118"/>
      <c r="BK49" s="120"/>
      <c r="BL49" s="119"/>
      <c r="BM49" s="119"/>
      <c r="BN49" s="119"/>
    </row>
    <row r="50" spans="1:66" s="57" customFormat="1">
      <c r="A50" s="83"/>
      <c r="B50" s="84"/>
      <c r="C50" s="85"/>
      <c r="D50" s="85"/>
      <c r="E50" s="85"/>
      <c r="F50" s="85"/>
      <c r="G50" s="85"/>
      <c r="H50" s="122"/>
      <c r="I50" s="85"/>
      <c r="J50" s="85"/>
      <c r="K50" s="85"/>
      <c r="L50" s="85"/>
      <c r="M50" s="122"/>
      <c r="N50" s="85"/>
      <c r="O50" s="85"/>
      <c r="P50" s="85"/>
      <c r="Q50" s="85"/>
      <c r="R50" s="122"/>
      <c r="S50" s="85"/>
      <c r="T50" s="85"/>
      <c r="U50" s="85"/>
      <c r="V50" s="85"/>
      <c r="W50" s="85"/>
      <c r="X50" s="85"/>
      <c r="Y50" s="72"/>
      <c r="Z50" s="123"/>
      <c r="AA50" s="85"/>
      <c r="AB50" s="85"/>
      <c r="AC50" s="72"/>
      <c r="AD50" s="72"/>
      <c r="AE50" s="122"/>
      <c r="AF50" s="85"/>
      <c r="AG50" s="85"/>
      <c r="AH50" s="121"/>
      <c r="AI50" s="72"/>
      <c r="AJ50" s="124"/>
      <c r="AK50" s="85"/>
      <c r="AL50" s="85"/>
      <c r="AM50" s="85"/>
      <c r="AN50" s="85"/>
      <c r="AO50" s="85"/>
      <c r="AP50" s="85"/>
      <c r="AQ50" s="85"/>
      <c r="AR50" s="85"/>
      <c r="AS50" s="85"/>
      <c r="AT50" s="74"/>
      <c r="AZ50" s="117"/>
      <c r="BB50" s="117"/>
      <c r="BD50" s="117"/>
      <c r="BF50" s="117"/>
      <c r="BH50" s="117"/>
      <c r="BJ50" s="118"/>
      <c r="BK50" s="120"/>
      <c r="BL50" s="119"/>
      <c r="BM50" s="119"/>
      <c r="BN50" s="119"/>
    </row>
    <row r="51" spans="1:66" s="57" customFormat="1">
      <c r="A51" s="83"/>
      <c r="B51" s="84"/>
      <c r="C51" s="85"/>
      <c r="D51" s="85"/>
      <c r="E51" s="85"/>
      <c r="F51" s="85"/>
      <c r="G51" s="85"/>
      <c r="H51" s="122"/>
      <c r="I51" s="85"/>
      <c r="J51" s="85"/>
      <c r="K51" s="85"/>
      <c r="L51" s="85"/>
      <c r="M51" s="122"/>
      <c r="N51" s="85"/>
      <c r="O51" s="85"/>
      <c r="P51" s="85"/>
      <c r="Q51" s="85"/>
      <c r="R51" s="122"/>
      <c r="S51" s="85"/>
      <c r="T51" s="85"/>
      <c r="U51" s="85"/>
      <c r="V51" s="85"/>
      <c r="W51" s="85"/>
      <c r="X51" s="85"/>
      <c r="Y51" s="72"/>
      <c r="Z51" s="123"/>
      <c r="AA51" s="85"/>
      <c r="AB51" s="85"/>
      <c r="AC51" s="72"/>
      <c r="AD51" s="72"/>
      <c r="AE51" s="122"/>
      <c r="AF51" s="85"/>
      <c r="AG51" s="85"/>
      <c r="AH51" s="121"/>
      <c r="AI51" s="72"/>
      <c r="AJ51" s="124"/>
      <c r="AK51" s="85"/>
      <c r="AL51" s="85"/>
      <c r="AM51" s="85"/>
      <c r="AN51" s="85"/>
      <c r="AO51" s="85"/>
      <c r="AP51" s="85"/>
      <c r="AQ51" s="85"/>
      <c r="AR51" s="85"/>
      <c r="AS51" s="85"/>
      <c r="AT51" s="74"/>
      <c r="AZ51" s="117"/>
      <c r="BB51" s="117"/>
      <c r="BD51" s="117"/>
      <c r="BF51" s="117"/>
      <c r="BH51" s="117"/>
      <c r="BJ51" s="118"/>
      <c r="BK51" s="120"/>
      <c r="BL51" s="119"/>
      <c r="BM51" s="119"/>
      <c r="BN51" s="119"/>
    </row>
    <row r="52" spans="1:66" s="57" customFormat="1">
      <c r="A52" s="83"/>
      <c r="B52" s="84"/>
      <c r="C52" s="85"/>
      <c r="D52" s="85"/>
      <c r="E52" s="85"/>
      <c r="F52" s="85"/>
      <c r="G52" s="85"/>
      <c r="H52" s="122"/>
      <c r="I52" s="85"/>
      <c r="J52" s="85"/>
      <c r="K52" s="85"/>
      <c r="L52" s="85"/>
      <c r="M52" s="122"/>
      <c r="N52" s="85"/>
      <c r="O52" s="85"/>
      <c r="P52" s="85"/>
      <c r="Q52" s="85"/>
      <c r="R52" s="122"/>
      <c r="S52" s="85"/>
      <c r="T52" s="85"/>
      <c r="U52" s="85"/>
      <c r="V52" s="85"/>
      <c r="W52" s="85"/>
      <c r="X52" s="85"/>
      <c r="Y52" s="72"/>
      <c r="Z52" s="123"/>
      <c r="AA52" s="85"/>
      <c r="AB52" s="85"/>
      <c r="AC52" s="72"/>
      <c r="AD52" s="72"/>
      <c r="AE52" s="122"/>
      <c r="AF52" s="85"/>
      <c r="AG52" s="85"/>
      <c r="AH52" s="121"/>
      <c r="AI52" s="72"/>
      <c r="AJ52" s="124"/>
      <c r="AK52" s="85"/>
      <c r="AL52" s="85"/>
      <c r="AM52" s="85"/>
      <c r="AN52" s="85"/>
      <c r="AO52" s="85"/>
      <c r="AP52" s="85"/>
      <c r="AQ52" s="85"/>
      <c r="AR52" s="85"/>
      <c r="AS52" s="85"/>
      <c r="AT52" s="74"/>
      <c r="AZ52" s="117"/>
      <c r="BB52" s="117"/>
      <c r="BD52" s="117"/>
      <c r="BF52" s="117"/>
      <c r="BH52" s="117"/>
      <c r="BJ52" s="118"/>
      <c r="BK52" s="120"/>
      <c r="BL52" s="119"/>
      <c r="BM52" s="119"/>
      <c r="BN52" s="119"/>
    </row>
    <row r="53" spans="1:66" s="57" customFormat="1">
      <c r="A53" s="83"/>
      <c r="B53" s="84"/>
      <c r="C53" s="85"/>
      <c r="D53" s="85"/>
      <c r="E53" s="85"/>
      <c r="F53" s="85"/>
      <c r="G53" s="85"/>
      <c r="H53" s="122"/>
      <c r="I53" s="85"/>
      <c r="J53" s="85"/>
      <c r="K53" s="85"/>
      <c r="L53" s="85"/>
      <c r="M53" s="122"/>
      <c r="N53" s="85"/>
      <c r="O53" s="85"/>
      <c r="P53" s="85"/>
      <c r="Q53" s="85"/>
      <c r="R53" s="122"/>
      <c r="S53" s="85"/>
      <c r="T53" s="85"/>
      <c r="U53" s="85"/>
      <c r="V53" s="85"/>
      <c r="W53" s="85"/>
      <c r="X53" s="85"/>
      <c r="Y53" s="72"/>
      <c r="Z53" s="123"/>
      <c r="AA53" s="85"/>
      <c r="AB53" s="85"/>
      <c r="AC53" s="72"/>
      <c r="AD53" s="72"/>
      <c r="AE53" s="122"/>
      <c r="AF53" s="85"/>
      <c r="AG53" s="85"/>
      <c r="AH53" s="121"/>
      <c r="AI53" s="72"/>
      <c r="AJ53" s="124"/>
      <c r="AK53" s="85"/>
      <c r="AL53" s="85"/>
      <c r="AM53" s="85"/>
      <c r="AN53" s="85"/>
      <c r="AO53" s="85"/>
      <c r="AP53" s="85"/>
      <c r="AQ53" s="85"/>
      <c r="AR53" s="85"/>
      <c r="AS53" s="85"/>
      <c r="AT53" s="74"/>
      <c r="AZ53" s="117"/>
      <c r="BB53" s="117"/>
      <c r="BD53" s="117"/>
      <c r="BF53" s="117"/>
      <c r="BH53" s="117"/>
      <c r="BJ53" s="118"/>
      <c r="BK53" s="120"/>
      <c r="BL53" s="119"/>
      <c r="BM53" s="119"/>
      <c r="BN53" s="119"/>
    </row>
    <row r="54" spans="1:66" s="57" customFormat="1">
      <c r="A54" s="83"/>
      <c r="B54" s="84"/>
      <c r="C54" s="85"/>
      <c r="D54" s="85"/>
      <c r="E54" s="85"/>
      <c r="F54" s="85"/>
      <c r="G54" s="85"/>
      <c r="H54" s="122"/>
      <c r="I54" s="85"/>
      <c r="J54" s="85"/>
      <c r="K54" s="85"/>
      <c r="L54" s="85"/>
      <c r="M54" s="122"/>
      <c r="N54" s="85"/>
      <c r="O54" s="85"/>
      <c r="P54" s="85"/>
      <c r="Q54" s="85"/>
      <c r="R54" s="122"/>
      <c r="S54" s="85"/>
      <c r="T54" s="85"/>
      <c r="U54" s="85"/>
      <c r="V54" s="85"/>
      <c r="W54" s="85"/>
      <c r="X54" s="85">
        <f>X8-129700-650315</f>
        <v>15858417.915999997</v>
      </c>
      <c r="Y54" s="72">
        <f>X8-X32-'Phụ lục số 5'!E38</f>
        <v>15268633.367999999</v>
      </c>
      <c r="Z54" s="123"/>
      <c r="AA54" s="85">
        <f>AA8-129700-650315</f>
        <v>5950014.568</v>
      </c>
      <c r="AB54" s="85">
        <f>AB8-'Phụ lục số 3.1'!K16-AB32</f>
        <v>8617743</v>
      </c>
      <c r="AC54" s="72"/>
      <c r="AD54" s="72"/>
      <c r="AE54" s="122"/>
      <c r="AF54" s="85"/>
      <c r="AG54" s="85"/>
      <c r="AH54" s="121"/>
      <c r="AI54" s="72"/>
      <c r="AJ54" s="124"/>
      <c r="AK54" s="85"/>
      <c r="AL54" s="85"/>
      <c r="AM54" s="85"/>
      <c r="AN54" s="85"/>
      <c r="AO54" s="85"/>
      <c r="AP54" s="85"/>
      <c r="AQ54" s="85"/>
      <c r="AR54" s="85"/>
      <c r="AS54" s="85"/>
      <c r="AT54" s="74"/>
      <c r="AZ54" s="117"/>
      <c r="BB54" s="117"/>
      <c r="BD54" s="117"/>
      <c r="BF54" s="117"/>
      <c r="BH54" s="117"/>
      <c r="BJ54" s="118"/>
      <c r="BK54" s="120"/>
      <c r="BL54" s="119"/>
      <c r="BM54" s="119"/>
      <c r="BN54" s="119"/>
    </row>
    <row r="55" spans="1:66" s="57" customFormat="1">
      <c r="A55" s="83"/>
      <c r="B55" s="84"/>
      <c r="C55" s="85"/>
      <c r="D55" s="85"/>
      <c r="E55" s="85"/>
      <c r="F55" s="85"/>
      <c r="G55" s="85"/>
      <c r="H55" s="122"/>
      <c r="I55" s="85"/>
      <c r="J55" s="85"/>
      <c r="K55" s="85"/>
      <c r="L55" s="85"/>
      <c r="M55" s="122"/>
      <c r="N55" s="85"/>
      <c r="O55" s="85"/>
      <c r="P55" s="85"/>
      <c r="Q55" s="85"/>
      <c r="R55" s="122"/>
      <c r="S55" s="85"/>
      <c r="T55" s="85"/>
      <c r="U55" s="85"/>
      <c r="V55" s="85"/>
      <c r="W55" s="85"/>
      <c r="X55" s="85">
        <f>X30</f>
        <v>327868.91231904214</v>
      </c>
      <c r="Y55" s="3858">
        <f>X30/Y54</f>
        <v>2.1473363359826938E-2</v>
      </c>
      <c r="Z55" s="123"/>
      <c r="AA55" s="85">
        <f>AA30</f>
        <v>152264.36799999999</v>
      </c>
      <c r="AB55" s="85">
        <f>AB30</f>
        <v>175604.54431904212</v>
      </c>
      <c r="AC55" s="72"/>
      <c r="AD55" s="72"/>
      <c r="AE55" s="122"/>
      <c r="AF55" s="85"/>
      <c r="AG55" s="85"/>
      <c r="AH55" s="121"/>
      <c r="AI55" s="72"/>
      <c r="AJ55" s="124"/>
      <c r="AK55" s="85"/>
      <c r="AL55" s="85"/>
      <c r="AM55" s="85"/>
      <c r="AN55" s="85"/>
      <c r="AO55" s="85"/>
      <c r="AP55" s="85"/>
      <c r="AQ55" s="85"/>
      <c r="AR55" s="85"/>
      <c r="AS55" s="85"/>
      <c r="AT55" s="74"/>
      <c r="AZ55" s="117"/>
      <c r="BB55" s="117"/>
      <c r="BD55" s="117"/>
      <c r="BF55" s="117"/>
      <c r="BH55" s="117"/>
      <c r="BJ55" s="118"/>
      <c r="BK55" s="120"/>
      <c r="BL55" s="119"/>
      <c r="BM55" s="119"/>
      <c r="BN55" s="119"/>
    </row>
    <row r="56" spans="1:66" s="57" customFormat="1">
      <c r="A56" s="83"/>
      <c r="B56" s="84"/>
      <c r="C56" s="85"/>
      <c r="D56" s="85"/>
      <c r="E56" s="85"/>
      <c r="F56" s="85"/>
      <c r="G56" s="85"/>
      <c r="H56" s="122"/>
      <c r="I56" s="85"/>
      <c r="J56" s="85"/>
      <c r="K56" s="85"/>
      <c r="L56" s="85"/>
      <c r="M56" s="122"/>
      <c r="N56" s="85"/>
      <c r="O56" s="85"/>
      <c r="P56" s="85"/>
      <c r="Q56" s="85"/>
      <c r="R56" s="122"/>
      <c r="S56" s="85"/>
      <c r="T56" s="85"/>
      <c r="U56" s="85"/>
      <c r="V56" s="85"/>
      <c r="W56" s="85"/>
      <c r="X56" s="2074">
        <f>X55/X54</f>
        <v>2.0674755455160891E-2</v>
      </c>
      <c r="Y56" s="3486"/>
      <c r="Z56" s="3487"/>
      <c r="AA56" s="2074">
        <f>AA55/AA54</f>
        <v>2.5590587427953334E-2</v>
      </c>
      <c r="AB56" s="2074">
        <f>AB55/AB54</f>
        <v>2.037709227567382E-2</v>
      </c>
      <c r="AC56" s="72"/>
      <c r="AD56" s="72"/>
      <c r="AE56" s="122"/>
      <c r="AF56" s="85"/>
      <c r="AG56" s="85"/>
      <c r="AH56" s="121"/>
      <c r="AI56" s="72"/>
      <c r="AJ56" s="124"/>
      <c r="AK56" s="85"/>
      <c r="AL56" s="85"/>
      <c r="AM56" s="85"/>
      <c r="AN56" s="85"/>
      <c r="AO56" s="85"/>
      <c r="AP56" s="85"/>
      <c r="AQ56" s="85"/>
      <c r="AR56" s="85"/>
      <c r="AS56" s="85"/>
      <c r="AT56" s="74"/>
      <c r="AZ56" s="117"/>
      <c r="BB56" s="117"/>
      <c r="BD56" s="117"/>
      <c r="BF56" s="117"/>
      <c r="BH56" s="117"/>
      <c r="BJ56" s="118"/>
      <c r="BK56" s="120"/>
      <c r="BL56" s="119"/>
      <c r="BM56" s="119"/>
      <c r="BN56" s="119"/>
    </row>
    <row r="57" spans="1:66" s="57" customFormat="1">
      <c r="A57" s="83"/>
      <c r="B57" s="84"/>
      <c r="C57" s="85"/>
      <c r="D57" s="85"/>
      <c r="E57" s="85"/>
      <c r="F57" s="85"/>
      <c r="G57" s="85"/>
      <c r="H57" s="122"/>
      <c r="I57" s="85"/>
      <c r="J57" s="85"/>
      <c r="K57" s="85"/>
      <c r="L57" s="85"/>
      <c r="M57" s="122"/>
      <c r="N57" s="85"/>
      <c r="O57" s="85"/>
      <c r="P57" s="85"/>
      <c r="Q57" s="85"/>
      <c r="R57" s="122"/>
      <c r="S57" s="85"/>
      <c r="T57" s="85"/>
      <c r="U57" s="85"/>
      <c r="V57" s="85"/>
      <c r="W57" s="85"/>
      <c r="X57" s="2074">
        <f>X55/X8</f>
        <v>1.9705516377311827E-2</v>
      </c>
      <c r="Y57" s="72"/>
      <c r="Z57" s="123"/>
      <c r="AA57" s="2074">
        <f>AA55/AA8</f>
        <v>2.2624620956197258E-2</v>
      </c>
      <c r="AB57" s="85"/>
      <c r="AC57" s="72"/>
      <c r="AD57" s="72"/>
      <c r="AE57" s="122"/>
      <c r="AF57" s="85"/>
      <c r="AG57" s="85"/>
      <c r="AH57" s="121"/>
      <c r="AI57" s="72"/>
      <c r="AJ57" s="124"/>
      <c r="AK57" s="85"/>
      <c r="AL57" s="85"/>
      <c r="AM57" s="85"/>
      <c r="AN57" s="85"/>
      <c r="AO57" s="85"/>
      <c r="AP57" s="85"/>
      <c r="AQ57" s="85"/>
      <c r="AR57" s="85"/>
      <c r="AS57" s="85"/>
      <c r="AT57" s="74"/>
      <c r="AZ57" s="117"/>
      <c r="BB57" s="117"/>
      <c r="BD57" s="117"/>
      <c r="BF57" s="117"/>
      <c r="BH57" s="117"/>
      <c r="BJ57" s="118"/>
      <c r="BK57" s="120"/>
      <c r="BL57" s="119"/>
      <c r="BM57" s="119"/>
      <c r="BN57" s="119"/>
    </row>
    <row r="58" spans="1:66" s="57" customFormat="1">
      <c r="A58" s="83"/>
      <c r="B58" s="84"/>
      <c r="C58" s="85"/>
      <c r="D58" s="85"/>
      <c r="E58" s="85"/>
      <c r="F58" s="85"/>
      <c r="G58" s="85"/>
      <c r="H58" s="122"/>
      <c r="I58" s="85"/>
      <c r="J58" s="85"/>
      <c r="K58" s="85"/>
      <c r="L58" s="85"/>
      <c r="M58" s="122"/>
      <c r="N58" s="85"/>
      <c r="O58" s="85"/>
      <c r="P58" s="85"/>
      <c r="Q58" s="85"/>
      <c r="R58" s="122"/>
      <c r="S58" s="85"/>
      <c r="T58" s="85"/>
      <c r="U58" s="85"/>
      <c r="V58" s="85"/>
      <c r="W58" s="85"/>
      <c r="X58" s="85"/>
      <c r="Y58" s="72"/>
      <c r="Z58" s="123"/>
      <c r="AA58" s="85">
        <f>AA8-AA32</f>
        <v>6650890.3679999998</v>
      </c>
      <c r="AB58" s="85"/>
      <c r="AC58" s="72"/>
      <c r="AD58" s="72"/>
      <c r="AE58" s="122"/>
      <c r="AF58" s="85"/>
      <c r="AG58" s="85"/>
      <c r="AH58" s="121"/>
      <c r="AI58" s="72"/>
      <c r="AJ58" s="124"/>
      <c r="AK58" s="85"/>
      <c r="AL58" s="85"/>
      <c r="AM58" s="85"/>
      <c r="AN58" s="85"/>
      <c r="AO58" s="85"/>
      <c r="AP58" s="85"/>
      <c r="AQ58" s="85"/>
      <c r="AR58" s="85"/>
      <c r="AS58" s="85"/>
      <c r="AT58" s="74"/>
      <c r="AZ58" s="117"/>
      <c r="BB58" s="117"/>
      <c r="BD58" s="117"/>
      <c r="BF58" s="117"/>
      <c r="BH58" s="117"/>
      <c r="BJ58" s="118"/>
      <c r="BK58" s="120"/>
      <c r="BL58" s="119"/>
      <c r="BM58" s="119"/>
      <c r="BN58" s="119"/>
    </row>
    <row r="59" spans="1:66" s="57" customFormat="1">
      <c r="A59" s="83"/>
      <c r="B59" s="84"/>
      <c r="C59" s="85"/>
      <c r="D59" s="85"/>
      <c r="E59" s="85"/>
      <c r="F59" s="85"/>
      <c r="G59" s="85"/>
      <c r="H59" s="122"/>
      <c r="I59" s="85"/>
      <c r="J59" s="85"/>
      <c r="K59" s="85"/>
      <c r="L59" s="85"/>
      <c r="M59" s="122"/>
      <c r="N59" s="85"/>
      <c r="O59" s="85"/>
      <c r="P59" s="85"/>
      <c r="Q59" s="85"/>
      <c r="R59" s="122"/>
      <c r="S59" s="85"/>
      <c r="T59" s="85"/>
      <c r="U59" s="85"/>
      <c r="V59" s="85"/>
      <c r="W59" s="85"/>
      <c r="X59" s="85"/>
      <c r="Y59" s="72"/>
      <c r="Z59" s="123"/>
      <c r="AA59" s="2074">
        <f>AA55/AA58</f>
        <v>2.2893832190138425E-2</v>
      </c>
      <c r="AB59" s="85"/>
      <c r="AC59" s="72"/>
      <c r="AD59" s="72"/>
      <c r="AE59" s="122"/>
      <c r="AF59" s="85"/>
      <c r="AG59" s="85"/>
      <c r="AH59" s="121"/>
      <c r="AI59" s="72"/>
      <c r="AJ59" s="124"/>
      <c r="AK59" s="85"/>
      <c r="AL59" s="85"/>
      <c r="AM59" s="85"/>
      <c r="AN59" s="85"/>
      <c r="AO59" s="85"/>
      <c r="AP59" s="85"/>
      <c r="AQ59" s="85"/>
      <c r="AR59" s="85"/>
      <c r="AS59" s="85"/>
      <c r="AT59" s="74"/>
      <c r="AZ59" s="117"/>
      <c r="BB59" s="117"/>
      <c r="BD59" s="117"/>
      <c r="BF59" s="117"/>
      <c r="BH59" s="117"/>
      <c r="BJ59" s="118"/>
      <c r="BK59" s="120"/>
      <c r="BL59" s="119"/>
      <c r="BM59" s="119"/>
      <c r="BN59" s="119"/>
    </row>
    <row r="60" spans="1:66" s="57" customFormat="1">
      <c r="A60" s="83"/>
      <c r="B60" s="84"/>
      <c r="C60" s="85"/>
      <c r="D60" s="85"/>
      <c r="E60" s="85"/>
      <c r="F60" s="85"/>
      <c r="G60" s="85"/>
      <c r="H60" s="122"/>
      <c r="I60" s="85"/>
      <c r="J60" s="85"/>
      <c r="K60" s="85"/>
      <c r="L60" s="85"/>
      <c r="M60" s="122"/>
      <c r="N60" s="85"/>
      <c r="O60" s="85"/>
      <c r="P60" s="85"/>
      <c r="Q60" s="85"/>
      <c r="R60" s="122"/>
      <c r="S60" s="85"/>
      <c r="T60" s="85"/>
      <c r="U60" s="85"/>
      <c r="V60" s="85"/>
      <c r="W60" s="85"/>
      <c r="X60" s="85"/>
      <c r="Y60" s="72"/>
      <c r="Z60" s="123"/>
      <c r="AA60" s="85"/>
      <c r="AB60" s="85"/>
      <c r="AC60" s="72"/>
      <c r="AD60" s="72"/>
      <c r="AE60" s="122"/>
      <c r="AF60" s="85"/>
      <c r="AG60" s="85"/>
      <c r="AH60" s="121"/>
      <c r="AI60" s="72"/>
      <c r="AJ60" s="124"/>
      <c r="AK60" s="85"/>
      <c r="AL60" s="85"/>
      <c r="AM60" s="85"/>
      <c r="AN60" s="85"/>
      <c r="AO60" s="85"/>
      <c r="AP60" s="85"/>
      <c r="AQ60" s="85"/>
      <c r="AR60" s="85"/>
      <c r="AS60" s="85"/>
      <c r="AT60" s="74"/>
      <c r="AZ60" s="117"/>
      <c r="BB60" s="117"/>
      <c r="BD60" s="117"/>
      <c r="BF60" s="117"/>
      <c r="BH60" s="117"/>
      <c r="BJ60" s="118"/>
      <c r="BK60" s="120"/>
      <c r="BL60" s="119"/>
      <c r="BM60" s="119"/>
      <c r="BN60" s="119"/>
    </row>
    <row r="61" spans="1:66" s="57" customFormat="1">
      <c r="A61" s="83"/>
      <c r="B61" s="84"/>
      <c r="C61" s="85"/>
      <c r="D61" s="85"/>
      <c r="E61" s="85"/>
      <c r="F61" s="85"/>
      <c r="G61" s="85"/>
      <c r="H61" s="122"/>
      <c r="I61" s="85"/>
      <c r="J61" s="85"/>
      <c r="K61" s="85"/>
      <c r="L61" s="85"/>
      <c r="M61" s="122"/>
      <c r="N61" s="85"/>
      <c r="O61" s="85"/>
      <c r="P61" s="85"/>
      <c r="Q61" s="85"/>
      <c r="R61" s="122"/>
      <c r="S61" s="85"/>
      <c r="T61" s="85"/>
      <c r="U61" s="85"/>
      <c r="V61" s="85"/>
      <c r="W61" s="85"/>
      <c r="X61" s="85"/>
      <c r="Y61" s="72"/>
      <c r="Z61" s="123"/>
      <c r="AA61" s="85"/>
      <c r="AB61" s="85"/>
      <c r="AC61" s="72"/>
      <c r="AD61" s="72"/>
      <c r="AE61" s="122"/>
      <c r="AF61" s="85"/>
      <c r="AG61" s="85"/>
      <c r="AH61" s="121"/>
      <c r="AI61" s="72"/>
      <c r="AJ61" s="124"/>
      <c r="AK61" s="85"/>
      <c r="AL61" s="85"/>
      <c r="AM61" s="85"/>
      <c r="AN61" s="85"/>
      <c r="AO61" s="85"/>
      <c r="AP61" s="85"/>
      <c r="AQ61" s="85"/>
      <c r="AR61" s="85"/>
      <c r="AS61" s="85"/>
      <c r="AT61" s="74"/>
      <c r="AZ61" s="117"/>
      <c r="BB61" s="117"/>
      <c r="BD61" s="117"/>
      <c r="BF61" s="117"/>
      <c r="BH61" s="117"/>
      <c r="BJ61" s="118"/>
      <c r="BK61" s="120"/>
      <c r="BL61" s="119"/>
      <c r="BM61" s="119"/>
      <c r="BN61" s="119"/>
    </row>
    <row r="62" spans="1:66" s="57" customFormat="1">
      <c r="A62" s="83"/>
      <c r="B62" s="84"/>
      <c r="C62" s="85"/>
      <c r="D62" s="85"/>
      <c r="E62" s="85"/>
      <c r="F62" s="85"/>
      <c r="G62" s="85"/>
      <c r="H62" s="122"/>
      <c r="I62" s="85"/>
      <c r="J62" s="85"/>
      <c r="K62" s="85"/>
      <c r="L62" s="85"/>
      <c r="M62" s="122"/>
      <c r="N62" s="85"/>
      <c r="O62" s="85"/>
      <c r="P62" s="85"/>
      <c r="Q62" s="85"/>
      <c r="R62" s="122"/>
      <c r="S62" s="85"/>
      <c r="T62" s="85"/>
      <c r="U62" s="85"/>
      <c r="V62" s="85"/>
      <c r="W62" s="85"/>
      <c r="X62" s="101">
        <f>X7/P7</f>
        <v>1.0772460375590498</v>
      </c>
      <c r="Y62" s="72"/>
      <c r="Z62" s="123"/>
      <c r="AA62" s="85"/>
      <c r="AB62" s="85"/>
      <c r="AC62" s="72"/>
      <c r="AD62" s="72"/>
      <c r="AE62" s="122"/>
      <c r="AF62" s="85"/>
      <c r="AG62" s="85"/>
      <c r="AH62" s="121"/>
      <c r="AI62" s="72"/>
      <c r="AJ62" s="124"/>
      <c r="AK62" s="85"/>
      <c r="AL62" s="85"/>
      <c r="AM62" s="85"/>
      <c r="AN62" s="85"/>
      <c r="AO62" s="85"/>
      <c r="AP62" s="85"/>
      <c r="AQ62" s="85"/>
      <c r="AR62" s="85"/>
      <c r="AS62" s="85"/>
      <c r="AT62" s="74"/>
      <c r="AZ62" s="117"/>
      <c r="BB62" s="117"/>
      <c r="BD62" s="117"/>
      <c r="BF62" s="117"/>
      <c r="BH62" s="117"/>
      <c r="BJ62" s="118"/>
      <c r="BK62" s="120"/>
      <c r="BL62" s="119"/>
      <c r="BM62" s="119"/>
      <c r="BN62" s="119"/>
    </row>
    <row r="63" spans="1:66" s="57" customFormat="1">
      <c r="A63" s="83"/>
      <c r="B63" s="84"/>
      <c r="C63" s="85"/>
      <c r="D63" s="85"/>
      <c r="E63" s="85"/>
      <c r="F63" s="85"/>
      <c r="G63" s="85"/>
      <c r="H63" s="122"/>
      <c r="I63" s="85"/>
      <c r="J63" s="85"/>
      <c r="K63" s="85"/>
      <c r="L63" s="85"/>
      <c r="M63" s="122"/>
      <c r="N63" s="85"/>
      <c r="O63" s="85"/>
      <c r="P63" s="85"/>
      <c r="Q63" s="85"/>
      <c r="R63" s="122"/>
      <c r="S63" s="85"/>
      <c r="T63" s="85"/>
      <c r="U63" s="85"/>
      <c r="V63" s="85"/>
      <c r="W63" s="85"/>
      <c r="X63" s="85"/>
      <c r="Y63" s="72"/>
      <c r="Z63" s="123"/>
      <c r="AA63" s="85"/>
      <c r="AB63" s="85"/>
      <c r="AC63" s="72"/>
      <c r="AD63" s="72"/>
      <c r="AE63" s="122"/>
      <c r="AF63" s="85"/>
      <c r="AG63" s="85"/>
      <c r="AH63" s="121"/>
      <c r="AI63" s="72"/>
      <c r="AJ63" s="124"/>
      <c r="AK63" s="85"/>
      <c r="AL63" s="85"/>
      <c r="AM63" s="85"/>
      <c r="AN63" s="85"/>
      <c r="AO63" s="85"/>
      <c r="AP63" s="85"/>
      <c r="AQ63" s="85"/>
      <c r="AR63" s="85"/>
      <c r="AS63" s="85"/>
      <c r="AT63" s="74"/>
      <c r="AZ63" s="117"/>
      <c r="BB63" s="117"/>
      <c r="BD63" s="117"/>
      <c r="BF63" s="117"/>
      <c r="BH63" s="117"/>
      <c r="BJ63" s="118"/>
      <c r="BK63" s="120"/>
      <c r="BL63" s="119"/>
      <c r="BM63" s="119"/>
      <c r="BN63" s="119"/>
    </row>
    <row r="64" spans="1:66" s="57" customFormat="1">
      <c r="A64" s="83"/>
      <c r="B64" s="84"/>
      <c r="C64" s="85"/>
      <c r="D64" s="85"/>
      <c r="E64" s="85"/>
      <c r="F64" s="85"/>
      <c r="G64" s="85"/>
      <c r="H64" s="122"/>
      <c r="I64" s="85"/>
      <c r="J64" s="85"/>
      <c r="K64" s="85"/>
      <c r="L64" s="85"/>
      <c r="M64" s="122"/>
      <c r="N64" s="85"/>
      <c r="O64" s="85"/>
      <c r="P64" s="85"/>
      <c r="Q64" s="85"/>
      <c r="R64" s="122"/>
      <c r="S64" s="85"/>
      <c r="T64" s="85"/>
      <c r="U64" s="85"/>
      <c r="V64" s="85"/>
      <c r="W64" s="85"/>
      <c r="X64" s="85"/>
      <c r="Y64" s="72"/>
      <c r="Z64" s="123"/>
      <c r="AA64" s="85"/>
      <c r="AB64" s="85"/>
      <c r="AC64" s="72"/>
      <c r="AD64" s="72"/>
      <c r="AE64" s="122"/>
      <c r="AF64" s="85"/>
      <c r="AG64" s="85"/>
      <c r="AH64" s="121"/>
      <c r="AI64" s="72"/>
      <c r="AJ64" s="124"/>
      <c r="AK64" s="85"/>
      <c r="AL64" s="85"/>
      <c r="AM64" s="85"/>
      <c r="AN64" s="85"/>
      <c r="AO64" s="85"/>
      <c r="AP64" s="85"/>
      <c r="AQ64" s="85"/>
      <c r="AR64" s="85"/>
      <c r="AS64" s="85"/>
      <c r="AT64" s="74"/>
      <c r="AZ64" s="117"/>
      <c r="BB64" s="117"/>
      <c r="BD64" s="117"/>
      <c r="BF64" s="117"/>
      <c r="BH64" s="117"/>
      <c r="BJ64" s="118"/>
      <c r="BK64" s="120"/>
      <c r="BL64" s="119"/>
      <c r="BM64" s="119"/>
      <c r="BN64" s="119"/>
    </row>
    <row r="65" spans="1:66" s="57" customFormat="1">
      <c r="A65" s="83"/>
      <c r="B65" s="84"/>
      <c r="C65" s="85"/>
      <c r="D65" s="85"/>
      <c r="E65" s="85"/>
      <c r="F65" s="85"/>
      <c r="G65" s="85"/>
      <c r="H65" s="122"/>
      <c r="I65" s="85"/>
      <c r="J65" s="85"/>
      <c r="K65" s="85"/>
      <c r="L65" s="85"/>
      <c r="M65" s="122"/>
      <c r="N65" s="85"/>
      <c r="O65" s="85"/>
      <c r="P65" s="85"/>
      <c r="Q65" s="85"/>
      <c r="R65" s="122"/>
      <c r="S65" s="85"/>
      <c r="T65" s="85"/>
      <c r="U65" s="85"/>
      <c r="V65" s="85"/>
      <c r="W65" s="85"/>
      <c r="X65" s="85"/>
      <c r="Y65" s="72"/>
      <c r="Z65" s="123"/>
      <c r="AA65" s="85"/>
      <c r="AB65" s="85"/>
      <c r="AC65" s="72"/>
      <c r="AD65" s="72"/>
      <c r="AE65" s="122"/>
      <c r="AF65" s="85"/>
      <c r="AG65" s="85"/>
      <c r="AH65" s="121"/>
      <c r="AI65" s="72"/>
      <c r="AJ65" s="124"/>
      <c r="AK65" s="85"/>
      <c r="AL65" s="85"/>
      <c r="AM65" s="85"/>
      <c r="AN65" s="85"/>
      <c r="AO65" s="85"/>
      <c r="AP65" s="85"/>
      <c r="AQ65" s="85"/>
      <c r="AR65" s="85"/>
      <c r="AS65" s="85"/>
      <c r="AT65" s="74"/>
      <c r="AZ65" s="117"/>
      <c r="BB65" s="117"/>
      <c r="BD65" s="117"/>
      <c r="BF65" s="117"/>
      <c r="BH65" s="117"/>
      <c r="BJ65" s="118"/>
      <c r="BK65" s="120"/>
      <c r="BL65" s="119"/>
      <c r="BM65" s="119"/>
      <c r="BN65" s="119"/>
    </row>
    <row r="66" spans="1:66" s="57" customFormat="1">
      <c r="A66" s="83"/>
      <c r="B66" s="84"/>
      <c r="C66" s="85"/>
      <c r="D66" s="85"/>
      <c r="E66" s="85"/>
      <c r="F66" s="85"/>
      <c r="G66" s="85"/>
      <c r="H66" s="122"/>
      <c r="I66" s="85"/>
      <c r="J66" s="85"/>
      <c r="K66" s="85"/>
      <c r="L66" s="85"/>
      <c r="M66" s="122"/>
      <c r="N66" s="85"/>
      <c r="O66" s="85"/>
      <c r="P66" s="85"/>
      <c r="Q66" s="85"/>
      <c r="R66" s="122"/>
      <c r="S66" s="85"/>
      <c r="T66" s="85"/>
      <c r="U66" s="85"/>
      <c r="V66" s="85"/>
      <c r="W66" s="85"/>
      <c r="X66" s="85">
        <f>X7-P7</f>
        <v>1335714.849333331</v>
      </c>
      <c r="Y66" s="72"/>
      <c r="Z66" s="3851"/>
      <c r="AA66" s="85"/>
      <c r="AB66" s="85"/>
      <c r="AC66" s="72"/>
      <c r="AD66" s="72"/>
      <c r="AE66" s="122"/>
      <c r="AF66" s="85"/>
      <c r="AG66" s="85"/>
      <c r="AH66" s="121"/>
      <c r="AI66" s="72"/>
      <c r="AJ66" s="124"/>
      <c r="AK66" s="85"/>
      <c r="AL66" s="85"/>
      <c r="AM66" s="85"/>
      <c r="AN66" s="85"/>
      <c r="AO66" s="85"/>
      <c r="AP66" s="85"/>
      <c r="AQ66" s="85"/>
      <c r="AR66" s="85"/>
      <c r="AS66" s="85"/>
      <c r="AT66" s="74"/>
      <c r="AZ66" s="117"/>
      <c r="BB66" s="117"/>
      <c r="BD66" s="117"/>
      <c r="BF66" s="117"/>
      <c r="BH66" s="117"/>
      <c r="BJ66" s="118"/>
      <c r="BK66" s="120"/>
      <c r="BL66" s="119"/>
      <c r="BM66" s="119"/>
      <c r="BN66" s="119"/>
    </row>
    <row r="67" spans="1:66" s="57" customFormat="1">
      <c r="A67" s="83"/>
      <c r="B67" s="84"/>
      <c r="C67" s="85"/>
      <c r="D67" s="85"/>
      <c r="E67" s="85"/>
      <c r="F67" s="85"/>
      <c r="G67" s="85"/>
      <c r="H67" s="122"/>
      <c r="I67" s="85"/>
      <c r="J67" s="85"/>
      <c r="K67" s="85"/>
      <c r="L67" s="85"/>
      <c r="M67" s="122"/>
      <c r="N67" s="85"/>
      <c r="O67" s="85"/>
      <c r="P67" s="85"/>
      <c r="Q67" s="85"/>
      <c r="R67" s="122"/>
      <c r="S67" s="85"/>
      <c r="T67" s="85"/>
      <c r="U67" s="85"/>
      <c r="V67" s="85"/>
      <c r="W67" s="85"/>
      <c r="X67" s="2074">
        <f>X9/P9</f>
        <v>1.2034188239965475</v>
      </c>
      <c r="Y67" s="72"/>
      <c r="Z67" s="123">
        <f>X9-P9</f>
        <v>832186.40896987636</v>
      </c>
      <c r="AA67" s="85"/>
      <c r="AB67" s="85"/>
      <c r="AC67" s="72"/>
      <c r="AD67" s="72"/>
      <c r="AE67" s="122"/>
      <c r="AF67" s="85"/>
      <c r="AG67" s="85"/>
      <c r="AH67" s="121"/>
      <c r="AI67" s="72"/>
      <c r="AJ67" s="124"/>
      <c r="AK67" s="85"/>
      <c r="AL67" s="85"/>
      <c r="AM67" s="85"/>
      <c r="AN67" s="85"/>
      <c r="AO67" s="85"/>
      <c r="AP67" s="85"/>
      <c r="AQ67" s="85"/>
      <c r="AR67" s="85"/>
      <c r="AS67" s="85"/>
      <c r="AT67" s="74"/>
      <c r="AZ67" s="117"/>
      <c r="BB67" s="117"/>
      <c r="BD67" s="117"/>
      <c r="BF67" s="117"/>
      <c r="BH67" s="117"/>
      <c r="BJ67" s="118"/>
      <c r="BK67" s="120"/>
      <c r="BL67" s="119"/>
      <c r="BM67" s="119"/>
      <c r="BN67" s="119"/>
    </row>
    <row r="68" spans="1:66" s="57" customFormat="1">
      <c r="A68" s="83"/>
      <c r="B68" s="84"/>
      <c r="C68" s="85"/>
      <c r="D68" s="85"/>
      <c r="E68" s="85"/>
      <c r="F68" s="85"/>
      <c r="G68" s="85"/>
      <c r="H68" s="122"/>
      <c r="I68" s="85"/>
      <c r="J68" s="85"/>
      <c r="K68" s="85"/>
      <c r="L68" s="85"/>
      <c r="M68" s="122"/>
      <c r="N68" s="85"/>
      <c r="O68" s="85"/>
      <c r="P68" s="85"/>
      <c r="Q68" s="85"/>
      <c r="R68" s="122"/>
      <c r="S68" s="85"/>
      <c r="T68" s="85"/>
      <c r="U68" s="85"/>
      <c r="V68" s="85"/>
      <c r="W68" s="85"/>
      <c r="X68" s="85"/>
      <c r="Y68" s="72"/>
      <c r="Z68" s="123"/>
      <c r="AA68" s="85"/>
      <c r="AB68" s="85"/>
      <c r="AC68" s="72"/>
      <c r="AD68" s="72"/>
      <c r="AE68" s="122"/>
      <c r="AF68" s="85"/>
      <c r="AG68" s="85"/>
      <c r="AH68" s="121"/>
      <c r="AI68" s="72"/>
      <c r="AJ68" s="124"/>
      <c r="AK68" s="85"/>
      <c r="AL68" s="85"/>
      <c r="AM68" s="85"/>
      <c r="AN68" s="85"/>
      <c r="AO68" s="85"/>
      <c r="AP68" s="85"/>
      <c r="AQ68" s="85"/>
      <c r="AR68" s="85"/>
      <c r="AS68" s="85"/>
      <c r="AT68" s="74"/>
      <c r="AZ68" s="117"/>
      <c r="BB68" s="117"/>
      <c r="BD68" s="117"/>
      <c r="BF68" s="117"/>
      <c r="BH68" s="117"/>
      <c r="BJ68" s="118"/>
      <c r="BK68" s="120"/>
      <c r="BL68" s="119"/>
      <c r="BM68" s="119"/>
      <c r="BN68" s="119"/>
    </row>
    <row r="69" spans="1:66" s="57" customFormat="1">
      <c r="A69" s="83"/>
      <c r="B69" s="84"/>
      <c r="C69" s="85"/>
      <c r="D69" s="85"/>
      <c r="E69" s="85"/>
      <c r="F69" s="85"/>
      <c r="G69" s="85"/>
      <c r="H69" s="122"/>
      <c r="I69" s="85"/>
      <c r="J69" s="85"/>
      <c r="K69" s="85"/>
      <c r="L69" s="85"/>
      <c r="M69" s="122"/>
      <c r="N69" s="85"/>
      <c r="O69" s="85"/>
      <c r="P69" s="85"/>
      <c r="Q69" s="85"/>
      <c r="R69" s="122"/>
      <c r="S69" s="85"/>
      <c r="T69" s="85"/>
      <c r="U69" s="85"/>
      <c r="V69" s="85"/>
      <c r="W69" s="85"/>
      <c r="X69" s="85"/>
      <c r="Y69" s="72"/>
      <c r="Z69" s="3851">
        <f>X11/P11</f>
        <v>1.6388888888888888</v>
      </c>
      <c r="AA69" s="85"/>
      <c r="AB69" s="85"/>
      <c r="AC69" s="72"/>
      <c r="AD69" s="72"/>
      <c r="AE69" s="122"/>
      <c r="AF69" s="85"/>
      <c r="AG69" s="85"/>
      <c r="AH69" s="121"/>
      <c r="AI69" s="72"/>
      <c r="AJ69" s="124"/>
      <c r="AK69" s="85"/>
      <c r="AL69" s="85"/>
      <c r="AM69" s="85"/>
      <c r="AN69" s="85"/>
      <c r="AO69" s="85"/>
      <c r="AP69" s="85"/>
      <c r="AQ69" s="85"/>
      <c r="AR69" s="85"/>
      <c r="AS69" s="85"/>
      <c r="AT69" s="74"/>
      <c r="AZ69" s="117"/>
      <c r="BB69" s="117"/>
      <c r="BD69" s="117"/>
      <c r="BF69" s="117"/>
      <c r="BH69" s="117"/>
      <c r="BJ69" s="118"/>
      <c r="BK69" s="120"/>
      <c r="BL69" s="119"/>
      <c r="BM69" s="119"/>
      <c r="BN69" s="119"/>
    </row>
    <row r="70" spans="1:66" s="57" customFormat="1">
      <c r="A70" s="83"/>
      <c r="B70" s="84"/>
      <c r="C70" s="85"/>
      <c r="D70" s="85"/>
      <c r="E70" s="85"/>
      <c r="F70" s="85"/>
      <c r="G70" s="85"/>
      <c r="H70" s="122"/>
      <c r="I70" s="85"/>
      <c r="J70" s="85"/>
      <c r="K70" s="85"/>
      <c r="L70" s="85"/>
      <c r="M70" s="122"/>
      <c r="N70" s="85"/>
      <c r="O70" s="85"/>
      <c r="P70" s="85"/>
      <c r="Q70" s="85"/>
      <c r="R70" s="122"/>
      <c r="S70" s="85"/>
      <c r="T70" s="85"/>
      <c r="U70" s="85"/>
      <c r="V70" s="85"/>
      <c r="W70" s="85"/>
      <c r="X70" s="85"/>
      <c r="Y70" s="72"/>
      <c r="Z70" s="123"/>
      <c r="AA70" s="85"/>
      <c r="AB70" s="85"/>
      <c r="AC70" s="72"/>
      <c r="AD70" s="72"/>
      <c r="AE70" s="122"/>
      <c r="AF70" s="85"/>
      <c r="AG70" s="85"/>
      <c r="AH70" s="121"/>
      <c r="AI70" s="72"/>
      <c r="AJ70" s="124"/>
      <c r="AK70" s="85"/>
      <c r="AL70" s="85"/>
      <c r="AM70" s="85"/>
      <c r="AN70" s="85"/>
      <c r="AO70" s="85"/>
      <c r="AP70" s="85"/>
      <c r="AQ70" s="85"/>
      <c r="AR70" s="85"/>
      <c r="AS70" s="85"/>
      <c r="AT70" s="74"/>
      <c r="AZ70" s="117"/>
      <c r="BB70" s="117"/>
      <c r="BD70" s="117"/>
      <c r="BF70" s="117"/>
      <c r="BH70" s="117"/>
      <c r="BJ70" s="118"/>
      <c r="BK70" s="120"/>
      <c r="BL70" s="119"/>
      <c r="BM70" s="119"/>
      <c r="BN70" s="119"/>
    </row>
    <row r="71" spans="1:66" s="57" customFormat="1">
      <c r="A71" s="83"/>
      <c r="B71" s="84"/>
      <c r="C71" s="85"/>
      <c r="D71" s="85"/>
      <c r="E71" s="85"/>
      <c r="F71" s="85"/>
      <c r="G71" s="85"/>
      <c r="H71" s="122"/>
      <c r="I71" s="85"/>
      <c r="J71" s="85"/>
      <c r="K71" s="85"/>
      <c r="L71" s="85"/>
      <c r="M71" s="122"/>
      <c r="N71" s="85"/>
      <c r="O71" s="85"/>
      <c r="P71" s="85"/>
      <c r="Q71" s="85"/>
      <c r="R71" s="122"/>
      <c r="S71" s="85"/>
      <c r="T71" s="85"/>
      <c r="U71" s="85"/>
      <c r="V71" s="85"/>
      <c r="W71" s="85"/>
      <c r="X71" s="85"/>
      <c r="Y71" s="72"/>
      <c r="Z71" s="123"/>
      <c r="AA71" s="85"/>
      <c r="AB71" s="85"/>
      <c r="AC71" s="72"/>
      <c r="AD71" s="72"/>
      <c r="AE71" s="122"/>
      <c r="AF71" s="85"/>
      <c r="AG71" s="85"/>
      <c r="AH71" s="121"/>
      <c r="AI71" s="72"/>
      <c r="AJ71" s="124"/>
      <c r="AK71" s="85"/>
      <c r="AL71" s="85"/>
      <c r="AM71" s="85"/>
      <c r="AN71" s="85"/>
      <c r="AO71" s="85"/>
      <c r="AP71" s="85"/>
      <c r="AQ71" s="85"/>
      <c r="AR71" s="85"/>
      <c r="AS71" s="85"/>
      <c r="AT71" s="74"/>
      <c r="AZ71" s="117"/>
      <c r="BB71" s="117"/>
      <c r="BD71" s="117"/>
      <c r="BF71" s="117"/>
      <c r="BH71" s="117"/>
      <c r="BJ71" s="118"/>
      <c r="BK71" s="120"/>
      <c r="BL71" s="119"/>
      <c r="BM71" s="119"/>
      <c r="BN71" s="119"/>
    </row>
    <row r="72" spans="1:66" s="57" customFormat="1">
      <c r="A72" s="83"/>
      <c r="B72" s="84"/>
      <c r="C72" s="85"/>
      <c r="D72" s="85"/>
      <c r="E72" s="85"/>
      <c r="F72" s="85"/>
      <c r="G72" s="85"/>
      <c r="H72" s="122"/>
      <c r="I72" s="85"/>
      <c r="J72" s="85"/>
      <c r="K72" s="85"/>
      <c r="L72" s="85"/>
      <c r="M72" s="122"/>
      <c r="N72" s="85"/>
      <c r="O72" s="85"/>
      <c r="P72" s="85"/>
      <c r="Q72" s="85"/>
      <c r="R72" s="122"/>
      <c r="S72" s="85"/>
      <c r="T72" s="85"/>
      <c r="U72" s="85"/>
      <c r="V72" s="85"/>
      <c r="W72" s="85"/>
      <c r="X72" s="85"/>
      <c r="Y72" s="72"/>
      <c r="Z72" s="123"/>
      <c r="AA72" s="85"/>
      <c r="AB72" s="85"/>
      <c r="AC72" s="72"/>
      <c r="AD72" s="72"/>
      <c r="AE72" s="122"/>
      <c r="AF72" s="85"/>
      <c r="AG72" s="85"/>
      <c r="AH72" s="121"/>
      <c r="AI72" s="72"/>
      <c r="AJ72" s="124"/>
      <c r="AK72" s="85"/>
      <c r="AL72" s="85"/>
      <c r="AM72" s="85"/>
      <c r="AN72" s="85"/>
      <c r="AO72" s="85"/>
      <c r="AP72" s="85"/>
      <c r="AQ72" s="85"/>
      <c r="AR72" s="85"/>
      <c r="AS72" s="85"/>
      <c r="AT72" s="74"/>
      <c r="AZ72" s="117"/>
      <c r="BB72" s="117"/>
      <c r="BD72" s="117"/>
      <c r="BF72" s="117"/>
      <c r="BH72" s="117"/>
      <c r="BJ72" s="118"/>
      <c r="BK72" s="120"/>
      <c r="BL72" s="119"/>
      <c r="BM72" s="119"/>
      <c r="BN72" s="119"/>
    </row>
    <row r="73" spans="1:66" s="57" customFormat="1">
      <c r="A73" s="83"/>
      <c r="B73" s="84"/>
      <c r="C73" s="85"/>
      <c r="D73" s="85"/>
      <c r="E73" s="85"/>
      <c r="F73" s="85"/>
      <c r="G73" s="85"/>
      <c r="H73" s="122"/>
      <c r="I73" s="85"/>
      <c r="J73" s="85"/>
      <c r="K73" s="85"/>
      <c r="L73" s="85"/>
      <c r="M73" s="122"/>
      <c r="N73" s="85"/>
      <c r="O73" s="85"/>
      <c r="P73" s="85"/>
      <c r="Q73" s="85"/>
      <c r="R73" s="122"/>
      <c r="S73" s="85"/>
      <c r="T73" s="85"/>
      <c r="U73" s="85"/>
      <c r="V73" s="85"/>
      <c r="W73" s="85"/>
      <c r="X73" s="85"/>
      <c r="Y73" s="72"/>
      <c r="Z73" s="123"/>
      <c r="AA73" s="85"/>
      <c r="AB73" s="85"/>
      <c r="AC73" s="72"/>
      <c r="AD73" s="72"/>
      <c r="AE73" s="122"/>
      <c r="AF73" s="85"/>
      <c r="AG73" s="85"/>
      <c r="AH73" s="121"/>
      <c r="AI73" s="72"/>
      <c r="AJ73" s="124"/>
      <c r="AK73" s="85"/>
      <c r="AL73" s="85"/>
      <c r="AM73" s="85"/>
      <c r="AN73" s="85"/>
      <c r="AO73" s="85"/>
      <c r="AP73" s="85"/>
      <c r="AQ73" s="85"/>
      <c r="AR73" s="85"/>
      <c r="AS73" s="85"/>
      <c r="AT73" s="74"/>
      <c r="AZ73" s="117"/>
      <c r="BB73" s="117"/>
      <c r="BD73" s="117"/>
      <c r="BF73" s="117"/>
      <c r="BH73" s="117"/>
      <c r="BJ73" s="118"/>
      <c r="BK73" s="120"/>
      <c r="BL73" s="119"/>
      <c r="BM73" s="119"/>
      <c r="BN73" s="119"/>
    </row>
    <row r="74" spans="1:66" s="57" customFormat="1">
      <c r="A74" s="83"/>
      <c r="B74" s="84"/>
      <c r="C74" s="85"/>
      <c r="D74" s="85"/>
      <c r="E74" s="85"/>
      <c r="F74" s="85"/>
      <c r="G74" s="85"/>
      <c r="H74" s="122"/>
      <c r="I74" s="85"/>
      <c r="J74" s="85"/>
      <c r="K74" s="85"/>
      <c r="L74" s="85"/>
      <c r="M74" s="122"/>
      <c r="N74" s="85"/>
      <c r="O74" s="85"/>
      <c r="P74" s="85"/>
      <c r="Q74" s="85"/>
      <c r="R74" s="122"/>
      <c r="S74" s="85"/>
      <c r="T74" s="85"/>
      <c r="U74" s="85"/>
      <c r="V74" s="85"/>
      <c r="W74" s="85"/>
      <c r="X74" s="85"/>
      <c r="Y74" s="72"/>
      <c r="Z74" s="123"/>
      <c r="AA74" s="85"/>
      <c r="AB74" s="85"/>
      <c r="AC74" s="72"/>
      <c r="AD74" s="72"/>
      <c r="AE74" s="122"/>
      <c r="AF74" s="85"/>
      <c r="AG74" s="85"/>
      <c r="AH74" s="121"/>
      <c r="AI74" s="72"/>
      <c r="AJ74" s="124"/>
      <c r="AK74" s="85"/>
      <c r="AL74" s="85"/>
      <c r="AM74" s="85"/>
      <c r="AN74" s="85"/>
      <c r="AO74" s="85"/>
      <c r="AP74" s="85"/>
      <c r="AQ74" s="85"/>
      <c r="AR74" s="85"/>
      <c r="AS74" s="85"/>
      <c r="AT74" s="74"/>
      <c r="AZ74" s="117"/>
      <c r="BB74" s="117"/>
      <c r="BD74" s="117"/>
      <c r="BF74" s="117"/>
      <c r="BH74" s="117"/>
      <c r="BJ74" s="118"/>
      <c r="BK74" s="120"/>
      <c r="BL74" s="119"/>
      <c r="BM74" s="119"/>
      <c r="BN74" s="119"/>
    </row>
    <row r="75" spans="1:66" s="57" customFormat="1">
      <c r="A75" s="83"/>
      <c r="B75" s="84"/>
      <c r="C75" s="85"/>
      <c r="D75" s="85"/>
      <c r="E75" s="85"/>
      <c r="F75" s="85"/>
      <c r="G75" s="85"/>
      <c r="H75" s="122"/>
      <c r="I75" s="85"/>
      <c r="J75" s="85"/>
      <c r="K75" s="85"/>
      <c r="L75" s="85"/>
      <c r="M75" s="122"/>
      <c r="N75" s="85"/>
      <c r="O75" s="85"/>
      <c r="P75" s="85"/>
      <c r="Q75" s="85"/>
      <c r="R75" s="122"/>
      <c r="S75" s="85"/>
      <c r="T75" s="85"/>
      <c r="U75" s="85"/>
      <c r="V75" s="85"/>
      <c r="W75" s="85"/>
      <c r="X75" s="85"/>
      <c r="Y75" s="72"/>
      <c r="Z75" s="123"/>
      <c r="AA75" s="85"/>
      <c r="AB75" s="85"/>
      <c r="AC75" s="72"/>
      <c r="AD75" s="72"/>
      <c r="AE75" s="122"/>
      <c r="AF75" s="85"/>
      <c r="AG75" s="85"/>
      <c r="AH75" s="121"/>
      <c r="AI75" s="72"/>
      <c r="AJ75" s="124"/>
      <c r="AK75" s="85"/>
      <c r="AL75" s="85"/>
      <c r="AM75" s="85"/>
      <c r="AN75" s="85"/>
      <c r="AO75" s="85"/>
      <c r="AP75" s="85"/>
      <c r="AQ75" s="85"/>
      <c r="AR75" s="85"/>
      <c r="AS75" s="85"/>
      <c r="AT75" s="74"/>
      <c r="AZ75" s="117"/>
      <c r="BB75" s="117"/>
      <c r="BD75" s="117"/>
      <c r="BF75" s="117"/>
      <c r="BH75" s="117"/>
      <c r="BJ75" s="118"/>
      <c r="BK75" s="120"/>
      <c r="BL75" s="119"/>
      <c r="BM75" s="119"/>
      <c r="BN75" s="119"/>
    </row>
    <row r="76" spans="1:66" s="57" customFormat="1">
      <c r="A76" s="83"/>
      <c r="B76" s="84"/>
      <c r="C76" s="85"/>
      <c r="D76" s="85"/>
      <c r="E76" s="85"/>
      <c r="F76" s="85"/>
      <c r="G76" s="85"/>
      <c r="H76" s="122"/>
      <c r="I76" s="85"/>
      <c r="J76" s="85"/>
      <c r="K76" s="85"/>
      <c r="L76" s="85"/>
      <c r="M76" s="122"/>
      <c r="N76" s="85"/>
      <c r="O76" s="85"/>
      <c r="P76" s="85"/>
      <c r="Q76" s="85"/>
      <c r="R76" s="122"/>
      <c r="S76" s="85"/>
      <c r="T76" s="85"/>
      <c r="U76" s="85"/>
      <c r="V76" s="85"/>
      <c r="W76" s="85"/>
      <c r="X76" s="85"/>
      <c r="Y76" s="72"/>
      <c r="Z76" s="123"/>
      <c r="AA76" s="85"/>
      <c r="AB76" s="85"/>
      <c r="AC76" s="72"/>
      <c r="AD76" s="72"/>
      <c r="AE76" s="122"/>
      <c r="AF76" s="85"/>
      <c r="AG76" s="85"/>
      <c r="AH76" s="121"/>
      <c r="AI76" s="72"/>
      <c r="AJ76" s="124"/>
      <c r="AK76" s="85"/>
      <c r="AL76" s="85"/>
      <c r="AM76" s="85"/>
      <c r="AN76" s="85"/>
      <c r="AO76" s="85"/>
      <c r="AP76" s="85"/>
      <c r="AQ76" s="85"/>
      <c r="AR76" s="85"/>
      <c r="AS76" s="85"/>
      <c r="AT76" s="74"/>
      <c r="AZ76" s="117"/>
      <c r="BB76" s="117"/>
      <c r="BD76" s="117"/>
      <c r="BF76" s="117"/>
      <c r="BH76" s="117"/>
      <c r="BJ76" s="118"/>
      <c r="BK76" s="120"/>
      <c r="BL76" s="119"/>
      <c r="BM76" s="119"/>
      <c r="BN76" s="119"/>
    </row>
    <row r="77" spans="1:66" s="57" customFormat="1">
      <c r="A77" s="83"/>
      <c r="B77" s="84"/>
      <c r="C77" s="85"/>
      <c r="D77" s="85"/>
      <c r="E77" s="85"/>
      <c r="F77" s="85"/>
      <c r="G77" s="85"/>
      <c r="H77" s="122"/>
      <c r="I77" s="85"/>
      <c r="J77" s="85"/>
      <c r="K77" s="85"/>
      <c r="L77" s="85"/>
      <c r="M77" s="122"/>
      <c r="N77" s="85"/>
      <c r="O77" s="85"/>
      <c r="P77" s="85"/>
      <c r="Q77" s="85"/>
      <c r="R77" s="122"/>
      <c r="S77" s="85"/>
      <c r="T77" s="85"/>
      <c r="U77" s="85"/>
      <c r="V77" s="85"/>
      <c r="W77" s="85"/>
      <c r="X77" s="85"/>
      <c r="Y77" s="72"/>
      <c r="Z77" s="123"/>
      <c r="AA77" s="85"/>
      <c r="AB77" s="85"/>
      <c r="AC77" s="72"/>
      <c r="AD77" s="72"/>
      <c r="AE77" s="122"/>
      <c r="AF77" s="85"/>
      <c r="AG77" s="85"/>
      <c r="AH77" s="121"/>
      <c r="AI77" s="72"/>
      <c r="AJ77" s="124"/>
      <c r="AK77" s="85"/>
      <c r="AL77" s="85"/>
      <c r="AM77" s="85"/>
      <c r="AN77" s="85"/>
      <c r="AO77" s="85"/>
      <c r="AP77" s="85"/>
      <c r="AQ77" s="85"/>
      <c r="AR77" s="85"/>
      <c r="AS77" s="85"/>
      <c r="AT77" s="74"/>
      <c r="AZ77" s="117"/>
      <c r="BB77" s="117"/>
      <c r="BD77" s="117"/>
      <c r="BF77" s="117"/>
      <c r="BH77" s="117"/>
      <c r="BJ77" s="118"/>
      <c r="BK77" s="120"/>
      <c r="BL77" s="119"/>
      <c r="BM77" s="119"/>
      <c r="BN77" s="119"/>
    </row>
    <row r="78" spans="1:66" s="57" customFormat="1">
      <c r="A78" s="83"/>
      <c r="B78" s="84"/>
      <c r="C78" s="85"/>
      <c r="D78" s="85"/>
      <c r="E78" s="85"/>
      <c r="F78" s="85"/>
      <c r="G78" s="85"/>
      <c r="H78" s="122"/>
      <c r="I78" s="85"/>
      <c r="J78" s="85"/>
      <c r="K78" s="85"/>
      <c r="L78" s="85"/>
      <c r="M78" s="122"/>
      <c r="N78" s="85"/>
      <c r="O78" s="85"/>
      <c r="P78" s="85"/>
      <c r="Q78" s="85"/>
      <c r="R78" s="122"/>
      <c r="S78" s="85"/>
      <c r="T78" s="85"/>
      <c r="U78" s="85"/>
      <c r="V78" s="85"/>
      <c r="W78" s="85"/>
      <c r="X78" s="85"/>
      <c r="Y78" s="72"/>
      <c r="Z78" s="123"/>
      <c r="AA78" s="85"/>
      <c r="AB78" s="85"/>
      <c r="AC78" s="72"/>
      <c r="AD78" s="72"/>
      <c r="AE78" s="122"/>
      <c r="AF78" s="85"/>
      <c r="AG78" s="85"/>
      <c r="AH78" s="121"/>
      <c r="AI78" s="72"/>
      <c r="AJ78" s="124"/>
      <c r="AK78" s="85"/>
      <c r="AL78" s="85"/>
      <c r="AM78" s="85"/>
      <c r="AN78" s="85"/>
      <c r="AO78" s="85"/>
      <c r="AP78" s="85"/>
      <c r="AQ78" s="85"/>
      <c r="AR78" s="85"/>
      <c r="AS78" s="85"/>
      <c r="AT78" s="74"/>
      <c r="AZ78" s="117"/>
      <c r="BB78" s="117"/>
      <c r="BD78" s="117"/>
      <c r="BF78" s="117"/>
      <c r="BH78" s="117"/>
      <c r="BJ78" s="118"/>
      <c r="BK78" s="120"/>
      <c r="BL78" s="119"/>
      <c r="BM78" s="119"/>
      <c r="BN78" s="119"/>
    </row>
    <row r="79" spans="1:66" s="57" customFormat="1">
      <c r="A79" s="83"/>
      <c r="B79" s="84"/>
      <c r="C79" s="85"/>
      <c r="D79" s="85"/>
      <c r="E79" s="85"/>
      <c r="F79" s="85"/>
      <c r="G79" s="85"/>
      <c r="H79" s="122"/>
      <c r="I79" s="85"/>
      <c r="J79" s="85"/>
      <c r="K79" s="85"/>
      <c r="L79" s="85"/>
      <c r="M79" s="122"/>
      <c r="N79" s="85"/>
      <c r="O79" s="85"/>
      <c r="P79" s="85"/>
      <c r="Q79" s="85"/>
      <c r="R79" s="122"/>
      <c r="S79" s="85"/>
      <c r="T79" s="85"/>
      <c r="U79" s="85"/>
      <c r="V79" s="85"/>
      <c r="W79" s="85"/>
      <c r="X79" s="85"/>
      <c r="Y79" s="72"/>
      <c r="Z79" s="123"/>
      <c r="AA79" s="85"/>
      <c r="AB79" s="85"/>
      <c r="AC79" s="72"/>
      <c r="AD79" s="72"/>
      <c r="AE79" s="122"/>
      <c r="AF79" s="85"/>
      <c r="AG79" s="85"/>
      <c r="AH79" s="121"/>
      <c r="AI79" s="72"/>
      <c r="AJ79" s="124"/>
      <c r="AK79" s="85"/>
      <c r="AL79" s="85"/>
      <c r="AM79" s="85"/>
      <c r="AN79" s="85"/>
      <c r="AO79" s="85"/>
      <c r="AP79" s="85"/>
      <c r="AQ79" s="85"/>
      <c r="AR79" s="85"/>
      <c r="AS79" s="85"/>
      <c r="AT79" s="74"/>
      <c r="AZ79" s="117"/>
      <c r="BB79" s="117"/>
      <c r="BD79" s="117"/>
      <c r="BF79" s="117"/>
      <c r="BH79" s="117"/>
      <c r="BJ79" s="118"/>
      <c r="BK79" s="120"/>
      <c r="BL79" s="119"/>
      <c r="BM79" s="119"/>
      <c r="BN79" s="119"/>
    </row>
    <row r="80" spans="1:66" s="57" customFormat="1">
      <c r="A80" s="83"/>
      <c r="B80" s="84"/>
      <c r="C80" s="85"/>
      <c r="D80" s="85"/>
      <c r="E80" s="85"/>
      <c r="F80" s="85"/>
      <c r="G80" s="85"/>
      <c r="H80" s="122"/>
      <c r="I80" s="85"/>
      <c r="J80" s="85"/>
      <c r="K80" s="85"/>
      <c r="L80" s="85"/>
      <c r="M80" s="122"/>
      <c r="N80" s="85"/>
      <c r="O80" s="85"/>
      <c r="P80" s="85"/>
      <c r="Q80" s="85"/>
      <c r="R80" s="122"/>
      <c r="S80" s="85"/>
      <c r="T80" s="85"/>
      <c r="U80" s="85"/>
      <c r="V80" s="85"/>
      <c r="W80" s="85"/>
      <c r="X80" s="85"/>
      <c r="Y80" s="72"/>
      <c r="Z80" s="123"/>
      <c r="AA80" s="85"/>
      <c r="AB80" s="85"/>
      <c r="AC80" s="72"/>
      <c r="AD80" s="72"/>
      <c r="AE80" s="122"/>
      <c r="AF80" s="85"/>
      <c r="AG80" s="85"/>
      <c r="AH80" s="121"/>
      <c r="AI80" s="72"/>
      <c r="AJ80" s="124"/>
      <c r="AK80" s="85"/>
      <c r="AL80" s="85"/>
      <c r="AM80" s="85"/>
      <c r="AN80" s="85"/>
      <c r="AO80" s="85"/>
      <c r="AP80" s="85"/>
      <c r="AQ80" s="85"/>
      <c r="AR80" s="85"/>
      <c r="AS80" s="85"/>
      <c r="AT80" s="74"/>
      <c r="AZ80" s="117"/>
      <c r="BB80" s="117"/>
      <c r="BD80" s="117"/>
      <c r="BF80" s="117"/>
      <c r="BH80" s="117"/>
      <c r="BJ80" s="118"/>
      <c r="BK80" s="120"/>
      <c r="BL80" s="119"/>
      <c r="BM80" s="119"/>
      <c r="BN80" s="119"/>
    </row>
    <row r="81" spans="1:66" s="57" customFormat="1">
      <c r="A81" s="83"/>
      <c r="B81" s="84"/>
      <c r="C81" s="85"/>
      <c r="D81" s="85"/>
      <c r="E81" s="85"/>
      <c r="F81" s="85"/>
      <c r="G81" s="85"/>
      <c r="H81" s="122"/>
      <c r="I81" s="85"/>
      <c r="J81" s="85"/>
      <c r="K81" s="85"/>
      <c r="L81" s="85"/>
      <c r="M81" s="122"/>
      <c r="N81" s="85"/>
      <c r="O81" s="85"/>
      <c r="P81" s="85"/>
      <c r="Q81" s="85"/>
      <c r="R81" s="122"/>
      <c r="S81" s="85"/>
      <c r="T81" s="85"/>
      <c r="U81" s="85"/>
      <c r="V81" s="85"/>
      <c r="W81" s="85"/>
      <c r="X81" s="85"/>
      <c r="Y81" s="72"/>
      <c r="Z81" s="123"/>
      <c r="AA81" s="85"/>
      <c r="AB81" s="85"/>
      <c r="AC81" s="72"/>
      <c r="AD81" s="72"/>
      <c r="AE81" s="122"/>
      <c r="AF81" s="85"/>
      <c r="AG81" s="85"/>
      <c r="AH81" s="121"/>
      <c r="AI81" s="72"/>
      <c r="AJ81" s="124"/>
      <c r="AK81" s="85"/>
      <c r="AL81" s="85"/>
      <c r="AM81" s="85"/>
      <c r="AN81" s="85"/>
      <c r="AO81" s="85"/>
      <c r="AP81" s="85"/>
      <c r="AQ81" s="85"/>
      <c r="AR81" s="85"/>
      <c r="AS81" s="85"/>
      <c r="AT81" s="74"/>
      <c r="AZ81" s="117"/>
      <c r="BB81" s="117"/>
      <c r="BD81" s="117"/>
      <c r="BF81" s="117"/>
      <c r="BH81" s="117"/>
      <c r="BJ81" s="118"/>
      <c r="BK81" s="120"/>
      <c r="BL81" s="119"/>
      <c r="BM81" s="119"/>
      <c r="BN81" s="119"/>
    </row>
    <row r="82" spans="1:66" s="57" customFormat="1">
      <c r="A82" s="83"/>
      <c r="B82" s="84"/>
      <c r="C82" s="85"/>
      <c r="D82" s="85"/>
      <c r="E82" s="85"/>
      <c r="F82" s="85"/>
      <c r="G82" s="85"/>
      <c r="H82" s="122"/>
      <c r="I82" s="85"/>
      <c r="J82" s="85"/>
      <c r="K82" s="85"/>
      <c r="L82" s="85"/>
      <c r="M82" s="122"/>
      <c r="N82" s="85"/>
      <c r="O82" s="85"/>
      <c r="P82" s="85"/>
      <c r="Q82" s="85"/>
      <c r="R82" s="122"/>
      <c r="S82" s="85"/>
      <c r="T82" s="85"/>
      <c r="U82" s="85"/>
      <c r="V82" s="85"/>
      <c r="W82" s="85"/>
      <c r="X82" s="85"/>
      <c r="Y82" s="72"/>
      <c r="Z82" s="123"/>
      <c r="AA82" s="85"/>
      <c r="AB82" s="85"/>
      <c r="AC82" s="72"/>
      <c r="AD82" s="72"/>
      <c r="AE82" s="122"/>
      <c r="AF82" s="85"/>
      <c r="AG82" s="85"/>
      <c r="AH82" s="121"/>
      <c r="AI82" s="72"/>
      <c r="AJ82" s="124"/>
      <c r="AK82" s="85"/>
      <c r="AL82" s="85"/>
      <c r="AM82" s="85"/>
      <c r="AN82" s="85"/>
      <c r="AO82" s="85"/>
      <c r="AP82" s="85"/>
      <c r="AQ82" s="85"/>
      <c r="AR82" s="85"/>
      <c r="AS82" s="85"/>
      <c r="AT82" s="74"/>
      <c r="AZ82" s="117"/>
      <c r="BB82" s="117"/>
      <c r="BD82" s="117"/>
      <c r="BF82" s="117"/>
      <c r="BH82" s="117"/>
      <c r="BJ82" s="118"/>
      <c r="BK82" s="120"/>
      <c r="BL82" s="119"/>
      <c r="BM82" s="119"/>
      <c r="BN82" s="119"/>
    </row>
    <row r="83" spans="1:66" s="57" customFormat="1">
      <c r="A83" s="83"/>
      <c r="B83" s="84"/>
      <c r="C83" s="85"/>
      <c r="D83" s="85"/>
      <c r="E83" s="85"/>
      <c r="F83" s="85"/>
      <c r="G83" s="85"/>
      <c r="H83" s="122"/>
      <c r="I83" s="85"/>
      <c r="J83" s="85"/>
      <c r="K83" s="85"/>
      <c r="L83" s="85"/>
      <c r="M83" s="122"/>
      <c r="N83" s="85"/>
      <c r="O83" s="85"/>
      <c r="P83" s="85"/>
      <c r="Q83" s="85"/>
      <c r="R83" s="122"/>
      <c r="S83" s="85"/>
      <c r="T83" s="85"/>
      <c r="U83" s="85"/>
      <c r="V83" s="85"/>
      <c r="W83" s="85"/>
      <c r="X83" s="85"/>
      <c r="Y83" s="72"/>
      <c r="Z83" s="123"/>
      <c r="AA83" s="85"/>
      <c r="AB83" s="85"/>
      <c r="AC83" s="72"/>
      <c r="AD83" s="72"/>
      <c r="AE83" s="122"/>
      <c r="AF83" s="85"/>
      <c r="AG83" s="85"/>
      <c r="AH83" s="121"/>
      <c r="AI83" s="72"/>
      <c r="AJ83" s="124"/>
      <c r="AK83" s="85"/>
      <c r="AL83" s="85"/>
      <c r="AM83" s="85"/>
      <c r="AN83" s="85"/>
      <c r="AO83" s="85"/>
      <c r="AP83" s="85"/>
      <c r="AQ83" s="85"/>
      <c r="AR83" s="85"/>
      <c r="AS83" s="85"/>
      <c r="AT83" s="74"/>
      <c r="AZ83" s="117"/>
      <c r="BB83" s="117"/>
      <c r="BD83" s="117"/>
      <c r="BF83" s="117"/>
      <c r="BH83" s="117"/>
      <c r="BJ83" s="118"/>
      <c r="BK83" s="120"/>
      <c r="BL83" s="119"/>
      <c r="BM83" s="119"/>
      <c r="BN83" s="119"/>
    </row>
    <row r="84" spans="1:66" s="57" customFormat="1">
      <c r="A84" s="83"/>
      <c r="B84" s="84"/>
      <c r="C84" s="85"/>
      <c r="D84" s="85"/>
      <c r="E84" s="85"/>
      <c r="F84" s="85"/>
      <c r="G84" s="85"/>
      <c r="H84" s="122"/>
      <c r="I84" s="85"/>
      <c r="J84" s="85"/>
      <c r="K84" s="85"/>
      <c r="L84" s="85"/>
      <c r="M84" s="122"/>
      <c r="N84" s="85"/>
      <c r="O84" s="85"/>
      <c r="P84" s="85"/>
      <c r="Q84" s="85"/>
      <c r="R84" s="122"/>
      <c r="S84" s="85"/>
      <c r="T84" s="85"/>
      <c r="U84" s="85"/>
      <c r="V84" s="85"/>
      <c r="W84" s="85"/>
      <c r="X84" s="85"/>
      <c r="Y84" s="72"/>
      <c r="Z84" s="123"/>
      <c r="AA84" s="85"/>
      <c r="AB84" s="85"/>
      <c r="AC84" s="72"/>
      <c r="AD84" s="72"/>
      <c r="AE84" s="122"/>
      <c r="AF84" s="85"/>
      <c r="AG84" s="85"/>
      <c r="AH84" s="121"/>
      <c r="AI84" s="72"/>
      <c r="AJ84" s="124"/>
      <c r="AK84" s="85"/>
      <c r="AL84" s="85"/>
      <c r="AM84" s="85"/>
      <c r="AN84" s="85"/>
      <c r="AO84" s="85"/>
      <c r="AP84" s="85"/>
      <c r="AQ84" s="85"/>
      <c r="AR84" s="85"/>
      <c r="AS84" s="85"/>
      <c r="AT84" s="74"/>
      <c r="AZ84" s="117"/>
      <c r="BB84" s="117"/>
      <c r="BD84" s="117"/>
      <c r="BF84" s="117"/>
      <c r="BH84" s="117"/>
      <c r="BJ84" s="118"/>
      <c r="BK84" s="120"/>
      <c r="BL84" s="119"/>
      <c r="BM84" s="119"/>
      <c r="BN84" s="119"/>
    </row>
    <row r="85" spans="1:66" s="57" customFormat="1">
      <c r="A85" s="83"/>
      <c r="B85" s="84"/>
      <c r="C85" s="85"/>
      <c r="D85" s="85"/>
      <c r="E85" s="85"/>
      <c r="F85" s="85"/>
      <c r="G85" s="85"/>
      <c r="H85" s="122"/>
      <c r="I85" s="85"/>
      <c r="J85" s="85"/>
      <c r="K85" s="85"/>
      <c r="L85" s="85"/>
      <c r="M85" s="122"/>
      <c r="N85" s="85"/>
      <c r="O85" s="85"/>
      <c r="P85" s="85"/>
      <c r="Q85" s="85"/>
      <c r="R85" s="122"/>
      <c r="S85" s="85"/>
      <c r="T85" s="85"/>
      <c r="U85" s="85"/>
      <c r="V85" s="85"/>
      <c r="W85" s="85"/>
      <c r="X85" s="85"/>
      <c r="Y85" s="72"/>
      <c r="Z85" s="123"/>
      <c r="AA85" s="85"/>
      <c r="AB85" s="85"/>
      <c r="AC85" s="72"/>
      <c r="AD85" s="72"/>
      <c r="AE85" s="122"/>
      <c r="AF85" s="85"/>
      <c r="AG85" s="85"/>
      <c r="AH85" s="121"/>
      <c r="AI85" s="72"/>
      <c r="AJ85" s="124"/>
      <c r="AK85" s="85"/>
      <c r="AL85" s="85"/>
      <c r="AM85" s="85"/>
      <c r="AN85" s="85"/>
      <c r="AO85" s="85"/>
      <c r="AP85" s="85"/>
      <c r="AQ85" s="85"/>
      <c r="AR85" s="85"/>
      <c r="AS85" s="85"/>
      <c r="AT85" s="74"/>
      <c r="AZ85" s="117"/>
      <c r="BB85" s="117"/>
      <c r="BD85" s="117"/>
      <c r="BF85" s="117"/>
      <c r="BH85" s="117"/>
      <c r="BJ85" s="118"/>
      <c r="BK85" s="120"/>
      <c r="BL85" s="119"/>
      <c r="BM85" s="119"/>
      <c r="BN85" s="119"/>
    </row>
    <row r="86" spans="1:66" s="57" customFormat="1">
      <c r="A86" s="83"/>
      <c r="B86" s="84"/>
      <c r="C86" s="85"/>
      <c r="D86" s="85"/>
      <c r="E86" s="85"/>
      <c r="F86" s="85"/>
      <c r="G86" s="85"/>
      <c r="H86" s="122"/>
      <c r="I86" s="85"/>
      <c r="J86" s="85"/>
      <c r="K86" s="85"/>
      <c r="L86" s="85"/>
      <c r="M86" s="122"/>
      <c r="N86" s="85"/>
      <c r="O86" s="85"/>
      <c r="P86" s="85"/>
      <c r="Q86" s="85"/>
      <c r="R86" s="122"/>
      <c r="S86" s="85"/>
      <c r="T86" s="85"/>
      <c r="U86" s="85"/>
      <c r="V86" s="85"/>
      <c r="W86" s="85"/>
      <c r="X86" s="85"/>
      <c r="Y86" s="72"/>
      <c r="Z86" s="123"/>
      <c r="AA86" s="85"/>
      <c r="AB86" s="85"/>
      <c r="AC86" s="72"/>
      <c r="AD86" s="72"/>
      <c r="AE86" s="122"/>
      <c r="AF86" s="85"/>
      <c r="AG86" s="85"/>
      <c r="AH86" s="121"/>
      <c r="AI86" s="72"/>
      <c r="AJ86" s="124"/>
      <c r="AK86" s="85"/>
      <c r="AL86" s="85"/>
      <c r="AM86" s="85"/>
      <c r="AN86" s="85"/>
      <c r="AO86" s="85"/>
      <c r="AP86" s="85"/>
      <c r="AQ86" s="85"/>
      <c r="AR86" s="85"/>
      <c r="AS86" s="85"/>
      <c r="AT86" s="74"/>
      <c r="AZ86" s="117"/>
      <c r="BB86" s="117"/>
      <c r="BD86" s="117"/>
      <c r="BF86" s="117"/>
      <c r="BH86" s="117"/>
      <c r="BJ86" s="118"/>
      <c r="BK86" s="120"/>
      <c r="BL86" s="119"/>
      <c r="BM86" s="119"/>
      <c r="BN86" s="119"/>
    </row>
    <row r="87" spans="1:66" s="57" customFormat="1">
      <c r="A87" s="83"/>
      <c r="B87" s="84"/>
      <c r="C87" s="85"/>
      <c r="D87" s="85"/>
      <c r="E87" s="85"/>
      <c r="F87" s="85"/>
      <c r="G87" s="85"/>
      <c r="H87" s="122"/>
      <c r="I87" s="85"/>
      <c r="J87" s="85"/>
      <c r="K87" s="85"/>
      <c r="L87" s="85"/>
      <c r="M87" s="122"/>
      <c r="N87" s="85"/>
      <c r="O87" s="85"/>
      <c r="P87" s="85"/>
      <c r="Q87" s="85"/>
      <c r="R87" s="122"/>
      <c r="S87" s="85"/>
      <c r="T87" s="85"/>
      <c r="U87" s="85"/>
      <c r="V87" s="85"/>
      <c r="W87" s="85"/>
      <c r="X87" s="85"/>
      <c r="Y87" s="72"/>
      <c r="Z87" s="123"/>
      <c r="AA87" s="85"/>
      <c r="AB87" s="85"/>
      <c r="AC87" s="72"/>
      <c r="AD87" s="72"/>
      <c r="AE87" s="122"/>
      <c r="AF87" s="85"/>
      <c r="AG87" s="85"/>
      <c r="AH87" s="121"/>
      <c r="AI87" s="72"/>
      <c r="AJ87" s="124"/>
      <c r="AK87" s="85"/>
      <c r="AL87" s="85"/>
      <c r="AM87" s="85"/>
      <c r="AN87" s="85"/>
      <c r="AO87" s="85"/>
      <c r="AP87" s="85"/>
      <c r="AQ87" s="85"/>
      <c r="AR87" s="85"/>
      <c r="AS87" s="85"/>
      <c r="AT87" s="74"/>
      <c r="AZ87" s="117"/>
      <c r="BB87" s="117"/>
      <c r="BD87" s="117"/>
      <c r="BF87" s="117"/>
      <c r="BH87" s="117"/>
      <c r="BJ87" s="118"/>
      <c r="BK87" s="120"/>
      <c r="BL87" s="119"/>
      <c r="BM87" s="119"/>
      <c r="BN87" s="119"/>
    </row>
    <row r="88" spans="1:66" s="57" customFormat="1">
      <c r="A88" s="83"/>
      <c r="B88" s="84"/>
      <c r="C88" s="85"/>
      <c r="D88" s="85"/>
      <c r="E88" s="85"/>
      <c r="F88" s="85"/>
      <c r="G88" s="85"/>
      <c r="H88" s="122"/>
      <c r="I88" s="85"/>
      <c r="J88" s="85"/>
      <c r="K88" s="85"/>
      <c r="L88" s="85"/>
      <c r="M88" s="122"/>
      <c r="N88" s="85"/>
      <c r="O88" s="85"/>
      <c r="P88" s="85"/>
      <c r="Q88" s="85"/>
      <c r="R88" s="122"/>
      <c r="S88" s="85"/>
      <c r="T88" s="85"/>
      <c r="U88" s="85"/>
      <c r="V88" s="85"/>
      <c r="W88" s="85"/>
      <c r="X88" s="85"/>
      <c r="Y88" s="72"/>
      <c r="Z88" s="123"/>
      <c r="AA88" s="85"/>
      <c r="AB88" s="85"/>
      <c r="AC88" s="72"/>
      <c r="AD88" s="72"/>
      <c r="AE88" s="122"/>
      <c r="AF88" s="85"/>
      <c r="AG88" s="85"/>
      <c r="AH88" s="121"/>
      <c r="AI88" s="72"/>
      <c r="AJ88" s="124"/>
      <c r="AK88" s="85"/>
      <c r="AL88" s="85"/>
      <c r="AM88" s="85"/>
      <c r="AN88" s="85"/>
      <c r="AO88" s="85"/>
      <c r="AP88" s="85"/>
      <c r="AQ88" s="85"/>
      <c r="AR88" s="85"/>
      <c r="AS88" s="85"/>
      <c r="AT88" s="74"/>
      <c r="AZ88" s="117"/>
      <c r="BB88" s="117"/>
      <c r="BD88" s="117"/>
      <c r="BF88" s="117"/>
      <c r="BH88" s="117"/>
      <c r="BJ88" s="118"/>
      <c r="BK88" s="120"/>
      <c r="BL88" s="119"/>
      <c r="BM88" s="119"/>
      <c r="BN88" s="119"/>
    </row>
    <row r="89" spans="1:66" s="57" customFormat="1">
      <c r="A89" s="83"/>
      <c r="B89" s="84"/>
      <c r="C89" s="85"/>
      <c r="D89" s="85"/>
      <c r="E89" s="85"/>
      <c r="F89" s="85"/>
      <c r="G89" s="85"/>
      <c r="H89" s="122"/>
      <c r="I89" s="85"/>
      <c r="J89" s="85"/>
      <c r="K89" s="85"/>
      <c r="L89" s="85"/>
      <c r="M89" s="122"/>
      <c r="N89" s="85"/>
      <c r="O89" s="85"/>
      <c r="P89" s="85"/>
      <c r="Q89" s="85"/>
      <c r="R89" s="122"/>
      <c r="S89" s="85"/>
      <c r="T89" s="85"/>
      <c r="U89" s="85"/>
      <c r="V89" s="85"/>
      <c r="W89" s="85"/>
      <c r="X89" s="85"/>
      <c r="Y89" s="72"/>
      <c r="Z89" s="123"/>
      <c r="AA89" s="85"/>
      <c r="AB89" s="85"/>
      <c r="AC89" s="72"/>
      <c r="AD89" s="72"/>
      <c r="AE89" s="122"/>
      <c r="AF89" s="85"/>
      <c r="AG89" s="85"/>
      <c r="AH89" s="121"/>
      <c r="AI89" s="72"/>
      <c r="AJ89" s="124"/>
      <c r="AK89" s="85"/>
      <c r="AL89" s="85"/>
      <c r="AM89" s="85"/>
      <c r="AN89" s="85"/>
      <c r="AO89" s="85"/>
      <c r="AP89" s="85"/>
      <c r="AQ89" s="85"/>
      <c r="AR89" s="85"/>
      <c r="AS89" s="85"/>
      <c r="AT89" s="74"/>
      <c r="AZ89" s="117"/>
      <c r="BB89" s="117"/>
      <c r="BD89" s="117"/>
      <c r="BF89" s="117"/>
      <c r="BH89" s="117"/>
      <c r="BJ89" s="118"/>
      <c r="BK89" s="120"/>
      <c r="BL89" s="119"/>
      <c r="BM89" s="119"/>
      <c r="BN89" s="119"/>
    </row>
    <row r="90" spans="1:66" s="57" customFormat="1">
      <c r="A90" s="83"/>
      <c r="B90" s="84"/>
      <c r="C90" s="85"/>
      <c r="D90" s="85"/>
      <c r="E90" s="85"/>
      <c r="F90" s="85"/>
      <c r="G90" s="85"/>
      <c r="H90" s="122"/>
      <c r="I90" s="85"/>
      <c r="J90" s="85"/>
      <c r="K90" s="85"/>
      <c r="L90" s="85"/>
      <c r="M90" s="122"/>
      <c r="N90" s="85"/>
      <c r="O90" s="85"/>
      <c r="P90" s="85"/>
      <c r="Q90" s="85"/>
      <c r="R90" s="122"/>
      <c r="S90" s="85"/>
      <c r="T90" s="85"/>
      <c r="U90" s="85"/>
      <c r="V90" s="85"/>
      <c r="W90" s="85"/>
      <c r="X90" s="85"/>
      <c r="Y90" s="72"/>
      <c r="Z90" s="123"/>
      <c r="AA90" s="85"/>
      <c r="AB90" s="85"/>
      <c r="AC90" s="72"/>
      <c r="AD90" s="72"/>
      <c r="AE90" s="122"/>
      <c r="AF90" s="85"/>
      <c r="AG90" s="85"/>
      <c r="AH90" s="121"/>
      <c r="AI90" s="72"/>
      <c r="AJ90" s="124"/>
      <c r="AK90" s="85"/>
      <c r="AL90" s="85"/>
      <c r="AM90" s="85"/>
      <c r="AN90" s="85"/>
      <c r="AO90" s="85"/>
      <c r="AP90" s="85"/>
      <c r="AQ90" s="85"/>
      <c r="AR90" s="85"/>
      <c r="AS90" s="85"/>
      <c r="AT90" s="74"/>
      <c r="AZ90" s="117"/>
      <c r="BB90" s="117"/>
      <c r="BD90" s="117"/>
      <c r="BF90" s="117"/>
      <c r="BH90" s="117"/>
      <c r="BJ90" s="118"/>
      <c r="BK90" s="120"/>
      <c r="BL90" s="119"/>
      <c r="BM90" s="119"/>
      <c r="BN90" s="119"/>
    </row>
    <row r="91" spans="1:66" s="57" customFormat="1">
      <c r="A91" s="83"/>
      <c r="B91" s="84"/>
      <c r="C91" s="85"/>
      <c r="D91" s="85"/>
      <c r="E91" s="85"/>
      <c r="F91" s="85"/>
      <c r="G91" s="85"/>
      <c r="H91" s="122"/>
      <c r="I91" s="85"/>
      <c r="J91" s="85"/>
      <c r="K91" s="85"/>
      <c r="L91" s="85"/>
      <c r="M91" s="122"/>
      <c r="N91" s="85"/>
      <c r="O91" s="85"/>
      <c r="P91" s="85"/>
      <c r="Q91" s="85"/>
      <c r="R91" s="122"/>
      <c r="S91" s="85"/>
      <c r="T91" s="85"/>
      <c r="U91" s="85"/>
      <c r="V91" s="85"/>
      <c r="W91" s="85"/>
      <c r="X91" s="85"/>
      <c r="Y91" s="72"/>
      <c r="Z91" s="123"/>
      <c r="AA91" s="85"/>
      <c r="AB91" s="85"/>
      <c r="AC91" s="72"/>
      <c r="AD91" s="72"/>
      <c r="AE91" s="122"/>
      <c r="AF91" s="85"/>
      <c r="AG91" s="85"/>
      <c r="AH91" s="121"/>
      <c r="AI91" s="72"/>
      <c r="AJ91" s="124"/>
      <c r="AK91" s="85"/>
      <c r="AL91" s="85"/>
      <c r="AM91" s="85"/>
      <c r="AN91" s="85"/>
      <c r="AO91" s="85"/>
      <c r="AP91" s="85"/>
      <c r="AQ91" s="85"/>
      <c r="AR91" s="85"/>
      <c r="AS91" s="85"/>
      <c r="AT91" s="74"/>
      <c r="AZ91" s="117"/>
      <c r="BB91" s="117"/>
      <c r="BD91" s="117"/>
      <c r="BF91" s="117"/>
      <c r="BH91" s="117"/>
      <c r="BJ91" s="118"/>
      <c r="BK91" s="120"/>
      <c r="BL91" s="119"/>
      <c r="BM91" s="119"/>
      <c r="BN91" s="119"/>
    </row>
    <row r="92" spans="1:66" s="57" customFormat="1">
      <c r="A92" s="83"/>
      <c r="B92" s="84"/>
      <c r="C92" s="85"/>
      <c r="D92" s="85"/>
      <c r="E92" s="85"/>
      <c r="F92" s="85"/>
      <c r="G92" s="85"/>
      <c r="H92" s="122"/>
      <c r="I92" s="85"/>
      <c r="J92" s="85"/>
      <c r="K92" s="85"/>
      <c r="L92" s="85"/>
      <c r="M92" s="122"/>
      <c r="N92" s="85"/>
      <c r="O92" s="85"/>
      <c r="P92" s="85"/>
      <c r="Q92" s="85"/>
      <c r="R92" s="122"/>
      <c r="S92" s="85"/>
      <c r="T92" s="85"/>
      <c r="U92" s="85"/>
      <c r="V92" s="85"/>
      <c r="W92" s="85"/>
      <c r="X92" s="85"/>
      <c r="Y92" s="72"/>
      <c r="Z92" s="123"/>
      <c r="AA92" s="85"/>
      <c r="AB92" s="85"/>
      <c r="AC92" s="72"/>
      <c r="AD92" s="72"/>
      <c r="AE92" s="122"/>
      <c r="AF92" s="85"/>
      <c r="AG92" s="85"/>
      <c r="AH92" s="121"/>
      <c r="AI92" s="72"/>
      <c r="AJ92" s="124"/>
      <c r="AK92" s="85"/>
      <c r="AL92" s="85"/>
      <c r="AM92" s="85"/>
      <c r="AN92" s="85"/>
      <c r="AO92" s="85"/>
      <c r="AP92" s="85"/>
      <c r="AQ92" s="85"/>
      <c r="AR92" s="85"/>
      <c r="AS92" s="85"/>
      <c r="AT92" s="74"/>
      <c r="AZ92" s="117"/>
      <c r="BB92" s="117"/>
      <c r="BD92" s="117"/>
      <c r="BF92" s="117"/>
      <c r="BH92" s="117"/>
      <c r="BJ92" s="118"/>
      <c r="BK92" s="120"/>
      <c r="BL92" s="119"/>
      <c r="BM92" s="119"/>
      <c r="BN92" s="119"/>
    </row>
    <row r="93" spans="1:66" s="57" customFormat="1">
      <c r="A93" s="83"/>
      <c r="B93" s="84"/>
      <c r="C93" s="85"/>
      <c r="D93" s="85"/>
      <c r="E93" s="85"/>
      <c r="F93" s="85"/>
      <c r="G93" s="85"/>
      <c r="H93" s="122"/>
      <c r="I93" s="85"/>
      <c r="J93" s="85"/>
      <c r="K93" s="85"/>
      <c r="L93" s="85"/>
      <c r="M93" s="122"/>
      <c r="N93" s="85"/>
      <c r="O93" s="85"/>
      <c r="P93" s="85"/>
      <c r="Q93" s="85"/>
      <c r="R93" s="122"/>
      <c r="S93" s="85"/>
      <c r="T93" s="85"/>
      <c r="U93" s="85"/>
      <c r="V93" s="85"/>
      <c r="W93" s="85"/>
      <c r="X93" s="85"/>
      <c r="Y93" s="72"/>
      <c r="Z93" s="123"/>
      <c r="AA93" s="85"/>
      <c r="AB93" s="85"/>
      <c r="AC93" s="72"/>
      <c r="AD93" s="72"/>
      <c r="AE93" s="122"/>
      <c r="AF93" s="85"/>
      <c r="AG93" s="85"/>
      <c r="AH93" s="121"/>
      <c r="AI93" s="72"/>
      <c r="AJ93" s="124"/>
      <c r="AK93" s="85"/>
      <c r="AL93" s="85"/>
      <c r="AM93" s="85"/>
      <c r="AN93" s="85"/>
      <c r="AO93" s="85"/>
      <c r="AP93" s="85"/>
      <c r="AQ93" s="85"/>
      <c r="AR93" s="85"/>
      <c r="AS93" s="85"/>
      <c r="AT93" s="74"/>
      <c r="AZ93" s="117"/>
      <c r="BB93" s="117"/>
      <c r="BD93" s="117"/>
      <c r="BF93" s="117"/>
      <c r="BH93" s="117"/>
      <c r="BJ93" s="118"/>
      <c r="BK93" s="120"/>
      <c r="BL93" s="119"/>
      <c r="BM93" s="119"/>
      <c r="BN93" s="119"/>
    </row>
    <row r="94" spans="1:66" s="57" customFormat="1">
      <c r="A94" s="83"/>
      <c r="B94" s="84"/>
      <c r="C94" s="85"/>
      <c r="D94" s="85"/>
      <c r="E94" s="85"/>
      <c r="F94" s="85"/>
      <c r="G94" s="85"/>
      <c r="H94" s="122"/>
      <c r="I94" s="85"/>
      <c r="J94" s="85"/>
      <c r="K94" s="85"/>
      <c r="L94" s="85"/>
      <c r="M94" s="122"/>
      <c r="N94" s="85"/>
      <c r="O94" s="85"/>
      <c r="P94" s="85"/>
      <c r="Q94" s="85"/>
      <c r="R94" s="122"/>
      <c r="S94" s="85"/>
      <c r="T94" s="85"/>
      <c r="U94" s="85"/>
      <c r="V94" s="85"/>
      <c r="W94" s="85"/>
      <c r="X94" s="85"/>
      <c r="Y94" s="72"/>
      <c r="Z94" s="123"/>
      <c r="AA94" s="85"/>
      <c r="AB94" s="85"/>
      <c r="AC94" s="72"/>
      <c r="AD94" s="72"/>
      <c r="AE94" s="122"/>
      <c r="AF94" s="85"/>
      <c r="AG94" s="85"/>
      <c r="AH94" s="121"/>
      <c r="AI94" s="72"/>
      <c r="AJ94" s="124"/>
      <c r="AK94" s="85"/>
      <c r="AL94" s="85"/>
      <c r="AM94" s="85"/>
      <c r="AN94" s="85"/>
      <c r="AO94" s="85"/>
      <c r="AP94" s="85"/>
      <c r="AQ94" s="85"/>
      <c r="AR94" s="85"/>
      <c r="AS94" s="85"/>
      <c r="AT94" s="74"/>
      <c r="AZ94" s="117"/>
      <c r="BB94" s="117"/>
      <c r="BD94" s="117"/>
      <c r="BF94" s="117"/>
      <c r="BH94" s="117"/>
      <c r="BJ94" s="118"/>
      <c r="BK94" s="120"/>
      <c r="BL94" s="119"/>
      <c r="BM94" s="119"/>
      <c r="BN94" s="119"/>
    </row>
    <row r="95" spans="1:66" s="57" customFormat="1">
      <c r="A95" s="83"/>
      <c r="B95" s="84"/>
      <c r="C95" s="85"/>
      <c r="D95" s="85"/>
      <c r="E95" s="85"/>
      <c r="F95" s="85"/>
      <c r="G95" s="85"/>
      <c r="H95" s="122"/>
      <c r="I95" s="85"/>
      <c r="J95" s="85"/>
      <c r="K95" s="85"/>
      <c r="L95" s="85"/>
      <c r="M95" s="122"/>
      <c r="N95" s="85"/>
      <c r="O95" s="85"/>
      <c r="P95" s="85"/>
      <c r="Q95" s="85"/>
      <c r="R95" s="122"/>
      <c r="S95" s="85"/>
      <c r="T95" s="85"/>
      <c r="U95" s="85"/>
      <c r="V95" s="85"/>
      <c r="W95" s="85"/>
      <c r="X95" s="85"/>
      <c r="Y95" s="72"/>
      <c r="Z95" s="123"/>
      <c r="AA95" s="85"/>
      <c r="AB95" s="85"/>
      <c r="AC95" s="72"/>
      <c r="AD95" s="72"/>
      <c r="AE95" s="122"/>
      <c r="AF95" s="85"/>
      <c r="AG95" s="85"/>
      <c r="AH95" s="121"/>
      <c r="AI95" s="72"/>
      <c r="AJ95" s="124"/>
      <c r="AK95" s="85"/>
      <c r="AL95" s="85"/>
      <c r="AM95" s="85"/>
      <c r="AN95" s="85"/>
      <c r="AO95" s="85"/>
      <c r="AP95" s="85"/>
      <c r="AQ95" s="85"/>
      <c r="AR95" s="85"/>
      <c r="AS95" s="85"/>
      <c r="AT95" s="74"/>
      <c r="AZ95" s="117"/>
      <c r="BB95" s="117"/>
      <c r="BD95" s="117"/>
      <c r="BF95" s="117"/>
      <c r="BH95" s="117"/>
      <c r="BJ95" s="118"/>
      <c r="BK95" s="120"/>
      <c r="BL95" s="119"/>
      <c r="BM95" s="119"/>
      <c r="BN95" s="119"/>
    </row>
    <row r="96" spans="1:66" s="57" customFormat="1">
      <c r="A96" s="83"/>
      <c r="B96" s="84"/>
      <c r="C96" s="85"/>
      <c r="D96" s="85"/>
      <c r="E96" s="85"/>
      <c r="F96" s="85"/>
      <c r="G96" s="85"/>
      <c r="H96" s="122"/>
      <c r="I96" s="85"/>
      <c r="J96" s="85"/>
      <c r="K96" s="85"/>
      <c r="L96" s="85"/>
      <c r="M96" s="122"/>
      <c r="N96" s="85"/>
      <c r="O96" s="85"/>
      <c r="P96" s="85"/>
      <c r="Q96" s="85"/>
      <c r="R96" s="122"/>
      <c r="S96" s="85"/>
      <c r="T96" s="85"/>
      <c r="U96" s="85"/>
      <c r="V96" s="85"/>
      <c r="W96" s="85"/>
      <c r="X96" s="85"/>
      <c r="Y96" s="72"/>
      <c r="Z96" s="123"/>
      <c r="AA96" s="85"/>
      <c r="AB96" s="85"/>
      <c r="AC96" s="72"/>
      <c r="AD96" s="72"/>
      <c r="AE96" s="122"/>
      <c r="AF96" s="85"/>
      <c r="AG96" s="85"/>
      <c r="AH96" s="121"/>
      <c r="AI96" s="72"/>
      <c r="AJ96" s="124"/>
      <c r="AK96" s="85"/>
      <c r="AL96" s="85"/>
      <c r="AM96" s="85"/>
      <c r="AN96" s="85"/>
      <c r="AO96" s="85"/>
      <c r="AP96" s="85"/>
      <c r="AQ96" s="85"/>
      <c r="AR96" s="85"/>
      <c r="AS96" s="85"/>
      <c r="AT96" s="74"/>
      <c r="AZ96" s="117"/>
      <c r="BB96" s="117"/>
      <c r="BD96" s="117"/>
      <c r="BF96" s="117"/>
      <c r="BH96" s="117"/>
      <c r="BJ96" s="118"/>
      <c r="BK96" s="120"/>
      <c r="BL96" s="119"/>
      <c r="BM96" s="119"/>
      <c r="BN96" s="119"/>
    </row>
    <row r="97" spans="1:66" s="57" customFormat="1">
      <c r="A97" s="83"/>
      <c r="B97" s="84"/>
      <c r="C97" s="85"/>
      <c r="D97" s="85"/>
      <c r="E97" s="85"/>
      <c r="F97" s="85"/>
      <c r="G97" s="85"/>
      <c r="H97" s="122"/>
      <c r="I97" s="85"/>
      <c r="J97" s="85"/>
      <c r="K97" s="85"/>
      <c r="L97" s="85"/>
      <c r="M97" s="122"/>
      <c r="N97" s="85"/>
      <c r="O97" s="85"/>
      <c r="P97" s="85"/>
      <c r="Q97" s="85"/>
      <c r="R97" s="122"/>
      <c r="S97" s="85"/>
      <c r="T97" s="85"/>
      <c r="U97" s="85"/>
      <c r="V97" s="85"/>
      <c r="W97" s="85"/>
      <c r="X97" s="85"/>
      <c r="Y97" s="72"/>
      <c r="Z97" s="123"/>
      <c r="AA97" s="85"/>
      <c r="AB97" s="85"/>
      <c r="AC97" s="72"/>
      <c r="AD97" s="72"/>
      <c r="AE97" s="122"/>
      <c r="AF97" s="85"/>
      <c r="AG97" s="85"/>
      <c r="AH97" s="121"/>
      <c r="AI97" s="72"/>
      <c r="AJ97" s="124"/>
      <c r="AK97" s="85"/>
      <c r="AL97" s="85"/>
      <c r="AM97" s="85"/>
      <c r="AN97" s="85"/>
      <c r="AO97" s="85"/>
      <c r="AP97" s="85"/>
      <c r="AQ97" s="85"/>
      <c r="AR97" s="85"/>
      <c r="AS97" s="85"/>
      <c r="AT97" s="74"/>
      <c r="AZ97" s="117"/>
      <c r="BB97" s="117"/>
      <c r="BD97" s="117"/>
      <c r="BF97" s="117"/>
      <c r="BH97" s="117"/>
      <c r="BJ97" s="118"/>
      <c r="BK97" s="120"/>
      <c r="BL97" s="119"/>
      <c r="BM97" s="119"/>
      <c r="BN97" s="119"/>
    </row>
    <row r="98" spans="1:66" s="57" customFormat="1">
      <c r="A98" s="83"/>
      <c r="B98" s="84"/>
      <c r="C98" s="85"/>
      <c r="D98" s="85"/>
      <c r="E98" s="85"/>
      <c r="F98" s="85"/>
      <c r="G98" s="85"/>
      <c r="H98" s="122"/>
      <c r="I98" s="85"/>
      <c r="J98" s="85"/>
      <c r="K98" s="85"/>
      <c r="L98" s="85"/>
      <c r="M98" s="122"/>
      <c r="N98" s="85"/>
      <c r="O98" s="85"/>
      <c r="P98" s="85"/>
      <c r="Q98" s="85"/>
      <c r="R98" s="122"/>
      <c r="S98" s="85"/>
      <c r="T98" s="85"/>
      <c r="U98" s="85"/>
      <c r="V98" s="85"/>
      <c r="W98" s="85"/>
      <c r="X98" s="85"/>
      <c r="Y98" s="72"/>
      <c r="Z98" s="123"/>
      <c r="AA98" s="85"/>
      <c r="AB98" s="85"/>
      <c r="AC98" s="72"/>
      <c r="AD98" s="72"/>
      <c r="AE98" s="122"/>
      <c r="AF98" s="85"/>
      <c r="AG98" s="85"/>
      <c r="AH98" s="121"/>
      <c r="AI98" s="72"/>
      <c r="AJ98" s="124"/>
      <c r="AK98" s="85"/>
      <c r="AL98" s="85"/>
      <c r="AM98" s="85"/>
      <c r="AN98" s="85"/>
      <c r="AO98" s="85"/>
      <c r="AP98" s="85"/>
      <c r="AQ98" s="85"/>
      <c r="AR98" s="85"/>
      <c r="AS98" s="85"/>
      <c r="AT98" s="74"/>
      <c r="AZ98" s="117"/>
      <c r="BB98" s="117"/>
      <c r="BD98" s="117"/>
      <c r="BF98" s="117"/>
      <c r="BH98" s="117"/>
      <c r="BJ98" s="118"/>
      <c r="BK98" s="120"/>
      <c r="BL98" s="119"/>
      <c r="BM98" s="119"/>
      <c r="BN98" s="119"/>
    </row>
    <row r="99" spans="1:66" s="57" customFormat="1">
      <c r="A99" s="83"/>
      <c r="B99" s="84"/>
      <c r="C99" s="85"/>
      <c r="D99" s="85"/>
      <c r="E99" s="85"/>
      <c r="F99" s="85"/>
      <c r="G99" s="85"/>
      <c r="H99" s="122"/>
      <c r="I99" s="85"/>
      <c r="J99" s="85"/>
      <c r="K99" s="85"/>
      <c r="L99" s="85"/>
      <c r="M99" s="122"/>
      <c r="N99" s="85"/>
      <c r="O99" s="85"/>
      <c r="P99" s="85"/>
      <c r="Q99" s="85"/>
      <c r="R99" s="122"/>
      <c r="S99" s="85"/>
      <c r="T99" s="85"/>
      <c r="U99" s="85"/>
      <c r="V99" s="85"/>
      <c r="W99" s="85"/>
      <c r="X99" s="85"/>
      <c r="Y99" s="72"/>
      <c r="Z99" s="123"/>
      <c r="AA99" s="85"/>
      <c r="AB99" s="85"/>
      <c r="AC99" s="72"/>
      <c r="AD99" s="72"/>
      <c r="AE99" s="122"/>
      <c r="AF99" s="85"/>
      <c r="AG99" s="85"/>
      <c r="AH99" s="121"/>
      <c r="AI99" s="72"/>
      <c r="AJ99" s="124"/>
      <c r="AK99" s="85"/>
      <c r="AL99" s="85"/>
      <c r="AM99" s="85"/>
      <c r="AN99" s="85"/>
      <c r="AO99" s="85"/>
      <c r="AP99" s="85"/>
      <c r="AQ99" s="85"/>
      <c r="AR99" s="85"/>
      <c r="AS99" s="85"/>
      <c r="AT99" s="74"/>
      <c r="AZ99" s="117"/>
      <c r="BB99" s="117"/>
      <c r="BD99" s="117"/>
      <c r="BF99" s="117"/>
      <c r="BH99" s="117"/>
      <c r="BJ99" s="118"/>
      <c r="BK99" s="120"/>
      <c r="BL99" s="119"/>
      <c r="BM99" s="119"/>
      <c r="BN99" s="119"/>
    </row>
    <row r="100" spans="1:66" s="57" customFormat="1">
      <c r="A100" s="83"/>
      <c r="B100" s="84"/>
      <c r="C100" s="85"/>
      <c r="D100" s="85"/>
      <c r="E100" s="85"/>
      <c r="F100" s="85"/>
      <c r="G100" s="85"/>
      <c r="H100" s="122"/>
      <c r="I100" s="85"/>
      <c r="J100" s="85"/>
      <c r="K100" s="85"/>
      <c r="L100" s="85"/>
      <c r="M100" s="122"/>
      <c r="N100" s="85"/>
      <c r="O100" s="85"/>
      <c r="P100" s="85"/>
      <c r="Q100" s="85"/>
      <c r="R100" s="122"/>
      <c r="S100" s="85"/>
      <c r="T100" s="85"/>
      <c r="U100" s="85"/>
      <c r="V100" s="85"/>
      <c r="W100" s="85"/>
      <c r="X100" s="85"/>
      <c r="Y100" s="72"/>
      <c r="Z100" s="123"/>
      <c r="AA100" s="85"/>
      <c r="AB100" s="85"/>
      <c r="AC100" s="72"/>
      <c r="AD100" s="72"/>
      <c r="AE100" s="122"/>
      <c r="AF100" s="85"/>
      <c r="AG100" s="85"/>
      <c r="AH100" s="121"/>
      <c r="AI100" s="72"/>
      <c r="AJ100" s="124"/>
      <c r="AK100" s="85"/>
      <c r="AL100" s="85"/>
      <c r="AM100" s="85"/>
      <c r="AN100" s="85"/>
      <c r="AO100" s="85"/>
      <c r="AP100" s="85"/>
      <c r="AQ100" s="85"/>
      <c r="AR100" s="85"/>
      <c r="AS100" s="85"/>
      <c r="AT100" s="74"/>
      <c r="AZ100" s="117"/>
      <c r="BB100" s="117"/>
      <c r="BD100" s="117"/>
      <c r="BF100" s="117"/>
      <c r="BH100" s="117"/>
      <c r="BJ100" s="118"/>
      <c r="BK100" s="120"/>
      <c r="BL100" s="119"/>
      <c r="BM100" s="119"/>
      <c r="BN100" s="119"/>
    </row>
    <row r="101" spans="1:66" s="57" customFormat="1">
      <c r="A101" s="83"/>
      <c r="B101" s="84"/>
      <c r="C101" s="85"/>
      <c r="D101" s="85"/>
      <c r="E101" s="85"/>
      <c r="F101" s="85"/>
      <c r="G101" s="85"/>
      <c r="H101" s="122"/>
      <c r="I101" s="85"/>
      <c r="J101" s="85"/>
      <c r="K101" s="85"/>
      <c r="L101" s="85"/>
      <c r="M101" s="122"/>
      <c r="N101" s="85"/>
      <c r="O101" s="85"/>
      <c r="P101" s="85"/>
      <c r="Q101" s="85"/>
      <c r="R101" s="122"/>
      <c r="S101" s="85"/>
      <c r="T101" s="85"/>
      <c r="U101" s="85"/>
      <c r="V101" s="85"/>
      <c r="W101" s="85"/>
      <c r="X101" s="85"/>
      <c r="Y101" s="72"/>
      <c r="Z101" s="123"/>
      <c r="AA101" s="85"/>
      <c r="AB101" s="85"/>
      <c r="AC101" s="72"/>
      <c r="AD101" s="72"/>
      <c r="AE101" s="122"/>
      <c r="AF101" s="85"/>
      <c r="AG101" s="85"/>
      <c r="AH101" s="121"/>
      <c r="AI101" s="72"/>
      <c r="AJ101" s="124"/>
      <c r="AK101" s="85"/>
      <c r="AL101" s="85"/>
      <c r="AM101" s="85"/>
      <c r="AN101" s="85"/>
      <c r="AO101" s="85"/>
      <c r="AP101" s="85"/>
      <c r="AQ101" s="85"/>
      <c r="AR101" s="85"/>
      <c r="AS101" s="85"/>
      <c r="AT101" s="74"/>
      <c r="AZ101" s="117"/>
      <c r="BB101" s="117"/>
      <c r="BD101" s="117"/>
      <c r="BF101" s="117"/>
      <c r="BH101" s="117"/>
      <c r="BJ101" s="118"/>
      <c r="BK101" s="120"/>
      <c r="BL101" s="119"/>
      <c r="BM101" s="119"/>
      <c r="BN101" s="119"/>
    </row>
    <row r="102" spans="1:66" s="57" customFormat="1">
      <c r="A102" s="83"/>
      <c r="B102" s="84"/>
      <c r="C102" s="85"/>
      <c r="D102" s="85"/>
      <c r="E102" s="85"/>
      <c r="F102" s="85"/>
      <c r="G102" s="85"/>
      <c r="H102" s="122"/>
      <c r="I102" s="85"/>
      <c r="J102" s="85"/>
      <c r="K102" s="85"/>
      <c r="L102" s="85"/>
      <c r="M102" s="122"/>
      <c r="N102" s="85"/>
      <c r="O102" s="85"/>
      <c r="P102" s="85"/>
      <c r="Q102" s="85"/>
      <c r="R102" s="122"/>
      <c r="S102" s="85"/>
      <c r="T102" s="85"/>
      <c r="U102" s="85"/>
      <c r="V102" s="85"/>
      <c r="W102" s="85"/>
      <c r="X102" s="85"/>
      <c r="Y102" s="72"/>
      <c r="Z102" s="123"/>
      <c r="AA102" s="85"/>
      <c r="AB102" s="85"/>
      <c r="AC102" s="72"/>
      <c r="AD102" s="72"/>
      <c r="AE102" s="122"/>
      <c r="AF102" s="85"/>
      <c r="AG102" s="85"/>
      <c r="AH102" s="121"/>
      <c r="AI102" s="72"/>
      <c r="AJ102" s="124"/>
      <c r="AK102" s="85"/>
      <c r="AL102" s="85"/>
      <c r="AM102" s="85"/>
      <c r="AN102" s="85"/>
      <c r="AO102" s="85"/>
      <c r="AP102" s="85"/>
      <c r="AQ102" s="85"/>
      <c r="AR102" s="85"/>
      <c r="AS102" s="85"/>
      <c r="AT102" s="74"/>
      <c r="AZ102" s="117"/>
      <c r="BB102" s="117"/>
      <c r="BD102" s="117"/>
      <c r="BF102" s="117"/>
      <c r="BH102" s="117"/>
      <c r="BJ102" s="118"/>
      <c r="BK102" s="120"/>
      <c r="BL102" s="119"/>
      <c r="BM102" s="119"/>
      <c r="BN102" s="119"/>
    </row>
    <row r="103" spans="1:66" s="57" customFormat="1">
      <c r="A103" s="83"/>
      <c r="B103" s="84"/>
      <c r="C103" s="85"/>
      <c r="D103" s="85"/>
      <c r="E103" s="85"/>
      <c r="F103" s="85"/>
      <c r="G103" s="85"/>
      <c r="H103" s="122"/>
      <c r="I103" s="85"/>
      <c r="J103" s="85"/>
      <c r="K103" s="85"/>
      <c r="L103" s="85"/>
      <c r="M103" s="122"/>
      <c r="N103" s="85"/>
      <c r="O103" s="85"/>
      <c r="P103" s="85"/>
      <c r="Q103" s="85"/>
      <c r="R103" s="122"/>
      <c r="S103" s="85"/>
      <c r="T103" s="85"/>
      <c r="U103" s="85"/>
      <c r="V103" s="85"/>
      <c r="W103" s="85"/>
      <c r="X103" s="85"/>
      <c r="Y103" s="72"/>
      <c r="Z103" s="123"/>
      <c r="AA103" s="85"/>
      <c r="AB103" s="85"/>
      <c r="AC103" s="72"/>
      <c r="AD103" s="72"/>
      <c r="AE103" s="122"/>
      <c r="AF103" s="85"/>
      <c r="AG103" s="85"/>
      <c r="AH103" s="121"/>
      <c r="AI103" s="72"/>
      <c r="AJ103" s="124"/>
      <c r="AK103" s="85"/>
      <c r="AL103" s="85"/>
      <c r="AM103" s="85"/>
      <c r="AN103" s="85"/>
      <c r="AO103" s="85"/>
      <c r="AP103" s="85"/>
      <c r="AQ103" s="85"/>
      <c r="AR103" s="85"/>
      <c r="AS103" s="85"/>
      <c r="AT103" s="74"/>
      <c r="AZ103" s="117"/>
      <c r="BB103" s="117"/>
      <c r="BD103" s="117"/>
      <c r="BF103" s="117"/>
      <c r="BH103" s="117"/>
      <c r="BJ103" s="118"/>
      <c r="BK103" s="120"/>
      <c r="BL103" s="119"/>
      <c r="BM103" s="119"/>
      <c r="BN103" s="119"/>
    </row>
    <row r="104" spans="1:66" s="57" customFormat="1">
      <c r="A104" s="83"/>
      <c r="B104" s="84"/>
      <c r="C104" s="85"/>
      <c r="D104" s="85"/>
      <c r="E104" s="85"/>
      <c r="F104" s="85"/>
      <c r="G104" s="85"/>
      <c r="H104" s="122"/>
      <c r="I104" s="85"/>
      <c r="J104" s="85"/>
      <c r="K104" s="85"/>
      <c r="L104" s="85"/>
      <c r="M104" s="122"/>
      <c r="N104" s="85"/>
      <c r="O104" s="85"/>
      <c r="P104" s="85"/>
      <c r="Q104" s="85"/>
      <c r="R104" s="122"/>
      <c r="S104" s="85"/>
      <c r="T104" s="85"/>
      <c r="U104" s="85"/>
      <c r="V104" s="85"/>
      <c r="W104" s="85"/>
      <c r="X104" s="85"/>
      <c r="Y104" s="72"/>
      <c r="Z104" s="123"/>
      <c r="AA104" s="85"/>
      <c r="AB104" s="85"/>
      <c r="AC104" s="72"/>
      <c r="AD104" s="72"/>
      <c r="AE104" s="122"/>
      <c r="AF104" s="85"/>
      <c r="AG104" s="85"/>
      <c r="AH104" s="121"/>
      <c r="AI104" s="72"/>
      <c r="AJ104" s="124"/>
      <c r="AK104" s="85"/>
      <c r="AL104" s="85"/>
      <c r="AM104" s="85"/>
      <c r="AN104" s="85"/>
      <c r="AO104" s="85"/>
      <c r="AP104" s="85"/>
      <c r="AQ104" s="85"/>
      <c r="AR104" s="85"/>
      <c r="AS104" s="85"/>
      <c r="AT104" s="74"/>
      <c r="AZ104" s="117"/>
      <c r="BB104" s="117"/>
      <c r="BD104" s="117"/>
      <c r="BF104" s="117"/>
      <c r="BH104" s="117"/>
      <c r="BJ104" s="118"/>
      <c r="BK104" s="120"/>
      <c r="BL104" s="119"/>
      <c r="BM104" s="119"/>
      <c r="BN104" s="119"/>
    </row>
    <row r="105" spans="1:66" s="57" customFormat="1">
      <c r="A105" s="83"/>
      <c r="B105" s="84"/>
      <c r="C105" s="85"/>
      <c r="D105" s="85"/>
      <c r="E105" s="85"/>
      <c r="F105" s="85"/>
      <c r="G105" s="85"/>
      <c r="H105" s="122"/>
      <c r="I105" s="85"/>
      <c r="J105" s="85"/>
      <c r="K105" s="85"/>
      <c r="L105" s="85"/>
      <c r="M105" s="122"/>
      <c r="N105" s="85"/>
      <c r="O105" s="85"/>
      <c r="P105" s="85"/>
      <c r="Q105" s="85"/>
      <c r="R105" s="122"/>
      <c r="S105" s="85"/>
      <c r="T105" s="85"/>
      <c r="U105" s="85"/>
      <c r="V105" s="85"/>
      <c r="W105" s="85"/>
      <c r="X105" s="85"/>
      <c r="Y105" s="72"/>
      <c r="Z105" s="123"/>
      <c r="AA105" s="85"/>
      <c r="AB105" s="85"/>
      <c r="AC105" s="72"/>
      <c r="AD105" s="72"/>
      <c r="AE105" s="122"/>
      <c r="AF105" s="85"/>
      <c r="AG105" s="85"/>
      <c r="AH105" s="121"/>
      <c r="AI105" s="72"/>
      <c r="AJ105" s="124"/>
      <c r="AK105" s="85"/>
      <c r="AL105" s="85"/>
      <c r="AM105" s="85"/>
      <c r="AN105" s="85"/>
      <c r="AO105" s="85"/>
      <c r="AP105" s="85"/>
      <c r="AQ105" s="85"/>
      <c r="AR105" s="85"/>
      <c r="AS105" s="85"/>
      <c r="AT105" s="74"/>
      <c r="AZ105" s="117"/>
      <c r="BB105" s="117"/>
      <c r="BD105" s="117"/>
      <c r="BF105" s="117"/>
      <c r="BH105" s="117"/>
      <c r="BJ105" s="118"/>
      <c r="BK105" s="120"/>
      <c r="BL105" s="119"/>
      <c r="BM105" s="119"/>
      <c r="BN105" s="119"/>
    </row>
    <row r="106" spans="1:66" s="57" customFormat="1">
      <c r="A106" s="83"/>
      <c r="B106" s="84"/>
      <c r="C106" s="85"/>
      <c r="D106" s="85"/>
      <c r="E106" s="85"/>
      <c r="F106" s="85"/>
      <c r="G106" s="85"/>
      <c r="H106" s="122"/>
      <c r="I106" s="85"/>
      <c r="J106" s="85"/>
      <c r="K106" s="85"/>
      <c r="L106" s="85"/>
      <c r="M106" s="122"/>
      <c r="N106" s="85"/>
      <c r="O106" s="85"/>
      <c r="P106" s="85"/>
      <c r="Q106" s="85"/>
      <c r="R106" s="122"/>
      <c r="S106" s="85"/>
      <c r="T106" s="85"/>
      <c r="U106" s="85"/>
      <c r="V106" s="85"/>
      <c r="W106" s="85"/>
      <c r="X106" s="85"/>
      <c r="Y106" s="72"/>
      <c r="Z106" s="123"/>
      <c r="AA106" s="85"/>
      <c r="AB106" s="85"/>
      <c r="AC106" s="72"/>
      <c r="AD106" s="72"/>
      <c r="AE106" s="122"/>
      <c r="AF106" s="85"/>
      <c r="AG106" s="85"/>
      <c r="AH106" s="121"/>
      <c r="AI106" s="72"/>
      <c r="AJ106" s="124"/>
      <c r="AK106" s="85"/>
      <c r="AL106" s="85"/>
      <c r="AM106" s="85"/>
      <c r="AN106" s="85"/>
      <c r="AO106" s="85"/>
      <c r="AP106" s="85"/>
      <c r="AQ106" s="85"/>
      <c r="AR106" s="85"/>
      <c r="AS106" s="85"/>
      <c r="AT106" s="74"/>
      <c r="AZ106" s="117"/>
      <c r="BB106" s="117"/>
      <c r="BD106" s="117"/>
      <c r="BF106" s="117"/>
      <c r="BH106" s="117"/>
      <c r="BJ106" s="118"/>
      <c r="BK106" s="120"/>
      <c r="BL106" s="119"/>
      <c r="BM106" s="119"/>
      <c r="BN106" s="119"/>
    </row>
    <row r="107" spans="1:66" s="57" customFormat="1">
      <c r="A107" s="83"/>
      <c r="B107" s="84"/>
      <c r="C107" s="85"/>
      <c r="D107" s="85"/>
      <c r="E107" s="85"/>
      <c r="F107" s="85"/>
      <c r="G107" s="85"/>
      <c r="H107" s="122"/>
      <c r="I107" s="85"/>
      <c r="J107" s="85"/>
      <c r="K107" s="85"/>
      <c r="L107" s="85"/>
      <c r="M107" s="122"/>
      <c r="N107" s="85"/>
      <c r="O107" s="85"/>
      <c r="P107" s="85"/>
      <c r="Q107" s="85"/>
      <c r="R107" s="122"/>
      <c r="S107" s="85"/>
      <c r="T107" s="85"/>
      <c r="U107" s="85"/>
      <c r="V107" s="85"/>
      <c r="W107" s="85"/>
      <c r="X107" s="85"/>
      <c r="Y107" s="72"/>
      <c r="Z107" s="123"/>
      <c r="AA107" s="85"/>
      <c r="AB107" s="85"/>
      <c r="AC107" s="72"/>
      <c r="AD107" s="72"/>
      <c r="AE107" s="122"/>
      <c r="AF107" s="85"/>
      <c r="AG107" s="85"/>
      <c r="AH107" s="121"/>
      <c r="AI107" s="72"/>
      <c r="AJ107" s="124"/>
      <c r="AK107" s="85"/>
      <c r="AL107" s="85"/>
      <c r="AM107" s="85"/>
      <c r="AN107" s="85"/>
      <c r="AO107" s="85"/>
      <c r="AP107" s="85"/>
      <c r="AQ107" s="85"/>
      <c r="AR107" s="85"/>
      <c r="AS107" s="85"/>
      <c r="AT107" s="74"/>
      <c r="AZ107" s="117"/>
      <c r="BB107" s="117"/>
      <c r="BD107" s="117"/>
      <c r="BF107" s="117"/>
      <c r="BH107" s="117"/>
      <c r="BJ107" s="118"/>
      <c r="BK107" s="120"/>
      <c r="BL107" s="119"/>
      <c r="BM107" s="119"/>
      <c r="BN107" s="119"/>
    </row>
    <row r="108" spans="1:66" s="57" customFormat="1">
      <c r="A108" s="83"/>
      <c r="B108" s="84"/>
      <c r="C108" s="85"/>
      <c r="D108" s="85"/>
      <c r="E108" s="85"/>
      <c r="F108" s="85"/>
      <c r="G108" s="85"/>
      <c r="H108" s="122"/>
      <c r="I108" s="85"/>
      <c r="J108" s="85"/>
      <c r="K108" s="85"/>
      <c r="L108" s="85"/>
      <c r="M108" s="122"/>
      <c r="N108" s="85"/>
      <c r="O108" s="85"/>
      <c r="P108" s="85"/>
      <c r="Q108" s="85"/>
      <c r="R108" s="122"/>
      <c r="S108" s="85"/>
      <c r="T108" s="85"/>
      <c r="U108" s="85"/>
      <c r="V108" s="85"/>
      <c r="W108" s="85"/>
      <c r="X108" s="2893">
        <f>X15-P15</f>
        <v>1311113.3947110809</v>
      </c>
      <c r="Y108" s="72"/>
      <c r="Z108" s="123"/>
      <c r="AA108" s="85"/>
      <c r="AB108" s="85"/>
      <c r="AC108" s="72"/>
      <c r="AD108" s="72"/>
      <c r="AE108" s="122"/>
      <c r="AF108" s="85"/>
      <c r="AG108" s="85"/>
      <c r="AH108" s="121"/>
      <c r="AI108" s="72"/>
      <c r="AJ108" s="124"/>
      <c r="AK108" s="85"/>
      <c r="AL108" s="85"/>
      <c r="AM108" s="85"/>
      <c r="AN108" s="85"/>
      <c r="AO108" s="85"/>
      <c r="AP108" s="85"/>
      <c r="AQ108" s="85"/>
      <c r="AR108" s="85"/>
      <c r="AS108" s="85"/>
      <c r="AT108" s="74"/>
      <c r="AZ108" s="117"/>
      <c r="BB108" s="117"/>
      <c r="BD108" s="117"/>
      <c r="BF108" s="117"/>
      <c r="BH108" s="117"/>
      <c r="BJ108" s="118"/>
      <c r="BK108" s="120"/>
      <c r="BL108" s="119"/>
      <c r="BM108" s="119"/>
      <c r="BN108" s="119"/>
    </row>
    <row r="109" spans="1:66" s="57" customFormat="1">
      <c r="A109" s="83"/>
      <c r="B109" s="84"/>
      <c r="C109" s="85"/>
      <c r="D109" s="85"/>
      <c r="E109" s="85"/>
      <c r="F109" s="85"/>
      <c r="G109" s="85"/>
      <c r="H109" s="122"/>
      <c r="I109" s="85"/>
      <c r="J109" s="85"/>
      <c r="K109" s="85"/>
      <c r="L109" s="85"/>
      <c r="M109" s="122"/>
      <c r="N109" s="85"/>
      <c r="O109" s="85"/>
      <c r="P109" s="85"/>
      <c r="Q109" s="85"/>
      <c r="R109" s="122"/>
      <c r="S109" s="85"/>
      <c r="T109" s="85"/>
      <c r="U109" s="85"/>
      <c r="V109" s="85"/>
      <c r="W109" s="85"/>
      <c r="X109" s="85"/>
      <c r="Y109" s="72"/>
      <c r="Z109" s="123"/>
      <c r="AA109" s="85"/>
      <c r="AB109" s="85"/>
      <c r="AC109" s="72"/>
      <c r="AD109" s="72"/>
      <c r="AE109" s="122"/>
      <c r="AF109" s="85"/>
      <c r="AG109" s="85"/>
      <c r="AH109" s="121"/>
      <c r="AI109" s="72"/>
      <c r="AJ109" s="124"/>
      <c r="AK109" s="85"/>
      <c r="AL109" s="85"/>
      <c r="AM109" s="85"/>
      <c r="AN109" s="85"/>
      <c r="AO109" s="85"/>
      <c r="AP109" s="85"/>
      <c r="AQ109" s="85"/>
      <c r="AR109" s="85"/>
      <c r="AS109" s="85"/>
      <c r="AT109" s="74"/>
      <c r="AZ109" s="117"/>
      <c r="BB109" s="117"/>
      <c r="BD109" s="117"/>
      <c r="BF109" s="117"/>
      <c r="BH109" s="117"/>
      <c r="BJ109" s="118"/>
      <c r="BK109" s="120"/>
      <c r="BL109" s="119"/>
      <c r="BM109" s="119"/>
      <c r="BN109" s="119"/>
    </row>
    <row r="110" spans="1:66" s="57" customFormat="1">
      <c r="A110" s="83"/>
      <c r="B110" s="84"/>
      <c r="C110" s="85"/>
      <c r="D110" s="85"/>
      <c r="E110" s="85"/>
      <c r="F110" s="85"/>
      <c r="G110" s="85"/>
      <c r="H110" s="122"/>
      <c r="I110" s="85"/>
      <c r="J110" s="85"/>
      <c r="K110" s="85"/>
      <c r="L110" s="85"/>
      <c r="M110" s="122"/>
      <c r="N110" s="85"/>
      <c r="O110" s="85"/>
      <c r="P110" s="85"/>
      <c r="Q110" s="85"/>
      <c r="R110" s="122"/>
      <c r="S110" s="85"/>
      <c r="T110" s="85"/>
      <c r="U110" s="85"/>
      <c r="V110" s="85"/>
      <c r="W110" s="85"/>
      <c r="X110" s="85"/>
      <c r="Y110" s="72"/>
      <c r="Z110" s="123"/>
      <c r="AA110" s="85"/>
      <c r="AB110" s="85"/>
      <c r="AC110" s="72"/>
      <c r="AD110" s="72"/>
      <c r="AE110" s="122"/>
      <c r="AF110" s="85"/>
      <c r="AG110" s="85"/>
      <c r="AH110" s="121"/>
      <c r="AI110" s="72"/>
      <c r="AJ110" s="124"/>
      <c r="AK110" s="85"/>
      <c r="AL110" s="85"/>
      <c r="AM110" s="85"/>
      <c r="AN110" s="85"/>
      <c r="AO110" s="85"/>
      <c r="AP110" s="85"/>
      <c r="AQ110" s="85"/>
      <c r="AR110" s="85"/>
      <c r="AS110" s="85"/>
      <c r="AT110" s="74"/>
      <c r="AZ110" s="117"/>
      <c r="BB110" s="117"/>
      <c r="BD110" s="117"/>
      <c r="BF110" s="117"/>
      <c r="BH110" s="117"/>
      <c r="BJ110" s="118"/>
      <c r="BK110" s="120"/>
      <c r="BL110" s="119"/>
      <c r="BM110" s="119"/>
      <c r="BN110" s="119"/>
    </row>
    <row r="111" spans="1:66" s="57" customFormat="1">
      <c r="A111" s="83"/>
      <c r="B111" s="84"/>
      <c r="C111" s="85"/>
      <c r="D111" s="85"/>
      <c r="E111" s="85"/>
      <c r="F111" s="85"/>
      <c r="G111" s="85"/>
      <c r="H111" s="122"/>
      <c r="I111" s="85"/>
      <c r="J111" s="85"/>
      <c r="K111" s="85"/>
      <c r="L111" s="85"/>
      <c r="M111" s="122"/>
      <c r="N111" s="85"/>
      <c r="O111" s="85"/>
      <c r="P111" s="85"/>
      <c r="Q111" s="85"/>
      <c r="R111" s="122"/>
      <c r="S111" s="85"/>
      <c r="T111" s="85"/>
      <c r="U111" s="85"/>
      <c r="V111" s="85"/>
      <c r="W111" s="85"/>
      <c r="X111" s="85"/>
      <c r="Y111" s="72"/>
      <c r="Z111" s="123"/>
      <c r="AA111" s="85"/>
      <c r="AB111" s="85"/>
      <c r="AC111" s="72"/>
      <c r="AD111" s="72"/>
      <c r="AE111" s="122"/>
      <c r="AF111" s="85"/>
      <c r="AG111" s="85"/>
      <c r="AH111" s="121"/>
      <c r="AI111" s="72"/>
      <c r="AJ111" s="124"/>
      <c r="AK111" s="85"/>
      <c r="AL111" s="85"/>
      <c r="AM111" s="85"/>
      <c r="AN111" s="85"/>
      <c r="AO111" s="85"/>
      <c r="AP111" s="85"/>
      <c r="AQ111" s="85"/>
      <c r="AR111" s="85"/>
      <c r="AS111" s="85"/>
      <c r="AT111" s="74"/>
      <c r="AZ111" s="117"/>
      <c r="BB111" s="117"/>
      <c r="BD111" s="117"/>
      <c r="BF111" s="117"/>
      <c r="BH111" s="117"/>
      <c r="BJ111" s="118"/>
      <c r="BK111" s="120"/>
      <c r="BL111" s="119"/>
      <c r="BM111" s="119"/>
      <c r="BN111" s="119"/>
    </row>
    <row r="112" spans="1:66" s="57" customFormat="1">
      <c r="A112" s="83"/>
      <c r="B112" s="84"/>
      <c r="C112" s="85"/>
      <c r="D112" s="85"/>
      <c r="E112" s="85"/>
      <c r="F112" s="85"/>
      <c r="G112" s="85"/>
      <c r="H112" s="122"/>
      <c r="I112" s="85"/>
      <c r="J112" s="85"/>
      <c r="K112" s="85"/>
      <c r="L112" s="85"/>
      <c r="M112" s="122"/>
      <c r="N112" s="85"/>
      <c r="O112" s="85"/>
      <c r="P112" s="85"/>
      <c r="Q112" s="85"/>
      <c r="R112" s="122"/>
      <c r="S112" s="85"/>
      <c r="T112" s="85"/>
      <c r="U112" s="85"/>
      <c r="V112" s="85"/>
      <c r="W112" s="85"/>
      <c r="X112" s="85"/>
      <c r="Y112" s="72"/>
      <c r="Z112" s="123"/>
      <c r="AA112" s="85"/>
      <c r="AB112" s="85"/>
      <c r="AC112" s="72"/>
      <c r="AD112" s="72"/>
      <c r="AE112" s="122"/>
      <c r="AF112" s="85"/>
      <c r="AG112" s="85"/>
      <c r="AH112" s="121"/>
      <c r="AI112" s="72"/>
      <c r="AJ112" s="124"/>
      <c r="AK112" s="85"/>
      <c r="AL112" s="85"/>
      <c r="AM112" s="85"/>
      <c r="AN112" s="85"/>
      <c r="AO112" s="85"/>
      <c r="AP112" s="85"/>
      <c r="AQ112" s="85"/>
      <c r="AR112" s="85"/>
      <c r="AS112" s="85"/>
      <c r="AT112" s="74"/>
      <c r="AZ112" s="117"/>
      <c r="BB112" s="117"/>
      <c r="BD112" s="117"/>
      <c r="BF112" s="117"/>
      <c r="BH112" s="117"/>
      <c r="BJ112" s="118"/>
      <c r="BK112" s="120"/>
      <c r="BL112" s="119"/>
      <c r="BM112" s="119"/>
      <c r="BN112" s="119"/>
    </row>
    <row r="113" spans="1:66" s="57" customFormat="1">
      <c r="A113" s="83"/>
      <c r="B113" s="84"/>
      <c r="C113" s="85"/>
      <c r="D113" s="85"/>
      <c r="E113" s="85"/>
      <c r="F113" s="85"/>
      <c r="G113" s="85"/>
      <c r="H113" s="122"/>
      <c r="I113" s="85"/>
      <c r="J113" s="85"/>
      <c r="K113" s="85"/>
      <c r="L113" s="85"/>
      <c r="M113" s="122"/>
      <c r="N113" s="85"/>
      <c r="O113" s="85"/>
      <c r="P113" s="85"/>
      <c r="Q113" s="85"/>
      <c r="R113" s="122"/>
      <c r="S113" s="85"/>
      <c r="T113" s="85"/>
      <c r="U113" s="85"/>
      <c r="V113" s="85"/>
      <c r="W113" s="85"/>
      <c r="X113" s="85"/>
      <c r="Y113" s="72"/>
      <c r="Z113" s="123"/>
      <c r="AA113" s="85"/>
      <c r="AB113" s="85"/>
      <c r="AC113" s="72"/>
      <c r="AD113" s="72"/>
      <c r="AE113" s="122"/>
      <c r="AF113" s="85"/>
      <c r="AG113" s="85"/>
      <c r="AH113" s="121"/>
      <c r="AI113" s="72"/>
      <c r="AJ113" s="124"/>
      <c r="AK113" s="85"/>
      <c r="AL113" s="85"/>
      <c r="AM113" s="85"/>
      <c r="AN113" s="85"/>
      <c r="AO113" s="85"/>
      <c r="AP113" s="85"/>
      <c r="AQ113" s="85"/>
      <c r="AR113" s="85"/>
      <c r="AS113" s="85"/>
      <c r="AT113" s="74"/>
      <c r="AZ113" s="117"/>
      <c r="BB113" s="117"/>
      <c r="BD113" s="117"/>
      <c r="BF113" s="117"/>
      <c r="BH113" s="117"/>
      <c r="BJ113" s="118"/>
      <c r="BK113" s="120"/>
      <c r="BL113" s="119"/>
      <c r="BM113" s="119"/>
      <c r="BN113" s="119"/>
    </row>
    <row r="114" spans="1:66" s="57" customFormat="1">
      <c r="A114" s="83"/>
      <c r="B114" s="84"/>
      <c r="C114" s="85"/>
      <c r="D114" s="85"/>
      <c r="E114" s="85"/>
      <c r="F114" s="85"/>
      <c r="G114" s="85"/>
      <c r="H114" s="122"/>
      <c r="I114" s="85"/>
      <c r="J114" s="85"/>
      <c r="K114" s="85"/>
      <c r="L114" s="85"/>
      <c r="M114" s="122"/>
      <c r="N114" s="85"/>
      <c r="O114" s="85"/>
      <c r="P114" s="85"/>
      <c r="Q114" s="85"/>
      <c r="R114" s="122"/>
      <c r="S114" s="85"/>
      <c r="T114" s="85"/>
      <c r="U114" s="85"/>
      <c r="V114" s="85"/>
      <c r="W114" s="85"/>
      <c r="X114" s="85"/>
      <c r="Y114" s="72"/>
      <c r="Z114" s="123"/>
      <c r="AA114" s="85"/>
      <c r="AB114" s="85"/>
      <c r="AC114" s="72"/>
      <c r="AD114" s="72"/>
      <c r="AE114" s="122"/>
      <c r="AF114" s="85"/>
      <c r="AG114" s="85"/>
      <c r="AH114" s="121"/>
      <c r="AI114" s="72"/>
      <c r="AJ114" s="124"/>
      <c r="AK114" s="85"/>
      <c r="AL114" s="85"/>
      <c r="AM114" s="85"/>
      <c r="AN114" s="85"/>
      <c r="AO114" s="85"/>
      <c r="AP114" s="85"/>
      <c r="AQ114" s="85"/>
      <c r="AR114" s="85"/>
      <c r="AS114" s="85"/>
      <c r="AT114" s="74"/>
      <c r="AZ114" s="117"/>
      <c r="BB114" s="117"/>
      <c r="BD114" s="117"/>
      <c r="BF114" s="117"/>
      <c r="BH114" s="117"/>
      <c r="BJ114" s="118"/>
      <c r="BK114" s="120"/>
      <c r="BL114" s="119"/>
      <c r="BM114" s="119"/>
      <c r="BN114" s="119"/>
    </row>
    <row r="115" spans="1:66" s="57" customFormat="1">
      <c r="A115" s="83"/>
      <c r="B115" s="84"/>
      <c r="C115" s="85"/>
      <c r="D115" s="85"/>
      <c r="E115" s="85"/>
      <c r="F115" s="85"/>
      <c r="G115" s="85"/>
      <c r="H115" s="122"/>
      <c r="I115" s="85"/>
      <c r="J115" s="85"/>
      <c r="K115" s="85"/>
      <c r="L115" s="85"/>
      <c r="M115" s="122"/>
      <c r="N115" s="85"/>
      <c r="O115" s="85"/>
      <c r="P115" s="85"/>
      <c r="Q115" s="85"/>
      <c r="R115" s="122"/>
      <c r="S115" s="85"/>
      <c r="T115" s="85"/>
      <c r="U115" s="85"/>
      <c r="V115" s="85"/>
      <c r="W115" s="85"/>
      <c r="X115" s="85"/>
      <c r="Y115" s="72"/>
      <c r="Z115" s="123"/>
      <c r="AA115" s="85"/>
      <c r="AB115" s="85"/>
      <c r="AC115" s="72"/>
      <c r="AD115" s="72"/>
      <c r="AE115" s="122"/>
      <c r="AF115" s="85"/>
      <c r="AG115" s="85"/>
      <c r="AH115" s="121"/>
      <c r="AI115" s="72"/>
      <c r="AJ115" s="124"/>
      <c r="AK115" s="85"/>
      <c r="AL115" s="85"/>
      <c r="AM115" s="85"/>
      <c r="AN115" s="85"/>
      <c r="AO115" s="85"/>
      <c r="AP115" s="85"/>
      <c r="AQ115" s="85"/>
      <c r="AR115" s="85"/>
      <c r="AS115" s="85"/>
      <c r="AT115" s="74"/>
      <c r="AZ115" s="117"/>
      <c r="BB115" s="117"/>
      <c r="BD115" s="117"/>
      <c r="BF115" s="117"/>
      <c r="BH115" s="117"/>
      <c r="BJ115" s="118"/>
      <c r="BK115" s="120"/>
      <c r="BL115" s="119"/>
      <c r="BM115" s="119"/>
      <c r="BN115" s="119"/>
    </row>
    <row r="116" spans="1:66" s="57" customFormat="1">
      <c r="A116" s="83"/>
      <c r="B116" s="84"/>
      <c r="C116" s="85"/>
      <c r="D116" s="85"/>
      <c r="E116" s="85"/>
      <c r="F116" s="85"/>
      <c r="G116" s="85"/>
      <c r="H116" s="122"/>
      <c r="I116" s="85"/>
      <c r="J116" s="85"/>
      <c r="K116" s="85"/>
      <c r="L116" s="85"/>
      <c r="M116" s="122"/>
      <c r="N116" s="85"/>
      <c r="O116" s="85"/>
      <c r="P116" s="85"/>
      <c r="Q116" s="85"/>
      <c r="R116" s="122"/>
      <c r="S116" s="85"/>
      <c r="T116" s="85"/>
      <c r="U116" s="85"/>
      <c r="V116" s="85"/>
      <c r="W116" s="85"/>
      <c r="X116" s="85"/>
      <c r="Y116" s="72"/>
      <c r="Z116" s="123"/>
      <c r="AA116" s="85"/>
      <c r="AB116" s="85"/>
      <c r="AC116" s="72"/>
      <c r="AD116" s="72"/>
      <c r="AE116" s="122"/>
      <c r="AF116" s="85"/>
      <c r="AG116" s="85"/>
      <c r="AH116" s="121"/>
      <c r="AI116" s="72"/>
      <c r="AJ116" s="124"/>
      <c r="AK116" s="85"/>
      <c r="AL116" s="85"/>
      <c r="AM116" s="85"/>
      <c r="AN116" s="85"/>
      <c r="AO116" s="85"/>
      <c r="AP116" s="85"/>
      <c r="AQ116" s="85"/>
      <c r="AR116" s="85"/>
      <c r="AS116" s="85"/>
      <c r="AT116" s="74"/>
      <c r="AZ116" s="117"/>
      <c r="BB116" s="117"/>
      <c r="BD116" s="117"/>
      <c r="BF116" s="117"/>
      <c r="BH116" s="117"/>
      <c r="BJ116" s="118"/>
      <c r="BK116" s="120"/>
      <c r="BL116" s="119"/>
      <c r="BM116" s="119"/>
      <c r="BN116" s="119"/>
    </row>
    <row r="117" spans="1:66" s="57" customFormat="1">
      <c r="A117" s="83"/>
      <c r="B117" s="84"/>
      <c r="C117" s="85"/>
      <c r="D117" s="85"/>
      <c r="E117" s="85"/>
      <c r="F117" s="85"/>
      <c r="G117" s="85"/>
      <c r="H117" s="122"/>
      <c r="I117" s="85"/>
      <c r="J117" s="85"/>
      <c r="K117" s="85"/>
      <c r="L117" s="85"/>
      <c r="M117" s="122"/>
      <c r="N117" s="85"/>
      <c r="O117" s="85"/>
      <c r="P117" s="85"/>
      <c r="Q117" s="85"/>
      <c r="R117" s="122"/>
      <c r="S117" s="85"/>
      <c r="T117" s="85"/>
      <c r="U117" s="85"/>
      <c r="V117" s="85"/>
      <c r="W117" s="85"/>
      <c r="X117" s="85"/>
      <c r="Y117" s="72"/>
      <c r="Z117" s="123"/>
      <c r="AA117" s="85"/>
      <c r="AB117" s="85"/>
      <c r="AC117" s="72"/>
      <c r="AD117" s="72"/>
      <c r="AE117" s="122"/>
      <c r="AF117" s="85"/>
      <c r="AG117" s="85"/>
      <c r="AH117" s="121"/>
      <c r="AI117" s="72"/>
      <c r="AJ117" s="124"/>
      <c r="AK117" s="85"/>
      <c r="AL117" s="85"/>
      <c r="AM117" s="85"/>
      <c r="AN117" s="85"/>
      <c r="AO117" s="85"/>
      <c r="AP117" s="85"/>
      <c r="AQ117" s="85"/>
      <c r="AR117" s="85"/>
      <c r="AS117" s="85"/>
      <c r="AT117" s="74"/>
      <c r="AZ117" s="117"/>
      <c r="BB117" s="117"/>
      <c r="BD117" s="117"/>
      <c r="BF117" s="117"/>
      <c r="BH117" s="117"/>
      <c r="BJ117" s="118"/>
      <c r="BK117" s="120"/>
      <c r="BL117" s="119"/>
      <c r="BM117" s="119"/>
      <c r="BN117" s="119"/>
    </row>
    <row r="118" spans="1:66" s="57" customFormat="1">
      <c r="A118" s="83"/>
      <c r="B118" s="84"/>
      <c r="C118" s="85"/>
      <c r="D118" s="85"/>
      <c r="E118" s="85"/>
      <c r="F118" s="85"/>
      <c r="G118" s="85"/>
      <c r="H118" s="122"/>
      <c r="I118" s="85"/>
      <c r="J118" s="85"/>
      <c r="K118" s="85"/>
      <c r="L118" s="85"/>
      <c r="M118" s="122"/>
      <c r="N118" s="85"/>
      <c r="O118" s="85"/>
      <c r="P118" s="85"/>
      <c r="Q118" s="85"/>
      <c r="R118" s="122"/>
      <c r="S118" s="85"/>
      <c r="T118" s="85"/>
      <c r="U118" s="85"/>
      <c r="V118" s="85"/>
      <c r="W118" s="85"/>
      <c r="X118" s="85"/>
      <c r="Y118" s="72"/>
      <c r="Z118" s="123"/>
      <c r="AA118" s="85"/>
      <c r="AB118" s="85"/>
      <c r="AC118" s="72"/>
      <c r="AD118" s="72"/>
      <c r="AE118" s="122"/>
      <c r="AF118" s="85"/>
      <c r="AG118" s="85"/>
      <c r="AH118" s="121"/>
      <c r="AI118" s="72"/>
      <c r="AJ118" s="124"/>
      <c r="AK118" s="85"/>
      <c r="AL118" s="85"/>
      <c r="AM118" s="85"/>
      <c r="AN118" s="85"/>
      <c r="AO118" s="85"/>
      <c r="AP118" s="85"/>
      <c r="AQ118" s="85"/>
      <c r="AR118" s="85"/>
      <c r="AS118" s="85"/>
      <c r="AT118" s="74"/>
      <c r="AZ118" s="117"/>
      <c r="BB118" s="117"/>
      <c r="BD118" s="117"/>
      <c r="BF118" s="117"/>
      <c r="BH118" s="117"/>
      <c r="BJ118" s="118"/>
      <c r="BK118" s="120"/>
      <c r="BL118" s="119"/>
      <c r="BM118" s="119"/>
      <c r="BN118" s="119"/>
    </row>
    <row r="119" spans="1:66" s="57" customFormat="1">
      <c r="A119" s="83"/>
      <c r="B119" s="84"/>
      <c r="C119" s="85"/>
      <c r="D119" s="85"/>
      <c r="E119" s="85"/>
      <c r="F119" s="85"/>
      <c r="G119" s="85"/>
      <c r="H119" s="122"/>
      <c r="I119" s="85"/>
      <c r="J119" s="85"/>
      <c r="K119" s="85"/>
      <c r="L119" s="85"/>
      <c r="M119" s="122"/>
      <c r="N119" s="85"/>
      <c r="O119" s="85"/>
      <c r="P119" s="85"/>
      <c r="Q119" s="85"/>
      <c r="R119" s="122"/>
      <c r="S119" s="85"/>
      <c r="T119" s="85"/>
      <c r="U119" s="85"/>
      <c r="V119" s="85"/>
      <c r="W119" s="85"/>
      <c r="X119" s="2074"/>
      <c r="Y119" s="2074"/>
      <c r="Z119" s="2074"/>
      <c r="AA119" s="2074">
        <f>AA30/AA8</f>
        <v>2.2624620956197258E-2</v>
      </c>
      <c r="AB119" s="2074">
        <f>AB30/AB8</f>
        <v>1.7722789247824444E-2</v>
      </c>
      <c r="AC119" s="72"/>
      <c r="AD119" s="72"/>
      <c r="AE119" s="122"/>
      <c r="AF119" s="85"/>
      <c r="AG119" s="85"/>
      <c r="AH119" s="121"/>
      <c r="AI119" s="72"/>
      <c r="AJ119" s="124"/>
      <c r="AK119" s="85"/>
      <c r="AL119" s="85"/>
      <c r="AM119" s="85"/>
      <c r="AN119" s="85"/>
      <c r="AO119" s="85"/>
      <c r="AP119" s="85"/>
      <c r="AQ119" s="85"/>
      <c r="AR119" s="85"/>
      <c r="AS119" s="85"/>
      <c r="AT119" s="74"/>
      <c r="AZ119" s="117"/>
      <c r="BB119" s="117"/>
      <c r="BD119" s="117"/>
      <c r="BF119" s="117"/>
      <c r="BH119" s="117"/>
      <c r="BJ119" s="118"/>
      <c r="BK119" s="120"/>
      <c r="BL119" s="119"/>
      <c r="BM119" s="119"/>
      <c r="BN119" s="119"/>
    </row>
    <row r="120" spans="1:66" s="57" customFormat="1">
      <c r="A120" s="83"/>
      <c r="B120" s="84"/>
      <c r="C120" s="85"/>
      <c r="D120" s="85"/>
      <c r="E120" s="85"/>
      <c r="F120" s="85"/>
      <c r="G120" s="85"/>
      <c r="H120" s="122"/>
      <c r="I120" s="85"/>
      <c r="J120" s="85"/>
      <c r="K120" s="85"/>
      <c r="L120" s="85"/>
      <c r="M120" s="122"/>
      <c r="N120" s="85"/>
      <c r="O120" s="85"/>
      <c r="P120" s="85"/>
      <c r="Q120" s="85"/>
      <c r="R120" s="122"/>
      <c r="S120" s="85"/>
      <c r="T120" s="85"/>
      <c r="U120" s="85"/>
      <c r="V120" s="85"/>
      <c r="W120" s="85"/>
      <c r="X120" s="85"/>
      <c r="Y120" s="72"/>
      <c r="Z120" s="123"/>
      <c r="AA120" s="2074"/>
      <c r="AB120" s="2074"/>
      <c r="AC120" s="72"/>
      <c r="AD120" s="72"/>
      <c r="AE120" s="122"/>
      <c r="AF120" s="85"/>
      <c r="AG120" s="85"/>
      <c r="AH120" s="121"/>
      <c r="AI120" s="72"/>
      <c r="AJ120" s="124"/>
      <c r="AK120" s="85"/>
      <c r="AL120" s="85"/>
      <c r="AM120" s="85"/>
      <c r="AN120" s="85"/>
      <c r="AO120" s="85"/>
      <c r="AP120" s="85"/>
      <c r="AQ120" s="85"/>
      <c r="AR120" s="85"/>
      <c r="AS120" s="85"/>
      <c r="AT120" s="74"/>
      <c r="AZ120" s="117"/>
      <c r="BB120" s="117"/>
      <c r="BD120" s="117"/>
      <c r="BF120" s="117"/>
      <c r="BH120" s="117"/>
      <c r="BJ120" s="118"/>
      <c r="BK120" s="120"/>
      <c r="BL120" s="119"/>
      <c r="BM120" s="119"/>
      <c r="BN120" s="119"/>
    </row>
    <row r="121" spans="1:66" s="57" customFormat="1">
      <c r="A121" s="83"/>
      <c r="B121" s="84"/>
      <c r="C121" s="85"/>
      <c r="D121" s="85"/>
      <c r="E121" s="85"/>
      <c r="F121" s="85"/>
      <c r="G121" s="85"/>
      <c r="H121" s="122"/>
      <c r="I121" s="85"/>
      <c r="J121" s="85"/>
      <c r="K121" s="85"/>
      <c r="L121" s="85"/>
      <c r="M121" s="122"/>
      <c r="N121" s="85"/>
      <c r="O121" s="85"/>
      <c r="P121" s="85"/>
      <c r="Q121" s="85"/>
      <c r="R121" s="122"/>
      <c r="S121" s="85"/>
      <c r="T121" s="85"/>
      <c r="U121" s="85"/>
      <c r="V121" s="85"/>
      <c r="W121" s="85"/>
      <c r="X121" s="85"/>
      <c r="Y121" s="72"/>
      <c r="Z121" s="123"/>
      <c r="AA121" s="85"/>
      <c r="AB121" s="85"/>
      <c r="AC121" s="72"/>
      <c r="AD121" s="72"/>
      <c r="AE121" s="122"/>
      <c r="AF121" s="85"/>
      <c r="AG121" s="85"/>
      <c r="AH121" s="121"/>
      <c r="AI121" s="72"/>
      <c r="AJ121" s="124"/>
      <c r="AK121" s="85"/>
      <c r="AL121" s="85"/>
      <c r="AM121" s="85"/>
      <c r="AN121" s="85"/>
      <c r="AO121" s="85"/>
      <c r="AP121" s="85"/>
      <c r="AQ121" s="85"/>
      <c r="AR121" s="85"/>
      <c r="AS121" s="85"/>
      <c r="AT121" s="74"/>
      <c r="AZ121" s="117"/>
      <c r="BB121" s="117"/>
      <c r="BD121" s="117"/>
      <c r="BF121" s="117"/>
      <c r="BH121" s="117"/>
      <c r="BJ121" s="118"/>
      <c r="BK121" s="120"/>
      <c r="BL121" s="119"/>
      <c r="BM121" s="119"/>
      <c r="BN121" s="119"/>
    </row>
    <row r="122" spans="1:66" s="57" customFormat="1">
      <c r="A122" s="83"/>
      <c r="B122" s="84"/>
      <c r="C122" s="85"/>
      <c r="D122" s="85"/>
      <c r="E122" s="85"/>
      <c r="F122" s="85"/>
      <c r="G122" s="85"/>
      <c r="H122" s="122"/>
      <c r="I122" s="85"/>
      <c r="J122" s="85"/>
      <c r="K122" s="85"/>
      <c r="L122" s="85"/>
      <c r="M122" s="122"/>
      <c r="N122" s="85"/>
      <c r="O122" s="85"/>
      <c r="P122" s="85"/>
      <c r="Q122" s="85"/>
      <c r="R122" s="122"/>
      <c r="S122" s="85"/>
      <c r="T122" s="85"/>
      <c r="U122" s="85"/>
      <c r="V122" s="85"/>
      <c r="W122" s="85"/>
      <c r="X122" s="2893"/>
      <c r="Y122" s="72"/>
      <c r="Z122" s="123"/>
      <c r="AA122" s="85"/>
      <c r="AB122" s="85"/>
      <c r="AC122" s="72"/>
      <c r="AD122" s="72"/>
      <c r="AE122" s="122"/>
      <c r="AF122" s="85"/>
      <c r="AG122" s="85"/>
      <c r="AH122" s="121"/>
      <c r="AI122" s="72"/>
      <c r="AJ122" s="124"/>
      <c r="AK122" s="85"/>
      <c r="AL122" s="85"/>
      <c r="AM122" s="85"/>
      <c r="AN122" s="85"/>
      <c r="AO122" s="85"/>
      <c r="AP122" s="85"/>
      <c r="AQ122" s="85"/>
      <c r="AR122" s="85"/>
      <c r="AS122" s="85"/>
      <c r="AT122" s="74"/>
      <c r="AZ122" s="117"/>
      <c r="BB122" s="117"/>
      <c r="BD122" s="117"/>
      <c r="BF122" s="117"/>
      <c r="BH122" s="117"/>
      <c r="BJ122" s="118"/>
      <c r="BK122" s="120"/>
      <c r="BL122" s="119"/>
      <c r="BM122" s="119"/>
      <c r="BN122" s="119"/>
    </row>
    <row r="123" spans="1:66" s="57" customFormat="1">
      <c r="A123" s="83"/>
      <c r="B123" s="84"/>
      <c r="C123" s="85"/>
      <c r="D123" s="85"/>
      <c r="E123" s="85"/>
      <c r="F123" s="85"/>
      <c r="G123" s="85"/>
      <c r="H123" s="122"/>
      <c r="I123" s="85"/>
      <c r="J123" s="85"/>
      <c r="K123" s="85"/>
      <c r="L123" s="85"/>
      <c r="M123" s="122"/>
      <c r="N123" s="85"/>
      <c r="O123" s="85"/>
      <c r="P123" s="85"/>
      <c r="Q123" s="85"/>
      <c r="R123" s="122"/>
      <c r="S123" s="85"/>
      <c r="T123" s="85"/>
      <c r="U123" s="85"/>
      <c r="V123" s="85"/>
      <c r="W123" s="85"/>
      <c r="X123" s="85"/>
      <c r="Y123" s="72">
        <f>X7-X123</f>
        <v>18627408.915999997</v>
      </c>
      <c r="Z123" s="123"/>
      <c r="AA123" s="85"/>
      <c r="AB123" s="85"/>
      <c r="AC123" s="72">
        <f>'Phụ lục số 1'!AN61</f>
        <v>19478786.72038975</v>
      </c>
      <c r="AD123" s="72">
        <f>AC7-AC123</f>
        <v>-0.11019487306475639</v>
      </c>
      <c r="AE123" s="122"/>
      <c r="AF123" s="85"/>
      <c r="AG123" s="85"/>
      <c r="AH123" s="85">
        <f>'Phụ lục số 1'!AT61</f>
        <v>20439289.843441617</v>
      </c>
      <c r="AI123" s="2615">
        <f>AH7-AH123</f>
        <v>7.3181755840778351E-2</v>
      </c>
      <c r="AJ123" s="124"/>
      <c r="AK123" s="85"/>
      <c r="AL123" s="85"/>
      <c r="AM123" s="85"/>
      <c r="AN123" s="85"/>
      <c r="AO123" s="85"/>
      <c r="AP123" s="85"/>
      <c r="AQ123" s="85"/>
      <c r="AR123" s="85"/>
      <c r="AS123" s="85"/>
      <c r="AT123" s="74"/>
      <c r="AZ123" s="117"/>
      <c r="BB123" s="117"/>
      <c r="BD123" s="117"/>
      <c r="BF123" s="117"/>
      <c r="BH123" s="117"/>
      <c r="BJ123" s="118"/>
      <c r="BK123" s="120"/>
      <c r="BL123" s="119"/>
      <c r="BM123" s="119"/>
      <c r="BN123" s="119"/>
    </row>
    <row r="124" spans="1:66" s="57" customFormat="1">
      <c r="A124" s="83"/>
      <c r="B124" s="84"/>
      <c r="C124" s="85"/>
      <c r="D124" s="85"/>
      <c r="E124" s="85"/>
      <c r="F124" s="85"/>
      <c r="G124" s="85"/>
      <c r="H124" s="122"/>
      <c r="I124" s="85"/>
      <c r="J124" s="85"/>
      <c r="K124" s="85"/>
      <c r="L124" s="85"/>
      <c r="M124" s="122"/>
      <c r="N124" s="85"/>
      <c r="O124" s="85"/>
      <c r="P124" s="85">
        <f>P7</f>
        <v>17291694.066666666</v>
      </c>
      <c r="Q124" s="85"/>
      <c r="R124" s="122"/>
      <c r="S124" s="85"/>
      <c r="T124" s="85">
        <f>X124-C8</f>
        <v>-13191488</v>
      </c>
      <c r="U124" s="85"/>
      <c r="V124" s="85"/>
      <c r="W124" s="85"/>
      <c r="X124" s="85"/>
      <c r="Y124" s="72">
        <f>X8-X124</f>
        <v>16638432.915999997</v>
      </c>
      <c r="Z124" s="123"/>
      <c r="AA124" s="4611"/>
      <c r="AB124" s="4611"/>
      <c r="AC124" s="72">
        <f>'Phụ lục số 1'!AN59+'Phụ lục số 1'!AN58+'Phụ lục số 1'!AN53+'Phụ lục số 1'!AN8</f>
        <v>17099301.420389749</v>
      </c>
      <c r="AD124" s="72">
        <f>AC8-AC124</f>
        <v>-0.11019487306475639</v>
      </c>
      <c r="AE124" s="122"/>
      <c r="AF124" s="85"/>
      <c r="AG124" s="85"/>
      <c r="AH124" s="85">
        <f>'Phụ lục số 1'!AT8+'Phụ lục số 1'!AT53+'Phụ lục số 1'!AT59</f>
        <v>17409489.543441616</v>
      </c>
      <c r="AI124" s="2615">
        <f>AH8-AH124</f>
        <v>650315.07318175584</v>
      </c>
      <c r="AJ124" s="124"/>
      <c r="AK124" s="85"/>
      <c r="AL124" s="85"/>
      <c r="AM124" s="85"/>
      <c r="AN124" s="85"/>
      <c r="AO124" s="85"/>
      <c r="AP124" s="85"/>
      <c r="AQ124" s="85"/>
      <c r="AR124" s="85"/>
      <c r="AS124" s="85"/>
      <c r="AT124" s="74"/>
      <c r="AZ124" s="117"/>
      <c r="BB124" s="117"/>
      <c r="BD124" s="117"/>
      <c r="BF124" s="117"/>
      <c r="BH124" s="117"/>
      <c r="BJ124" s="118"/>
      <c r="BK124" s="120"/>
      <c r="BL124" s="119"/>
      <c r="BM124" s="119"/>
      <c r="BN124" s="119"/>
    </row>
    <row r="125" spans="1:66" s="57" customFormat="1">
      <c r="A125" s="83"/>
      <c r="B125" s="84"/>
      <c r="C125" s="85"/>
      <c r="D125" s="85"/>
      <c r="E125" s="85"/>
      <c r="F125" s="85"/>
      <c r="G125" s="85"/>
      <c r="H125" s="86"/>
      <c r="I125" s="85"/>
      <c r="J125" s="85"/>
      <c r="K125" s="85"/>
      <c r="L125" s="85"/>
      <c r="M125" s="86"/>
      <c r="N125" s="85"/>
      <c r="O125" s="85"/>
      <c r="P125" s="85">
        <f>P124-'Phụ lục số 1'!W61</f>
        <v>294299.26666666567</v>
      </c>
      <c r="Q125" s="85"/>
      <c r="R125" s="86"/>
      <c r="S125" s="85"/>
      <c r="T125" s="85">
        <f>X10-C10</f>
        <v>82186.408969876124</v>
      </c>
      <c r="U125" s="85"/>
      <c r="V125" s="85"/>
      <c r="W125" s="85"/>
      <c r="X125" s="85"/>
      <c r="Y125" s="101"/>
      <c r="Z125" s="85"/>
      <c r="AA125" s="216">
        <f>'Phụ lục số 3.1'!J61</f>
        <v>1.0422368150851407</v>
      </c>
      <c r="AB125" s="2607">
        <f>'Phụ lục số 3.1'!K61</f>
        <v>1.1392147662942405</v>
      </c>
      <c r="AC125" s="85"/>
      <c r="AD125" s="85"/>
      <c r="AE125" s="85"/>
      <c r="AF125" s="1258">
        <f>'Phụ lục số 3.1'!M61</f>
        <v>1.1237221914097124</v>
      </c>
      <c r="AG125" s="1258">
        <f>'Phụ lục số 3.1'!N61</f>
        <v>0.98067203260006375</v>
      </c>
      <c r="AH125" s="158"/>
      <c r="AI125" s="158"/>
      <c r="AJ125" s="158"/>
      <c r="AK125" s="1258">
        <f>'Phụ lục số 3.1'!P61</f>
        <v>1.0818849683273528</v>
      </c>
      <c r="AL125" s="1258">
        <f>'Phụ lục số 3.1'!Q61</f>
        <v>0.99262296530264005</v>
      </c>
      <c r="AM125" s="85"/>
      <c r="AN125" s="85"/>
      <c r="AO125" s="85"/>
      <c r="AP125" s="85"/>
      <c r="AQ125" s="85"/>
      <c r="AR125" s="85"/>
      <c r="AS125" s="85"/>
      <c r="AT125" s="74"/>
      <c r="AZ125" s="68"/>
      <c r="BB125" s="68"/>
      <c r="BD125" s="68"/>
      <c r="BF125" s="68"/>
      <c r="BH125" s="68"/>
      <c r="BJ125" s="68"/>
      <c r="BK125" s="68"/>
    </row>
    <row r="126" spans="1:66" s="57" customFormat="1">
      <c r="A126" s="83"/>
      <c r="B126" s="84"/>
      <c r="C126" s="85"/>
      <c r="D126" s="85"/>
      <c r="E126" s="85"/>
      <c r="F126" s="85"/>
      <c r="G126" s="85"/>
      <c r="H126" s="86"/>
      <c r="I126" s="85"/>
      <c r="J126" s="85"/>
      <c r="K126" s="85"/>
      <c r="L126" s="85"/>
      <c r="M126" s="86"/>
      <c r="N126" s="85"/>
      <c r="O126" s="85"/>
      <c r="P126" s="85"/>
      <c r="Q126" s="85"/>
      <c r="R126" s="86"/>
      <c r="S126" s="85"/>
      <c r="T126" s="85">
        <f>X11-C11</f>
        <v>870000</v>
      </c>
      <c r="U126" s="85"/>
      <c r="V126" s="85"/>
      <c r="W126" s="85"/>
      <c r="X126" s="85"/>
      <c r="Y126" s="101"/>
      <c r="Z126" s="85"/>
      <c r="AA126" s="217"/>
      <c r="AB126" s="217"/>
      <c r="AC126" s="85"/>
      <c r="AD126" s="85"/>
      <c r="AE126" s="85"/>
      <c r="AF126" s="217"/>
      <c r="AG126" s="217"/>
      <c r="AH126" s="158"/>
      <c r="AI126" s="158"/>
      <c r="AJ126" s="158"/>
      <c r="AK126" s="217"/>
      <c r="AL126" s="217"/>
      <c r="AM126" s="85"/>
      <c r="AN126" s="85"/>
      <c r="AO126" s="85"/>
      <c r="AP126" s="85"/>
      <c r="AQ126" s="85"/>
      <c r="AR126" s="85"/>
      <c r="AS126" s="85"/>
      <c r="AT126" s="74"/>
      <c r="AZ126" s="68"/>
      <c r="BB126" s="68"/>
      <c r="BD126" s="68"/>
      <c r="BF126" s="68"/>
      <c r="BH126" s="68"/>
      <c r="BJ126" s="68"/>
      <c r="BK126" s="68"/>
    </row>
    <row r="127" spans="1:66" s="57" customFormat="1">
      <c r="A127" s="83"/>
      <c r="B127" s="84"/>
      <c r="C127" s="85"/>
      <c r="D127" s="85"/>
      <c r="E127" s="85"/>
      <c r="F127" s="85"/>
      <c r="G127" s="85"/>
      <c r="H127" s="86"/>
      <c r="I127" s="85"/>
      <c r="J127" s="85"/>
      <c r="K127" s="85"/>
      <c r="L127" s="85"/>
      <c r="M127" s="86"/>
      <c r="N127" s="85"/>
      <c r="O127" s="85"/>
      <c r="P127" s="85"/>
      <c r="Q127" s="85"/>
      <c r="R127" s="86"/>
      <c r="S127" s="85"/>
      <c r="T127" s="85">
        <f>X12-C12</f>
        <v>350000</v>
      </c>
      <c r="U127" s="85"/>
      <c r="V127" s="85"/>
      <c r="W127" s="85"/>
      <c r="X127" s="2074"/>
      <c r="Y127" s="85"/>
      <c r="Z127" s="85">
        <f>AA127+AB127</f>
        <v>110000</v>
      </c>
      <c r="AA127" s="85">
        <v>81000</v>
      </c>
      <c r="AB127" s="85">
        <v>29000</v>
      </c>
      <c r="AC127" s="85"/>
      <c r="AD127" s="85"/>
      <c r="AE127" s="85"/>
      <c r="AF127" s="217"/>
      <c r="AG127" s="217"/>
      <c r="AH127" s="85"/>
      <c r="AI127" s="85"/>
      <c r="AJ127" s="85"/>
      <c r="AK127" s="85"/>
      <c r="AL127" s="85"/>
      <c r="AM127" s="85"/>
      <c r="AN127" s="85"/>
      <c r="AO127" s="85"/>
      <c r="AP127" s="85"/>
      <c r="AQ127" s="85"/>
      <c r="AR127" s="85"/>
      <c r="AS127" s="85"/>
      <c r="AT127" s="74"/>
      <c r="AZ127" s="68"/>
      <c r="BB127" s="68"/>
      <c r="BD127" s="68"/>
      <c r="BF127" s="68"/>
      <c r="BH127" s="68"/>
      <c r="BJ127" s="68"/>
      <c r="BK127" s="68"/>
    </row>
    <row r="128" spans="1:66" s="57" customFormat="1">
      <c r="A128" s="83"/>
      <c r="B128" s="84"/>
      <c r="C128" s="85"/>
      <c r="D128" s="85"/>
      <c r="E128" s="85"/>
      <c r="F128" s="85"/>
      <c r="G128" s="85"/>
      <c r="H128" s="86"/>
      <c r="I128" s="85"/>
      <c r="J128" s="85"/>
      <c r="K128" s="85"/>
      <c r="L128" s="85"/>
      <c r="M128" s="86"/>
      <c r="N128" s="85"/>
      <c r="O128" s="85"/>
      <c r="P128" s="85"/>
      <c r="Q128" s="85"/>
      <c r="R128" s="86"/>
      <c r="S128" s="85"/>
      <c r="T128" s="85">
        <f>X13-C13</f>
        <v>0</v>
      </c>
      <c r="U128" s="85"/>
      <c r="V128" s="85"/>
      <c r="W128" s="85"/>
      <c r="X128" s="164"/>
      <c r="Y128" s="85"/>
      <c r="Z128" s="85"/>
      <c r="AA128" s="85"/>
      <c r="AB128" s="85"/>
      <c r="AC128" s="85"/>
      <c r="AD128" s="85"/>
      <c r="AE128" s="85"/>
      <c r="AF128" s="85"/>
      <c r="AG128" s="85"/>
      <c r="AH128" s="85"/>
      <c r="AI128" s="85"/>
      <c r="AJ128" s="85"/>
      <c r="AK128" s="85"/>
      <c r="AL128" s="85"/>
      <c r="AM128" s="85"/>
      <c r="AN128" s="85"/>
      <c r="AO128" s="85"/>
      <c r="AP128" s="85"/>
      <c r="AQ128" s="85"/>
      <c r="AR128" s="85"/>
      <c r="AS128" s="85"/>
      <c r="AT128" s="74"/>
      <c r="AZ128" s="68"/>
      <c r="BB128" s="68"/>
      <c r="BD128" s="68"/>
      <c r="BF128" s="68"/>
      <c r="BH128" s="68"/>
      <c r="BJ128" s="68"/>
      <c r="BK128" s="68"/>
    </row>
    <row r="129" spans="1:63" s="57" customFormat="1">
      <c r="A129" s="83"/>
      <c r="B129" s="84"/>
      <c r="C129" s="85"/>
      <c r="D129" s="85"/>
      <c r="E129" s="85"/>
      <c r="F129" s="85"/>
      <c r="G129" s="85"/>
      <c r="H129" s="86"/>
      <c r="I129" s="85"/>
      <c r="J129" s="85"/>
      <c r="K129" s="85"/>
      <c r="L129" s="85"/>
      <c r="M129" s="86"/>
      <c r="N129" s="85"/>
      <c r="O129" s="85"/>
      <c r="P129" s="85"/>
      <c r="Q129" s="85"/>
      <c r="R129" s="86"/>
      <c r="S129" s="85">
        <f>T129-X164</f>
        <v>1311113.3947110809</v>
      </c>
      <c r="T129" s="85">
        <f>X15-C15</f>
        <v>1311113.3947110809</v>
      </c>
      <c r="U129" s="85"/>
      <c r="V129" s="85"/>
      <c r="W129" s="85"/>
      <c r="X129" s="85"/>
      <c r="Y129" s="85"/>
      <c r="Z129" s="85"/>
      <c r="AA129" s="85">
        <f>621000-AA10</f>
        <v>58814</v>
      </c>
      <c r="AB129" s="85">
        <f>'Phụ lục số 1'!AJ61</f>
        <v>4825080</v>
      </c>
      <c r="AC129" s="85">
        <f>AC8-X8</f>
        <v>460868.39419487864</v>
      </c>
      <c r="AD129" s="85"/>
      <c r="AE129" s="85"/>
      <c r="AF129" s="85"/>
      <c r="AG129" s="85"/>
      <c r="AH129" s="85">
        <f>AH8-AC8</f>
        <v>960503.30642849579</v>
      </c>
      <c r="AI129" s="85"/>
      <c r="AJ129" s="85"/>
      <c r="AK129" s="85"/>
      <c r="AL129" s="85"/>
      <c r="AM129" s="85"/>
      <c r="AN129" s="85"/>
      <c r="AO129" s="85"/>
      <c r="AP129" s="85"/>
      <c r="AQ129" s="85"/>
      <c r="AR129" s="85"/>
      <c r="AS129" s="85"/>
      <c r="AT129" s="74"/>
      <c r="AZ129" s="68"/>
      <c r="BB129" s="68"/>
      <c r="BD129" s="68"/>
      <c r="BF129" s="68"/>
      <c r="BH129" s="68"/>
      <c r="BJ129" s="68"/>
      <c r="BK129" s="68"/>
    </row>
    <row r="130" spans="1:63" s="57" customFormat="1">
      <c r="A130" s="83"/>
      <c r="B130" s="84"/>
      <c r="C130" s="85"/>
      <c r="D130" s="85"/>
      <c r="E130" s="85"/>
      <c r="F130" s="85"/>
      <c r="G130" s="85"/>
      <c r="H130" s="86"/>
      <c r="I130" s="85"/>
      <c r="J130" s="85"/>
      <c r="K130" s="85"/>
      <c r="L130" s="85"/>
      <c r="M130" s="86"/>
      <c r="N130" s="85"/>
      <c r="O130" s="85"/>
      <c r="P130" s="85"/>
      <c r="Q130" s="85"/>
      <c r="R130" s="86"/>
      <c r="S130" s="85">
        <f>AA15-D15-AA164</f>
        <v>-53057.129646952992</v>
      </c>
      <c r="T130" s="85">
        <f>X29-C29</f>
        <v>0</v>
      </c>
      <c r="U130" s="85"/>
      <c r="V130" s="85"/>
      <c r="W130" s="85"/>
      <c r="X130" s="85"/>
      <c r="Y130" s="85"/>
      <c r="Z130" s="85"/>
      <c r="AA130" s="85"/>
      <c r="AB130" s="85">
        <f>'Phụ lục số 3.1'!K14</f>
        <v>5083323.3480000002</v>
      </c>
      <c r="AC130" s="85"/>
      <c r="AD130" s="85"/>
      <c r="AE130" s="85"/>
      <c r="AF130" s="85"/>
      <c r="AG130" s="85"/>
      <c r="AH130" s="85"/>
      <c r="AI130" s="85"/>
      <c r="AJ130" s="85"/>
      <c r="AK130" s="85"/>
      <c r="AL130" s="85"/>
      <c r="AM130" s="85"/>
      <c r="AN130" s="85"/>
      <c r="AO130" s="85"/>
      <c r="AP130" s="85"/>
      <c r="AQ130" s="85"/>
      <c r="AR130" s="85"/>
      <c r="AS130" s="85"/>
      <c r="AT130" s="74"/>
      <c r="AZ130" s="68"/>
      <c r="BB130" s="68"/>
      <c r="BD130" s="68"/>
      <c r="BF130" s="68"/>
      <c r="BH130" s="68"/>
      <c r="BJ130" s="68"/>
      <c r="BK130" s="68"/>
    </row>
    <row r="131" spans="1:63" s="57" customFormat="1">
      <c r="A131" s="83"/>
      <c r="B131" s="84"/>
      <c r="C131" s="85"/>
      <c r="D131" s="85"/>
      <c r="E131" s="85"/>
      <c r="F131" s="85"/>
      <c r="G131" s="85"/>
      <c r="H131" s="86"/>
      <c r="I131" s="85"/>
      <c r="J131" s="85"/>
      <c r="K131" s="85"/>
      <c r="L131" s="85"/>
      <c r="M131" s="86"/>
      <c r="N131" s="85"/>
      <c r="O131" s="85"/>
      <c r="P131" s="85"/>
      <c r="Q131" s="85"/>
      <c r="R131" s="86"/>
      <c r="S131" s="85">
        <f>AB15-E15-AB164</f>
        <v>502095.18694962317</v>
      </c>
      <c r="T131" s="85">
        <f>X30-C30</f>
        <v>53245.912319042138</v>
      </c>
      <c r="U131" s="85"/>
      <c r="V131" s="85"/>
      <c r="W131" s="85"/>
      <c r="X131" s="85"/>
      <c r="Y131" s="85"/>
      <c r="Z131" s="85"/>
      <c r="AA131" s="85"/>
      <c r="AB131" s="2614">
        <f>AB129+AB130-AB8</f>
        <v>0</v>
      </c>
      <c r="AC131" s="85">
        <f>AC10-X10</f>
        <v>69813.591030123876</v>
      </c>
      <c r="AD131" s="85"/>
      <c r="AE131" s="85"/>
      <c r="AF131" s="85"/>
      <c r="AG131" s="85" t="s">
        <v>227</v>
      </c>
      <c r="AH131" s="85">
        <f>AH10-AC10</f>
        <v>52000</v>
      </c>
      <c r="AI131" s="85"/>
      <c r="AJ131" s="85"/>
      <c r="AK131" s="85"/>
      <c r="AL131" s="85"/>
      <c r="AM131" s="85"/>
      <c r="AN131" s="85"/>
      <c r="AO131" s="85"/>
      <c r="AP131" s="85"/>
      <c r="AQ131" s="85"/>
      <c r="AR131" s="85"/>
      <c r="AS131" s="85"/>
      <c r="AT131" s="74"/>
      <c r="AZ131" s="68"/>
      <c r="BB131" s="68"/>
      <c r="BD131" s="68"/>
      <c r="BF131" s="68"/>
      <c r="BH131" s="68"/>
      <c r="BJ131" s="68"/>
      <c r="BK131" s="68"/>
    </row>
    <row r="132" spans="1:63" s="57" customFormat="1">
      <c r="A132" s="83"/>
      <c r="B132" s="84"/>
      <c r="C132" s="85"/>
      <c r="D132" s="85"/>
      <c r="E132" s="85"/>
      <c r="F132" s="85"/>
      <c r="G132" s="85"/>
      <c r="H132" s="86"/>
      <c r="I132" s="85"/>
      <c r="J132" s="85"/>
      <c r="K132" s="85"/>
      <c r="L132" s="85"/>
      <c r="M132" s="86"/>
      <c r="N132" s="85"/>
      <c r="O132" s="85"/>
      <c r="P132" s="85"/>
      <c r="Q132" s="85"/>
      <c r="R132" s="86"/>
      <c r="S132" s="85"/>
      <c r="T132" s="85">
        <f>X32-C32</f>
        <v>717399.2</v>
      </c>
      <c r="U132" s="85"/>
      <c r="V132" s="85"/>
      <c r="W132" s="85"/>
      <c r="X132" s="85"/>
      <c r="Y132" s="85"/>
      <c r="Z132" s="85"/>
      <c r="AA132" s="85"/>
      <c r="AB132" s="85">
        <f>AB130+AB129</f>
        <v>9908403.3480000012</v>
      </c>
      <c r="AC132" s="85">
        <f>AC11-X11</f>
        <v>-570000</v>
      </c>
      <c r="AD132" s="85"/>
      <c r="AE132" s="85"/>
      <c r="AF132" s="85"/>
      <c r="AG132" s="85"/>
      <c r="AH132" s="85">
        <f>AH11-AC11</f>
        <v>60000</v>
      </c>
      <c r="AI132" s="85"/>
      <c r="AJ132" s="85"/>
      <c r="AK132" s="85"/>
      <c r="AL132" s="85"/>
      <c r="AM132" s="85"/>
      <c r="AN132" s="85"/>
      <c r="AO132" s="85"/>
      <c r="AP132" s="85"/>
      <c r="AQ132" s="85"/>
      <c r="AR132" s="85"/>
      <c r="AS132" s="85"/>
      <c r="AT132" s="74"/>
      <c r="AZ132" s="68"/>
      <c r="BB132" s="68"/>
      <c r="BD132" s="68"/>
      <c r="BF132" s="68"/>
      <c r="BH132" s="68"/>
      <c r="BJ132" s="68"/>
      <c r="BK132" s="68"/>
    </row>
    <row r="133" spans="1:63" s="57" customFormat="1">
      <c r="A133" s="83"/>
      <c r="B133" s="84"/>
      <c r="C133" s="85"/>
      <c r="D133" s="85"/>
      <c r="E133" s="85"/>
      <c r="F133" s="85"/>
      <c r="G133" s="85"/>
      <c r="H133" s="86"/>
      <c r="I133" s="85"/>
      <c r="J133" s="85"/>
      <c r="K133" s="85"/>
      <c r="L133" s="85"/>
      <c r="M133" s="86"/>
      <c r="N133" s="85"/>
      <c r="O133" s="85"/>
      <c r="P133" s="85"/>
      <c r="Q133" s="85"/>
      <c r="R133" s="86"/>
      <c r="S133" s="85"/>
      <c r="T133" s="85"/>
      <c r="U133" s="85"/>
      <c r="V133" s="85"/>
      <c r="W133" s="85"/>
      <c r="X133" s="85"/>
      <c r="Y133" s="85"/>
      <c r="Z133" s="85"/>
      <c r="AA133" s="85"/>
      <c r="AB133" s="85"/>
      <c r="AC133" s="85">
        <f>AC12-X12</f>
        <v>372000</v>
      </c>
      <c r="AD133" s="85"/>
      <c r="AE133" s="85"/>
      <c r="AF133" s="85"/>
      <c r="AG133" s="85"/>
      <c r="AH133" s="85">
        <f>AH12-AC12</f>
        <v>178000</v>
      </c>
      <c r="AI133" s="85"/>
      <c r="AJ133" s="85"/>
      <c r="AK133" s="85"/>
      <c r="AL133" s="85"/>
      <c r="AM133" s="85"/>
      <c r="AN133" s="85"/>
      <c r="AO133" s="85"/>
      <c r="AP133" s="85"/>
      <c r="AQ133" s="85"/>
      <c r="AR133" s="85"/>
      <c r="AS133" s="85"/>
      <c r="AT133" s="74"/>
      <c r="AZ133" s="68"/>
      <c r="BB133" s="68"/>
      <c r="BD133" s="68"/>
      <c r="BF133" s="68"/>
      <c r="BH133" s="68"/>
      <c r="BJ133" s="68"/>
      <c r="BK133" s="68"/>
    </row>
    <row r="134" spans="1:63" s="57" customFormat="1">
      <c r="A134" s="83"/>
      <c r="B134" s="84"/>
      <c r="C134" s="85"/>
      <c r="D134" s="85"/>
      <c r="E134" s="85"/>
      <c r="F134" s="85"/>
      <c r="G134" s="85"/>
      <c r="H134" s="86"/>
      <c r="I134" s="85"/>
      <c r="J134" s="85"/>
      <c r="K134" s="85"/>
      <c r="L134" s="85"/>
      <c r="M134" s="86"/>
      <c r="N134" s="85"/>
      <c r="O134" s="85"/>
      <c r="P134" s="85"/>
      <c r="Q134" s="85"/>
      <c r="R134" s="86"/>
      <c r="S134" s="85"/>
      <c r="T134" s="85"/>
      <c r="U134" s="85"/>
      <c r="V134" s="85"/>
      <c r="W134" s="85"/>
      <c r="X134" s="74"/>
      <c r="Y134" s="85"/>
      <c r="Z134" s="85"/>
      <c r="AA134" s="85"/>
      <c r="AB134" s="85"/>
      <c r="AC134" s="74">
        <f>AC13-X13</f>
        <v>0</v>
      </c>
      <c r="AD134" s="85"/>
      <c r="AE134" s="85"/>
      <c r="AF134" s="85"/>
      <c r="AG134" s="85"/>
      <c r="AH134" s="85">
        <f>AH13-AC13</f>
        <v>0</v>
      </c>
      <c r="AI134" s="85"/>
      <c r="AJ134" s="85"/>
      <c r="AK134" s="85"/>
      <c r="AL134" s="85"/>
      <c r="AM134" s="85"/>
      <c r="AN134" s="85"/>
      <c r="AO134" s="85"/>
      <c r="AP134" s="85"/>
      <c r="AQ134" s="85"/>
      <c r="AR134" s="85"/>
      <c r="AS134" s="85"/>
      <c r="AT134" s="74"/>
      <c r="AZ134" s="68"/>
      <c r="BB134" s="68"/>
      <c r="BD134" s="68"/>
      <c r="BF134" s="68"/>
      <c r="BH134" s="68"/>
      <c r="BJ134" s="68"/>
      <c r="BK134" s="68"/>
    </row>
    <row r="135" spans="1:63" s="57" customFormat="1">
      <c r="A135" s="83"/>
      <c r="B135" s="84"/>
      <c r="C135" s="85"/>
      <c r="D135" s="85"/>
      <c r="E135" s="85"/>
      <c r="F135" s="85"/>
      <c r="G135" s="85"/>
      <c r="H135" s="86"/>
      <c r="I135" s="85"/>
      <c r="J135" s="85"/>
      <c r="K135" s="85"/>
      <c r="L135" s="85"/>
      <c r="M135" s="86"/>
      <c r="N135" s="85"/>
      <c r="O135" s="85"/>
      <c r="P135" s="85"/>
      <c r="Q135" s="85"/>
      <c r="R135" s="86"/>
      <c r="S135" s="85"/>
      <c r="T135" s="85">
        <f>SUM(T125:T134)</f>
        <v>3383944.9159999993</v>
      </c>
      <c r="U135" s="85"/>
      <c r="V135" s="85"/>
      <c r="W135" s="85"/>
      <c r="X135" s="85"/>
      <c r="Y135" s="85"/>
      <c r="Z135" s="85"/>
      <c r="AA135" s="85"/>
      <c r="AB135" s="85"/>
      <c r="AC135" s="85"/>
      <c r="AD135" s="85"/>
      <c r="AE135" s="85"/>
      <c r="AF135" s="85"/>
      <c r="AG135" s="85"/>
      <c r="AH135" s="85"/>
      <c r="AI135" s="85"/>
      <c r="AJ135" s="85"/>
      <c r="AK135" s="85"/>
      <c r="AL135" s="85"/>
      <c r="AM135" s="85"/>
      <c r="AN135" s="85"/>
      <c r="AO135" s="85"/>
      <c r="AP135" s="85"/>
      <c r="AQ135" s="85"/>
      <c r="AR135" s="85"/>
      <c r="AS135" s="85"/>
      <c r="AT135" s="74"/>
      <c r="AZ135" s="68"/>
      <c r="BB135" s="68"/>
      <c r="BD135" s="68"/>
      <c r="BF135" s="68"/>
      <c r="BH135" s="68"/>
      <c r="BJ135" s="68"/>
      <c r="BK135" s="68"/>
    </row>
    <row r="136" spans="1:63" s="57" customFormat="1">
      <c r="A136" s="83"/>
      <c r="B136" s="84"/>
      <c r="C136" s="85"/>
      <c r="D136" s="85"/>
      <c r="E136" s="85"/>
      <c r="F136" s="85"/>
      <c r="G136" s="85"/>
      <c r="H136" s="86"/>
      <c r="I136" s="85"/>
      <c r="J136" s="85"/>
      <c r="K136" s="85"/>
      <c r="L136" s="85"/>
      <c r="M136" s="86"/>
      <c r="N136" s="85"/>
      <c r="O136" s="85"/>
      <c r="P136" s="85"/>
      <c r="Q136" s="85"/>
      <c r="R136" s="86"/>
      <c r="S136" s="85"/>
      <c r="T136" s="85">
        <f>T124-T135</f>
        <v>-16575432.915999999</v>
      </c>
      <c r="U136" s="85"/>
      <c r="V136" s="85"/>
      <c r="W136" s="85"/>
      <c r="X136" s="85"/>
      <c r="Y136" s="85"/>
      <c r="Z136" s="85"/>
      <c r="AA136" s="85"/>
      <c r="AB136" s="85">
        <f>'Phụ lục số 6'!C13</f>
        <v>3529268.6115313373</v>
      </c>
      <c r="AC136" s="85">
        <f>AC129-SUM(AC132:AC134)</f>
        <v>658868.39419487864</v>
      </c>
      <c r="AD136" s="85"/>
      <c r="AE136" s="85"/>
      <c r="AF136" s="85"/>
      <c r="AG136" s="85"/>
      <c r="AH136" s="85">
        <f>AH129-SUM(AH132:AH134)</f>
        <v>722503.30642849579</v>
      </c>
      <c r="AI136" s="85"/>
      <c r="AJ136" s="85"/>
      <c r="AK136" s="85"/>
      <c r="AL136" s="85"/>
      <c r="AM136" s="85"/>
      <c r="AN136" s="85"/>
      <c r="AO136" s="85"/>
      <c r="AP136" s="85"/>
      <c r="AQ136" s="85"/>
      <c r="AR136" s="85"/>
      <c r="AS136" s="85"/>
      <c r="AT136" s="74"/>
      <c r="AZ136" s="68"/>
      <c r="BB136" s="68"/>
      <c r="BD136" s="68"/>
      <c r="BF136" s="68"/>
      <c r="BH136" s="68"/>
      <c r="BJ136" s="68"/>
      <c r="BK136" s="68"/>
    </row>
    <row r="137" spans="1:63" s="57" customFormat="1">
      <c r="A137" s="83"/>
      <c r="B137" s="84"/>
      <c r="C137" s="85"/>
      <c r="D137" s="85"/>
      <c r="E137" s="85"/>
      <c r="F137" s="85"/>
      <c r="G137" s="85"/>
      <c r="H137" s="86"/>
      <c r="I137" s="85"/>
      <c r="J137" s="85"/>
      <c r="K137" s="85"/>
      <c r="L137" s="85"/>
      <c r="M137" s="86"/>
      <c r="N137" s="85"/>
      <c r="O137" s="85"/>
      <c r="P137" s="85"/>
      <c r="Q137" s="85"/>
      <c r="R137" s="86"/>
      <c r="S137" s="85"/>
      <c r="T137" s="85" t="s">
        <v>420</v>
      </c>
      <c r="U137" s="85"/>
      <c r="V137" s="85"/>
      <c r="W137" s="85"/>
      <c r="X137" s="85"/>
      <c r="Y137" s="85"/>
      <c r="Z137" s="85"/>
      <c r="AA137" s="85"/>
      <c r="AB137" s="85">
        <f>AB136-AB28-AB27-AB26-AB25-AB24-AB23-AB22-AB16-AB17</f>
        <v>0</v>
      </c>
      <c r="AC137" s="85">
        <f>AC136/2</f>
        <v>329434.19709743932</v>
      </c>
      <c r="AD137" s="85"/>
      <c r="AE137" s="85"/>
      <c r="AF137" s="85"/>
      <c r="AG137" s="85"/>
      <c r="AH137" s="85">
        <f>AH136/2</f>
        <v>361251.6532142479</v>
      </c>
      <c r="AI137" s="85"/>
      <c r="AJ137" s="85"/>
      <c r="AK137" s="85"/>
      <c r="AL137" s="85"/>
      <c r="AM137" s="85"/>
      <c r="AN137" s="85"/>
      <c r="AO137" s="85"/>
      <c r="AP137" s="85"/>
      <c r="AQ137" s="85"/>
      <c r="AR137" s="85"/>
      <c r="AS137" s="85"/>
      <c r="AT137" s="74"/>
      <c r="AZ137" s="68"/>
      <c r="BB137" s="68"/>
      <c r="BD137" s="68"/>
      <c r="BF137" s="68"/>
      <c r="BH137" s="68"/>
      <c r="BJ137" s="68"/>
      <c r="BK137" s="68"/>
    </row>
    <row r="138" spans="1:63" s="57" customFormat="1">
      <c r="A138" s="83"/>
      <c r="B138" s="84"/>
      <c r="C138" s="85"/>
      <c r="D138" s="85"/>
      <c r="E138" s="85"/>
      <c r="F138" s="85"/>
      <c r="G138" s="85"/>
      <c r="H138" s="86"/>
      <c r="I138" s="85"/>
      <c r="J138" s="85"/>
      <c r="K138" s="85"/>
      <c r="L138" s="85"/>
      <c r="M138" s="86"/>
      <c r="N138" s="85"/>
      <c r="O138" s="85"/>
      <c r="P138" s="85"/>
      <c r="Q138" s="85"/>
      <c r="R138" s="86"/>
      <c r="S138" s="85"/>
      <c r="T138" s="85" t="s">
        <v>421</v>
      </c>
      <c r="U138" s="85"/>
      <c r="V138" s="85"/>
      <c r="W138" s="85"/>
      <c r="X138" s="85"/>
      <c r="Y138" s="85"/>
      <c r="Z138" s="85"/>
      <c r="AA138" s="85"/>
      <c r="AB138" s="85"/>
      <c r="AC138" s="85">
        <f>AC136-AC137</f>
        <v>329434.19709743932</v>
      </c>
      <c r="AD138" s="85"/>
      <c r="AE138" s="85"/>
      <c r="AF138" s="85"/>
      <c r="AG138" s="85"/>
      <c r="AH138" s="85">
        <f>AH136-AH137</f>
        <v>361251.6532142479</v>
      </c>
      <c r="AI138" s="85"/>
      <c r="AJ138" s="85"/>
      <c r="AK138" s="85"/>
      <c r="AL138" s="85"/>
      <c r="AM138" s="85"/>
      <c r="AN138" s="85"/>
      <c r="AO138" s="85"/>
      <c r="AP138" s="85"/>
      <c r="AQ138" s="85"/>
      <c r="AR138" s="85"/>
      <c r="AS138" s="85"/>
      <c r="AT138" s="74"/>
      <c r="AZ138" s="68"/>
      <c r="BB138" s="68"/>
      <c r="BD138" s="68"/>
      <c r="BF138" s="68"/>
      <c r="BH138" s="68"/>
      <c r="BJ138" s="68"/>
      <c r="BK138" s="68"/>
    </row>
    <row r="139" spans="1:63" s="57" customFormat="1">
      <c r="A139" s="83"/>
      <c r="B139" s="84"/>
      <c r="C139" s="85"/>
      <c r="D139" s="85"/>
      <c r="E139" s="85"/>
      <c r="F139" s="85"/>
      <c r="G139" s="85"/>
      <c r="H139" s="86"/>
      <c r="I139" s="85"/>
      <c r="J139" s="85"/>
      <c r="K139" s="85"/>
      <c r="L139" s="85"/>
      <c r="M139" s="86"/>
      <c r="N139" s="85"/>
      <c r="O139" s="85"/>
      <c r="P139" s="85"/>
      <c r="Q139" s="85"/>
      <c r="R139" s="86"/>
      <c r="S139" s="85"/>
      <c r="T139" s="85"/>
      <c r="U139" s="85"/>
      <c r="V139" s="85"/>
      <c r="W139" s="85"/>
      <c r="X139" s="85"/>
      <c r="Y139" s="85"/>
      <c r="Z139" s="85"/>
      <c r="AA139" s="85"/>
      <c r="AB139" s="85"/>
      <c r="AC139" s="85">
        <f>AC131</f>
        <v>69813.591030123876</v>
      </c>
      <c r="AD139" s="85"/>
      <c r="AE139" s="85"/>
      <c r="AF139" s="85"/>
      <c r="AG139" s="85"/>
      <c r="AH139" s="85">
        <f>AH131</f>
        <v>52000</v>
      </c>
      <c r="AI139" s="85"/>
      <c r="AJ139" s="85"/>
      <c r="AK139" s="85"/>
      <c r="AL139" s="85"/>
      <c r="AM139" s="85"/>
      <c r="AN139" s="85"/>
      <c r="AO139" s="85"/>
      <c r="AP139" s="85"/>
      <c r="AQ139" s="85"/>
      <c r="AR139" s="85"/>
      <c r="AS139" s="85"/>
      <c r="AT139" s="74"/>
      <c r="AZ139" s="68"/>
      <c r="BB139" s="68"/>
      <c r="BD139" s="68"/>
      <c r="BF139" s="68"/>
      <c r="BH139" s="68"/>
      <c r="BJ139" s="68"/>
      <c r="BK139" s="68"/>
    </row>
    <row r="140" spans="1:63" s="57" customFormat="1">
      <c r="A140" s="83"/>
      <c r="B140" s="84"/>
      <c r="C140" s="85"/>
      <c r="D140" s="85"/>
      <c r="E140" s="85"/>
      <c r="F140" s="85"/>
      <c r="G140" s="85"/>
      <c r="H140" s="86"/>
      <c r="I140" s="85"/>
      <c r="J140" s="85"/>
      <c r="K140" s="85"/>
      <c r="L140" s="85"/>
      <c r="M140" s="86"/>
      <c r="N140" s="85"/>
      <c r="O140" s="85"/>
      <c r="P140" s="85"/>
      <c r="Q140" s="85"/>
      <c r="R140" s="86"/>
      <c r="S140" s="85"/>
      <c r="T140" s="85"/>
      <c r="U140" s="85"/>
      <c r="V140" s="85"/>
      <c r="W140" s="85"/>
      <c r="X140" s="85"/>
      <c r="Y140" s="85"/>
      <c r="Z140" s="85"/>
      <c r="AA140" s="85"/>
      <c r="AB140" s="85"/>
      <c r="AC140" s="85">
        <f>AC15-X15</f>
        <v>406021.60528891906</v>
      </c>
      <c r="AD140" s="85"/>
      <c r="AE140" s="85"/>
      <c r="AF140" s="85"/>
      <c r="AG140" s="85"/>
      <c r="AH140" s="85">
        <f>AH15-AC15</f>
        <v>302000</v>
      </c>
      <c r="AI140" s="85"/>
      <c r="AJ140" s="85"/>
      <c r="AK140" s="85"/>
      <c r="AL140" s="85"/>
      <c r="AM140" s="85"/>
      <c r="AN140" s="85"/>
      <c r="AO140" s="85"/>
      <c r="AP140" s="85"/>
      <c r="AQ140" s="85"/>
      <c r="AR140" s="85"/>
      <c r="AS140" s="85"/>
      <c r="AT140" s="74"/>
      <c r="AZ140" s="68"/>
      <c r="BB140" s="68"/>
      <c r="BD140" s="68"/>
      <c r="BF140" s="68"/>
      <c r="BH140" s="68"/>
      <c r="BJ140" s="68"/>
      <c r="BK140" s="68"/>
    </row>
    <row r="141" spans="1:63" s="57" customFormat="1">
      <c r="A141" s="83"/>
      <c r="B141" s="84"/>
      <c r="C141" s="85"/>
      <c r="D141" s="85"/>
      <c r="E141" s="85"/>
      <c r="F141" s="85"/>
      <c r="G141" s="85"/>
      <c r="H141" s="86"/>
      <c r="I141" s="85"/>
      <c r="J141" s="85"/>
      <c r="K141" s="85"/>
      <c r="L141" s="85"/>
      <c r="M141" s="86"/>
      <c r="N141" s="85"/>
      <c r="O141" s="85"/>
      <c r="P141" s="85"/>
      <c r="Q141" s="85"/>
      <c r="R141" s="86"/>
      <c r="S141" s="85"/>
      <c r="T141" s="85"/>
      <c r="U141" s="85"/>
      <c r="V141" s="85"/>
      <c r="W141" s="85"/>
      <c r="X141" s="85"/>
      <c r="Y141" s="85"/>
      <c r="Z141" s="85"/>
      <c r="AA141" s="85"/>
      <c r="AB141" s="85"/>
      <c r="AC141" s="85">
        <f>AC29-X29</f>
        <v>0</v>
      </c>
      <c r="AD141" s="85"/>
      <c r="AE141" s="85"/>
      <c r="AF141" s="85"/>
      <c r="AG141" s="85"/>
      <c r="AH141" s="85">
        <f>AH29-AC29</f>
        <v>0</v>
      </c>
      <c r="AI141" s="85"/>
      <c r="AJ141" s="85"/>
      <c r="AK141" s="85"/>
      <c r="AL141" s="85"/>
      <c r="AM141" s="85"/>
      <c r="AN141" s="85"/>
      <c r="AO141" s="85"/>
      <c r="AP141" s="85"/>
      <c r="AQ141" s="85"/>
      <c r="AR141" s="85"/>
      <c r="AS141" s="85"/>
      <c r="AT141" s="74"/>
      <c r="AZ141" s="68"/>
      <c r="BB141" s="68"/>
      <c r="BD141" s="68"/>
      <c r="BF141" s="68"/>
      <c r="BH141" s="68"/>
      <c r="BJ141" s="68"/>
      <c r="BK141" s="68"/>
    </row>
    <row r="142" spans="1:63" s="57" customFormat="1">
      <c r="A142" s="83"/>
      <c r="B142" s="84"/>
      <c r="C142" s="85"/>
      <c r="D142" s="85"/>
      <c r="E142" s="85"/>
      <c r="F142" s="85"/>
      <c r="G142" s="85"/>
      <c r="H142" s="86"/>
      <c r="I142" s="85"/>
      <c r="J142" s="85"/>
      <c r="K142" s="85"/>
      <c r="L142" s="85"/>
      <c r="M142" s="86"/>
      <c r="N142" s="85"/>
      <c r="O142" s="85"/>
      <c r="P142" s="85"/>
      <c r="Q142" s="85"/>
      <c r="R142" s="86"/>
      <c r="S142" s="85"/>
      <c r="T142" s="85"/>
      <c r="U142" s="85"/>
      <c r="V142" s="85"/>
      <c r="W142" s="85"/>
      <c r="X142" s="85"/>
      <c r="Y142" s="85"/>
      <c r="Z142" s="85"/>
      <c r="AA142" s="85"/>
      <c r="AB142" s="85"/>
      <c r="AC142" s="85">
        <f>AC30-X30</f>
        <v>19131.087680957862</v>
      </c>
      <c r="AD142" s="85"/>
      <c r="AE142" s="85"/>
      <c r="AF142" s="85"/>
      <c r="AG142" s="85"/>
      <c r="AH142" s="85">
        <f>AH30-AC30</f>
        <v>14000</v>
      </c>
      <c r="AI142" s="85"/>
      <c r="AJ142" s="85"/>
      <c r="AK142" s="85"/>
      <c r="AL142" s="85"/>
      <c r="AM142" s="85"/>
      <c r="AN142" s="85"/>
      <c r="AO142" s="85"/>
      <c r="AP142" s="85"/>
      <c r="AQ142" s="85"/>
      <c r="AR142" s="85"/>
      <c r="AS142" s="85"/>
      <c r="AT142" s="74"/>
      <c r="AZ142" s="68"/>
      <c r="BB142" s="68"/>
      <c r="BD142" s="68"/>
      <c r="BF142" s="68"/>
      <c r="BH142" s="68"/>
      <c r="BJ142" s="68"/>
      <c r="BK142" s="68"/>
    </row>
    <row r="143" spans="1:63" s="57" customFormat="1">
      <c r="A143" s="83"/>
      <c r="B143" s="84"/>
      <c r="C143" s="85"/>
      <c r="D143" s="85"/>
      <c r="E143" s="85"/>
      <c r="F143" s="85"/>
      <c r="G143" s="85"/>
      <c r="H143" s="86"/>
      <c r="I143" s="85"/>
      <c r="J143" s="85"/>
      <c r="K143" s="85"/>
      <c r="L143" s="85"/>
      <c r="M143" s="86"/>
      <c r="N143" s="85"/>
      <c r="O143" s="85"/>
      <c r="P143" s="85"/>
      <c r="Q143" s="85"/>
      <c r="R143" s="86"/>
      <c r="S143" s="85"/>
      <c r="T143" s="85"/>
      <c r="U143" s="85"/>
      <c r="V143" s="85"/>
      <c r="W143" s="85"/>
      <c r="X143" s="85"/>
      <c r="Y143" s="85"/>
      <c r="Z143" s="85"/>
      <c r="AA143" s="85"/>
      <c r="AB143" s="85"/>
      <c r="AC143" s="85">
        <f>AC31-X31</f>
        <v>0</v>
      </c>
      <c r="AD143" s="85"/>
      <c r="AE143" s="85"/>
      <c r="AF143" s="85"/>
      <c r="AG143" s="85"/>
      <c r="AH143" s="85">
        <f>AH31-AC31</f>
        <v>0</v>
      </c>
      <c r="AI143" s="85"/>
      <c r="AJ143" s="85"/>
      <c r="AK143" s="85"/>
      <c r="AL143" s="85"/>
      <c r="AM143" s="85"/>
      <c r="AN143" s="85"/>
      <c r="AO143" s="85"/>
      <c r="AP143" s="85"/>
      <c r="AQ143" s="85"/>
      <c r="AR143" s="85"/>
      <c r="AS143" s="85"/>
      <c r="AT143" s="74"/>
      <c r="AZ143" s="68"/>
      <c r="BB143" s="68"/>
      <c r="BD143" s="68"/>
      <c r="BF143" s="68"/>
      <c r="BH143" s="68"/>
      <c r="BJ143" s="68"/>
      <c r="BK143" s="68"/>
    </row>
    <row r="144" spans="1:63" s="57" customFormat="1">
      <c r="A144" s="83"/>
      <c r="B144" s="84"/>
      <c r="C144" s="85"/>
      <c r="D144" s="85"/>
      <c r="E144" s="85"/>
      <c r="F144" s="85"/>
      <c r="G144" s="85"/>
      <c r="H144" s="86"/>
      <c r="I144" s="85"/>
      <c r="J144" s="85"/>
      <c r="K144" s="85"/>
      <c r="L144" s="85"/>
      <c r="M144" s="86"/>
      <c r="N144" s="85"/>
      <c r="O144" s="85"/>
      <c r="P144" s="85"/>
      <c r="Q144" s="85"/>
      <c r="R144" s="86"/>
      <c r="S144" s="85"/>
      <c r="T144" s="85"/>
      <c r="U144" s="85"/>
      <c r="V144" s="85"/>
      <c r="W144" s="85"/>
      <c r="X144" s="85"/>
      <c r="Y144" s="85"/>
      <c r="Z144" s="85"/>
      <c r="AA144" s="85"/>
      <c r="AB144" s="85"/>
      <c r="AC144" s="85">
        <f>AC33-X33</f>
        <v>0</v>
      </c>
      <c r="AD144" s="85"/>
      <c r="AE144" s="85"/>
      <c r="AF144" s="85"/>
      <c r="AG144" s="85"/>
      <c r="AH144" s="85">
        <f>AH33-AC33</f>
        <v>0</v>
      </c>
      <c r="AI144" s="85"/>
      <c r="AJ144" s="85"/>
      <c r="AK144" s="85"/>
      <c r="AL144" s="85"/>
      <c r="AM144" s="85"/>
      <c r="AN144" s="85"/>
      <c r="AO144" s="85"/>
      <c r="AP144" s="85"/>
      <c r="AQ144" s="85"/>
      <c r="AR144" s="85"/>
      <c r="AS144" s="85"/>
      <c r="AT144" s="74"/>
      <c r="AZ144" s="68"/>
      <c r="BB144" s="68"/>
      <c r="BD144" s="68"/>
      <c r="BF144" s="68"/>
      <c r="BH144" s="68"/>
      <c r="BJ144" s="68"/>
      <c r="BK144" s="68"/>
    </row>
    <row r="145" spans="1:63" s="57" customFormat="1">
      <c r="A145" s="83"/>
      <c r="B145" s="84"/>
      <c r="C145" s="85"/>
      <c r="D145" s="85"/>
      <c r="E145" s="85"/>
      <c r="F145" s="85"/>
      <c r="G145" s="85"/>
      <c r="H145" s="86"/>
      <c r="I145" s="85"/>
      <c r="J145" s="85"/>
      <c r="K145" s="85"/>
      <c r="L145" s="85"/>
      <c r="M145" s="86"/>
      <c r="N145" s="85"/>
      <c r="O145" s="85"/>
      <c r="P145" s="85"/>
      <c r="Q145" s="85"/>
      <c r="R145" s="86"/>
      <c r="S145" s="85"/>
      <c r="T145" s="85"/>
      <c r="U145" s="85"/>
      <c r="V145" s="85"/>
      <c r="W145" s="85"/>
      <c r="X145" s="85"/>
      <c r="Y145" s="85"/>
      <c r="Z145" s="85"/>
      <c r="AA145" s="85"/>
      <c r="AB145" s="85"/>
      <c r="AC145" s="85">
        <f>AC34-X34</f>
        <v>0</v>
      </c>
      <c r="AD145" s="85"/>
      <c r="AE145" s="85"/>
      <c r="AF145" s="85"/>
      <c r="AG145" s="85"/>
      <c r="AH145" s="85">
        <f>AH34-AC34</f>
        <v>0</v>
      </c>
      <c r="AI145" s="85"/>
      <c r="AJ145" s="85"/>
      <c r="AK145" s="85"/>
      <c r="AL145" s="85"/>
      <c r="AM145" s="85"/>
      <c r="AN145" s="85"/>
      <c r="AO145" s="85"/>
      <c r="AP145" s="85"/>
      <c r="AQ145" s="85"/>
      <c r="AR145" s="85"/>
      <c r="AS145" s="85"/>
      <c r="AT145" s="74"/>
      <c r="AZ145" s="68"/>
      <c r="BB145" s="68"/>
      <c r="BD145" s="68"/>
      <c r="BF145" s="68"/>
      <c r="BH145" s="68"/>
      <c r="BJ145" s="68"/>
      <c r="BK145" s="68"/>
    </row>
    <row r="146" spans="1:63" s="57" customFormat="1">
      <c r="A146" s="83"/>
      <c r="B146" s="84"/>
      <c r="C146" s="85"/>
      <c r="D146" s="85"/>
      <c r="E146" s="85"/>
      <c r="F146" s="85"/>
      <c r="G146" s="85"/>
      <c r="H146" s="86"/>
      <c r="I146" s="85"/>
      <c r="J146" s="85"/>
      <c r="K146" s="85"/>
      <c r="L146" s="85"/>
      <c r="M146" s="86"/>
      <c r="N146" s="85"/>
      <c r="O146" s="85"/>
      <c r="P146" s="85"/>
      <c r="Q146" s="85"/>
      <c r="R146" s="86"/>
      <c r="S146" s="85"/>
      <c r="T146" s="85"/>
      <c r="U146" s="85"/>
      <c r="V146" s="85"/>
      <c r="W146" s="85"/>
      <c r="X146" s="85"/>
      <c r="Y146" s="85"/>
      <c r="Z146" s="85"/>
      <c r="AA146" s="85"/>
      <c r="AB146" s="85"/>
      <c r="AC146" s="85"/>
      <c r="AD146" s="85"/>
      <c r="AE146" s="85"/>
      <c r="AF146" s="85"/>
      <c r="AG146" s="85"/>
      <c r="AH146" s="85"/>
      <c r="AI146" s="85"/>
      <c r="AJ146" s="85"/>
      <c r="AK146" s="85"/>
      <c r="AL146" s="85"/>
      <c r="AM146" s="85"/>
      <c r="AN146" s="85"/>
      <c r="AO146" s="85"/>
      <c r="AP146" s="85"/>
      <c r="AQ146" s="85"/>
      <c r="AR146" s="85"/>
      <c r="AS146" s="85"/>
      <c r="AT146" s="74"/>
      <c r="AZ146" s="68"/>
      <c r="BB146" s="68"/>
      <c r="BD146" s="68"/>
      <c r="BF146" s="68"/>
      <c r="BH146" s="68"/>
      <c r="BJ146" s="68"/>
      <c r="BK146" s="68"/>
    </row>
    <row r="147" spans="1:63" s="57" customFormat="1">
      <c r="A147" s="83"/>
      <c r="B147" s="84"/>
      <c r="C147" s="85"/>
      <c r="D147" s="85"/>
      <c r="E147" s="85"/>
      <c r="F147" s="85"/>
      <c r="G147" s="85"/>
      <c r="H147" s="86"/>
      <c r="I147" s="101">
        <f>40000/E30</f>
        <v>0.28727170876394165</v>
      </c>
      <c r="J147" s="85">
        <f>25%*E30</f>
        <v>34810.25</v>
      </c>
      <c r="K147" s="85"/>
      <c r="L147" s="85"/>
      <c r="M147" s="86"/>
      <c r="N147" s="85"/>
      <c r="O147" s="85"/>
      <c r="P147" s="85"/>
      <c r="Q147" s="85"/>
      <c r="R147" s="86"/>
      <c r="S147" s="85"/>
      <c r="T147" s="85"/>
      <c r="U147" s="85"/>
      <c r="V147" s="85"/>
      <c r="W147" s="85"/>
      <c r="X147" s="85"/>
      <c r="Y147" s="85"/>
      <c r="Z147" s="85"/>
      <c r="AA147" s="85"/>
      <c r="AB147" s="85"/>
      <c r="AC147" s="85"/>
      <c r="AD147" s="85"/>
      <c r="AE147" s="85"/>
      <c r="AF147" s="85"/>
      <c r="AG147" s="85"/>
      <c r="AH147" s="85"/>
      <c r="AI147" s="85"/>
      <c r="AJ147" s="85"/>
      <c r="AK147" s="85"/>
      <c r="AL147" s="85"/>
      <c r="AM147" s="85"/>
      <c r="AN147" s="85"/>
      <c r="AO147" s="85"/>
      <c r="AP147" s="85"/>
      <c r="AQ147" s="85"/>
      <c r="AR147" s="85"/>
      <c r="AS147" s="85"/>
      <c r="AT147" s="74"/>
      <c r="AZ147" s="68"/>
      <c r="BB147" s="68"/>
      <c r="BD147" s="68"/>
      <c r="BF147" s="68"/>
      <c r="BH147" s="68"/>
      <c r="BJ147" s="68"/>
      <c r="BK147" s="68"/>
    </row>
    <row r="148" spans="1:63" s="57" customFormat="1">
      <c r="A148" s="83"/>
      <c r="B148" s="84"/>
      <c r="C148" s="85"/>
      <c r="D148" s="85"/>
      <c r="E148" s="85"/>
      <c r="F148" s="85"/>
      <c r="G148" s="85"/>
      <c r="H148" s="86"/>
      <c r="I148" s="101">
        <f>I30/D30</f>
        <v>0.298278944025055</v>
      </c>
      <c r="J148" s="85">
        <f>14674/4*6</f>
        <v>22011</v>
      </c>
      <c r="K148" s="85"/>
      <c r="L148" s="85"/>
      <c r="M148" s="86"/>
      <c r="N148" s="85"/>
      <c r="O148" s="85"/>
      <c r="P148" s="85"/>
      <c r="Q148" s="85"/>
      <c r="R148" s="86"/>
      <c r="S148" s="85"/>
      <c r="T148" s="85"/>
      <c r="U148" s="85"/>
      <c r="V148" s="85"/>
      <c r="W148" s="85"/>
      <c r="X148" s="85"/>
      <c r="Y148" s="85">
        <f>X148-X138</f>
        <v>0</v>
      </c>
      <c r="Z148" s="85"/>
      <c r="AA148" s="85"/>
      <c r="AB148" s="85"/>
      <c r="AC148" s="85">
        <f>SUM(AC139:AC147)</f>
        <v>494966.2840000008</v>
      </c>
      <c r="AD148" s="85">
        <f>AC148-AC138</f>
        <v>165532.08690256148</v>
      </c>
      <c r="AE148" s="85"/>
      <c r="AF148" s="85"/>
      <c r="AG148" s="85"/>
      <c r="AH148" s="85">
        <f>SUM(AH139:AH147)</f>
        <v>368000</v>
      </c>
      <c r="AI148" s="85">
        <f>AH148-AH138</f>
        <v>6748.3467857521027</v>
      </c>
      <c r="AJ148" s="85"/>
      <c r="AK148" s="85"/>
      <c r="AL148" s="85"/>
      <c r="AM148" s="85"/>
      <c r="AN148" s="85"/>
      <c r="AO148" s="85"/>
      <c r="AP148" s="85"/>
      <c r="AQ148" s="85"/>
      <c r="AR148" s="85"/>
      <c r="AS148" s="85"/>
      <c r="AT148" s="74"/>
      <c r="AZ148" s="68"/>
      <c r="BB148" s="68"/>
      <c r="BD148" s="68"/>
      <c r="BF148" s="68"/>
      <c r="BH148" s="68"/>
      <c r="BJ148" s="68"/>
      <c r="BK148" s="68"/>
    </row>
    <row r="149" spans="1:63" s="57" customFormat="1">
      <c r="A149" s="83"/>
      <c r="B149" s="84"/>
      <c r="C149" s="85"/>
      <c r="D149" s="85"/>
      <c r="E149" s="85"/>
      <c r="F149" s="85"/>
      <c r="G149" s="85"/>
      <c r="H149" s="86"/>
      <c r="I149" s="85"/>
      <c r="J149" s="101">
        <f>J148/E30</f>
        <v>0.158078439540078</v>
      </c>
      <c r="K149" s="85"/>
      <c r="L149" s="85"/>
      <c r="M149" s="86"/>
      <c r="N149" s="85"/>
      <c r="O149" s="85"/>
      <c r="P149" s="85"/>
      <c r="Q149" s="85"/>
      <c r="R149" s="86"/>
      <c r="S149" s="85"/>
      <c r="T149" s="85"/>
      <c r="U149" s="85"/>
      <c r="V149" s="85"/>
      <c r="W149" s="85"/>
      <c r="X149" s="2074"/>
      <c r="Y149" s="85"/>
      <c r="Z149" s="85"/>
      <c r="AA149" s="2074">
        <f>AA30/AA8</f>
        <v>2.2624620956197258E-2</v>
      </c>
      <c r="AB149" s="2074">
        <f>AB30/AB8</f>
        <v>1.7722789247824444E-2</v>
      </c>
      <c r="AC149" s="85"/>
      <c r="AD149" s="85"/>
      <c r="AE149" s="85"/>
      <c r="AF149" s="85"/>
      <c r="AG149" s="85"/>
      <c r="AH149" s="85"/>
      <c r="AI149" s="85"/>
      <c r="AJ149" s="85"/>
      <c r="AK149" s="85"/>
      <c r="AL149" s="85"/>
      <c r="AM149" s="85"/>
      <c r="AN149" s="85"/>
      <c r="AO149" s="85"/>
      <c r="AP149" s="85"/>
      <c r="AQ149" s="85"/>
      <c r="AR149" s="85"/>
      <c r="AS149" s="85"/>
      <c r="AT149" s="74"/>
      <c r="AZ149" s="68"/>
      <c r="BB149" s="68"/>
      <c r="BD149" s="68"/>
      <c r="BF149" s="68"/>
      <c r="BH149" s="68"/>
      <c r="BJ149" s="68"/>
      <c r="BK149" s="68"/>
    </row>
    <row r="150" spans="1:63">
      <c r="H150" s="1">
        <f>F30/C30%</f>
        <v>30.085935992251194</v>
      </c>
      <c r="K150" s="1">
        <f>K30/C30%</f>
        <v>69.914064007748806</v>
      </c>
    </row>
    <row r="151" spans="1:63">
      <c r="H151" s="1">
        <f>100-55-8</f>
        <v>37</v>
      </c>
      <c r="K151" s="1">
        <f>615-382</f>
        <v>233</v>
      </c>
      <c r="M151" s="1">
        <f>241-772</f>
        <v>-531</v>
      </c>
      <c r="U151" s="1">
        <f>'Phụ lục số 1'!AB61</f>
        <v>1177399.8000000007</v>
      </c>
      <c r="V151" s="1">
        <f>'Phụ lục số 1'!AC61</f>
        <v>145400.73333333433</v>
      </c>
      <c r="W151" s="1">
        <f>'Phụ lục số 1'!AD61</f>
        <v>1031999.0666666664</v>
      </c>
      <c r="AA151" s="1">
        <f>AA15-D15</f>
        <v>126405</v>
      </c>
      <c r="AB151" s="1">
        <f>AB15-E15</f>
        <v>1184708.3947110809</v>
      </c>
    </row>
    <row r="152" spans="1:63">
      <c r="D152" s="1">
        <f>D10*90%</f>
        <v>486000</v>
      </c>
      <c r="E152" s="1">
        <f>E10*90%</f>
        <v>468900</v>
      </c>
      <c r="I152" s="1">
        <v>71620</v>
      </c>
      <c r="O152" s="1">
        <v>215000</v>
      </c>
      <c r="U152" s="1">
        <f>U32+U31+U15+U9</f>
        <v>1318489.3466666667</v>
      </c>
      <c r="V152" s="1">
        <f>V32+V31+V15+V9</f>
        <v>439700</v>
      </c>
      <c r="W152" s="1">
        <f>W32+W31+W15+W9</f>
        <v>878789.34666666656</v>
      </c>
      <c r="AB152" s="2123">
        <f>AB20-E20</f>
        <v>678559.78317974415</v>
      </c>
    </row>
    <row r="153" spans="1:63">
      <c r="D153" s="1">
        <v>506695</v>
      </c>
      <c r="I153" s="1">
        <v>56461</v>
      </c>
      <c r="O153" s="1">
        <f>+O152*70%</f>
        <v>150500</v>
      </c>
      <c r="U153" s="1">
        <f>U152-U7</f>
        <v>-153209.71999999997</v>
      </c>
      <c r="V153" s="1">
        <f>V152-V7</f>
        <v>0</v>
      </c>
      <c r="W153" s="1">
        <f>W152-W7</f>
        <v>-153209.71999999997</v>
      </c>
    </row>
    <row r="154" spans="1:63">
      <c r="D154" s="1">
        <f>+D152-D153</f>
        <v>-20695</v>
      </c>
      <c r="I154" s="1">
        <f>+I152-I153</f>
        <v>15159</v>
      </c>
      <c r="O154" s="1">
        <f>+O152-O153</f>
        <v>64500</v>
      </c>
    </row>
    <row r="155" spans="1:63">
      <c r="B155" s="1" t="s">
        <v>1764</v>
      </c>
      <c r="F155" s="1">
        <f>F37-53970</f>
        <v>51416</v>
      </c>
      <c r="O155" s="1">
        <v>121038</v>
      </c>
      <c r="P155" s="3">
        <f>SUM(S155:T155)</f>
        <v>3608.6912751677883</v>
      </c>
      <c r="S155" s="1">
        <f>[26]nhucau!$C$17</f>
        <v>3608.6912751677883</v>
      </c>
      <c r="T155" s="1">
        <f>[26]nhucau!$C$18</f>
        <v>0</v>
      </c>
      <c r="U155" s="1">
        <f>U152-U151</f>
        <v>141089.54666666593</v>
      </c>
      <c r="V155" s="1">
        <f>V152-V151</f>
        <v>294299.26666666567</v>
      </c>
      <c r="W155" s="1">
        <f t="shared" ref="W155" si="99">W152-W151</f>
        <v>-153209.71999999986</v>
      </c>
      <c r="X155" s="3"/>
      <c r="AA155" s="1">
        <f>[26]nhucau!$D$17</f>
        <v>7217.3825503355765</v>
      </c>
      <c r="AB155" s="1">
        <f>[26]nhucau!$D$18</f>
        <v>0</v>
      </c>
    </row>
    <row r="156" spans="1:63">
      <c r="B156" s="1" t="s">
        <v>1765</v>
      </c>
      <c r="I156" s="1">
        <v>47961</v>
      </c>
      <c r="O156" s="1">
        <v>47961</v>
      </c>
      <c r="P156" s="3">
        <f>SUM(S156:T156)</f>
        <v>780.82550335570522</v>
      </c>
      <c r="S156" s="1">
        <f>[26]nhucau!$C$23</f>
        <v>780.82550335570522</v>
      </c>
      <c r="T156" s="1">
        <f>[26]nhucau!$C$24</f>
        <v>0</v>
      </c>
      <c r="X156" s="3"/>
      <c r="AA156" s="1">
        <f>[26]nhucau!$D$23</f>
        <v>1561.6510067114104</v>
      </c>
      <c r="AB156" s="1">
        <f>[26]nhucau!$D$24</f>
        <v>0</v>
      </c>
    </row>
    <row r="157" spans="1:63">
      <c r="B157" s="1" t="s">
        <v>1766</v>
      </c>
      <c r="I157" s="1">
        <v>17000</v>
      </c>
      <c r="J157" s="1">
        <f>J10-151246</f>
        <v>57154</v>
      </c>
      <c r="O157" s="1">
        <f>+O156-60038</f>
        <v>-12077</v>
      </c>
      <c r="P157" s="3">
        <f>SUM(S157:T157)</f>
        <v>167.275167785235</v>
      </c>
      <c r="S157" s="1">
        <f>[26]nhucau!$C$26</f>
        <v>167.275167785235</v>
      </c>
      <c r="X157" s="3"/>
      <c r="AA157" s="1">
        <f>[26]nhucau!$D$26</f>
        <v>334.55033557047</v>
      </c>
    </row>
    <row r="158" spans="1:63">
      <c r="B158" s="1" t="s">
        <v>1763</v>
      </c>
      <c r="I158" s="1">
        <f>+I156+I157</f>
        <v>64961</v>
      </c>
      <c r="P158" s="3">
        <f>SUM(S158:T158)</f>
        <v>307802.16653346294</v>
      </c>
      <c r="S158" s="1">
        <f>[26]nhucau!$C$8</f>
        <v>44893.213816765085</v>
      </c>
      <c r="T158" s="1">
        <f>[26]nhucau!$C$9</f>
        <v>262908.95271669782</v>
      </c>
      <c r="X158" s="3"/>
      <c r="AA158" s="1">
        <f>[26]nhucau!$D$8</f>
        <v>89786.427633530169</v>
      </c>
      <c r="AB158" s="1">
        <f>[26]nhucau!$D$9</f>
        <v>525817.90543339564</v>
      </c>
    </row>
    <row r="159" spans="1:63">
      <c r="B159" s="1" t="s">
        <v>1767</v>
      </c>
      <c r="P159" s="3">
        <f t="shared" ref="P159:P163" si="100">SUM(S159:T159)</f>
        <v>13250.31543624161</v>
      </c>
      <c r="S159" s="1">
        <f>[26]nhucau!$C$29</f>
        <v>13250.31543624161</v>
      </c>
      <c r="X159" s="3"/>
      <c r="AA159" s="1822">
        <f>[26]nhucau!$D$29</f>
        <v>26500.63087248322</v>
      </c>
    </row>
    <row r="160" spans="1:63">
      <c r="B160" s="1" t="s">
        <v>1768</v>
      </c>
      <c r="P160" s="3">
        <f t="shared" si="100"/>
        <v>1650.3859060402665</v>
      </c>
      <c r="S160" s="1">
        <f>[26]nhucau!$C$14</f>
        <v>1650.3859060402665</v>
      </c>
      <c r="X160" s="3"/>
      <c r="AA160" s="1822">
        <f>[26]nhucau!$D$14</f>
        <v>3300.771812080533</v>
      </c>
    </row>
    <row r="161" spans="1:28">
      <c r="B161" s="1" t="s">
        <v>1769</v>
      </c>
      <c r="I161" s="1">
        <f>175288/4*6</f>
        <v>262932</v>
      </c>
      <c r="J161" s="1">
        <f>320304/4*6</f>
        <v>480456</v>
      </c>
      <c r="P161" s="3">
        <f t="shared" si="100"/>
        <v>1016.2382550335569</v>
      </c>
      <c r="S161" s="1">
        <f>[26]nhucau!$C$32</f>
        <v>1016.2382550335569</v>
      </c>
      <c r="X161" s="3"/>
      <c r="AA161" s="1">
        <f>[26]nhucau!$D$32</f>
        <v>2032.4765100671138</v>
      </c>
    </row>
    <row r="162" spans="1:28">
      <c r="B162" s="1" t="s">
        <v>1770</v>
      </c>
      <c r="I162" s="1">
        <f>I161*99%</f>
        <v>260302.68</v>
      </c>
      <c r="P162" s="3">
        <f t="shared" si="100"/>
        <v>96219.433399027883</v>
      </c>
      <c r="S162" s="1">
        <f>[26]nhucau!$C$11</f>
        <v>24363.919463087252</v>
      </c>
      <c r="T162" s="1">
        <f>[26]nhucau!$C$12</f>
        <v>71855.513935940631</v>
      </c>
      <c r="X162" s="3"/>
      <c r="AA162" s="1">
        <f>[26]nhucau!$D$11+0.4</f>
        <v>48728.238926174505</v>
      </c>
      <c r="AB162" s="1">
        <f>[26]nhucau!$D$12</f>
        <v>143711.02787188126</v>
      </c>
    </row>
    <row r="163" spans="1:28">
      <c r="B163" s="1" t="s">
        <v>1771</v>
      </c>
      <c r="P163" s="3">
        <f t="shared" si="100"/>
        <v>6542.1372280904279</v>
      </c>
      <c r="S163" s="1">
        <f>[26]nhucau!$C$20</f>
        <v>0</v>
      </c>
      <c r="T163" s="1">
        <f>[26]nhucau!$C$21</f>
        <v>6542.1372280904279</v>
      </c>
      <c r="X163" s="3"/>
      <c r="AA163" s="1">
        <f>[26]nhucau!$D$20</f>
        <v>0</v>
      </c>
      <c r="AB163" s="1">
        <f>[26]nhucau!$D$21</f>
        <v>13084.274456180856</v>
      </c>
    </row>
    <row r="164" spans="1:28">
      <c r="B164" s="3" t="s">
        <v>1772</v>
      </c>
      <c r="P164" s="3">
        <f>SUM(P155:P163)</f>
        <v>431037.46870420547</v>
      </c>
      <c r="S164" s="3">
        <f>SUM(S155:S163)</f>
        <v>89730.864823476499</v>
      </c>
      <c r="T164" s="3">
        <f>SUM(T155:T163)</f>
        <v>341306.60388072889</v>
      </c>
      <c r="X164" s="3"/>
      <c r="AA164" s="3">
        <f>SUM(AA155:AA163)</f>
        <v>179462.12964695299</v>
      </c>
      <c r="AB164" s="3">
        <f>SUM(AB155:AB163)</f>
        <v>682613.20776145777</v>
      </c>
    </row>
    <row r="165" spans="1:28">
      <c r="X165" s="1402"/>
      <c r="AA165" s="1">
        <f>AA15-D15</f>
        <v>126405</v>
      </c>
      <c r="AB165" s="1">
        <f>AB15-E15</f>
        <v>1184708.3947110809</v>
      </c>
    </row>
    <row r="166" spans="1:28">
      <c r="AA166" s="1">
        <f t="shared" ref="AA166" si="101">AA164-AA165</f>
        <v>53057.129646952992</v>
      </c>
      <c r="AB166" s="1">
        <f>AB164-AB165</f>
        <v>-502095.18694962317</v>
      </c>
    </row>
    <row r="167" spans="1:28">
      <c r="B167" s="3" t="s">
        <v>1773</v>
      </c>
      <c r="X167" s="3"/>
    </row>
    <row r="168" spans="1:28">
      <c r="A168" s="19">
        <v>1</v>
      </c>
      <c r="B168" s="1" t="s">
        <v>1774</v>
      </c>
      <c r="X168" s="1402"/>
      <c r="Y168" s="1402"/>
      <c r="Z168" s="1402"/>
      <c r="AA168" s="1402">
        <f>[26]nguon!$G$16</f>
        <v>139861.53594632482</v>
      </c>
      <c r="AB168" s="1402">
        <f>'Phụ lục 7.2-CCTL'!D6</f>
        <v>886000</v>
      </c>
    </row>
    <row r="169" spans="1:28">
      <c r="A169" s="19">
        <v>2</v>
      </c>
      <c r="B169" s="1" t="s">
        <v>1775</v>
      </c>
      <c r="X169" s="3"/>
      <c r="Y169" s="3"/>
      <c r="Z169" s="3"/>
      <c r="AA169" s="3">
        <f>SUM(AA170:AA172)</f>
        <v>70060.510411255382</v>
      </c>
      <c r="AB169" s="3">
        <f>SUM(AB170:AB173)</f>
        <v>124215</v>
      </c>
    </row>
    <row r="170" spans="1:28">
      <c r="B170" s="1797" t="s">
        <v>167</v>
      </c>
      <c r="AA170" s="1">
        <f>[26]nguon!$G$12</f>
        <v>50638</v>
      </c>
      <c r="AB170" s="1">
        <f>[26]nguon!$H$12</f>
        <v>116757</v>
      </c>
    </row>
    <row r="171" spans="1:28">
      <c r="B171" s="1797" t="s">
        <v>1776</v>
      </c>
      <c r="AA171" s="1">
        <f>[26]nguon!$G$13</f>
        <v>11410</v>
      </c>
      <c r="AB171" s="1">
        <f>[26]nguon!$H$13</f>
        <v>7458</v>
      </c>
    </row>
    <row r="172" spans="1:28">
      <c r="B172" s="1797" t="s">
        <v>1777</v>
      </c>
      <c r="AA172" s="1">
        <f>[26]nguon!$G$14</f>
        <v>8012.5104112553881</v>
      </c>
    </row>
    <row r="173" spans="1:28">
      <c r="B173" s="1797" t="s">
        <v>2525</v>
      </c>
      <c r="AB173" s="1">
        <f>'Phụ lục 7.2-CCTL'!D20</f>
        <v>0</v>
      </c>
    </row>
    <row r="174" spans="1:28">
      <c r="A174" s="19">
        <v>3</v>
      </c>
      <c r="B174" s="1" t="s">
        <v>1778</v>
      </c>
      <c r="X174" s="3"/>
      <c r="Y174" s="3"/>
      <c r="Z174" s="3"/>
      <c r="AA174" s="2608">
        <f>'Phụ lục số 3.1'!J56</f>
        <v>-62400</v>
      </c>
      <c r="AB174" s="2608">
        <f>'Phụ lục số 3.1'!K56</f>
        <v>349365</v>
      </c>
    </row>
    <row r="175" spans="1:28">
      <c r="B175" s="1" t="s">
        <v>1779</v>
      </c>
      <c r="X175" s="2609"/>
      <c r="Y175" s="2609">
        <f t="shared" ref="Y175:Z175" si="102">Y174+Y170+Y171+Y168</f>
        <v>0</v>
      </c>
      <c r="Z175" s="2609">
        <f t="shared" si="102"/>
        <v>0</v>
      </c>
      <c r="AA175" s="2609">
        <f>AA174+AA170+AA171+AA168</f>
        <v>139509.53594632482</v>
      </c>
      <c r="AB175" s="2609">
        <f>AB168+AB170+AB171+AB172+AB173</f>
        <v>1010215</v>
      </c>
    </row>
    <row r="176" spans="1:28" s="3" customFormat="1" ht="17.399999999999999">
      <c r="A176" s="1401"/>
      <c r="B176" s="3" t="s">
        <v>2526</v>
      </c>
      <c r="Y176" s="3">
        <f t="shared" ref="Y176:Z176" si="103">Y175+Y174</f>
        <v>0</v>
      </c>
      <c r="Z176" s="3">
        <f t="shared" si="103"/>
        <v>0</v>
      </c>
      <c r="AA176" s="3">
        <f>AA175+AA174</f>
        <v>77109.535946324817</v>
      </c>
      <c r="AB176" s="3">
        <f>AB175+AB174</f>
        <v>1359580</v>
      </c>
    </row>
    <row r="177" spans="2:28">
      <c r="X177" s="1402"/>
    </row>
    <row r="178" spans="2:28">
      <c r="B178" s="1" t="s">
        <v>2527</v>
      </c>
      <c r="X178" s="1402"/>
      <c r="AA178" s="1">
        <f>AA164</f>
        <v>179462.12964695299</v>
      </c>
      <c r="AB178" s="1">
        <f>AB164</f>
        <v>682613.20776145777</v>
      </c>
    </row>
    <row r="179" spans="2:28">
      <c r="B179" s="1" t="s">
        <v>2528</v>
      </c>
      <c r="X179" s="1402"/>
      <c r="AA179" s="2611">
        <f>AA178-AA174</f>
        <v>241862.12964695299</v>
      </c>
      <c r="AB179" s="2270">
        <f>AB178-AB174</f>
        <v>333248.20776145777</v>
      </c>
    </row>
    <row r="180" spans="2:28">
      <c r="X180" s="1402"/>
    </row>
    <row r="181" spans="2:28">
      <c r="B181" s="1" t="s">
        <v>2529</v>
      </c>
      <c r="X181" s="1402"/>
      <c r="AA181" s="2270">
        <f>AA10-D10</f>
        <v>22186</v>
      </c>
      <c r="AB181" s="1">
        <f>AB10-E10</f>
        <v>60000.408969876124</v>
      </c>
    </row>
    <row r="182" spans="2:28">
      <c r="B182" s="1" t="s">
        <v>2530</v>
      </c>
      <c r="X182" s="1402"/>
      <c r="AA182" s="1">
        <v>0</v>
      </c>
      <c r="AB182" s="1">
        <v>29000</v>
      </c>
    </row>
    <row r="183" spans="2:28">
      <c r="X183" s="1402"/>
      <c r="AB183" s="1">
        <v>9000</v>
      </c>
    </row>
    <row r="184" spans="2:28">
      <c r="X184" s="1402"/>
      <c r="AB184" s="1">
        <v>1000</v>
      </c>
    </row>
    <row r="185" spans="2:28">
      <c r="X185" s="1402"/>
      <c r="AB185" s="1">
        <v>1000</v>
      </c>
    </row>
    <row r="186" spans="2:28">
      <c r="X186" s="1402"/>
      <c r="AB186" s="1">
        <v>8000</v>
      </c>
    </row>
    <row r="187" spans="2:28">
      <c r="X187" s="1402"/>
    </row>
    <row r="188" spans="2:28">
      <c r="X188" s="1402"/>
    </row>
    <row r="189" spans="2:28">
      <c r="X189" s="1402"/>
      <c r="AA189" s="1">
        <f>SUM(AA183:AA188)</f>
        <v>0</v>
      </c>
      <c r="AB189" s="1">
        <f>SUM(AB183:AB188)</f>
        <v>19000</v>
      </c>
    </row>
    <row r="190" spans="2:28">
      <c r="X190" s="1402"/>
      <c r="AA190" s="1">
        <f>AA182-AA189</f>
        <v>0</v>
      </c>
      <c r="AB190" s="2270">
        <f>AB182-AB189</f>
        <v>10000</v>
      </c>
    </row>
    <row r="191" spans="2:28">
      <c r="B191" s="1" t="s">
        <v>2531</v>
      </c>
      <c r="X191" s="1402"/>
      <c r="AA191" s="1">
        <f>AA15-D15</f>
        <v>126405</v>
      </c>
      <c r="AB191" s="1">
        <f>AB15-E15</f>
        <v>1184708.3947110809</v>
      </c>
    </row>
    <row r="192" spans="2:28">
      <c r="B192" s="1" t="s">
        <v>2532</v>
      </c>
      <c r="X192" s="1402"/>
      <c r="AA192" s="2610">
        <f>AA191-AA178</f>
        <v>-53057.129646952992</v>
      </c>
      <c r="AB192" s="2270">
        <f>AB191-AB178</f>
        <v>502095.18694962317</v>
      </c>
    </row>
    <row r="193" spans="24:28">
      <c r="X193" s="1402"/>
    </row>
    <row r="194" spans="24:28">
      <c r="X194" s="1402"/>
      <c r="AA194" s="1">
        <f>AA29-D29</f>
        <v>0</v>
      </c>
      <c r="AB194" s="1">
        <f>AB29-E29</f>
        <v>0</v>
      </c>
    </row>
    <row r="195" spans="24:28">
      <c r="X195" s="1402"/>
      <c r="AA195" s="1">
        <f>AA30-D30</f>
        <v>16882.367999999988</v>
      </c>
      <c r="AB195" s="1">
        <f>AB30-E30</f>
        <v>36363.544319042121</v>
      </c>
    </row>
    <row r="196" spans="24:28">
      <c r="X196" s="1402"/>
    </row>
    <row r="197" spans="24:28">
      <c r="X197" s="1402"/>
    </row>
    <row r="198" spans="24:28">
      <c r="X198" s="1402"/>
      <c r="AB198" s="1">
        <f>AB175-1410000</f>
        <v>-399785</v>
      </c>
    </row>
    <row r="199" spans="24:28">
      <c r="X199" s="1402"/>
      <c r="AB199" s="2210">
        <f>AB192+AB190+AB179</f>
        <v>845343.39471108094</v>
      </c>
    </row>
    <row r="200" spans="24:28">
      <c r="X200" s="1402"/>
      <c r="AB200" s="1">
        <f>AB198-AB199</f>
        <v>-1245128.3947110809</v>
      </c>
    </row>
    <row r="201" spans="24:28">
      <c r="X201" s="1402"/>
    </row>
    <row r="202" spans="24:28">
      <c r="X202" s="1402"/>
      <c r="AB202" s="1">
        <f>AB198-AB179</f>
        <v>-733033.20776145777</v>
      </c>
    </row>
    <row r="203" spans="24:28">
      <c r="X203" s="1402"/>
    </row>
    <row r="204" spans="24:28">
      <c r="X204" s="1402"/>
    </row>
    <row r="205" spans="24:28">
      <c r="X205" s="1402"/>
    </row>
    <row r="206" spans="24:28">
      <c r="X206" s="1402"/>
      <c r="Z206" s="1">
        <f>AA206+AB206</f>
        <v>994039</v>
      </c>
      <c r="AA206" s="1">
        <v>164000</v>
      </c>
      <c r="AB206" s="1">
        <f>'Phụ lục 7.2-CCTL'!D25</f>
        <v>830039</v>
      </c>
    </row>
    <row r="207" spans="24:28">
      <c r="X207" s="1402"/>
      <c r="Z207" s="1">
        <f>AA207+AB207</f>
        <v>131963.66259158924</v>
      </c>
      <c r="AA207" s="1">
        <f>AA206-AA164</f>
        <v>-15462.129646952992</v>
      </c>
      <c r="AB207" s="1">
        <f>AB206-AB164</f>
        <v>147425.79223854223</v>
      </c>
    </row>
    <row r="208" spans="24:28">
      <c r="X208" s="1402"/>
    </row>
    <row r="209" spans="16:28">
      <c r="X209" s="1402"/>
    </row>
    <row r="210" spans="16:28">
      <c r="X210" s="1402"/>
    </row>
    <row r="211" spans="16:28">
      <c r="X211" s="1402"/>
    </row>
    <row r="212" spans="16:28">
      <c r="X212" s="1402"/>
    </row>
    <row r="213" spans="16:28">
      <c r="X213" s="1402"/>
    </row>
    <row r="214" spans="16:28">
      <c r="X214" s="1402"/>
    </row>
    <row r="215" spans="16:28">
      <c r="AA215" s="1">
        <f>AA164-AA168-AA170-AA171-AA174</f>
        <v>39952.593700628175</v>
      </c>
      <c r="AB215" s="1">
        <f>AB216-AB218</f>
        <v>152730.18694962317</v>
      </c>
    </row>
    <row r="216" spans="16:28">
      <c r="AB216" s="2608">
        <f>-AB166</f>
        <v>502095.18694962317</v>
      </c>
    </row>
    <row r="217" spans="16:28">
      <c r="T217" s="1" t="s">
        <v>1781</v>
      </c>
      <c r="X217" s="1402"/>
      <c r="AA217" s="1">
        <f>AA168+AA170+AA171</f>
        <v>201909.53594632482</v>
      </c>
      <c r="AB217" s="3">
        <f>AB168+AB170+AB171+AB172+AB173</f>
        <v>1010215</v>
      </c>
    </row>
    <row r="218" spans="16:28">
      <c r="P218" s="1">
        <v>260000000000</v>
      </c>
      <c r="X218" s="3"/>
      <c r="AA218" s="1">
        <f>AA174</f>
        <v>-62400</v>
      </c>
      <c r="AB218" s="1">
        <f>AB174</f>
        <v>349365</v>
      </c>
    </row>
    <row r="219" spans="16:28">
      <c r="P219" s="1">
        <v>96000000</v>
      </c>
      <c r="T219" s="1" t="s">
        <v>1780</v>
      </c>
      <c r="X219" s="1402"/>
      <c r="AA219" s="1">
        <f>AA218+AA217-AA164+0.4</f>
        <v>-39952.193700628173</v>
      </c>
      <c r="AB219" s="1">
        <f>AB218+AB217-AB164</f>
        <v>676966.79223854223</v>
      </c>
    </row>
    <row r="220" spans="16:28">
      <c r="P220" s="1">
        <f>+P218/P219</f>
        <v>2708.3333333333335</v>
      </c>
      <c r="AA220" s="1">
        <f>-'Phụ lục số 3.1'!J56</f>
        <v>62400</v>
      </c>
      <c r="AB220" s="2608">
        <f>AB164-AB174</f>
        <v>333248.20776145777</v>
      </c>
    </row>
    <row r="221" spans="16:28">
      <c r="P221" s="1">
        <v>1800</v>
      </c>
      <c r="AA221" s="3">
        <f>AA164-AA220</f>
        <v>117062.12964695299</v>
      </c>
      <c r="AB221" s="1">
        <f>AB217-AB220</f>
        <v>676966.79223854223</v>
      </c>
    </row>
    <row r="222" spans="16:28">
      <c r="P222" s="1">
        <f>+P221*1700000</f>
        <v>3060000000</v>
      </c>
      <c r="AA222" s="1">
        <v>81000</v>
      </c>
    </row>
    <row r="223" spans="16:28">
      <c r="AA223" s="1">
        <f>AA222+AA221</f>
        <v>198062.12964695299</v>
      </c>
      <c r="AB223" s="1">
        <v>29000</v>
      </c>
    </row>
    <row r="224" spans="16:28">
      <c r="AA224" s="1">
        <f>AA175-AA223</f>
        <v>-58552.593700628175</v>
      </c>
      <c r="AB224" s="1">
        <v>9000</v>
      </c>
    </row>
    <row r="225" spans="28:28">
      <c r="AB225" s="1">
        <v>8000</v>
      </c>
    </row>
    <row r="226" spans="28:28">
      <c r="AB226" s="1">
        <v>1000</v>
      </c>
    </row>
    <row r="227" spans="28:28">
      <c r="AB227" s="1">
        <v>1000</v>
      </c>
    </row>
    <row r="232" spans="28:28">
      <c r="AB232" s="3">
        <f>SUM(AB224:AB231)</f>
        <v>19000</v>
      </c>
    </row>
    <row r="233" spans="28:28">
      <c r="AB233" s="2608">
        <f>AB223-AB232</f>
        <v>10000</v>
      </c>
    </row>
    <row r="236" spans="28:28">
      <c r="AB236" s="3">
        <f>AB175+AB220+AB233</f>
        <v>1353463.2077614577</v>
      </c>
    </row>
    <row r="237" spans="28:28">
      <c r="AB237" s="3">
        <f>AB233+AB220+AB216</f>
        <v>845343.39471108094</v>
      </c>
    </row>
    <row r="256" spans="24:24">
      <c r="X256" s="3132"/>
    </row>
  </sheetData>
  <mergeCells count="15">
    <mergeCell ref="AA124:AB124"/>
    <mergeCell ref="A1:AB1"/>
    <mergeCell ref="A2:AB2"/>
    <mergeCell ref="AA3:AB3"/>
    <mergeCell ref="A4:A5"/>
    <mergeCell ref="K4:O4"/>
    <mergeCell ref="F4:J4"/>
    <mergeCell ref="B4:B5"/>
    <mergeCell ref="C4:E4"/>
    <mergeCell ref="X4:AB4"/>
    <mergeCell ref="AC4:AG4"/>
    <mergeCell ref="AH4:AL4"/>
    <mergeCell ref="D3:E3"/>
    <mergeCell ref="U4:W4"/>
    <mergeCell ref="P4:T4"/>
  </mergeCells>
  <phoneticPr fontId="2" type="noConversion"/>
  <hyperlinks>
    <hyperlink ref="A6" location="'List danh mục'!A1" display="'List danh mục'!A1"/>
    <hyperlink ref="A4:A5" location="'List danh mục'!A1" display="SỐ TT"/>
  </hyperlinks>
  <printOptions horizontalCentered="1"/>
  <pageMargins left="0" right="0" top="0.39370078740157483" bottom="0" header="0" footer="0"/>
  <pageSetup paperSize="9" scale="60" orientation="landscape" r:id="rId1"/>
  <headerFooter alignWithMargins="0">
    <oddHeader>&amp;R&amp;"Times New Roman,Bold"Phụ lục số 2</oddHeader>
    <oddFooter>&amp;C&amp;"Tahoma,Regular"&amp;8&amp;P/&amp;N</oddFooter>
  </headerFooter>
  <ignoredErrors>
    <ignoredError sqref="O26" formula="1"/>
    <ignoredError sqref="H18" formulaRange="1"/>
    <ignoredError sqref="G18" formula="1" formulaRange="1"/>
  </ignoredErrors>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F66"/>
  <sheetViews>
    <sheetView workbookViewId="0">
      <pane xSplit="5" ySplit="7" topLeftCell="I26" activePane="bottomRight" state="frozen"/>
      <selection activeCell="Y35" sqref="Y35"/>
      <selection pane="topRight" activeCell="Y35" sqref="Y35"/>
      <selection pane="bottomLeft" activeCell="Y35" sqref="Y35"/>
      <selection pane="bottomRight" activeCell="Y35" sqref="Y35"/>
    </sheetView>
  </sheetViews>
  <sheetFormatPr defaultColWidth="9" defaultRowHeight="18"/>
  <cols>
    <col min="1" max="1" width="5.69921875" style="20" customWidth="1"/>
    <col min="2" max="2" width="95.69921875" style="37" customWidth="1"/>
    <col min="3" max="11" width="11.69921875" style="37" customWidth="1"/>
    <col min="12" max="17" width="10.69921875" style="37" customWidth="1"/>
    <col min="18" max="20" width="10.59765625" style="37" hidden="1" customWidth="1"/>
    <col min="21" max="21" width="17.5" style="37" hidden="1" customWidth="1"/>
    <col min="22" max="22" width="16.3984375" style="37" hidden="1" customWidth="1"/>
    <col min="23" max="23" width="13.8984375" style="37" hidden="1" customWidth="1"/>
    <col min="24" max="24" width="16.59765625" style="37" hidden="1" customWidth="1"/>
    <col min="25" max="25" width="17" style="37" hidden="1" customWidth="1"/>
    <col min="26" max="26" width="16.69921875" style="37" hidden="1" customWidth="1"/>
    <col min="27" max="27" width="29.69921875" style="37" hidden="1" customWidth="1"/>
    <col min="28" max="28" width="12.3984375" style="37" hidden="1" customWidth="1"/>
    <col min="29" max="29" width="11" style="37" hidden="1" customWidth="1"/>
    <col min="30" max="30" width="40.8984375" style="37" hidden="1" customWidth="1"/>
    <col min="31" max="32" width="0" style="37" hidden="1" customWidth="1"/>
    <col min="33" max="16384" width="9" style="37"/>
  </cols>
  <sheetData>
    <row r="1" spans="1:32" ht="34.5" customHeight="1">
      <c r="A1" s="4475" t="s">
        <v>225</v>
      </c>
      <c r="B1" s="4475"/>
      <c r="C1" s="4475"/>
      <c r="D1" s="4475"/>
      <c r="E1" s="4475"/>
      <c r="F1" s="4475"/>
      <c r="G1" s="4475"/>
      <c r="H1" s="4475"/>
      <c r="I1" s="4475"/>
      <c r="J1" s="4475"/>
      <c r="K1" s="4475"/>
      <c r="L1" s="125"/>
      <c r="M1" s="125"/>
      <c r="N1" s="125"/>
      <c r="O1" s="125"/>
      <c r="P1" s="125"/>
      <c r="Q1" s="125"/>
      <c r="R1" s="70"/>
      <c r="S1" s="70"/>
      <c r="T1" s="70"/>
      <c r="AC1" s="70"/>
    </row>
    <row r="2" spans="1:32">
      <c r="A2" s="4626" t="str">
        <f>'Phụ lục số 2'!A2:AB2</f>
        <v>(Kèm theo Báo cáo số         /BC-UBND ngày      tháng 10 năm 2023 của Ủy ban nhân dân tỉnh Đồng Tháp)</v>
      </c>
      <c r="B2" s="4627"/>
      <c r="C2" s="4627"/>
      <c r="D2" s="4627"/>
      <c r="E2" s="4627"/>
      <c r="F2" s="4627"/>
      <c r="G2" s="4627"/>
      <c r="H2" s="4627"/>
      <c r="I2" s="4627"/>
      <c r="J2" s="4627"/>
      <c r="K2" s="4627"/>
      <c r="L2" s="125"/>
      <c r="M2" s="125"/>
      <c r="N2" s="125"/>
      <c r="O2" s="125"/>
      <c r="P2" s="125"/>
      <c r="Q2" s="125"/>
      <c r="R2" s="70"/>
      <c r="S2" s="70"/>
      <c r="T2" s="70"/>
      <c r="AC2" s="70"/>
    </row>
    <row r="3" spans="1:32" ht="18.600000000000001" thickBot="1">
      <c r="A3" s="38"/>
      <c r="B3" s="38"/>
      <c r="C3" s="38"/>
      <c r="D3" s="38"/>
      <c r="E3" s="38"/>
      <c r="F3" s="38"/>
      <c r="H3" s="34"/>
      <c r="I3" s="4541" t="s">
        <v>182</v>
      </c>
      <c r="J3" s="4541"/>
      <c r="K3" s="4541"/>
      <c r="L3" s="126"/>
      <c r="M3" s="126"/>
      <c r="N3" s="126"/>
      <c r="O3" s="126"/>
      <c r="P3" s="39"/>
      <c r="Q3" s="39"/>
      <c r="R3" s="39"/>
      <c r="S3" s="39"/>
      <c r="T3" s="39"/>
    </row>
    <row r="4" spans="1:32" s="38" customFormat="1" thickTop="1">
      <c r="A4" s="4457" t="s">
        <v>183</v>
      </c>
      <c r="B4" s="4617" t="s">
        <v>52</v>
      </c>
      <c r="C4" s="4619" t="s">
        <v>184</v>
      </c>
      <c r="D4" s="4619"/>
      <c r="E4" s="4619"/>
      <c r="F4" s="4620" t="s">
        <v>208</v>
      </c>
      <c r="G4" s="4621"/>
      <c r="H4" s="4622"/>
      <c r="I4" s="4623" t="s">
        <v>209</v>
      </c>
      <c r="J4" s="4624"/>
      <c r="K4" s="4625"/>
      <c r="L4" s="4470" t="s">
        <v>185</v>
      </c>
      <c r="M4" s="4470"/>
      <c r="N4" s="4471"/>
      <c r="O4" s="4469" t="s">
        <v>210</v>
      </c>
      <c r="P4" s="4470"/>
      <c r="Q4" s="4472"/>
      <c r="R4" s="4473" t="s">
        <v>242</v>
      </c>
      <c r="S4" s="4473"/>
      <c r="T4" s="4474"/>
      <c r="U4" s="4466" t="s">
        <v>187</v>
      </c>
      <c r="V4" s="4467"/>
      <c r="W4" s="4468"/>
      <c r="X4" s="4466" t="s">
        <v>188</v>
      </c>
      <c r="Y4" s="4467"/>
      <c r="Z4" s="4468"/>
      <c r="AA4" s="4466" t="s">
        <v>189</v>
      </c>
      <c r="AB4" s="4467"/>
      <c r="AC4" s="4468"/>
      <c r="AD4" s="4466" t="s">
        <v>190</v>
      </c>
      <c r="AE4" s="4467"/>
      <c r="AF4" s="4468"/>
    </row>
    <row r="5" spans="1:32" s="38" customFormat="1" ht="17.399999999999999">
      <c r="A5" s="4458"/>
      <c r="B5" s="4618"/>
      <c r="C5" s="127" t="s">
        <v>53</v>
      </c>
      <c r="D5" s="128" t="s">
        <v>191</v>
      </c>
      <c r="E5" s="128" t="s">
        <v>192</v>
      </c>
      <c r="F5" s="1823" t="s">
        <v>53</v>
      </c>
      <c r="G5" s="1824" t="s">
        <v>191</v>
      </c>
      <c r="H5" s="1824" t="s">
        <v>192</v>
      </c>
      <c r="I5" s="1823" t="s">
        <v>53</v>
      </c>
      <c r="J5" s="1824" t="s">
        <v>191</v>
      </c>
      <c r="K5" s="2632" t="s">
        <v>192</v>
      </c>
      <c r="L5" s="2624" t="s">
        <v>53</v>
      </c>
      <c r="M5" s="1824" t="s">
        <v>191</v>
      </c>
      <c r="N5" s="1824" t="s">
        <v>192</v>
      </c>
      <c r="O5" s="1823" t="s">
        <v>53</v>
      </c>
      <c r="P5" s="1824" t="s">
        <v>191</v>
      </c>
      <c r="Q5" s="2106" t="s">
        <v>192</v>
      </c>
      <c r="R5" s="2100" t="s">
        <v>53</v>
      </c>
      <c r="S5" s="128" t="s">
        <v>191</v>
      </c>
      <c r="T5" s="128" t="s">
        <v>192</v>
      </c>
      <c r="U5" s="127" t="s">
        <v>53</v>
      </c>
      <c r="V5" s="129" t="s">
        <v>54</v>
      </c>
      <c r="W5" s="129" t="s">
        <v>55</v>
      </c>
      <c r="X5" s="127" t="s">
        <v>53</v>
      </c>
      <c r="Y5" s="129" t="s">
        <v>54</v>
      </c>
      <c r="Z5" s="129" t="s">
        <v>55</v>
      </c>
      <c r="AA5" s="127" t="s">
        <v>53</v>
      </c>
      <c r="AB5" s="129" t="s">
        <v>54</v>
      </c>
      <c r="AC5" s="129" t="s">
        <v>55</v>
      </c>
      <c r="AD5" s="127" t="s">
        <v>53</v>
      </c>
      <c r="AE5" s="129" t="s">
        <v>54</v>
      </c>
      <c r="AF5" s="129" t="s">
        <v>55</v>
      </c>
    </row>
    <row r="6" spans="1:32" s="38" customFormat="1" ht="17.399999999999999">
      <c r="A6" s="2633" t="s">
        <v>7</v>
      </c>
      <c r="B6" s="159" t="s">
        <v>1794</v>
      </c>
      <c r="C6" s="1825">
        <f t="shared" ref="C6:Q6" si="0">SUM(C9,C14,C20,C21)</f>
        <v>15819995</v>
      </c>
      <c r="D6" s="1825">
        <f t="shared" si="0"/>
        <v>12922645</v>
      </c>
      <c r="E6" s="1825">
        <f t="shared" si="0"/>
        <v>2897350</v>
      </c>
      <c r="F6" s="131">
        <f t="shared" si="0"/>
        <v>16997394.800000001</v>
      </c>
      <c r="G6" s="131">
        <f t="shared" si="0"/>
        <v>13068045.733333334</v>
      </c>
      <c r="H6" s="131">
        <f t="shared" si="0"/>
        <v>3929349.0666666664</v>
      </c>
      <c r="I6" s="1825">
        <f t="shared" si="0"/>
        <v>18627409</v>
      </c>
      <c r="J6" s="1825">
        <f>SUM(J9,J14,J20,J21)</f>
        <v>13802329</v>
      </c>
      <c r="K6" s="2634">
        <f t="shared" si="0"/>
        <v>4825080</v>
      </c>
      <c r="L6" s="2629">
        <f t="shared" si="0"/>
        <v>19478786.72038975</v>
      </c>
      <c r="M6" s="1825">
        <f t="shared" si="0"/>
        <v>15344426.462668305</v>
      </c>
      <c r="N6" s="1825">
        <f t="shared" si="0"/>
        <v>4134360.2577214451</v>
      </c>
      <c r="O6" s="1825">
        <f t="shared" si="0"/>
        <v>20439289.843441617</v>
      </c>
      <c r="P6" s="1825">
        <f t="shared" si="0"/>
        <v>16384606.148853552</v>
      </c>
      <c r="Q6" s="2108">
        <f t="shared" si="0"/>
        <v>4054683.694588067</v>
      </c>
      <c r="R6" s="2101">
        <f>I6+L6+O6</f>
        <v>58545485.563831374</v>
      </c>
      <c r="S6" s="131">
        <f>J6+M6+P6</f>
        <v>45531361.611521855</v>
      </c>
      <c r="T6" s="131">
        <f>K6+N6+Q6</f>
        <v>13014123.952309512</v>
      </c>
      <c r="U6" s="132" t="s">
        <v>194</v>
      </c>
      <c r="V6" s="131"/>
      <c r="W6" s="131"/>
      <c r="X6" s="132" t="s">
        <v>194</v>
      </c>
      <c r="Y6" s="131"/>
      <c r="Z6" s="131"/>
      <c r="AA6" s="132" t="s">
        <v>194</v>
      </c>
      <c r="AB6" s="131"/>
      <c r="AC6" s="131"/>
      <c r="AD6" s="132" t="s">
        <v>194</v>
      </c>
      <c r="AE6" s="131"/>
      <c r="AF6" s="131"/>
    </row>
    <row r="7" spans="1:32" s="38" customFormat="1" ht="17.399999999999999">
      <c r="A7" s="2635"/>
      <c r="B7" s="134" t="s">
        <v>1795</v>
      </c>
      <c r="C7" s="59">
        <f t="shared" ref="C7:H7" si="1">SUM(C9,C15,C20)</f>
        <v>13191488</v>
      </c>
      <c r="D7" s="59">
        <f t="shared" si="1"/>
        <v>10294138</v>
      </c>
      <c r="E7" s="59">
        <f t="shared" si="1"/>
        <v>2897350</v>
      </c>
      <c r="F7" s="14">
        <f t="shared" si="1"/>
        <v>14368887.800000001</v>
      </c>
      <c r="G7" s="14">
        <f t="shared" si="1"/>
        <v>10439538.733333334</v>
      </c>
      <c r="H7" s="14">
        <f t="shared" si="1"/>
        <v>3929349.0666666664</v>
      </c>
      <c r="I7" s="59">
        <f t="shared" ref="I7:Q7" si="2">SUM(I9,I15,I20,I19)</f>
        <v>16638433</v>
      </c>
      <c r="J7" s="59">
        <f t="shared" si="2"/>
        <v>11813353</v>
      </c>
      <c r="K7" s="2636">
        <f t="shared" si="2"/>
        <v>4825080</v>
      </c>
      <c r="L7" s="59">
        <f t="shared" si="2"/>
        <v>17099301.420389749</v>
      </c>
      <c r="M7" s="59">
        <f t="shared" si="2"/>
        <v>12964941.162668305</v>
      </c>
      <c r="N7" s="2636">
        <f t="shared" si="2"/>
        <v>4134360.2577214451</v>
      </c>
      <c r="O7" s="59">
        <f t="shared" si="2"/>
        <v>18059804.543441616</v>
      </c>
      <c r="P7" s="59">
        <f t="shared" si="2"/>
        <v>14005120.848853551</v>
      </c>
      <c r="Q7" s="2636">
        <f t="shared" si="2"/>
        <v>4054683.694588067</v>
      </c>
      <c r="R7" s="2102">
        <f>SUM(R9,S15,S17,R20)</f>
        <v>56071084.963831365</v>
      </c>
      <c r="S7" s="14">
        <f>S9+S15+S17+S20-S46</f>
        <v>27806991.008941304</v>
      </c>
      <c r="T7" s="14">
        <f>R7-S7</f>
        <v>28264093.954890061</v>
      </c>
      <c r="U7" s="135"/>
      <c r="V7" s="14"/>
      <c r="W7" s="14"/>
      <c r="X7" s="135"/>
      <c r="Y7" s="14"/>
      <c r="Z7" s="14"/>
      <c r="AA7" s="135"/>
      <c r="AB7" s="14"/>
      <c r="AC7" s="14"/>
      <c r="AD7" s="135"/>
      <c r="AE7" s="14"/>
      <c r="AF7" s="14"/>
    </row>
    <row r="8" spans="1:32" s="38" customFormat="1" ht="17.399999999999999">
      <c r="A8" s="2635"/>
      <c r="B8" s="134" t="s">
        <v>1796</v>
      </c>
      <c r="C8" s="59">
        <f>+D8+E8</f>
        <v>10691488</v>
      </c>
      <c r="D8" s="59">
        <f>D7-D10-D11-D12</f>
        <v>8594138</v>
      </c>
      <c r="E8" s="59">
        <f>E7-E10-E11-E12</f>
        <v>2097350</v>
      </c>
      <c r="F8" s="14">
        <f>+G8+H8</f>
        <v>11338887.800000001</v>
      </c>
      <c r="G8" s="14">
        <f>G7-G10-G11-G12</f>
        <v>8389538.7333333343</v>
      </c>
      <c r="H8" s="14">
        <f>H7-H10-H11-H12</f>
        <v>2949349.0666666664</v>
      </c>
      <c r="I8" s="59">
        <f>+J8+K8</f>
        <v>12881433</v>
      </c>
      <c r="J8" s="59">
        <f>J7-J10-J11-J12</f>
        <v>9199353</v>
      </c>
      <c r="K8" s="2636">
        <f>K7-K10-K11-K12</f>
        <v>3682080</v>
      </c>
      <c r="L8" s="187">
        <f>+M8+N8</f>
        <v>13577301.420389749</v>
      </c>
      <c r="M8" s="59">
        <f>M7-M10-M11-M12</f>
        <v>10217841.416905593</v>
      </c>
      <c r="N8" s="59">
        <f>N7-N10-N11-N12</f>
        <v>3359460.0034841569</v>
      </c>
      <c r="O8" s="59">
        <f>+P8+Q8</f>
        <v>14299804.543441618</v>
      </c>
      <c r="P8" s="59">
        <f>P7-P10-P11-P12</f>
        <v>11058721.115802703</v>
      </c>
      <c r="Q8" s="2086">
        <f>Q7-Q10-Q11-Q12</f>
        <v>3241083.4276389144</v>
      </c>
      <c r="R8" s="2102">
        <f>+S8+T8</f>
        <v>45069084.963831365</v>
      </c>
      <c r="S8" s="14">
        <f>S7-S10-S11</f>
        <v>19536491.530127745</v>
      </c>
      <c r="T8" s="14">
        <f>T7-T10-T11</f>
        <v>25532593.43370362</v>
      </c>
      <c r="U8" s="135"/>
      <c r="V8" s="14"/>
      <c r="W8" s="14"/>
      <c r="X8" s="135"/>
      <c r="Y8" s="14"/>
      <c r="Z8" s="14"/>
      <c r="AA8" s="135"/>
      <c r="AB8" s="14"/>
      <c r="AC8" s="14"/>
      <c r="AD8" s="135"/>
      <c r="AE8" s="14"/>
      <c r="AF8" s="14"/>
    </row>
    <row r="9" spans="1:32" s="38" customFormat="1" ht="17.399999999999999">
      <c r="A9" s="2635">
        <v>1</v>
      </c>
      <c r="B9" s="134" t="s">
        <v>56</v>
      </c>
      <c r="C9" s="59">
        <f t="shared" ref="C9:C21" si="3">SUM(D9:E9)</f>
        <v>6704000</v>
      </c>
      <c r="D9" s="59">
        <f>'Phụ lục số 1'!F8</f>
        <v>3806650</v>
      </c>
      <c r="E9" s="59">
        <f>'Phụ lục số 1'!G8</f>
        <v>2897350</v>
      </c>
      <c r="F9" s="14">
        <f t="shared" ref="F9:F21" si="4">SUM(G9:H9)</f>
        <v>7450399.7999999998</v>
      </c>
      <c r="G9" s="14">
        <f>'Phụ lục số 1'!X8</f>
        <v>3862350.7333333334</v>
      </c>
      <c r="H9" s="14">
        <f>'Phụ lục số 1'!Y8</f>
        <v>3588049.0666666664</v>
      </c>
      <c r="I9" s="59">
        <f t="shared" ref="I9:I14" si="5">SUM(J9:K9)</f>
        <v>8484930</v>
      </c>
      <c r="J9" s="59">
        <f>'Phụ lục số 1'!AI8</f>
        <v>4545850</v>
      </c>
      <c r="K9" s="2636">
        <f>'Phụ lục số 1'!AJ8</f>
        <v>3939080</v>
      </c>
      <c r="L9" s="187">
        <f t="shared" ref="L9:L17" si="6">SUM(M9:N9)</f>
        <v>9114399.2203897499</v>
      </c>
      <c r="M9" s="59">
        <f>'Phụ lục số 1'!AO8</f>
        <v>5618298.9626683053</v>
      </c>
      <c r="N9" s="59">
        <f>'Phụ lục số 1'!AP8</f>
        <v>3496100.2577214451</v>
      </c>
      <c r="O9" s="59">
        <f>SUM(P9:Q9)</f>
        <v>9911000.2332467418</v>
      </c>
      <c r="P9" s="59">
        <f>'Phụ lục số 1'!AU8</f>
        <v>6172099.8404007535</v>
      </c>
      <c r="Q9" s="2086">
        <f>'Phụ lục số 1'!AV8</f>
        <v>3738900.3928459887</v>
      </c>
      <c r="R9" s="2102">
        <f t="shared" ref="R9:T18" si="7">I9+L9+O9</f>
        <v>27510329.45363649</v>
      </c>
      <c r="S9" s="14">
        <f t="shared" si="7"/>
        <v>16336248.803069059</v>
      </c>
      <c r="T9" s="14">
        <f t="shared" si="7"/>
        <v>11174080.650567433</v>
      </c>
      <c r="U9" s="14">
        <f>SUM(V9:W9)</f>
        <v>746399.79999999981</v>
      </c>
      <c r="V9" s="14">
        <f>G9-$D$9</f>
        <v>55700.733333333395</v>
      </c>
      <c r="W9" s="14">
        <f>H9-$E$9</f>
        <v>690699.06666666642</v>
      </c>
      <c r="X9" s="14">
        <f>SUM(Y9:Z9)</f>
        <v>1780930</v>
      </c>
      <c r="Y9" s="14">
        <f>J9-$D$9</f>
        <v>739200</v>
      </c>
      <c r="Z9" s="14">
        <f>K9-$E$9</f>
        <v>1041730</v>
      </c>
      <c r="AA9" s="14">
        <f>SUM(AB9:AC9)</f>
        <v>2410399.2203897503</v>
      </c>
      <c r="AB9" s="14">
        <f>M9-$D$9</f>
        <v>1811648.9626683053</v>
      </c>
      <c r="AC9" s="14">
        <f>N9-$E$9</f>
        <v>598750.25772144506</v>
      </c>
      <c r="AD9" s="14">
        <f>SUM(AE9:AF9)</f>
        <v>3207000.2332467423</v>
      </c>
      <c r="AE9" s="14">
        <f>P9-$D$9</f>
        <v>2365449.8404007535</v>
      </c>
      <c r="AF9" s="14">
        <f>Q9-$E$9</f>
        <v>841550.39284598874</v>
      </c>
    </row>
    <row r="10" spans="1:32" s="38" customFormat="1">
      <c r="A10" s="2548"/>
      <c r="B10" s="137" t="s">
        <v>377</v>
      </c>
      <c r="C10" s="30">
        <f>SUM(D10:E10)</f>
        <v>900000</v>
      </c>
      <c r="D10" s="30">
        <f>'Phụ lục số 1'!F40</f>
        <v>100000</v>
      </c>
      <c r="E10" s="30">
        <f>'Phụ lục số 1'!G40</f>
        <v>800000</v>
      </c>
      <c r="F10" s="13">
        <f t="shared" si="4"/>
        <v>1080000</v>
      </c>
      <c r="G10" s="13">
        <f>'Phụ lục số 1'!X40</f>
        <v>100000</v>
      </c>
      <c r="H10" s="13">
        <f>'Phụ lục số 1'!Y40</f>
        <v>980000</v>
      </c>
      <c r="I10" s="30">
        <f t="shared" si="5"/>
        <v>1770000</v>
      </c>
      <c r="J10" s="30">
        <f>'Phụ lục số 1'!AI40</f>
        <v>627000</v>
      </c>
      <c r="K10" s="2637">
        <f>'Phụ lục số 1'!AJ40</f>
        <v>1143000</v>
      </c>
      <c r="L10" s="80">
        <f t="shared" si="6"/>
        <v>1200000</v>
      </c>
      <c r="M10" s="30">
        <f>'Phụ lục số 1'!AO40</f>
        <v>425099.74576271186</v>
      </c>
      <c r="N10" s="30">
        <f>'Phụ lục số 1'!AP40</f>
        <v>774900.25423728814</v>
      </c>
      <c r="O10" s="30">
        <f t="shared" ref="O10:O21" si="8">SUM(P10:Q10)</f>
        <v>1260000</v>
      </c>
      <c r="P10" s="30">
        <f>'Phụ lục số 1'!AU40</f>
        <v>446399.73305084754</v>
      </c>
      <c r="Q10" s="2085">
        <f>'Phụ lục số 1'!AV40</f>
        <v>813600.26694915246</v>
      </c>
      <c r="R10" s="2103">
        <f t="shared" si="7"/>
        <v>4230000</v>
      </c>
      <c r="S10" s="13">
        <f>J10+M10+P10</f>
        <v>1498499.4788135593</v>
      </c>
      <c r="T10" s="13">
        <f t="shared" si="7"/>
        <v>2731500.5211864407</v>
      </c>
      <c r="U10" s="135" t="s">
        <v>198</v>
      </c>
      <c r="V10" s="14"/>
      <c r="W10" s="14"/>
      <c r="X10" s="135" t="s">
        <v>198</v>
      </c>
      <c r="Y10" s="14"/>
      <c r="Z10" s="14"/>
      <c r="AA10" s="135" t="s">
        <v>198</v>
      </c>
      <c r="AB10" s="14"/>
      <c r="AC10" s="14"/>
      <c r="AD10" s="135" t="s">
        <v>198</v>
      </c>
      <c r="AE10" s="14"/>
      <c r="AF10" s="14"/>
    </row>
    <row r="11" spans="1:32" s="38" customFormat="1">
      <c r="A11" s="2548"/>
      <c r="B11" s="137" t="s">
        <v>1791</v>
      </c>
      <c r="C11" s="30">
        <f>SUM(D11:E11)</f>
        <v>1600000</v>
      </c>
      <c r="D11" s="30">
        <f>'Phụ lục số 1'!F48</f>
        <v>1600000</v>
      </c>
      <c r="E11" s="30">
        <f>'Phụ lục số 1'!G48</f>
        <v>0</v>
      </c>
      <c r="F11" s="13">
        <f>SUM(G11:H11)</f>
        <v>1950000</v>
      </c>
      <c r="G11" s="13">
        <f>'Phụ lục số 1'!X48</f>
        <v>1950000</v>
      </c>
      <c r="H11" s="13">
        <f>'Phụ lục số 1'!Y48</f>
        <v>0</v>
      </c>
      <c r="I11" s="30">
        <f t="shared" si="5"/>
        <v>1950000</v>
      </c>
      <c r="J11" s="30">
        <f>'Phụ lục số 1'!AI48</f>
        <v>1950000</v>
      </c>
      <c r="K11" s="2637">
        <f>'Phụ lục số 1'!AJ48</f>
        <v>0</v>
      </c>
      <c r="L11" s="80">
        <f t="shared" si="6"/>
        <v>2322000</v>
      </c>
      <c r="M11" s="30">
        <f>'Phụ lục số 1'!AO48</f>
        <v>2322000</v>
      </c>
      <c r="N11" s="30">
        <f>'[24]Phụ lục số 1'!V48</f>
        <v>0</v>
      </c>
      <c r="O11" s="30">
        <f>SUM(P11:Q11)</f>
        <v>2500000</v>
      </c>
      <c r="P11" s="30">
        <f>'Phụ lục số 1'!AU48</f>
        <v>2500000</v>
      </c>
      <c r="Q11" s="2085">
        <f>'Phụ lục số 1'!AV48</f>
        <v>0</v>
      </c>
      <c r="R11" s="2103">
        <f t="shared" si="7"/>
        <v>6772000</v>
      </c>
      <c r="S11" s="13">
        <f t="shared" si="7"/>
        <v>6772000</v>
      </c>
      <c r="T11" s="13">
        <f t="shared" si="7"/>
        <v>0</v>
      </c>
      <c r="U11" s="14">
        <f>SUM(V11:W11)</f>
        <v>530000</v>
      </c>
      <c r="V11" s="14">
        <f>(G10+G11+G12)-($D$10+$D$11+$D$12)</f>
        <v>350000</v>
      </c>
      <c r="W11" s="14">
        <f>(H10+H11+H12)-($E$10+$E$11+$E$12)</f>
        <v>180000</v>
      </c>
      <c r="X11" s="14">
        <f>SUM(Y11:Z11)</f>
        <v>1257000</v>
      </c>
      <c r="Y11" s="14">
        <f>(J10+J11+J12)-($D$10+$D$11+$D$12)</f>
        <v>914000</v>
      </c>
      <c r="Z11" s="14">
        <f>(K10+K11+K12)-($E$10+$E$11+$E$12)</f>
        <v>343000</v>
      </c>
      <c r="AA11" s="14">
        <f>SUM(AB11:AC11)</f>
        <v>1022000</v>
      </c>
      <c r="AB11" s="14">
        <f>(M10+M11+M12)-($D$10+$D$11+$D$12)</f>
        <v>1047099.7457627119</v>
      </c>
      <c r="AC11" s="14">
        <f>(N10+N11+N12)-($E$10+$E$11+$E$12)</f>
        <v>-25099.745762711857</v>
      </c>
      <c r="AD11" s="14">
        <f>SUM(AE11:AF11)</f>
        <v>1260000</v>
      </c>
      <c r="AE11" s="14">
        <f>(P10+P11+P12)-($D$10+$D$11+$D$12)</f>
        <v>1246399.7330508474</v>
      </c>
      <c r="AF11" s="14">
        <f>(Q10+Q11+Q12)-($E$10+$E$11+$E$12)</f>
        <v>13600.266949152458</v>
      </c>
    </row>
    <row r="12" spans="1:32" s="38" customFormat="1">
      <c r="A12" s="2548"/>
      <c r="B12" s="137" t="s">
        <v>1793</v>
      </c>
      <c r="C12" s="30">
        <f>SUM(D12:E12)</f>
        <v>0</v>
      </c>
      <c r="D12" s="30">
        <f>'Phụ lục số 1'!F45-'Phụ lục số 1'!F45</f>
        <v>0</v>
      </c>
      <c r="E12" s="30">
        <f>'[24]Phụ lục số 1'!G46</f>
        <v>0</v>
      </c>
      <c r="F12" s="13">
        <f>SUM(G12:H12)</f>
        <v>0</v>
      </c>
      <c r="G12" s="13">
        <f>'Phụ lục số 1'!X46</f>
        <v>0</v>
      </c>
      <c r="H12" s="13">
        <f>'Phụ lục số 1'!Y46</f>
        <v>0</v>
      </c>
      <c r="I12" s="30">
        <f t="shared" si="5"/>
        <v>37000</v>
      </c>
      <c r="J12" s="30">
        <f>'Phụ lục số 1'!AE45</f>
        <v>37000</v>
      </c>
      <c r="K12" s="2637">
        <f>'Phụ lục số 1'!AJ45</f>
        <v>0</v>
      </c>
      <c r="L12" s="80">
        <f t="shared" si="6"/>
        <v>0</v>
      </c>
      <c r="M12" s="30">
        <f>'Phụ lục số 1'!AO46</f>
        <v>0</v>
      </c>
      <c r="N12" s="30">
        <f>'Phụ lục số 1'!AP46</f>
        <v>0</v>
      </c>
      <c r="O12" s="30">
        <f>SUM(P12:Q12)</f>
        <v>0</v>
      </c>
      <c r="P12" s="30">
        <f>'Phụ lục số 1'!AU46</f>
        <v>0</v>
      </c>
      <c r="Q12" s="2085">
        <f>'Phụ lục số 1'!AV46</f>
        <v>0</v>
      </c>
      <c r="R12" s="2103">
        <f t="shared" si="7"/>
        <v>37000</v>
      </c>
      <c r="S12" s="13">
        <f t="shared" si="7"/>
        <v>37000</v>
      </c>
      <c r="T12" s="13">
        <f t="shared" si="7"/>
        <v>0</v>
      </c>
      <c r="U12" s="14"/>
      <c r="V12" s="14"/>
      <c r="W12" s="14"/>
      <c r="X12" s="14"/>
      <c r="Y12" s="14"/>
      <c r="Z12" s="14"/>
      <c r="AA12" s="14"/>
      <c r="AB12" s="14"/>
      <c r="AC12" s="14"/>
      <c r="AD12" s="14"/>
      <c r="AE12" s="14"/>
      <c r="AF12" s="14"/>
    </row>
    <row r="13" spans="1:32" s="38" customFormat="1">
      <c r="A13" s="2548"/>
      <c r="B13" s="137" t="s">
        <v>1790</v>
      </c>
      <c r="C13" s="30">
        <f>SUM(D13:E13)</f>
        <v>4204000</v>
      </c>
      <c r="D13" s="30">
        <f>D9-D10-D11-D12</f>
        <v>2106650</v>
      </c>
      <c r="E13" s="30">
        <f>E9-E10-E11-E12</f>
        <v>2097350</v>
      </c>
      <c r="F13" s="13">
        <f>SUM(G13:H13)</f>
        <v>4420399.8</v>
      </c>
      <c r="G13" s="13">
        <f>G9-G10-G11-G12</f>
        <v>1812350.7333333334</v>
      </c>
      <c r="H13" s="13">
        <f>H9-H10-H11-H12</f>
        <v>2608049.0666666664</v>
      </c>
      <c r="I13" s="30">
        <f t="shared" si="5"/>
        <v>4727930</v>
      </c>
      <c r="J13" s="30">
        <f>J9-J10-J11-J12</f>
        <v>1931850</v>
      </c>
      <c r="K13" s="2637">
        <f>K9-K10-K11-K12</f>
        <v>2796080</v>
      </c>
      <c r="L13" s="80">
        <f t="shared" si="6"/>
        <v>5592399.2203897508</v>
      </c>
      <c r="M13" s="30">
        <f>M9-M10-M11-M12</f>
        <v>2871199.2169055939</v>
      </c>
      <c r="N13" s="30">
        <f>N9-N10-N11-N12</f>
        <v>2721200.0034841569</v>
      </c>
      <c r="O13" s="30">
        <f>SUM(P13:Q13)</f>
        <v>6151000.2332467418</v>
      </c>
      <c r="P13" s="30">
        <f>P9-P10-P11-P12</f>
        <v>3225700.1073499061</v>
      </c>
      <c r="Q13" s="2085">
        <f>Q9-Q10-Q11-Q12</f>
        <v>2925300.1258968362</v>
      </c>
      <c r="R13" s="2103">
        <f t="shared" si="7"/>
        <v>16471329.453636492</v>
      </c>
      <c r="S13" s="13">
        <f t="shared" si="7"/>
        <v>8028749.3242555</v>
      </c>
      <c r="T13" s="13">
        <f t="shared" si="7"/>
        <v>8442580.1293809935</v>
      </c>
      <c r="U13" s="14"/>
      <c r="V13" s="14"/>
      <c r="W13" s="14"/>
      <c r="X13" s="14"/>
      <c r="Y13" s="14"/>
      <c r="Z13" s="14"/>
      <c r="AA13" s="14"/>
      <c r="AB13" s="14"/>
      <c r="AC13" s="14"/>
      <c r="AD13" s="14"/>
      <c r="AE13" s="14"/>
      <c r="AF13" s="14"/>
    </row>
    <row r="14" spans="1:32" s="38" customFormat="1" ht="17.399999999999999">
      <c r="A14" s="2635">
        <v>2</v>
      </c>
      <c r="B14" s="134" t="s">
        <v>57</v>
      </c>
      <c r="C14" s="59">
        <f>SUM(D14:E14)</f>
        <v>9084495</v>
      </c>
      <c r="D14" s="59">
        <f>D15+D16</f>
        <v>9084495</v>
      </c>
      <c r="E14" s="59">
        <f>E15+E16</f>
        <v>0</v>
      </c>
      <c r="F14" s="14">
        <f t="shared" si="4"/>
        <v>9084495</v>
      </c>
      <c r="G14" s="14">
        <f>G15+G16</f>
        <v>9084495</v>
      </c>
      <c r="H14" s="14">
        <f>H15+H16</f>
        <v>0</v>
      </c>
      <c r="I14" s="59">
        <f t="shared" si="5"/>
        <v>9256479</v>
      </c>
      <c r="J14" s="59">
        <f>SUM(J15:J16)</f>
        <v>9256479</v>
      </c>
      <c r="K14" s="2636">
        <f t="shared" ref="K14" si="9">SUM(K15:K16)</f>
        <v>0</v>
      </c>
      <c r="L14" s="187">
        <f t="shared" si="6"/>
        <v>9646988.3000000007</v>
      </c>
      <c r="M14" s="59">
        <f>M15+M16</f>
        <v>9646988.3000000007</v>
      </c>
      <c r="N14" s="59"/>
      <c r="O14" s="59">
        <f>SUM(P14:Q14)</f>
        <v>9646988.3000000007</v>
      </c>
      <c r="P14" s="59">
        <f>P15+P16</f>
        <v>9646988.3000000007</v>
      </c>
      <c r="Q14" s="2086"/>
      <c r="R14" s="2102">
        <f t="shared" si="7"/>
        <v>28550455.600000001</v>
      </c>
      <c r="S14" s="14">
        <f t="shared" si="7"/>
        <v>28550455.600000001</v>
      </c>
      <c r="T14" s="14">
        <f t="shared" si="7"/>
        <v>0</v>
      </c>
      <c r="U14" s="135" t="s">
        <v>201</v>
      </c>
      <c r="V14" s="14"/>
      <c r="W14" s="14"/>
      <c r="X14" s="135" t="s">
        <v>201</v>
      </c>
      <c r="Y14" s="14"/>
      <c r="Z14" s="14"/>
      <c r="AA14" s="135" t="s">
        <v>201</v>
      </c>
      <c r="AB14" s="14"/>
      <c r="AC14" s="14"/>
      <c r="AD14" s="135" t="s">
        <v>201</v>
      </c>
      <c r="AE14" s="14"/>
      <c r="AF14" s="14"/>
    </row>
    <row r="15" spans="1:32" s="38" customFormat="1">
      <c r="A15" s="2548" t="s">
        <v>236</v>
      </c>
      <c r="B15" s="137" t="s">
        <v>238</v>
      </c>
      <c r="C15" s="30">
        <f t="shared" si="3"/>
        <v>6487488</v>
      </c>
      <c r="D15" s="30">
        <f>'Phụ lục số 1'!F53</f>
        <v>6487488</v>
      </c>
      <c r="E15" s="30">
        <f>'Phụ lục số 1'!G53</f>
        <v>0</v>
      </c>
      <c r="F15" s="13">
        <f t="shared" si="4"/>
        <v>6487488</v>
      </c>
      <c r="G15" s="13">
        <f>$D$15</f>
        <v>6487488</v>
      </c>
      <c r="H15" s="13"/>
      <c r="I15" s="30">
        <f t="shared" ref="I15" si="10">SUM(J15:K15)</f>
        <v>6617188</v>
      </c>
      <c r="J15" s="30">
        <f>'Phụ lục số 1'!AI53</f>
        <v>6617188</v>
      </c>
      <c r="K15" s="2637">
        <f>'Phụ lục số 1'!AJ53</f>
        <v>0</v>
      </c>
      <c r="L15" s="80">
        <f t="shared" si="6"/>
        <v>6617188</v>
      </c>
      <c r="M15" s="30">
        <f>'Phụ lục số 1'!AO53</f>
        <v>6617188</v>
      </c>
      <c r="N15" s="30"/>
      <c r="O15" s="30">
        <f t="shared" si="8"/>
        <v>6617188</v>
      </c>
      <c r="P15" s="30">
        <f>'Phụ lục số 1'!AU53</f>
        <v>6617188</v>
      </c>
      <c r="Q15" s="2085">
        <f>'Phụ lục số 1'!AV53</f>
        <v>0</v>
      </c>
      <c r="R15" s="2103">
        <f t="shared" si="7"/>
        <v>19851564</v>
      </c>
      <c r="S15" s="13">
        <f>J15+M15+P15</f>
        <v>19851564</v>
      </c>
      <c r="T15" s="13">
        <f>K15+N15+Q15</f>
        <v>0</v>
      </c>
      <c r="U15" s="14">
        <f>SUM(V15:W15)</f>
        <v>216399.79999999981</v>
      </c>
      <c r="V15" s="14">
        <f>V9-V11</f>
        <v>-294299.2666666666</v>
      </c>
      <c r="W15" s="14">
        <f>W9-W11</f>
        <v>510699.06666666642</v>
      </c>
      <c r="X15" s="14">
        <f>SUM(Y15:Z15)</f>
        <v>523930</v>
      </c>
      <c r="Y15" s="14">
        <f>Y9-Y11</f>
        <v>-174800</v>
      </c>
      <c r="Z15" s="14">
        <f>Z9-Z11</f>
        <v>698730</v>
      </c>
      <c r="AA15" s="14">
        <f>SUM(AB15:AC15)</f>
        <v>1388399.2203897503</v>
      </c>
      <c r="AB15" s="14">
        <f>AB9-AB11</f>
        <v>764549.21690559341</v>
      </c>
      <c r="AC15" s="14">
        <f>AC9-AC11</f>
        <v>623850.00348415691</v>
      </c>
      <c r="AD15" s="14">
        <f>SUM(AE15:AF15)</f>
        <v>1947000.2332467423</v>
      </c>
      <c r="AE15" s="14">
        <f>AE9-AE11</f>
        <v>1119050.1073499061</v>
      </c>
      <c r="AF15" s="14">
        <f>AF9-AF11</f>
        <v>827950.12589683628</v>
      </c>
    </row>
    <row r="16" spans="1:32" s="38" customFormat="1">
      <c r="A16" s="2548" t="s">
        <v>237</v>
      </c>
      <c r="B16" s="137" t="s">
        <v>239</v>
      </c>
      <c r="C16" s="30">
        <f>SUM(D16:E16)</f>
        <v>2597007</v>
      </c>
      <c r="D16" s="30">
        <f>SUM(D17:D19)</f>
        <v>2597007</v>
      </c>
      <c r="E16" s="30">
        <f>SUM(E17:E19)</f>
        <v>0</v>
      </c>
      <c r="F16" s="13">
        <f>SUM(F17:F19)</f>
        <v>2597007</v>
      </c>
      <c r="G16" s="13">
        <f>SUM(G17:G19)</f>
        <v>2597007</v>
      </c>
      <c r="H16" s="13">
        <f>SUM(H17:H19)</f>
        <v>0</v>
      </c>
      <c r="I16" s="30">
        <f>SUM(J16:K16)</f>
        <v>2639291</v>
      </c>
      <c r="J16" s="30">
        <f>SUM(J17:J19)</f>
        <v>2639291</v>
      </c>
      <c r="K16" s="2637">
        <f>SUM(K17:K19)</f>
        <v>0</v>
      </c>
      <c r="L16" s="80">
        <f t="shared" si="6"/>
        <v>3029800.3</v>
      </c>
      <c r="M16" s="30">
        <f>SUM(M17:M19)</f>
        <v>3029800.3</v>
      </c>
      <c r="N16" s="30">
        <f>SUM(N17:N19)</f>
        <v>0</v>
      </c>
      <c r="O16" s="30">
        <f t="shared" si="8"/>
        <v>3029800.3</v>
      </c>
      <c r="P16" s="30">
        <f>SUM(P17:P19)</f>
        <v>3029800.3</v>
      </c>
      <c r="Q16" s="2085">
        <f t="shared" ref="Q16" si="11">SUM(Q17:Q19)</f>
        <v>0</v>
      </c>
      <c r="R16" s="2103">
        <f>SUM(S16:T16)</f>
        <v>8698891.5999999996</v>
      </c>
      <c r="S16" s="13">
        <f>SUM(S17:S19)</f>
        <v>8698891.5999999996</v>
      </c>
      <c r="T16" s="13">
        <f>SUM(T17:T19)</f>
        <v>0</v>
      </c>
      <c r="U16" s="135"/>
      <c r="V16" s="14"/>
      <c r="W16" s="14"/>
      <c r="X16" s="135"/>
      <c r="Y16" s="14"/>
      <c r="Z16" s="14"/>
      <c r="AA16" s="135"/>
      <c r="AB16" s="14"/>
      <c r="AC16" s="14"/>
      <c r="AD16" s="135"/>
      <c r="AE16" s="14"/>
      <c r="AF16" s="14"/>
    </row>
    <row r="17" spans="1:32" s="38" customFormat="1">
      <c r="A17" s="65" t="s">
        <v>34</v>
      </c>
      <c r="B17" s="11" t="str">
        <f>'Phụ lục số 1'!B56</f>
        <v>Bổ sung thực hiện mục tiêu, nhiệm vụ quan trọng (vốn đầu tư phát triển)</v>
      </c>
      <c r="C17" s="30">
        <f t="shared" si="3"/>
        <v>2417971</v>
      </c>
      <c r="D17" s="30">
        <f>'Phụ lục số 1'!F56</f>
        <v>2417971</v>
      </c>
      <c r="E17" s="30"/>
      <c r="F17" s="13">
        <f>SUM(G17:H17)</f>
        <v>2417971</v>
      </c>
      <c r="G17" s="13">
        <f>'Phụ lục số 1'!X56</f>
        <v>2417971</v>
      </c>
      <c r="H17" s="13"/>
      <c r="I17" s="30">
        <f>SUM(J17:K17)</f>
        <v>1814491</v>
      </c>
      <c r="J17" s="30">
        <f>'Phụ lục số 1'!AI56</f>
        <v>1814491</v>
      </c>
      <c r="K17" s="2637">
        <f>'Phụ lục số 1'!AJ56</f>
        <v>0</v>
      </c>
      <c r="L17" s="80">
        <f t="shared" si="6"/>
        <v>2205000</v>
      </c>
      <c r="M17" s="30">
        <f>'Phụ lục số 1'!AO56</f>
        <v>2205000</v>
      </c>
      <c r="N17" s="30"/>
      <c r="O17" s="30">
        <f t="shared" si="8"/>
        <v>2205000</v>
      </c>
      <c r="P17" s="30">
        <f>'Phụ lục số 1'!AU56</f>
        <v>2205000</v>
      </c>
      <c r="Q17" s="2085"/>
      <c r="R17" s="2103">
        <f t="shared" si="7"/>
        <v>6224491</v>
      </c>
      <c r="S17" s="13">
        <f>J17+M17+P17</f>
        <v>6224491</v>
      </c>
      <c r="T17" s="13">
        <f>K17+N17+Q17</f>
        <v>0</v>
      </c>
      <c r="U17" s="135"/>
      <c r="V17" s="14"/>
      <c r="W17" s="14"/>
      <c r="X17" s="135"/>
      <c r="Y17" s="14"/>
      <c r="Z17" s="14"/>
      <c r="AA17" s="135"/>
      <c r="AB17" s="14"/>
      <c r="AC17" s="14"/>
      <c r="AD17" s="135"/>
      <c r="AE17" s="14"/>
      <c r="AF17" s="14"/>
    </row>
    <row r="18" spans="1:32" s="38" customFormat="1">
      <c r="A18" s="65" t="s">
        <v>35</v>
      </c>
      <c r="B18" s="11" t="str">
        <f>'Phụ lục số 1'!B57</f>
        <v>Bổ sung thực hiện mục tiêu, nhiệm vụ quan trọng (kinh phí sự nghiệp)</v>
      </c>
      <c r="C18" s="30">
        <f t="shared" si="3"/>
        <v>179036</v>
      </c>
      <c r="D18" s="30">
        <f>'Phụ lục số 1'!F57</f>
        <v>179036</v>
      </c>
      <c r="E18" s="30"/>
      <c r="F18" s="13">
        <f t="shared" ref="F18:F19" si="12">SUM(G18:H18)</f>
        <v>179036</v>
      </c>
      <c r="G18" s="13">
        <f>'Phụ lục số 1'!X57</f>
        <v>179036</v>
      </c>
      <c r="H18" s="13"/>
      <c r="I18" s="30">
        <f t="shared" ref="I18:I19" si="13">SUM(J18:K18)</f>
        <v>174485</v>
      </c>
      <c r="J18" s="30">
        <f>'Phụ lục số 1'!AI57</f>
        <v>174485</v>
      </c>
      <c r="K18" s="2637">
        <f>'Phụ lục số 1'!AJ57</f>
        <v>0</v>
      </c>
      <c r="L18" s="80">
        <f t="shared" ref="L18:L19" si="14">SUM(M18:N18)</f>
        <v>174485.3</v>
      </c>
      <c r="M18" s="30">
        <f>'Phụ lục số 1'!AO57</f>
        <v>174485.3</v>
      </c>
      <c r="N18" s="30"/>
      <c r="O18" s="30">
        <f t="shared" si="8"/>
        <v>174485.3</v>
      </c>
      <c r="P18" s="30">
        <f>'Phụ lục số 1'!AU57</f>
        <v>174485.3</v>
      </c>
      <c r="Q18" s="2085"/>
      <c r="R18" s="2103">
        <f t="shared" si="7"/>
        <v>523455.6</v>
      </c>
      <c r="S18" s="13">
        <f t="shared" ref="S18:T21" si="15">J18+M18+P18</f>
        <v>523455.6</v>
      </c>
      <c r="T18" s="13">
        <f t="shared" si="15"/>
        <v>0</v>
      </c>
      <c r="U18" s="135"/>
      <c r="V18" s="14"/>
      <c r="W18" s="14"/>
      <c r="X18" s="135"/>
      <c r="Y18" s="14"/>
      <c r="Z18" s="14"/>
      <c r="AA18" s="135"/>
      <c r="AB18" s="14"/>
      <c r="AC18" s="14"/>
      <c r="AD18" s="135"/>
      <c r="AE18" s="14"/>
      <c r="AF18" s="14"/>
    </row>
    <row r="19" spans="1:32" s="38" customFormat="1">
      <c r="A19" s="65" t="s">
        <v>36</v>
      </c>
      <c r="B19" s="11" t="str">
        <f>'Phụ lục số 1'!B58</f>
        <v>Bổ sung nguồn thực hiện CCTL (nếu có); đảm bảo nhiệm vụ chi</v>
      </c>
      <c r="C19" s="13">
        <f t="shared" si="3"/>
        <v>0</v>
      </c>
      <c r="D19" s="13"/>
      <c r="E19" s="13"/>
      <c r="F19" s="13">
        <f t="shared" si="12"/>
        <v>0</v>
      </c>
      <c r="G19" s="13">
        <f>'Phụ lục số 1'!X58</f>
        <v>0</v>
      </c>
      <c r="H19" s="13"/>
      <c r="I19" s="30">
        <f t="shared" si="13"/>
        <v>650315</v>
      </c>
      <c r="J19" s="30">
        <f>'Phụ lục số 1'!AI58</f>
        <v>650315</v>
      </c>
      <c r="K19" s="2637">
        <f>'Phụ lục số 1'!AJ58</f>
        <v>0</v>
      </c>
      <c r="L19" s="80">
        <f t="shared" si="14"/>
        <v>650315</v>
      </c>
      <c r="M19" s="30">
        <f>'Phụ lục số 1'!AO58</f>
        <v>650315</v>
      </c>
      <c r="N19" s="30"/>
      <c r="O19" s="30">
        <f t="shared" si="8"/>
        <v>650315</v>
      </c>
      <c r="P19" s="30">
        <f>'Phụ lục số 1'!AU58</f>
        <v>650315</v>
      </c>
      <c r="Q19" s="2085"/>
      <c r="R19" s="2103">
        <f>SUM(S19:T19)</f>
        <v>1950945</v>
      </c>
      <c r="S19" s="13">
        <f t="shared" si="15"/>
        <v>1950945</v>
      </c>
      <c r="T19" s="13">
        <f t="shared" si="15"/>
        <v>0</v>
      </c>
      <c r="U19" s="135"/>
      <c r="V19" s="14"/>
      <c r="W19" s="14"/>
      <c r="X19" s="135"/>
      <c r="Y19" s="14"/>
      <c r="Z19" s="14"/>
      <c r="AA19" s="135"/>
      <c r="AB19" s="14"/>
      <c r="AC19" s="14"/>
      <c r="AD19" s="135"/>
      <c r="AE19" s="14"/>
      <c r="AF19" s="14"/>
    </row>
    <row r="20" spans="1:32" s="38" customFormat="1">
      <c r="A20" s="2635">
        <v>3</v>
      </c>
      <c r="B20" s="17" t="str">
        <f>'Phụ lục số 1'!B59</f>
        <v>Thu chuyển nguồn làm lương năm trước chuyển sang</v>
      </c>
      <c r="C20" s="13">
        <f t="shared" si="3"/>
        <v>0</v>
      </c>
      <c r="D20" s="14">
        <f>'Phụ lục số 1'!F59</f>
        <v>0</v>
      </c>
      <c r="E20" s="14">
        <f>'[24]Phụ lục số 1'!G58</f>
        <v>0</v>
      </c>
      <c r="F20" s="14">
        <f t="shared" si="4"/>
        <v>431000</v>
      </c>
      <c r="G20" s="14">
        <f>'Phụ lục số 1'!X59</f>
        <v>89700</v>
      </c>
      <c r="H20" s="14">
        <f>'Phụ lục số 1'!Y59</f>
        <v>341300</v>
      </c>
      <c r="I20" s="2801">
        <f>SUM(J20:K20)</f>
        <v>886000</v>
      </c>
      <c r="J20" s="2801">
        <f>'Phụ lục số 1'!AI59</f>
        <v>0</v>
      </c>
      <c r="K20" s="2875">
        <f>'Phụ lục số 1'!AJ59</f>
        <v>886000</v>
      </c>
      <c r="L20" s="187">
        <f>SUM(M20:N20)</f>
        <v>717399.2</v>
      </c>
      <c r="M20" s="59">
        <f>'Phụ lục số 1'!AO59</f>
        <v>79139.200000000012</v>
      </c>
      <c r="N20" s="59">
        <f>'Phụ lục số 1'!AP59</f>
        <v>638260</v>
      </c>
      <c r="O20" s="59">
        <f t="shared" si="8"/>
        <v>881301.31019487511</v>
      </c>
      <c r="P20" s="59">
        <f>'Phụ lục số 1'!AU59</f>
        <v>565518.00845279661</v>
      </c>
      <c r="Q20" s="2086">
        <f>'Phụ lục số 1'!AV59</f>
        <v>315783.30174207845</v>
      </c>
      <c r="R20" s="2103">
        <f>SUM(S20:T20)</f>
        <v>2484700.5101948753</v>
      </c>
      <c r="S20" s="13">
        <f t="shared" si="15"/>
        <v>644657.20845279656</v>
      </c>
      <c r="T20" s="13">
        <f t="shared" si="15"/>
        <v>1840043.3017420785</v>
      </c>
      <c r="U20" s="135" t="s">
        <v>202</v>
      </c>
      <c r="V20" s="14"/>
      <c r="W20" s="14"/>
      <c r="X20" s="135" t="s">
        <v>202</v>
      </c>
      <c r="Y20" s="14"/>
      <c r="Z20" s="14"/>
      <c r="AA20" s="135" t="s">
        <v>202</v>
      </c>
      <c r="AB20" s="14"/>
      <c r="AC20" s="14"/>
      <c r="AD20" s="135" t="s">
        <v>202</v>
      </c>
      <c r="AE20" s="14"/>
      <c r="AF20" s="14"/>
    </row>
    <row r="21" spans="1:32" s="38" customFormat="1">
      <c r="A21" s="2635">
        <v>4</v>
      </c>
      <c r="B21" s="17" t="str">
        <f>'Phụ lục số 1'!B60</f>
        <v>Thu vay từ nguồn Chính phủ vay về cho vay lại</v>
      </c>
      <c r="C21" s="14">
        <f t="shared" si="3"/>
        <v>31500</v>
      </c>
      <c r="D21" s="14">
        <f>'Phụ lục số 1'!F60</f>
        <v>31500</v>
      </c>
      <c r="E21" s="14">
        <f>'[24]Phụ lục số 1'!G59</f>
        <v>0</v>
      </c>
      <c r="F21" s="14">
        <f t="shared" si="4"/>
        <v>31500</v>
      </c>
      <c r="G21" s="14">
        <f>'Phụ lục số 1'!X60</f>
        <v>31500</v>
      </c>
      <c r="H21" s="14">
        <f>'Phụ lục số 1'!Y60</f>
        <v>0</v>
      </c>
      <c r="I21" s="59">
        <f>SUM(J21:K21)</f>
        <v>0</v>
      </c>
      <c r="J21" s="59">
        <f>'Phụ lục số 1'!AI60</f>
        <v>0</v>
      </c>
      <c r="K21" s="2636">
        <f>'Phụ lục số 1'!AJ60</f>
        <v>0</v>
      </c>
      <c r="L21" s="187">
        <f>SUM(M21:N21)</f>
        <v>0</v>
      </c>
      <c r="M21" s="59">
        <f>'Phụ lục số 1'!AO60</f>
        <v>0</v>
      </c>
      <c r="N21" s="59">
        <f>'Phụ lục số 1'!AP60</f>
        <v>0</v>
      </c>
      <c r="O21" s="59">
        <f t="shared" si="8"/>
        <v>0</v>
      </c>
      <c r="P21" s="59">
        <f>'Phụ lục số 1'!AU60</f>
        <v>0</v>
      </c>
      <c r="Q21" s="2086">
        <f>'Phụ lục số 1'!AV60</f>
        <v>0</v>
      </c>
      <c r="R21" s="2103">
        <f>SUM(S21:T21)</f>
        <v>0</v>
      </c>
      <c r="S21" s="13">
        <f t="shared" si="15"/>
        <v>0</v>
      </c>
      <c r="T21" s="13">
        <f t="shared" si="15"/>
        <v>0</v>
      </c>
      <c r="U21" s="14">
        <f>V21+W21</f>
        <v>0</v>
      </c>
      <c r="V21" s="14"/>
      <c r="W21" s="14"/>
      <c r="X21" s="14"/>
      <c r="Y21" s="14"/>
      <c r="Z21" s="14"/>
      <c r="AA21" s="14"/>
      <c r="AB21" s="14"/>
      <c r="AC21" s="14"/>
      <c r="AD21" s="14"/>
      <c r="AE21" s="14"/>
      <c r="AF21" s="14"/>
    </row>
    <row r="22" spans="1:32" s="38" customFormat="1" ht="17.399999999999999">
      <c r="A22" s="2635" t="s">
        <v>22</v>
      </c>
      <c r="B22" s="134" t="s">
        <v>1797</v>
      </c>
      <c r="C22" s="14">
        <f>SUM(C23,C40)+C44</f>
        <v>15819995</v>
      </c>
      <c r="D22" s="14">
        <f t="shared" ref="D22:E22" si="16">SUM(D23,D40)+D44</f>
        <v>8173924</v>
      </c>
      <c r="E22" s="14">
        <f t="shared" si="16"/>
        <v>7646071</v>
      </c>
      <c r="F22" s="14">
        <f>SUM(F23,F40)+F44</f>
        <v>17291694.066666666</v>
      </c>
      <c r="G22" s="14">
        <f t="shared" ref="G22:H22" si="17">SUM(G23,G40)+G44</f>
        <v>8613624</v>
      </c>
      <c r="H22" s="14">
        <f t="shared" si="17"/>
        <v>8678070.0666666664</v>
      </c>
      <c r="I22" s="59">
        <f>SUM(I23,I40)+I44</f>
        <v>18627408.915999997</v>
      </c>
      <c r="J22" s="59">
        <f>SUM(J23,J40)+J44</f>
        <v>8719005.568</v>
      </c>
      <c r="K22" s="2636">
        <f t="shared" ref="K22" si="18">SUM(K23,K40)+K44</f>
        <v>9908403.3479999993</v>
      </c>
      <c r="L22" s="187">
        <f>SUM(L23,L40)+L44</f>
        <v>19478786.610194877</v>
      </c>
      <c r="M22" s="59">
        <f t="shared" ref="M22:N22" si="19">SUM(M23,M40)+M44</f>
        <v>10261103.054215508</v>
      </c>
      <c r="N22" s="59">
        <f t="shared" si="19"/>
        <v>9217683.5559793673</v>
      </c>
      <c r="O22" s="59">
        <f>SUM(O23,O40)+O44</f>
        <v>20439289.916623373</v>
      </c>
      <c r="P22" s="59">
        <f t="shared" ref="P22:Q22" si="20">SUM(P23,P40)+P44</f>
        <v>11301282.9867258</v>
      </c>
      <c r="Q22" s="2086">
        <f t="shared" si="20"/>
        <v>9138006.929897571</v>
      </c>
      <c r="R22" s="2102">
        <f>SUM(R23,R40)+R44</f>
        <v>58365485.442818247</v>
      </c>
      <c r="S22" s="14">
        <f>SUM(S23,S40)+S44</f>
        <v>30101391.608941309</v>
      </c>
      <c r="T22" s="14">
        <f t="shared" ref="T22" si="21">SUM(T23,T40)+T44</f>
        <v>28264093.833876934</v>
      </c>
      <c r="U22" s="14">
        <f>SUM(V22:W22)</f>
        <v>151479</v>
      </c>
      <c r="V22" s="14">
        <f>INT(V15*70%)</f>
        <v>-206010</v>
      </c>
      <c r="W22" s="14">
        <f>INT(W15*70%)</f>
        <v>357489</v>
      </c>
      <c r="X22" s="14">
        <f>SUM(Y22:Z22)</f>
        <v>261965</v>
      </c>
      <c r="Y22" s="14">
        <f>INT(Y15/2)</f>
        <v>-87400</v>
      </c>
      <c r="Z22" s="14">
        <f>INT(Z15/2)</f>
        <v>349365</v>
      </c>
      <c r="AA22" s="14">
        <f>SUM(AB22:AC22)</f>
        <v>694199</v>
      </c>
      <c r="AB22" s="14">
        <f>INT(AB15/2)</f>
        <v>382274</v>
      </c>
      <c r="AC22" s="14">
        <f>INT(AC15/2)</f>
        <v>311925</v>
      </c>
      <c r="AD22" s="14">
        <f>SUM(AE22:AF22)</f>
        <v>973500</v>
      </c>
      <c r="AE22" s="14">
        <f>INT(AE15/2)</f>
        <v>559525</v>
      </c>
      <c r="AF22" s="14">
        <f>INT(AF15/2)</f>
        <v>413975</v>
      </c>
    </row>
    <row r="23" spans="1:32" s="38" customFormat="1" ht="17.399999999999999">
      <c r="A23" s="2635" t="s">
        <v>9</v>
      </c>
      <c r="B23" s="134" t="s">
        <v>88</v>
      </c>
      <c r="C23" s="14">
        <f t="shared" ref="C23:N23" si="22">SUM(C24,C30,C34:C39)</f>
        <v>13191488</v>
      </c>
      <c r="D23" s="14">
        <f t="shared" si="22"/>
        <v>5545417</v>
      </c>
      <c r="E23" s="14">
        <f t="shared" si="22"/>
        <v>7646071</v>
      </c>
      <c r="F23" s="14">
        <f t="shared" si="22"/>
        <v>14663187.066666666</v>
      </c>
      <c r="G23" s="14">
        <f t="shared" si="22"/>
        <v>5985117</v>
      </c>
      <c r="H23" s="14">
        <f t="shared" si="22"/>
        <v>8678070.0666666664</v>
      </c>
      <c r="I23" s="59">
        <f t="shared" si="22"/>
        <v>16638432.915999997</v>
      </c>
      <c r="J23" s="59">
        <f t="shared" si="22"/>
        <v>6730029.568</v>
      </c>
      <c r="K23" s="2636">
        <f t="shared" si="22"/>
        <v>9908403.3479999993</v>
      </c>
      <c r="L23" s="187">
        <f>SUM(L24,L30,L34:L39)</f>
        <v>17099301.310194876</v>
      </c>
      <c r="M23" s="59">
        <f t="shared" si="22"/>
        <v>7881617.7542155078</v>
      </c>
      <c r="N23" s="59">
        <f t="shared" si="22"/>
        <v>9217683.5559793673</v>
      </c>
      <c r="O23" s="59">
        <f t="shared" ref="O23:Q23" si="23">SUM(O24,O30,O34:O39)</f>
        <v>18059804.616623372</v>
      </c>
      <c r="P23" s="59">
        <f t="shared" si="23"/>
        <v>8921797.6867258009</v>
      </c>
      <c r="Q23" s="2086">
        <f t="shared" si="23"/>
        <v>9138006.929897571</v>
      </c>
      <c r="R23" s="2102">
        <f t="shared" ref="R23" si="24">SUM(R24,R30,R34:R39)</f>
        <v>51617538.842818245</v>
      </c>
      <c r="S23" s="14">
        <f t="shared" ref="S23" si="25">SUM(S24,S30,S34:S39)</f>
        <v>23353445.008941308</v>
      </c>
      <c r="T23" s="14">
        <f t="shared" ref="T23" si="26">SUM(T24,T30,T34:T39)</f>
        <v>28264093.833876934</v>
      </c>
      <c r="U23" s="14"/>
      <c r="V23" s="14"/>
      <c r="W23" s="14"/>
      <c r="X23" s="14"/>
      <c r="Y23" s="14"/>
      <c r="Z23" s="14"/>
      <c r="AA23" s="14"/>
      <c r="AB23" s="14"/>
      <c r="AC23" s="14"/>
      <c r="AD23" s="14"/>
      <c r="AE23" s="14"/>
      <c r="AF23" s="14"/>
    </row>
    <row r="24" spans="1:32" s="38" customFormat="1" ht="17.399999999999999">
      <c r="A24" s="2635">
        <v>1</v>
      </c>
      <c r="B24" s="134" t="s">
        <v>93</v>
      </c>
      <c r="C24" s="14">
        <f>SUM(C25:C28)</f>
        <v>3561000</v>
      </c>
      <c r="D24" s="14">
        <f t="shared" ref="D24:E24" si="27">SUM(D25:D28)</f>
        <v>2240000</v>
      </c>
      <c r="E24" s="14">
        <f t="shared" si="27"/>
        <v>1321000</v>
      </c>
      <c r="F24" s="14">
        <f>SUM(F25:F28)</f>
        <v>4091000</v>
      </c>
      <c r="G24" s="14">
        <f t="shared" ref="G24:H24" si="28">SUM(G25:G28)</f>
        <v>2590000</v>
      </c>
      <c r="H24" s="14">
        <f t="shared" si="28"/>
        <v>1501000</v>
      </c>
      <c r="I24" s="59">
        <f>SUM(I25:I29)</f>
        <v>4923186.4089698764</v>
      </c>
      <c r="J24" s="59">
        <f t="shared" ref="J24:K24" si="29">SUM(J25:J29)</f>
        <v>3199186</v>
      </c>
      <c r="K24" s="59">
        <f t="shared" si="29"/>
        <v>1724000.4089698761</v>
      </c>
      <c r="L24" s="59">
        <f>SUM(L25:L29)</f>
        <v>4795000</v>
      </c>
      <c r="M24" s="59">
        <f>SUM(M25:M29)</f>
        <v>3439099.7457627119</v>
      </c>
      <c r="N24" s="59">
        <f t="shared" ref="N24" si="30">SUM(N25:N29)</f>
        <v>1355900.2542372881</v>
      </c>
      <c r="O24" s="59">
        <f>SUM(O25:O29)</f>
        <v>5085000</v>
      </c>
      <c r="P24" s="59">
        <f>SUM(P25:P29)</f>
        <v>3690399.7330508474</v>
      </c>
      <c r="Q24" s="59">
        <f>SUM(Q25:Q29)</f>
        <v>1394600.2669491526</v>
      </c>
      <c r="R24" s="2102">
        <f>SUM(R25:R28)</f>
        <v>14623186.408969875</v>
      </c>
      <c r="S24" s="14">
        <f t="shared" ref="S24:T24" si="31">SUM(S25:S28)</f>
        <v>10148685.478813559</v>
      </c>
      <c r="T24" s="14">
        <f t="shared" si="31"/>
        <v>4474500.9301563166</v>
      </c>
      <c r="U24" s="138"/>
      <c r="V24" s="14"/>
      <c r="W24" s="14"/>
      <c r="X24" s="14"/>
      <c r="Y24" s="14"/>
      <c r="Z24" s="14"/>
      <c r="AA24" s="14"/>
      <c r="AB24" s="14"/>
      <c r="AC24" s="14"/>
      <c r="AD24" s="14"/>
      <c r="AE24" s="14"/>
      <c r="AF24" s="14"/>
    </row>
    <row r="25" spans="1:32" s="38" customFormat="1">
      <c r="A25" s="2548" t="s">
        <v>137</v>
      </c>
      <c r="B25" s="137" t="s">
        <v>1305</v>
      </c>
      <c r="C25" s="13">
        <f t="shared" ref="C25:C45" si="32">SUM(D25:E25)</f>
        <v>1061000</v>
      </c>
      <c r="D25" s="13">
        <f>'Phụ lục số 2'!D10</f>
        <v>540000</v>
      </c>
      <c r="E25" s="13">
        <f>'Phụ lục số 2'!E10</f>
        <v>521000</v>
      </c>
      <c r="F25" s="13">
        <f t="shared" ref="F25:F45" si="33">SUM(G25:H25)</f>
        <v>1061000</v>
      </c>
      <c r="G25" s="13">
        <f>'Phụ lục số 2'!S10</f>
        <v>540000</v>
      </c>
      <c r="H25" s="13">
        <f>'Phụ lục số 2'!T10</f>
        <v>521000</v>
      </c>
      <c r="I25" s="30">
        <f t="shared" ref="I25:I45" si="34">SUM(J25:K25)</f>
        <v>1143186.4089698761</v>
      </c>
      <c r="J25" s="30">
        <f>'Phụ lục số 2'!AA10</f>
        <v>562186</v>
      </c>
      <c r="K25" s="2637">
        <f>'Phụ lục số 2'!AB10</f>
        <v>581000.40896987612</v>
      </c>
      <c r="L25" s="80">
        <f t="shared" ref="L25:L32" si="35">SUM(M25:N25)</f>
        <v>1213000</v>
      </c>
      <c r="M25" s="30">
        <f>'Phụ lục số 2'!AF10</f>
        <v>632000</v>
      </c>
      <c r="N25" s="30">
        <f>'Phụ lục số 2'!AG10</f>
        <v>581000</v>
      </c>
      <c r="O25" s="30">
        <f t="shared" ref="O25:O33" si="36">SUM(P25:Q25)</f>
        <v>1265000</v>
      </c>
      <c r="P25" s="30">
        <f>'Phụ lục số 2'!AK10</f>
        <v>684000</v>
      </c>
      <c r="Q25" s="2085">
        <f>'Phụ lục số 2'!AL10</f>
        <v>581000</v>
      </c>
      <c r="R25" s="2103">
        <f>I25+L25+O25</f>
        <v>3621186.4089698764</v>
      </c>
      <c r="S25" s="13">
        <f t="shared" ref="R25:T46" si="37">J25+M25+P25</f>
        <v>1878186</v>
      </c>
      <c r="T25" s="13">
        <f t="shared" si="37"/>
        <v>1743000.4089698761</v>
      </c>
      <c r="U25" s="13"/>
      <c r="V25" s="13"/>
      <c r="W25" s="13"/>
      <c r="X25" s="14"/>
      <c r="Y25" s="14"/>
      <c r="Z25" s="14"/>
      <c r="AA25" s="14"/>
      <c r="AB25" s="14"/>
      <c r="AC25" s="14"/>
      <c r="AD25" s="14"/>
      <c r="AE25" s="14"/>
      <c r="AF25" s="14"/>
    </row>
    <row r="26" spans="1:32" s="38" customFormat="1">
      <c r="A26" s="2548" t="s">
        <v>137</v>
      </c>
      <c r="B26" s="137" t="s">
        <v>391</v>
      </c>
      <c r="C26" s="13">
        <f t="shared" si="32"/>
        <v>900000</v>
      </c>
      <c r="D26" s="13">
        <f>'Phụ lục số 2'!D11</f>
        <v>100000</v>
      </c>
      <c r="E26" s="13">
        <f>'Phụ lục số 2'!E11</f>
        <v>800000</v>
      </c>
      <c r="F26" s="13">
        <f t="shared" si="33"/>
        <v>1080000</v>
      </c>
      <c r="G26" s="13">
        <f>'Phụ lục số 2'!S11</f>
        <v>100000</v>
      </c>
      <c r="H26" s="13">
        <f>'Phụ lục số 2'!T11</f>
        <v>980000</v>
      </c>
      <c r="I26" s="30">
        <f t="shared" si="34"/>
        <v>1770000</v>
      </c>
      <c r="J26" s="30">
        <f>'Phụ lục số 2'!AA11</f>
        <v>627000</v>
      </c>
      <c r="K26" s="2637">
        <f>'Phụ lục số 2'!AB11</f>
        <v>1143000</v>
      </c>
      <c r="L26" s="80">
        <f t="shared" si="35"/>
        <v>1200000</v>
      </c>
      <c r="M26" s="30">
        <f>'Phụ lục số 2'!AF11</f>
        <v>425099.74576271186</v>
      </c>
      <c r="N26" s="30">
        <f>'Phụ lục số 2'!AG11</f>
        <v>774900.25423728814</v>
      </c>
      <c r="O26" s="30">
        <f t="shared" si="36"/>
        <v>1260000</v>
      </c>
      <c r="P26" s="30">
        <f>'Phụ lục số 2'!AK11</f>
        <v>446399.73305084754</v>
      </c>
      <c r="Q26" s="2085">
        <f>'Phụ lục số 2'!AL11</f>
        <v>813600.26694915246</v>
      </c>
      <c r="R26" s="2103">
        <f t="shared" si="37"/>
        <v>4230000</v>
      </c>
      <c r="S26" s="13">
        <f t="shared" si="37"/>
        <v>1498499.4788135593</v>
      </c>
      <c r="T26" s="13">
        <f t="shared" si="37"/>
        <v>2731500.5211864407</v>
      </c>
      <c r="U26" s="13"/>
      <c r="V26" s="14"/>
      <c r="W26" s="14"/>
      <c r="X26" s="14"/>
      <c r="Y26" s="14"/>
      <c r="Z26" s="14"/>
      <c r="AA26" s="14"/>
      <c r="AB26" s="14"/>
      <c r="AC26" s="14"/>
      <c r="AD26" s="14"/>
      <c r="AE26" s="14"/>
      <c r="AF26" s="14"/>
    </row>
    <row r="27" spans="1:32" s="38" customFormat="1">
      <c r="A27" s="2548" t="s">
        <v>137</v>
      </c>
      <c r="B27" s="11" t="s">
        <v>1378</v>
      </c>
      <c r="C27" s="13">
        <f t="shared" si="32"/>
        <v>1600000</v>
      </c>
      <c r="D27" s="13">
        <f>'Phụ lục số 2'!D12</f>
        <v>1600000</v>
      </c>
      <c r="E27" s="13">
        <f>'Phụ lục số 2'!E12</f>
        <v>0</v>
      </c>
      <c r="F27" s="13">
        <f t="shared" si="33"/>
        <v>1950000</v>
      </c>
      <c r="G27" s="13">
        <f>'Phụ lục số 2'!S12</f>
        <v>1950000</v>
      </c>
      <c r="H27" s="13">
        <f>'Phụ lục số 2'!T12</f>
        <v>0</v>
      </c>
      <c r="I27" s="30">
        <f t="shared" si="34"/>
        <v>1950000</v>
      </c>
      <c r="J27" s="30">
        <f>'Phụ lục số 2'!AA12</f>
        <v>1950000</v>
      </c>
      <c r="K27" s="2637">
        <f>'Phụ lục số 2'!AB12</f>
        <v>0</v>
      </c>
      <c r="L27" s="80">
        <f t="shared" si="35"/>
        <v>2322000</v>
      </c>
      <c r="M27" s="30">
        <f>'Phụ lục số 2'!AF12</f>
        <v>2322000</v>
      </c>
      <c r="N27" s="30">
        <f>'Phụ lục số 2'!AG12</f>
        <v>0</v>
      </c>
      <c r="O27" s="30">
        <f t="shared" si="36"/>
        <v>2500000</v>
      </c>
      <c r="P27" s="30">
        <f>'Phụ lục số 2'!AK12</f>
        <v>2500000</v>
      </c>
      <c r="Q27" s="2085">
        <f>'Phụ lục số 2'!AL12</f>
        <v>0</v>
      </c>
      <c r="R27" s="2103">
        <f t="shared" si="37"/>
        <v>6772000</v>
      </c>
      <c r="S27" s="13">
        <f t="shared" si="37"/>
        <v>6772000</v>
      </c>
      <c r="T27" s="13">
        <f t="shared" si="37"/>
        <v>0</v>
      </c>
      <c r="U27" s="14"/>
      <c r="V27" s="14"/>
      <c r="W27" s="14"/>
      <c r="X27" s="14"/>
      <c r="Y27" s="14"/>
      <c r="Z27" s="14"/>
      <c r="AA27" s="14"/>
      <c r="AB27" s="14"/>
      <c r="AC27" s="14"/>
      <c r="AD27" s="14"/>
      <c r="AE27" s="14"/>
      <c r="AF27" s="14"/>
    </row>
    <row r="28" spans="1:32" s="38" customFormat="1">
      <c r="A28" s="2548" t="s">
        <v>137</v>
      </c>
      <c r="B28" s="11" t="str">
        <f>'Phụ lục số 2'!B13</f>
        <v>Chi đầu tư từ nguồn thu thoái vốn doanh nghiệp nhà nước địa phương quản lý;…</v>
      </c>
      <c r="C28" s="13">
        <f t="shared" si="32"/>
        <v>0</v>
      </c>
      <c r="D28" s="13">
        <f>'Phụ lục số 2'!D13</f>
        <v>0</v>
      </c>
      <c r="E28" s="13">
        <f>'Phụ lục số 2'!E13</f>
        <v>0</v>
      </c>
      <c r="F28" s="13">
        <f t="shared" si="33"/>
        <v>0</v>
      </c>
      <c r="G28" s="13">
        <f>'Phụ lục số 2'!S13</f>
        <v>0</v>
      </c>
      <c r="H28" s="13">
        <f>'Phụ lục số 2'!T13</f>
        <v>0</v>
      </c>
      <c r="I28" s="30">
        <f t="shared" si="34"/>
        <v>0</v>
      </c>
      <c r="J28" s="30">
        <f>'Phụ lục số 2'!AA13</f>
        <v>0</v>
      </c>
      <c r="K28" s="2637">
        <f>'Phụ lục số 2'!AB13</f>
        <v>0</v>
      </c>
      <c r="L28" s="80">
        <f t="shared" si="35"/>
        <v>0</v>
      </c>
      <c r="M28" s="30">
        <f>'Phụ lục số 2'!AF13</f>
        <v>0</v>
      </c>
      <c r="N28" s="30">
        <f>'Phụ lục số 2'!AG13</f>
        <v>0</v>
      </c>
      <c r="O28" s="30">
        <f t="shared" si="36"/>
        <v>0</v>
      </c>
      <c r="P28" s="30">
        <f>'Phụ lục số 2'!AK13</f>
        <v>0</v>
      </c>
      <c r="Q28" s="2085">
        <f>'Phụ lục số 2'!AL13</f>
        <v>0</v>
      </c>
      <c r="R28" s="2103">
        <f t="shared" si="37"/>
        <v>0</v>
      </c>
      <c r="S28" s="13">
        <f t="shared" si="37"/>
        <v>0</v>
      </c>
      <c r="T28" s="13">
        <f t="shared" si="37"/>
        <v>0</v>
      </c>
      <c r="U28" s="14"/>
      <c r="V28" s="14"/>
      <c r="W28" s="14"/>
      <c r="X28" s="14"/>
      <c r="Y28" s="14"/>
      <c r="Z28" s="14"/>
      <c r="AA28" s="14"/>
      <c r="AB28" s="14"/>
      <c r="AC28" s="14"/>
      <c r="AD28" s="14"/>
      <c r="AE28" s="14"/>
      <c r="AF28" s="14"/>
    </row>
    <row r="29" spans="1:32" s="38" customFormat="1">
      <c r="A29" s="2548" t="s">
        <v>137</v>
      </c>
      <c r="B29" s="11" t="str">
        <f>'Phụ lục số 2'!B14</f>
        <v>Chi đầu tư phát triển khác (Ủy thác qua NH Chính sách xã hội chi nhánh tỉnh Đồng Tháp)</v>
      </c>
      <c r="C29" s="13"/>
      <c r="D29" s="13"/>
      <c r="E29" s="13"/>
      <c r="F29" s="13"/>
      <c r="G29" s="13"/>
      <c r="H29" s="13"/>
      <c r="I29" s="30">
        <f t="shared" si="34"/>
        <v>60000</v>
      </c>
      <c r="J29" s="30">
        <f>'Phụ lục số 2'!AA14</f>
        <v>60000</v>
      </c>
      <c r="K29" s="2637">
        <f>'Phụ lục số 2'!AB14</f>
        <v>0</v>
      </c>
      <c r="L29" s="80">
        <f t="shared" si="35"/>
        <v>60000</v>
      </c>
      <c r="M29" s="30">
        <f>'Phụ lục số 2'!AF14</f>
        <v>60000</v>
      </c>
      <c r="N29" s="30"/>
      <c r="O29" s="30">
        <f t="shared" si="36"/>
        <v>60000</v>
      </c>
      <c r="P29" s="30">
        <f>'Phụ lục số 2'!AK14</f>
        <v>60000</v>
      </c>
      <c r="Q29" s="2085">
        <f>'Phụ lục số 2'!AL14</f>
        <v>0</v>
      </c>
      <c r="R29" s="2103"/>
      <c r="S29" s="13"/>
      <c r="T29" s="13"/>
      <c r="U29" s="14"/>
      <c r="V29" s="14"/>
      <c r="W29" s="14"/>
      <c r="X29" s="14"/>
      <c r="Y29" s="14"/>
      <c r="Z29" s="14"/>
      <c r="AA29" s="14"/>
      <c r="AB29" s="14"/>
      <c r="AC29" s="14"/>
      <c r="AD29" s="14"/>
      <c r="AE29" s="14"/>
      <c r="AF29" s="14"/>
    </row>
    <row r="30" spans="1:32" s="38" customFormat="1" ht="17.399999999999999">
      <c r="A30" s="2638">
        <v>2</v>
      </c>
      <c r="B30" s="139" t="s">
        <v>58</v>
      </c>
      <c r="C30" s="140">
        <f t="shared" si="32"/>
        <v>9353865</v>
      </c>
      <c r="D30" s="140">
        <f>'Phụ lục số 2'!D15</f>
        <v>3168035</v>
      </c>
      <c r="E30" s="140">
        <f>'Phụ lục số 2'!E15</f>
        <v>6185830</v>
      </c>
      <c r="F30" s="140">
        <f t="shared" si="33"/>
        <v>9353865</v>
      </c>
      <c r="G30" s="140">
        <f>'Phụ lục số 2'!S15</f>
        <v>3168035</v>
      </c>
      <c r="H30" s="140">
        <f>'Phụ lục số 2'!T15</f>
        <v>6185830</v>
      </c>
      <c r="I30" s="1826">
        <f t="shared" ref="I30:I35" si="38">SUM(J30:K30)</f>
        <v>10664978.394711081</v>
      </c>
      <c r="J30" s="1826">
        <f>'Phụ lục số 2'!AA15</f>
        <v>3294440</v>
      </c>
      <c r="K30" s="2639">
        <f>'Phụ lục số 2'!AB15</f>
        <v>7370538.3947110809</v>
      </c>
      <c r="L30" s="2630">
        <f t="shared" si="35"/>
        <v>11071000</v>
      </c>
      <c r="M30" s="1826">
        <f>'Phụ lục số 2'!AF15</f>
        <v>3701000</v>
      </c>
      <c r="N30" s="1826">
        <f>'Phụ lục số 2'!AG15</f>
        <v>7370000</v>
      </c>
      <c r="O30" s="1826">
        <f t="shared" si="36"/>
        <v>11373000</v>
      </c>
      <c r="P30" s="1826">
        <f>'Phụ lục số 2'!AK15</f>
        <v>4003000</v>
      </c>
      <c r="Q30" s="2112">
        <f>'Phụ lục số 2'!AL15</f>
        <v>7370000</v>
      </c>
      <c r="R30" s="2104">
        <f t="shared" si="37"/>
        <v>33108978.394711081</v>
      </c>
      <c r="S30" s="140">
        <f t="shared" si="37"/>
        <v>10998440</v>
      </c>
      <c r="T30" s="140">
        <f t="shared" si="37"/>
        <v>22110538.394711081</v>
      </c>
      <c r="U30" s="135" t="s">
        <v>204</v>
      </c>
      <c r="V30" s="14"/>
      <c r="W30" s="14"/>
      <c r="X30" s="135" t="s">
        <v>204</v>
      </c>
      <c r="Y30" s="14"/>
      <c r="Z30" s="14"/>
      <c r="AA30" s="135" t="s">
        <v>204</v>
      </c>
      <c r="AB30" s="14"/>
      <c r="AC30" s="14"/>
      <c r="AD30" s="135" t="s">
        <v>204</v>
      </c>
      <c r="AE30" s="14"/>
      <c r="AF30" s="14"/>
    </row>
    <row r="31" spans="1:32" s="38" customFormat="1">
      <c r="A31" s="2548" t="s">
        <v>137</v>
      </c>
      <c r="B31" s="137" t="s">
        <v>1788</v>
      </c>
      <c r="C31" s="13">
        <f t="shared" si="32"/>
        <v>4179745</v>
      </c>
      <c r="D31" s="13">
        <f>'Phụ lục số 2'!D20</f>
        <v>1017035</v>
      </c>
      <c r="E31" s="13">
        <f>'Phụ lục số 2'!E20</f>
        <v>3162710</v>
      </c>
      <c r="F31" s="13">
        <f t="shared" si="33"/>
        <v>4179745</v>
      </c>
      <c r="G31" s="13">
        <f>'Phụ lục số 2'!S20</f>
        <v>1017035</v>
      </c>
      <c r="H31" s="13">
        <f>'Phụ lục số 2'!T20</f>
        <v>3162710</v>
      </c>
      <c r="I31" s="30">
        <f t="shared" si="38"/>
        <v>4797945.7831797441</v>
      </c>
      <c r="J31" s="30">
        <f>'Phụ lục số 2'!AA20</f>
        <v>956676</v>
      </c>
      <c r="K31" s="2637">
        <f>'Phụ lục số 2'!AB20</f>
        <v>3841269.7831797441</v>
      </c>
      <c r="L31" s="80">
        <f t="shared" si="35"/>
        <v>4916000</v>
      </c>
      <c r="M31" s="30">
        <f>'Phụ lục số 2'!AF20</f>
        <v>1075000</v>
      </c>
      <c r="N31" s="30">
        <f>'Phụ lục số 2'!AG20</f>
        <v>3841000</v>
      </c>
      <c r="O31" s="30">
        <f t="shared" si="36"/>
        <v>5004000</v>
      </c>
      <c r="P31" s="30">
        <f>'Phụ lục số 2'!AK20</f>
        <v>1163000</v>
      </c>
      <c r="Q31" s="2085">
        <f>'Phụ lục số 2'!AL20</f>
        <v>3841000</v>
      </c>
      <c r="R31" s="2103">
        <f t="shared" si="37"/>
        <v>14717945.783179745</v>
      </c>
      <c r="S31" s="13">
        <f t="shared" si="37"/>
        <v>3194676</v>
      </c>
      <c r="T31" s="13">
        <f t="shared" si="37"/>
        <v>11523269.783179745</v>
      </c>
      <c r="U31" s="14">
        <f>V31+W31</f>
        <v>64920.799999999814</v>
      </c>
      <c r="V31" s="14">
        <f>V15-V22</f>
        <v>-88289.266666666605</v>
      </c>
      <c r="W31" s="14">
        <f>W15-W22</f>
        <v>153210.06666666642</v>
      </c>
      <c r="X31" s="14">
        <f>Y31+Z31</f>
        <v>261965</v>
      </c>
      <c r="Y31" s="14">
        <f>Y15-Y22</f>
        <v>-87400</v>
      </c>
      <c r="Z31" s="14">
        <f>Z15-Z22</f>
        <v>349365</v>
      </c>
      <c r="AA31" s="14">
        <f>AB31+AC31</f>
        <v>694200.22038975032</v>
      </c>
      <c r="AB31" s="14">
        <f>AB15-AB22</f>
        <v>382275.21690559341</v>
      </c>
      <c r="AC31" s="14">
        <f>AC15-AC22</f>
        <v>311925.00348415691</v>
      </c>
      <c r="AD31" s="14">
        <f>AE31+AF31</f>
        <v>973500.2332467424</v>
      </c>
      <c r="AE31" s="14">
        <f>AE15-AE22</f>
        <v>559525.10734990612</v>
      </c>
      <c r="AF31" s="14">
        <f>AF15-AF22</f>
        <v>413975.12589683628</v>
      </c>
    </row>
    <row r="32" spans="1:32" s="38" customFormat="1">
      <c r="A32" s="2548" t="s">
        <v>137</v>
      </c>
      <c r="B32" s="137" t="s">
        <v>1789</v>
      </c>
      <c r="C32" s="13">
        <f t="shared" si="32"/>
        <v>31000</v>
      </c>
      <c r="D32" s="13">
        <f>'Phụ lục số 2'!D19</f>
        <v>31000</v>
      </c>
      <c r="E32" s="13">
        <f>'[24]Phụ lục số 2'!E18</f>
        <v>0</v>
      </c>
      <c r="F32" s="13">
        <f t="shared" si="33"/>
        <v>31000</v>
      </c>
      <c r="G32" s="13">
        <f>'Phụ lục số 2'!S19</f>
        <v>31000</v>
      </c>
      <c r="H32" s="13">
        <f>'[24]Phụ lục số 2'!J18</f>
        <v>0</v>
      </c>
      <c r="I32" s="30">
        <f t="shared" si="38"/>
        <v>31218</v>
      </c>
      <c r="J32" s="30">
        <f>'Phụ lục số 2'!AA19</f>
        <v>31218</v>
      </c>
      <c r="K32" s="2637">
        <f>'[24]Phụ lục số 2'!O18</f>
        <v>0</v>
      </c>
      <c r="L32" s="80">
        <f t="shared" si="35"/>
        <v>35000</v>
      </c>
      <c r="M32" s="30">
        <f>'Phụ lục số 2'!AF19</f>
        <v>35000</v>
      </c>
      <c r="N32" s="30">
        <f>'[24]Phụ lục số 2'!T18</f>
        <v>0</v>
      </c>
      <c r="O32" s="30">
        <f t="shared" si="36"/>
        <v>38000</v>
      </c>
      <c r="P32" s="30">
        <f>'Phụ lục số 2'!AK19</f>
        <v>38000</v>
      </c>
      <c r="Q32" s="2085"/>
      <c r="R32" s="2103">
        <f t="shared" si="37"/>
        <v>104218</v>
      </c>
      <c r="S32" s="13">
        <f t="shared" si="37"/>
        <v>104218</v>
      </c>
      <c r="T32" s="13">
        <f t="shared" si="37"/>
        <v>0</v>
      </c>
      <c r="U32" s="14"/>
      <c r="V32" s="14"/>
      <c r="W32" s="14"/>
      <c r="X32" s="14"/>
      <c r="Y32" s="14"/>
      <c r="Z32" s="14"/>
      <c r="AA32" s="14"/>
      <c r="AB32" s="14"/>
      <c r="AC32" s="14"/>
      <c r="AD32" s="14"/>
      <c r="AE32" s="14"/>
      <c r="AF32" s="14"/>
    </row>
    <row r="33" spans="1:32" s="38" customFormat="1">
      <c r="A33" s="2548" t="s">
        <v>137</v>
      </c>
      <c r="B33" s="137" t="s">
        <v>206</v>
      </c>
      <c r="C33" s="13">
        <f>SUM(D33:E33)</f>
        <v>5143120</v>
      </c>
      <c r="D33" s="13">
        <f>D30-D31-D32</f>
        <v>2120000</v>
      </c>
      <c r="E33" s="13">
        <f>E30-E31-E32</f>
        <v>3023120</v>
      </c>
      <c r="F33" s="13">
        <f>SUM(G33:H33)</f>
        <v>5143120</v>
      </c>
      <c r="G33" s="13">
        <f>G30-G31-G32</f>
        <v>2120000</v>
      </c>
      <c r="H33" s="13">
        <f>H30-H31-H32</f>
        <v>3023120</v>
      </c>
      <c r="I33" s="30">
        <f t="shared" si="38"/>
        <v>5835814.6115313368</v>
      </c>
      <c r="J33" s="30">
        <f>J30-J31-J32</f>
        <v>2306546</v>
      </c>
      <c r="K33" s="2637">
        <f>K30-K31-K32</f>
        <v>3529268.6115313368</v>
      </c>
      <c r="L33" s="80">
        <f>SUM(M33:N33)</f>
        <v>6120000</v>
      </c>
      <c r="M33" s="30">
        <f>M30-M31-M32</f>
        <v>2591000</v>
      </c>
      <c r="N33" s="30">
        <f>N30-N31-N32</f>
        <v>3529000</v>
      </c>
      <c r="O33" s="30">
        <f t="shared" si="36"/>
        <v>6331000</v>
      </c>
      <c r="P33" s="30">
        <f>P30-P31-P32</f>
        <v>2802000</v>
      </c>
      <c r="Q33" s="2085">
        <f>Q30-Q31-Q32</f>
        <v>3529000</v>
      </c>
      <c r="R33" s="2103">
        <f t="shared" si="37"/>
        <v>18286814.611531336</v>
      </c>
      <c r="S33" s="13">
        <f t="shared" si="37"/>
        <v>7699546</v>
      </c>
      <c r="T33" s="13">
        <f t="shared" si="37"/>
        <v>10587268.611531336</v>
      </c>
      <c r="U33" s="141"/>
      <c r="V33" s="141"/>
      <c r="W33" s="141"/>
      <c r="X33" s="141">
        <f>I8/$C$8</f>
        <v>1.204830702704806</v>
      </c>
      <c r="Y33" s="141">
        <f>J8/D8</f>
        <v>1.0704218386998208</v>
      </c>
      <c r="Z33" s="141">
        <f>K8/E8</f>
        <v>1.7555868119293394</v>
      </c>
      <c r="AA33" s="141">
        <f>L8/C8</f>
        <v>1.2699169115084588</v>
      </c>
      <c r="AB33" s="141">
        <f>M8/J8</f>
        <v>1.1107130487226213</v>
      </c>
      <c r="AC33" s="141">
        <f>N8/K8</f>
        <v>0.91238104644227092</v>
      </c>
      <c r="AD33" s="141">
        <f>O8/C8</f>
        <v>1.3374943266495383</v>
      </c>
      <c r="AE33" s="141">
        <f>P8/M8</f>
        <v>1.0822952387483584</v>
      </c>
      <c r="AF33" s="141">
        <f>Q8/N8</f>
        <v>0.96476321321805525</v>
      </c>
    </row>
    <row r="34" spans="1:32" s="38" customFormat="1" ht="17.399999999999999">
      <c r="A34" s="2635">
        <v>3</v>
      </c>
      <c r="B34" s="207" t="s">
        <v>143</v>
      </c>
      <c r="C34" s="14">
        <f>SUM(D34:E34)</f>
        <v>0</v>
      </c>
      <c r="D34" s="14">
        <f>'Phụ lục số 2'!D32</f>
        <v>0</v>
      </c>
      <c r="E34" s="14">
        <f>'Phụ lục số 2'!E32</f>
        <v>0</v>
      </c>
      <c r="F34" s="14">
        <f>SUM(G34:H34)</f>
        <v>431000</v>
      </c>
      <c r="G34" s="14">
        <f>'Phụ lục số 2'!S31</f>
        <v>89700</v>
      </c>
      <c r="H34" s="14">
        <f>'Phụ lục số 2'!T31</f>
        <v>341300</v>
      </c>
      <c r="I34" s="59">
        <f t="shared" si="38"/>
        <v>0</v>
      </c>
      <c r="J34" s="59">
        <f>'Phụ lục số 2'!AA31</f>
        <v>0</v>
      </c>
      <c r="K34" s="2636">
        <f>'Phụ lục số 2'!AB31</f>
        <v>0</v>
      </c>
      <c r="L34" s="187">
        <f>SUM(M34:N34)</f>
        <v>0</v>
      </c>
      <c r="M34" s="59">
        <f>'Phụ lục số 2'!AF31</f>
        <v>0</v>
      </c>
      <c r="N34" s="59">
        <f>'Phụ lục số 2'!AG31</f>
        <v>0</v>
      </c>
      <c r="O34" s="59">
        <f>SUM(P34:Q34)</f>
        <v>0</v>
      </c>
      <c r="P34" s="59">
        <f>'Phụ lục số 2'!AK31</f>
        <v>0</v>
      </c>
      <c r="Q34" s="2086">
        <f>'Phụ lục số 2'!AL31</f>
        <v>0</v>
      </c>
      <c r="R34" s="2102">
        <f t="shared" ref="R34:R39" si="39">I34+L34+O34</f>
        <v>0</v>
      </c>
      <c r="S34" s="14">
        <f t="shared" ref="S34:S39" si="40">J34+M34+P34</f>
        <v>0</v>
      </c>
      <c r="T34" s="14">
        <f t="shared" ref="T34:T39" si="41">K34+N34+Q34</f>
        <v>0</v>
      </c>
      <c r="U34" s="14"/>
      <c r="V34" s="14"/>
      <c r="W34" s="14"/>
      <c r="X34" s="14"/>
      <c r="Y34" s="141">
        <f>Y33-1</f>
        <v>7.0421838699820771E-2</v>
      </c>
      <c r="Z34" s="141">
        <f>Z33-1</f>
        <v>0.75558681192933941</v>
      </c>
      <c r="AA34" s="14"/>
      <c r="AB34" s="141">
        <f>AB33-1</f>
        <v>0.11071304872262133</v>
      </c>
      <c r="AC34" s="141">
        <f>AC33-1</f>
        <v>-8.7618953557729085E-2</v>
      </c>
      <c r="AD34" s="14"/>
      <c r="AE34" s="141">
        <f>AE33-1</f>
        <v>8.2295238748358424E-2</v>
      </c>
      <c r="AF34" s="141">
        <f>AF33-1</f>
        <v>-3.5236786781944751E-2</v>
      </c>
    </row>
    <row r="35" spans="1:32" s="38" customFormat="1" ht="17.399999999999999">
      <c r="A35" s="2635">
        <v>4</v>
      </c>
      <c r="B35" s="209" t="s">
        <v>232</v>
      </c>
      <c r="C35" s="14"/>
      <c r="D35" s="14"/>
      <c r="E35" s="14"/>
      <c r="F35" s="14">
        <f>SUM(G35:H35)</f>
        <v>357489.34666666656</v>
      </c>
      <c r="G35" s="14">
        <f>'Phụ lục số 2'!S32</f>
        <v>0</v>
      </c>
      <c r="H35" s="14">
        <f>'Phụ lục số 2'!T32</f>
        <v>357489.34666666656</v>
      </c>
      <c r="I35" s="59">
        <f t="shared" si="38"/>
        <v>717399.2</v>
      </c>
      <c r="J35" s="59">
        <f>'Phụ lục số 2'!AA32</f>
        <v>79139.200000000012</v>
      </c>
      <c r="K35" s="2636">
        <f>'Phụ lục số 2'!AB32</f>
        <v>638260</v>
      </c>
      <c r="L35" s="187">
        <f>SUM(M35:N35)</f>
        <v>881301.31019487511</v>
      </c>
      <c r="M35" s="59">
        <f>'Phụ lục số 2'!AF32</f>
        <v>565518.00845279661</v>
      </c>
      <c r="N35" s="59">
        <f>'Phụ lục số 2'!AG32</f>
        <v>315783.30174207845</v>
      </c>
      <c r="O35" s="59">
        <f t="shared" ref="O35:O36" si="42">SUM(P35:Q35)</f>
        <v>1235804.6166233711</v>
      </c>
      <c r="P35" s="59">
        <f>'Phụ lục số 2'!AK32</f>
        <v>1038397.953674953</v>
      </c>
      <c r="Q35" s="2086">
        <f>'Phụ lục số 2'!AL32</f>
        <v>197406.66294841812</v>
      </c>
      <c r="R35" s="2102">
        <f t="shared" si="39"/>
        <v>2834505.1268182462</v>
      </c>
      <c r="S35" s="14">
        <f t="shared" si="40"/>
        <v>1683055.1621277495</v>
      </c>
      <c r="T35" s="14">
        <f t="shared" si="41"/>
        <v>1151449.9646904967</v>
      </c>
      <c r="U35" s="14"/>
      <c r="V35" s="14"/>
      <c r="W35" s="14"/>
      <c r="X35" s="14"/>
      <c r="Y35" s="141"/>
      <c r="Z35" s="141"/>
      <c r="AA35" s="14"/>
      <c r="AB35" s="141"/>
      <c r="AC35" s="141"/>
      <c r="AD35" s="14"/>
      <c r="AE35" s="141"/>
      <c r="AF35" s="141"/>
    </row>
    <row r="36" spans="1:32" s="38" customFormat="1" ht="17.399999999999999">
      <c r="A36" s="2635">
        <v>5</v>
      </c>
      <c r="B36" s="76" t="s">
        <v>231</v>
      </c>
      <c r="C36" s="14"/>
      <c r="D36" s="14"/>
      <c r="E36" s="14"/>
      <c r="F36" s="14">
        <f>SUM(G36:H36)</f>
        <v>153209.71999999997</v>
      </c>
      <c r="G36" s="14">
        <f>'Phụ lục số 2'!S33</f>
        <v>0</v>
      </c>
      <c r="H36" s="14">
        <f>'Phụ lục số 2'!T33</f>
        <v>153209.71999999997</v>
      </c>
      <c r="I36" s="59">
        <f>SUM(J36:K36)</f>
        <v>0</v>
      </c>
      <c r="J36" s="59">
        <f>'Phụ lục số 2'!AA33</f>
        <v>0</v>
      </c>
      <c r="K36" s="2636">
        <f>'Phụ lục số 2'!AB33</f>
        <v>0</v>
      </c>
      <c r="L36" s="187">
        <f>SUM(M36:N36)</f>
        <v>0</v>
      </c>
      <c r="M36" s="59">
        <f>'Phụ lục số 2'!AF33</f>
        <v>0</v>
      </c>
      <c r="N36" s="59">
        <f>'Phụ lục số 2'!AG33</f>
        <v>0</v>
      </c>
      <c r="O36" s="59">
        <f t="shared" si="42"/>
        <v>0</v>
      </c>
      <c r="P36" s="59">
        <f>'Phụ lục số 2'!AK33</f>
        <v>0</v>
      </c>
      <c r="Q36" s="2086">
        <f>'Phụ lục số 2'!AL33</f>
        <v>0</v>
      </c>
      <c r="R36" s="2102">
        <f t="shared" si="39"/>
        <v>0</v>
      </c>
      <c r="S36" s="14">
        <f t="shared" si="40"/>
        <v>0</v>
      </c>
      <c r="T36" s="14">
        <f t="shared" si="41"/>
        <v>0</v>
      </c>
      <c r="U36" s="14"/>
      <c r="V36" s="14"/>
      <c r="W36" s="14"/>
      <c r="X36" s="14"/>
      <c r="Y36" s="141"/>
      <c r="Z36" s="141"/>
      <c r="AA36" s="14"/>
      <c r="AB36" s="141"/>
      <c r="AC36" s="141"/>
      <c r="AD36" s="14"/>
      <c r="AE36" s="141"/>
      <c r="AF36" s="141"/>
    </row>
    <row r="37" spans="1:32" s="38" customFormat="1" ht="17.399999999999999">
      <c r="A37" s="2635">
        <v>6</v>
      </c>
      <c r="B37" s="134" t="s">
        <v>60</v>
      </c>
      <c r="C37" s="14">
        <f>SUM(D37:E37)</f>
        <v>2000</v>
      </c>
      <c r="D37" s="14">
        <f>'Phụ lục số 2'!D29</f>
        <v>2000</v>
      </c>
      <c r="E37" s="14">
        <f>'[24]Phụ lục số 2'!E28</f>
        <v>0</v>
      </c>
      <c r="F37" s="14">
        <f t="shared" si="33"/>
        <v>2000</v>
      </c>
      <c r="G37" s="14">
        <f>'Phụ lục số 2'!S29</f>
        <v>2000</v>
      </c>
      <c r="H37" s="14">
        <f>'Phụ lục số 2'!T29</f>
        <v>0</v>
      </c>
      <c r="I37" s="59">
        <f t="shared" si="34"/>
        <v>2000</v>
      </c>
      <c r="J37" s="59">
        <f>'Phụ lục số 2'!AA29</f>
        <v>2000</v>
      </c>
      <c r="K37" s="2636">
        <f>'[24]Phụ lục số 2'!O28</f>
        <v>0</v>
      </c>
      <c r="L37" s="187">
        <f t="shared" ref="L37:L44" si="43">SUM(M37:N37)</f>
        <v>2000</v>
      </c>
      <c r="M37" s="59">
        <f>'Phụ lục số 2'!AF29</f>
        <v>2000</v>
      </c>
      <c r="N37" s="59">
        <f>'Phụ lục số 2'!AG29</f>
        <v>0</v>
      </c>
      <c r="O37" s="59">
        <f t="shared" ref="O37:O40" si="44">SUM(P37:Q37)</f>
        <v>2000</v>
      </c>
      <c r="P37" s="59">
        <f>'Phụ lục số 2'!AK29</f>
        <v>2000</v>
      </c>
      <c r="Q37" s="2086">
        <f>'Phụ lục số 2'!AL29</f>
        <v>0</v>
      </c>
      <c r="R37" s="2102">
        <f t="shared" si="39"/>
        <v>6000</v>
      </c>
      <c r="S37" s="14">
        <f t="shared" si="40"/>
        <v>6000</v>
      </c>
      <c r="T37" s="14">
        <f t="shared" si="41"/>
        <v>0</v>
      </c>
      <c r="U37" s="14"/>
      <c r="V37" s="14"/>
      <c r="W37" s="14"/>
      <c r="X37" s="14"/>
      <c r="Y37" s="141">
        <f>Y34/2</f>
        <v>3.5210919349910386E-2</v>
      </c>
      <c r="Z37" s="141">
        <f>Z34/2</f>
        <v>0.3777934059646697</v>
      </c>
      <c r="AA37" s="14"/>
      <c r="AB37" s="141">
        <f>AB34/2</f>
        <v>5.5356524361310666E-2</v>
      </c>
      <c r="AC37" s="141">
        <f>AC34/2</f>
        <v>-4.3809476778864542E-2</v>
      </c>
      <c r="AD37" s="14"/>
      <c r="AE37" s="141">
        <f>AE34/2</f>
        <v>4.1147619374179212E-2</v>
      </c>
      <c r="AF37" s="141">
        <f>AF34/2</f>
        <v>-1.7618393390972376E-2</v>
      </c>
    </row>
    <row r="38" spans="1:32" s="38" customFormat="1" ht="17.399999999999999">
      <c r="A38" s="2640">
        <v>7</v>
      </c>
      <c r="B38" s="134" t="s">
        <v>87</v>
      </c>
      <c r="C38" s="14">
        <f t="shared" si="32"/>
        <v>274623</v>
      </c>
      <c r="D38" s="14">
        <f>'Phụ lục số 2'!D30</f>
        <v>135382</v>
      </c>
      <c r="E38" s="14">
        <f>'Phụ lục số 2'!E30</f>
        <v>139241</v>
      </c>
      <c r="F38" s="14">
        <f>SUM(G38:H38)</f>
        <v>274623</v>
      </c>
      <c r="G38" s="14">
        <f>'Phụ lục số 2'!S30</f>
        <v>135382</v>
      </c>
      <c r="H38" s="14">
        <f>'Phụ lục số 2'!T30</f>
        <v>139241</v>
      </c>
      <c r="I38" s="59">
        <f t="shared" si="34"/>
        <v>327868.91231904214</v>
      </c>
      <c r="J38" s="59">
        <f>'Phụ lục số 2'!AA30</f>
        <v>152264.36799999999</v>
      </c>
      <c r="K38" s="2636">
        <f>'Phụ lục số 2'!AB30</f>
        <v>175604.54431904212</v>
      </c>
      <c r="L38" s="187">
        <f t="shared" si="43"/>
        <v>347000</v>
      </c>
      <c r="M38" s="59">
        <f>'Phụ lục số 2'!AF30</f>
        <v>171000</v>
      </c>
      <c r="N38" s="59">
        <f>'Phụ lục số 2'!AG30</f>
        <v>176000</v>
      </c>
      <c r="O38" s="59">
        <f t="shared" si="44"/>
        <v>361000</v>
      </c>
      <c r="P38" s="59">
        <f>'Phụ lục số 2'!AK30</f>
        <v>185000</v>
      </c>
      <c r="Q38" s="2086">
        <f>'Phụ lục số 2'!AL30</f>
        <v>176000</v>
      </c>
      <c r="R38" s="2102">
        <f t="shared" si="39"/>
        <v>1035868.9123190421</v>
      </c>
      <c r="S38" s="14">
        <f t="shared" si="40"/>
        <v>508264.36800000002</v>
      </c>
      <c r="T38" s="14">
        <f t="shared" si="41"/>
        <v>527604.54431904212</v>
      </c>
      <c r="U38" s="14"/>
      <c r="V38" s="14"/>
      <c r="W38" s="14"/>
      <c r="X38" s="142" t="s">
        <v>207</v>
      </c>
      <c r="Y38" s="141">
        <f>1+Y37</f>
        <v>1.0352109193499104</v>
      </c>
      <c r="Z38" s="141">
        <f>1+Z37</f>
        <v>1.3777934059646697</v>
      </c>
      <c r="AA38" s="142" t="s">
        <v>207</v>
      </c>
      <c r="AB38" s="141">
        <f>1+AB37</f>
        <v>1.0553565243613106</v>
      </c>
      <c r="AC38" s="141">
        <f>1+AC37</f>
        <v>0.9561905232211354</v>
      </c>
      <c r="AD38" s="142" t="s">
        <v>207</v>
      </c>
      <c r="AE38" s="141">
        <f>1+AE37</f>
        <v>1.0411476193741791</v>
      </c>
      <c r="AF38" s="141">
        <f>1+AF37</f>
        <v>0.98238160660902762</v>
      </c>
    </row>
    <row r="39" spans="1:32" s="38" customFormat="1">
      <c r="A39" s="2640">
        <v>8</v>
      </c>
      <c r="B39" s="134" t="s">
        <v>126</v>
      </c>
      <c r="C39" s="14">
        <f t="shared" si="32"/>
        <v>0</v>
      </c>
      <c r="D39" s="14">
        <f>'Phụ lục số 2'!D34</f>
        <v>0</v>
      </c>
      <c r="E39" s="14">
        <f>'Phụ lục số 2'!E34</f>
        <v>0</v>
      </c>
      <c r="F39" s="14">
        <f t="shared" si="33"/>
        <v>0</v>
      </c>
      <c r="G39" s="14">
        <f>'Phụ lục số 2'!S34</f>
        <v>0</v>
      </c>
      <c r="H39" s="14">
        <f>'Phụ lục số 2'!T34</f>
        <v>0</v>
      </c>
      <c r="I39" s="59">
        <f t="shared" si="34"/>
        <v>3000</v>
      </c>
      <c r="J39" s="59">
        <f>'Phụ lục số 2'!AA34</f>
        <v>3000</v>
      </c>
      <c r="K39" s="2636">
        <f>'[24]Phụ lục số 2'!O31</f>
        <v>0</v>
      </c>
      <c r="L39" s="187">
        <f t="shared" si="43"/>
        <v>3000</v>
      </c>
      <c r="M39" s="59">
        <f>'Phụ lục số 2'!AF34</f>
        <v>3000</v>
      </c>
      <c r="N39" s="59">
        <f>'Phụ lục số 2'!AG34</f>
        <v>0</v>
      </c>
      <c r="O39" s="59">
        <f t="shared" si="44"/>
        <v>3000</v>
      </c>
      <c r="P39" s="59">
        <f>'Phụ lục số 2'!AK34</f>
        <v>3000</v>
      </c>
      <c r="Q39" s="2086">
        <f>'Phụ lục số 2'!AL34</f>
        <v>0</v>
      </c>
      <c r="R39" s="2103">
        <f t="shared" si="39"/>
        <v>9000</v>
      </c>
      <c r="S39" s="13">
        <f t="shared" si="40"/>
        <v>9000</v>
      </c>
      <c r="T39" s="13">
        <f t="shared" si="41"/>
        <v>0</v>
      </c>
      <c r="U39" s="14"/>
      <c r="V39" s="14"/>
      <c r="W39" s="14"/>
      <c r="X39" s="14"/>
      <c r="Y39" s="14"/>
      <c r="Z39" s="14"/>
      <c r="AA39" s="14"/>
      <c r="AB39" s="14"/>
      <c r="AC39" s="14"/>
      <c r="AD39" s="14"/>
      <c r="AE39" s="14"/>
      <c r="AF39" s="14"/>
    </row>
    <row r="40" spans="1:32" s="38" customFormat="1" ht="17.399999999999999">
      <c r="A40" s="2635" t="s">
        <v>20</v>
      </c>
      <c r="B40" s="134" t="s">
        <v>1784</v>
      </c>
      <c r="C40" s="14">
        <f>SUM(C41:C43)</f>
        <v>2597007</v>
      </c>
      <c r="D40" s="14">
        <f t="shared" ref="D40:E40" si="45">SUM(D41:D43)</f>
        <v>2597007</v>
      </c>
      <c r="E40" s="14">
        <f t="shared" si="45"/>
        <v>0</v>
      </c>
      <c r="F40" s="14">
        <f>SUM(G40:H40)</f>
        <v>2597007</v>
      </c>
      <c r="G40" s="14">
        <f>SUM(G41:G43)</f>
        <v>2597007</v>
      </c>
      <c r="H40" s="14">
        <f>SUM(H41:H43)</f>
        <v>0</v>
      </c>
      <c r="I40" s="59">
        <f>SUM(I41:I43)</f>
        <v>1988976</v>
      </c>
      <c r="J40" s="59">
        <f t="shared" ref="J40:Q40" si="46">SUM(J41:J43)</f>
        <v>1988976</v>
      </c>
      <c r="K40" s="2636">
        <f t="shared" si="46"/>
        <v>0</v>
      </c>
      <c r="L40" s="187">
        <f t="shared" si="43"/>
        <v>2379485.2999999998</v>
      </c>
      <c r="M40" s="59">
        <f t="shared" si="46"/>
        <v>2379485.2999999998</v>
      </c>
      <c r="N40" s="59">
        <f t="shared" si="46"/>
        <v>0</v>
      </c>
      <c r="O40" s="59">
        <f t="shared" si="44"/>
        <v>2379485.2999999998</v>
      </c>
      <c r="P40" s="59">
        <f t="shared" si="46"/>
        <v>2379485.2999999998</v>
      </c>
      <c r="Q40" s="2086">
        <f t="shared" si="46"/>
        <v>0</v>
      </c>
      <c r="R40" s="2102">
        <f>SUM(R41:R43)</f>
        <v>6747946.5999999996</v>
      </c>
      <c r="S40" s="14">
        <f t="shared" ref="S40:T40" si="47">SUM(S41:S43)</f>
        <v>6747946.5999999996</v>
      </c>
      <c r="T40" s="14">
        <f t="shared" si="47"/>
        <v>0</v>
      </c>
      <c r="U40" s="14"/>
      <c r="V40" s="14"/>
      <c r="W40" s="14"/>
      <c r="X40" s="14"/>
      <c r="Y40" s="14"/>
      <c r="Z40" s="14"/>
      <c r="AA40" s="14"/>
      <c r="AB40" s="14"/>
      <c r="AC40" s="14"/>
      <c r="AD40" s="14"/>
      <c r="AE40" s="14"/>
      <c r="AF40" s="14"/>
    </row>
    <row r="41" spans="1:32" s="38" customFormat="1">
      <c r="A41" s="2548">
        <v>1</v>
      </c>
      <c r="B41" s="78" t="str">
        <f>'Phụ lục số 2'!B36</f>
        <v>Chi thực hiện mục tiêu, nhiệm vụ quan trọng (vốn đầu tư phát triển)</v>
      </c>
      <c r="C41" s="13">
        <f>SUM(D41:E41)</f>
        <v>2417971</v>
      </c>
      <c r="D41" s="13">
        <f>'Phụ lục số 1'!F56</f>
        <v>2417971</v>
      </c>
      <c r="E41" s="14"/>
      <c r="F41" s="13">
        <f>SUM(G41:H41)</f>
        <v>2417971</v>
      </c>
      <c r="G41" s="13">
        <f>'Phụ lục số 2'!S36</f>
        <v>2417971</v>
      </c>
      <c r="H41" s="13">
        <f>'Phụ lục số 2'!T36</f>
        <v>0</v>
      </c>
      <c r="I41" s="30">
        <f>SUM(J41:K41)</f>
        <v>1814491</v>
      </c>
      <c r="J41" s="30">
        <f>'Phụ lục số 2'!AA36</f>
        <v>1814491</v>
      </c>
      <c r="K41" s="2636"/>
      <c r="L41" s="80">
        <f>SUM(M41:N41)</f>
        <v>2205000</v>
      </c>
      <c r="M41" s="30">
        <f>'Phụ lục số 2'!AF36</f>
        <v>2205000</v>
      </c>
      <c r="N41" s="30">
        <f>'Phụ lục số 2'!AG36</f>
        <v>0</v>
      </c>
      <c r="O41" s="30">
        <f>SUM(P41:Q41)</f>
        <v>2205000</v>
      </c>
      <c r="P41" s="30">
        <f>'Phụ lục số 2'!AK36</f>
        <v>2205000</v>
      </c>
      <c r="Q41" s="2085">
        <f>'Phụ lục số 2'!AL36</f>
        <v>0</v>
      </c>
      <c r="R41" s="2103">
        <f>SUM(S41:T41)</f>
        <v>6224491</v>
      </c>
      <c r="S41" s="13">
        <f>J41+M41+P41</f>
        <v>6224491</v>
      </c>
      <c r="T41" s="13">
        <f>K41+N41+Q41</f>
        <v>0</v>
      </c>
      <c r="U41" s="14"/>
      <c r="V41" s="14"/>
      <c r="W41" s="14"/>
      <c r="X41" s="14"/>
      <c r="Y41" s="14"/>
      <c r="Z41" s="14"/>
      <c r="AA41" s="14"/>
      <c r="AB41" s="14"/>
      <c r="AC41" s="14"/>
      <c r="AD41" s="14"/>
      <c r="AE41" s="14"/>
      <c r="AF41" s="14"/>
    </row>
    <row r="42" spans="1:32" s="38" customFormat="1">
      <c r="A42" s="2548">
        <v>2</v>
      </c>
      <c r="B42" s="78" t="str">
        <f>'Phụ lục số 2'!B37</f>
        <v>Chi thực hiện mục tiêu, nhiệm vụ quan trọng (kinh phí sự nghiệp)</v>
      </c>
      <c r="C42" s="13">
        <f t="shared" ref="C42:C43" si="48">SUM(D42:E42)</f>
        <v>179036</v>
      </c>
      <c r="D42" s="13">
        <f>'Phụ lục số 1'!F57</f>
        <v>179036</v>
      </c>
      <c r="E42" s="14"/>
      <c r="F42" s="13">
        <f t="shared" ref="F42:F43" si="49">SUM(G42:H42)</f>
        <v>179036</v>
      </c>
      <c r="G42" s="13">
        <f>'Phụ lục số 2'!S37</f>
        <v>179036</v>
      </c>
      <c r="H42" s="13">
        <f>'Phụ lục số 2'!T37</f>
        <v>0</v>
      </c>
      <c r="I42" s="30">
        <f t="shared" ref="I42:I43" si="50">SUM(J42:K42)</f>
        <v>174485</v>
      </c>
      <c r="J42" s="30">
        <f>'Phụ lục số 2'!AA37</f>
        <v>174485</v>
      </c>
      <c r="K42" s="2636"/>
      <c r="L42" s="80">
        <f>SUM(M42:N42)</f>
        <v>174485.3</v>
      </c>
      <c r="M42" s="30">
        <f>'Phụ lục số 2'!AF37</f>
        <v>174485.3</v>
      </c>
      <c r="N42" s="30">
        <f>'Phụ lục số 2'!AG37</f>
        <v>0</v>
      </c>
      <c r="O42" s="30">
        <f t="shared" ref="O42:O45" si="51">SUM(P42:Q42)</f>
        <v>174485.3</v>
      </c>
      <c r="P42" s="30">
        <f>'Phụ lục số 2'!AK37</f>
        <v>174485.3</v>
      </c>
      <c r="Q42" s="2085">
        <f>'Phụ lục số 2'!AL37</f>
        <v>0</v>
      </c>
      <c r="R42" s="2103">
        <f t="shared" ref="R42" si="52">SUM(S42:T42)</f>
        <v>523455.6</v>
      </c>
      <c r="S42" s="13">
        <f>J42+M42+P42</f>
        <v>523455.6</v>
      </c>
      <c r="T42" s="13">
        <f>K42+N42+Q42</f>
        <v>0</v>
      </c>
      <c r="U42" s="14"/>
      <c r="V42" s="14"/>
      <c r="W42" s="14"/>
      <c r="X42" s="14"/>
      <c r="Y42" s="14"/>
      <c r="Z42" s="14"/>
      <c r="AA42" s="14"/>
      <c r="AB42" s="14"/>
      <c r="AC42" s="14"/>
      <c r="AD42" s="14"/>
      <c r="AE42" s="14"/>
      <c r="AF42" s="14"/>
    </row>
    <row r="43" spans="1:32" s="38" customFormat="1">
      <c r="A43" s="2548">
        <v>3</v>
      </c>
      <c r="B43" s="78" t="str">
        <f>'Phụ lục số 2'!B38</f>
        <v>Chi bổ sung có mục tiêu nhiệm vụ quan trọng khác (nếu có)</v>
      </c>
      <c r="C43" s="14">
        <f t="shared" si="48"/>
        <v>0</v>
      </c>
      <c r="D43" s="14"/>
      <c r="E43" s="14"/>
      <c r="F43" s="14">
        <f t="shared" si="49"/>
        <v>0</v>
      </c>
      <c r="G43" s="14"/>
      <c r="H43" s="14"/>
      <c r="I43" s="59">
        <f t="shared" si="50"/>
        <v>0</v>
      </c>
      <c r="J43" s="59"/>
      <c r="K43" s="2636"/>
      <c r="L43" s="187">
        <f>SUM(M43:N43)</f>
        <v>0</v>
      </c>
      <c r="M43" s="59"/>
      <c r="N43" s="59"/>
      <c r="O43" s="59">
        <f t="shared" si="51"/>
        <v>0</v>
      </c>
      <c r="P43" s="59"/>
      <c r="Q43" s="2086"/>
      <c r="R43" s="2102">
        <f>SUM(S43:T43)</f>
        <v>0</v>
      </c>
      <c r="S43" s="13">
        <f>J43+M43+P43</f>
        <v>0</v>
      </c>
      <c r="T43" s="14"/>
      <c r="U43" s="14"/>
      <c r="V43" s="14"/>
      <c r="W43" s="14"/>
      <c r="X43" s="14"/>
      <c r="Y43" s="14"/>
      <c r="Z43" s="14"/>
      <c r="AA43" s="14"/>
      <c r="AB43" s="14"/>
      <c r="AC43" s="14"/>
      <c r="AD43" s="14"/>
      <c r="AE43" s="14"/>
      <c r="AF43" s="14"/>
    </row>
    <row r="44" spans="1:32" s="38" customFormat="1">
      <c r="A44" s="2635" t="s">
        <v>49</v>
      </c>
      <c r="B44" s="143" t="s">
        <v>133</v>
      </c>
      <c r="C44" s="14">
        <f t="shared" si="32"/>
        <v>31500</v>
      </c>
      <c r="D44" s="14">
        <f>'Phụ lục số 2'!D39</f>
        <v>31500</v>
      </c>
      <c r="E44" s="14">
        <f>'[24]Phụ lục số 2'!E35</f>
        <v>0</v>
      </c>
      <c r="F44" s="14">
        <f t="shared" si="33"/>
        <v>31500</v>
      </c>
      <c r="G44" s="14">
        <f>'Phụ lục số 2'!S39</f>
        <v>31500</v>
      </c>
      <c r="H44" s="14">
        <f>'[24]Phụ lục số 2'!J35</f>
        <v>0</v>
      </c>
      <c r="I44" s="59">
        <f>SUM(J44:K44)</f>
        <v>0</v>
      </c>
      <c r="J44" s="59">
        <f>'Phụ lục số 2'!AA39</f>
        <v>0</v>
      </c>
      <c r="K44" s="2636">
        <f>'[24]Phụ lục số 2'!O35</f>
        <v>0</v>
      </c>
      <c r="L44" s="187">
        <f t="shared" si="43"/>
        <v>0</v>
      </c>
      <c r="M44" s="59">
        <f>'Phụ lục số 2'!AF39</f>
        <v>0</v>
      </c>
      <c r="N44" s="59">
        <f>'Phụ lục số 2'!AG39</f>
        <v>0</v>
      </c>
      <c r="O44" s="59">
        <f t="shared" si="51"/>
        <v>0</v>
      </c>
      <c r="P44" s="59">
        <f>'Phụ lục số 2'!AK39</f>
        <v>0</v>
      </c>
      <c r="Q44" s="2086">
        <f>'Phụ lục số 2'!AL39</f>
        <v>0</v>
      </c>
      <c r="R44" s="2102">
        <f>SUM(S44:T44)</f>
        <v>0</v>
      </c>
      <c r="S44" s="13">
        <f>J44+M44+P44</f>
        <v>0</v>
      </c>
      <c r="T44" s="13">
        <f>K44+N44+Q44</f>
        <v>0</v>
      </c>
      <c r="U44" s="14"/>
      <c r="V44" s="14"/>
      <c r="W44" s="14"/>
      <c r="X44" s="14"/>
      <c r="Y44" s="14"/>
      <c r="Z44" s="14"/>
      <c r="AA44" s="14"/>
      <c r="AB44" s="14"/>
      <c r="AC44" s="14"/>
      <c r="AD44" s="14"/>
      <c r="AE44" s="14"/>
      <c r="AF44" s="14"/>
    </row>
    <row r="45" spans="1:32" s="2" customFormat="1" ht="17.399999999999999">
      <c r="A45" s="2635" t="s">
        <v>50</v>
      </c>
      <c r="B45" s="134" t="s">
        <v>235</v>
      </c>
      <c r="C45" s="14">
        <f t="shared" si="32"/>
        <v>0</v>
      </c>
      <c r="D45" s="14">
        <f>E14</f>
        <v>0</v>
      </c>
      <c r="E45" s="14"/>
      <c r="F45" s="14">
        <f t="shared" si="33"/>
        <v>0</v>
      </c>
      <c r="G45" s="14">
        <f>H14</f>
        <v>0</v>
      </c>
      <c r="H45" s="14"/>
      <c r="I45" s="59">
        <f t="shared" si="34"/>
        <v>0</v>
      </c>
      <c r="J45" s="59">
        <f>K14</f>
        <v>0</v>
      </c>
      <c r="K45" s="2636"/>
      <c r="L45" s="187">
        <f>SUM(M45:N45)</f>
        <v>0</v>
      </c>
      <c r="M45" s="59">
        <f>N14</f>
        <v>0</v>
      </c>
      <c r="N45" s="59"/>
      <c r="O45" s="59">
        <f t="shared" si="51"/>
        <v>0</v>
      </c>
      <c r="P45" s="59">
        <f>Q14</f>
        <v>0</v>
      </c>
      <c r="Q45" s="2086"/>
      <c r="R45" s="2102">
        <f>SUM(S45:T45)</f>
        <v>0</v>
      </c>
      <c r="S45" s="14">
        <f t="shared" si="37"/>
        <v>0</v>
      </c>
      <c r="T45" s="14">
        <f t="shared" si="37"/>
        <v>0</v>
      </c>
      <c r="U45" s="14"/>
      <c r="V45" s="14"/>
      <c r="W45" s="14"/>
      <c r="X45" s="14"/>
      <c r="Y45" s="14"/>
      <c r="Z45" s="14"/>
      <c r="AA45" s="14"/>
      <c r="AB45" s="14"/>
      <c r="AC45" s="14"/>
      <c r="AD45" s="14"/>
      <c r="AE45" s="14"/>
      <c r="AF45" s="14"/>
    </row>
    <row r="46" spans="1:32" ht="18.600000000000001" thickBot="1">
      <c r="A46" s="2641" t="s">
        <v>26</v>
      </c>
      <c r="B46" s="2642" t="s">
        <v>241</v>
      </c>
      <c r="C46" s="2643">
        <f>C6-C22</f>
        <v>0</v>
      </c>
      <c r="D46" s="2643">
        <f>D6-D22</f>
        <v>4748721</v>
      </c>
      <c r="E46" s="2643">
        <f>E6-E22</f>
        <v>-4748721</v>
      </c>
      <c r="F46" s="2643">
        <f>G46+H46</f>
        <v>-294299.26666666567</v>
      </c>
      <c r="G46" s="2643">
        <f t="shared" ref="G46:Q46" si="53">G6-G22</f>
        <v>4454421.7333333343</v>
      </c>
      <c r="H46" s="2643">
        <f>H6-H22</f>
        <v>-4748721</v>
      </c>
      <c r="I46" s="2644">
        <f t="shared" si="53"/>
        <v>8.4000002592802048E-2</v>
      </c>
      <c r="J46" s="2644">
        <f t="shared" si="53"/>
        <v>5083323.432</v>
      </c>
      <c r="K46" s="2645">
        <f t="shared" si="53"/>
        <v>-5083323.3479999993</v>
      </c>
      <c r="L46" s="2631">
        <f t="shared" si="53"/>
        <v>0.11019487306475639</v>
      </c>
      <c r="M46" s="2117">
        <f t="shared" si="53"/>
        <v>5083323.4084527977</v>
      </c>
      <c r="N46" s="2117">
        <f t="shared" si="53"/>
        <v>-5083323.2982579228</v>
      </c>
      <c r="O46" s="2117">
        <f t="shared" si="53"/>
        <v>-7.3181755840778351E-2</v>
      </c>
      <c r="P46" s="2117">
        <f t="shared" si="53"/>
        <v>5083323.1621277519</v>
      </c>
      <c r="Q46" s="2118">
        <f t="shared" si="53"/>
        <v>-5083323.235309504</v>
      </c>
      <c r="R46" s="2105">
        <f t="shared" si="37"/>
        <v>0.12101311981678009</v>
      </c>
      <c r="S46" s="145">
        <f t="shared" si="37"/>
        <v>15249970.00258055</v>
      </c>
      <c r="T46" s="145">
        <f t="shared" si="37"/>
        <v>-15249969.881567426</v>
      </c>
      <c r="U46" s="145"/>
      <c r="V46" s="145"/>
      <c r="W46" s="145"/>
      <c r="X46" s="145"/>
      <c r="Y46" s="145"/>
      <c r="Z46" s="145"/>
      <c r="AA46" s="145"/>
      <c r="AB46" s="145"/>
      <c r="AC46" s="145"/>
      <c r="AD46" s="145"/>
      <c r="AE46" s="145"/>
      <c r="AF46" s="145"/>
    </row>
    <row r="48" spans="1:32">
      <c r="C48" s="146"/>
      <c r="D48" s="146"/>
      <c r="E48" s="146"/>
      <c r="F48" s="146"/>
      <c r="G48" s="146"/>
      <c r="H48" s="146"/>
      <c r="I48" s="146"/>
      <c r="J48" s="146"/>
      <c r="K48" s="146"/>
      <c r="L48" s="146"/>
      <c r="M48" s="146"/>
      <c r="N48" s="146"/>
      <c r="O48" s="146"/>
      <c r="P48" s="146"/>
      <c r="Q48" s="146"/>
      <c r="R48" s="146"/>
      <c r="S48" s="146"/>
      <c r="T48" s="146"/>
    </row>
    <row r="49" spans="1:20">
      <c r="J49" s="54"/>
    </row>
    <row r="50" spans="1:20" hidden="1">
      <c r="C50" s="34"/>
      <c r="D50" s="34"/>
      <c r="E50" s="34"/>
      <c r="F50" s="34"/>
      <c r="G50" s="34"/>
      <c r="H50" s="34"/>
      <c r="I50" s="34"/>
      <c r="J50" s="34"/>
      <c r="K50" s="34"/>
      <c r="L50" s="34"/>
      <c r="M50" s="34"/>
      <c r="N50" s="34"/>
      <c r="O50" s="34"/>
      <c r="P50" s="34"/>
      <c r="Q50" s="34"/>
      <c r="R50" s="34"/>
      <c r="S50" s="34"/>
      <c r="T50" s="34"/>
    </row>
    <row r="51" spans="1:20" hidden="1">
      <c r="A51" s="38" t="s">
        <v>130</v>
      </c>
      <c r="B51" s="37" t="s">
        <v>211</v>
      </c>
      <c r="J51" s="54"/>
      <c r="R51" s="35"/>
    </row>
    <row r="52" spans="1:20" hidden="1">
      <c r="A52" s="20">
        <v>1</v>
      </c>
      <c r="B52" s="37" t="s">
        <v>212</v>
      </c>
      <c r="F52" s="54">
        <f>SUM(G52:H52)</f>
        <v>746399.79999999981</v>
      </c>
      <c r="G52" s="54">
        <f>G9-D9</f>
        <v>55700.733333333395</v>
      </c>
      <c r="H52" s="54">
        <f>H9-E9</f>
        <v>690699.06666666642</v>
      </c>
      <c r="I52" s="54">
        <f>SUM(J52:K52)</f>
        <v>1780930</v>
      </c>
      <c r="J52" s="54">
        <f>J9-D9</f>
        <v>739200</v>
      </c>
      <c r="K52" s="54">
        <f>K9-E9</f>
        <v>1041730</v>
      </c>
      <c r="L52" s="55">
        <f>SUM(M52:N52)</f>
        <v>629469.22038975032</v>
      </c>
      <c r="M52" s="55">
        <f>M9-J9</f>
        <v>1072448.9626683053</v>
      </c>
      <c r="N52" s="55">
        <f>N9-K9</f>
        <v>-442979.74227855494</v>
      </c>
      <c r="O52" s="55">
        <f>SUM(P52:Q52)</f>
        <v>796601.01285699196</v>
      </c>
      <c r="P52" s="55">
        <f>P9-M9</f>
        <v>553800.87773244828</v>
      </c>
      <c r="Q52" s="55">
        <f>Q9-N9</f>
        <v>242800.13512454368</v>
      </c>
      <c r="R52" s="35"/>
    </row>
    <row r="53" spans="1:20" hidden="1">
      <c r="A53" s="20">
        <v>2</v>
      </c>
      <c r="B53" s="37" t="s">
        <v>213</v>
      </c>
      <c r="F53" s="54">
        <f>SUM(G53:H53)</f>
        <v>530000</v>
      </c>
      <c r="G53" s="54">
        <f>SUM(G10:G12)-SUM(D10:D12)</f>
        <v>350000</v>
      </c>
      <c r="H53" s="54">
        <f>SUM(H10:H12)-SUM(E10:E12)</f>
        <v>180000</v>
      </c>
      <c r="I53" s="54">
        <f t="shared" ref="I53" si="54">SUM(J53:K53)</f>
        <v>1257000</v>
      </c>
      <c r="J53" s="147">
        <f>SUM(J10:J12)-SUM(D10:D12)</f>
        <v>914000</v>
      </c>
      <c r="K53" s="147">
        <f>SUM(K10:K12)-SUM(E10:E12)</f>
        <v>343000</v>
      </c>
      <c r="L53" s="55">
        <f t="shared" ref="L53:L54" si="55">SUM(M53:N53)</f>
        <v>-235000</v>
      </c>
      <c r="M53" s="55">
        <f>SUM(M10:M12)-SUM(J10:J12)</f>
        <v>133099.74576271186</v>
      </c>
      <c r="N53" s="55">
        <f>SUM(N10:N12)-SUM(K10:K12)</f>
        <v>-368099.74576271186</v>
      </c>
      <c r="O53" s="55">
        <f>SUM(P53:Q53)</f>
        <v>237999.99999999988</v>
      </c>
      <c r="P53" s="55">
        <f>SUM(P10:P12)-SUM(M10:M12)</f>
        <v>199299.98728813557</v>
      </c>
      <c r="Q53" s="55">
        <f>SUM(Q10:Q12)-SUM(N10:N12)</f>
        <v>38700.012711864314</v>
      </c>
    </row>
    <row r="54" spans="1:20" hidden="1">
      <c r="A54" s="20">
        <v>3</v>
      </c>
      <c r="B54" s="37" t="s">
        <v>214</v>
      </c>
      <c r="F54" s="54">
        <f>SUM(G54:H54)</f>
        <v>216399.79999999981</v>
      </c>
      <c r="G54" s="54">
        <f>G52-G53</f>
        <v>-294299.2666666666</v>
      </c>
      <c r="H54" s="54">
        <f>H52-H53</f>
        <v>510699.06666666642</v>
      </c>
      <c r="I54" s="54">
        <f>SUM(J54:K54)</f>
        <v>523930</v>
      </c>
      <c r="J54" s="54">
        <f>J52-J53</f>
        <v>-174800</v>
      </c>
      <c r="K54" s="54">
        <f>K52-K53</f>
        <v>698730</v>
      </c>
      <c r="L54" s="55">
        <f t="shared" si="55"/>
        <v>864469.22038975032</v>
      </c>
      <c r="M54" s="55">
        <f>M52-M53</f>
        <v>939349.21690559341</v>
      </c>
      <c r="N54" s="55">
        <f>N52-N53</f>
        <v>-74879.996515843086</v>
      </c>
      <c r="O54" s="55">
        <f t="shared" ref="O54:O56" si="56">SUM(P54:Q54)</f>
        <v>558601.01285699208</v>
      </c>
      <c r="P54" s="55">
        <f>P52-P53</f>
        <v>354500.89044431271</v>
      </c>
      <c r="Q54" s="55">
        <f>Q52-Q53</f>
        <v>204100.12241267937</v>
      </c>
    </row>
    <row r="55" spans="1:20" s="149" customFormat="1" ht="36" hidden="1">
      <c r="A55" s="148">
        <v>4</v>
      </c>
      <c r="B55" s="149" t="s">
        <v>215</v>
      </c>
      <c r="F55" s="150">
        <f>SUM(G55:H55)</f>
        <v>210339.71333333314</v>
      </c>
      <c r="G55" s="150">
        <f>G54*50%</f>
        <v>-147149.6333333333</v>
      </c>
      <c r="H55" s="150">
        <f>H54*70%</f>
        <v>357489.34666666645</v>
      </c>
      <c r="I55" s="150">
        <f t="shared" ref="I55" si="57">SUM(J55:K55)</f>
        <v>261965</v>
      </c>
      <c r="J55" s="150">
        <f>J54*50%</f>
        <v>-87400</v>
      </c>
      <c r="K55" s="150">
        <f>K54*50%</f>
        <v>349365</v>
      </c>
      <c r="L55" s="148">
        <f>SUM(M55:N55)</f>
        <v>432234.61019487516</v>
      </c>
      <c r="M55" s="148">
        <f>M54*50%</f>
        <v>469674.6084527967</v>
      </c>
      <c r="N55" s="148">
        <f>N54*50%</f>
        <v>-37439.998257921543</v>
      </c>
      <c r="O55" s="151">
        <f t="shared" si="56"/>
        <v>279300.50642849604</v>
      </c>
      <c r="P55" s="148">
        <f>P54*50%</f>
        <v>177250.44522215636</v>
      </c>
      <c r="Q55" s="148">
        <f>Q54*50%</f>
        <v>102050.06120633968</v>
      </c>
    </row>
    <row r="56" spans="1:20" s="154" customFormat="1" hidden="1">
      <c r="A56" s="152">
        <v>5</v>
      </c>
      <c r="B56" s="153" t="s">
        <v>216</v>
      </c>
      <c r="F56" s="155">
        <f>SUM(G56:H56)</f>
        <v>6060.0866666666698</v>
      </c>
      <c r="G56" s="155">
        <f>G54-G55</f>
        <v>-147149.6333333333</v>
      </c>
      <c r="H56" s="155">
        <f>H54-H55</f>
        <v>153209.71999999997</v>
      </c>
      <c r="I56" s="156">
        <f>I54-I55</f>
        <v>261965</v>
      </c>
      <c r="J56" s="156">
        <f t="shared" ref="J56:K56" si="58">J54-J55</f>
        <v>-87400</v>
      </c>
      <c r="K56" s="156">
        <f t="shared" si="58"/>
        <v>349365</v>
      </c>
      <c r="L56" s="151">
        <f>SUM(M56:N56)</f>
        <v>432234.61019487516</v>
      </c>
      <c r="M56" s="151">
        <f>M54-M55</f>
        <v>469674.6084527967</v>
      </c>
      <c r="N56" s="151">
        <f>N54-N55</f>
        <v>-37439.998257921543</v>
      </c>
      <c r="O56" s="151">
        <f t="shared" si="56"/>
        <v>279300.50642849604</v>
      </c>
      <c r="P56" s="151">
        <f>P54-P55</f>
        <v>177250.44522215636</v>
      </c>
      <c r="Q56" s="151">
        <f t="shared" ref="Q56" si="59">Q54-Q55</f>
        <v>102050.06120633968</v>
      </c>
    </row>
    <row r="57" spans="1:20" hidden="1">
      <c r="A57" s="38" t="s">
        <v>217</v>
      </c>
      <c r="B57" s="37" t="s">
        <v>218</v>
      </c>
      <c r="F57" s="54"/>
      <c r="H57" s="54"/>
    </row>
    <row r="58" spans="1:20" hidden="1">
      <c r="A58" s="20">
        <v>1</v>
      </c>
      <c r="B58" s="37" t="s">
        <v>219</v>
      </c>
      <c r="F58" s="54"/>
      <c r="I58" s="36">
        <f>I8/C8</f>
        <v>1.204830702704806</v>
      </c>
      <c r="J58" s="36">
        <f>J8/D8</f>
        <v>1.0704218386998208</v>
      </c>
      <c r="K58" s="36">
        <f>K8/E8</f>
        <v>1.7555868119293394</v>
      </c>
      <c r="L58" s="36">
        <f t="shared" ref="L58:Q58" si="60">L8/I8</f>
        <v>1.0540210410122655</v>
      </c>
      <c r="M58" s="36">
        <f t="shared" si="60"/>
        <v>1.1107130487226213</v>
      </c>
      <c r="N58" s="36">
        <f t="shared" si="60"/>
        <v>0.91238104644227092</v>
      </c>
      <c r="O58" s="36">
        <f t="shared" si="60"/>
        <v>1.0532140445793483</v>
      </c>
      <c r="P58" s="36">
        <f t="shared" si="60"/>
        <v>1.0822952387483584</v>
      </c>
      <c r="Q58" s="36">
        <f t="shared" si="60"/>
        <v>0.96476321321805525</v>
      </c>
    </row>
    <row r="59" spans="1:20" hidden="1">
      <c r="I59" s="36">
        <f t="shared" ref="I59:Q59" si="61">I58-1</f>
        <v>0.20483070270480597</v>
      </c>
      <c r="J59" s="36">
        <f t="shared" si="61"/>
        <v>7.0421838699820771E-2</v>
      </c>
      <c r="K59" s="36">
        <f t="shared" si="61"/>
        <v>0.75558681192933941</v>
      </c>
      <c r="L59" s="36">
        <f t="shared" si="61"/>
        <v>5.4021041012265458E-2</v>
      </c>
      <c r="M59" s="36">
        <f t="shared" si="61"/>
        <v>0.11071304872262133</v>
      </c>
      <c r="N59" s="36">
        <f t="shared" si="61"/>
        <v>-8.7618953557729085E-2</v>
      </c>
      <c r="O59" s="36">
        <f t="shared" si="61"/>
        <v>5.3214044579348307E-2</v>
      </c>
      <c r="P59" s="36">
        <f t="shared" si="61"/>
        <v>8.2295238748358424E-2</v>
      </c>
      <c r="Q59" s="36">
        <f t="shared" si="61"/>
        <v>-3.5236786781944751E-2</v>
      </c>
    </row>
    <row r="60" spans="1:20" hidden="1">
      <c r="A60" s="20">
        <v>2</v>
      </c>
      <c r="B60" s="37" t="s">
        <v>220</v>
      </c>
      <c r="I60" s="36">
        <f t="shared" ref="I60:Q60" si="62">I59/2</f>
        <v>0.10241535135240298</v>
      </c>
      <c r="J60" s="36">
        <f t="shared" si="62"/>
        <v>3.5210919349910386E-2</v>
      </c>
      <c r="K60" s="36">
        <f t="shared" si="62"/>
        <v>0.3777934059646697</v>
      </c>
      <c r="L60" s="36">
        <f t="shared" si="62"/>
        <v>2.7010520506132729E-2</v>
      </c>
      <c r="M60" s="36">
        <f t="shared" si="62"/>
        <v>5.5356524361310666E-2</v>
      </c>
      <c r="N60" s="36">
        <f t="shared" si="62"/>
        <v>-4.3809476778864542E-2</v>
      </c>
      <c r="O60" s="36">
        <f t="shared" si="62"/>
        <v>2.6607022289674154E-2</v>
      </c>
      <c r="P60" s="36">
        <f t="shared" si="62"/>
        <v>4.1147619374179212E-2</v>
      </c>
      <c r="Q60" s="36">
        <f t="shared" si="62"/>
        <v>-1.7618393390972376E-2</v>
      </c>
    </row>
    <row r="61" spans="1:20" hidden="1">
      <c r="A61" s="20">
        <v>3</v>
      </c>
      <c r="B61" s="37" t="s">
        <v>221</v>
      </c>
      <c r="I61" s="157">
        <f t="shared" ref="I61:Q61" si="63">1+I60</f>
        <v>1.1024153513524029</v>
      </c>
      <c r="J61" s="157">
        <f t="shared" si="63"/>
        <v>1.0352109193499104</v>
      </c>
      <c r="K61" s="157">
        <f t="shared" si="63"/>
        <v>1.3777934059646697</v>
      </c>
      <c r="L61" s="36">
        <f t="shared" si="63"/>
        <v>1.0270105205061326</v>
      </c>
      <c r="M61" s="36">
        <f t="shared" si="63"/>
        <v>1.0553565243613106</v>
      </c>
      <c r="N61" s="36">
        <f t="shared" si="63"/>
        <v>0.9561905232211354</v>
      </c>
      <c r="O61" s="36">
        <f t="shared" si="63"/>
        <v>1.0266070222896742</v>
      </c>
      <c r="P61" s="36">
        <f t="shared" si="63"/>
        <v>1.0411476193741791</v>
      </c>
      <c r="Q61" s="36">
        <f t="shared" si="63"/>
        <v>0.98238160660902762</v>
      </c>
    </row>
    <row r="62" spans="1:20" hidden="1">
      <c r="I62" s="35"/>
    </row>
    <row r="64" spans="1:20">
      <c r="F64" s="54"/>
    </row>
    <row r="66" spans="9:9">
      <c r="I66" s="36"/>
    </row>
  </sheetData>
  <mergeCells count="15">
    <mergeCell ref="L4:N4"/>
    <mergeCell ref="O4:Q4"/>
    <mergeCell ref="A1:K1"/>
    <mergeCell ref="I3:K3"/>
    <mergeCell ref="A4:A5"/>
    <mergeCell ref="B4:B5"/>
    <mergeCell ref="C4:E4"/>
    <mergeCell ref="F4:H4"/>
    <mergeCell ref="I4:K4"/>
    <mergeCell ref="A2:K2"/>
    <mergeCell ref="R4:T4"/>
    <mergeCell ref="U4:W4"/>
    <mergeCell ref="X4:Z4"/>
    <mergeCell ref="AA4:AC4"/>
    <mergeCell ref="AD4:AF4"/>
  </mergeCells>
  <hyperlinks>
    <hyperlink ref="A4:A5" location="'List danh mục'!A1" display="TT"/>
  </hyperlinks>
  <printOptions horizontalCentered="1"/>
  <pageMargins left="0" right="0" top="0.39370078740157483" bottom="0" header="0" footer="0"/>
  <pageSetup paperSize="9" scale="65" orientation="landscape" r:id="rId1"/>
  <headerFooter alignWithMargins="0">
    <oddHeader>&amp;R&amp;11&amp;A</oddHeader>
    <oddFooter>&amp;C&amp;11&amp;P/&amp;N</oddFooter>
  </headerFooter>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F76"/>
  <sheetViews>
    <sheetView workbookViewId="0">
      <pane xSplit="2" ySplit="7" topLeftCell="G11" activePane="bottomRight" state="frozen"/>
      <selection activeCell="Y35" sqref="Y35"/>
      <selection pane="topRight" activeCell="Y35" sqref="Y35"/>
      <selection pane="bottomLeft" activeCell="Y35" sqref="Y35"/>
      <selection pane="bottomRight" activeCell="Y35" sqref="Y35"/>
    </sheetView>
  </sheetViews>
  <sheetFormatPr defaultColWidth="9" defaultRowHeight="18"/>
  <cols>
    <col min="1" max="1" width="5.69921875" style="20" customWidth="1"/>
    <col min="2" max="2" width="95.69921875" style="37" customWidth="1"/>
    <col min="3" max="11" width="11.69921875" style="37" customWidth="1"/>
    <col min="12" max="17" width="10.69921875" style="37" customWidth="1"/>
    <col min="18" max="20" width="12.3984375" style="37" customWidth="1"/>
    <col min="21" max="21" width="17.5" style="37" hidden="1" customWidth="1"/>
    <col min="22" max="22" width="16.3984375" style="37" hidden="1" customWidth="1"/>
    <col min="23" max="23" width="13.8984375" style="37" hidden="1" customWidth="1"/>
    <col min="24" max="24" width="16.59765625" style="37" hidden="1" customWidth="1"/>
    <col min="25" max="25" width="17" style="37" hidden="1" customWidth="1"/>
    <col min="26" max="26" width="16.69921875" style="37" hidden="1" customWidth="1"/>
    <col min="27" max="27" width="29.69921875" style="37" hidden="1" customWidth="1"/>
    <col min="28" max="28" width="12.3984375" style="37" hidden="1" customWidth="1"/>
    <col min="29" max="29" width="11" style="37" hidden="1" customWidth="1"/>
    <col min="30" max="30" width="40.8984375" style="37" hidden="1" customWidth="1"/>
    <col min="31" max="32" width="9" style="37" hidden="1" customWidth="1"/>
    <col min="33" max="16384" width="9" style="37"/>
  </cols>
  <sheetData>
    <row r="1" spans="1:32" ht="34.5" customHeight="1">
      <c r="A1" s="4475" t="s">
        <v>225</v>
      </c>
      <c r="B1" s="4475"/>
      <c r="C1" s="4475"/>
      <c r="D1" s="4475"/>
      <c r="E1" s="4475"/>
      <c r="F1" s="4475"/>
      <c r="G1" s="4475"/>
      <c r="H1" s="4475"/>
      <c r="I1" s="4475"/>
      <c r="J1" s="4475"/>
      <c r="K1" s="4475"/>
      <c r="L1" s="125"/>
      <c r="M1" s="125"/>
      <c r="N1" s="125"/>
      <c r="O1" s="125"/>
      <c r="P1" s="125"/>
      <c r="Q1" s="125"/>
      <c r="R1" s="70"/>
      <c r="S1" s="70"/>
      <c r="T1" s="70"/>
      <c r="AC1" s="70"/>
    </row>
    <row r="2" spans="1:32">
      <c r="A2" s="4626" t="str">
        <f>'Phụ lục số 3'!A2:K2</f>
        <v>(Kèm theo Báo cáo số         /BC-UBND ngày      tháng 10 năm 2023 của Ủy ban nhân dân tỉnh Đồng Tháp)</v>
      </c>
      <c r="B2" s="4627"/>
      <c r="C2" s="4627"/>
      <c r="D2" s="4627"/>
      <c r="E2" s="4627"/>
      <c r="F2" s="4627"/>
      <c r="G2" s="4627"/>
      <c r="H2" s="4627"/>
      <c r="I2" s="4627"/>
      <c r="J2" s="4627"/>
      <c r="K2" s="4627"/>
      <c r="L2" s="125"/>
      <c r="M2" s="125"/>
      <c r="N2" s="125"/>
      <c r="O2" s="125"/>
      <c r="P2" s="125"/>
      <c r="Q2" s="125"/>
      <c r="R2" s="70"/>
      <c r="S2" s="70"/>
      <c r="T2" s="70"/>
      <c r="AC2" s="70"/>
    </row>
    <row r="3" spans="1:32" ht="18.600000000000001" thickBot="1">
      <c r="A3" s="38"/>
      <c r="B3" s="38"/>
      <c r="C3" s="1828"/>
      <c r="D3" s="1828"/>
      <c r="E3" s="1828"/>
      <c r="F3" s="1828"/>
      <c r="G3" s="1239"/>
      <c r="H3" s="1462"/>
      <c r="I3" s="4476" t="s">
        <v>182</v>
      </c>
      <c r="J3" s="4476"/>
      <c r="K3" s="4476"/>
      <c r="L3" s="3057"/>
      <c r="M3" s="126"/>
      <c r="N3" s="126"/>
      <c r="O3" s="126"/>
      <c r="P3" s="39"/>
      <c r="Q3" s="39"/>
      <c r="R3" s="126"/>
      <c r="S3" s="39"/>
      <c r="T3" s="39"/>
    </row>
    <row r="4" spans="1:32" s="38" customFormat="1" ht="17.25" customHeight="1" thickTop="1">
      <c r="A4" s="4319" t="s">
        <v>183</v>
      </c>
      <c r="B4" s="4628" t="s">
        <v>52</v>
      </c>
      <c r="C4" s="4629" t="s">
        <v>184</v>
      </c>
      <c r="D4" s="4629"/>
      <c r="E4" s="4629"/>
      <c r="F4" s="4629" t="s">
        <v>208</v>
      </c>
      <c r="G4" s="4629"/>
      <c r="H4" s="4629"/>
      <c r="I4" s="4623" t="s">
        <v>209</v>
      </c>
      <c r="J4" s="4624"/>
      <c r="K4" s="4625"/>
      <c r="L4" s="4470" t="s">
        <v>185</v>
      </c>
      <c r="M4" s="4470"/>
      <c r="N4" s="4471"/>
      <c r="O4" s="4469" t="s">
        <v>210</v>
      </c>
      <c r="P4" s="4470"/>
      <c r="Q4" s="4472"/>
      <c r="R4" s="4473" t="s">
        <v>186</v>
      </c>
      <c r="S4" s="4473"/>
      <c r="T4" s="4474"/>
      <c r="U4" s="4466" t="s">
        <v>187</v>
      </c>
      <c r="V4" s="4467"/>
      <c r="W4" s="4468"/>
      <c r="X4" s="4466" t="s">
        <v>188</v>
      </c>
      <c r="Y4" s="4467"/>
      <c r="Z4" s="4468"/>
      <c r="AA4" s="4466" t="s">
        <v>189</v>
      </c>
      <c r="AB4" s="4467"/>
      <c r="AC4" s="4468"/>
      <c r="AD4" s="4466" t="s">
        <v>190</v>
      </c>
      <c r="AE4" s="4467"/>
      <c r="AF4" s="4468"/>
    </row>
    <row r="5" spans="1:32" s="38" customFormat="1" ht="17.399999999999999">
      <c r="A5" s="4320"/>
      <c r="B5" s="4480"/>
      <c r="C5" s="1829" t="s">
        <v>53</v>
      </c>
      <c r="D5" s="2075" t="s">
        <v>191</v>
      </c>
      <c r="E5" s="2075" t="s">
        <v>192</v>
      </c>
      <c r="F5" s="1829" t="s">
        <v>53</v>
      </c>
      <c r="G5" s="2075" t="s">
        <v>191</v>
      </c>
      <c r="H5" s="2075" t="s">
        <v>192</v>
      </c>
      <c r="I5" s="1823" t="s">
        <v>53</v>
      </c>
      <c r="J5" s="1824" t="s">
        <v>191</v>
      </c>
      <c r="K5" s="2632" t="s">
        <v>192</v>
      </c>
      <c r="L5" s="2624" t="s">
        <v>53</v>
      </c>
      <c r="M5" s="1824" t="s">
        <v>191</v>
      </c>
      <c r="N5" s="1824" t="s">
        <v>192</v>
      </c>
      <c r="O5" s="1823" t="s">
        <v>53</v>
      </c>
      <c r="P5" s="1824" t="s">
        <v>191</v>
      </c>
      <c r="Q5" s="2106" t="s">
        <v>192</v>
      </c>
      <c r="R5" s="2100" t="s">
        <v>53</v>
      </c>
      <c r="S5" s="128" t="s">
        <v>191</v>
      </c>
      <c r="T5" s="128" t="s">
        <v>192</v>
      </c>
      <c r="U5" s="127" t="s">
        <v>53</v>
      </c>
      <c r="V5" s="129" t="s">
        <v>54</v>
      </c>
      <c r="W5" s="129" t="s">
        <v>55</v>
      </c>
      <c r="X5" s="127" t="s">
        <v>53</v>
      </c>
      <c r="Y5" s="129" t="s">
        <v>54</v>
      </c>
      <c r="Z5" s="129" t="s">
        <v>55</v>
      </c>
      <c r="AA5" s="127" t="s">
        <v>53</v>
      </c>
      <c r="AB5" s="129" t="s">
        <v>54</v>
      </c>
      <c r="AC5" s="129" t="s">
        <v>55</v>
      </c>
      <c r="AD5" s="127" t="s">
        <v>53</v>
      </c>
      <c r="AE5" s="129" t="s">
        <v>54</v>
      </c>
      <c r="AF5" s="129" t="s">
        <v>55</v>
      </c>
    </row>
    <row r="6" spans="1:32" s="38" customFormat="1" ht="17.399999999999999">
      <c r="A6" s="2647" t="s">
        <v>7</v>
      </c>
      <c r="B6" s="159" t="s">
        <v>1794</v>
      </c>
      <c r="C6" s="1830">
        <f>SUM(C9,C14,C20,C21)</f>
        <v>20568716</v>
      </c>
      <c r="D6" s="1830">
        <f t="shared" ref="D6:E6" si="0">SUM(D9,D14,D20,D21)</f>
        <v>12922645</v>
      </c>
      <c r="E6" s="1830">
        <f t="shared" si="0"/>
        <v>7646071</v>
      </c>
      <c r="F6" s="1830">
        <f>SUM(F9,F14,F20,F21)</f>
        <v>21746115.800000001</v>
      </c>
      <c r="G6" s="1830">
        <f t="shared" ref="G6:H6" si="1">SUM(G9,G14,G20,G21)</f>
        <v>13068045.733333334</v>
      </c>
      <c r="H6" s="1830">
        <f t="shared" si="1"/>
        <v>8678070.0666666664</v>
      </c>
      <c r="I6" s="1825">
        <f t="shared" ref="I6:Q6" si="2">SUM(I9,I14,I20,I21)</f>
        <v>23710732.348000001</v>
      </c>
      <c r="J6" s="1825">
        <f t="shared" si="2"/>
        <v>13802329</v>
      </c>
      <c r="K6" s="2634">
        <f>SUM(K9,K14,K20,K21)</f>
        <v>9908403.3480000012</v>
      </c>
      <c r="L6" s="2629">
        <f t="shared" si="2"/>
        <v>24562110.068389751</v>
      </c>
      <c r="M6" s="1825">
        <f t="shared" si="2"/>
        <v>15344426.462668305</v>
      </c>
      <c r="N6" s="1825">
        <f>SUM(N9,N14,N20,N21)</f>
        <v>9217683.6057214458</v>
      </c>
      <c r="O6" s="1825">
        <f t="shared" si="2"/>
        <v>25522613.191441622</v>
      </c>
      <c r="P6" s="1825">
        <f t="shared" si="2"/>
        <v>16384606.148853552</v>
      </c>
      <c r="Q6" s="2108">
        <f t="shared" si="2"/>
        <v>9138007.0425880682</v>
      </c>
      <c r="R6" s="2101">
        <f>I6+L6+O6</f>
        <v>73795455.607831374</v>
      </c>
      <c r="S6" s="131">
        <f>J6+M6+P6</f>
        <v>45531361.611521855</v>
      </c>
      <c r="T6" s="131">
        <f>K6+N6+Q6</f>
        <v>28264093.996309519</v>
      </c>
      <c r="U6" s="132" t="s">
        <v>194</v>
      </c>
      <c r="V6" s="131"/>
      <c r="W6" s="131"/>
      <c r="X6" s="132" t="s">
        <v>194</v>
      </c>
      <c r="Y6" s="131"/>
      <c r="Z6" s="131"/>
      <c r="AA6" s="132" t="s">
        <v>194</v>
      </c>
      <c r="AB6" s="131"/>
      <c r="AC6" s="131"/>
      <c r="AD6" s="132" t="s">
        <v>194</v>
      </c>
      <c r="AE6" s="131"/>
      <c r="AF6" s="131"/>
    </row>
    <row r="7" spans="1:32" s="38" customFormat="1" ht="17.399999999999999">
      <c r="A7" s="2635"/>
      <c r="B7" s="134" t="s">
        <v>1795</v>
      </c>
      <c r="C7" s="59">
        <f>SUM(D7:E7)</f>
        <v>12873690</v>
      </c>
      <c r="D7" s="59">
        <f>D9+D15+D20-D45</f>
        <v>5545417</v>
      </c>
      <c r="E7" s="59">
        <f>E9+E15+E20-E45</f>
        <v>7328273</v>
      </c>
      <c r="F7" s="59">
        <f>SUM(G7:H7)</f>
        <v>14051089.800000001</v>
      </c>
      <c r="G7" s="59">
        <f>G9+G15+G20-G45</f>
        <v>5690817.7333333343</v>
      </c>
      <c r="H7" s="59">
        <f>H9+H15+H20-H45</f>
        <v>8360272.0666666664</v>
      </c>
      <c r="I7" s="2636">
        <f t="shared" ref="I7" si="3">I9+I15+I20-I45+I19</f>
        <v>16218966.651999999</v>
      </c>
      <c r="J7" s="2636">
        <f>J9+J15+J20-J45+J19</f>
        <v>6730029.6519999998</v>
      </c>
      <c r="K7" s="2636">
        <f>K9+K15+K20-K45+K19</f>
        <v>9488937</v>
      </c>
      <c r="L7" s="59">
        <f t="shared" ref="L7:Q7" si="4">L9+L15+L20-L45+L19</f>
        <v>16679835.072389748</v>
      </c>
      <c r="M7" s="59">
        <f t="shared" si="4"/>
        <v>7881617.8146683043</v>
      </c>
      <c r="N7" s="2636">
        <f t="shared" si="4"/>
        <v>8798217.2577214446</v>
      </c>
      <c r="O7" s="59">
        <f t="shared" si="4"/>
        <v>17640338.195441619</v>
      </c>
      <c r="P7" s="59">
        <f t="shared" si="4"/>
        <v>8921797.5008535497</v>
      </c>
      <c r="Q7" s="2636">
        <f t="shared" si="4"/>
        <v>8718540.694588067</v>
      </c>
      <c r="R7" s="2102">
        <f>SUM(R9,S15,S17,R20)</f>
        <v>56071084.963831365</v>
      </c>
      <c r="S7" s="14">
        <f>S9+S15+S17+S20-S46</f>
        <v>43056961.052941307</v>
      </c>
      <c r="T7" s="14">
        <f>R7-S7</f>
        <v>13014123.910890058</v>
      </c>
      <c r="U7" s="135"/>
      <c r="V7" s="14"/>
      <c r="W7" s="14"/>
      <c r="X7" s="135"/>
      <c r="Y7" s="14"/>
      <c r="Z7" s="14"/>
      <c r="AA7" s="135"/>
      <c r="AB7" s="14"/>
      <c r="AC7" s="14"/>
      <c r="AD7" s="135"/>
      <c r="AE7" s="14"/>
      <c r="AF7" s="14"/>
    </row>
    <row r="8" spans="1:32" s="38" customFormat="1" ht="17.399999999999999">
      <c r="A8" s="2635"/>
      <c r="B8" s="134" t="s">
        <v>1796</v>
      </c>
      <c r="C8" s="59">
        <f>+D8+E8</f>
        <v>10323690</v>
      </c>
      <c r="D8" s="3519">
        <f>D7-D10-D11-D12</f>
        <v>3795417</v>
      </c>
      <c r="E8" s="59">
        <f>E7-E10-E11</f>
        <v>6528273</v>
      </c>
      <c r="F8" s="59">
        <f>+G8+H8</f>
        <v>11021089.800000001</v>
      </c>
      <c r="G8" s="59">
        <f>G7-G10-G11-G12</f>
        <v>3640817.7333333343</v>
      </c>
      <c r="H8" s="59">
        <f>H7-H10-H11</f>
        <v>7380272.0666666664</v>
      </c>
      <c r="I8" s="59">
        <f>+J8+K8</f>
        <v>12461966.651999999</v>
      </c>
      <c r="J8" s="59">
        <f>J7-J10-J11-J12</f>
        <v>4116029.6519999998</v>
      </c>
      <c r="K8" s="2636">
        <f>K7-K10-K11</f>
        <v>8345937</v>
      </c>
      <c r="L8" s="187">
        <f>+M8+N8</f>
        <v>13157835.072389748</v>
      </c>
      <c r="M8" s="59">
        <f>M7-M10-M11-M12</f>
        <v>5134518.068905592</v>
      </c>
      <c r="N8" s="59">
        <f>N7-N10-N11</f>
        <v>8023317.003484156</v>
      </c>
      <c r="O8" s="59">
        <f>+P8+Q8</f>
        <v>13880338.195441617</v>
      </c>
      <c r="P8" s="59">
        <f>P7-P10-P11-P12</f>
        <v>5975397.7678027023</v>
      </c>
      <c r="Q8" s="2086">
        <f>Q7-Q10-Q11</f>
        <v>7904940.4276389144</v>
      </c>
      <c r="R8" s="2102">
        <f>+S8+T8</f>
        <v>45069084.963831365</v>
      </c>
      <c r="S8" s="14">
        <f>S7-S10-S11</f>
        <v>34786461.574127749</v>
      </c>
      <c r="T8" s="14">
        <f>T7-T10-T11</f>
        <v>10282623.389703616</v>
      </c>
      <c r="U8" s="135"/>
      <c r="V8" s="14"/>
      <c r="W8" s="14"/>
      <c r="X8" s="135"/>
      <c r="Y8" s="14"/>
      <c r="Z8" s="14"/>
      <c r="AA8" s="135"/>
      <c r="AB8" s="14"/>
      <c r="AC8" s="14"/>
      <c r="AD8" s="135"/>
      <c r="AE8" s="14"/>
      <c r="AF8" s="14"/>
    </row>
    <row r="9" spans="1:32" s="38" customFormat="1" ht="17.399999999999999">
      <c r="A9" s="2635">
        <v>1</v>
      </c>
      <c r="B9" s="134" t="s">
        <v>56</v>
      </c>
      <c r="C9" s="59">
        <f>SUM(D9:E9)</f>
        <v>6704000</v>
      </c>
      <c r="D9" s="59">
        <f>'Phụ lục số 1'!F8</f>
        <v>3806650</v>
      </c>
      <c r="E9" s="59">
        <f>'Phụ lục số 1'!G8</f>
        <v>2897350</v>
      </c>
      <c r="F9" s="59">
        <f>SUM(G9:H9)</f>
        <v>7450399.7999999998</v>
      </c>
      <c r="G9" s="59">
        <f>'Phụ lục số 1'!X8</f>
        <v>3862350.7333333334</v>
      </c>
      <c r="H9" s="59">
        <f>'Phụ lục số 1'!Y8</f>
        <v>3588049.0666666664</v>
      </c>
      <c r="I9" s="59">
        <f t="shared" ref="I9:I17" si="5">SUM(J9:K9)</f>
        <v>8484930</v>
      </c>
      <c r="J9" s="59">
        <f>'Phụ lục số 1'!AI8</f>
        <v>4545850</v>
      </c>
      <c r="K9" s="2636">
        <f>'Phụ lục số 1'!AJ8</f>
        <v>3939080</v>
      </c>
      <c r="L9" s="187">
        <f t="shared" ref="L9:L21" si="6">SUM(M9:N9)</f>
        <v>9114399.2203897499</v>
      </c>
      <c r="M9" s="59">
        <f>'Phụ lục số 1'!AO8</f>
        <v>5618298.9626683053</v>
      </c>
      <c r="N9" s="59">
        <f>'Phụ lục số 1'!AP8</f>
        <v>3496100.2577214451</v>
      </c>
      <c r="O9" s="59">
        <f t="shared" ref="O9:O21" si="7">SUM(P9:Q9)</f>
        <v>9911000.2332467418</v>
      </c>
      <c r="P9" s="59">
        <f>'Phụ lục số 1'!AU8</f>
        <v>6172099.8404007535</v>
      </c>
      <c r="Q9" s="2086">
        <f>'Phụ lục số 1'!AV8</f>
        <v>3738900.3928459887</v>
      </c>
      <c r="R9" s="2102">
        <f t="shared" ref="R9:T23" si="8">I9+L9+O9</f>
        <v>27510329.45363649</v>
      </c>
      <c r="S9" s="14">
        <f t="shared" si="8"/>
        <v>16336248.803069059</v>
      </c>
      <c r="T9" s="14">
        <f t="shared" si="8"/>
        <v>11174080.650567433</v>
      </c>
      <c r="U9" s="14">
        <f>SUM(V9:W9)</f>
        <v>746399.79999999981</v>
      </c>
      <c r="V9" s="14">
        <f>G9-$D$9</f>
        <v>55700.733333333395</v>
      </c>
      <c r="W9" s="14">
        <f>H9-$E$9</f>
        <v>690699.06666666642</v>
      </c>
      <c r="X9" s="14">
        <f>SUM(Y9:Z9)</f>
        <v>1780930</v>
      </c>
      <c r="Y9" s="14">
        <f>J9-$D$9</f>
        <v>739200</v>
      </c>
      <c r="Z9" s="14">
        <f>K9-$E$9</f>
        <v>1041730</v>
      </c>
      <c r="AA9" s="14">
        <f>SUM(AB9:AC9)</f>
        <v>2410399.2203897503</v>
      </c>
      <c r="AB9" s="14">
        <f>M9-$D$9</f>
        <v>1811648.9626683053</v>
      </c>
      <c r="AC9" s="14">
        <f>N9-$E$9</f>
        <v>598750.25772144506</v>
      </c>
      <c r="AD9" s="14">
        <f>SUM(AE9:AF9)</f>
        <v>3207000.2332467423</v>
      </c>
      <c r="AE9" s="14">
        <f>P9-$D$9</f>
        <v>2365449.8404007535</v>
      </c>
      <c r="AF9" s="14">
        <f>Q9-$E$9</f>
        <v>841550.39284598874</v>
      </c>
    </row>
    <row r="10" spans="1:32" s="38" customFormat="1">
      <c r="A10" s="2548"/>
      <c r="B10" s="137" t="s">
        <v>377</v>
      </c>
      <c r="C10" s="30">
        <f t="shared" ref="C10:C21" si="9">SUM(D10:E10)</f>
        <v>900000</v>
      </c>
      <c r="D10" s="30">
        <f>'Phụ lục số 1'!F40</f>
        <v>100000</v>
      </c>
      <c r="E10" s="30">
        <f>'Phụ lục số 1'!G40</f>
        <v>800000</v>
      </c>
      <c r="F10" s="30">
        <f t="shared" ref="F10:F21" si="10">SUM(G10:H10)</f>
        <v>1080000</v>
      </c>
      <c r="G10" s="30">
        <f>'Phụ lục số 1'!X40</f>
        <v>100000</v>
      </c>
      <c r="H10" s="30">
        <f>'Phụ lục số 1'!Y40</f>
        <v>980000</v>
      </c>
      <c r="I10" s="30">
        <f t="shared" si="5"/>
        <v>1770000</v>
      </c>
      <c r="J10" s="30">
        <f>'Phụ lục số 1'!AI40</f>
        <v>627000</v>
      </c>
      <c r="K10" s="2637">
        <f>'Phụ lục số 1'!AJ40</f>
        <v>1143000</v>
      </c>
      <c r="L10" s="80">
        <f t="shared" si="6"/>
        <v>1200000</v>
      </c>
      <c r="M10" s="30">
        <f>'Phụ lục số 1'!AO40</f>
        <v>425099.74576271186</v>
      </c>
      <c r="N10" s="30">
        <f>'Phụ lục số 1'!AP40</f>
        <v>774900.25423728814</v>
      </c>
      <c r="O10" s="30">
        <f t="shared" si="7"/>
        <v>1260000</v>
      </c>
      <c r="P10" s="30">
        <f>'Phụ lục số 1'!AU40</f>
        <v>446399.73305084754</v>
      </c>
      <c r="Q10" s="2085">
        <f>'Phụ lục số 1'!AV40</f>
        <v>813600.26694915246</v>
      </c>
      <c r="R10" s="2103">
        <f t="shared" si="8"/>
        <v>4230000</v>
      </c>
      <c r="S10" s="13">
        <f t="shared" si="8"/>
        <v>1498499.4788135593</v>
      </c>
      <c r="T10" s="13">
        <f t="shared" si="8"/>
        <v>2731500.5211864407</v>
      </c>
      <c r="U10" s="135" t="s">
        <v>198</v>
      </c>
      <c r="V10" s="14"/>
      <c r="W10" s="14"/>
      <c r="X10" s="135" t="s">
        <v>198</v>
      </c>
      <c r="Y10" s="14"/>
      <c r="Z10" s="14"/>
      <c r="AA10" s="135" t="s">
        <v>198</v>
      </c>
      <c r="AB10" s="14"/>
      <c r="AC10" s="14"/>
      <c r="AD10" s="135" t="s">
        <v>198</v>
      </c>
      <c r="AE10" s="14"/>
      <c r="AF10" s="14"/>
    </row>
    <row r="11" spans="1:32" s="38" customFormat="1">
      <c r="A11" s="2548"/>
      <c r="B11" s="137" t="s">
        <v>1791</v>
      </c>
      <c r="C11" s="30">
        <f t="shared" si="9"/>
        <v>1600000</v>
      </c>
      <c r="D11" s="30">
        <f>'Phụ lục số 1'!F48</f>
        <v>1600000</v>
      </c>
      <c r="E11" s="30">
        <f>'Phụ lục số 1'!G48</f>
        <v>0</v>
      </c>
      <c r="F11" s="30">
        <f>SUM(G11:H11)</f>
        <v>1950000</v>
      </c>
      <c r="G11" s="30">
        <f>'Phụ lục số 1'!X48</f>
        <v>1950000</v>
      </c>
      <c r="H11" s="30">
        <f>'Phụ lục số 1'!Y48</f>
        <v>0</v>
      </c>
      <c r="I11" s="30">
        <f t="shared" si="5"/>
        <v>1950000</v>
      </c>
      <c r="J11" s="30">
        <f>'Phụ lục số 1'!AI48</f>
        <v>1950000</v>
      </c>
      <c r="K11" s="2637"/>
      <c r="L11" s="80">
        <f t="shared" ref="L11:L19" si="11">SUM(M11:N11)</f>
        <v>2322000</v>
      </c>
      <c r="M11" s="30">
        <f>'Phụ lục số 1'!AO48</f>
        <v>2322000</v>
      </c>
      <c r="N11" s="30">
        <f>'Phụ lục số 1'!AP48</f>
        <v>0</v>
      </c>
      <c r="O11" s="30">
        <f>SUM(P11:Q11)</f>
        <v>2500000</v>
      </c>
      <c r="P11" s="30">
        <f>'Phụ lục số 1'!AU48</f>
        <v>2500000</v>
      </c>
      <c r="Q11" s="2085">
        <f>'Phụ lục số 1'!AV48</f>
        <v>0</v>
      </c>
      <c r="R11" s="2103">
        <f t="shared" si="8"/>
        <v>6772000</v>
      </c>
      <c r="S11" s="13">
        <f t="shared" si="8"/>
        <v>6772000</v>
      </c>
      <c r="T11" s="13">
        <f t="shared" si="8"/>
        <v>0</v>
      </c>
      <c r="U11" s="14">
        <f>SUM(V11:W11)</f>
        <v>480000</v>
      </c>
      <c r="V11" s="14">
        <f>(G10+G11+G12)-($D$10+$D$11+$D$12)</f>
        <v>300000</v>
      </c>
      <c r="W11" s="14">
        <f>(H10+H11+H12)-($E$10+$E$11+$E$12)</f>
        <v>180000</v>
      </c>
      <c r="X11" s="14">
        <f>SUM(Y11:Z11)</f>
        <v>1207000</v>
      </c>
      <c r="Y11" s="14">
        <f>(J10+J11+J12)-($D$10+$D$11+$D$12)</f>
        <v>864000</v>
      </c>
      <c r="Z11" s="14">
        <f>(K10+K11+K12)-($E$10+$E$11+$E$12)</f>
        <v>343000</v>
      </c>
      <c r="AA11" s="14">
        <f>SUM(AB11:AC11)</f>
        <v>972000</v>
      </c>
      <c r="AB11" s="14">
        <f>(M10+M11+M12)-($D$10+$D$11+$D$12)</f>
        <v>997099.74576271186</v>
      </c>
      <c r="AC11" s="14">
        <f>(N10+N11+N12)-($E$10+$E$11+$E$12)</f>
        <v>-25099.745762711857</v>
      </c>
      <c r="AD11" s="14">
        <f>SUM(AE11:AF11)</f>
        <v>1210000</v>
      </c>
      <c r="AE11" s="14">
        <f>(P10+P11+P12)-($D$10+$D$11+$D$12)</f>
        <v>1196399.7330508474</v>
      </c>
      <c r="AF11" s="14">
        <f>(Q10+Q11+Q12)-($E$10+$E$11+$E$12)</f>
        <v>13600.266949152458</v>
      </c>
    </row>
    <row r="12" spans="1:32" s="38" customFormat="1">
      <c r="A12" s="2548"/>
      <c r="B12" s="137" t="s">
        <v>1793</v>
      </c>
      <c r="C12" s="30">
        <f t="shared" si="9"/>
        <v>50000</v>
      </c>
      <c r="D12" s="3504">
        <f>'Phụ lục số 1'!F45-'Phụ lục số 1'!F45+50000</f>
        <v>50000</v>
      </c>
      <c r="E12" s="30">
        <f>'Phụ lục số 1'!G46</f>
        <v>0</v>
      </c>
      <c r="F12" s="30">
        <f>SUM(G12:H12)</f>
        <v>0</v>
      </c>
      <c r="G12" s="30"/>
      <c r="H12" s="30">
        <f>'Phụ lục số 1'!Y46</f>
        <v>0</v>
      </c>
      <c r="I12" s="30">
        <f t="shared" si="5"/>
        <v>37000</v>
      </c>
      <c r="J12" s="53">
        <f>'Phụ lục số 1'!AE45</f>
        <v>37000</v>
      </c>
      <c r="K12" s="2637">
        <f>'Phụ lục số 1'!AJ42</f>
        <v>0</v>
      </c>
      <c r="L12" s="80">
        <f t="shared" si="11"/>
        <v>0</v>
      </c>
      <c r="M12" s="30">
        <f>'Phụ lục số 1'!AO46</f>
        <v>0</v>
      </c>
      <c r="N12" s="30">
        <f>'Phụ lục số 1'!AP46</f>
        <v>0</v>
      </c>
      <c r="O12" s="30">
        <f>SUM(P12:Q12)</f>
        <v>0</v>
      </c>
      <c r="P12" s="30">
        <f>'Phụ lục số 1'!AU46</f>
        <v>0</v>
      </c>
      <c r="Q12" s="2085">
        <f>'Phụ lục số 1'!AV46</f>
        <v>0</v>
      </c>
      <c r="R12" s="2103">
        <f t="shared" si="8"/>
        <v>37000</v>
      </c>
      <c r="S12" s="13">
        <f t="shared" si="8"/>
        <v>37000</v>
      </c>
      <c r="T12" s="13">
        <f t="shared" si="8"/>
        <v>0</v>
      </c>
      <c r="U12" s="14"/>
      <c r="V12" s="14"/>
      <c r="W12" s="14"/>
      <c r="X12" s="14"/>
      <c r="Y12" s="14"/>
      <c r="Z12" s="14"/>
      <c r="AA12" s="14"/>
      <c r="AB12" s="14"/>
      <c r="AC12" s="14"/>
      <c r="AD12" s="14"/>
      <c r="AE12" s="14"/>
      <c r="AF12" s="14"/>
    </row>
    <row r="13" spans="1:32" s="38" customFormat="1">
      <c r="A13" s="2548"/>
      <c r="B13" s="137" t="s">
        <v>1790</v>
      </c>
      <c r="C13" s="30">
        <f>SUM(D13:E13)</f>
        <v>4154000</v>
      </c>
      <c r="D13" s="30">
        <f>D9-D10-D11-D12</f>
        <v>2056650</v>
      </c>
      <c r="E13" s="30">
        <f>E9-E10-E11-E12</f>
        <v>2097350</v>
      </c>
      <c r="F13" s="30">
        <f>SUM(G13:H13)</f>
        <v>4420399.8</v>
      </c>
      <c r="G13" s="30">
        <f>G9-G10-G11-G12</f>
        <v>1812350.7333333334</v>
      </c>
      <c r="H13" s="30">
        <f>H9-H10-H11-H12</f>
        <v>2608049.0666666664</v>
      </c>
      <c r="I13" s="30">
        <f t="shared" si="5"/>
        <v>4727930</v>
      </c>
      <c r="J13" s="30">
        <f>J9-J10-J11-J12</f>
        <v>1931850</v>
      </c>
      <c r="K13" s="2637">
        <f>K9-K10-K11-K12</f>
        <v>2796080</v>
      </c>
      <c r="L13" s="80">
        <f t="shared" si="11"/>
        <v>5592399.2203897508</v>
      </c>
      <c r="M13" s="30">
        <f>M9-M10-M11-M12</f>
        <v>2871199.2169055939</v>
      </c>
      <c r="N13" s="30">
        <f>N9-N10-N11-N12</f>
        <v>2721200.0034841569</v>
      </c>
      <c r="O13" s="30">
        <f>SUM(P13:Q13)</f>
        <v>6151000.2332467418</v>
      </c>
      <c r="P13" s="30">
        <f>P9-P10-P11-P12</f>
        <v>3225700.1073499061</v>
      </c>
      <c r="Q13" s="2085">
        <f>Q9-Q10-Q11-Q12</f>
        <v>2925300.1258968362</v>
      </c>
      <c r="R13" s="2103">
        <f t="shared" si="8"/>
        <v>16471329.453636492</v>
      </c>
      <c r="S13" s="13">
        <f t="shared" si="8"/>
        <v>8028749.3242555</v>
      </c>
      <c r="T13" s="13">
        <f t="shared" si="8"/>
        <v>8442580.1293809935</v>
      </c>
      <c r="U13" s="14"/>
      <c r="V13" s="14"/>
      <c r="W13" s="14"/>
      <c r="X13" s="14"/>
      <c r="Y13" s="14"/>
      <c r="Z13" s="14"/>
      <c r="AA13" s="14"/>
      <c r="AB13" s="14"/>
      <c r="AC13" s="14"/>
      <c r="AD13" s="14"/>
      <c r="AE13" s="14"/>
      <c r="AF13" s="14"/>
    </row>
    <row r="14" spans="1:32" s="38" customFormat="1" ht="17.399999999999999">
      <c r="A14" s="2635">
        <v>2</v>
      </c>
      <c r="B14" s="134" t="s">
        <v>57</v>
      </c>
      <c r="C14" s="59">
        <f>SUM(C15:C16)</f>
        <v>13833216</v>
      </c>
      <c r="D14" s="59">
        <f t="shared" ref="D14:E14" si="12">SUM(D15:D16)</f>
        <v>9084495</v>
      </c>
      <c r="E14" s="59">
        <f t="shared" si="12"/>
        <v>4748721</v>
      </c>
      <c r="F14" s="59">
        <f t="shared" si="10"/>
        <v>13833216</v>
      </c>
      <c r="G14" s="59">
        <f>G15+G16</f>
        <v>9084495</v>
      </c>
      <c r="H14" s="59">
        <f>H15+H16</f>
        <v>4748721</v>
      </c>
      <c r="I14" s="59">
        <f t="shared" si="5"/>
        <v>14339802.348000001</v>
      </c>
      <c r="J14" s="59">
        <f>J15+J16</f>
        <v>9256479</v>
      </c>
      <c r="K14" s="2636">
        <f>K15+K16</f>
        <v>5083323.3480000002</v>
      </c>
      <c r="L14" s="187">
        <f t="shared" si="11"/>
        <v>14730311.648000002</v>
      </c>
      <c r="M14" s="59">
        <f>M15+M16</f>
        <v>9646988.3000000007</v>
      </c>
      <c r="N14" s="59">
        <f>N15+N16</f>
        <v>5083323.3480000002</v>
      </c>
      <c r="O14" s="59">
        <f>SUM(P14:Q14)</f>
        <v>14730311.648000002</v>
      </c>
      <c r="P14" s="59">
        <f>P15+P16</f>
        <v>9646988.3000000007</v>
      </c>
      <c r="Q14" s="2086">
        <f>Q15+Q16</f>
        <v>5083323.3480000002</v>
      </c>
      <c r="R14" s="2102">
        <f t="shared" si="8"/>
        <v>43800425.644000009</v>
      </c>
      <c r="S14" s="14">
        <f t="shared" si="8"/>
        <v>28550455.600000001</v>
      </c>
      <c r="T14" s="14">
        <f t="shared" si="8"/>
        <v>15249970.044</v>
      </c>
      <c r="U14" s="135" t="s">
        <v>201</v>
      </c>
      <c r="V14" s="14"/>
      <c r="W14" s="14"/>
      <c r="X14" s="135" t="s">
        <v>201</v>
      </c>
      <c r="Y14" s="14"/>
      <c r="Z14" s="14"/>
      <c r="AA14" s="135" t="s">
        <v>201</v>
      </c>
      <c r="AB14" s="14"/>
      <c r="AC14" s="14"/>
      <c r="AD14" s="135" t="s">
        <v>201</v>
      </c>
      <c r="AE14" s="14"/>
      <c r="AF14" s="14"/>
    </row>
    <row r="15" spans="1:32" s="38" customFormat="1">
      <c r="A15" s="2548" t="s">
        <v>236</v>
      </c>
      <c r="B15" s="137" t="s">
        <v>238</v>
      </c>
      <c r="C15" s="30">
        <f t="shared" si="9"/>
        <v>10918411</v>
      </c>
      <c r="D15" s="30">
        <f>'Phụ lục số 1'!F53</f>
        <v>6487488</v>
      </c>
      <c r="E15" s="30">
        <f>'[1]Phụ lục số 3-thu bs'!$K$14</f>
        <v>4430923</v>
      </c>
      <c r="F15" s="30">
        <f t="shared" si="10"/>
        <v>10918411</v>
      </c>
      <c r="G15" s="30">
        <f>$D$15</f>
        <v>6487488</v>
      </c>
      <c r="H15" s="30">
        <f>E15</f>
        <v>4430923</v>
      </c>
      <c r="I15" s="30">
        <f t="shared" si="5"/>
        <v>11048111</v>
      </c>
      <c r="J15" s="30">
        <f>'Phụ lục số 1'!AI53</f>
        <v>6617188</v>
      </c>
      <c r="K15" s="2637">
        <f>'Phụ lục số 5'!E37</f>
        <v>4430923</v>
      </c>
      <c r="L15" s="80">
        <f t="shared" si="11"/>
        <v>11048111</v>
      </c>
      <c r="M15" s="30">
        <f>$J$15</f>
        <v>6617188</v>
      </c>
      <c r="N15" s="30">
        <f>K15</f>
        <v>4430923</v>
      </c>
      <c r="O15" s="30">
        <f t="shared" si="7"/>
        <v>11048111</v>
      </c>
      <c r="P15" s="30">
        <f>$J$15</f>
        <v>6617188</v>
      </c>
      <c r="Q15" s="2085">
        <f>N15</f>
        <v>4430923</v>
      </c>
      <c r="R15" s="2103">
        <f t="shared" si="8"/>
        <v>33144333</v>
      </c>
      <c r="S15" s="13">
        <f t="shared" si="8"/>
        <v>19851564</v>
      </c>
      <c r="T15" s="13">
        <f t="shared" si="8"/>
        <v>13292769</v>
      </c>
      <c r="U15" s="14">
        <f>SUM(V15:W15)</f>
        <v>266399.79999999981</v>
      </c>
      <c r="V15" s="14">
        <f>V9-V11</f>
        <v>-244299.2666666666</v>
      </c>
      <c r="W15" s="14">
        <f>W9-W11</f>
        <v>510699.06666666642</v>
      </c>
      <c r="X15" s="14">
        <f>SUM(Y15:Z15)</f>
        <v>573930</v>
      </c>
      <c r="Y15" s="14">
        <f>Y9-Y11</f>
        <v>-124800</v>
      </c>
      <c r="Z15" s="14">
        <f>Z9-Z11</f>
        <v>698730</v>
      </c>
      <c r="AA15" s="14">
        <f>SUM(AB15:AC15)</f>
        <v>1438399.2203897503</v>
      </c>
      <c r="AB15" s="14">
        <f>AB9-AB11</f>
        <v>814549.21690559341</v>
      </c>
      <c r="AC15" s="14">
        <f>AC9-AC11</f>
        <v>623850.00348415691</v>
      </c>
      <c r="AD15" s="14">
        <f>SUM(AE15:AF15)</f>
        <v>1997000.2332467423</v>
      </c>
      <c r="AE15" s="14">
        <f>AE9-AE11</f>
        <v>1169050.1073499061</v>
      </c>
      <c r="AF15" s="14">
        <f>AF9-AF11</f>
        <v>827950.12589683628</v>
      </c>
    </row>
    <row r="16" spans="1:32" s="38" customFormat="1">
      <c r="A16" s="2548" t="s">
        <v>237</v>
      </c>
      <c r="B16" s="137" t="s">
        <v>239</v>
      </c>
      <c r="C16" s="30">
        <f>SUM(D16:E16)</f>
        <v>2914805</v>
      </c>
      <c r="D16" s="30">
        <f>SUM(D17:D19)</f>
        <v>2597007</v>
      </c>
      <c r="E16" s="30">
        <f>'[1]Phụ lục số 3-thu bs'!$K$15</f>
        <v>317798</v>
      </c>
      <c r="F16" s="30">
        <f t="shared" si="10"/>
        <v>2914805</v>
      </c>
      <c r="G16" s="30">
        <f>SUM(G17:G19)</f>
        <v>2597007</v>
      </c>
      <c r="H16" s="30">
        <f t="shared" ref="H16" si="13">SUM(H17:H19)</f>
        <v>317798</v>
      </c>
      <c r="I16" s="30">
        <f t="shared" si="5"/>
        <v>3291691.3480000002</v>
      </c>
      <c r="J16" s="30">
        <f>SUM(J17:J19)</f>
        <v>2639291</v>
      </c>
      <c r="K16" s="2637">
        <f>SUM(K17:K19)</f>
        <v>652400.348</v>
      </c>
      <c r="L16" s="80">
        <f t="shared" si="11"/>
        <v>3682200.648</v>
      </c>
      <c r="M16" s="30">
        <f>SUM(M17:M19)</f>
        <v>3029800.3</v>
      </c>
      <c r="N16" s="30">
        <f>SUM(N17:N19)</f>
        <v>652400.348</v>
      </c>
      <c r="O16" s="30">
        <f>SUM(P16:Q16)</f>
        <v>3682200.648</v>
      </c>
      <c r="P16" s="30">
        <f>SUM(P17:P19)</f>
        <v>3029800.3</v>
      </c>
      <c r="Q16" s="2085">
        <f>SUM(Q17:Q19)</f>
        <v>652400.348</v>
      </c>
      <c r="R16" s="2103">
        <f t="shared" si="8"/>
        <v>10656092.644000001</v>
      </c>
      <c r="S16" s="13">
        <f t="shared" si="8"/>
        <v>8698891.5999999996</v>
      </c>
      <c r="T16" s="13">
        <f t="shared" si="8"/>
        <v>1957201.044</v>
      </c>
      <c r="U16" s="135"/>
      <c r="V16" s="14"/>
      <c r="W16" s="14"/>
      <c r="X16" s="135"/>
      <c r="Y16" s="14"/>
      <c r="Z16" s="14"/>
      <c r="AA16" s="135"/>
      <c r="AB16" s="14"/>
      <c r="AC16" s="14"/>
      <c r="AD16" s="135"/>
      <c r="AE16" s="14"/>
      <c r="AF16" s="14"/>
    </row>
    <row r="17" spans="1:32" s="38" customFormat="1">
      <c r="A17" s="65" t="s">
        <v>34</v>
      </c>
      <c r="B17" s="11" t="str">
        <f>'Phụ lục số 3'!B17</f>
        <v>Bổ sung thực hiện mục tiêu, nhiệm vụ quan trọng (vốn đầu tư phát triển)</v>
      </c>
      <c r="C17" s="30">
        <f>SUM(D17:E17)</f>
        <v>2417971</v>
      </c>
      <c r="D17" s="30">
        <f>'Phụ lục số 1'!F56</f>
        <v>2417971</v>
      </c>
      <c r="E17" s="30"/>
      <c r="F17" s="30">
        <f t="shared" si="10"/>
        <v>2417971</v>
      </c>
      <c r="G17" s="30">
        <f>'Phụ lục số 1'!X56</f>
        <v>2417971</v>
      </c>
      <c r="H17" s="30"/>
      <c r="I17" s="30">
        <f t="shared" si="5"/>
        <v>1814491</v>
      </c>
      <c r="J17" s="30">
        <f>'Phụ lục số 1'!AI56</f>
        <v>1814491</v>
      </c>
      <c r="K17" s="2637"/>
      <c r="L17" s="80">
        <f t="shared" si="11"/>
        <v>2205000</v>
      </c>
      <c r="M17" s="30">
        <f>'Phụ lục số 1'!AO56</f>
        <v>2205000</v>
      </c>
      <c r="N17" s="30">
        <f>K17</f>
        <v>0</v>
      </c>
      <c r="O17" s="30">
        <f t="shared" si="7"/>
        <v>2205000</v>
      </c>
      <c r="P17" s="30">
        <f>'Phụ lục số 1'!AU56</f>
        <v>2205000</v>
      </c>
      <c r="Q17" s="2085">
        <f>N17</f>
        <v>0</v>
      </c>
      <c r="R17" s="2103">
        <f>I17+L17+O17</f>
        <v>6224491</v>
      </c>
      <c r="S17" s="13">
        <f t="shared" si="8"/>
        <v>6224491</v>
      </c>
      <c r="T17" s="13">
        <f>K17+N17+Q17</f>
        <v>0</v>
      </c>
      <c r="U17" s="135"/>
      <c r="V17" s="14"/>
      <c r="W17" s="14"/>
      <c r="X17" s="135"/>
      <c r="Y17" s="14"/>
      <c r="Z17" s="14"/>
      <c r="AA17" s="135"/>
      <c r="AB17" s="14"/>
      <c r="AC17" s="14"/>
      <c r="AD17" s="135"/>
      <c r="AE17" s="14"/>
      <c r="AF17" s="14"/>
    </row>
    <row r="18" spans="1:32" s="38" customFormat="1">
      <c r="A18" s="65" t="s">
        <v>35</v>
      </c>
      <c r="B18" s="11" t="str">
        <f>'Phụ lục số 3'!B18</f>
        <v>Bổ sung thực hiện mục tiêu, nhiệm vụ quan trọng (kinh phí sự nghiệp)</v>
      </c>
      <c r="C18" s="30">
        <f t="shared" ref="C18:C20" si="14">SUM(D18:E18)</f>
        <v>179036</v>
      </c>
      <c r="D18" s="30">
        <f>'Phụ lục số 1'!F57</f>
        <v>179036</v>
      </c>
      <c r="E18" s="30"/>
      <c r="F18" s="30">
        <f t="shared" si="10"/>
        <v>496834</v>
      </c>
      <c r="G18" s="30">
        <f>'Phụ lục số 1'!X57</f>
        <v>179036</v>
      </c>
      <c r="H18" s="30">
        <f>E16</f>
        <v>317798</v>
      </c>
      <c r="I18" s="30">
        <f t="shared" ref="I18:I19" si="15">SUM(J18:K18)</f>
        <v>593951.348</v>
      </c>
      <c r="J18" s="30">
        <f>'Phụ lục số 1'!AI57</f>
        <v>174485</v>
      </c>
      <c r="K18" s="2637">
        <f>'Phụ lục số 5'!E38-K19</f>
        <v>419466.348</v>
      </c>
      <c r="L18" s="80">
        <f t="shared" si="11"/>
        <v>593951.64800000004</v>
      </c>
      <c r="M18" s="30">
        <f>'Phụ lục số 1'!AO57</f>
        <v>174485.3</v>
      </c>
      <c r="N18" s="30">
        <f>K18</f>
        <v>419466.348</v>
      </c>
      <c r="O18" s="30">
        <f t="shared" si="7"/>
        <v>593951.64800000004</v>
      </c>
      <c r="P18" s="30">
        <f>'Phụ lục số 1'!AU57</f>
        <v>174485.3</v>
      </c>
      <c r="Q18" s="2085">
        <f>N18</f>
        <v>419466.348</v>
      </c>
      <c r="R18" s="2103">
        <f t="shared" ref="R18:R21" si="16">I18+L18+O18</f>
        <v>1781854.6440000001</v>
      </c>
      <c r="S18" s="13">
        <f t="shared" si="8"/>
        <v>523455.6</v>
      </c>
      <c r="T18" s="13">
        <f t="shared" si="8"/>
        <v>1258399.044</v>
      </c>
      <c r="U18" s="135"/>
      <c r="V18" s="14"/>
      <c r="W18" s="14"/>
      <c r="X18" s="135"/>
      <c r="Y18" s="14"/>
      <c r="Z18" s="14"/>
      <c r="AA18" s="135"/>
      <c r="AB18" s="14"/>
      <c r="AC18" s="14"/>
      <c r="AD18" s="135"/>
      <c r="AE18" s="14"/>
      <c r="AF18" s="14"/>
    </row>
    <row r="19" spans="1:32" s="38" customFormat="1">
      <c r="A19" s="65" t="s">
        <v>36</v>
      </c>
      <c r="B19" s="11" t="str">
        <f>'Phụ lục số 3'!B19</f>
        <v>Bổ sung nguồn thực hiện CCTL (nếu có); đảm bảo nhiệm vụ chi</v>
      </c>
      <c r="C19" s="30">
        <f t="shared" si="14"/>
        <v>0</v>
      </c>
      <c r="D19" s="30">
        <f>'Phụ lục số 1'!F58</f>
        <v>0</v>
      </c>
      <c r="E19" s="30"/>
      <c r="F19" s="30">
        <f t="shared" si="10"/>
        <v>0</v>
      </c>
      <c r="G19" s="30"/>
      <c r="H19" s="30"/>
      <c r="I19" s="30">
        <f t="shared" si="15"/>
        <v>883249</v>
      </c>
      <c r="J19" s="30">
        <f>'Phụ lục số 1'!AI58</f>
        <v>650315</v>
      </c>
      <c r="K19" s="2637">
        <f>'Phụ lục số 5'!E41</f>
        <v>232934</v>
      </c>
      <c r="L19" s="2103">
        <f t="shared" si="11"/>
        <v>883249</v>
      </c>
      <c r="M19" s="30">
        <f>'Phụ lục số 1'!AO58</f>
        <v>650315</v>
      </c>
      <c r="N19" s="13">
        <f>K19</f>
        <v>232934</v>
      </c>
      <c r="O19" s="30">
        <f t="shared" si="7"/>
        <v>883249</v>
      </c>
      <c r="P19" s="13">
        <f>'Phụ lục số 1'!AQ58</f>
        <v>650315</v>
      </c>
      <c r="Q19" s="2119">
        <f>N19</f>
        <v>232934</v>
      </c>
      <c r="R19" s="2103">
        <f t="shared" si="16"/>
        <v>2649747</v>
      </c>
      <c r="S19" s="13">
        <f t="shared" si="8"/>
        <v>1950945</v>
      </c>
      <c r="T19" s="13">
        <f t="shared" si="8"/>
        <v>698802</v>
      </c>
      <c r="U19" s="135"/>
      <c r="V19" s="14"/>
      <c r="W19" s="14"/>
      <c r="X19" s="135"/>
      <c r="Y19" s="14"/>
      <c r="Z19" s="14"/>
      <c r="AA19" s="135"/>
      <c r="AB19" s="14"/>
      <c r="AC19" s="14"/>
      <c r="AD19" s="135"/>
      <c r="AE19" s="14"/>
      <c r="AF19" s="14"/>
    </row>
    <row r="20" spans="1:32" s="38" customFormat="1">
      <c r="A20" s="2635">
        <v>3</v>
      </c>
      <c r="B20" s="134" t="s">
        <v>240</v>
      </c>
      <c r="C20" s="30">
        <f t="shared" si="14"/>
        <v>0</v>
      </c>
      <c r="D20" s="59">
        <f>'Phụ lục số 1'!F59</f>
        <v>0</v>
      </c>
      <c r="E20" s="59">
        <f>'[24]Phụ lục số 1'!G58</f>
        <v>0</v>
      </c>
      <c r="F20" s="59">
        <f t="shared" si="10"/>
        <v>431000</v>
      </c>
      <c r="G20" s="59">
        <f>'Phụ lục số 1'!X59</f>
        <v>89700</v>
      </c>
      <c r="H20" s="59">
        <f>'Phụ lục số 1'!Y59</f>
        <v>341300</v>
      </c>
      <c r="I20" s="59">
        <f>SUM(J20:K20)</f>
        <v>886000</v>
      </c>
      <c r="J20" s="2801">
        <f>'Phụ lục số 1'!AI59</f>
        <v>0</v>
      </c>
      <c r="K20" s="2636">
        <f>'Phụ lục số 1'!AJ59</f>
        <v>886000</v>
      </c>
      <c r="L20" s="2102">
        <f t="shared" si="6"/>
        <v>717399.2</v>
      </c>
      <c r="M20" s="14">
        <f>'Phụ lục số 1'!AO59</f>
        <v>79139.200000000012</v>
      </c>
      <c r="N20" s="14">
        <f>'Phụ lục số 1'!AP59</f>
        <v>638260</v>
      </c>
      <c r="O20" s="14">
        <f t="shared" si="7"/>
        <v>881301.31019487511</v>
      </c>
      <c r="P20" s="14">
        <f>'Phụ lục số 1'!AU59</f>
        <v>565518.00845279661</v>
      </c>
      <c r="Q20" s="2120">
        <f>'Phụ lục số 1'!AV59</f>
        <v>315783.30174207845</v>
      </c>
      <c r="R20" s="2103">
        <f t="shared" si="16"/>
        <v>2484700.5101948753</v>
      </c>
      <c r="S20" s="13">
        <f t="shared" si="8"/>
        <v>644657.20845279656</v>
      </c>
      <c r="T20" s="13">
        <f t="shared" si="8"/>
        <v>1840043.3017420785</v>
      </c>
      <c r="U20" s="135" t="s">
        <v>202</v>
      </c>
      <c r="V20" s="14"/>
      <c r="W20" s="14"/>
      <c r="X20" s="135" t="s">
        <v>202</v>
      </c>
      <c r="Y20" s="14"/>
      <c r="Z20" s="14"/>
      <c r="AA20" s="135" t="s">
        <v>202</v>
      </c>
      <c r="AB20" s="14"/>
      <c r="AC20" s="14"/>
      <c r="AD20" s="135" t="s">
        <v>202</v>
      </c>
      <c r="AE20" s="14"/>
      <c r="AF20" s="14"/>
    </row>
    <row r="21" spans="1:32" s="38" customFormat="1">
      <c r="A21" s="2635">
        <v>4</v>
      </c>
      <c r="B21" s="134" t="s">
        <v>132</v>
      </c>
      <c r="C21" s="59">
        <f t="shared" si="9"/>
        <v>31500</v>
      </c>
      <c r="D21" s="59">
        <f>'Phụ lục số 1'!F60</f>
        <v>31500</v>
      </c>
      <c r="E21" s="59">
        <f>'Phụ lục số 1'!G60</f>
        <v>0</v>
      </c>
      <c r="F21" s="59">
        <f t="shared" si="10"/>
        <v>31500</v>
      </c>
      <c r="G21" s="59">
        <f>'Phụ lục số 1'!X60</f>
        <v>31500</v>
      </c>
      <c r="H21" s="59">
        <f>'Phụ lục số 1'!Y60</f>
        <v>0</v>
      </c>
      <c r="I21" s="59">
        <f>SUM(J21:K21)</f>
        <v>0</v>
      </c>
      <c r="J21" s="59">
        <f>'Phụ lục số 1'!AI60</f>
        <v>0</v>
      </c>
      <c r="K21" s="2636">
        <f>'Phụ lục số 1'!AJ60</f>
        <v>0</v>
      </c>
      <c r="L21" s="2102">
        <f t="shared" si="6"/>
        <v>0</v>
      </c>
      <c r="M21" s="14">
        <f>'Phụ lục số 1'!AO60</f>
        <v>0</v>
      </c>
      <c r="N21" s="14">
        <f>'Phụ lục số 1'!AP60</f>
        <v>0</v>
      </c>
      <c r="O21" s="14">
        <f t="shared" si="7"/>
        <v>0</v>
      </c>
      <c r="P21" s="14">
        <f>'Phụ lục số 1'!AU60</f>
        <v>0</v>
      </c>
      <c r="Q21" s="2120">
        <f>'Phụ lục số 1'!AV60</f>
        <v>0</v>
      </c>
      <c r="R21" s="2103">
        <f t="shared" si="16"/>
        <v>0</v>
      </c>
      <c r="S21" s="13">
        <f t="shared" si="8"/>
        <v>0</v>
      </c>
      <c r="T21" s="13">
        <f t="shared" si="8"/>
        <v>0</v>
      </c>
      <c r="U21" s="14">
        <f>V21+W21</f>
        <v>0</v>
      </c>
      <c r="V21" s="14"/>
      <c r="W21" s="14"/>
      <c r="X21" s="14"/>
      <c r="Y21" s="14"/>
      <c r="Z21" s="14"/>
      <c r="AA21" s="14"/>
      <c r="AB21" s="14"/>
      <c r="AC21" s="14"/>
      <c r="AD21" s="14"/>
      <c r="AE21" s="14"/>
      <c r="AF21" s="14"/>
    </row>
    <row r="22" spans="1:32" s="38" customFormat="1" ht="17.399999999999999">
      <c r="A22" s="2635" t="s">
        <v>22</v>
      </c>
      <c r="B22" s="134" t="s">
        <v>1797</v>
      </c>
      <c r="C22" s="59">
        <f t="shared" ref="C22:I22" si="17">SUM(C23,C40)+C44+C45</f>
        <v>20568716</v>
      </c>
      <c r="D22" s="59">
        <f t="shared" si="17"/>
        <v>12922645</v>
      </c>
      <c r="E22" s="59">
        <f t="shared" si="17"/>
        <v>7646071</v>
      </c>
      <c r="F22" s="59">
        <f t="shared" si="17"/>
        <v>22040415.066666666</v>
      </c>
      <c r="G22" s="59">
        <f t="shared" si="17"/>
        <v>13362345</v>
      </c>
      <c r="H22" s="59">
        <f t="shared" si="17"/>
        <v>8678070.0666666664</v>
      </c>
      <c r="I22" s="59">
        <f t="shared" si="17"/>
        <v>23710732.263999999</v>
      </c>
      <c r="J22" s="59">
        <f>SUM(J23,J40)+J44+J45</f>
        <v>13802328.916000001</v>
      </c>
      <c r="K22" s="2636">
        <f t="shared" ref="K22:M22" si="18">SUM(K23,K40)+K44+K45</f>
        <v>9908403.3479999993</v>
      </c>
      <c r="L22" s="2102">
        <f>SUM(L23,L40)+L44+L45</f>
        <v>24562109.958194878</v>
      </c>
      <c r="M22" s="14">
        <f t="shared" si="18"/>
        <v>15344426.402215507</v>
      </c>
      <c r="N22" s="14">
        <f t="shared" ref="N22:Q22" si="19">SUM(N23,N40)+N44+N45</f>
        <v>9217683.5559793673</v>
      </c>
      <c r="O22" s="14">
        <f>SUM(O23,O40)+O44+O45</f>
        <v>25522613.264623374</v>
      </c>
      <c r="P22" s="14">
        <f t="shared" si="19"/>
        <v>16384606.334725801</v>
      </c>
      <c r="Q22" s="2120">
        <f t="shared" si="19"/>
        <v>9138006.929897571</v>
      </c>
      <c r="R22" s="2102">
        <f t="shared" si="8"/>
        <v>73795455.486818254</v>
      </c>
      <c r="S22" s="14">
        <f t="shared" si="8"/>
        <v>45531361.652941309</v>
      </c>
      <c r="T22" s="14">
        <f t="shared" si="8"/>
        <v>28264093.833876938</v>
      </c>
      <c r="U22" s="14">
        <f>SUM(V22:W22)</f>
        <v>186479</v>
      </c>
      <c r="V22" s="14">
        <f>INT(V15*70%)</f>
        <v>-171010</v>
      </c>
      <c r="W22" s="14">
        <f>INT(W15*70%)</f>
        <v>357489</v>
      </c>
      <c r="X22" s="14">
        <f>SUM(Y22:Z22)</f>
        <v>286965</v>
      </c>
      <c r="Y22" s="14">
        <f>INT(Y15/2)</f>
        <v>-62400</v>
      </c>
      <c r="Z22" s="14">
        <f>INT(Z15/2)</f>
        <v>349365</v>
      </c>
      <c r="AA22" s="14">
        <f>SUM(AB22:AC22)</f>
        <v>719199</v>
      </c>
      <c r="AB22" s="14">
        <f>INT(AB15/2)</f>
        <v>407274</v>
      </c>
      <c r="AC22" s="14">
        <f>INT(AC15/2)</f>
        <v>311925</v>
      </c>
      <c r="AD22" s="14">
        <f>SUM(AE22:AF22)</f>
        <v>998500</v>
      </c>
      <c r="AE22" s="14">
        <f>INT(AE15/2)</f>
        <v>584525</v>
      </c>
      <c r="AF22" s="14">
        <f>INT(AF15/2)</f>
        <v>413975</v>
      </c>
    </row>
    <row r="23" spans="1:32" s="38" customFormat="1" ht="17.399999999999999">
      <c r="A23" s="2635" t="s">
        <v>9</v>
      </c>
      <c r="B23" s="134" t="s">
        <v>88</v>
      </c>
      <c r="C23" s="59">
        <f>SUM(C24,C30,C34:C39)</f>
        <v>13191488</v>
      </c>
      <c r="D23" s="59">
        <f>SUM(D24,D30,D34:D39)</f>
        <v>5545417</v>
      </c>
      <c r="E23" s="59">
        <f t="shared" ref="E23" si="20">SUM(E24,E30,E34:E39)</f>
        <v>7646071</v>
      </c>
      <c r="F23" s="59">
        <f>SUM(F24,F30,F34:F39)</f>
        <v>14663187.066666666</v>
      </c>
      <c r="G23" s="59">
        <f>SUM(G24,G30,G34:G39)</f>
        <v>5985117</v>
      </c>
      <c r="H23" s="59">
        <f t="shared" ref="H23" si="21">SUM(H24,H30,H34:H39)</f>
        <v>8678070.0666666664</v>
      </c>
      <c r="I23" s="59">
        <f>SUM(I24,I30,I34:I39)</f>
        <v>16638432.915999997</v>
      </c>
      <c r="J23" s="59">
        <f t="shared" ref="J23:K23" si="22">SUM(J24,J30,J34:J39)</f>
        <v>6730029.568</v>
      </c>
      <c r="K23" s="2636">
        <f t="shared" si="22"/>
        <v>9908403.3479999993</v>
      </c>
      <c r="L23" s="2102">
        <f t="shared" ref="L23" si="23">SUM(L24,L30,L34:L39)</f>
        <v>17099301.310194876</v>
      </c>
      <c r="M23" s="14">
        <f t="shared" ref="M23:N23" si="24">SUM(M24,M30,M34:M39)</f>
        <v>7881617.7542155078</v>
      </c>
      <c r="N23" s="14">
        <f t="shared" si="24"/>
        <v>9217683.5559793673</v>
      </c>
      <c r="O23" s="14">
        <f>SUM(O24,O30,O34:O39)</f>
        <v>18059804.616623372</v>
      </c>
      <c r="P23" s="14">
        <f t="shared" ref="P23:Q23" si="25">SUM(P24,P30,P34:P39)</f>
        <v>8921797.6867258009</v>
      </c>
      <c r="Q23" s="14">
        <f t="shared" si="25"/>
        <v>9138006.929897571</v>
      </c>
      <c r="R23" s="2102">
        <f>I23+L23+O23</f>
        <v>51797538.842818245</v>
      </c>
      <c r="S23" s="14">
        <f t="shared" si="8"/>
        <v>23533445.008941308</v>
      </c>
      <c r="T23" s="14">
        <f t="shared" si="8"/>
        <v>28264093.833876938</v>
      </c>
      <c r="U23" s="14"/>
      <c r="V23" s="14"/>
      <c r="W23" s="14"/>
      <c r="X23" s="14"/>
      <c r="Y23" s="14"/>
      <c r="Z23" s="14"/>
      <c r="AA23" s="14"/>
      <c r="AB23" s="14"/>
      <c r="AC23" s="14"/>
      <c r="AD23" s="14"/>
      <c r="AE23" s="14"/>
      <c r="AF23" s="14"/>
    </row>
    <row r="24" spans="1:32" s="38" customFormat="1" ht="17.399999999999999">
      <c r="A24" s="2635">
        <v>1</v>
      </c>
      <c r="B24" s="134" t="s">
        <v>93</v>
      </c>
      <c r="C24" s="59">
        <f>SUM(C25:C28)</f>
        <v>3561000</v>
      </c>
      <c r="D24" s="59">
        <f t="shared" ref="D24:H24" si="26">SUM(D25:D28)</f>
        <v>2240000</v>
      </c>
      <c r="E24" s="59">
        <f t="shared" si="26"/>
        <v>1321000</v>
      </c>
      <c r="F24" s="59">
        <f t="shared" si="26"/>
        <v>4091000</v>
      </c>
      <c r="G24" s="59">
        <f t="shared" si="26"/>
        <v>2590000</v>
      </c>
      <c r="H24" s="59">
        <f t="shared" si="26"/>
        <v>1501000</v>
      </c>
      <c r="I24" s="59">
        <f>SUM(I25:I29)</f>
        <v>4923186.4089698764</v>
      </c>
      <c r="J24" s="59">
        <f t="shared" ref="J24:K24" si="27">SUM(J25:J29)</f>
        <v>3199186</v>
      </c>
      <c r="K24" s="59">
        <f t="shared" si="27"/>
        <v>1724000.4089698761</v>
      </c>
      <c r="L24" s="59">
        <f>SUM(L25:L29)</f>
        <v>4795000</v>
      </c>
      <c r="M24" s="59">
        <f t="shared" ref="M24" si="28">SUM(M25:M29)</f>
        <v>3439099.7457627119</v>
      </c>
      <c r="N24" s="59">
        <f t="shared" ref="N24" si="29">SUM(N25:N29)</f>
        <v>1355900.2542372881</v>
      </c>
      <c r="O24" s="14">
        <f>SUM(O25:O29)</f>
        <v>5085000</v>
      </c>
      <c r="P24" s="14">
        <f t="shared" ref="P24:Q24" si="30">SUM(P25:P29)</f>
        <v>3690399.7330508474</v>
      </c>
      <c r="Q24" s="14">
        <f t="shared" si="30"/>
        <v>1394600.2669491526</v>
      </c>
      <c r="R24" s="2102">
        <f>SUM(R25:R29)</f>
        <v>14803186.408969875</v>
      </c>
      <c r="S24" s="2102">
        <f t="shared" ref="S24:T24" si="31">SUM(S25:S29)</f>
        <v>10328685.478813559</v>
      </c>
      <c r="T24" s="2102">
        <f t="shared" si="31"/>
        <v>4474500.9301563166</v>
      </c>
      <c r="U24" s="138"/>
      <c r="V24" s="14"/>
      <c r="W24" s="14"/>
      <c r="X24" s="14"/>
      <c r="Y24" s="14"/>
      <c r="Z24" s="14"/>
      <c r="AA24" s="14"/>
      <c r="AB24" s="14"/>
      <c r="AC24" s="14"/>
      <c r="AD24" s="14"/>
      <c r="AE24" s="14"/>
      <c r="AF24" s="14"/>
    </row>
    <row r="25" spans="1:32" s="38" customFormat="1">
      <c r="A25" s="2548" t="s">
        <v>137</v>
      </c>
      <c r="B25" s="137" t="s">
        <v>1305</v>
      </c>
      <c r="C25" s="30">
        <f t="shared" ref="C25:C45" si="32">SUM(D25:E25)</f>
        <v>1061000</v>
      </c>
      <c r="D25" s="30">
        <f>'Phụ lục số 2'!D10</f>
        <v>540000</v>
      </c>
      <c r="E25" s="30">
        <f>'Phụ lục số 2'!E10</f>
        <v>521000</v>
      </c>
      <c r="F25" s="30">
        <f t="shared" ref="F25:F45" si="33">SUM(G25:H25)</f>
        <v>1061000</v>
      </c>
      <c r="G25" s="30">
        <f>'Phụ lục số 2'!S10</f>
        <v>540000</v>
      </c>
      <c r="H25" s="30">
        <f>'Phụ lục số 2'!T10</f>
        <v>521000</v>
      </c>
      <c r="I25" s="30">
        <f t="shared" ref="I25:I45" si="34">SUM(J25:K25)</f>
        <v>1143186.4089698761</v>
      </c>
      <c r="J25" s="30">
        <f>'Phụ lục số 2'!AA10</f>
        <v>562186</v>
      </c>
      <c r="K25" s="2637">
        <f>'Phụ lục số 2'!AB10</f>
        <v>581000.40896987612</v>
      </c>
      <c r="L25" s="2103">
        <f t="shared" ref="L25:L33" si="35">SUM(M25:N25)</f>
        <v>1213000</v>
      </c>
      <c r="M25" s="13">
        <f>'Phụ lục số 2'!AF10</f>
        <v>632000</v>
      </c>
      <c r="N25" s="13">
        <f>'Phụ lục số 2'!AG10</f>
        <v>581000</v>
      </c>
      <c r="O25" s="13">
        <f t="shared" ref="O25:O33" si="36">SUM(P25:Q25)</f>
        <v>1265000</v>
      </c>
      <c r="P25" s="13">
        <f>'Phụ lục số 2'!AK10</f>
        <v>684000</v>
      </c>
      <c r="Q25" s="2119">
        <f>'Phụ lục số 2'!AL10</f>
        <v>581000</v>
      </c>
      <c r="R25" s="2103">
        <f t="shared" ref="R25:T46" si="37">I25+L25+O25</f>
        <v>3621186.4089698764</v>
      </c>
      <c r="S25" s="13">
        <f t="shared" si="37"/>
        <v>1878186</v>
      </c>
      <c r="T25" s="13">
        <f t="shared" si="37"/>
        <v>1743000.4089698761</v>
      </c>
      <c r="U25" s="13"/>
      <c r="V25" s="13"/>
      <c r="W25" s="13"/>
      <c r="X25" s="14"/>
      <c r="Y25" s="14"/>
      <c r="Z25" s="14"/>
      <c r="AA25" s="14"/>
      <c r="AB25" s="14"/>
      <c r="AC25" s="14"/>
      <c r="AD25" s="14"/>
      <c r="AE25" s="14"/>
      <c r="AF25" s="14"/>
    </row>
    <row r="26" spans="1:32" s="38" customFormat="1">
      <c r="A26" s="2548" t="s">
        <v>137</v>
      </c>
      <c r="B26" s="137" t="s">
        <v>391</v>
      </c>
      <c r="C26" s="30">
        <f t="shared" si="32"/>
        <v>900000</v>
      </c>
      <c r="D26" s="30">
        <f>'Phụ lục số 2'!D11</f>
        <v>100000</v>
      </c>
      <c r="E26" s="30">
        <f>'Phụ lục số 2'!E11</f>
        <v>800000</v>
      </c>
      <c r="F26" s="30">
        <f t="shared" si="33"/>
        <v>1080000</v>
      </c>
      <c r="G26" s="30">
        <f>'Phụ lục số 2'!S11</f>
        <v>100000</v>
      </c>
      <c r="H26" s="30">
        <f>'Phụ lục số 2'!T11</f>
        <v>980000</v>
      </c>
      <c r="I26" s="30">
        <f t="shared" si="34"/>
        <v>1770000</v>
      </c>
      <c r="J26" s="30">
        <f>'Phụ lục số 2'!AA11</f>
        <v>627000</v>
      </c>
      <c r="K26" s="2637">
        <f>'Phụ lục số 2'!AB11</f>
        <v>1143000</v>
      </c>
      <c r="L26" s="2103">
        <f t="shared" si="35"/>
        <v>1200000</v>
      </c>
      <c r="M26" s="13">
        <f>'Phụ lục số 2'!AF11</f>
        <v>425099.74576271186</v>
      </c>
      <c r="N26" s="13">
        <f>'Phụ lục số 2'!AG11</f>
        <v>774900.25423728814</v>
      </c>
      <c r="O26" s="13">
        <f t="shared" si="36"/>
        <v>1260000</v>
      </c>
      <c r="P26" s="13">
        <f>'Phụ lục số 2'!AK11</f>
        <v>446399.73305084754</v>
      </c>
      <c r="Q26" s="2119">
        <f>'Phụ lục số 2'!AL11</f>
        <v>813600.26694915246</v>
      </c>
      <c r="R26" s="2103">
        <f t="shared" si="37"/>
        <v>4230000</v>
      </c>
      <c r="S26" s="13">
        <f t="shared" si="37"/>
        <v>1498499.4788135593</v>
      </c>
      <c r="T26" s="13">
        <f>K26+N26+Q26</f>
        <v>2731500.5211864407</v>
      </c>
      <c r="U26" s="13"/>
      <c r="V26" s="14"/>
      <c r="W26" s="14"/>
      <c r="X26" s="14"/>
      <c r="Y26" s="14"/>
      <c r="Z26" s="14"/>
      <c r="AA26" s="14"/>
      <c r="AB26" s="14"/>
      <c r="AC26" s="14"/>
      <c r="AD26" s="14"/>
      <c r="AE26" s="14"/>
      <c r="AF26" s="14"/>
    </row>
    <row r="27" spans="1:32" s="38" customFormat="1">
      <c r="A27" s="2548" t="s">
        <v>137</v>
      </c>
      <c r="B27" s="11" t="s">
        <v>1378</v>
      </c>
      <c r="C27" s="30">
        <f t="shared" si="32"/>
        <v>1600000</v>
      </c>
      <c r="D27" s="30">
        <f>'Phụ lục số 2'!D12</f>
        <v>1600000</v>
      </c>
      <c r="E27" s="30">
        <f>'Phụ lục số 2'!E12</f>
        <v>0</v>
      </c>
      <c r="F27" s="30">
        <f t="shared" si="33"/>
        <v>1950000</v>
      </c>
      <c r="G27" s="30">
        <f>'Phụ lục số 2'!S12</f>
        <v>1950000</v>
      </c>
      <c r="H27" s="30">
        <f>'Phụ lục số 2'!T12</f>
        <v>0</v>
      </c>
      <c r="I27" s="30">
        <f t="shared" ref="I27:I29" si="38">SUM(J27:K27)</f>
        <v>1950000</v>
      </c>
      <c r="J27" s="30">
        <f>'Phụ lục số 2'!AA12</f>
        <v>1950000</v>
      </c>
      <c r="K27" s="2637">
        <f>'Phụ lục số 2'!AB12</f>
        <v>0</v>
      </c>
      <c r="L27" s="2103">
        <f t="shared" ref="L27:L29" si="39">SUM(M27:N27)</f>
        <v>2322000</v>
      </c>
      <c r="M27" s="13">
        <f>'Phụ lục số 2'!AF12</f>
        <v>2322000</v>
      </c>
      <c r="N27" s="13">
        <f>'Phụ lục số 2'!AG12</f>
        <v>0</v>
      </c>
      <c r="O27" s="13">
        <f t="shared" ref="O27:O29" si="40">SUM(P27:Q27)</f>
        <v>2500000</v>
      </c>
      <c r="P27" s="13">
        <f>'Phụ lục số 2'!AK12</f>
        <v>2500000</v>
      </c>
      <c r="Q27" s="2119">
        <f>'Phụ lục số 2'!AL12</f>
        <v>0</v>
      </c>
      <c r="R27" s="2103">
        <f t="shared" si="37"/>
        <v>6772000</v>
      </c>
      <c r="S27" s="13">
        <f>J27+M27+P27</f>
        <v>6772000</v>
      </c>
      <c r="T27" s="13">
        <f t="shared" si="37"/>
        <v>0</v>
      </c>
      <c r="U27" s="14"/>
      <c r="V27" s="14"/>
      <c r="W27" s="14"/>
      <c r="X27" s="14"/>
      <c r="Y27" s="14"/>
      <c r="Z27" s="14"/>
      <c r="AA27" s="14"/>
      <c r="AB27" s="14"/>
      <c r="AC27" s="14"/>
      <c r="AD27" s="14"/>
      <c r="AE27" s="14"/>
      <c r="AF27" s="14"/>
    </row>
    <row r="28" spans="1:32" s="38" customFormat="1">
      <c r="A28" s="2548" t="s">
        <v>137</v>
      </c>
      <c r="B28" s="11" t="str">
        <f>'Phụ lục số 3'!B28</f>
        <v>Chi đầu tư từ nguồn thu thoái vốn doanh nghiệp nhà nước địa phương quản lý;…</v>
      </c>
      <c r="C28" s="30">
        <f t="shared" si="32"/>
        <v>0</v>
      </c>
      <c r="D28" s="30">
        <f>'Phụ lục số 2'!D13</f>
        <v>0</v>
      </c>
      <c r="E28" s="30">
        <f>'Phụ lục số 2'!E13</f>
        <v>0</v>
      </c>
      <c r="F28" s="30">
        <f t="shared" si="33"/>
        <v>0</v>
      </c>
      <c r="G28" s="30">
        <f>'Phụ lục số 2'!S13</f>
        <v>0</v>
      </c>
      <c r="H28" s="30">
        <f>'Phụ lục số 2'!T13</f>
        <v>0</v>
      </c>
      <c r="I28" s="30">
        <f t="shared" si="38"/>
        <v>0</v>
      </c>
      <c r="J28" s="30">
        <f>'Phụ lục số 2'!AA13</f>
        <v>0</v>
      </c>
      <c r="K28" s="2637">
        <f>'Phụ lục số 2'!AB13</f>
        <v>0</v>
      </c>
      <c r="L28" s="2103">
        <f t="shared" si="39"/>
        <v>0</v>
      </c>
      <c r="M28" s="13">
        <f>'Phụ lục số 2'!AF13</f>
        <v>0</v>
      </c>
      <c r="N28" s="13">
        <f>'Phụ lục số 2'!AG13</f>
        <v>0</v>
      </c>
      <c r="O28" s="13">
        <f t="shared" si="40"/>
        <v>0</v>
      </c>
      <c r="P28" s="13">
        <f>'Phụ lục số 2'!AK13</f>
        <v>0</v>
      </c>
      <c r="Q28" s="2119">
        <f>'Phụ lục số 2'!AL13</f>
        <v>0</v>
      </c>
      <c r="R28" s="2103">
        <f t="shared" si="37"/>
        <v>0</v>
      </c>
      <c r="S28" s="13">
        <f t="shared" si="37"/>
        <v>0</v>
      </c>
      <c r="T28" s="13">
        <f t="shared" si="37"/>
        <v>0</v>
      </c>
      <c r="U28" s="14"/>
      <c r="V28" s="14"/>
      <c r="W28" s="14"/>
      <c r="X28" s="14"/>
      <c r="Y28" s="14"/>
      <c r="Z28" s="14"/>
      <c r="AA28" s="14"/>
      <c r="AB28" s="14"/>
      <c r="AC28" s="14"/>
      <c r="AD28" s="14"/>
      <c r="AE28" s="14"/>
      <c r="AF28" s="14"/>
    </row>
    <row r="29" spans="1:32" s="38" customFormat="1">
      <c r="A29" s="2548"/>
      <c r="B29" s="137" t="str">
        <f>'Phụ lục số 3'!B29</f>
        <v>Chi đầu tư phát triển khác (Ủy thác qua NH Chính sách xã hội chi nhánh tỉnh Đồng Tháp)</v>
      </c>
      <c r="C29" s="30"/>
      <c r="D29" s="30"/>
      <c r="E29" s="30"/>
      <c r="F29" s="30"/>
      <c r="G29" s="30"/>
      <c r="H29" s="30"/>
      <c r="I29" s="30">
        <f t="shared" si="38"/>
        <v>60000</v>
      </c>
      <c r="J29" s="30">
        <f>'Phụ lục số 2'!AA14</f>
        <v>60000</v>
      </c>
      <c r="K29" s="2637">
        <f>'Phụ lục số 2'!AB14</f>
        <v>0</v>
      </c>
      <c r="L29" s="2103">
        <f t="shared" si="39"/>
        <v>60000</v>
      </c>
      <c r="M29" s="13">
        <f>'Phụ lục số 2'!AF14</f>
        <v>60000</v>
      </c>
      <c r="N29" s="13">
        <f>'Phụ lục số 2'!AG14</f>
        <v>0</v>
      </c>
      <c r="O29" s="13">
        <f t="shared" si="40"/>
        <v>60000</v>
      </c>
      <c r="P29" s="13">
        <f>'Phụ lục số 2'!AK14</f>
        <v>60000</v>
      </c>
      <c r="Q29" s="2119">
        <f>'Phụ lục số 2'!AL14</f>
        <v>0</v>
      </c>
      <c r="R29" s="2103">
        <f t="shared" si="37"/>
        <v>180000</v>
      </c>
      <c r="S29" s="13">
        <f t="shared" si="37"/>
        <v>180000</v>
      </c>
      <c r="T29" s="13">
        <f t="shared" si="37"/>
        <v>0</v>
      </c>
      <c r="U29" s="14"/>
      <c r="V29" s="14"/>
      <c r="W29" s="14"/>
      <c r="X29" s="14"/>
      <c r="Y29" s="14"/>
      <c r="Z29" s="14"/>
      <c r="AA29" s="14"/>
      <c r="AB29" s="14"/>
      <c r="AC29" s="14"/>
      <c r="AD29" s="14"/>
      <c r="AE29" s="14"/>
      <c r="AF29" s="14"/>
    </row>
    <row r="30" spans="1:32" s="38" customFormat="1" ht="17.399999999999999">
      <c r="A30" s="2638">
        <v>2</v>
      </c>
      <c r="B30" s="139" t="s">
        <v>58</v>
      </c>
      <c r="C30" s="1826">
        <f t="shared" si="32"/>
        <v>9353865</v>
      </c>
      <c r="D30" s="1826">
        <f>'Phụ lục số 2'!D15</f>
        <v>3168035</v>
      </c>
      <c r="E30" s="1826">
        <f>'Phụ lục số 2'!E15</f>
        <v>6185830</v>
      </c>
      <c r="F30" s="1826">
        <f t="shared" ref="F30:F41" si="41">SUM(G30:H30)</f>
        <v>9353865</v>
      </c>
      <c r="G30" s="1826">
        <f>'Phụ lục số 2'!S15</f>
        <v>3168035</v>
      </c>
      <c r="H30" s="1826">
        <f>'Phụ lục số 2'!T15</f>
        <v>6185830</v>
      </c>
      <c r="I30" s="1826">
        <f t="shared" si="34"/>
        <v>10664978.394711081</v>
      </c>
      <c r="J30" s="1826">
        <f>'Phụ lục số 2'!AA15</f>
        <v>3294440</v>
      </c>
      <c r="K30" s="2639">
        <f>'Phụ lục số 2'!AB15</f>
        <v>7370538.3947110809</v>
      </c>
      <c r="L30" s="2104">
        <f t="shared" si="35"/>
        <v>11071000</v>
      </c>
      <c r="M30" s="140">
        <f>'Phụ lục số 2'!AF15</f>
        <v>3701000</v>
      </c>
      <c r="N30" s="140">
        <f>'Phụ lục số 2'!AG15</f>
        <v>7370000</v>
      </c>
      <c r="O30" s="140">
        <f t="shared" si="36"/>
        <v>11373000</v>
      </c>
      <c r="P30" s="140">
        <f>'Phụ lục số 2'!AK15</f>
        <v>4003000</v>
      </c>
      <c r="Q30" s="2121">
        <f>'Phụ lục số 2'!AL15</f>
        <v>7370000</v>
      </c>
      <c r="R30" s="2104">
        <f t="shared" si="37"/>
        <v>33108978.394711081</v>
      </c>
      <c r="S30" s="140">
        <f t="shared" si="37"/>
        <v>10998440</v>
      </c>
      <c r="T30" s="140">
        <f t="shared" si="37"/>
        <v>22110538.394711081</v>
      </c>
      <c r="U30" s="135" t="s">
        <v>204</v>
      </c>
      <c r="V30" s="14"/>
      <c r="W30" s="14"/>
      <c r="X30" s="135" t="s">
        <v>204</v>
      </c>
      <c r="Y30" s="14"/>
      <c r="Z30" s="14"/>
      <c r="AA30" s="135" t="s">
        <v>204</v>
      </c>
      <c r="AB30" s="14"/>
      <c r="AC30" s="14"/>
      <c r="AD30" s="135" t="s">
        <v>204</v>
      </c>
      <c r="AE30" s="14"/>
      <c r="AF30" s="14"/>
    </row>
    <row r="31" spans="1:32" s="38" customFormat="1">
      <c r="A31" s="2548" t="s">
        <v>137</v>
      </c>
      <c r="B31" s="137" t="s">
        <v>1788</v>
      </c>
      <c r="C31" s="30">
        <f t="shared" si="32"/>
        <v>4179745</v>
      </c>
      <c r="D31" s="30">
        <f>'Phụ lục số 2'!D20</f>
        <v>1017035</v>
      </c>
      <c r="E31" s="30">
        <f>'Phụ lục số 2'!E20</f>
        <v>3162710</v>
      </c>
      <c r="F31" s="30">
        <f t="shared" si="41"/>
        <v>4179745</v>
      </c>
      <c r="G31" s="30">
        <f>'Phụ lục số 2'!S20</f>
        <v>1017035</v>
      </c>
      <c r="H31" s="30">
        <f>'Phụ lục số 2'!T20</f>
        <v>3162710</v>
      </c>
      <c r="I31" s="30">
        <f>SUM(J31:K31)</f>
        <v>4797945.7831797441</v>
      </c>
      <c r="J31" s="30">
        <f>'Phụ lục số 2'!AA20</f>
        <v>956676</v>
      </c>
      <c r="K31" s="2637">
        <f>'Phụ lục số 2'!AB20</f>
        <v>3841269.7831797441</v>
      </c>
      <c r="L31" s="2103">
        <f t="shared" si="35"/>
        <v>4916000</v>
      </c>
      <c r="M31" s="13">
        <f>'Phụ lục số 2'!AF20</f>
        <v>1075000</v>
      </c>
      <c r="N31" s="13">
        <f>'Phụ lục số 2'!AG20</f>
        <v>3841000</v>
      </c>
      <c r="O31" s="13">
        <f t="shared" si="36"/>
        <v>5004000</v>
      </c>
      <c r="P31" s="13">
        <f>'Phụ lục số 2'!AK20</f>
        <v>1163000</v>
      </c>
      <c r="Q31" s="2119">
        <f>'Phụ lục số 2'!AL20</f>
        <v>3841000</v>
      </c>
      <c r="R31" s="2103">
        <f>I31+L31+O31</f>
        <v>14717945.783179745</v>
      </c>
      <c r="S31" s="13">
        <f t="shared" si="37"/>
        <v>3194676</v>
      </c>
      <c r="T31" s="13">
        <f t="shared" si="37"/>
        <v>11523269.783179745</v>
      </c>
      <c r="U31" s="14">
        <f>V31+W31</f>
        <v>79920.799999999814</v>
      </c>
      <c r="V31" s="14">
        <f>V15-V22</f>
        <v>-73289.266666666605</v>
      </c>
      <c r="W31" s="14">
        <f>W15-W22</f>
        <v>153210.06666666642</v>
      </c>
      <c r="X31" s="14">
        <f>Y31+Z31</f>
        <v>286965</v>
      </c>
      <c r="Y31" s="14">
        <f>Y15-Y22</f>
        <v>-62400</v>
      </c>
      <c r="Z31" s="14">
        <f>Z15-Z22</f>
        <v>349365</v>
      </c>
      <c r="AA31" s="14">
        <f>AB31+AC31</f>
        <v>719200.22038975032</v>
      </c>
      <c r="AB31" s="14">
        <f>AB15-AB22</f>
        <v>407275.21690559341</v>
      </c>
      <c r="AC31" s="14">
        <f>AC15-AC22</f>
        <v>311925.00348415691</v>
      </c>
      <c r="AD31" s="14">
        <f>AE31+AF31</f>
        <v>998500.2332467424</v>
      </c>
      <c r="AE31" s="14">
        <f>AE15-AE22</f>
        <v>584525.10734990612</v>
      </c>
      <c r="AF31" s="14">
        <f>AF15-AF22</f>
        <v>413975.12589683628</v>
      </c>
    </row>
    <row r="32" spans="1:32" s="38" customFormat="1">
      <c r="A32" s="2548" t="s">
        <v>137</v>
      </c>
      <c r="B32" s="137" t="s">
        <v>1789</v>
      </c>
      <c r="C32" s="30">
        <f t="shared" si="32"/>
        <v>31000</v>
      </c>
      <c r="D32" s="30">
        <f>'Phụ lục số 2'!D19</f>
        <v>31000</v>
      </c>
      <c r="E32" s="30">
        <f>'Phụ lục số 2'!E19</f>
        <v>0</v>
      </c>
      <c r="F32" s="30">
        <f t="shared" si="41"/>
        <v>31000</v>
      </c>
      <c r="G32" s="30">
        <f>'Phụ lục số 2'!S19</f>
        <v>31000</v>
      </c>
      <c r="H32" s="30">
        <f>'Phụ lục số 2'!T19</f>
        <v>0</v>
      </c>
      <c r="I32" s="30">
        <f>SUM(J32:K32)</f>
        <v>31218</v>
      </c>
      <c r="J32" s="30">
        <f>'Phụ lục số 2'!AA19</f>
        <v>31218</v>
      </c>
      <c r="K32" s="2637">
        <f>'[24]Phụ lục số 2'!O18</f>
        <v>0</v>
      </c>
      <c r="L32" s="2103">
        <f t="shared" si="35"/>
        <v>35000</v>
      </c>
      <c r="M32" s="13">
        <f>'Phụ lục số 2'!AF19</f>
        <v>35000</v>
      </c>
      <c r="N32" s="13">
        <f>'Phụ lục số 2'!AG19</f>
        <v>0</v>
      </c>
      <c r="O32" s="13">
        <f t="shared" si="36"/>
        <v>38000</v>
      </c>
      <c r="P32" s="13">
        <f>'Phụ lục số 2'!AK19</f>
        <v>38000</v>
      </c>
      <c r="Q32" s="2119">
        <f>'[24]Phụ lục số 2'!Y18</f>
        <v>0</v>
      </c>
      <c r="R32" s="2103">
        <f t="shared" si="37"/>
        <v>104218</v>
      </c>
      <c r="S32" s="13">
        <f t="shared" si="37"/>
        <v>104218</v>
      </c>
      <c r="T32" s="13">
        <f t="shared" si="37"/>
        <v>0</v>
      </c>
      <c r="U32" s="14"/>
      <c r="V32" s="14"/>
      <c r="W32" s="14"/>
      <c r="X32" s="14"/>
      <c r="Y32" s="14"/>
      <c r="Z32" s="14"/>
      <c r="AA32" s="14"/>
      <c r="AB32" s="14"/>
      <c r="AC32" s="14"/>
      <c r="AD32" s="14"/>
      <c r="AE32" s="14"/>
      <c r="AF32" s="14"/>
    </row>
    <row r="33" spans="1:32" s="38" customFormat="1">
      <c r="A33" s="2548" t="s">
        <v>137</v>
      </c>
      <c r="B33" s="137" t="s">
        <v>206</v>
      </c>
      <c r="C33" s="30">
        <f>SUM(D33:E33)</f>
        <v>5143120</v>
      </c>
      <c r="D33" s="30">
        <f>D30-D31-D32</f>
        <v>2120000</v>
      </c>
      <c r="E33" s="30">
        <f>E30-E31-E32</f>
        <v>3023120</v>
      </c>
      <c r="F33" s="30">
        <f t="shared" si="41"/>
        <v>5143120</v>
      </c>
      <c r="G33" s="30">
        <f>G30-G31-G32</f>
        <v>2120000</v>
      </c>
      <c r="H33" s="30">
        <f>H30-H31-H32</f>
        <v>3023120</v>
      </c>
      <c r="I33" s="30">
        <f>SUM(J33:K33)</f>
        <v>5835814.6115313368</v>
      </c>
      <c r="J33" s="30">
        <f>J30-J31-J32</f>
        <v>2306546</v>
      </c>
      <c r="K33" s="2637">
        <f>K30-K31-K32</f>
        <v>3529268.6115313368</v>
      </c>
      <c r="L33" s="2103">
        <f t="shared" si="35"/>
        <v>6120000</v>
      </c>
      <c r="M33" s="13">
        <f>M30-M31-M32</f>
        <v>2591000</v>
      </c>
      <c r="N33" s="13">
        <f>N30-N31-N32</f>
        <v>3529000</v>
      </c>
      <c r="O33" s="13">
        <f t="shared" si="36"/>
        <v>6331000</v>
      </c>
      <c r="P33" s="13">
        <f>P30-P31-P32</f>
        <v>2802000</v>
      </c>
      <c r="Q33" s="2119">
        <f>Q30-Q31-Q32</f>
        <v>3529000</v>
      </c>
      <c r="R33" s="2103">
        <f t="shared" si="37"/>
        <v>18286814.611531336</v>
      </c>
      <c r="S33" s="13">
        <f t="shared" si="37"/>
        <v>7699546</v>
      </c>
      <c r="T33" s="13">
        <f t="shared" si="37"/>
        <v>10587268.611531336</v>
      </c>
      <c r="U33" s="141"/>
      <c r="V33" s="141"/>
      <c r="W33" s="141"/>
      <c r="X33" s="141">
        <f>I8/$C$8</f>
        <v>1.2071232913812793</v>
      </c>
      <c r="Y33" s="141">
        <f>J8/D8</f>
        <v>1.0844736301702815</v>
      </c>
      <c r="Z33" s="141">
        <f>K8/E8</f>
        <v>1.2784295325884809</v>
      </c>
      <c r="AA33" s="141">
        <f>L8/C8</f>
        <v>1.2745283006744437</v>
      </c>
      <c r="AB33" s="141">
        <f>M8/J8</f>
        <v>1.2474443828194248</v>
      </c>
      <c r="AC33" s="141">
        <f>N8/K8</f>
        <v>0.96134406520012738</v>
      </c>
      <c r="AD33" s="141">
        <f>O8/C8</f>
        <v>1.3445132695229727</v>
      </c>
      <c r="AE33" s="141">
        <f>P8/M8</f>
        <v>1.1637699366547056</v>
      </c>
      <c r="AF33" s="141">
        <f>Q8/N8</f>
        <v>0.9852459306052801</v>
      </c>
    </row>
    <row r="34" spans="1:32" s="38" customFormat="1" ht="17.399999999999999">
      <c r="A34" s="2635">
        <v>3</v>
      </c>
      <c r="B34" s="207" t="s">
        <v>143</v>
      </c>
      <c r="C34" s="59">
        <f>SUM(D34:E34)</f>
        <v>0</v>
      </c>
      <c r="D34" s="59"/>
      <c r="E34" s="59">
        <f>'[24]Phụ lục số 2'!E30</f>
        <v>0</v>
      </c>
      <c r="F34" s="59">
        <f t="shared" si="41"/>
        <v>431000</v>
      </c>
      <c r="G34" s="59">
        <f>'Phụ lục số 2'!S31</f>
        <v>89700</v>
      </c>
      <c r="H34" s="59">
        <f>'Phụ lục số 2'!T31</f>
        <v>341300</v>
      </c>
      <c r="I34" s="59">
        <f>SUM(J34:K34)</f>
        <v>0</v>
      </c>
      <c r="J34" s="59">
        <f>'Phụ lục số 2'!AA31</f>
        <v>0</v>
      </c>
      <c r="K34" s="2636">
        <f>'Phụ lục số 2'!AB31</f>
        <v>0</v>
      </c>
      <c r="L34" s="2102">
        <f>SUM(M34:N34)</f>
        <v>0</v>
      </c>
      <c r="M34" s="14">
        <f>'Phụ lục số 2'!AF31</f>
        <v>0</v>
      </c>
      <c r="N34" s="14">
        <f>'Phụ lục số 2'!AG31</f>
        <v>0</v>
      </c>
      <c r="O34" s="14">
        <f>SUM(P34:Q34)</f>
        <v>0</v>
      </c>
      <c r="P34" s="14">
        <f>'Phụ lục số 2'!AK31</f>
        <v>0</v>
      </c>
      <c r="Q34" s="2120">
        <f>'Phụ lục số 2'!AL31</f>
        <v>0</v>
      </c>
      <c r="R34" s="2102">
        <f t="shared" si="37"/>
        <v>0</v>
      </c>
      <c r="S34" s="14">
        <f t="shared" si="37"/>
        <v>0</v>
      </c>
      <c r="T34" s="14">
        <f t="shared" si="37"/>
        <v>0</v>
      </c>
      <c r="U34" s="14"/>
      <c r="V34" s="14"/>
      <c r="W34" s="14"/>
      <c r="X34" s="14"/>
      <c r="Y34" s="141">
        <f>Y33-1</f>
        <v>8.4473630170281533E-2</v>
      </c>
      <c r="Z34" s="141">
        <f>Z33-1</f>
        <v>0.27842953258848091</v>
      </c>
      <c r="AA34" s="14"/>
      <c r="AB34" s="141">
        <f>AB33-1</f>
        <v>0.24744438281942482</v>
      </c>
      <c r="AC34" s="141">
        <f>AC33-1</f>
        <v>-3.8655934799872615E-2</v>
      </c>
      <c r="AD34" s="14"/>
      <c r="AE34" s="141">
        <f>AE33-1</f>
        <v>0.16376993665470563</v>
      </c>
      <c r="AF34" s="141">
        <f>AF33-1</f>
        <v>-1.4754069394719904E-2</v>
      </c>
    </row>
    <row r="35" spans="1:32" s="210" customFormat="1" ht="17.399999999999999">
      <c r="A35" s="2635">
        <v>4</v>
      </c>
      <c r="B35" s="209" t="s">
        <v>232</v>
      </c>
      <c r="C35" s="59"/>
      <c r="D35" s="59"/>
      <c r="E35" s="59"/>
      <c r="F35" s="59">
        <f t="shared" si="41"/>
        <v>357489.34666666656</v>
      </c>
      <c r="G35" s="59">
        <f>'Phụ lục số 2'!S32</f>
        <v>0</v>
      </c>
      <c r="H35" s="59">
        <f>'Phụ lục số 2'!T32</f>
        <v>357489.34666666656</v>
      </c>
      <c r="I35" s="59">
        <f t="shared" ref="I35:I39" si="42">SUM(J35:K35)</f>
        <v>717399.2</v>
      </c>
      <c r="J35" s="59">
        <f>'Phụ lục số 2'!AA32</f>
        <v>79139.200000000012</v>
      </c>
      <c r="K35" s="2636">
        <f>'Phụ lục số 2'!AB32</f>
        <v>638260</v>
      </c>
      <c r="L35" s="2102">
        <f>SUM(M35:N35)</f>
        <v>881301.31019487511</v>
      </c>
      <c r="M35" s="14">
        <f>'Phụ lục số 2'!AF32</f>
        <v>565518.00845279661</v>
      </c>
      <c r="N35" s="14">
        <f>'Phụ lục số 2'!AG32</f>
        <v>315783.30174207845</v>
      </c>
      <c r="O35" s="14">
        <f t="shared" ref="O35:O39" si="43">SUM(P35:Q35)</f>
        <v>1235804.6166233711</v>
      </c>
      <c r="P35" s="14">
        <f>'Phụ lục số 2'!AK32</f>
        <v>1038397.953674953</v>
      </c>
      <c r="Q35" s="2120">
        <f>'Phụ lục số 2'!AL32</f>
        <v>197406.66294841812</v>
      </c>
      <c r="R35" s="2102">
        <f t="shared" ref="R35:R36" si="44">I35+L35+O35</f>
        <v>2834505.1268182462</v>
      </c>
      <c r="S35" s="14">
        <f>J35+M35+P35</f>
        <v>1683055.1621277495</v>
      </c>
      <c r="T35" s="14">
        <f t="shared" ref="T35:T36" si="45">K35+N35+Q35</f>
        <v>1151449.9646904967</v>
      </c>
      <c r="U35" s="14"/>
      <c r="V35" s="14"/>
      <c r="W35" s="14"/>
      <c r="X35" s="14"/>
      <c r="Y35" s="141"/>
      <c r="Z35" s="141"/>
      <c r="AA35" s="14"/>
      <c r="AB35" s="141"/>
      <c r="AC35" s="141"/>
      <c r="AD35" s="14"/>
      <c r="AE35" s="141"/>
      <c r="AF35" s="141"/>
    </row>
    <row r="36" spans="1:32" s="38" customFormat="1" ht="17.399999999999999">
      <c r="A36" s="2635">
        <v>5</v>
      </c>
      <c r="B36" s="208" t="s">
        <v>231</v>
      </c>
      <c r="C36" s="59"/>
      <c r="D36" s="59"/>
      <c r="E36" s="59"/>
      <c r="F36" s="59">
        <f t="shared" si="41"/>
        <v>153209.71999999997</v>
      </c>
      <c r="G36" s="59">
        <f>'Phụ lục số 2'!S33</f>
        <v>0</v>
      </c>
      <c r="H36" s="59">
        <f>'Phụ lục số 2'!T33</f>
        <v>153209.71999999997</v>
      </c>
      <c r="I36" s="59"/>
      <c r="J36" s="59"/>
      <c r="K36" s="2636"/>
      <c r="L36" s="2102">
        <f>SUM(M36:N36)</f>
        <v>0</v>
      </c>
      <c r="M36" s="14">
        <f>'Phụ lục số 2'!AF33</f>
        <v>0</v>
      </c>
      <c r="N36" s="14">
        <f>'Phụ lục số 2'!AG33</f>
        <v>0</v>
      </c>
      <c r="O36" s="14">
        <f t="shared" si="43"/>
        <v>0</v>
      </c>
      <c r="P36" s="14">
        <f>'Phụ lục số 2'!AK33</f>
        <v>0</v>
      </c>
      <c r="Q36" s="2120">
        <f>'Phụ lục số 2'!AL33</f>
        <v>0</v>
      </c>
      <c r="R36" s="2102">
        <f t="shared" si="44"/>
        <v>0</v>
      </c>
      <c r="S36" s="14">
        <f t="shared" ref="S36" si="46">J36+M36+P36</f>
        <v>0</v>
      </c>
      <c r="T36" s="14">
        <f t="shared" si="45"/>
        <v>0</v>
      </c>
      <c r="U36" s="14"/>
      <c r="V36" s="14"/>
      <c r="W36" s="14"/>
      <c r="X36" s="14"/>
      <c r="Y36" s="141"/>
      <c r="Z36" s="141"/>
      <c r="AA36" s="14"/>
      <c r="AB36" s="141"/>
      <c r="AC36" s="141"/>
      <c r="AD36" s="14"/>
      <c r="AE36" s="141"/>
      <c r="AF36" s="141"/>
    </row>
    <row r="37" spans="1:32" s="38" customFormat="1" ht="17.399999999999999">
      <c r="A37" s="2635">
        <v>6</v>
      </c>
      <c r="B37" s="134" t="s">
        <v>60</v>
      </c>
      <c r="C37" s="59">
        <f t="shared" si="32"/>
        <v>2000</v>
      </c>
      <c r="D37" s="59">
        <f>'Phụ lục số 2'!D29</f>
        <v>2000</v>
      </c>
      <c r="E37" s="59">
        <f>'[24]Phụ lục số 2'!E28</f>
        <v>0</v>
      </c>
      <c r="F37" s="59">
        <f t="shared" si="41"/>
        <v>2000</v>
      </c>
      <c r="G37" s="59">
        <f>'Phụ lục số 2'!S29</f>
        <v>2000</v>
      </c>
      <c r="H37" s="59">
        <f>'Phụ lục số 2'!T29</f>
        <v>0</v>
      </c>
      <c r="I37" s="59">
        <f t="shared" si="42"/>
        <v>2000</v>
      </c>
      <c r="J37" s="59">
        <f>'[24]Phụ lục số 2'!N28</f>
        <v>2000</v>
      </c>
      <c r="K37" s="2636">
        <f>'[24]Phụ lục số 2'!O28</f>
        <v>0</v>
      </c>
      <c r="L37" s="2102">
        <f t="shared" ref="L37:L45" si="47">SUM(M37:N37)</f>
        <v>2000</v>
      </c>
      <c r="M37" s="14">
        <f>'Phụ lục số 2'!AF29</f>
        <v>2000</v>
      </c>
      <c r="N37" s="14">
        <f>'Phụ lục số 2'!AG29</f>
        <v>0</v>
      </c>
      <c r="O37" s="14">
        <f t="shared" si="43"/>
        <v>2000</v>
      </c>
      <c r="P37" s="14">
        <f>'Phụ lục số 2'!AK29</f>
        <v>2000</v>
      </c>
      <c r="Q37" s="2120">
        <f>'Phụ lục số 2'!AL29</f>
        <v>0</v>
      </c>
      <c r="R37" s="2102">
        <f t="shared" si="37"/>
        <v>6000</v>
      </c>
      <c r="S37" s="14">
        <f t="shared" si="37"/>
        <v>6000</v>
      </c>
      <c r="T37" s="14">
        <f t="shared" si="37"/>
        <v>0</v>
      </c>
      <c r="U37" s="14"/>
      <c r="V37" s="14"/>
      <c r="W37" s="14"/>
      <c r="X37" s="14"/>
      <c r="Y37" s="141">
        <f>Y34/2</f>
        <v>4.2236815085140766E-2</v>
      </c>
      <c r="Z37" s="141">
        <f>Z34/2</f>
        <v>0.13921476629424046</v>
      </c>
      <c r="AA37" s="14"/>
      <c r="AB37" s="141">
        <f>AB34/2</f>
        <v>0.12372219140971241</v>
      </c>
      <c r="AC37" s="141">
        <f>AC34/2</f>
        <v>-1.9327967399936308E-2</v>
      </c>
      <c r="AD37" s="14"/>
      <c r="AE37" s="141">
        <f>AE34/2</f>
        <v>8.1884968327352814E-2</v>
      </c>
      <c r="AF37" s="141">
        <f>AF34/2</f>
        <v>-7.3770346973599521E-3</v>
      </c>
    </row>
    <row r="38" spans="1:32" s="38" customFormat="1" ht="17.399999999999999">
      <c r="A38" s="2640">
        <v>7</v>
      </c>
      <c r="B38" s="134" t="s">
        <v>87</v>
      </c>
      <c r="C38" s="59">
        <f t="shared" si="32"/>
        <v>274623</v>
      </c>
      <c r="D38" s="59">
        <f>'Phụ lục số 2'!D30</f>
        <v>135382</v>
      </c>
      <c r="E38" s="59">
        <f>'Phụ lục số 2'!E30</f>
        <v>139241</v>
      </c>
      <c r="F38" s="59">
        <f t="shared" si="41"/>
        <v>274623</v>
      </c>
      <c r="G38" s="59">
        <f>'Phụ lục số 2'!S30</f>
        <v>135382</v>
      </c>
      <c r="H38" s="59">
        <f>'Phụ lục số 2'!T30</f>
        <v>139241</v>
      </c>
      <c r="I38" s="59">
        <f t="shared" si="42"/>
        <v>327868.91231904214</v>
      </c>
      <c r="J38" s="59">
        <f>'Phụ lục số 2'!AA30</f>
        <v>152264.36799999999</v>
      </c>
      <c r="K38" s="2636">
        <f>'Phụ lục số 2'!AB30</f>
        <v>175604.54431904212</v>
      </c>
      <c r="L38" s="2102">
        <f>SUM(M38:N38)</f>
        <v>347000</v>
      </c>
      <c r="M38" s="14">
        <f>'Phụ lục số 2'!AF30</f>
        <v>171000</v>
      </c>
      <c r="N38" s="14">
        <f>'Phụ lục số 2'!AG30</f>
        <v>176000</v>
      </c>
      <c r="O38" s="14">
        <f>SUM(P38:Q38)</f>
        <v>361000</v>
      </c>
      <c r="P38" s="14">
        <f>'Phụ lục số 2'!AK30</f>
        <v>185000</v>
      </c>
      <c r="Q38" s="2120">
        <f>'Phụ lục số 2'!AL30</f>
        <v>176000</v>
      </c>
      <c r="R38" s="2102">
        <f t="shared" si="37"/>
        <v>1035868.9123190421</v>
      </c>
      <c r="S38" s="14">
        <f t="shared" si="37"/>
        <v>508264.36800000002</v>
      </c>
      <c r="T38" s="14">
        <f t="shared" si="37"/>
        <v>527604.54431904212</v>
      </c>
      <c r="U38" s="14"/>
      <c r="V38" s="14"/>
      <c r="W38" s="14"/>
      <c r="X38" s="142" t="s">
        <v>207</v>
      </c>
      <c r="Y38" s="141">
        <f>1+Y37</f>
        <v>1.0422368150851407</v>
      </c>
      <c r="Z38" s="141">
        <f>1+Z37</f>
        <v>1.1392147662942405</v>
      </c>
      <c r="AA38" s="142" t="s">
        <v>207</v>
      </c>
      <c r="AB38" s="141">
        <f>1+AB37</f>
        <v>1.1237221914097124</v>
      </c>
      <c r="AC38" s="141">
        <f>1+AC37</f>
        <v>0.98067203260006375</v>
      </c>
      <c r="AD38" s="142" t="s">
        <v>207</v>
      </c>
      <c r="AE38" s="141">
        <f>1+AE37</f>
        <v>1.0818849683273528</v>
      </c>
      <c r="AF38" s="141">
        <f>1+AF37</f>
        <v>0.99262296530264005</v>
      </c>
    </row>
    <row r="39" spans="1:32" s="38" customFormat="1" ht="17.399999999999999">
      <c r="A39" s="2640">
        <v>8</v>
      </c>
      <c r="B39" s="134" t="s">
        <v>126</v>
      </c>
      <c r="C39" s="59">
        <f t="shared" si="32"/>
        <v>0</v>
      </c>
      <c r="D39" s="59">
        <f>'Phụ lục số 2'!D34</f>
        <v>0</v>
      </c>
      <c r="E39" s="59">
        <f>'[24]Phụ lục số 2'!E31</f>
        <v>0</v>
      </c>
      <c r="F39" s="59">
        <f t="shared" si="41"/>
        <v>0</v>
      </c>
      <c r="G39" s="59">
        <f>'Phụ lục số 2'!S34</f>
        <v>0</v>
      </c>
      <c r="H39" s="59">
        <f>'Phụ lục số 2'!T34</f>
        <v>0</v>
      </c>
      <c r="I39" s="59">
        <f t="shared" si="42"/>
        <v>3000</v>
      </c>
      <c r="J39" s="59">
        <f>'Phụ lục số 2'!AA34</f>
        <v>3000</v>
      </c>
      <c r="K39" s="2636">
        <f>'[24]Phụ lục số 2'!O31</f>
        <v>0</v>
      </c>
      <c r="L39" s="2102">
        <f t="shared" si="47"/>
        <v>3000</v>
      </c>
      <c r="M39" s="14">
        <f>'Phụ lục số 2'!AF34</f>
        <v>3000</v>
      </c>
      <c r="N39" s="14">
        <f>'Phụ lục số 2'!AG34</f>
        <v>0</v>
      </c>
      <c r="O39" s="14">
        <f t="shared" si="43"/>
        <v>3000</v>
      </c>
      <c r="P39" s="14">
        <f>'Phụ lục số 2'!AK34</f>
        <v>3000</v>
      </c>
      <c r="Q39" s="2120">
        <f>'Phụ lục số 2'!AL34</f>
        <v>0</v>
      </c>
      <c r="R39" s="2102">
        <f t="shared" si="37"/>
        <v>9000</v>
      </c>
      <c r="S39" s="14">
        <f t="shared" si="37"/>
        <v>9000</v>
      </c>
      <c r="T39" s="14">
        <f t="shared" si="37"/>
        <v>0</v>
      </c>
      <c r="U39" s="14"/>
      <c r="V39" s="14"/>
      <c r="W39" s="14"/>
      <c r="X39" s="14"/>
      <c r="Y39" s="14"/>
      <c r="Z39" s="14"/>
      <c r="AA39" s="14"/>
      <c r="AB39" s="14"/>
      <c r="AC39" s="14"/>
      <c r="AD39" s="14"/>
      <c r="AE39" s="14"/>
      <c r="AF39" s="14"/>
    </row>
    <row r="40" spans="1:32" s="38" customFormat="1" ht="17.399999999999999">
      <c r="A40" s="2635" t="s">
        <v>20</v>
      </c>
      <c r="B40" s="134" t="s">
        <v>1784</v>
      </c>
      <c r="C40" s="59">
        <f>SUM(C41:C43)</f>
        <v>2597007</v>
      </c>
      <c r="D40" s="59">
        <f t="shared" ref="D40:G40" si="48">SUM(D41:D43)</f>
        <v>2597007</v>
      </c>
      <c r="E40" s="59">
        <f t="shared" si="48"/>
        <v>0</v>
      </c>
      <c r="F40" s="59">
        <f t="shared" si="41"/>
        <v>2597007</v>
      </c>
      <c r="G40" s="59">
        <f t="shared" si="48"/>
        <v>2597007</v>
      </c>
      <c r="H40" s="59">
        <f>SUM(H41:H43)</f>
        <v>0</v>
      </c>
      <c r="I40" s="59">
        <f>SUM(J40:K40)</f>
        <v>1988976</v>
      </c>
      <c r="J40" s="59">
        <f>SUM(J41:J42)</f>
        <v>1988976</v>
      </c>
      <c r="K40" s="2636">
        <f>SUM(K41:K42)</f>
        <v>0</v>
      </c>
      <c r="L40" s="2102">
        <f>SUM(M40:N40)</f>
        <v>2379485.2999999998</v>
      </c>
      <c r="M40" s="14">
        <f>SUM(M41:M42)</f>
        <v>2379485.2999999998</v>
      </c>
      <c r="N40" s="14">
        <f>SUM(N41:N42)</f>
        <v>0</v>
      </c>
      <c r="O40" s="14">
        <f>SUM(P40:Q40)</f>
        <v>2379485.2999999998</v>
      </c>
      <c r="P40" s="14">
        <f>SUM(P41:P42)</f>
        <v>2379485.2999999998</v>
      </c>
      <c r="Q40" s="2120">
        <f>SUM(Q41:Q42)</f>
        <v>0</v>
      </c>
      <c r="R40" s="2102">
        <f>SUM(S40:T40)</f>
        <v>6747946.5999999996</v>
      </c>
      <c r="S40" s="14">
        <f>SUM(S41:S42)</f>
        <v>6747946.5999999996</v>
      </c>
      <c r="T40" s="14">
        <f>SUM(T41:T42)</f>
        <v>0</v>
      </c>
      <c r="U40" s="14"/>
      <c r="V40" s="14"/>
      <c r="W40" s="14"/>
      <c r="X40" s="14"/>
      <c r="Y40" s="14"/>
      <c r="Z40" s="14"/>
      <c r="AA40" s="14"/>
      <c r="AB40" s="14"/>
      <c r="AC40" s="14"/>
      <c r="AD40" s="14"/>
      <c r="AE40" s="14"/>
      <c r="AF40" s="14"/>
    </row>
    <row r="41" spans="1:32" s="20" customFormat="1">
      <c r="A41" s="2548">
        <v>1</v>
      </c>
      <c r="B41" s="78" t="str">
        <f>'Phụ lục số 3'!B41</f>
        <v>Chi thực hiện mục tiêu, nhiệm vụ quan trọng (vốn đầu tư phát triển)</v>
      </c>
      <c r="C41" s="30">
        <f>SUM(D41:E41)</f>
        <v>2417971</v>
      </c>
      <c r="D41" s="30">
        <f>'Phụ lục số 1'!F56</f>
        <v>2417971</v>
      </c>
      <c r="E41" s="30"/>
      <c r="F41" s="30">
        <f t="shared" si="41"/>
        <v>2417971</v>
      </c>
      <c r="G41" s="30">
        <f>'Phụ lục số 2'!S36</f>
        <v>2417971</v>
      </c>
      <c r="H41" s="30"/>
      <c r="I41" s="30">
        <f>SUM(J41:K41)</f>
        <v>1814491</v>
      </c>
      <c r="J41" s="30">
        <f>'Phụ lục số 2'!AA36</f>
        <v>1814491</v>
      </c>
      <c r="K41" s="2637"/>
      <c r="L41" s="2103">
        <f>SUM(M41:N41)</f>
        <v>2205000</v>
      </c>
      <c r="M41" s="13">
        <f>'Phụ lục số 2'!AF36</f>
        <v>2205000</v>
      </c>
      <c r="N41" s="13"/>
      <c r="O41" s="13">
        <f>SUM(P41:Q41)</f>
        <v>2205000</v>
      </c>
      <c r="P41" s="13">
        <f>'Phụ lục số 2'!AK36</f>
        <v>2205000</v>
      </c>
      <c r="Q41" s="2119">
        <f>'Phụ lục số 2'!AL36</f>
        <v>0</v>
      </c>
      <c r="R41" s="2103">
        <f>SUM(S41:T41)</f>
        <v>6224491</v>
      </c>
      <c r="S41" s="13">
        <f>J41+M41+P41</f>
        <v>6224491</v>
      </c>
      <c r="T41" s="13">
        <f t="shared" si="37"/>
        <v>0</v>
      </c>
      <c r="U41" s="13"/>
      <c r="V41" s="13"/>
      <c r="W41" s="13"/>
      <c r="X41" s="13"/>
      <c r="Y41" s="13"/>
      <c r="Z41" s="13"/>
      <c r="AA41" s="13"/>
      <c r="AB41" s="13"/>
      <c r="AC41" s="13"/>
      <c r="AD41" s="13"/>
      <c r="AE41" s="13"/>
      <c r="AF41" s="13"/>
    </row>
    <row r="42" spans="1:32" s="20" customFormat="1">
      <c r="A42" s="2548">
        <v>2</v>
      </c>
      <c r="B42" s="78" t="str">
        <f>'Phụ lục số 3'!B42</f>
        <v>Chi thực hiện mục tiêu, nhiệm vụ quan trọng (kinh phí sự nghiệp)</v>
      </c>
      <c r="C42" s="30">
        <f>SUM(D42:E42)</f>
        <v>179036</v>
      </c>
      <c r="D42" s="30">
        <f>'Phụ lục số 1'!F57</f>
        <v>179036</v>
      </c>
      <c r="E42" s="30"/>
      <c r="F42" s="30">
        <f t="shared" ref="F42:F43" si="49">SUM(G42:H42)</f>
        <v>179036</v>
      </c>
      <c r="G42" s="30">
        <f>'Phụ lục số 2'!S37</f>
        <v>179036</v>
      </c>
      <c r="H42" s="30"/>
      <c r="I42" s="30">
        <f>SUM(J42:K42)</f>
        <v>174485</v>
      </c>
      <c r="J42" s="30">
        <f>'Phụ lục số 2'!AA37</f>
        <v>174485</v>
      </c>
      <c r="K42" s="2637"/>
      <c r="L42" s="2103">
        <f>SUM(M42:N42)</f>
        <v>174485.3</v>
      </c>
      <c r="M42" s="13">
        <f>'Phụ lục số 2'!AF37</f>
        <v>174485.3</v>
      </c>
      <c r="N42" s="13"/>
      <c r="O42" s="13">
        <f>SUM(P42:Q42)</f>
        <v>174485.3</v>
      </c>
      <c r="P42" s="13">
        <f>'Phụ lục số 2'!AK37</f>
        <v>174485.3</v>
      </c>
      <c r="Q42" s="2119">
        <f>'Phụ lục số 2'!AL37</f>
        <v>0</v>
      </c>
      <c r="R42" s="2103">
        <f>SUM(S42:T42)</f>
        <v>523455.6</v>
      </c>
      <c r="S42" s="13">
        <f t="shared" ref="S42:S44" si="50">J42+M42+P42</f>
        <v>523455.6</v>
      </c>
      <c r="T42" s="13">
        <f t="shared" ref="T42" si="51">K42+N42+Q42</f>
        <v>0</v>
      </c>
      <c r="U42" s="13"/>
      <c r="V42" s="13"/>
      <c r="W42" s="13"/>
      <c r="X42" s="13"/>
      <c r="Y42" s="13"/>
      <c r="Z42" s="13"/>
      <c r="AA42" s="13"/>
      <c r="AB42" s="13"/>
      <c r="AC42" s="13"/>
      <c r="AD42" s="13"/>
      <c r="AE42" s="13"/>
      <c r="AF42" s="13"/>
    </row>
    <row r="43" spans="1:32" s="20" customFormat="1">
      <c r="A43" s="2548">
        <v>3</v>
      </c>
      <c r="B43" s="78" t="str">
        <f>'Phụ lục số 3'!B43</f>
        <v>Chi bổ sung có mục tiêu nhiệm vụ quan trọng khác (nếu có)</v>
      </c>
      <c r="C43" s="30"/>
      <c r="D43" s="30"/>
      <c r="E43" s="30"/>
      <c r="F43" s="30">
        <f t="shared" si="49"/>
        <v>0</v>
      </c>
      <c r="G43" s="30"/>
      <c r="H43" s="30"/>
      <c r="I43" s="30"/>
      <c r="J43" s="30"/>
      <c r="K43" s="2637"/>
      <c r="L43" s="2103">
        <f>SUM(M43:N43)</f>
        <v>0</v>
      </c>
      <c r="M43" s="13"/>
      <c r="N43" s="13"/>
      <c r="O43" s="13">
        <f>SUM(P43:Q43)</f>
        <v>0</v>
      </c>
      <c r="P43" s="13"/>
      <c r="Q43" s="2119"/>
      <c r="R43" s="2103">
        <f t="shared" ref="R43:R44" si="52">SUM(S43:T43)</f>
        <v>0</v>
      </c>
      <c r="S43" s="13">
        <f t="shared" si="50"/>
        <v>0</v>
      </c>
      <c r="T43" s="13"/>
      <c r="U43" s="13"/>
      <c r="V43" s="13"/>
      <c r="W43" s="13"/>
      <c r="X43" s="13"/>
      <c r="Y43" s="13"/>
      <c r="Z43" s="13"/>
      <c r="AA43" s="13"/>
      <c r="AB43" s="13"/>
      <c r="AC43" s="13"/>
      <c r="AD43" s="13"/>
      <c r="AE43" s="13"/>
      <c r="AF43" s="13"/>
    </row>
    <row r="44" spans="1:32" s="38" customFormat="1">
      <c r="A44" s="2635" t="s">
        <v>49</v>
      </c>
      <c r="B44" s="143" t="s">
        <v>133</v>
      </c>
      <c r="C44" s="59">
        <f t="shared" si="32"/>
        <v>31500</v>
      </c>
      <c r="D44" s="59">
        <f>'Phụ lục số 2'!D39</f>
        <v>31500</v>
      </c>
      <c r="E44" s="59">
        <f>'[24]Phụ lục số 2'!E35</f>
        <v>0</v>
      </c>
      <c r="F44" s="59">
        <f t="shared" si="33"/>
        <v>31500</v>
      </c>
      <c r="G44" s="59">
        <f>'Phụ lục số 2'!S39</f>
        <v>31500</v>
      </c>
      <c r="H44" s="59">
        <f>'Phụ lục số 2'!T39</f>
        <v>0</v>
      </c>
      <c r="I44" s="59">
        <f>SUM(J44:K44)</f>
        <v>0</v>
      </c>
      <c r="J44" s="59">
        <f>'Phụ lục số 2'!AA39</f>
        <v>0</v>
      </c>
      <c r="K44" s="2636">
        <f>'Phụ lục số 2'!AB39</f>
        <v>0</v>
      </c>
      <c r="L44" s="2102">
        <f t="shared" si="47"/>
        <v>0</v>
      </c>
      <c r="M44" s="14">
        <f>'Phụ lục số 2'!AF39</f>
        <v>0</v>
      </c>
      <c r="N44" s="14">
        <f>'Phụ lục số 2'!AG39</f>
        <v>0</v>
      </c>
      <c r="O44" s="14">
        <f t="shared" ref="O44:O45" si="53">SUM(P44:Q44)</f>
        <v>0</v>
      </c>
      <c r="P44" s="14">
        <f>'Phụ lục số 2'!AK39</f>
        <v>0</v>
      </c>
      <c r="Q44" s="2120">
        <f>'Phụ lục số 2'!AL39</f>
        <v>0</v>
      </c>
      <c r="R44" s="2103">
        <f t="shared" si="52"/>
        <v>0</v>
      </c>
      <c r="S44" s="13">
        <f t="shared" si="50"/>
        <v>0</v>
      </c>
      <c r="T44" s="14">
        <f t="shared" si="37"/>
        <v>0</v>
      </c>
      <c r="U44" s="14"/>
      <c r="V44" s="14"/>
      <c r="W44" s="14"/>
      <c r="X44" s="14"/>
      <c r="Y44" s="14"/>
      <c r="Z44" s="14"/>
      <c r="AA44" s="14"/>
      <c r="AB44" s="14"/>
      <c r="AC44" s="14"/>
      <c r="AD44" s="14"/>
      <c r="AE44" s="14"/>
      <c r="AF44" s="14"/>
    </row>
    <row r="45" spans="1:32" s="2" customFormat="1" ht="17.399999999999999">
      <c r="A45" s="2635" t="s">
        <v>50</v>
      </c>
      <c r="B45" s="134" t="s">
        <v>235</v>
      </c>
      <c r="C45" s="59">
        <f t="shared" si="32"/>
        <v>4748721</v>
      </c>
      <c r="D45" s="59">
        <f>E14</f>
        <v>4748721</v>
      </c>
      <c r="E45" s="59"/>
      <c r="F45" s="59">
        <f t="shared" si="33"/>
        <v>4748721</v>
      </c>
      <c r="G45" s="59">
        <f>H14</f>
        <v>4748721</v>
      </c>
      <c r="H45" s="59"/>
      <c r="I45" s="59">
        <f t="shared" si="34"/>
        <v>5083323.3480000002</v>
      </c>
      <c r="J45" s="59">
        <f>K14</f>
        <v>5083323.3480000002</v>
      </c>
      <c r="K45" s="2636"/>
      <c r="L45" s="2102">
        <f t="shared" si="47"/>
        <v>5083323.3480000002</v>
      </c>
      <c r="M45" s="14">
        <f>N14</f>
        <v>5083323.3480000002</v>
      </c>
      <c r="N45" s="14"/>
      <c r="O45" s="14">
        <f t="shared" si="53"/>
        <v>5083323.3480000002</v>
      </c>
      <c r="P45" s="14">
        <f>Q14</f>
        <v>5083323.3480000002</v>
      </c>
      <c r="Q45" s="2120"/>
      <c r="R45" s="2102">
        <f t="shared" si="37"/>
        <v>15249970.044</v>
      </c>
      <c r="S45" s="14">
        <f t="shared" si="37"/>
        <v>15249970.044</v>
      </c>
      <c r="T45" s="14">
        <f t="shared" si="37"/>
        <v>0</v>
      </c>
      <c r="U45" s="14"/>
      <c r="V45" s="14"/>
      <c r="W45" s="14"/>
      <c r="X45" s="14"/>
      <c r="Y45" s="14"/>
      <c r="Z45" s="14"/>
      <c r="AA45" s="14"/>
      <c r="AB45" s="14"/>
      <c r="AC45" s="14"/>
      <c r="AD45" s="14"/>
      <c r="AE45" s="14"/>
      <c r="AF45" s="14"/>
    </row>
    <row r="46" spans="1:32" ht="18.600000000000001" thickBot="1">
      <c r="A46" s="2641" t="s">
        <v>26</v>
      </c>
      <c r="B46" s="2642" t="s">
        <v>241</v>
      </c>
      <c r="C46" s="2644">
        <f>C6-C22</f>
        <v>0</v>
      </c>
      <c r="D46" s="2644">
        <f>D6-D22</f>
        <v>0</v>
      </c>
      <c r="E46" s="2644">
        <f>E6-E22</f>
        <v>0</v>
      </c>
      <c r="F46" s="2644">
        <f>G46+H46</f>
        <v>-294299.26666666567</v>
      </c>
      <c r="G46" s="2644">
        <f t="shared" ref="G46:Q46" si="54">G6-G22</f>
        <v>-294299.26666666567</v>
      </c>
      <c r="H46" s="2644">
        <f t="shared" si="54"/>
        <v>0</v>
      </c>
      <c r="I46" s="2644">
        <f t="shared" si="54"/>
        <v>8.4000002592802048E-2</v>
      </c>
      <c r="J46" s="2644">
        <f>J6-J22</f>
        <v>8.3999998867511749E-2</v>
      </c>
      <c r="K46" s="2645">
        <f t="shared" si="54"/>
        <v>0</v>
      </c>
      <c r="L46" s="2646">
        <f t="shared" si="54"/>
        <v>0.11019487306475639</v>
      </c>
      <c r="M46" s="2116">
        <f t="shared" si="54"/>
        <v>6.0452798381447792E-2</v>
      </c>
      <c r="N46" s="2116">
        <f t="shared" si="54"/>
        <v>4.97420784085989E-2</v>
      </c>
      <c r="O46" s="2616">
        <f t="shared" si="54"/>
        <v>-7.3181752115488052E-2</v>
      </c>
      <c r="P46" s="2617">
        <f t="shared" si="54"/>
        <v>-0.18587224930524826</v>
      </c>
      <c r="Q46" s="2618">
        <f t="shared" si="54"/>
        <v>0.11269049718976021</v>
      </c>
      <c r="R46" s="2619">
        <f t="shared" si="37"/>
        <v>0.12101312354207039</v>
      </c>
      <c r="S46" s="2620">
        <f>J46+M46+P46</f>
        <v>-4.1419452056288719E-2</v>
      </c>
      <c r="T46" s="2620">
        <f t="shared" si="37"/>
        <v>0.16243257559835911</v>
      </c>
      <c r="U46" s="145"/>
      <c r="V46" s="145"/>
      <c r="W46" s="145"/>
      <c r="X46" s="145"/>
      <c r="Y46" s="145"/>
      <c r="Z46" s="145"/>
      <c r="AA46" s="145"/>
      <c r="AB46" s="145"/>
      <c r="AC46" s="145"/>
      <c r="AD46" s="145"/>
      <c r="AE46" s="145"/>
      <c r="AF46" s="145"/>
    </row>
    <row r="48" spans="1:32" hidden="1">
      <c r="C48" s="146"/>
      <c r="D48" s="146"/>
      <c r="E48" s="146"/>
      <c r="F48" s="146"/>
      <c r="G48" s="146"/>
      <c r="H48" s="146"/>
      <c r="I48" s="146"/>
      <c r="J48" s="146"/>
      <c r="K48" s="146"/>
      <c r="L48" s="146"/>
      <c r="M48" s="146"/>
      <c r="N48" s="146"/>
      <c r="O48" s="146"/>
      <c r="P48" s="146"/>
      <c r="Q48" s="146"/>
      <c r="R48" s="146"/>
      <c r="S48" s="146"/>
      <c r="T48" s="146"/>
    </row>
    <row r="49" spans="1:20" hidden="1">
      <c r="G49" s="55"/>
      <c r="I49" s="36"/>
      <c r="J49" s="54">
        <f>J7-J23</f>
        <v>8.3999999798834324E-2</v>
      </c>
      <c r="K49" s="54">
        <f>K7-K23</f>
        <v>-419466.3479999993</v>
      </c>
      <c r="L49" s="54">
        <f t="shared" ref="L49:Q49" si="55">L7-L23</f>
        <v>-419466.2378051281</v>
      </c>
      <c r="M49" s="54">
        <f t="shared" si="55"/>
        <v>6.0452796518802643E-2</v>
      </c>
      <c r="N49" s="54">
        <f t="shared" si="55"/>
        <v>-419466.29825792275</v>
      </c>
      <c r="O49" s="54">
        <f t="shared" si="55"/>
        <v>-419466.42118175328</v>
      </c>
      <c r="P49" s="54">
        <f t="shared" si="55"/>
        <v>-0.18587225116789341</v>
      </c>
      <c r="Q49" s="54">
        <f t="shared" si="55"/>
        <v>-419466.23530950397</v>
      </c>
    </row>
    <row r="50" spans="1:20" hidden="1">
      <c r="C50" s="34"/>
      <c r="D50" s="34"/>
      <c r="E50" s="34"/>
      <c r="F50" s="34"/>
      <c r="G50" s="34">
        <f>G49-G48</f>
        <v>0</v>
      </c>
      <c r="H50" s="34"/>
      <c r="I50" s="3367"/>
      <c r="J50" s="34"/>
      <c r="K50" s="34"/>
      <c r="L50" s="34"/>
      <c r="M50" s="34"/>
      <c r="N50" s="34"/>
      <c r="O50" s="34"/>
      <c r="P50" s="34"/>
      <c r="Q50" s="34"/>
      <c r="R50" s="34"/>
      <c r="S50" s="34"/>
      <c r="T50" s="34"/>
    </row>
    <row r="51" spans="1:20" hidden="1">
      <c r="A51" s="38" t="s">
        <v>130</v>
      </c>
      <c r="B51" s="37" t="s">
        <v>211</v>
      </c>
      <c r="I51" s="160"/>
      <c r="J51" s="54"/>
      <c r="K51" s="54"/>
      <c r="L51" s="54">
        <f>M51+N51</f>
        <v>864469.22038975079</v>
      </c>
      <c r="M51" s="54">
        <f>M13-J13</f>
        <v>939349.21690559387</v>
      </c>
      <c r="N51" s="54">
        <f>N13-K13</f>
        <v>-74879.996515843086</v>
      </c>
      <c r="R51" s="35"/>
    </row>
    <row r="52" spans="1:20" hidden="1">
      <c r="A52" s="20">
        <v>1</v>
      </c>
      <c r="B52" s="37" t="s">
        <v>212</v>
      </c>
      <c r="F52" s="54">
        <f>SUM(G52:H52)</f>
        <v>746399.79999999981</v>
      </c>
      <c r="G52" s="54">
        <f>G9-D9</f>
        <v>55700.733333333395</v>
      </c>
      <c r="H52" s="54">
        <f>H9-E9</f>
        <v>690699.06666666642</v>
      </c>
      <c r="I52" s="54">
        <f>SUM(J52:K52)</f>
        <v>1780930</v>
      </c>
      <c r="J52" s="54">
        <f>J9-D9</f>
        <v>739200</v>
      </c>
      <c r="K52" s="54">
        <f>K9-E9</f>
        <v>1041730</v>
      </c>
      <c r="L52" s="214">
        <f>SUM(M52:N52)</f>
        <v>629469.22038975032</v>
      </c>
      <c r="M52" s="214">
        <f>M9-J9</f>
        <v>1072448.9626683053</v>
      </c>
      <c r="N52" s="214">
        <f>N9-K9</f>
        <v>-442979.74227855494</v>
      </c>
      <c r="O52" s="214">
        <f>SUM(P52:Q52)</f>
        <v>796601.01285699196</v>
      </c>
      <c r="P52" s="214">
        <f>P9-M9</f>
        <v>553800.87773244828</v>
      </c>
      <c r="Q52" s="214">
        <f>Q9-N9</f>
        <v>242800.13512454368</v>
      </c>
      <c r="R52" s="35"/>
    </row>
    <row r="53" spans="1:20" hidden="1">
      <c r="A53" s="20">
        <v>2</v>
      </c>
      <c r="B53" s="37" t="s">
        <v>213</v>
      </c>
      <c r="F53" s="54">
        <f>SUM(G53:H53)</f>
        <v>480000</v>
      </c>
      <c r="G53" s="54">
        <f>SUM(G10:G12)-SUM(D10:D12)</f>
        <v>300000</v>
      </c>
      <c r="H53" s="54">
        <f>SUM(H10:H12)-SUM(E10:E12)</f>
        <v>180000</v>
      </c>
      <c r="I53" s="54">
        <f t="shared" ref="I53" si="56">SUM(J53:K53)</f>
        <v>1207000</v>
      </c>
      <c r="J53" s="147">
        <f>SUM(J10:J12)-SUM(D10:D12)</f>
        <v>864000</v>
      </c>
      <c r="K53" s="147">
        <f>SUM(K10:K12)-SUM(E10:E12)</f>
        <v>343000</v>
      </c>
      <c r="L53" s="214">
        <f t="shared" ref="L53" si="57">SUM(M53:N53)</f>
        <v>-235000</v>
      </c>
      <c r="M53" s="214">
        <f>SUM(M10:M12)-SUM(J10:J12)</f>
        <v>133099.74576271186</v>
      </c>
      <c r="N53" s="214">
        <f>SUM(N10:N12)-SUM(K10:K12)</f>
        <v>-368099.74576271186</v>
      </c>
      <c r="O53" s="214">
        <f>SUM(P53:Q53)</f>
        <v>237999.99999999988</v>
      </c>
      <c r="P53" s="214">
        <f>SUM(P10:P12)-SUM(M10:M12)</f>
        <v>199299.98728813557</v>
      </c>
      <c r="Q53" s="214">
        <f>SUM(Q10:Q12)-SUM(N10:N12)</f>
        <v>38700.012711864314</v>
      </c>
    </row>
    <row r="54" spans="1:20" hidden="1">
      <c r="A54" s="20">
        <v>3</v>
      </c>
      <c r="B54" s="37" t="s">
        <v>214</v>
      </c>
      <c r="F54" s="54">
        <f>SUM(G54:H54)</f>
        <v>266399.79999999981</v>
      </c>
      <c r="G54" s="54">
        <f>G52-G53</f>
        <v>-244299.2666666666</v>
      </c>
      <c r="H54" s="54">
        <f>H52-H53</f>
        <v>510699.06666666642</v>
      </c>
      <c r="I54" s="54">
        <f>SUM(J54:K54)</f>
        <v>573930</v>
      </c>
      <c r="J54" s="54">
        <f>J13-D13</f>
        <v>-124800</v>
      </c>
      <c r="K54" s="54">
        <f>K52-K53</f>
        <v>698730</v>
      </c>
      <c r="L54" s="214">
        <f>L52-L53</f>
        <v>864469.22038975032</v>
      </c>
      <c r="M54" s="214">
        <f>M52-M53</f>
        <v>939349.21690559341</v>
      </c>
      <c r="N54" s="214">
        <f>N52-N53</f>
        <v>-74879.996515843086</v>
      </c>
      <c r="O54" s="214">
        <f t="shared" ref="O54:O56" si="58">SUM(P54:Q54)</f>
        <v>558601.01285699208</v>
      </c>
      <c r="P54" s="214">
        <f>P52-P53</f>
        <v>354500.89044431271</v>
      </c>
      <c r="Q54" s="214">
        <f>Q52-Q53</f>
        <v>204100.12241267937</v>
      </c>
    </row>
    <row r="55" spans="1:20" s="149" customFormat="1" ht="36" hidden="1">
      <c r="A55" s="148">
        <v>4</v>
      </c>
      <c r="B55" s="149" t="s">
        <v>215</v>
      </c>
      <c r="F55" s="150">
        <f>SUM(G55:H55)</f>
        <v>235339.71333333314</v>
      </c>
      <c r="G55" s="150">
        <f>G54*50%</f>
        <v>-122149.6333333333</v>
      </c>
      <c r="H55" s="150">
        <f>H54*70%</f>
        <v>357489.34666666645</v>
      </c>
      <c r="I55" s="150">
        <f>SUM(J55:K55)</f>
        <v>286965</v>
      </c>
      <c r="J55" s="215">
        <f>J54*50%</f>
        <v>-62400</v>
      </c>
      <c r="K55" s="150">
        <f>K54*50%</f>
        <v>349365</v>
      </c>
      <c r="L55" s="215">
        <f>SUM(M55:N55)</f>
        <v>432234.61019487516</v>
      </c>
      <c r="M55" s="215">
        <f>M54*50%</f>
        <v>469674.6084527967</v>
      </c>
      <c r="N55" s="215">
        <f>N54*50%</f>
        <v>-37439.998257921543</v>
      </c>
      <c r="O55" s="215">
        <f t="shared" si="58"/>
        <v>279300.50642849604</v>
      </c>
      <c r="P55" s="215">
        <f>P54*50%</f>
        <v>177250.44522215636</v>
      </c>
      <c r="Q55" s="215">
        <f>Q54*50%</f>
        <v>102050.06120633968</v>
      </c>
    </row>
    <row r="56" spans="1:20" s="154" customFormat="1" hidden="1">
      <c r="A56" s="152">
        <v>5</v>
      </c>
      <c r="B56" s="153" t="s">
        <v>216</v>
      </c>
      <c r="F56" s="155">
        <f>SUM(G56:H56)</f>
        <v>31060.08666666667</v>
      </c>
      <c r="G56" s="155">
        <f>G54-G55</f>
        <v>-122149.6333333333</v>
      </c>
      <c r="H56" s="155">
        <f>H54-H55</f>
        <v>153209.71999999997</v>
      </c>
      <c r="I56" s="156">
        <f>I54-I55</f>
        <v>286965</v>
      </c>
      <c r="J56" s="156">
        <f>J54-J55</f>
        <v>-62400</v>
      </c>
      <c r="K56" s="156">
        <f t="shared" ref="K56" si="59">K54-K55</f>
        <v>349365</v>
      </c>
      <c r="L56" s="215">
        <f>SUM(M56:N56)</f>
        <v>432234.61019487516</v>
      </c>
      <c r="M56" s="1831">
        <f>M54-M55</f>
        <v>469674.6084527967</v>
      </c>
      <c r="N56" s="1831">
        <f>N54-N55</f>
        <v>-37439.998257921543</v>
      </c>
      <c r="O56" s="215">
        <f t="shared" si="58"/>
        <v>279300.50642849604</v>
      </c>
      <c r="P56" s="215">
        <f>P54-P55</f>
        <v>177250.44522215636</v>
      </c>
      <c r="Q56" s="215">
        <f t="shared" ref="Q56" si="60">Q54-Q55</f>
        <v>102050.06120633968</v>
      </c>
    </row>
    <row r="57" spans="1:20" hidden="1">
      <c r="A57" s="38" t="s">
        <v>217</v>
      </c>
      <c r="B57" s="37" t="s">
        <v>218</v>
      </c>
      <c r="F57" s="54"/>
      <c r="H57" s="54"/>
    </row>
    <row r="58" spans="1:20" hidden="1">
      <c r="A58" s="20">
        <v>1</v>
      </c>
      <c r="B58" s="37" t="s">
        <v>219</v>
      </c>
      <c r="F58" s="54"/>
      <c r="I58" s="36">
        <f>I8/C8</f>
        <v>1.2071232913812793</v>
      </c>
      <c r="J58" s="36">
        <f>J8/D8</f>
        <v>1.0844736301702815</v>
      </c>
      <c r="K58" s="36">
        <f>K8/E8</f>
        <v>1.2784295325884809</v>
      </c>
      <c r="L58" s="36">
        <f>L8/I8</f>
        <v>1.0558393742995669</v>
      </c>
      <c r="M58" s="36">
        <f>M8/J8</f>
        <v>1.2474443828194248</v>
      </c>
      <c r="N58" s="36">
        <f>N8/K8</f>
        <v>0.96134406520012738</v>
      </c>
      <c r="O58" s="36">
        <f>O8/L8</f>
        <v>1.0549104863434533</v>
      </c>
      <c r="P58" s="36">
        <f t="shared" ref="P58:Q58" si="61">P8/M8</f>
        <v>1.1637699366547056</v>
      </c>
      <c r="Q58" s="36">
        <f t="shared" si="61"/>
        <v>0.9852459306052801</v>
      </c>
    </row>
    <row r="59" spans="1:20" hidden="1">
      <c r="I59" s="36">
        <f t="shared" ref="I59:Q59" si="62">I58-1</f>
        <v>0.20712329138127927</v>
      </c>
      <c r="J59" s="36">
        <f>J58-1</f>
        <v>8.4473630170281533E-2</v>
      </c>
      <c r="K59" s="36">
        <f>K58-1</f>
        <v>0.27842953258848091</v>
      </c>
      <c r="L59" s="36">
        <f>L58-1</f>
        <v>5.5839374299566868E-2</v>
      </c>
      <c r="M59" s="36">
        <f>M58-1</f>
        <v>0.24744438281942482</v>
      </c>
      <c r="N59" s="36">
        <f>N58-1</f>
        <v>-3.8655934799872615E-2</v>
      </c>
      <c r="O59" s="36">
        <f t="shared" si="62"/>
        <v>5.4910486343453302E-2</v>
      </c>
      <c r="P59" s="36">
        <f t="shared" si="62"/>
        <v>0.16376993665470563</v>
      </c>
      <c r="Q59" s="36">
        <f t="shared" si="62"/>
        <v>-1.4754069394719904E-2</v>
      </c>
    </row>
    <row r="60" spans="1:20" hidden="1">
      <c r="A60" s="20">
        <v>2</v>
      </c>
      <c r="B60" s="37" t="s">
        <v>220</v>
      </c>
      <c r="I60" s="36">
        <f t="shared" ref="I60:Q60" si="63">I59/2</f>
        <v>0.10356164569063964</v>
      </c>
      <c r="J60" s="36">
        <f t="shared" si="63"/>
        <v>4.2236815085140766E-2</v>
      </c>
      <c r="K60" s="36">
        <f t="shared" si="63"/>
        <v>0.13921476629424046</v>
      </c>
      <c r="L60" s="36">
        <f t="shared" si="63"/>
        <v>2.7919687149783434E-2</v>
      </c>
      <c r="M60" s="36">
        <f>M59/2</f>
        <v>0.12372219140971241</v>
      </c>
      <c r="N60" s="36">
        <f t="shared" si="63"/>
        <v>-1.9327967399936308E-2</v>
      </c>
      <c r="O60" s="36">
        <f t="shared" si="63"/>
        <v>2.7455243171726651E-2</v>
      </c>
      <c r="P60" s="36">
        <f t="shared" si="63"/>
        <v>8.1884968327352814E-2</v>
      </c>
      <c r="Q60" s="36">
        <f t="shared" si="63"/>
        <v>-7.3770346973599521E-3</v>
      </c>
    </row>
    <row r="61" spans="1:20" hidden="1">
      <c r="A61" s="20">
        <v>3</v>
      </c>
      <c r="B61" s="37" t="s">
        <v>221</v>
      </c>
      <c r="I61" s="157">
        <f>1+I60</f>
        <v>1.1035616456906396</v>
      </c>
      <c r="J61" s="218">
        <f>1+J60</f>
        <v>1.0422368150851407</v>
      </c>
      <c r="K61" s="218">
        <f>1+K60</f>
        <v>1.1392147662942405</v>
      </c>
      <c r="L61" s="36">
        <f t="shared" ref="L61:Q61" si="64">1+L60</f>
        <v>1.0279196871497835</v>
      </c>
      <c r="M61" s="36">
        <f>1+M60</f>
        <v>1.1237221914097124</v>
      </c>
      <c r="N61" s="36">
        <f t="shared" si="64"/>
        <v>0.98067203260006375</v>
      </c>
      <c r="O61" s="36">
        <f t="shared" si="64"/>
        <v>1.0274552431717265</v>
      </c>
      <c r="P61" s="36">
        <f t="shared" si="64"/>
        <v>1.0818849683273528</v>
      </c>
      <c r="Q61" s="36">
        <f t="shared" si="64"/>
        <v>0.99262296530264005</v>
      </c>
    </row>
    <row r="62" spans="1:20" hidden="1">
      <c r="I62" s="35"/>
    </row>
    <row r="63" spans="1:20" hidden="1">
      <c r="I63" s="35">
        <f>I13/C13</f>
        <v>1.1381632161771786</v>
      </c>
      <c r="J63" s="35">
        <f>J13/D13</f>
        <v>0.93931879512799943</v>
      </c>
      <c r="K63" s="35">
        <f>K13/E13</f>
        <v>1.3331489737049134</v>
      </c>
      <c r="L63" s="1827"/>
      <c r="M63" s="54"/>
      <c r="N63" s="54"/>
      <c r="O63" s="1827"/>
      <c r="P63" s="54"/>
      <c r="Q63" s="54"/>
    </row>
    <row r="64" spans="1:20" hidden="1">
      <c r="J64" s="2354"/>
    </row>
    <row r="65" spans="4:15" hidden="1">
      <c r="D65" s="54">
        <f>D9-D10-D11-D12</f>
        <v>2056650</v>
      </c>
      <c r="E65" s="54">
        <f>E9-E10-E11-E12</f>
        <v>2097350</v>
      </c>
      <c r="J65" s="54">
        <f>J9-J10-J11-J12</f>
        <v>1931850</v>
      </c>
      <c r="K65" s="54">
        <f>K9-K10-K11-K12</f>
        <v>2796080</v>
      </c>
    </row>
    <row r="66" spans="4:15" hidden="1">
      <c r="D66" s="54">
        <f>D15</f>
        <v>6487488</v>
      </c>
      <c r="E66" s="54">
        <f>E15</f>
        <v>4430923</v>
      </c>
      <c r="I66" s="54"/>
      <c r="J66" s="54">
        <f>D66</f>
        <v>6487488</v>
      </c>
      <c r="K66" s="54">
        <f>K15</f>
        <v>4430923</v>
      </c>
    </row>
    <row r="67" spans="4:15" hidden="1">
      <c r="D67" s="54">
        <f>D66+D65</f>
        <v>8544138</v>
      </c>
      <c r="E67" s="54">
        <f>E66+E65</f>
        <v>6528273</v>
      </c>
      <c r="I67" s="54"/>
      <c r="J67" s="54">
        <f>J66+J65</f>
        <v>8419338</v>
      </c>
      <c r="K67" s="54">
        <f>K66+K65</f>
        <v>7227003</v>
      </c>
      <c r="L67" s="54"/>
      <c r="O67" s="54"/>
    </row>
    <row r="68" spans="4:15" hidden="1">
      <c r="J68" s="3520">
        <f>J67/D67</f>
        <v>0.98539349434665024</v>
      </c>
      <c r="K68" s="3521">
        <f>K67/E67</f>
        <v>1.1070313695521006</v>
      </c>
    </row>
    <row r="69" spans="4:15" hidden="1">
      <c r="I69" s="2612"/>
      <c r="J69" s="1">
        <f>J67-D67</f>
        <v>-124800</v>
      </c>
      <c r="K69" s="1">
        <f>K67-E67</f>
        <v>698730</v>
      </c>
    </row>
    <row r="70" spans="4:15" hidden="1">
      <c r="J70" s="58"/>
      <c r="K70" s="3"/>
    </row>
    <row r="71" spans="4:15" hidden="1">
      <c r="J71" s="157">
        <f>J68-1</f>
        <v>-1.4606505653349755E-2</v>
      </c>
      <c r="K71" s="2354"/>
    </row>
    <row r="72" spans="4:15" hidden="1">
      <c r="J72" s="3545">
        <f>J71/2</f>
        <v>-7.3032528266748775E-3</v>
      </c>
      <c r="K72" s="58"/>
    </row>
    <row r="73" spans="4:15" hidden="1">
      <c r="J73" s="36">
        <f>1+J72</f>
        <v>0.99269674717332512</v>
      </c>
      <c r="K73" s="2613"/>
    </row>
    <row r="74" spans="4:15" hidden="1">
      <c r="J74" s="55"/>
      <c r="K74" s="58"/>
    </row>
    <row r="75" spans="4:15" hidden="1">
      <c r="K75" s="58"/>
    </row>
    <row r="76" spans="4:15">
      <c r="J76" s="58"/>
      <c r="K76" s="58"/>
    </row>
  </sheetData>
  <mergeCells count="15">
    <mergeCell ref="L4:N4"/>
    <mergeCell ref="O4:Q4"/>
    <mergeCell ref="A1:K1"/>
    <mergeCell ref="I3:K3"/>
    <mergeCell ref="A4:A5"/>
    <mergeCell ref="B4:B5"/>
    <mergeCell ref="C4:E4"/>
    <mergeCell ref="F4:H4"/>
    <mergeCell ref="I4:K4"/>
    <mergeCell ref="A2:K2"/>
    <mergeCell ref="R4:T4"/>
    <mergeCell ref="U4:W4"/>
    <mergeCell ref="X4:Z4"/>
    <mergeCell ref="AA4:AC4"/>
    <mergeCell ref="AD4:AF4"/>
  </mergeCells>
  <hyperlinks>
    <hyperlink ref="A4:A5" location="'List danh mục'!A1" display="TT"/>
  </hyperlinks>
  <printOptions horizontalCentered="1"/>
  <pageMargins left="0" right="0" top="0.39370078740157483" bottom="0" header="0.11811023622047245" footer="0.11811023622047245"/>
  <pageSetup paperSize="9" scale="65" orientation="landscape" r:id="rId1"/>
  <headerFooter alignWithMargins="0">
    <oddHeader>&amp;R&amp;11&amp;A</oddHeader>
    <oddFooter>&amp;C&amp;11&amp;P/&amp;N</oddFooter>
  </headerFooter>
  <legacy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
  <sheetViews>
    <sheetView topLeftCell="A13" workbookViewId="0">
      <selection activeCell="D23" sqref="D23"/>
    </sheetView>
  </sheetViews>
  <sheetFormatPr defaultColWidth="9" defaultRowHeight="12.6"/>
  <cols>
    <col min="1" max="1" width="4.5" style="1161" bestFit="1" customWidth="1"/>
    <col min="2" max="2" width="48.5" style="1161" customWidth="1"/>
    <col min="3" max="3" width="12.5" style="1161" customWidth="1"/>
    <col min="4" max="5" width="12.19921875" style="1161" bestFit="1" customWidth="1"/>
    <col min="6" max="7" width="11.19921875" style="1161" bestFit="1" customWidth="1"/>
    <col min="8" max="8" width="12.5" style="1161" customWidth="1"/>
    <col min="9" max="9" width="13" style="1161" customWidth="1"/>
    <col min="10" max="11" width="12.5" style="1161" customWidth="1"/>
    <col min="12" max="16384" width="9" style="1161"/>
  </cols>
  <sheetData>
    <row r="1" spans="1:11" ht="18">
      <c r="A1" s="2878"/>
      <c r="B1" s="2878"/>
      <c r="C1" s="2878"/>
      <c r="D1" s="2878"/>
      <c r="E1" s="2878"/>
      <c r="F1" s="2878"/>
      <c r="G1" s="2878"/>
      <c r="H1" s="2878"/>
      <c r="I1" s="2878"/>
      <c r="J1" s="2878"/>
      <c r="K1" s="2878"/>
    </row>
    <row r="2" spans="1:11" ht="33.9" customHeight="1">
      <c r="A2" s="4630" t="s">
        <v>2606</v>
      </c>
      <c r="B2" s="4630"/>
      <c r="C2" s="4630"/>
      <c r="D2" s="4630"/>
      <c r="E2" s="4630"/>
      <c r="F2" s="4630"/>
      <c r="G2" s="4630"/>
      <c r="H2" s="4630"/>
      <c r="I2" s="4630"/>
      <c r="J2" s="4630"/>
      <c r="K2" s="4630"/>
    </row>
    <row r="3" spans="1:11" ht="18">
      <c r="A3" s="2878"/>
      <c r="B3" s="2878"/>
      <c r="C3" s="2878"/>
      <c r="D3" s="2878"/>
      <c r="E3" s="2878"/>
      <c r="F3" s="2878"/>
      <c r="G3" s="2878"/>
      <c r="H3" s="2878"/>
      <c r="I3" s="2878"/>
      <c r="J3" s="2878"/>
      <c r="K3" s="2878"/>
    </row>
    <row r="4" spans="1:11" ht="18">
      <c r="A4" s="2878"/>
      <c r="B4" s="2878"/>
      <c r="C4" s="2878"/>
      <c r="D4" s="2878"/>
      <c r="E4" s="2878"/>
      <c r="F4" s="2878"/>
      <c r="G4" s="2878"/>
      <c r="H4" s="2878"/>
      <c r="I4" s="2878"/>
      <c r="J4" s="2878"/>
      <c r="K4" s="2879" t="s">
        <v>64</v>
      </c>
    </row>
    <row r="5" spans="1:11" ht="36.6" customHeight="1">
      <c r="A5" s="4631" t="s">
        <v>244</v>
      </c>
      <c r="B5" s="4633" t="s">
        <v>1311</v>
      </c>
      <c r="C5" s="4635" t="s">
        <v>1312</v>
      </c>
      <c r="D5" s="4636"/>
      <c r="E5" s="4637"/>
      <c r="F5" s="4638" t="s">
        <v>1313</v>
      </c>
      <c r="G5" s="4639"/>
      <c r="H5" s="4640"/>
      <c r="I5" s="4638" t="s">
        <v>2605</v>
      </c>
      <c r="J5" s="4639"/>
      <c r="K5" s="4640"/>
    </row>
    <row r="6" spans="1:11" ht="33.9" customHeight="1">
      <c r="A6" s="4632"/>
      <c r="B6" s="4634"/>
      <c r="C6" s="2880" t="s">
        <v>4</v>
      </c>
      <c r="D6" s="2880" t="s">
        <v>54</v>
      </c>
      <c r="E6" s="2880" t="s">
        <v>55</v>
      </c>
      <c r="F6" s="2880" t="s">
        <v>4</v>
      </c>
      <c r="G6" s="2880" t="s">
        <v>54</v>
      </c>
      <c r="H6" s="2880" t="s">
        <v>55</v>
      </c>
      <c r="I6" s="2880" t="s">
        <v>4</v>
      </c>
      <c r="J6" s="2880" t="s">
        <v>54</v>
      </c>
      <c r="K6" s="2880" t="s">
        <v>55</v>
      </c>
    </row>
    <row r="7" spans="1:11" s="1162" customFormat="1" ht="30" customHeight="1">
      <c r="A7" s="2881"/>
      <c r="B7" s="2882" t="s">
        <v>1314</v>
      </c>
      <c r="C7" s="2883">
        <f t="shared" ref="C7:K7" si="0">SUM(C8,C14,C18,C19,C20,C21)</f>
        <v>3446944.9159999997</v>
      </c>
      <c r="D7" s="2883">
        <f t="shared" si="0"/>
        <v>1184612.568</v>
      </c>
      <c r="E7" s="2883">
        <f>SUM(E8,E14,E18,E19,E20,E21)</f>
        <v>2262332.3479999993</v>
      </c>
      <c r="F7" s="2883">
        <f t="shared" si="0"/>
        <v>460868.39419487584</v>
      </c>
      <c r="G7" s="2883">
        <f t="shared" si="0"/>
        <v>1151588.1862155085</v>
      </c>
      <c r="H7" s="2883">
        <f t="shared" si="0"/>
        <v>-690719.79202063254</v>
      </c>
      <c r="I7" s="2883">
        <f t="shared" si="0"/>
        <v>960503.30642849603</v>
      </c>
      <c r="J7" s="2883">
        <f t="shared" si="0"/>
        <v>1040179.932510292</v>
      </c>
      <c r="K7" s="2883">
        <f t="shared" si="0"/>
        <v>-79676.626081796014</v>
      </c>
    </row>
    <row r="8" spans="1:11" s="1163" customFormat="1" ht="30" customHeight="1">
      <c r="A8" s="2884" t="s">
        <v>9</v>
      </c>
      <c r="B8" s="2885" t="s">
        <v>1315</v>
      </c>
      <c r="C8" s="2886">
        <f>SUM(C9:C13)</f>
        <v>1362186.4089698761</v>
      </c>
      <c r="D8" s="2886">
        <f>SUM(D9:D13)</f>
        <v>959186</v>
      </c>
      <c r="E8" s="2886">
        <f>SUM(E9:E13)</f>
        <v>403000.40896987612</v>
      </c>
      <c r="F8" s="2886">
        <f t="shared" ref="F8:K8" si="1">SUM(F9:F12)</f>
        <v>-128186.40896987612</v>
      </c>
      <c r="G8" s="2886">
        <f t="shared" si="1"/>
        <v>239913.74576271186</v>
      </c>
      <c r="H8" s="2886">
        <f t="shared" si="1"/>
        <v>-368100.15473258798</v>
      </c>
      <c r="I8" s="2886">
        <f t="shared" si="1"/>
        <v>290000</v>
      </c>
      <c r="J8" s="2886">
        <f t="shared" si="1"/>
        <v>251299.98728813569</v>
      </c>
      <c r="K8" s="2886">
        <f t="shared" si="1"/>
        <v>38700.012711864314</v>
      </c>
    </row>
    <row r="9" spans="1:11" ht="30" customHeight="1">
      <c r="A9" s="2887">
        <v>1</v>
      </c>
      <c r="B9" s="2888" t="str">
        <f>'Phụ lục số 3.1'!B25</f>
        <v>Chi đầu tư xây dựng cơ bản</v>
      </c>
      <c r="C9" s="2889">
        <f>D9+E9</f>
        <v>82186.408969876124</v>
      </c>
      <c r="D9" s="2889">
        <f>'Phụ lục số 3.1'!J25-'Phụ lục số 3.1'!D25</f>
        <v>22186</v>
      </c>
      <c r="E9" s="2889">
        <f>'Phụ lục số 3.1'!K25-'Phụ lục số 3.1'!E25</f>
        <v>60000.408969876124</v>
      </c>
      <c r="F9" s="2889">
        <f>G9+H9</f>
        <v>69813.591030123876</v>
      </c>
      <c r="G9" s="2889">
        <f>'Phụ lục số 3.1'!M25-'Phụ lục số 3.1'!J25</f>
        <v>69814</v>
      </c>
      <c r="H9" s="2889">
        <f>'Phụ lục số 3.1'!N25-'Phụ lục số 3.1'!K25</f>
        <v>-0.40896987612359226</v>
      </c>
      <c r="I9" s="2889">
        <f>J9+K9</f>
        <v>52000</v>
      </c>
      <c r="J9" s="2889">
        <f>'Phụ lục số 3.1'!P25-'Phụ lục số 3.1'!M25</f>
        <v>52000</v>
      </c>
      <c r="K9" s="2889">
        <f>'Phụ lục số 3.1'!Q25-'Phụ lục số 3.1'!N25</f>
        <v>0</v>
      </c>
    </row>
    <row r="10" spans="1:11" ht="30" customHeight="1">
      <c r="A10" s="2887">
        <v>2</v>
      </c>
      <c r="B10" s="2888" t="str">
        <f>'Phụ lục số 3.1'!B26</f>
        <v>Chi đầu tư từ nguồn thu tiền sử dụng đất</v>
      </c>
      <c r="C10" s="2889">
        <f>D10+E10</f>
        <v>870000</v>
      </c>
      <c r="D10" s="2889">
        <f>'Phụ lục số 3.1'!J26-'Phụ lục số 3.1'!D26</f>
        <v>527000</v>
      </c>
      <c r="E10" s="2889">
        <f>'Phụ lục số 3.1'!K26-'Phụ lục số 3.1'!E26</f>
        <v>343000</v>
      </c>
      <c r="F10" s="2889">
        <f>G10+H10</f>
        <v>-570000</v>
      </c>
      <c r="G10" s="2889">
        <f>'Phụ lục số 3.1'!M26-'Phụ lục số 3.1'!J26</f>
        <v>-201900.25423728814</v>
      </c>
      <c r="H10" s="2889">
        <f>'Phụ lục số 3.1'!N26-'Phụ lục số 3.1'!K26</f>
        <v>-368099.74576271186</v>
      </c>
      <c r="I10" s="2889">
        <f>J10+K10</f>
        <v>60000</v>
      </c>
      <c r="J10" s="2889">
        <f>'Phụ lục số 3.1'!P26-'Phụ lục số 3.1'!M26</f>
        <v>21299.987288135686</v>
      </c>
      <c r="K10" s="2889">
        <f>'Phụ lục số 3.1'!Q26-'Phụ lục số 3.1'!N26</f>
        <v>38700.012711864314</v>
      </c>
    </row>
    <row r="11" spans="1:11" ht="30" customHeight="1">
      <c r="A11" s="2887">
        <v>3</v>
      </c>
      <c r="B11" s="2888" t="str">
        <f>'Phụ lục số 3.1'!B27</f>
        <v>Chi đầu tư từ nguồn thu xổ số kiến thiết</v>
      </c>
      <c r="C11" s="2889">
        <f>D11+E11</f>
        <v>350000</v>
      </c>
      <c r="D11" s="2889">
        <f>'Phụ lục số 3.1'!J27-'Phụ lục số 3.1'!D27</f>
        <v>350000</v>
      </c>
      <c r="E11" s="2889">
        <f>'Phụ lục số 3.1'!K27-'Phụ lục số 3.1'!E27</f>
        <v>0</v>
      </c>
      <c r="F11" s="2889">
        <f>G11+H11</f>
        <v>372000</v>
      </c>
      <c r="G11" s="2889">
        <f>'Phụ lục số 3.1'!M27-'Phụ lục số 3.1'!J27</f>
        <v>372000</v>
      </c>
      <c r="H11" s="2889">
        <f>'Phụ lục số 3.1'!N27-'Phụ lục số 3.1'!K27</f>
        <v>0</v>
      </c>
      <c r="I11" s="2889">
        <f>J11+K11</f>
        <v>178000</v>
      </c>
      <c r="J11" s="2889">
        <f>'Phụ lục số 3.1'!P27-'Phụ lục số 3.1'!M27</f>
        <v>178000</v>
      </c>
      <c r="K11" s="2889">
        <f>'Phụ lục số 3.1'!Q27-'Phụ lục số 3.1'!N27</f>
        <v>0</v>
      </c>
    </row>
    <row r="12" spans="1:11" ht="30" customHeight="1">
      <c r="A12" s="2887">
        <v>3</v>
      </c>
      <c r="B12" s="2888" t="str">
        <f>'Phụ lục số 3.1'!B28</f>
        <v>Chi đầu tư từ nguồn thu thoái vốn doanh nghiệp nhà nước địa phương quản lý;…</v>
      </c>
      <c r="C12" s="2889">
        <f>D12+E12</f>
        <v>0</v>
      </c>
      <c r="D12" s="2889">
        <f>'Phụ lục số 3.1'!J28-'Phụ lục số 3.1'!D28</f>
        <v>0</v>
      </c>
      <c r="E12" s="2889">
        <f>'Phụ lục số 3.1'!K28-'Phụ lục số 3.1'!E28</f>
        <v>0</v>
      </c>
      <c r="F12" s="2889">
        <f>G12+H12</f>
        <v>0</v>
      </c>
      <c r="G12" s="2889">
        <f>'Phụ lục số 3.1'!M28-'Phụ lục số 3.1'!J28</f>
        <v>0</v>
      </c>
      <c r="H12" s="2889">
        <f>'Phụ lục số 3.1'!N28-'Phụ lục số 3.1'!K28</f>
        <v>0</v>
      </c>
      <c r="I12" s="2889">
        <f>J12+K12</f>
        <v>0</v>
      </c>
      <c r="J12" s="2889">
        <f>'Phụ lục số 3.1'!P28-'Phụ lục số 3.1'!M28</f>
        <v>0</v>
      </c>
      <c r="K12" s="2889">
        <f>'Phụ lục số 3.1'!Q28-'Phụ lục số 3.1'!N28</f>
        <v>0</v>
      </c>
    </row>
    <row r="13" spans="1:11" ht="30" customHeight="1">
      <c r="A13" s="2887"/>
      <c r="B13" s="2888" t="str">
        <f>'Phụ lục số 3.1'!B29</f>
        <v>Chi đầu tư phát triển khác (Ủy thác qua NH Chính sách xã hội chi nhánh tỉnh Đồng Tháp)</v>
      </c>
      <c r="C13" s="2889">
        <f>D13+E13</f>
        <v>60000</v>
      </c>
      <c r="D13" s="2889">
        <f>'Phụ lục số 3.1'!J29-'Phụ lục số 3.1'!D29</f>
        <v>60000</v>
      </c>
      <c r="E13" s="2889"/>
      <c r="F13" s="2889"/>
      <c r="G13" s="2889"/>
      <c r="H13" s="2889"/>
      <c r="I13" s="2889"/>
      <c r="J13" s="2889"/>
      <c r="K13" s="2889"/>
    </row>
    <row r="14" spans="1:11" s="1163" customFormat="1" ht="30" customHeight="1">
      <c r="A14" s="2884" t="s">
        <v>20</v>
      </c>
      <c r="B14" s="2885" t="s">
        <v>2604</v>
      </c>
      <c r="C14" s="2886">
        <f t="shared" ref="C14:K14" si="2">SUM(C15:C17)</f>
        <v>1311113.3947110809</v>
      </c>
      <c r="D14" s="2886">
        <f t="shared" si="2"/>
        <v>126405</v>
      </c>
      <c r="E14" s="2886">
        <f>SUM(E15:E17)</f>
        <v>1184708.3947110809</v>
      </c>
      <c r="F14" s="2886">
        <f>SUM(F15:F17)</f>
        <v>406021.60528891906</v>
      </c>
      <c r="G14" s="2886">
        <f t="shared" si="2"/>
        <v>406560</v>
      </c>
      <c r="H14" s="2886">
        <f t="shared" si="2"/>
        <v>-538.39471108093858</v>
      </c>
      <c r="I14" s="2886">
        <f t="shared" si="2"/>
        <v>302000</v>
      </c>
      <c r="J14" s="2886">
        <f t="shared" si="2"/>
        <v>302000</v>
      </c>
      <c r="K14" s="2886">
        <f t="shared" si="2"/>
        <v>0</v>
      </c>
    </row>
    <row r="15" spans="1:11" ht="30" customHeight="1">
      <c r="A15" s="2887">
        <v>1</v>
      </c>
      <c r="B15" s="2888" t="s">
        <v>573</v>
      </c>
      <c r="C15" s="2889">
        <f t="shared" ref="C15:C21" si="3">D15+E15</f>
        <v>618200.78317974415</v>
      </c>
      <c r="D15" s="2889">
        <f>'Phụ lục số 3.1'!J31-'Phụ lục số 3.1'!D31</f>
        <v>-60359</v>
      </c>
      <c r="E15" s="2889">
        <f>'Phụ lục số 3.1'!K31-'Phụ lục số 3.1'!E31</f>
        <v>678559.78317974415</v>
      </c>
      <c r="F15" s="2889">
        <f t="shared" ref="F15:F20" si="4">G15+H15</f>
        <v>118054.21682025585</v>
      </c>
      <c r="G15" s="2889">
        <f>'Phụ lục số 3.1'!M31-'Phụ lục số 3.1'!J31</f>
        <v>118324</v>
      </c>
      <c r="H15" s="2889">
        <f>'Phụ lục số 3.1'!N31-'Phụ lục số 3.1'!K31</f>
        <v>-269.78317974414676</v>
      </c>
      <c r="I15" s="2889">
        <f t="shared" ref="I15:I20" si="5">J15+K15</f>
        <v>88000</v>
      </c>
      <c r="J15" s="2889">
        <f>'Phụ lục số 3.1'!P31-'Phụ lục số 3.1'!M31</f>
        <v>88000</v>
      </c>
      <c r="K15" s="2889">
        <f>'Phụ lục số 3.1'!Q31-'Phụ lục số 3.1'!N31</f>
        <v>0</v>
      </c>
    </row>
    <row r="16" spans="1:11" ht="30" customHeight="1">
      <c r="A16" s="2887">
        <v>2</v>
      </c>
      <c r="B16" s="2888" t="s">
        <v>99</v>
      </c>
      <c r="C16" s="2889">
        <f t="shared" si="3"/>
        <v>218</v>
      </c>
      <c r="D16" s="2889">
        <f>'Phụ lục số 3.1'!J32-'Phụ lục số 3.1'!D32</f>
        <v>218</v>
      </c>
      <c r="E16" s="2889">
        <f>'Phụ lục số 3.1'!K32-'Phụ lục số 3.1'!E32</f>
        <v>0</v>
      </c>
      <c r="F16" s="2889">
        <f t="shared" si="4"/>
        <v>3782</v>
      </c>
      <c r="G16" s="2889">
        <f>'Phụ lục số 3.1'!M32-'Phụ lục số 3.1'!J32</f>
        <v>3782</v>
      </c>
      <c r="H16" s="2889">
        <f>'Phụ lục số 3.1'!N32-'Phụ lục số 3.1'!K32</f>
        <v>0</v>
      </c>
      <c r="I16" s="2889">
        <f t="shared" si="5"/>
        <v>3000</v>
      </c>
      <c r="J16" s="2889">
        <f>'Phụ lục số 3.1'!P32-'Phụ lục số 3.1'!M32</f>
        <v>3000</v>
      </c>
      <c r="K16" s="2889">
        <f>'Phụ lục số 3.1'!Q32-'Phụ lục số 3.1'!N32</f>
        <v>0</v>
      </c>
    </row>
    <row r="17" spans="1:11" ht="30" customHeight="1">
      <c r="A17" s="2887">
        <v>4</v>
      </c>
      <c r="B17" s="2888" t="s">
        <v>301</v>
      </c>
      <c r="C17" s="2889">
        <f t="shared" si="3"/>
        <v>692694.61153133679</v>
      </c>
      <c r="D17" s="2889">
        <f>'Phụ lục số 3.1'!J33-'Phụ lục số 3.1'!D33</f>
        <v>186546</v>
      </c>
      <c r="E17" s="2889">
        <f>'Phụ lục số 3.1'!K33-'Phụ lục số 3.1'!E33</f>
        <v>506148.61153133679</v>
      </c>
      <c r="F17" s="2889">
        <f t="shared" si="4"/>
        <v>284185.38846866321</v>
      </c>
      <c r="G17" s="2889">
        <f>'Phụ lục số 3.1'!M33-'Phụ lục số 3.1'!J33</f>
        <v>284454</v>
      </c>
      <c r="H17" s="2889">
        <f>'Phụ lục số 3.1'!N33-'Phụ lục số 3.1'!K33</f>
        <v>-268.61153133679181</v>
      </c>
      <c r="I17" s="2889">
        <f t="shared" si="5"/>
        <v>211000</v>
      </c>
      <c r="J17" s="2889">
        <f>'Phụ lục số 3.1'!P33-'Phụ lục số 3.1'!M33</f>
        <v>211000</v>
      </c>
      <c r="K17" s="2889">
        <f>'Phụ lục số 3.1'!Q33-'Phụ lục số 3.1'!N33</f>
        <v>0</v>
      </c>
    </row>
    <row r="18" spans="1:11" s="1164" customFormat="1" ht="30" customHeight="1">
      <c r="A18" s="2884" t="s">
        <v>49</v>
      </c>
      <c r="B18" s="2885" t="s">
        <v>1316</v>
      </c>
      <c r="C18" s="2890">
        <f t="shared" si="3"/>
        <v>717399.2</v>
      </c>
      <c r="D18" s="2890">
        <f>'Phụ lục số 3.1'!J35-'Phụ lục số 3.1'!D35</f>
        <v>79139.200000000012</v>
      </c>
      <c r="E18" s="2890">
        <f>'Phụ lục số 3.1'!K35-'Phụ lục số 3.1'!E35</f>
        <v>638260</v>
      </c>
      <c r="F18" s="2890">
        <f t="shared" si="4"/>
        <v>163902.11019487504</v>
      </c>
      <c r="G18" s="2890">
        <f>'Phụ lục số 3.1'!M35-'Phụ lục số 3.1'!J35</f>
        <v>486378.8084527966</v>
      </c>
      <c r="H18" s="2890">
        <f>'Phụ lục số 3.1'!N35-'Phụ lục số 3.1'!K35</f>
        <v>-322476.69825792155</v>
      </c>
      <c r="I18" s="2890">
        <f t="shared" si="5"/>
        <v>354503.30642849603</v>
      </c>
      <c r="J18" s="2890">
        <f>'Phụ lục số 3.1'!P35-'Phụ lục số 3.1'!M35</f>
        <v>472879.94522215636</v>
      </c>
      <c r="K18" s="2890">
        <f>'Phụ lục số 3.1'!Q35-'Phụ lục số 3.1'!N35</f>
        <v>-118376.63879366033</v>
      </c>
    </row>
    <row r="19" spans="1:11" s="1163" customFormat="1" ht="30" customHeight="1">
      <c r="A19" s="2884" t="s">
        <v>50</v>
      </c>
      <c r="B19" s="2885" t="s">
        <v>65</v>
      </c>
      <c r="C19" s="2890">
        <f t="shared" si="3"/>
        <v>0</v>
      </c>
      <c r="D19" s="2889">
        <f>'Phụ lục số 3.1'!J37-'Phụ lục số 3.1'!D37</f>
        <v>0</v>
      </c>
      <c r="E19" s="2889">
        <f>'Phụ lục số 3.1'!K37-'Phụ lục số 3.1'!E37</f>
        <v>0</v>
      </c>
      <c r="F19" s="2890">
        <f t="shared" si="4"/>
        <v>0</v>
      </c>
      <c r="G19" s="2889">
        <f>'Phụ lục số 3.1'!M37-'Phụ lục số 3.1'!J37</f>
        <v>0</v>
      </c>
      <c r="H19" s="2889">
        <f>'Phụ lục số 3.1'!N37-'Phụ lục số 3.1'!K37</f>
        <v>0</v>
      </c>
      <c r="I19" s="2890">
        <f t="shared" si="5"/>
        <v>0</v>
      </c>
      <c r="J19" s="2889">
        <f>'Phụ lục số 3.1'!P37-'Phụ lục số 3.1'!M37</f>
        <v>0</v>
      </c>
      <c r="K19" s="2889">
        <f>'Phụ lục số 3.1'!Q37-'Phụ lục số 3.1'!N37</f>
        <v>0</v>
      </c>
    </row>
    <row r="20" spans="1:11" s="1164" customFormat="1" ht="30" customHeight="1">
      <c r="A20" s="2884" t="s">
        <v>72</v>
      </c>
      <c r="B20" s="2885" t="s">
        <v>1317</v>
      </c>
      <c r="C20" s="2890">
        <f t="shared" si="3"/>
        <v>53245.912319042109</v>
      </c>
      <c r="D20" s="2890">
        <f>'Phụ lục số 3.1'!J38-'Phụ lục số 3.1'!D38</f>
        <v>16882.367999999988</v>
      </c>
      <c r="E20" s="2890">
        <f>'Phụ lục số 3.1'!K38-'Phụ lục số 3.1'!E38</f>
        <v>36363.544319042121</v>
      </c>
      <c r="F20" s="2890">
        <f t="shared" si="4"/>
        <v>19131.087680957891</v>
      </c>
      <c r="G20" s="2890">
        <f>'Phụ lục số 3.1'!M38-'Phụ lục số 3.1'!J38</f>
        <v>18735.632000000012</v>
      </c>
      <c r="H20" s="2890">
        <f>'Phụ lục số 3.1'!N38-'Phụ lục số 3.1'!K38</f>
        <v>395.45568095787894</v>
      </c>
      <c r="I20" s="2890">
        <f t="shared" si="5"/>
        <v>14000</v>
      </c>
      <c r="J20" s="2890">
        <f>'Phụ lục số 3.1'!P38-'Phụ lục số 3.1'!M38</f>
        <v>14000</v>
      </c>
      <c r="K20" s="2890">
        <f>'Phụ lục số 3.1'!Q38-'Phụ lục số 3.1'!N38</f>
        <v>0</v>
      </c>
    </row>
    <row r="21" spans="1:11" s="1164" customFormat="1" ht="17.399999999999999">
      <c r="A21" s="2891" t="s">
        <v>100</v>
      </c>
      <c r="B21" s="2892" t="s">
        <v>126</v>
      </c>
      <c r="C21" s="2890">
        <f t="shared" si="3"/>
        <v>3000</v>
      </c>
      <c r="D21" s="2890">
        <f>'Phụ lục số 3.1'!J39-'Phụ lục số 3.1'!D39</f>
        <v>3000</v>
      </c>
      <c r="E21" s="2890">
        <f>'Phụ lục số 3.1'!K39-'Phụ lục số 3.1'!E39</f>
        <v>0</v>
      </c>
      <c r="F21" s="2890"/>
      <c r="G21" s="2890">
        <f>'Phụ lục số 3.1'!M39-'Phụ lục số 3.1'!J39</f>
        <v>0</v>
      </c>
      <c r="H21" s="2890">
        <f>'Phụ lục số 3.1'!N39-'Phụ lục số 3.1'!K39</f>
        <v>0</v>
      </c>
      <c r="I21" s="2890"/>
      <c r="J21" s="2890">
        <f>'Phụ lục số 3.1'!P39-'Phụ lục số 3.1'!M39</f>
        <v>0</v>
      </c>
      <c r="K21" s="2890">
        <f>'Phụ lục số 3.1'!Q39-'Phụ lục số 3.1'!N39</f>
        <v>0</v>
      </c>
    </row>
    <row r="22" spans="1:11" ht="18">
      <c r="A22" s="2878"/>
      <c r="B22" s="2878"/>
      <c r="C22" s="2878"/>
      <c r="D22" s="2878"/>
      <c r="E22" s="2878"/>
      <c r="F22" s="2878"/>
      <c r="G22" s="2878"/>
      <c r="H22" s="2878"/>
      <c r="I22" s="2878"/>
      <c r="J22" s="2878"/>
      <c r="K22" s="2878"/>
    </row>
    <row r="24" spans="1:11">
      <c r="C24" s="1165">
        <f>C7-'[1]Phụ lục số 3-thu bs'!AD8</f>
        <v>2944944.9159999997</v>
      </c>
      <c r="F24" s="1165" t="e">
        <f>F7-'[1]Phụ lục số 3-thu bs'!#REF!</f>
        <v>#REF!</v>
      </c>
      <c r="I24" s="1165" t="e">
        <f>I7-'[1]Phụ lục số 3-thu bs'!#REF!</f>
        <v>#REF!</v>
      </c>
    </row>
  </sheetData>
  <mergeCells count="6">
    <mergeCell ref="A2:K2"/>
    <mergeCell ref="A5:A6"/>
    <mergeCell ref="B5:B6"/>
    <mergeCell ref="C5:E5"/>
    <mergeCell ref="F5:H5"/>
    <mergeCell ref="I5:K5"/>
  </mergeCells>
  <conditionalFormatting sqref="A5:B5 F5 A7:B20 A21:C21">
    <cfRule type="expression" dxfId="5" priority="29">
      <formula>MOD(COLUMN(),2)</formula>
    </cfRule>
  </conditionalFormatting>
  <conditionalFormatting sqref="C5:C20">
    <cfRule type="expression" dxfId="4" priority="22">
      <formula>MOD(COLUMN(),2)</formula>
    </cfRule>
  </conditionalFormatting>
  <conditionalFormatting sqref="C7:K7">
    <cfRule type="expression" dxfId="3" priority="26">
      <formula>MOD(COLUMN(),2)</formula>
    </cfRule>
  </conditionalFormatting>
  <conditionalFormatting sqref="D6:H21">
    <cfRule type="expression" dxfId="2" priority="1">
      <formula>MOD(COLUMN(),2)</formula>
    </cfRule>
  </conditionalFormatting>
  <conditionalFormatting sqref="I5:I21">
    <cfRule type="expression" dxfId="1" priority="11">
      <formula>MOD(COLUMN(),2)</formula>
    </cfRule>
  </conditionalFormatting>
  <conditionalFormatting sqref="J6:K21">
    <cfRule type="expression" dxfId="0" priority="9">
      <formula>MOD(COLUMN(),2)</formula>
    </cfRule>
  </conditionalFormatting>
  <hyperlinks>
    <hyperlink ref="A5:A6" location="'List danh mục'!A1" display="STT"/>
  </hyperlinks>
  <pageMargins left="0.7" right="0.7" top="0.75" bottom="0.75" header="0.3" footer="0.3"/>
  <pageSetup orientation="portrait" verticalDpi="0" r:id="rId1"/>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H186"/>
  <sheetViews>
    <sheetView zoomScale="56" zoomScaleNormal="56" workbookViewId="0">
      <pane xSplit="8" ySplit="11" topLeftCell="I12" activePane="bottomRight" state="frozen"/>
      <selection activeCell="Y35" sqref="Y35"/>
      <selection pane="topRight" activeCell="Y35" sqref="Y35"/>
      <selection pane="bottomLeft" activeCell="Y35" sqref="Y35"/>
      <selection pane="bottomRight" activeCell="AH14" sqref="AH14"/>
    </sheetView>
  </sheetViews>
  <sheetFormatPr defaultColWidth="8.69921875" defaultRowHeight="18"/>
  <cols>
    <col min="1" max="1" width="7.09765625" style="20" bestFit="1" customWidth="1"/>
    <col min="2" max="2" width="46.69921875" style="37" customWidth="1"/>
    <col min="3" max="3" width="13.59765625" style="37" customWidth="1"/>
    <col min="4" max="9" width="12.69921875" style="37" hidden="1" customWidth="1"/>
    <col min="10" max="22" width="12.69921875" style="37" customWidth="1"/>
    <col min="23" max="23" width="13" style="37" hidden="1" customWidth="1"/>
    <col min="24" max="24" width="14" style="37" hidden="1" customWidth="1"/>
    <col min="25" max="25" width="5.69921875" style="37" hidden="1" customWidth="1"/>
    <col min="26" max="26" width="11.5" style="37" hidden="1" customWidth="1"/>
    <col min="27" max="27" width="12.69921875" style="37" hidden="1" customWidth="1"/>
    <col min="28" max="28" width="10.69921875" style="37" customWidth="1"/>
    <col min="29" max="30" width="12.69921875" style="37" customWidth="1"/>
    <col min="31" max="31" width="14" style="37" hidden="1" customWidth="1"/>
    <col min="32" max="33" width="8.69921875" style="37"/>
    <col min="34" max="34" width="13.69921875" style="37" bestFit="1" customWidth="1"/>
    <col min="35" max="16384" width="8.69921875" style="37"/>
  </cols>
  <sheetData>
    <row r="1" spans="1:34">
      <c r="A1" s="4299" t="s">
        <v>2389</v>
      </c>
      <c r="B1" s="4299"/>
      <c r="C1" s="4299"/>
      <c r="D1" s="4299"/>
      <c r="E1" s="4299"/>
      <c r="F1" s="4299"/>
      <c r="G1" s="4299"/>
      <c r="H1" s="4299"/>
      <c r="I1" s="4299"/>
      <c r="J1" s="4299"/>
      <c r="K1" s="4299"/>
      <c r="L1" s="4299"/>
      <c r="M1" s="4299"/>
      <c r="N1" s="4299"/>
      <c r="O1" s="4299"/>
      <c r="P1" s="4299"/>
      <c r="Q1" s="4299"/>
      <c r="R1" s="4299"/>
      <c r="S1" s="4299"/>
      <c r="T1" s="4299"/>
      <c r="U1" s="4299"/>
      <c r="V1" s="4299"/>
      <c r="W1" s="4299"/>
      <c r="X1" s="4299"/>
      <c r="Y1" s="4299"/>
      <c r="Z1" s="4299"/>
      <c r="AA1" s="4299"/>
      <c r="AB1" s="4299"/>
      <c r="AC1" s="4299"/>
      <c r="AD1" s="4299"/>
      <c r="AE1" s="4299"/>
    </row>
    <row r="2" spans="1:34">
      <c r="A2" s="4441" t="str">
        <f>'Phụ lục số 3.1'!A2:K2</f>
        <v>(Kèm theo Báo cáo số         /BC-UBND ngày      tháng 10 năm 2023 của Ủy ban nhân dân tỉnh Đồng Tháp)</v>
      </c>
      <c r="B2" s="4300"/>
      <c r="C2" s="4300"/>
      <c r="D2" s="4300"/>
      <c r="E2" s="4300"/>
      <c r="F2" s="4300"/>
      <c r="G2" s="4300"/>
      <c r="H2" s="4300"/>
      <c r="I2" s="4300"/>
      <c r="J2" s="4300"/>
      <c r="K2" s="4300"/>
      <c r="L2" s="4300"/>
      <c r="M2" s="4300"/>
      <c r="N2" s="4300"/>
      <c r="O2" s="4300"/>
      <c r="P2" s="4300"/>
      <c r="Q2" s="4300"/>
      <c r="R2" s="4300"/>
      <c r="S2" s="4300"/>
      <c r="T2" s="4300"/>
      <c r="U2" s="4300"/>
      <c r="V2" s="4300"/>
      <c r="W2" s="4300"/>
      <c r="X2" s="4300"/>
      <c r="Y2" s="4300"/>
      <c r="Z2" s="4300"/>
      <c r="AA2" s="4300"/>
      <c r="AB2" s="4300"/>
      <c r="AC2" s="4300"/>
      <c r="AD2" s="4300"/>
    </row>
    <row r="3" spans="1:34">
      <c r="U3" s="58"/>
    </row>
    <row r="4" spans="1:34" ht="18.600000000000001" thickBot="1">
      <c r="C4" s="58"/>
      <c r="AB4" s="4641" t="s">
        <v>64</v>
      </c>
      <c r="AC4" s="4641"/>
      <c r="AD4" s="4641"/>
    </row>
    <row r="5" spans="1:34" s="2" customFormat="1" thickTop="1">
      <c r="A5" s="4648" t="s">
        <v>288</v>
      </c>
      <c r="B5" s="4519" t="s">
        <v>1346</v>
      </c>
      <c r="C5" s="4650" t="s">
        <v>176</v>
      </c>
      <c r="D5" s="4650"/>
      <c r="E5" s="4650"/>
      <c r="F5" s="4650"/>
      <c r="G5" s="4650"/>
      <c r="H5" s="4650"/>
      <c r="I5" s="4650"/>
      <c r="J5" s="4650"/>
      <c r="K5" s="4650"/>
      <c r="L5" s="4650"/>
      <c r="M5" s="4650"/>
      <c r="N5" s="4650"/>
      <c r="O5" s="4650"/>
      <c r="P5" s="4650"/>
      <c r="Q5" s="4650"/>
      <c r="R5" s="4650"/>
      <c r="S5" s="4650"/>
      <c r="T5" s="4650"/>
      <c r="U5" s="4650"/>
      <c r="V5" s="4650"/>
      <c r="W5" s="4650"/>
      <c r="X5" s="4650"/>
      <c r="Y5" s="4650"/>
      <c r="Z5" s="4650"/>
      <c r="AA5" s="4650"/>
      <c r="AB5" s="4650"/>
      <c r="AC5" s="4650"/>
      <c r="AD5" s="4651"/>
      <c r="AE5" s="4426" t="s">
        <v>1512</v>
      </c>
    </row>
    <row r="6" spans="1:34" s="2" customFormat="1" ht="17.399999999999999" customHeight="1">
      <c r="A6" s="4649"/>
      <c r="B6" s="4318"/>
      <c r="C6" s="4318" t="s">
        <v>1421</v>
      </c>
      <c r="D6" s="4424" t="s">
        <v>1511</v>
      </c>
      <c r="E6" s="4425"/>
      <c r="F6" s="4425"/>
      <c r="G6" s="4425"/>
      <c r="H6" s="4425"/>
      <c r="I6" s="4426"/>
      <c r="J6" s="4362" t="s">
        <v>1430</v>
      </c>
      <c r="K6" s="4362"/>
      <c r="L6" s="4362"/>
      <c r="M6" s="4362"/>
      <c r="N6" s="4362"/>
      <c r="O6" s="4362"/>
      <c r="P6" s="4362"/>
      <c r="Q6" s="4362"/>
      <c r="R6" s="4362"/>
      <c r="S6" s="4362"/>
      <c r="T6" s="4362"/>
      <c r="U6" s="4362"/>
      <c r="V6" s="4362"/>
      <c r="W6" s="4360" t="s">
        <v>60</v>
      </c>
      <c r="X6" s="4360" t="s">
        <v>1513</v>
      </c>
      <c r="Y6" s="129"/>
      <c r="Z6" s="4645" t="s">
        <v>2612</v>
      </c>
      <c r="AA6" s="4642" t="s">
        <v>893</v>
      </c>
      <c r="AB6" s="4318" t="s">
        <v>1427</v>
      </c>
      <c r="AC6" s="4480" t="s">
        <v>309</v>
      </c>
      <c r="AD6" s="4652"/>
      <c r="AE6" s="4426"/>
    </row>
    <row r="7" spans="1:34" s="2" customFormat="1" ht="15.6" customHeight="1">
      <c r="A7" s="4649"/>
      <c r="B7" s="4318"/>
      <c r="C7" s="4318"/>
      <c r="D7" s="4360" t="s">
        <v>1507</v>
      </c>
      <c r="E7" s="4424" t="s">
        <v>309</v>
      </c>
      <c r="F7" s="4425"/>
      <c r="G7" s="4425"/>
      <c r="H7" s="4425"/>
      <c r="I7" s="4426"/>
      <c r="J7" s="4318" t="s">
        <v>1422</v>
      </c>
      <c r="K7" s="4362" t="s">
        <v>309</v>
      </c>
      <c r="L7" s="4362"/>
      <c r="M7" s="4362"/>
      <c r="N7" s="4362"/>
      <c r="O7" s="4362"/>
      <c r="P7" s="4362"/>
      <c r="Q7" s="4362"/>
      <c r="R7" s="4362"/>
      <c r="S7" s="4362"/>
      <c r="T7" s="4362"/>
      <c r="U7" s="4362"/>
      <c r="V7" s="4362"/>
      <c r="W7" s="4546"/>
      <c r="X7" s="4546"/>
      <c r="Y7" s="129"/>
      <c r="Z7" s="4646"/>
      <c r="AA7" s="4643"/>
      <c r="AB7" s="4318"/>
      <c r="AC7" s="4480"/>
      <c r="AD7" s="4652"/>
      <c r="AE7" s="4426"/>
    </row>
    <row r="8" spans="1:34" s="70" customFormat="1" ht="156.6">
      <c r="A8" s="4649"/>
      <c r="B8" s="4318"/>
      <c r="C8" s="4318"/>
      <c r="D8" s="4361"/>
      <c r="E8" s="6" t="str">
        <f>'Phụ lục số 2'!B10</f>
        <v>Chi đầu tư xây dựng cơ bản</v>
      </c>
      <c r="F8" s="6" t="str">
        <f>'Phụ lục số 2'!B11</f>
        <v>Chi đầu tư từ nguồn thu tiền sử dụng đất</v>
      </c>
      <c r="G8" s="6" t="str">
        <f>'Phụ lục số 2'!B12</f>
        <v>Chi đầu tư từ nguồn thu xổ số kiến thiết</v>
      </c>
      <c r="H8" s="6" t="str">
        <f>'Phụ lục số 2'!B13</f>
        <v>Chi đầu tư từ nguồn thu thoái vốn doanh nghiệp nhà nước địa phương quản lý;…</v>
      </c>
      <c r="I8" s="6" t="str">
        <f>'Phụ lục số 2'!B14</f>
        <v>Chi đầu tư phát triển khác (Ủy thác qua NH Chính sách xã hội chi nhánh tỉnh Đồng Tháp)</v>
      </c>
      <c r="J8" s="4318"/>
      <c r="K8" s="6" t="str">
        <f>'Phụ lục số 2'!B16</f>
        <v>Chi các hoạt động kinh tế</v>
      </c>
      <c r="L8" s="7" t="s">
        <v>1423</v>
      </c>
      <c r="M8" s="7" t="s">
        <v>1424</v>
      </c>
      <c r="N8" s="7" t="s">
        <v>1425</v>
      </c>
      <c r="O8" s="7" t="s">
        <v>1426</v>
      </c>
      <c r="P8" s="7" t="s">
        <v>1431</v>
      </c>
      <c r="Q8" s="7" t="s">
        <v>1432</v>
      </c>
      <c r="R8" s="7" t="s">
        <v>1433</v>
      </c>
      <c r="S8" s="7" t="s">
        <v>1434</v>
      </c>
      <c r="T8" s="7" t="s">
        <v>1437</v>
      </c>
      <c r="U8" s="7" t="s">
        <v>1435</v>
      </c>
      <c r="V8" s="7" t="s">
        <v>1436</v>
      </c>
      <c r="W8" s="4361"/>
      <c r="X8" s="4361"/>
      <c r="Y8" s="7"/>
      <c r="Z8" s="4647"/>
      <c r="AA8" s="4644"/>
      <c r="AB8" s="4318"/>
      <c r="AC8" s="7" t="s">
        <v>328</v>
      </c>
      <c r="AD8" s="3001" t="s">
        <v>2611</v>
      </c>
      <c r="AE8" s="4426"/>
    </row>
    <row r="9" spans="1:34" s="48" customFormat="1" ht="17.399999999999999">
      <c r="A9" s="3157"/>
      <c r="B9" s="40" t="s">
        <v>247</v>
      </c>
      <c r="C9" s="3158">
        <f t="shared" ref="C9:AD9" si="0">C10+C107+C108+C111+C112+C113+C114+C116+C117+C118+C110+C109+C115</f>
        <v>13802329.316</v>
      </c>
      <c r="D9" s="3158">
        <f t="shared" si="0"/>
        <v>3199186</v>
      </c>
      <c r="E9" s="3158">
        <f t="shared" si="0"/>
        <v>562186</v>
      </c>
      <c r="F9" s="3158">
        <f t="shared" si="0"/>
        <v>627000</v>
      </c>
      <c r="G9" s="3158">
        <f t="shared" si="0"/>
        <v>1950000</v>
      </c>
      <c r="H9" s="3158">
        <f t="shared" si="0"/>
        <v>0</v>
      </c>
      <c r="I9" s="3158">
        <f t="shared" si="0"/>
        <v>60000</v>
      </c>
      <c r="J9" s="3160">
        <f t="shared" si="0"/>
        <v>3294440</v>
      </c>
      <c r="K9" s="3160">
        <f t="shared" si="0"/>
        <v>545710</v>
      </c>
      <c r="L9" s="3160">
        <f t="shared" si="0"/>
        <v>67965</v>
      </c>
      <c r="M9" s="3160">
        <f t="shared" si="0"/>
        <v>31218</v>
      </c>
      <c r="N9" s="3160">
        <f t="shared" si="0"/>
        <v>956676</v>
      </c>
      <c r="O9" s="3160">
        <f t="shared" si="0"/>
        <v>828538</v>
      </c>
      <c r="P9" s="3160">
        <f t="shared" si="0"/>
        <v>47888</v>
      </c>
      <c r="Q9" s="3160">
        <f t="shared" si="0"/>
        <v>18073</v>
      </c>
      <c r="R9" s="3160">
        <f t="shared" si="0"/>
        <v>37202</v>
      </c>
      <c r="S9" s="3160">
        <f t="shared" si="0"/>
        <v>77385</v>
      </c>
      <c r="T9" s="3160">
        <f t="shared" si="0"/>
        <v>515458</v>
      </c>
      <c r="U9" s="3160">
        <f t="shared" si="0"/>
        <v>148327</v>
      </c>
      <c r="V9" s="3160">
        <f t="shared" si="0"/>
        <v>20000</v>
      </c>
      <c r="W9" s="3160">
        <f t="shared" si="0"/>
        <v>2000</v>
      </c>
      <c r="X9" s="3160">
        <f t="shared" si="0"/>
        <v>152264.36799999999</v>
      </c>
      <c r="Y9" s="3160">
        <f t="shared" si="0"/>
        <v>0</v>
      </c>
      <c r="Z9" s="3160">
        <f t="shared" si="0"/>
        <v>79139.200000000012</v>
      </c>
      <c r="AA9" s="3160">
        <f t="shared" si="0"/>
        <v>3000</v>
      </c>
      <c r="AB9" s="3161">
        <f t="shared" si="0"/>
        <v>1988976</v>
      </c>
      <c r="AC9" s="3161">
        <f t="shared" si="0"/>
        <v>1814491</v>
      </c>
      <c r="AD9" s="3162">
        <f t="shared" si="0"/>
        <v>174485</v>
      </c>
      <c r="AE9" s="3159">
        <f>AE10+AE107+AE108+AE111+AE112+AE113+AE114+AE116+AE117+AE118+AE110+AE109</f>
        <v>5083323.3480000002</v>
      </c>
    </row>
    <row r="10" spans="1:34" s="210" customFormat="1" ht="17.399999999999999">
      <c r="A10" s="3303" t="s">
        <v>7</v>
      </c>
      <c r="B10" s="3617" t="s">
        <v>1438</v>
      </c>
      <c r="C10" s="3574">
        <f>C11+C41+C56+C60+C75</f>
        <v>3468925.4</v>
      </c>
      <c r="D10" s="3618">
        <f t="shared" ref="D10:H10" si="1">D11+D41+D56+D60+D75</f>
        <v>0</v>
      </c>
      <c r="E10" s="3618">
        <f t="shared" si="1"/>
        <v>0</v>
      </c>
      <c r="F10" s="3618">
        <f t="shared" si="1"/>
        <v>0</v>
      </c>
      <c r="G10" s="3618">
        <f t="shared" si="1"/>
        <v>0</v>
      </c>
      <c r="H10" s="3618">
        <f t="shared" si="1"/>
        <v>0</v>
      </c>
      <c r="I10" s="3618"/>
      <c r="J10" s="3574">
        <f>J11+J41+J56+J60+J75</f>
        <v>3294440</v>
      </c>
      <c r="K10" s="3574">
        <f>K11+K41+K56+K60+K75</f>
        <v>545710</v>
      </c>
      <c r="L10" s="3574">
        <f>L11+L41+L56+L60+L75</f>
        <v>67965</v>
      </c>
      <c r="M10" s="3574">
        <f t="shared" ref="M10" si="2">M11+M41+M56+M60+M75</f>
        <v>31218</v>
      </c>
      <c r="N10" s="3574">
        <f>N11+N41+N56+N60+N75</f>
        <v>956676</v>
      </c>
      <c r="O10" s="3574">
        <f>O11+O41+O56+O60+O75</f>
        <v>828538</v>
      </c>
      <c r="P10" s="3574">
        <f t="shared" ref="P10" si="3">P11+P41+P56+P60+P75</f>
        <v>47888</v>
      </c>
      <c r="Q10" s="3574">
        <f t="shared" ref="Q10" si="4">Q11+Q41+Q56+Q60+Q75</f>
        <v>18073</v>
      </c>
      <c r="R10" s="3574">
        <f t="shared" ref="R10" si="5">R11+R41+R56+R60+R75</f>
        <v>37202</v>
      </c>
      <c r="S10" s="3574">
        <f t="shared" ref="S10" si="6">S11+S41+S56+S60+S75</f>
        <v>77385</v>
      </c>
      <c r="T10" s="3574">
        <f t="shared" ref="T10" si="7">T11+T41+T56+T60+T75</f>
        <v>515458</v>
      </c>
      <c r="U10" s="3574">
        <f>U11+U41+U56+U60+U75</f>
        <v>148327</v>
      </c>
      <c r="V10" s="3574">
        <f t="shared" ref="V10" si="8">V11+V41+V56+V60+V75</f>
        <v>20000</v>
      </c>
      <c r="W10" s="3619"/>
      <c r="X10" s="3619"/>
      <c r="Y10" s="3619"/>
      <c r="Z10" s="3619"/>
      <c r="AA10" s="3619"/>
      <c r="AB10" s="3620">
        <f t="shared" ref="AB10:AD10" si="9">AB11+AB41+AB56+AB60+AB75</f>
        <v>174485</v>
      </c>
      <c r="AC10" s="3620">
        <f t="shared" si="9"/>
        <v>0</v>
      </c>
      <c r="AD10" s="3621">
        <f t="shared" si="9"/>
        <v>174485</v>
      </c>
      <c r="AE10" s="3622"/>
    </row>
    <row r="11" spans="1:34" s="210" customFormat="1" ht="17.399999999999999">
      <c r="A11" s="2924" t="s">
        <v>9</v>
      </c>
      <c r="B11" s="3623" t="s">
        <v>2540</v>
      </c>
      <c r="C11" s="3577">
        <f>SUM(C12:C40)</f>
        <v>2543394.0490000001</v>
      </c>
      <c r="D11" s="3577">
        <f t="shared" ref="D11:H11" si="10">SUM(D12:D40)</f>
        <v>0</v>
      </c>
      <c r="E11" s="3577">
        <f t="shared" si="10"/>
        <v>0</v>
      </c>
      <c r="F11" s="3577">
        <f t="shared" si="10"/>
        <v>0</v>
      </c>
      <c r="G11" s="3577">
        <f t="shared" si="10"/>
        <v>0</v>
      </c>
      <c r="H11" s="3577">
        <f t="shared" si="10"/>
        <v>0</v>
      </c>
      <c r="I11" s="3577"/>
      <c r="J11" s="3577">
        <f t="shared" ref="J11:O11" si="11">SUM(J12:J40)</f>
        <v>2380535.0490000001</v>
      </c>
      <c r="K11" s="3577">
        <f t="shared" si="11"/>
        <v>339900</v>
      </c>
      <c r="L11" s="3577">
        <f t="shared" si="11"/>
        <v>66273</v>
      </c>
      <c r="M11" s="3577">
        <f t="shared" si="11"/>
        <v>28166</v>
      </c>
      <c r="N11" s="3577">
        <f>SUM(N12:N40)</f>
        <v>872742</v>
      </c>
      <c r="O11" s="3577">
        <f t="shared" si="11"/>
        <v>460553</v>
      </c>
      <c r="P11" s="3577">
        <f>SUM(P12:P40)</f>
        <v>45194</v>
      </c>
      <c r="Q11" s="3577">
        <f t="shared" ref="Q11:AD11" si="12">SUM(Q12:Q40)</f>
        <v>17596</v>
      </c>
      <c r="R11" s="3577">
        <f t="shared" si="12"/>
        <v>37202</v>
      </c>
      <c r="S11" s="3577">
        <f t="shared" si="12"/>
        <v>54000</v>
      </c>
      <c r="T11" s="3577">
        <f t="shared" si="12"/>
        <v>458909.049</v>
      </c>
      <c r="U11" s="3577">
        <f>SUM(U12:U40)</f>
        <v>0</v>
      </c>
      <c r="V11" s="3577">
        <f t="shared" si="12"/>
        <v>0</v>
      </c>
      <c r="W11" s="3624"/>
      <c r="X11" s="3624"/>
      <c r="Y11" s="3624"/>
      <c r="Z11" s="3624"/>
      <c r="AA11" s="3624"/>
      <c r="AB11" s="3563">
        <f t="shared" si="12"/>
        <v>162859</v>
      </c>
      <c r="AC11" s="3563">
        <f t="shared" si="12"/>
        <v>0</v>
      </c>
      <c r="AD11" s="3564">
        <f t="shared" si="12"/>
        <v>162859</v>
      </c>
      <c r="AE11" s="3625"/>
    </row>
    <row r="12" spans="1:34" s="154" customFormat="1">
      <c r="A12" s="2110">
        <v>1</v>
      </c>
      <c r="B12" s="3165" t="s">
        <v>1439</v>
      </c>
      <c r="C12" s="3626">
        <f>D12+J12+W12+X12+AB12+AE12</f>
        <v>229920.049</v>
      </c>
      <c r="D12" s="3626">
        <f>SUM(E12:H12)</f>
        <v>0</v>
      </c>
      <c r="E12" s="3626"/>
      <c r="F12" s="3626"/>
      <c r="G12" s="3626"/>
      <c r="H12" s="3626"/>
      <c r="I12" s="3626"/>
      <c r="J12" s="3627">
        <f>SUM(K12:V12)</f>
        <v>229920.049</v>
      </c>
      <c r="K12" s="3627"/>
      <c r="L12" s="3627"/>
      <c r="M12" s="3627"/>
      <c r="N12" s="3627">
        <f>231+2372+(500)</f>
        <v>3103</v>
      </c>
      <c r="O12" s="3627">
        <f>14081</f>
        <v>14081</v>
      </c>
      <c r="P12" s="3627"/>
      <c r="Q12" s="3627"/>
      <c r="R12" s="3627"/>
      <c r="S12" s="3627"/>
      <c r="T12" s="3878">
        <f>143563+66327-(14081)+12669+2000+450+(616754000/1000000)+(1191295000/1000000)</f>
        <v>212736.049</v>
      </c>
      <c r="U12" s="3627"/>
      <c r="V12" s="3627"/>
      <c r="W12" s="2954"/>
      <c r="X12" s="2954"/>
      <c r="Y12" s="2954"/>
      <c r="Z12" s="2954"/>
      <c r="AA12" s="2954"/>
      <c r="AB12" s="2954">
        <f>SUM(AC12:AD12)</f>
        <v>0</v>
      </c>
      <c r="AC12" s="2954"/>
      <c r="AD12" s="3142"/>
      <c r="AE12" s="3164"/>
    </row>
    <row r="13" spans="1:34" s="154" customFormat="1">
      <c r="A13" s="2110">
        <v>2</v>
      </c>
      <c r="B13" s="3165" t="s">
        <v>1440</v>
      </c>
      <c r="C13" s="3626">
        <f t="shared" ref="C13:C40" si="13">D13+J13+W13+X13+AB13+AE13</f>
        <v>13947</v>
      </c>
      <c r="D13" s="3626">
        <f t="shared" ref="D13:D40" si="14">SUM(E13:H13)</f>
        <v>0</v>
      </c>
      <c r="E13" s="3626"/>
      <c r="F13" s="3626"/>
      <c r="G13" s="3626"/>
      <c r="H13" s="3626"/>
      <c r="I13" s="3626"/>
      <c r="J13" s="3627">
        <f t="shared" ref="J13:J40" si="15">SUM(K13:V13)</f>
        <v>13947</v>
      </c>
      <c r="K13" s="3627"/>
      <c r="L13" s="3627"/>
      <c r="M13" s="3627"/>
      <c r="N13" s="3627">
        <v>622</v>
      </c>
      <c r="O13" s="3627"/>
      <c r="P13" s="3627"/>
      <c r="Q13" s="3627">
        <v>220</v>
      </c>
      <c r="R13" s="3627"/>
      <c r="S13" s="3627"/>
      <c r="T13" s="3627">
        <v>13105</v>
      </c>
      <c r="U13" s="3627"/>
      <c r="V13" s="3627"/>
      <c r="W13" s="2954"/>
      <c r="X13" s="2954"/>
      <c r="Y13" s="2954"/>
      <c r="Z13" s="2954"/>
      <c r="AA13" s="2954"/>
      <c r="AB13" s="2954">
        <f t="shared" ref="AB13:AB40" si="16">SUM(AC13:AD13)</f>
        <v>0</v>
      </c>
      <c r="AC13" s="2954"/>
      <c r="AD13" s="3142"/>
      <c r="AE13" s="3164"/>
    </row>
    <row r="14" spans="1:34" s="154" customFormat="1">
      <c r="A14" s="2110">
        <v>3</v>
      </c>
      <c r="B14" s="3165" t="s">
        <v>1441</v>
      </c>
      <c r="C14" s="3626">
        <f t="shared" si="13"/>
        <v>27695</v>
      </c>
      <c r="D14" s="3626">
        <f t="shared" si="14"/>
        <v>0</v>
      </c>
      <c r="E14" s="3626"/>
      <c r="F14" s="3626"/>
      <c r="G14" s="3626"/>
      <c r="H14" s="3626"/>
      <c r="I14" s="3626"/>
      <c r="J14" s="3627">
        <f t="shared" si="15"/>
        <v>27695</v>
      </c>
      <c r="K14" s="3627">
        <v>2108</v>
      </c>
      <c r="L14" s="3627"/>
      <c r="M14" s="3627"/>
      <c r="N14" s="3627">
        <v>97</v>
      </c>
      <c r="O14" s="3627"/>
      <c r="P14" s="3627"/>
      <c r="Q14" s="3627"/>
      <c r="R14" s="3627"/>
      <c r="S14" s="3627"/>
      <c r="T14" s="3628">
        <v>25490</v>
      </c>
      <c r="U14" s="3627"/>
      <c r="V14" s="3627"/>
      <c r="W14" s="2954"/>
      <c r="X14" s="2954"/>
      <c r="Y14" s="2954"/>
      <c r="Z14" s="2954"/>
      <c r="AA14" s="2954"/>
      <c r="AB14" s="2954">
        <f t="shared" si="16"/>
        <v>0</v>
      </c>
      <c r="AC14" s="2954"/>
      <c r="AD14" s="3142"/>
      <c r="AE14" s="3164"/>
    </row>
    <row r="15" spans="1:34" s="154" customFormat="1">
      <c r="A15" s="2110">
        <v>4</v>
      </c>
      <c r="B15" s="3165" t="s">
        <v>1442</v>
      </c>
      <c r="C15" s="3626">
        <f t="shared" si="13"/>
        <v>122964</v>
      </c>
      <c r="D15" s="3626">
        <f t="shared" si="14"/>
        <v>0</v>
      </c>
      <c r="E15" s="3626"/>
      <c r="F15" s="3626"/>
      <c r="G15" s="3626"/>
      <c r="H15" s="3626"/>
      <c r="I15" s="3626"/>
      <c r="J15" s="3627">
        <f t="shared" si="15"/>
        <v>86124</v>
      </c>
      <c r="K15" s="3628">
        <f>120913-60000+(1086)</f>
        <v>61999</v>
      </c>
      <c r="L15" s="3628">
        <f>9475-183+31</f>
        <v>9323</v>
      </c>
      <c r="M15" s="3880">
        <v>2994</v>
      </c>
      <c r="N15" s="3627">
        <f>405+239</f>
        <v>644</v>
      </c>
      <c r="O15" s="3627"/>
      <c r="P15" s="3627"/>
      <c r="Q15" s="3627"/>
      <c r="R15" s="3627"/>
      <c r="S15" s="3627"/>
      <c r="T15" s="3628">
        <f>10673+491</f>
        <v>11164</v>
      </c>
      <c r="U15" s="3627"/>
      <c r="V15" s="3627"/>
      <c r="W15" s="2954"/>
      <c r="X15" s="2954"/>
      <c r="Y15" s="2954"/>
      <c r="Z15" s="2954"/>
      <c r="AA15" s="2954"/>
      <c r="AB15" s="2954">
        <f t="shared" si="16"/>
        <v>36840</v>
      </c>
      <c r="AC15" s="2954"/>
      <c r="AD15" s="3142">
        <f>'Phụ lục số 8'!E26+'Phụ lục số 8'!E34</f>
        <v>36840</v>
      </c>
      <c r="AE15" s="3164"/>
      <c r="AH15" s="166"/>
    </row>
    <row r="16" spans="1:34" s="154" customFormat="1">
      <c r="A16" s="2110">
        <v>5</v>
      </c>
      <c r="B16" s="3165" t="s">
        <v>1443</v>
      </c>
      <c r="C16" s="3626">
        <f t="shared" si="13"/>
        <v>14807</v>
      </c>
      <c r="D16" s="3626">
        <f t="shared" si="14"/>
        <v>0</v>
      </c>
      <c r="E16" s="3626"/>
      <c r="F16" s="3626"/>
      <c r="G16" s="3626"/>
      <c r="H16" s="3626"/>
      <c r="I16" s="3626"/>
      <c r="J16" s="3627">
        <f t="shared" si="15"/>
        <v>12807</v>
      </c>
      <c r="K16" s="3627">
        <v>3330</v>
      </c>
      <c r="L16" s="3627"/>
      <c r="M16" s="3627"/>
      <c r="N16" s="3627">
        <v>470</v>
      </c>
      <c r="O16" s="3627"/>
      <c r="P16" s="3627"/>
      <c r="Q16" s="3627">
        <v>590</v>
      </c>
      <c r="R16" s="3627"/>
      <c r="S16" s="3627"/>
      <c r="T16" s="3628">
        <v>8417</v>
      </c>
      <c r="U16" s="3627"/>
      <c r="V16" s="3627"/>
      <c r="W16" s="2954"/>
      <c r="X16" s="2954"/>
      <c r="Y16" s="2954"/>
      <c r="Z16" s="2954"/>
      <c r="AA16" s="2954"/>
      <c r="AB16" s="2954">
        <f t="shared" si="16"/>
        <v>2000</v>
      </c>
      <c r="AC16" s="2954"/>
      <c r="AD16" s="3142">
        <f>'Phụ lục số 8'!E33</f>
        <v>2000</v>
      </c>
      <c r="AE16" s="3164"/>
    </row>
    <row r="17" spans="1:31" s="154" customFormat="1">
      <c r="A17" s="2110">
        <v>6</v>
      </c>
      <c r="B17" s="3165" t="s">
        <v>1444</v>
      </c>
      <c r="C17" s="3626">
        <f t="shared" si="13"/>
        <v>17300</v>
      </c>
      <c r="D17" s="3626">
        <f t="shared" si="14"/>
        <v>0</v>
      </c>
      <c r="E17" s="3626"/>
      <c r="F17" s="3626"/>
      <c r="G17" s="3626"/>
      <c r="H17" s="3626"/>
      <c r="I17" s="3626"/>
      <c r="J17" s="3627">
        <f t="shared" si="15"/>
        <v>17300</v>
      </c>
      <c r="K17" s="3628">
        <v>1115</v>
      </c>
      <c r="L17" s="3628"/>
      <c r="M17" s="3628"/>
      <c r="N17" s="3628">
        <v>1550</v>
      </c>
      <c r="O17" s="3628"/>
      <c r="P17" s="3628"/>
      <c r="Q17" s="3628"/>
      <c r="R17" s="3628"/>
      <c r="S17" s="3628"/>
      <c r="T17" s="3628">
        <f>14765-130</f>
        <v>14635</v>
      </c>
      <c r="U17" s="3627"/>
      <c r="V17" s="3627"/>
      <c r="W17" s="2954"/>
      <c r="X17" s="2954"/>
      <c r="Y17" s="2954"/>
      <c r="Z17" s="2954"/>
      <c r="AA17" s="2954"/>
      <c r="AB17" s="2954">
        <f t="shared" si="16"/>
        <v>0</v>
      </c>
      <c r="AC17" s="2954"/>
      <c r="AD17" s="3142"/>
      <c r="AE17" s="3164"/>
    </row>
    <row r="18" spans="1:31" s="154" customFormat="1">
      <c r="A18" s="2110">
        <v>7</v>
      </c>
      <c r="B18" s="3165" t="s">
        <v>1445</v>
      </c>
      <c r="C18" s="3626">
        <f t="shared" si="13"/>
        <v>50516</v>
      </c>
      <c r="D18" s="3626">
        <f t="shared" si="14"/>
        <v>0</v>
      </c>
      <c r="E18" s="3626"/>
      <c r="F18" s="3626"/>
      <c r="G18" s="3626"/>
      <c r="H18" s="3626"/>
      <c r="I18" s="3626"/>
      <c r="J18" s="3627">
        <f t="shared" si="15"/>
        <v>50516</v>
      </c>
      <c r="K18" s="3628">
        <v>17203</v>
      </c>
      <c r="L18" s="3627"/>
      <c r="M18" s="3627"/>
      <c r="N18" s="3879">
        <f>2888+300</f>
        <v>3188</v>
      </c>
      <c r="O18" s="3627"/>
      <c r="P18" s="3627"/>
      <c r="Q18" s="3627"/>
      <c r="R18" s="3627"/>
      <c r="S18" s="3627"/>
      <c r="T18" s="3628">
        <f>30445-320</f>
        <v>30125</v>
      </c>
      <c r="U18" s="3627"/>
      <c r="V18" s="3627"/>
      <c r="W18" s="2954"/>
      <c r="X18" s="2954"/>
      <c r="Y18" s="2954"/>
      <c r="Z18" s="2954"/>
      <c r="AA18" s="2954"/>
      <c r="AB18" s="2954">
        <f t="shared" si="16"/>
        <v>0</v>
      </c>
      <c r="AC18" s="2954"/>
      <c r="AD18" s="3142"/>
      <c r="AE18" s="3164"/>
    </row>
    <row r="19" spans="1:31" s="154" customFormat="1">
      <c r="A19" s="2110">
        <v>8</v>
      </c>
      <c r="B19" s="3165" t="s">
        <v>1446</v>
      </c>
      <c r="C19" s="3626">
        <f t="shared" si="13"/>
        <v>9940</v>
      </c>
      <c r="D19" s="3626">
        <f t="shared" si="14"/>
        <v>0</v>
      </c>
      <c r="E19" s="3626"/>
      <c r="F19" s="3626"/>
      <c r="G19" s="3626"/>
      <c r="H19" s="3626"/>
      <c r="I19" s="3626"/>
      <c r="J19" s="3627">
        <f t="shared" si="15"/>
        <v>9940</v>
      </c>
      <c r="K19" s="3628">
        <v>1500</v>
      </c>
      <c r="L19" s="3627"/>
      <c r="M19" s="3627"/>
      <c r="N19" s="3628">
        <v>115</v>
      </c>
      <c r="O19" s="3627"/>
      <c r="P19" s="3627"/>
      <c r="Q19" s="3627"/>
      <c r="R19" s="3627"/>
      <c r="S19" s="3627"/>
      <c r="T19" s="3628">
        <v>8325</v>
      </c>
      <c r="U19" s="3627"/>
      <c r="V19" s="3627"/>
      <c r="W19" s="2954"/>
      <c r="X19" s="2954"/>
      <c r="Y19" s="2954"/>
      <c r="Z19" s="2954"/>
      <c r="AA19" s="2954"/>
      <c r="AB19" s="2954">
        <f t="shared" si="16"/>
        <v>0</v>
      </c>
      <c r="AC19" s="2954"/>
      <c r="AD19" s="3142"/>
      <c r="AE19" s="3164"/>
    </row>
    <row r="20" spans="1:31" s="154" customFormat="1">
      <c r="A20" s="2110">
        <v>9</v>
      </c>
      <c r="B20" s="3165" t="s">
        <v>1447</v>
      </c>
      <c r="C20" s="3626">
        <f t="shared" si="13"/>
        <v>29691</v>
      </c>
      <c r="D20" s="3626">
        <f t="shared" si="14"/>
        <v>0</v>
      </c>
      <c r="E20" s="3626"/>
      <c r="F20" s="3626"/>
      <c r="G20" s="3626"/>
      <c r="H20" s="3626"/>
      <c r="I20" s="3626"/>
      <c r="J20" s="3627">
        <f t="shared" si="15"/>
        <v>29691</v>
      </c>
      <c r="K20" s="3628">
        <v>20733</v>
      </c>
      <c r="L20" s="3627"/>
      <c r="M20" s="3627"/>
      <c r="N20" s="3628">
        <v>1025</v>
      </c>
      <c r="O20" s="3627"/>
      <c r="P20" s="3627"/>
      <c r="Q20" s="3628">
        <v>576</v>
      </c>
      <c r="R20" s="3627"/>
      <c r="S20" s="3628"/>
      <c r="T20" s="3628">
        <v>7357</v>
      </c>
      <c r="U20" s="3627"/>
      <c r="V20" s="3627"/>
      <c r="W20" s="2954"/>
      <c r="X20" s="2954"/>
      <c r="Y20" s="2954"/>
      <c r="Z20" s="2954"/>
      <c r="AA20" s="2954"/>
      <c r="AB20" s="2954">
        <f t="shared" si="16"/>
        <v>0</v>
      </c>
      <c r="AC20" s="2954"/>
      <c r="AD20" s="3142"/>
      <c r="AE20" s="3164"/>
    </row>
    <row r="21" spans="1:31" s="154" customFormat="1">
      <c r="A21" s="2110">
        <v>10</v>
      </c>
      <c r="B21" s="3165" t="s">
        <v>1451</v>
      </c>
      <c r="C21" s="3626">
        <f t="shared" si="13"/>
        <v>465600</v>
      </c>
      <c r="D21" s="3626">
        <f t="shared" si="14"/>
        <v>0</v>
      </c>
      <c r="E21" s="3626"/>
      <c r="F21" s="3626"/>
      <c r="G21" s="3626"/>
      <c r="H21" s="3626"/>
      <c r="I21" s="3626"/>
      <c r="J21" s="3627">
        <f t="shared" si="15"/>
        <v>465600</v>
      </c>
      <c r="K21" s="3627"/>
      <c r="L21" s="3627"/>
      <c r="M21" s="3627"/>
      <c r="N21" s="3628">
        <v>8186</v>
      </c>
      <c r="O21" s="3628">
        <v>446472</v>
      </c>
      <c r="P21" s="3627"/>
      <c r="Q21" s="3627"/>
      <c r="R21" s="3627"/>
      <c r="S21" s="3627"/>
      <c r="T21" s="3628">
        <v>10942</v>
      </c>
      <c r="U21" s="3627"/>
      <c r="V21" s="3627"/>
      <c r="W21" s="2954"/>
      <c r="X21" s="2954"/>
      <c r="Y21" s="2954"/>
      <c r="Z21" s="2954"/>
      <c r="AA21" s="2954"/>
      <c r="AB21" s="2954">
        <f t="shared" si="16"/>
        <v>0</v>
      </c>
      <c r="AC21" s="2954"/>
      <c r="AD21" s="3142"/>
      <c r="AE21" s="3164"/>
    </row>
    <row r="22" spans="1:31" s="154" customFormat="1">
      <c r="A22" s="2110">
        <v>11</v>
      </c>
      <c r="B22" s="3165" t="s">
        <v>1448</v>
      </c>
      <c r="C22" s="3626">
        <f t="shared" si="13"/>
        <v>20097</v>
      </c>
      <c r="D22" s="3626">
        <f t="shared" si="14"/>
        <v>0</v>
      </c>
      <c r="E22" s="3626"/>
      <c r="F22" s="3626"/>
      <c r="G22" s="3626"/>
      <c r="H22" s="3626"/>
      <c r="I22" s="3626"/>
      <c r="J22" s="3627">
        <f t="shared" si="15"/>
        <v>20097</v>
      </c>
      <c r="K22" s="3627">
        <v>8921</v>
      </c>
      <c r="L22" s="3627">
        <v>30</v>
      </c>
      <c r="M22" s="3627"/>
      <c r="N22" s="3627">
        <v>514</v>
      </c>
      <c r="O22" s="3627"/>
      <c r="P22" s="3627"/>
      <c r="Q22" s="3627"/>
      <c r="R22" s="3627"/>
      <c r="S22" s="3627"/>
      <c r="T22" s="3627">
        <v>10632</v>
      </c>
      <c r="U22" s="3627"/>
      <c r="V22" s="3627"/>
      <c r="W22" s="2954"/>
      <c r="X22" s="2954"/>
      <c r="Y22" s="2954"/>
      <c r="Z22" s="2954"/>
      <c r="AA22" s="2954"/>
      <c r="AB22" s="2954">
        <f t="shared" si="16"/>
        <v>0</v>
      </c>
      <c r="AC22" s="2954"/>
      <c r="AD22" s="3142"/>
      <c r="AE22" s="3164"/>
    </row>
    <row r="23" spans="1:31" s="154" customFormat="1">
      <c r="A23" s="2110">
        <v>12</v>
      </c>
      <c r="B23" s="3165" t="s">
        <v>1450</v>
      </c>
      <c r="C23" s="3626">
        <f t="shared" si="13"/>
        <v>18961</v>
      </c>
      <c r="D23" s="3626">
        <f t="shared" si="14"/>
        <v>0</v>
      </c>
      <c r="E23" s="3626"/>
      <c r="F23" s="3626"/>
      <c r="G23" s="3626"/>
      <c r="H23" s="3626"/>
      <c r="I23" s="3626"/>
      <c r="J23" s="3627">
        <f t="shared" si="15"/>
        <v>18961</v>
      </c>
      <c r="K23" s="3628">
        <v>3432</v>
      </c>
      <c r="L23" s="3627"/>
      <c r="M23" s="3627"/>
      <c r="N23" s="3628">
        <v>5944</v>
      </c>
      <c r="O23" s="3627"/>
      <c r="P23" s="3627"/>
      <c r="Q23" s="3627"/>
      <c r="R23" s="3627"/>
      <c r="S23" s="3627"/>
      <c r="T23" s="3628">
        <f>9710-125</f>
        <v>9585</v>
      </c>
      <c r="U23" s="3627"/>
      <c r="V23" s="3627"/>
      <c r="W23" s="2954"/>
      <c r="X23" s="2954"/>
      <c r="Y23" s="2954"/>
      <c r="Z23" s="2954"/>
      <c r="AA23" s="2954"/>
      <c r="AB23" s="2954">
        <f t="shared" si="16"/>
        <v>0</v>
      </c>
      <c r="AC23" s="2954"/>
      <c r="AD23" s="3142"/>
      <c r="AE23" s="3164"/>
    </row>
    <row r="24" spans="1:31" s="154" customFormat="1">
      <c r="A24" s="2110">
        <v>13</v>
      </c>
      <c r="B24" s="3165" t="s">
        <v>1449</v>
      </c>
      <c r="C24" s="3626">
        <f t="shared" si="13"/>
        <v>32717</v>
      </c>
      <c r="D24" s="3626">
        <f t="shared" si="14"/>
        <v>0</v>
      </c>
      <c r="E24" s="3626"/>
      <c r="F24" s="3626"/>
      <c r="G24" s="3626"/>
      <c r="H24" s="3626"/>
      <c r="I24" s="3626"/>
      <c r="J24" s="3627">
        <f t="shared" si="15"/>
        <v>32717</v>
      </c>
      <c r="K24" s="3627"/>
      <c r="L24" s="3627"/>
      <c r="M24" s="3627">
        <v>25172</v>
      </c>
      <c r="N24" s="3627">
        <v>100</v>
      </c>
      <c r="O24" s="3627"/>
      <c r="P24" s="3627"/>
      <c r="Q24" s="3627"/>
      <c r="R24" s="3627"/>
      <c r="S24" s="3627"/>
      <c r="T24" s="3627">
        <v>7445</v>
      </c>
      <c r="U24" s="3627"/>
      <c r="V24" s="3627"/>
      <c r="W24" s="2954"/>
      <c r="X24" s="2954"/>
      <c r="Y24" s="2954"/>
      <c r="Z24" s="2954"/>
      <c r="AA24" s="2954"/>
      <c r="AB24" s="2954">
        <f t="shared" si="16"/>
        <v>0</v>
      </c>
      <c r="AC24" s="2954"/>
      <c r="AD24" s="3142"/>
      <c r="AE24" s="3164"/>
    </row>
    <row r="25" spans="1:31" s="154" customFormat="1">
      <c r="A25" s="2110">
        <v>14</v>
      </c>
      <c r="B25" s="3165" t="s">
        <v>1452</v>
      </c>
      <c r="C25" s="3626">
        <f t="shared" si="13"/>
        <v>648205</v>
      </c>
      <c r="D25" s="3626">
        <f t="shared" si="14"/>
        <v>0</v>
      </c>
      <c r="E25" s="3626"/>
      <c r="F25" s="3626"/>
      <c r="G25" s="3626"/>
      <c r="H25" s="3626"/>
      <c r="I25" s="3626"/>
      <c r="J25" s="3627">
        <f t="shared" si="15"/>
        <v>648205</v>
      </c>
      <c r="K25" s="3627"/>
      <c r="L25" s="3627">
        <v>126</v>
      </c>
      <c r="M25" s="3627"/>
      <c r="N25" s="3627">
        <f>634411-16410</f>
        <v>618001</v>
      </c>
      <c r="O25" s="3627"/>
      <c r="P25" s="3627"/>
      <c r="Q25" s="3627">
        <v>520</v>
      </c>
      <c r="R25" s="3628">
        <v>15000</v>
      </c>
      <c r="S25" s="3627"/>
      <c r="T25" s="3628">
        <v>14558</v>
      </c>
      <c r="U25" s="3627"/>
      <c r="V25" s="3627"/>
      <c r="W25" s="2954"/>
      <c r="X25" s="2954"/>
      <c r="Y25" s="2954"/>
      <c r="Z25" s="2954"/>
      <c r="AA25" s="2954"/>
      <c r="AB25" s="2954">
        <f t="shared" si="16"/>
        <v>0</v>
      </c>
      <c r="AC25" s="2954"/>
      <c r="AD25" s="3629"/>
      <c r="AE25" s="3164"/>
    </row>
    <row r="26" spans="1:31" s="154" customFormat="1">
      <c r="A26" s="2110">
        <v>15</v>
      </c>
      <c r="B26" s="3165" t="s">
        <v>1453</v>
      </c>
      <c r="C26" s="3626">
        <f t="shared" si="13"/>
        <v>96879</v>
      </c>
      <c r="D26" s="3626">
        <f t="shared" si="14"/>
        <v>0</v>
      </c>
      <c r="E26" s="3626"/>
      <c r="F26" s="3626"/>
      <c r="G26" s="3626"/>
      <c r="H26" s="3626"/>
      <c r="I26" s="3626"/>
      <c r="J26" s="3627">
        <f t="shared" si="15"/>
        <v>96879</v>
      </c>
      <c r="K26" s="3628">
        <v>57615</v>
      </c>
      <c r="L26" s="3630">
        <f>30000-(995)</f>
        <v>29005</v>
      </c>
      <c r="M26" s="3627"/>
      <c r="N26" s="3627">
        <v>85</v>
      </c>
      <c r="O26" s="3627"/>
      <c r="P26" s="3627"/>
      <c r="Q26" s="3627"/>
      <c r="R26" s="3627"/>
      <c r="S26" s="3627"/>
      <c r="T26" s="3627">
        <v>10174</v>
      </c>
      <c r="U26" s="3627"/>
      <c r="V26" s="3627"/>
      <c r="W26" s="2954"/>
      <c r="X26" s="2954"/>
      <c r="Y26" s="2954"/>
      <c r="Z26" s="2954"/>
      <c r="AA26" s="2954"/>
      <c r="AB26" s="2954">
        <f t="shared" si="16"/>
        <v>0</v>
      </c>
      <c r="AC26" s="2954"/>
      <c r="AD26" s="3142"/>
      <c r="AE26" s="3164"/>
    </row>
    <row r="27" spans="1:31" s="154" customFormat="1">
      <c r="A27" s="2110">
        <v>16</v>
      </c>
      <c r="B27" s="3165" t="s">
        <v>1454</v>
      </c>
      <c r="C27" s="3626">
        <f t="shared" si="13"/>
        <v>141585</v>
      </c>
      <c r="D27" s="3626">
        <f t="shared" si="14"/>
        <v>0</v>
      </c>
      <c r="E27" s="3626"/>
      <c r="F27" s="3626"/>
      <c r="G27" s="3626"/>
      <c r="H27" s="3626"/>
      <c r="I27" s="3626"/>
      <c r="J27" s="3627">
        <f t="shared" si="15"/>
        <v>141585</v>
      </c>
      <c r="K27" s="3631">
        <v>150</v>
      </c>
      <c r="L27" s="3627"/>
      <c r="M27" s="3627"/>
      <c r="N27" s="3628">
        <v>66856</v>
      </c>
      <c r="O27" s="3627"/>
      <c r="P27" s="3628">
        <v>43694</v>
      </c>
      <c r="Q27" s="3627"/>
      <c r="R27" s="3628">
        <v>22202</v>
      </c>
      <c r="S27" s="3627"/>
      <c r="T27" s="3853">
        <v>8683</v>
      </c>
      <c r="U27" s="3627"/>
      <c r="V27" s="3627"/>
      <c r="W27" s="2954"/>
      <c r="X27" s="2954"/>
      <c r="Y27" s="2954"/>
      <c r="Z27" s="2954"/>
      <c r="AA27" s="2954"/>
      <c r="AB27" s="2954">
        <f t="shared" si="16"/>
        <v>0</v>
      </c>
      <c r="AC27" s="2954"/>
      <c r="AD27" s="3142"/>
      <c r="AE27" s="3164"/>
    </row>
    <row r="28" spans="1:31" s="154" customFormat="1">
      <c r="A28" s="2110">
        <v>17</v>
      </c>
      <c r="B28" s="3165" t="s">
        <v>1455</v>
      </c>
      <c r="C28" s="3626">
        <f t="shared" si="13"/>
        <v>51460</v>
      </c>
      <c r="D28" s="3626">
        <f t="shared" si="14"/>
        <v>0</v>
      </c>
      <c r="E28" s="3626"/>
      <c r="F28" s="3626"/>
      <c r="G28" s="3626"/>
      <c r="H28" s="3626"/>
      <c r="I28" s="3626"/>
      <c r="J28" s="3627">
        <f t="shared" si="15"/>
        <v>51460</v>
      </c>
      <c r="K28" s="3628">
        <f>20950</f>
        <v>20950</v>
      </c>
      <c r="L28" s="3627"/>
      <c r="M28" s="3627"/>
      <c r="N28" s="3628">
        <f>762</f>
        <v>762</v>
      </c>
      <c r="O28" s="3627"/>
      <c r="P28" s="3627"/>
      <c r="Q28" s="3628">
        <v>15690</v>
      </c>
      <c r="R28" s="3627"/>
      <c r="S28" s="3627"/>
      <c r="T28" s="3628">
        <f>14032+26</f>
        <v>14058</v>
      </c>
      <c r="U28" s="3627"/>
      <c r="V28" s="3627"/>
      <c r="W28" s="2954"/>
      <c r="X28" s="2954"/>
      <c r="Y28" s="2954"/>
      <c r="Z28" s="2954"/>
      <c r="AA28" s="2954"/>
      <c r="AB28" s="2954">
        <f t="shared" si="16"/>
        <v>0</v>
      </c>
      <c r="AC28" s="2954"/>
      <c r="AD28" s="3142"/>
      <c r="AE28" s="3164"/>
    </row>
    <row r="29" spans="1:31" s="154" customFormat="1">
      <c r="A29" s="2110">
        <v>18</v>
      </c>
      <c r="B29" s="3165" t="s">
        <v>1456</v>
      </c>
      <c r="C29" s="3626">
        <f t="shared" si="13"/>
        <v>97291</v>
      </c>
      <c r="D29" s="3626">
        <f t="shared" si="14"/>
        <v>0</v>
      </c>
      <c r="E29" s="3626"/>
      <c r="F29" s="3626"/>
      <c r="G29" s="3626"/>
      <c r="H29" s="3626"/>
      <c r="I29" s="3626"/>
      <c r="J29" s="3627">
        <f t="shared" si="15"/>
        <v>46033</v>
      </c>
      <c r="K29" s="3628">
        <v>30582</v>
      </c>
      <c r="L29" s="3627"/>
      <c r="M29" s="3627"/>
      <c r="N29" s="3628">
        <v>149</v>
      </c>
      <c r="O29" s="3627"/>
      <c r="P29" s="3627"/>
      <c r="Q29" s="3627"/>
      <c r="R29" s="3627"/>
      <c r="S29" s="3627"/>
      <c r="T29" s="3628">
        <v>15302</v>
      </c>
      <c r="U29" s="3627"/>
      <c r="V29" s="3627"/>
      <c r="W29" s="2954"/>
      <c r="X29" s="2954"/>
      <c r="Y29" s="2954"/>
      <c r="Z29" s="2954"/>
      <c r="AA29" s="2954"/>
      <c r="AB29" s="2954">
        <f t="shared" si="16"/>
        <v>51258</v>
      </c>
      <c r="AC29" s="2954"/>
      <c r="AD29" s="3142">
        <f>'Phụ lục số 8'!E36</f>
        <v>51258</v>
      </c>
      <c r="AE29" s="3164"/>
    </row>
    <row r="30" spans="1:31" s="154" customFormat="1">
      <c r="A30" s="2110">
        <v>19</v>
      </c>
      <c r="B30" s="3165" t="s">
        <v>1457</v>
      </c>
      <c r="C30" s="3626">
        <f t="shared" si="13"/>
        <v>189048</v>
      </c>
      <c r="D30" s="3626">
        <f t="shared" si="14"/>
        <v>0</v>
      </c>
      <c r="E30" s="3626"/>
      <c r="F30" s="3626"/>
      <c r="G30" s="3626"/>
      <c r="H30" s="3626"/>
      <c r="I30" s="3626"/>
      <c r="J30" s="3627">
        <f t="shared" si="15"/>
        <v>123393</v>
      </c>
      <c r="K30" s="3627"/>
      <c r="L30" s="3628">
        <v>480</v>
      </c>
      <c r="M30" s="3627"/>
      <c r="N30" s="3628">
        <v>60000</v>
      </c>
      <c r="O30" s="3627"/>
      <c r="P30" s="3627"/>
      <c r="Q30" s="3627"/>
      <c r="R30" s="3627"/>
      <c r="S30" s="3628">
        <v>54000</v>
      </c>
      <c r="T30" s="3628">
        <v>8913</v>
      </c>
      <c r="U30" s="3627"/>
      <c r="V30" s="3627"/>
      <c r="W30" s="2954"/>
      <c r="X30" s="2954"/>
      <c r="Y30" s="2954"/>
      <c r="Z30" s="2954"/>
      <c r="AA30" s="2954"/>
      <c r="AB30" s="2954">
        <f t="shared" si="16"/>
        <v>65655</v>
      </c>
      <c r="AC30" s="2954"/>
      <c r="AD30" s="3142">
        <f>'Phụ lục số 8'!E20</f>
        <v>65655</v>
      </c>
      <c r="AE30" s="3164"/>
    </row>
    <row r="31" spans="1:31" s="154" customFormat="1">
      <c r="A31" s="2110">
        <v>20</v>
      </c>
      <c r="B31" s="3165" t="s">
        <v>1458</v>
      </c>
      <c r="C31" s="3626">
        <f t="shared" si="13"/>
        <v>12698</v>
      </c>
      <c r="D31" s="3626">
        <f t="shared" si="14"/>
        <v>0</v>
      </c>
      <c r="E31" s="3626"/>
      <c r="F31" s="3626"/>
      <c r="G31" s="3626"/>
      <c r="H31" s="3626"/>
      <c r="I31" s="3626"/>
      <c r="J31" s="3627">
        <f t="shared" si="15"/>
        <v>12698</v>
      </c>
      <c r="K31" s="3627"/>
      <c r="L31" s="3627"/>
      <c r="M31" s="3627"/>
      <c r="N31" s="3628">
        <v>164</v>
      </c>
      <c r="O31" s="3627"/>
      <c r="P31" s="3627"/>
      <c r="Q31" s="3627"/>
      <c r="R31" s="3627"/>
      <c r="S31" s="3627"/>
      <c r="T31" s="3628">
        <v>12534</v>
      </c>
      <c r="U31" s="3627"/>
      <c r="V31" s="3627"/>
      <c r="W31" s="2954"/>
      <c r="X31" s="2954"/>
      <c r="Y31" s="2954"/>
      <c r="Z31" s="2954"/>
      <c r="AA31" s="2954"/>
      <c r="AB31" s="2954">
        <f t="shared" si="16"/>
        <v>0</v>
      </c>
      <c r="AC31" s="2954"/>
      <c r="AD31" s="3142"/>
      <c r="AE31" s="3164"/>
    </row>
    <row r="32" spans="1:31" s="154" customFormat="1">
      <c r="A32" s="2110">
        <v>21</v>
      </c>
      <c r="B32" s="3165" t="s">
        <v>1459</v>
      </c>
      <c r="C32" s="3626">
        <f t="shared" si="13"/>
        <v>23281</v>
      </c>
      <c r="D32" s="3626">
        <f t="shared" si="14"/>
        <v>0</v>
      </c>
      <c r="E32" s="3626"/>
      <c r="F32" s="3626"/>
      <c r="G32" s="3626"/>
      <c r="H32" s="3626"/>
      <c r="I32" s="3626"/>
      <c r="J32" s="3627">
        <f t="shared" si="15"/>
        <v>23281</v>
      </c>
      <c r="K32" s="3627"/>
      <c r="L32" s="3627"/>
      <c r="M32" s="3627"/>
      <c r="N32" s="3628">
        <f>23281</f>
        <v>23281</v>
      </c>
      <c r="O32" s="3627"/>
      <c r="P32" s="3627"/>
      <c r="Q32" s="3627"/>
      <c r="R32" s="3627"/>
      <c r="S32" s="3627"/>
      <c r="T32" s="3627"/>
      <c r="U32" s="3627"/>
      <c r="V32" s="3627"/>
      <c r="W32" s="2954"/>
      <c r="X32" s="2954"/>
      <c r="Y32" s="2954"/>
      <c r="Z32" s="2954"/>
      <c r="AA32" s="2954"/>
      <c r="AB32" s="2954">
        <f t="shared" si="16"/>
        <v>0</v>
      </c>
      <c r="AC32" s="2954"/>
      <c r="AD32" s="3142"/>
      <c r="AE32" s="3164"/>
    </row>
    <row r="33" spans="1:34" s="154" customFormat="1">
      <c r="A33" s="2110">
        <v>22</v>
      </c>
      <c r="B33" s="3165" t="s">
        <v>1460</v>
      </c>
      <c r="C33" s="3626">
        <f t="shared" si="13"/>
        <v>61825</v>
      </c>
      <c r="D33" s="3626">
        <f t="shared" si="14"/>
        <v>0</v>
      </c>
      <c r="E33" s="3626"/>
      <c r="F33" s="3626"/>
      <c r="G33" s="3626"/>
      <c r="H33" s="3626"/>
      <c r="I33" s="3626"/>
      <c r="J33" s="3627">
        <f t="shared" si="15"/>
        <v>61825</v>
      </c>
      <c r="K33" s="3627"/>
      <c r="L33" s="3627"/>
      <c r="M33" s="3627"/>
      <c r="N33" s="3628">
        <v>61825</v>
      </c>
      <c r="O33" s="3627"/>
      <c r="P33" s="3627"/>
      <c r="Q33" s="3627"/>
      <c r="R33" s="3627"/>
      <c r="S33" s="3627"/>
      <c r="T33" s="3627"/>
      <c r="U33" s="3627"/>
      <c r="V33" s="3627"/>
      <c r="W33" s="2954"/>
      <c r="X33" s="2954"/>
      <c r="Y33" s="2954"/>
      <c r="Z33" s="2954"/>
      <c r="AA33" s="2954"/>
      <c r="AB33" s="2954">
        <f t="shared" si="16"/>
        <v>0</v>
      </c>
      <c r="AC33" s="2954"/>
      <c r="AD33" s="3142"/>
      <c r="AE33" s="3164"/>
    </row>
    <row r="34" spans="1:34" s="154" customFormat="1">
      <c r="A34" s="2110">
        <v>23</v>
      </c>
      <c r="B34" s="3165" t="s">
        <v>1461</v>
      </c>
      <c r="C34" s="3626">
        <f t="shared" si="13"/>
        <v>15870</v>
      </c>
      <c r="D34" s="3626">
        <f t="shared" si="14"/>
        <v>0</v>
      </c>
      <c r="E34" s="3626"/>
      <c r="F34" s="3626"/>
      <c r="G34" s="3626"/>
      <c r="H34" s="3626"/>
      <c r="I34" s="3626"/>
      <c r="J34" s="3627">
        <f t="shared" si="15"/>
        <v>15870</v>
      </c>
      <c r="K34" s="3627"/>
      <c r="L34" s="3627">
        <v>0</v>
      </c>
      <c r="M34" s="3627"/>
      <c r="N34" s="3627">
        <v>15870</v>
      </c>
      <c r="O34" s="3627"/>
      <c r="P34" s="3627"/>
      <c r="Q34" s="3627"/>
      <c r="R34" s="3627"/>
      <c r="S34" s="3627"/>
      <c r="T34" s="3627"/>
      <c r="U34" s="3627"/>
      <c r="V34" s="3627"/>
      <c r="W34" s="2954"/>
      <c r="X34" s="2954"/>
      <c r="Y34" s="2954"/>
      <c r="Z34" s="2954"/>
      <c r="AA34" s="2954"/>
      <c r="AB34" s="2954">
        <f t="shared" si="16"/>
        <v>0</v>
      </c>
      <c r="AC34" s="2954"/>
      <c r="AD34" s="3142"/>
      <c r="AE34" s="3164"/>
    </row>
    <row r="35" spans="1:34" s="154" customFormat="1">
      <c r="A35" s="2110">
        <v>24</v>
      </c>
      <c r="B35" s="3165" t="s">
        <v>1462</v>
      </c>
      <c r="C35" s="3626">
        <f t="shared" si="13"/>
        <v>5008</v>
      </c>
      <c r="D35" s="3626">
        <f t="shared" si="14"/>
        <v>0</v>
      </c>
      <c r="E35" s="3626"/>
      <c r="F35" s="3626"/>
      <c r="G35" s="3626"/>
      <c r="H35" s="3626"/>
      <c r="I35" s="3626"/>
      <c r="J35" s="3627">
        <f t="shared" si="15"/>
        <v>5008</v>
      </c>
      <c r="K35" s="3627"/>
      <c r="L35" s="3627">
        <v>88</v>
      </c>
      <c r="M35" s="3627"/>
      <c r="N35" s="3627">
        <v>191</v>
      </c>
      <c r="O35" s="3627"/>
      <c r="P35" s="3627"/>
      <c r="Q35" s="3627"/>
      <c r="R35" s="3627"/>
      <c r="S35" s="3627"/>
      <c r="T35" s="3627">
        <v>4729</v>
      </c>
      <c r="U35" s="3627"/>
      <c r="V35" s="3627"/>
      <c r="W35" s="2954"/>
      <c r="X35" s="2954"/>
      <c r="Y35" s="2954"/>
      <c r="Z35" s="2954"/>
      <c r="AA35" s="2954"/>
      <c r="AB35" s="2954">
        <f t="shared" si="16"/>
        <v>0</v>
      </c>
      <c r="AC35" s="2954"/>
      <c r="AD35" s="3142"/>
      <c r="AE35" s="3164"/>
    </row>
    <row r="36" spans="1:34" s="154" customFormat="1">
      <c r="A36" s="2110">
        <v>25</v>
      </c>
      <c r="B36" s="3165" t="s">
        <v>1463</v>
      </c>
      <c r="C36" s="3626">
        <f t="shared" si="13"/>
        <v>9306</v>
      </c>
      <c r="D36" s="3626">
        <f t="shared" si="14"/>
        <v>0</v>
      </c>
      <c r="E36" s="3626"/>
      <c r="F36" s="3626"/>
      <c r="G36" s="3626"/>
      <c r="H36" s="3626"/>
      <c r="I36" s="3626"/>
      <c r="J36" s="3627">
        <f t="shared" si="15"/>
        <v>2200</v>
      </c>
      <c r="K36" s="3628">
        <f>4700-2500</f>
        <v>2200</v>
      </c>
      <c r="L36" s="3627"/>
      <c r="M36" s="3627"/>
      <c r="N36" s="3627"/>
      <c r="O36" s="3627"/>
      <c r="P36" s="3627"/>
      <c r="Q36" s="3627"/>
      <c r="R36" s="3627"/>
      <c r="S36" s="3627"/>
      <c r="T36" s="3627"/>
      <c r="U36" s="3627"/>
      <c r="V36" s="3627"/>
      <c r="W36" s="2954"/>
      <c r="X36" s="2954"/>
      <c r="Y36" s="2954"/>
      <c r="Z36" s="2954"/>
      <c r="AA36" s="2954"/>
      <c r="AB36" s="2954">
        <f t="shared" si="16"/>
        <v>7106</v>
      </c>
      <c r="AC36" s="2954"/>
      <c r="AD36" s="3142">
        <f>'Phụ lục số 8'!E35</f>
        <v>7106</v>
      </c>
      <c r="AE36" s="3164"/>
    </row>
    <row r="37" spans="1:34" s="154" customFormat="1" ht="36">
      <c r="A37" s="2110">
        <v>26</v>
      </c>
      <c r="B37" s="3165" t="s">
        <v>2763</v>
      </c>
      <c r="C37" s="3626">
        <f t="shared" si="13"/>
        <v>90829</v>
      </c>
      <c r="D37" s="3626">
        <f t="shared" si="14"/>
        <v>0</v>
      </c>
      <c r="E37" s="3626"/>
      <c r="F37" s="3626"/>
      <c r="G37" s="3626"/>
      <c r="H37" s="3626"/>
      <c r="I37" s="3626"/>
      <c r="J37" s="3627">
        <f t="shared" si="15"/>
        <v>90829</v>
      </c>
      <c r="K37" s="3627">
        <v>90829</v>
      </c>
      <c r="L37" s="3627"/>
      <c r="M37" s="3627"/>
      <c r="N37" s="3627"/>
      <c r="O37" s="3627"/>
      <c r="P37" s="3627"/>
      <c r="Q37" s="3627"/>
      <c r="R37" s="3627"/>
      <c r="S37" s="3627"/>
      <c r="T37" s="3627"/>
      <c r="U37" s="3627"/>
      <c r="V37" s="3627"/>
      <c r="W37" s="2954"/>
      <c r="X37" s="2954"/>
      <c r="Y37" s="2954"/>
      <c r="Z37" s="2954"/>
      <c r="AA37" s="2954"/>
      <c r="AB37" s="2954">
        <f t="shared" si="16"/>
        <v>0</v>
      </c>
      <c r="AC37" s="2954"/>
      <c r="AD37" s="3142"/>
      <c r="AE37" s="3164"/>
    </row>
    <row r="38" spans="1:34" s="154" customFormat="1" ht="36">
      <c r="A38" s="2110">
        <v>27</v>
      </c>
      <c r="B38" s="3165" t="s">
        <v>1464</v>
      </c>
      <c r="C38" s="3626">
        <f t="shared" si="13"/>
        <v>18733</v>
      </c>
      <c r="D38" s="3626">
        <f t="shared" si="14"/>
        <v>0</v>
      </c>
      <c r="E38" s="3626"/>
      <c r="F38" s="3626"/>
      <c r="G38" s="3626"/>
      <c r="H38" s="3626"/>
      <c r="I38" s="3626"/>
      <c r="J38" s="3627">
        <f t="shared" si="15"/>
        <v>18733</v>
      </c>
      <c r="K38" s="3627">
        <v>17233</v>
      </c>
      <c r="L38" s="3627"/>
      <c r="M38" s="3627"/>
      <c r="N38" s="3627"/>
      <c r="O38" s="3627"/>
      <c r="P38" s="3627">
        <v>1500</v>
      </c>
      <c r="Q38" s="3627"/>
      <c r="R38" s="3627"/>
      <c r="S38" s="3627"/>
      <c r="T38" s="3627"/>
      <c r="U38" s="3627"/>
      <c r="V38" s="3627"/>
      <c r="W38" s="2954"/>
      <c r="X38" s="2954"/>
      <c r="Y38" s="2954"/>
      <c r="Z38" s="2954"/>
      <c r="AA38" s="2954"/>
      <c r="AB38" s="2954">
        <f t="shared" si="16"/>
        <v>0</v>
      </c>
      <c r="AC38" s="2954"/>
      <c r="AD38" s="3142"/>
      <c r="AE38" s="3164"/>
    </row>
    <row r="39" spans="1:34" s="154" customFormat="1">
      <c r="A39" s="2110">
        <v>28</v>
      </c>
      <c r="B39" s="3165" t="s">
        <v>1465</v>
      </c>
      <c r="C39" s="3626">
        <f t="shared" si="13"/>
        <v>27221</v>
      </c>
      <c r="D39" s="3626">
        <f t="shared" si="14"/>
        <v>0</v>
      </c>
      <c r="E39" s="3626"/>
      <c r="F39" s="3626"/>
      <c r="G39" s="3626"/>
      <c r="H39" s="3626"/>
      <c r="I39" s="3626"/>
      <c r="J39" s="3627">
        <f t="shared" si="15"/>
        <v>27221</v>
      </c>
      <c r="K39" s="3627"/>
      <c r="L39" s="3627">
        <f>27010+211</f>
        <v>27221</v>
      </c>
      <c r="M39" s="3627"/>
      <c r="N39" s="3627"/>
      <c r="O39" s="3627"/>
      <c r="P39" s="3627"/>
      <c r="Q39" s="3627"/>
      <c r="R39" s="3627"/>
      <c r="S39" s="3627"/>
      <c r="T39" s="3627"/>
      <c r="U39" s="3627"/>
      <c r="V39" s="3627"/>
      <c r="W39" s="2954"/>
      <c r="X39" s="2954"/>
      <c r="Y39" s="2954"/>
      <c r="Z39" s="2954"/>
      <c r="AA39" s="2954"/>
      <c r="AB39" s="2954">
        <f t="shared" si="16"/>
        <v>0</v>
      </c>
      <c r="AC39" s="2954"/>
      <c r="AD39" s="3142"/>
      <c r="AE39" s="3164"/>
    </row>
    <row r="40" spans="1:34" s="154" customFormat="1" hidden="1">
      <c r="A40" s="2110">
        <v>29</v>
      </c>
      <c r="B40" s="3165"/>
      <c r="C40" s="3626">
        <f t="shared" si="13"/>
        <v>0</v>
      </c>
      <c r="D40" s="3626">
        <f t="shared" si="14"/>
        <v>0</v>
      </c>
      <c r="E40" s="3626"/>
      <c r="F40" s="3626"/>
      <c r="G40" s="3626"/>
      <c r="H40" s="3626"/>
      <c r="I40" s="3626"/>
      <c r="J40" s="3627">
        <f t="shared" si="15"/>
        <v>0</v>
      </c>
      <c r="K40" s="3627"/>
      <c r="L40" s="3627"/>
      <c r="M40" s="3627"/>
      <c r="N40" s="3627"/>
      <c r="O40" s="3627"/>
      <c r="P40" s="3627"/>
      <c r="Q40" s="3627"/>
      <c r="R40" s="3627"/>
      <c r="S40" s="3627"/>
      <c r="T40" s="3627"/>
      <c r="U40" s="3627"/>
      <c r="V40" s="3627"/>
      <c r="W40" s="2954"/>
      <c r="X40" s="2954"/>
      <c r="Y40" s="2954"/>
      <c r="Z40" s="2954"/>
      <c r="AA40" s="2954"/>
      <c r="AB40" s="2954">
        <f t="shared" si="16"/>
        <v>0</v>
      </c>
      <c r="AC40" s="2954"/>
      <c r="AD40" s="3142"/>
      <c r="AE40" s="3164"/>
    </row>
    <row r="41" spans="1:34" s="154" customFormat="1" ht="34.799999999999997">
      <c r="A41" s="3632" t="s">
        <v>20</v>
      </c>
      <c r="B41" s="3633" t="s">
        <v>2541</v>
      </c>
      <c r="C41" s="3563">
        <f>SUM(C42,C48)</f>
        <v>68556</v>
      </c>
      <c r="D41" s="3563">
        <f t="shared" ref="D41:AD41" si="17">SUM(D42,D48)</f>
        <v>0</v>
      </c>
      <c r="E41" s="3563">
        <f t="shared" si="17"/>
        <v>0</v>
      </c>
      <c r="F41" s="3563">
        <f t="shared" si="17"/>
        <v>0</v>
      </c>
      <c r="G41" s="3563">
        <f t="shared" si="17"/>
        <v>0</v>
      </c>
      <c r="H41" s="3563">
        <f t="shared" si="17"/>
        <v>0</v>
      </c>
      <c r="I41" s="3563"/>
      <c r="J41" s="3563">
        <f t="shared" si="17"/>
        <v>68556</v>
      </c>
      <c r="K41" s="3563">
        <f t="shared" si="17"/>
        <v>10310</v>
      </c>
      <c r="L41" s="3563">
        <f t="shared" si="17"/>
        <v>192</v>
      </c>
      <c r="M41" s="3563">
        <f t="shared" si="17"/>
        <v>1160</v>
      </c>
      <c r="N41" s="3563">
        <f t="shared" si="17"/>
        <v>5267</v>
      </c>
      <c r="O41" s="3563">
        <f t="shared" si="17"/>
        <v>100</v>
      </c>
      <c r="P41" s="3563">
        <f t="shared" si="17"/>
        <v>0</v>
      </c>
      <c r="Q41" s="3563">
        <f t="shared" si="17"/>
        <v>477</v>
      </c>
      <c r="R41" s="3563">
        <f t="shared" si="17"/>
        <v>0</v>
      </c>
      <c r="S41" s="3563">
        <f t="shared" si="17"/>
        <v>0</v>
      </c>
      <c r="T41" s="3563">
        <f t="shared" si="17"/>
        <v>51050</v>
      </c>
      <c r="U41" s="3563">
        <f t="shared" si="17"/>
        <v>0</v>
      </c>
      <c r="V41" s="3563">
        <f t="shared" si="17"/>
        <v>0</v>
      </c>
      <c r="W41" s="3563">
        <f t="shared" si="17"/>
        <v>0</v>
      </c>
      <c r="X41" s="3563">
        <f t="shared" si="17"/>
        <v>0</v>
      </c>
      <c r="Y41" s="3563">
        <f t="shared" si="17"/>
        <v>0</v>
      </c>
      <c r="Z41" s="3563">
        <f t="shared" si="17"/>
        <v>0</v>
      </c>
      <c r="AA41" s="3563">
        <f t="shared" si="17"/>
        <v>0</v>
      </c>
      <c r="AB41" s="3563">
        <f t="shared" si="17"/>
        <v>0</v>
      </c>
      <c r="AC41" s="3563">
        <f t="shared" si="17"/>
        <v>0</v>
      </c>
      <c r="AD41" s="3564">
        <f t="shared" si="17"/>
        <v>0</v>
      </c>
      <c r="AE41" s="3164"/>
    </row>
    <row r="42" spans="1:34" s="154" customFormat="1">
      <c r="A42" s="2109" t="s">
        <v>1466</v>
      </c>
      <c r="B42" s="3163" t="s">
        <v>1467</v>
      </c>
      <c r="C42" s="2956">
        <f>SUM(C43:C47)</f>
        <v>46462</v>
      </c>
      <c r="D42" s="2956">
        <f t="shared" ref="D42:AD42" si="18">SUM(D43:D47)</f>
        <v>0</v>
      </c>
      <c r="E42" s="2956">
        <f t="shared" si="18"/>
        <v>0</v>
      </c>
      <c r="F42" s="2956">
        <f t="shared" si="18"/>
        <v>0</v>
      </c>
      <c r="G42" s="2956">
        <f t="shared" si="18"/>
        <v>0</v>
      </c>
      <c r="H42" s="2956">
        <f t="shared" si="18"/>
        <v>0</v>
      </c>
      <c r="I42" s="2956"/>
      <c r="J42" s="2956">
        <f t="shared" si="18"/>
        <v>46462</v>
      </c>
      <c r="K42" s="2956">
        <f t="shared" si="18"/>
        <v>10310</v>
      </c>
      <c r="L42" s="2956">
        <f t="shared" si="18"/>
        <v>132</v>
      </c>
      <c r="M42" s="2956">
        <f t="shared" si="18"/>
        <v>450</v>
      </c>
      <c r="N42" s="2956">
        <f t="shared" si="18"/>
        <v>2852</v>
      </c>
      <c r="O42" s="2956">
        <f t="shared" si="18"/>
        <v>0</v>
      </c>
      <c r="P42" s="2956">
        <f t="shared" si="18"/>
        <v>0</v>
      </c>
      <c r="Q42" s="2956">
        <f t="shared" si="18"/>
        <v>0</v>
      </c>
      <c r="R42" s="2956">
        <f t="shared" si="18"/>
        <v>0</v>
      </c>
      <c r="S42" s="2956">
        <f t="shared" si="18"/>
        <v>0</v>
      </c>
      <c r="T42" s="2956">
        <f t="shared" si="18"/>
        <v>32718</v>
      </c>
      <c r="U42" s="2956">
        <f t="shared" si="18"/>
        <v>0</v>
      </c>
      <c r="V42" s="2956">
        <f t="shared" si="18"/>
        <v>0</v>
      </c>
      <c r="W42" s="2956">
        <f t="shared" si="18"/>
        <v>0</v>
      </c>
      <c r="X42" s="2956">
        <f t="shared" si="18"/>
        <v>0</v>
      </c>
      <c r="Y42" s="2956">
        <f t="shared" si="18"/>
        <v>0</v>
      </c>
      <c r="Z42" s="2956">
        <f t="shared" si="18"/>
        <v>0</v>
      </c>
      <c r="AA42" s="2956">
        <f t="shared" si="18"/>
        <v>0</v>
      </c>
      <c r="AB42" s="2956">
        <f t="shared" si="18"/>
        <v>0</v>
      </c>
      <c r="AC42" s="2956">
        <f t="shared" si="18"/>
        <v>0</v>
      </c>
      <c r="AD42" s="3143">
        <f t="shared" si="18"/>
        <v>0</v>
      </c>
      <c r="AE42" s="3164"/>
    </row>
    <row r="43" spans="1:34" s="154" customFormat="1">
      <c r="A43" s="2110">
        <f>A39+1</f>
        <v>29</v>
      </c>
      <c r="B43" s="3165" t="s">
        <v>1468</v>
      </c>
      <c r="C43" s="2954">
        <f t="shared" ref="C43:C74" si="19">D43+J43+W43+X43+AB43+AE43</f>
        <v>12640</v>
      </c>
      <c r="D43" s="2954">
        <f t="shared" ref="D43:D106" si="20">SUM(E43:H43)</f>
        <v>0</v>
      </c>
      <c r="E43" s="2954"/>
      <c r="F43" s="2954"/>
      <c r="G43" s="2954"/>
      <c r="H43" s="2954"/>
      <c r="I43" s="2954"/>
      <c r="J43" s="2954">
        <f t="shared" ref="J43:J70" si="21">SUM(K43:V43)</f>
        <v>12640</v>
      </c>
      <c r="K43" s="2954"/>
      <c r="L43" s="2954">
        <v>41</v>
      </c>
      <c r="M43" s="2954">
        <v>175</v>
      </c>
      <c r="N43" s="2954">
        <v>496</v>
      </c>
      <c r="O43" s="2954"/>
      <c r="P43" s="2954"/>
      <c r="Q43" s="2954"/>
      <c r="R43" s="2954"/>
      <c r="S43" s="2954"/>
      <c r="T43" s="2954">
        <f>9127+2521+280</f>
        <v>11928</v>
      </c>
      <c r="U43" s="2954"/>
      <c r="V43" s="2954"/>
      <c r="W43" s="2954"/>
      <c r="X43" s="2954"/>
      <c r="Y43" s="2954"/>
      <c r="Z43" s="2954"/>
      <c r="AA43" s="2954"/>
      <c r="AB43" s="2954">
        <f t="shared" ref="AB43:AB53" si="22">SUM(AC43:AD43)</f>
        <v>0</v>
      </c>
      <c r="AC43" s="2954"/>
      <c r="AD43" s="3142"/>
      <c r="AE43" s="3164"/>
      <c r="AH43" s="155"/>
    </row>
    <row r="44" spans="1:34" s="154" customFormat="1">
      <c r="A44" s="2110">
        <f>A43+1</f>
        <v>30</v>
      </c>
      <c r="B44" s="3165" t="s">
        <v>1469</v>
      </c>
      <c r="C44" s="2954">
        <f t="shared" si="19"/>
        <v>8603.5</v>
      </c>
      <c r="D44" s="2954">
        <f t="shared" si="20"/>
        <v>0</v>
      </c>
      <c r="E44" s="2954"/>
      <c r="F44" s="2954"/>
      <c r="G44" s="2954"/>
      <c r="H44" s="2954"/>
      <c r="I44" s="2954"/>
      <c r="J44" s="2954">
        <f t="shared" si="21"/>
        <v>8603.5</v>
      </c>
      <c r="K44" s="2954">
        <v>310</v>
      </c>
      <c r="L44" s="2954">
        <v>21</v>
      </c>
      <c r="M44" s="2954">
        <v>100</v>
      </c>
      <c r="N44" s="2954">
        <v>493</v>
      </c>
      <c r="O44" s="2954"/>
      <c r="P44" s="2954"/>
      <c r="Q44" s="2954"/>
      <c r="R44" s="2954"/>
      <c r="S44" s="2954"/>
      <c r="T44" s="2954">
        <v>7679.5</v>
      </c>
      <c r="U44" s="2954"/>
      <c r="V44" s="2954"/>
      <c r="W44" s="2954"/>
      <c r="X44" s="2954"/>
      <c r="Y44" s="2954"/>
      <c r="Z44" s="2954"/>
      <c r="AA44" s="2954"/>
      <c r="AB44" s="2954">
        <f t="shared" si="22"/>
        <v>0</v>
      </c>
      <c r="AC44" s="2954"/>
      <c r="AD44" s="3142"/>
      <c r="AE44" s="3164"/>
    </row>
    <row r="45" spans="1:34" s="154" customFormat="1">
      <c r="A45" s="2110">
        <f>A44+1</f>
        <v>31</v>
      </c>
      <c r="B45" s="3165" t="s">
        <v>1470</v>
      </c>
      <c r="C45" s="2954">
        <f t="shared" si="19"/>
        <v>6448</v>
      </c>
      <c r="D45" s="2954">
        <f t="shared" si="20"/>
        <v>0</v>
      </c>
      <c r="E45" s="2954"/>
      <c r="F45" s="2954"/>
      <c r="G45" s="2954"/>
      <c r="H45" s="2954"/>
      <c r="I45" s="2954"/>
      <c r="J45" s="2954">
        <f t="shared" si="21"/>
        <v>6448</v>
      </c>
      <c r="K45" s="2954"/>
      <c r="L45" s="2954">
        <v>70</v>
      </c>
      <c r="M45" s="2954"/>
      <c r="N45" s="2954">
        <v>1100</v>
      </c>
      <c r="O45" s="2954"/>
      <c r="P45" s="2954"/>
      <c r="Q45" s="2954"/>
      <c r="R45" s="2954"/>
      <c r="S45" s="2954"/>
      <c r="T45" s="2954">
        <v>5278</v>
      </c>
      <c r="U45" s="2954"/>
      <c r="V45" s="2954"/>
      <c r="W45" s="2954"/>
      <c r="X45" s="2954"/>
      <c r="Y45" s="2954"/>
      <c r="Z45" s="2954"/>
      <c r="AA45" s="2954"/>
      <c r="AB45" s="2954">
        <f t="shared" si="22"/>
        <v>0</v>
      </c>
      <c r="AC45" s="2954"/>
      <c r="AD45" s="3142"/>
      <c r="AE45" s="3164"/>
    </row>
    <row r="46" spans="1:34" s="154" customFormat="1">
      <c r="A46" s="2110">
        <f>A45+1</f>
        <v>32</v>
      </c>
      <c r="B46" s="3165" t="s">
        <v>1471</v>
      </c>
      <c r="C46" s="2954">
        <f t="shared" si="19"/>
        <v>15292.5</v>
      </c>
      <c r="D46" s="2954">
        <f t="shared" si="20"/>
        <v>0</v>
      </c>
      <c r="E46" s="2954"/>
      <c r="F46" s="2954"/>
      <c r="G46" s="2954"/>
      <c r="H46" s="2954"/>
      <c r="I46" s="2954"/>
      <c r="J46" s="2954">
        <f t="shared" si="21"/>
        <v>15292.5</v>
      </c>
      <c r="K46" s="2954">
        <v>10000</v>
      </c>
      <c r="L46" s="2954"/>
      <c r="M46" s="2954">
        <v>75</v>
      </c>
      <c r="N46" s="2954">
        <v>500</v>
      </c>
      <c r="O46" s="2954"/>
      <c r="P46" s="2954"/>
      <c r="Q46" s="2954"/>
      <c r="R46" s="2954"/>
      <c r="S46" s="2954"/>
      <c r="T46" s="2954">
        <v>4717.5</v>
      </c>
      <c r="U46" s="2954"/>
      <c r="V46" s="2954"/>
      <c r="W46" s="2954"/>
      <c r="X46" s="2954"/>
      <c r="Y46" s="2954"/>
      <c r="Z46" s="2954"/>
      <c r="AA46" s="2954"/>
      <c r="AB46" s="2954">
        <f t="shared" si="22"/>
        <v>0</v>
      </c>
      <c r="AC46" s="2954"/>
      <c r="AD46" s="3142"/>
      <c r="AE46" s="3164"/>
    </row>
    <row r="47" spans="1:34" s="154" customFormat="1">
      <c r="A47" s="2110">
        <f>A46+1</f>
        <v>33</v>
      </c>
      <c r="B47" s="3165" t="s">
        <v>1472</v>
      </c>
      <c r="C47" s="2954">
        <f t="shared" si="19"/>
        <v>3478</v>
      </c>
      <c r="D47" s="2954">
        <f t="shared" si="20"/>
        <v>0</v>
      </c>
      <c r="E47" s="2954"/>
      <c r="F47" s="2954"/>
      <c r="G47" s="2954"/>
      <c r="H47" s="2954"/>
      <c r="I47" s="2954"/>
      <c r="J47" s="2954">
        <f t="shared" si="21"/>
        <v>3478</v>
      </c>
      <c r="K47" s="2954"/>
      <c r="L47" s="2954"/>
      <c r="M47" s="2954">
        <v>100</v>
      </c>
      <c r="N47" s="2954">
        <v>263</v>
      </c>
      <c r="O47" s="2954"/>
      <c r="P47" s="2954"/>
      <c r="Q47" s="2954"/>
      <c r="R47" s="2954"/>
      <c r="S47" s="2954"/>
      <c r="T47" s="2954">
        <f>3235-120</f>
        <v>3115</v>
      </c>
      <c r="U47" s="2954"/>
      <c r="V47" s="2954"/>
      <c r="W47" s="2954"/>
      <c r="X47" s="2954"/>
      <c r="Y47" s="2954"/>
      <c r="Z47" s="2954"/>
      <c r="AA47" s="2954"/>
      <c r="AB47" s="2954">
        <f t="shared" si="22"/>
        <v>0</v>
      </c>
      <c r="AC47" s="2954"/>
      <c r="AD47" s="3142"/>
      <c r="AE47" s="3164"/>
    </row>
    <row r="48" spans="1:34" s="1319" customFormat="1" ht="34.799999999999997">
      <c r="A48" s="2109" t="s">
        <v>1473</v>
      </c>
      <c r="B48" s="3163" t="s">
        <v>1474</v>
      </c>
      <c r="C48" s="2956">
        <f>SUM(C49:C55)</f>
        <v>22094</v>
      </c>
      <c r="D48" s="2956">
        <f t="shared" ref="D48:AD48" si="23">SUM(D49:D55)</f>
        <v>0</v>
      </c>
      <c r="E48" s="2956">
        <f t="shared" si="23"/>
        <v>0</v>
      </c>
      <c r="F48" s="2956">
        <f t="shared" si="23"/>
        <v>0</v>
      </c>
      <c r="G48" s="2956">
        <f t="shared" si="23"/>
        <v>0</v>
      </c>
      <c r="H48" s="2956">
        <f t="shared" si="23"/>
        <v>0</v>
      </c>
      <c r="I48" s="2956"/>
      <c r="J48" s="2956">
        <f t="shared" si="23"/>
        <v>22094</v>
      </c>
      <c r="K48" s="2956">
        <f t="shared" si="23"/>
        <v>0</v>
      </c>
      <c r="L48" s="2956">
        <f t="shared" si="23"/>
        <v>60</v>
      </c>
      <c r="M48" s="2956">
        <f t="shared" si="23"/>
        <v>710</v>
      </c>
      <c r="N48" s="2956">
        <f t="shared" si="23"/>
        <v>2415</v>
      </c>
      <c r="O48" s="2956">
        <f t="shared" si="23"/>
        <v>100</v>
      </c>
      <c r="P48" s="2956">
        <f t="shared" si="23"/>
        <v>0</v>
      </c>
      <c r="Q48" s="2956">
        <f t="shared" si="23"/>
        <v>477</v>
      </c>
      <c r="R48" s="2956">
        <f t="shared" si="23"/>
        <v>0</v>
      </c>
      <c r="S48" s="2956">
        <f t="shared" si="23"/>
        <v>0</v>
      </c>
      <c r="T48" s="2956">
        <f t="shared" si="23"/>
        <v>18332</v>
      </c>
      <c r="U48" s="2956">
        <f t="shared" si="23"/>
        <v>0</v>
      </c>
      <c r="V48" s="2956">
        <f t="shared" si="23"/>
        <v>0</v>
      </c>
      <c r="W48" s="2956">
        <f t="shared" si="23"/>
        <v>0</v>
      </c>
      <c r="X48" s="2956">
        <f t="shared" si="23"/>
        <v>0</v>
      </c>
      <c r="Y48" s="2956">
        <f t="shared" si="23"/>
        <v>0</v>
      </c>
      <c r="Z48" s="2956">
        <f t="shared" si="23"/>
        <v>0</v>
      </c>
      <c r="AA48" s="2956">
        <f t="shared" si="23"/>
        <v>0</v>
      </c>
      <c r="AB48" s="2956">
        <f t="shared" si="23"/>
        <v>0</v>
      </c>
      <c r="AC48" s="2956">
        <f t="shared" si="23"/>
        <v>0</v>
      </c>
      <c r="AD48" s="3143">
        <f t="shared" si="23"/>
        <v>0</v>
      </c>
      <c r="AE48" s="3166"/>
    </row>
    <row r="49" spans="1:33" s="154" customFormat="1">
      <c r="A49" s="2931">
        <v>35</v>
      </c>
      <c r="B49" s="2916" t="s">
        <v>1475</v>
      </c>
      <c r="C49" s="3634">
        <f t="shared" si="19"/>
        <v>3593</v>
      </c>
      <c r="D49" s="2225">
        <f t="shared" si="20"/>
        <v>0</v>
      </c>
      <c r="E49" s="2225"/>
      <c r="F49" s="2225"/>
      <c r="G49" s="2225"/>
      <c r="H49" s="2225"/>
      <c r="I49" s="2225"/>
      <c r="J49" s="2954">
        <f t="shared" si="21"/>
        <v>3593</v>
      </c>
      <c r="K49" s="3635"/>
      <c r="L49" s="3635"/>
      <c r="M49" s="3635"/>
      <c r="N49" s="3635">
        <v>1240</v>
      </c>
      <c r="O49" s="3636"/>
      <c r="P49" s="3635"/>
      <c r="Q49" s="3635">
        <f>'[27]linh vuc'!J120</f>
        <v>50</v>
      </c>
      <c r="R49" s="3635"/>
      <c r="S49" s="3635"/>
      <c r="T49" s="3635">
        <v>2303</v>
      </c>
      <c r="U49" s="3635"/>
      <c r="V49" s="3635"/>
      <c r="W49" s="2225"/>
      <c r="X49" s="2225"/>
      <c r="Y49" s="2225"/>
      <c r="Z49" s="2225"/>
      <c r="AA49" s="2225"/>
      <c r="AB49" s="2954">
        <f t="shared" si="22"/>
        <v>0</v>
      </c>
      <c r="AC49" s="2225"/>
      <c r="AD49" s="3637"/>
      <c r="AE49" s="3164"/>
    </row>
    <row r="50" spans="1:33" s="154" customFormat="1">
      <c r="A50" s="2931">
        <v>36</v>
      </c>
      <c r="B50" s="2916" t="s">
        <v>1476</v>
      </c>
      <c r="C50" s="3634">
        <f t="shared" si="19"/>
        <v>3298</v>
      </c>
      <c r="D50" s="2225">
        <f t="shared" si="20"/>
        <v>0</v>
      </c>
      <c r="E50" s="2225"/>
      <c r="F50" s="2225"/>
      <c r="G50" s="2225"/>
      <c r="H50" s="2225"/>
      <c r="I50" s="2225"/>
      <c r="J50" s="2954">
        <f t="shared" si="21"/>
        <v>3298</v>
      </c>
      <c r="K50" s="3635"/>
      <c r="L50" s="3635">
        <v>60</v>
      </c>
      <c r="M50" s="3635">
        <f>'[27]linh vuc'!F121</f>
        <v>710</v>
      </c>
      <c r="N50" s="3635">
        <v>93</v>
      </c>
      <c r="O50" s="3636"/>
      <c r="P50" s="3635"/>
      <c r="Q50" s="3635">
        <f>'[27]linh vuc'!J121</f>
        <v>124</v>
      </c>
      <c r="R50" s="3635"/>
      <c r="S50" s="3635"/>
      <c r="T50" s="3635">
        <f>2761-450</f>
        <v>2311</v>
      </c>
      <c r="U50" s="3635"/>
      <c r="V50" s="3635"/>
      <c r="W50" s="2225"/>
      <c r="X50" s="2225"/>
      <c r="Y50" s="2225"/>
      <c r="Z50" s="2225"/>
      <c r="AA50" s="2225"/>
      <c r="AB50" s="2954">
        <f t="shared" si="22"/>
        <v>0</v>
      </c>
      <c r="AC50" s="2225"/>
      <c r="AD50" s="3637"/>
      <c r="AE50" s="3164"/>
    </row>
    <row r="51" spans="1:33" s="154" customFormat="1">
      <c r="A51" s="2931">
        <v>37</v>
      </c>
      <c r="B51" s="2916" t="s">
        <v>1477</v>
      </c>
      <c r="C51" s="3634">
        <f t="shared" si="19"/>
        <v>2675</v>
      </c>
      <c r="D51" s="2225">
        <f t="shared" si="20"/>
        <v>0</v>
      </c>
      <c r="E51" s="2225"/>
      <c r="F51" s="2225"/>
      <c r="G51" s="2225"/>
      <c r="H51" s="2225"/>
      <c r="I51" s="2225"/>
      <c r="J51" s="2954">
        <f t="shared" si="21"/>
        <v>2675</v>
      </c>
      <c r="K51" s="3635"/>
      <c r="L51" s="3635"/>
      <c r="M51" s="3635"/>
      <c r="N51" s="3635"/>
      <c r="O51" s="3636"/>
      <c r="P51" s="3635"/>
      <c r="Q51" s="3635"/>
      <c r="R51" s="3635"/>
      <c r="S51" s="3635"/>
      <c r="T51" s="3635">
        <v>2675</v>
      </c>
      <c r="U51" s="3635"/>
      <c r="V51" s="3635"/>
      <c r="W51" s="2225"/>
      <c r="X51" s="2225"/>
      <c r="Y51" s="2225"/>
      <c r="Z51" s="2225"/>
      <c r="AA51" s="2225"/>
      <c r="AB51" s="2954">
        <f t="shared" si="22"/>
        <v>0</v>
      </c>
      <c r="AC51" s="2225"/>
      <c r="AD51" s="3637"/>
      <c r="AE51" s="3164"/>
    </row>
    <row r="52" spans="1:33" s="154" customFormat="1">
      <c r="A52" s="2931">
        <v>38</v>
      </c>
      <c r="B52" s="2916" t="s">
        <v>1478</v>
      </c>
      <c r="C52" s="3634">
        <f t="shared" si="19"/>
        <v>5903</v>
      </c>
      <c r="D52" s="2225">
        <f t="shared" si="20"/>
        <v>0</v>
      </c>
      <c r="E52" s="2225"/>
      <c r="F52" s="2225"/>
      <c r="G52" s="2225"/>
      <c r="H52" s="2225"/>
      <c r="I52" s="2225"/>
      <c r="J52" s="2954">
        <f t="shared" si="21"/>
        <v>5903</v>
      </c>
      <c r="K52" s="3635"/>
      <c r="L52" s="3635"/>
      <c r="M52" s="3635"/>
      <c r="N52" s="3635">
        <v>662</v>
      </c>
      <c r="O52" s="3636"/>
      <c r="P52" s="3635"/>
      <c r="Q52" s="3635">
        <f>'[27]linh vuc'!J123</f>
        <v>303</v>
      </c>
      <c r="R52" s="3635"/>
      <c r="S52" s="3635"/>
      <c r="T52" s="3635">
        <v>4938</v>
      </c>
      <c r="U52" s="3635"/>
      <c r="V52" s="2225"/>
      <c r="W52" s="2225"/>
      <c r="X52" s="2225"/>
      <c r="Y52" s="2225"/>
      <c r="Z52" s="2225"/>
      <c r="AA52" s="2225"/>
      <c r="AB52" s="2954">
        <f t="shared" si="22"/>
        <v>0</v>
      </c>
      <c r="AC52" s="2225"/>
      <c r="AD52" s="3637"/>
      <c r="AE52" s="3164"/>
    </row>
    <row r="53" spans="1:33" s="154" customFormat="1">
      <c r="A53" s="2931">
        <v>39</v>
      </c>
      <c r="B53" s="2916" t="s">
        <v>1479</v>
      </c>
      <c r="C53" s="3634">
        <f t="shared" si="19"/>
        <v>6625</v>
      </c>
      <c r="D53" s="2225">
        <f t="shared" si="20"/>
        <v>0</v>
      </c>
      <c r="E53" s="2225"/>
      <c r="F53" s="2225"/>
      <c r="G53" s="2225"/>
      <c r="H53" s="2225"/>
      <c r="I53" s="2225"/>
      <c r="J53" s="2954">
        <f t="shared" si="21"/>
        <v>6625</v>
      </c>
      <c r="K53" s="3635"/>
      <c r="L53" s="3635"/>
      <c r="M53" s="3635"/>
      <c r="N53" s="3636">
        <v>420</v>
      </c>
      <c r="O53" s="3636">
        <v>100</v>
      </c>
      <c r="P53" s="3635"/>
      <c r="Q53" s="3635"/>
      <c r="R53" s="3635"/>
      <c r="S53" s="3635"/>
      <c r="T53" s="3635">
        <v>6105</v>
      </c>
      <c r="U53" s="3635"/>
      <c r="V53" s="2225"/>
      <c r="W53" s="2225"/>
      <c r="X53" s="2225"/>
      <c r="Y53" s="2225"/>
      <c r="Z53" s="2225"/>
      <c r="AA53" s="2225"/>
      <c r="AB53" s="2954">
        <f t="shared" si="22"/>
        <v>0</v>
      </c>
      <c r="AC53" s="2225"/>
      <c r="AD53" s="3637"/>
      <c r="AE53" s="3164"/>
    </row>
    <row r="54" spans="1:33" s="154" customFormat="1" hidden="1">
      <c r="A54" s="2931">
        <v>40</v>
      </c>
      <c r="B54" s="2916" t="s">
        <v>1480</v>
      </c>
      <c r="C54" s="3634">
        <f t="shared" si="19"/>
        <v>0</v>
      </c>
      <c r="D54" s="2225">
        <f t="shared" si="20"/>
        <v>0</v>
      </c>
      <c r="E54" s="2225"/>
      <c r="F54" s="2225"/>
      <c r="G54" s="2225"/>
      <c r="H54" s="2225"/>
      <c r="I54" s="2225"/>
      <c r="J54" s="2954">
        <f t="shared" si="21"/>
        <v>0</v>
      </c>
      <c r="K54" s="2225"/>
      <c r="L54" s="2225"/>
      <c r="M54" s="2225"/>
      <c r="N54" s="2225"/>
      <c r="O54" s="2954"/>
      <c r="P54" s="2225"/>
      <c r="Q54" s="2225"/>
      <c r="R54" s="2225"/>
      <c r="S54" s="2225"/>
      <c r="T54" s="2225"/>
      <c r="U54" s="2225"/>
      <c r="V54" s="2225"/>
      <c r="W54" s="2225"/>
      <c r="X54" s="2225"/>
      <c r="Y54" s="2225"/>
      <c r="Z54" s="2225"/>
      <c r="AA54" s="2225"/>
      <c r="AB54" s="2225"/>
      <c r="AC54" s="2225"/>
      <c r="AD54" s="3637"/>
      <c r="AE54" s="3164"/>
    </row>
    <row r="55" spans="1:33" s="154" customFormat="1" hidden="1">
      <c r="A55" s="2931">
        <v>41</v>
      </c>
      <c r="B55" s="2916" t="s">
        <v>1481</v>
      </c>
      <c r="C55" s="3634">
        <f t="shared" si="19"/>
        <v>0</v>
      </c>
      <c r="D55" s="2225">
        <f t="shared" si="20"/>
        <v>0</v>
      </c>
      <c r="E55" s="2225"/>
      <c r="F55" s="2225"/>
      <c r="G55" s="2225"/>
      <c r="H55" s="2225"/>
      <c r="I55" s="2225"/>
      <c r="J55" s="2954">
        <f t="shared" si="21"/>
        <v>0</v>
      </c>
      <c r="K55" s="2225"/>
      <c r="L55" s="2225"/>
      <c r="M55" s="2225"/>
      <c r="N55" s="2225"/>
      <c r="O55" s="2954"/>
      <c r="P55" s="2225"/>
      <c r="Q55" s="2225"/>
      <c r="R55" s="2225"/>
      <c r="S55" s="2225"/>
      <c r="T55" s="2225"/>
      <c r="U55" s="2225"/>
      <c r="V55" s="2225"/>
      <c r="W55" s="2225"/>
      <c r="X55" s="2225"/>
      <c r="Y55" s="2225"/>
      <c r="Z55" s="2225"/>
      <c r="AA55" s="2225"/>
      <c r="AB55" s="2225"/>
      <c r="AC55" s="2225"/>
      <c r="AD55" s="3637"/>
      <c r="AE55" s="3164"/>
    </row>
    <row r="56" spans="1:33" s="1319" customFormat="1" ht="17.399999999999999">
      <c r="A56" s="2933" t="s">
        <v>49</v>
      </c>
      <c r="B56" s="3638" t="s">
        <v>2537</v>
      </c>
      <c r="C56" s="3563">
        <f>SUM(C57:C59)</f>
        <v>152607.4</v>
      </c>
      <c r="D56" s="3563">
        <f t="shared" ref="D56:AD56" si="24">SUM(D57:D59)</f>
        <v>0</v>
      </c>
      <c r="E56" s="3563">
        <f t="shared" si="24"/>
        <v>0</v>
      </c>
      <c r="F56" s="3563">
        <f t="shared" si="24"/>
        <v>0</v>
      </c>
      <c r="G56" s="3563">
        <f t="shared" si="24"/>
        <v>0</v>
      </c>
      <c r="H56" s="3563">
        <f t="shared" si="24"/>
        <v>0</v>
      </c>
      <c r="I56" s="3563"/>
      <c r="J56" s="3563">
        <f t="shared" si="24"/>
        <v>152607.4</v>
      </c>
      <c r="K56" s="3563">
        <f t="shared" si="24"/>
        <v>0</v>
      </c>
      <c r="L56" s="3563">
        <f t="shared" si="24"/>
        <v>280</v>
      </c>
      <c r="M56" s="3563">
        <f t="shared" si="24"/>
        <v>0</v>
      </c>
      <c r="N56" s="3563">
        <f t="shared" si="24"/>
        <v>4000</v>
      </c>
      <c r="O56" s="3563">
        <f t="shared" si="24"/>
        <v>0</v>
      </c>
      <c r="P56" s="3563">
        <f t="shared" si="24"/>
        <v>0</v>
      </c>
      <c r="Q56" s="3563">
        <f t="shared" si="24"/>
        <v>0</v>
      </c>
      <c r="R56" s="3563">
        <f t="shared" si="24"/>
        <v>0</v>
      </c>
      <c r="S56" s="3563">
        <f t="shared" si="24"/>
        <v>0</v>
      </c>
      <c r="T56" s="3563">
        <f t="shared" si="24"/>
        <v>0</v>
      </c>
      <c r="U56" s="3563">
        <f>SUM(U57:U59)</f>
        <v>148327.4</v>
      </c>
      <c r="V56" s="3563">
        <f t="shared" si="24"/>
        <v>0</v>
      </c>
      <c r="W56" s="3563">
        <f t="shared" si="24"/>
        <v>0</v>
      </c>
      <c r="X56" s="3563">
        <f t="shared" si="24"/>
        <v>0</v>
      </c>
      <c r="Y56" s="3563">
        <f t="shared" si="24"/>
        <v>0</v>
      </c>
      <c r="Z56" s="3563">
        <f t="shared" si="24"/>
        <v>0</v>
      </c>
      <c r="AA56" s="3563">
        <f t="shared" si="24"/>
        <v>0</v>
      </c>
      <c r="AB56" s="3563">
        <f t="shared" si="24"/>
        <v>0</v>
      </c>
      <c r="AC56" s="3563">
        <f t="shared" si="24"/>
        <v>0</v>
      </c>
      <c r="AD56" s="3564">
        <f t="shared" si="24"/>
        <v>0</v>
      </c>
      <c r="AE56" s="3166"/>
    </row>
    <row r="57" spans="1:33" s="154" customFormat="1">
      <c r="A57" s="2931">
        <v>42</v>
      </c>
      <c r="B57" s="2916" t="s">
        <v>1482</v>
      </c>
      <c r="C57" s="3634">
        <f t="shared" si="19"/>
        <v>51280</v>
      </c>
      <c r="D57" s="2225">
        <f t="shared" si="20"/>
        <v>0</v>
      </c>
      <c r="E57" s="2225"/>
      <c r="F57" s="2225"/>
      <c r="G57" s="2225"/>
      <c r="H57" s="2225"/>
      <c r="I57" s="2225"/>
      <c r="J57" s="2954">
        <f t="shared" si="21"/>
        <v>51280</v>
      </c>
      <c r="K57" s="2225"/>
      <c r="L57" s="2225">
        <v>280</v>
      </c>
      <c r="M57" s="2225"/>
      <c r="N57" s="2225"/>
      <c r="O57" s="2954"/>
      <c r="P57" s="2225"/>
      <c r="Q57" s="2225"/>
      <c r="R57" s="2225"/>
      <c r="S57" s="2225"/>
      <c r="T57" s="2225"/>
      <c r="U57" s="2954">
        <f>((30000000*698)/1000000)+(18000+12060)</f>
        <v>51000</v>
      </c>
      <c r="V57" s="2225"/>
      <c r="W57" s="2225"/>
      <c r="X57" s="2225"/>
      <c r="Y57" s="2225"/>
      <c r="Z57" s="2225"/>
      <c r="AA57" s="2225"/>
      <c r="AB57" s="2954">
        <f t="shared" ref="AB57:AB117" si="25">SUM(AC57:AD57)</f>
        <v>0</v>
      </c>
      <c r="AC57" s="2225"/>
      <c r="AD57" s="3637"/>
      <c r="AE57" s="3164"/>
    </row>
    <row r="58" spans="1:33" s="154" customFormat="1">
      <c r="A58" s="2931">
        <v>43</v>
      </c>
      <c r="B58" s="2916" t="s">
        <v>1483</v>
      </c>
      <c r="C58" s="3634">
        <f t="shared" si="19"/>
        <v>87000</v>
      </c>
      <c r="D58" s="2225">
        <f t="shared" si="20"/>
        <v>0</v>
      </c>
      <c r="E58" s="2225"/>
      <c r="F58" s="2225"/>
      <c r="G58" s="2225"/>
      <c r="H58" s="2225"/>
      <c r="I58" s="2225"/>
      <c r="J58" s="2954">
        <f t="shared" si="21"/>
        <v>87000</v>
      </c>
      <c r="K58" s="2225"/>
      <c r="L58" s="2225"/>
      <c r="M58" s="2225"/>
      <c r="N58" s="2954">
        <v>4000</v>
      </c>
      <c r="O58" s="2954"/>
      <c r="P58" s="2225"/>
      <c r="Q58" s="2225"/>
      <c r="R58" s="2225"/>
      <c r="S58" s="2225"/>
      <c r="T58" s="2225"/>
      <c r="U58" s="2954">
        <f>41880+33120+16000-8000</f>
        <v>83000</v>
      </c>
      <c r="V58" s="2225"/>
      <c r="W58" s="2225"/>
      <c r="X58" s="2225"/>
      <c r="Y58" s="2225"/>
      <c r="Z58" s="2225"/>
      <c r="AA58" s="2225"/>
      <c r="AB58" s="2954">
        <f t="shared" si="25"/>
        <v>0</v>
      </c>
      <c r="AC58" s="2225"/>
      <c r="AD58" s="3637"/>
      <c r="AE58" s="3164"/>
    </row>
    <row r="59" spans="1:33" s="154" customFormat="1">
      <c r="A59" s="2931">
        <v>44</v>
      </c>
      <c r="B59" s="2916" t="s">
        <v>1484</v>
      </c>
      <c r="C59" s="3634">
        <f t="shared" si="19"/>
        <v>14327.4</v>
      </c>
      <c r="D59" s="2225">
        <f t="shared" si="20"/>
        <v>0</v>
      </c>
      <c r="E59" s="2225"/>
      <c r="F59" s="2225"/>
      <c r="G59" s="2225"/>
      <c r="H59" s="2225"/>
      <c r="I59" s="2225"/>
      <c r="J59" s="2954">
        <f t="shared" si="21"/>
        <v>14327.4</v>
      </c>
      <c r="K59" s="2225"/>
      <c r="L59" s="2225"/>
      <c r="M59" s="2225"/>
      <c r="N59" s="2225"/>
      <c r="O59" s="2954"/>
      <c r="P59" s="2225"/>
      <c r="Q59" s="2225"/>
      <c r="R59" s="2225"/>
      <c r="S59" s="2225"/>
      <c r="T59" s="2225"/>
      <c r="U59" s="2954">
        <f>13000+1200+127400000/1000000</f>
        <v>14327.4</v>
      </c>
      <c r="V59" s="2225"/>
      <c r="W59" s="2225"/>
      <c r="X59" s="2225"/>
      <c r="Y59" s="2225"/>
      <c r="Z59" s="2225"/>
      <c r="AA59" s="2225"/>
      <c r="AB59" s="2954">
        <f t="shared" si="25"/>
        <v>0</v>
      </c>
      <c r="AC59" s="2225"/>
      <c r="AD59" s="3637"/>
      <c r="AE59" s="3164"/>
      <c r="AG59" s="3639"/>
    </row>
    <row r="60" spans="1:33" s="1319" customFormat="1" ht="17.399999999999999">
      <c r="A60" s="2933" t="s">
        <v>50</v>
      </c>
      <c r="B60" s="3638" t="s">
        <v>2542</v>
      </c>
      <c r="C60" s="3563">
        <f t="shared" ref="C60:H60" si="26">SUM(C61:C74)</f>
        <v>373777</v>
      </c>
      <c r="D60" s="3563">
        <f t="shared" si="26"/>
        <v>0</v>
      </c>
      <c r="E60" s="3563">
        <f t="shared" si="26"/>
        <v>0</v>
      </c>
      <c r="F60" s="3563">
        <f t="shared" si="26"/>
        <v>0</v>
      </c>
      <c r="G60" s="3563">
        <f t="shared" si="26"/>
        <v>0</v>
      </c>
      <c r="H60" s="3563">
        <f t="shared" si="26"/>
        <v>0</v>
      </c>
      <c r="I60" s="3563">
        <f t="shared" ref="I60:AC60" si="27">SUM(I61:I74)</f>
        <v>0</v>
      </c>
      <c r="J60" s="3563">
        <f t="shared" si="27"/>
        <v>373777</v>
      </c>
      <c r="K60" s="3563">
        <f t="shared" si="27"/>
        <v>0</v>
      </c>
      <c r="L60" s="3563">
        <f t="shared" si="27"/>
        <v>68</v>
      </c>
      <c r="M60" s="3563">
        <f t="shared" si="27"/>
        <v>0</v>
      </c>
      <c r="N60" s="3563">
        <f t="shared" si="27"/>
        <v>0</v>
      </c>
      <c r="O60" s="3563">
        <f t="shared" si="27"/>
        <v>367885</v>
      </c>
      <c r="P60" s="3563">
        <f t="shared" si="27"/>
        <v>0</v>
      </c>
      <c r="Q60" s="3563">
        <f t="shared" si="27"/>
        <v>0</v>
      </c>
      <c r="R60" s="3563">
        <f t="shared" si="27"/>
        <v>0</v>
      </c>
      <c r="S60" s="3563">
        <f t="shared" si="27"/>
        <v>0</v>
      </c>
      <c r="T60" s="3563">
        <f t="shared" si="27"/>
        <v>0</v>
      </c>
      <c r="U60" s="3563">
        <f t="shared" si="27"/>
        <v>0</v>
      </c>
      <c r="V60" s="3563">
        <f t="shared" si="27"/>
        <v>5824</v>
      </c>
      <c r="W60" s="3563">
        <f t="shared" si="27"/>
        <v>0</v>
      </c>
      <c r="X60" s="3563">
        <f t="shared" si="27"/>
        <v>0</v>
      </c>
      <c r="Y60" s="3563">
        <f t="shared" si="27"/>
        <v>0</v>
      </c>
      <c r="Z60" s="3563">
        <f t="shared" si="27"/>
        <v>0</v>
      </c>
      <c r="AA60" s="3563">
        <f t="shared" si="27"/>
        <v>0</v>
      </c>
      <c r="AB60" s="3563">
        <f t="shared" si="27"/>
        <v>0</v>
      </c>
      <c r="AC60" s="3563">
        <f t="shared" si="27"/>
        <v>0</v>
      </c>
      <c r="AD60" s="3564">
        <f>SUM(AD61:AD74)</f>
        <v>0</v>
      </c>
      <c r="AE60" s="3166"/>
    </row>
    <row r="61" spans="1:33" s="154" customFormat="1">
      <c r="A61" s="2931">
        <v>45</v>
      </c>
      <c r="B61" s="2916" t="s">
        <v>1485</v>
      </c>
      <c r="C61" s="3634">
        <f t="shared" si="19"/>
        <v>367885</v>
      </c>
      <c r="D61" s="2225">
        <f t="shared" si="20"/>
        <v>0</v>
      </c>
      <c r="E61" s="2225"/>
      <c r="F61" s="2225"/>
      <c r="G61" s="2225"/>
      <c r="H61" s="2225"/>
      <c r="I61" s="2225"/>
      <c r="J61" s="2954">
        <f t="shared" si="21"/>
        <v>367885</v>
      </c>
      <c r="K61" s="2225"/>
      <c r="L61" s="2225"/>
      <c r="M61" s="2225"/>
      <c r="N61" s="2225"/>
      <c r="O61" s="2954">
        <f>328342+39540+3</f>
        <v>367885</v>
      </c>
      <c r="P61" s="2225"/>
      <c r="Q61" s="2225"/>
      <c r="R61" s="2225"/>
      <c r="S61" s="2225"/>
      <c r="T61" s="2225"/>
      <c r="U61" s="2225"/>
      <c r="V61" s="2335"/>
      <c r="W61" s="2225"/>
      <c r="X61" s="2225"/>
      <c r="Y61" s="2225"/>
      <c r="Z61" s="2225"/>
      <c r="AA61" s="2225"/>
      <c r="AB61" s="2954">
        <f t="shared" si="25"/>
        <v>0</v>
      </c>
      <c r="AC61" s="2225"/>
      <c r="AD61" s="3637"/>
      <c r="AE61" s="3164"/>
    </row>
    <row r="62" spans="1:33" s="154" customFormat="1">
      <c r="A62" s="2931">
        <v>46</v>
      </c>
      <c r="B62" s="2916" t="s">
        <v>1486</v>
      </c>
      <c r="C62" s="3634">
        <f t="shared" si="19"/>
        <v>0</v>
      </c>
      <c r="D62" s="2225">
        <f t="shared" si="20"/>
        <v>0</v>
      </c>
      <c r="E62" s="2225"/>
      <c r="F62" s="2225"/>
      <c r="G62" s="2225"/>
      <c r="H62" s="2225"/>
      <c r="I62" s="2225"/>
      <c r="J62" s="2954">
        <f t="shared" si="21"/>
        <v>0</v>
      </c>
      <c r="K62" s="2225"/>
      <c r="L62" s="2225"/>
      <c r="M62" s="2225"/>
      <c r="N62" s="2954">
        <f>30000-(500*12)+36000-60000</f>
        <v>0</v>
      </c>
      <c r="O62" s="2954"/>
      <c r="P62" s="2225"/>
      <c r="Q62" s="2225"/>
      <c r="R62" s="2225"/>
      <c r="S62" s="2954"/>
      <c r="T62" s="2225"/>
      <c r="U62" s="2225"/>
      <c r="V62" s="2335"/>
      <c r="W62" s="2225"/>
      <c r="X62" s="2225"/>
      <c r="Y62" s="2225"/>
      <c r="Z62" s="2225"/>
      <c r="AA62" s="2225"/>
      <c r="AB62" s="2954">
        <f t="shared" si="25"/>
        <v>0</v>
      </c>
      <c r="AC62" s="2225"/>
      <c r="AD62" s="3637"/>
      <c r="AE62" s="3164"/>
    </row>
    <row r="63" spans="1:33" s="154" customFormat="1">
      <c r="A63" s="2931">
        <v>47</v>
      </c>
      <c r="B63" s="2916" t="s">
        <v>1487</v>
      </c>
      <c r="C63" s="3634">
        <f t="shared" si="19"/>
        <v>1257</v>
      </c>
      <c r="D63" s="2225">
        <f t="shared" si="20"/>
        <v>0</v>
      </c>
      <c r="E63" s="2225"/>
      <c r="F63" s="2225"/>
      <c r="G63" s="2225"/>
      <c r="H63" s="2225"/>
      <c r="I63" s="2225"/>
      <c r="J63" s="2954">
        <f t="shared" si="21"/>
        <v>1257</v>
      </c>
      <c r="K63" s="2225"/>
      <c r="L63" s="2225"/>
      <c r="M63" s="2225"/>
      <c r="N63" s="2225"/>
      <c r="O63" s="2954"/>
      <c r="P63" s="2225"/>
      <c r="Q63" s="2225"/>
      <c r="R63" s="2225"/>
      <c r="S63" s="2225"/>
      <c r="T63" s="2225"/>
      <c r="U63" s="2225"/>
      <c r="V63" s="3640">
        <f>400+857</f>
        <v>1257</v>
      </c>
      <c r="W63" s="2225"/>
      <c r="X63" s="2225"/>
      <c r="Y63" s="2225"/>
      <c r="Z63" s="2225"/>
      <c r="AA63" s="2225"/>
      <c r="AB63" s="2954">
        <f t="shared" si="25"/>
        <v>0</v>
      </c>
      <c r="AC63" s="2225"/>
      <c r="AD63" s="3637"/>
      <c r="AE63" s="3164"/>
    </row>
    <row r="64" spans="1:33" s="154" customFormat="1">
      <c r="A64" s="2931">
        <v>48</v>
      </c>
      <c r="B64" s="2917" t="s">
        <v>2539</v>
      </c>
      <c r="C64" s="3634">
        <f t="shared" si="19"/>
        <v>530</v>
      </c>
      <c r="D64" s="2225">
        <f t="shared" si="20"/>
        <v>0</v>
      </c>
      <c r="E64" s="2225"/>
      <c r="F64" s="2225"/>
      <c r="G64" s="2225"/>
      <c r="H64" s="2225"/>
      <c r="I64" s="2225"/>
      <c r="J64" s="2954">
        <f t="shared" si="21"/>
        <v>530</v>
      </c>
      <c r="K64" s="2225"/>
      <c r="L64" s="2225">
        <v>30</v>
      </c>
      <c r="M64" s="2225"/>
      <c r="N64" s="2225"/>
      <c r="O64" s="2954"/>
      <c r="P64" s="2225"/>
      <c r="Q64" s="2225"/>
      <c r="R64" s="2225"/>
      <c r="S64" s="2225"/>
      <c r="T64" s="2225"/>
      <c r="U64" s="2225"/>
      <c r="V64" s="2335">
        <f>400+100</f>
        <v>500</v>
      </c>
      <c r="W64" s="2225"/>
      <c r="X64" s="2225"/>
      <c r="Y64" s="2225"/>
      <c r="Z64" s="2225"/>
      <c r="AA64" s="2225"/>
      <c r="AB64" s="2954">
        <f t="shared" si="25"/>
        <v>0</v>
      </c>
      <c r="AC64" s="2225"/>
      <c r="AD64" s="3637"/>
      <c r="AE64" s="3164"/>
    </row>
    <row r="65" spans="1:31" s="154" customFormat="1" ht="54">
      <c r="A65" s="2931">
        <v>49</v>
      </c>
      <c r="B65" s="2917" t="s">
        <v>1488</v>
      </c>
      <c r="C65" s="3634">
        <f t="shared" si="19"/>
        <v>500</v>
      </c>
      <c r="D65" s="2225">
        <f t="shared" si="20"/>
        <v>0</v>
      </c>
      <c r="E65" s="2225"/>
      <c r="F65" s="2225"/>
      <c r="G65" s="2225"/>
      <c r="H65" s="2225"/>
      <c r="I65" s="2225"/>
      <c r="J65" s="2954">
        <f t="shared" si="21"/>
        <v>500</v>
      </c>
      <c r="K65" s="2225"/>
      <c r="L65" s="2225"/>
      <c r="M65" s="2225"/>
      <c r="N65" s="2225"/>
      <c r="O65" s="2954"/>
      <c r="P65" s="2225"/>
      <c r="Q65" s="2225"/>
      <c r="R65" s="2225"/>
      <c r="S65" s="2225"/>
      <c r="T65" s="2225"/>
      <c r="U65" s="2225"/>
      <c r="V65" s="2335">
        <f>500</f>
        <v>500</v>
      </c>
      <c r="W65" s="2225"/>
      <c r="X65" s="2225"/>
      <c r="Y65" s="2225"/>
      <c r="Z65" s="2225"/>
      <c r="AA65" s="2225"/>
      <c r="AB65" s="2954">
        <f t="shared" si="25"/>
        <v>0</v>
      </c>
      <c r="AC65" s="2225"/>
      <c r="AD65" s="3637"/>
      <c r="AE65" s="3164"/>
    </row>
    <row r="66" spans="1:31" s="154" customFormat="1">
      <c r="A66" s="2931">
        <v>50</v>
      </c>
      <c r="B66" s="2917" t="s">
        <v>1489</v>
      </c>
      <c r="C66" s="3634">
        <f t="shared" si="19"/>
        <v>400</v>
      </c>
      <c r="D66" s="2225">
        <f t="shared" si="20"/>
        <v>0</v>
      </c>
      <c r="E66" s="2225"/>
      <c r="F66" s="2225"/>
      <c r="G66" s="2225"/>
      <c r="H66" s="2225"/>
      <c r="I66" s="2225"/>
      <c r="J66" s="2954">
        <f t="shared" si="21"/>
        <v>400</v>
      </c>
      <c r="K66" s="2225"/>
      <c r="L66" s="2225"/>
      <c r="M66" s="2225"/>
      <c r="N66" s="2225"/>
      <c r="O66" s="2954"/>
      <c r="P66" s="2225"/>
      <c r="Q66" s="2225"/>
      <c r="R66" s="2225"/>
      <c r="S66" s="2225"/>
      <c r="T66" s="2225"/>
      <c r="U66" s="2225"/>
      <c r="V66" s="2335">
        <f>400</f>
        <v>400</v>
      </c>
      <c r="W66" s="2225"/>
      <c r="X66" s="2225"/>
      <c r="Y66" s="2225"/>
      <c r="Z66" s="2225"/>
      <c r="AA66" s="2225"/>
      <c r="AB66" s="2954">
        <f t="shared" si="25"/>
        <v>0</v>
      </c>
      <c r="AC66" s="2225"/>
      <c r="AD66" s="3637"/>
      <c r="AE66" s="3164"/>
    </row>
    <row r="67" spans="1:31" s="154" customFormat="1">
      <c r="A67" s="2931">
        <v>51</v>
      </c>
      <c r="B67" s="2917" t="s">
        <v>1490</v>
      </c>
      <c r="C67" s="3634">
        <f t="shared" si="19"/>
        <v>400</v>
      </c>
      <c r="D67" s="2225">
        <f t="shared" si="20"/>
        <v>0</v>
      </c>
      <c r="E67" s="2225"/>
      <c r="F67" s="2225"/>
      <c r="G67" s="2225"/>
      <c r="H67" s="2225"/>
      <c r="I67" s="2225"/>
      <c r="J67" s="2954">
        <f t="shared" si="21"/>
        <v>400</v>
      </c>
      <c r="K67" s="2225"/>
      <c r="L67" s="2225"/>
      <c r="M67" s="2225"/>
      <c r="N67" s="2225"/>
      <c r="O67" s="2954"/>
      <c r="P67" s="2225"/>
      <c r="Q67" s="2225"/>
      <c r="R67" s="2225"/>
      <c r="S67" s="2225"/>
      <c r="T67" s="2225"/>
      <c r="U67" s="2225"/>
      <c r="V67" s="2335">
        <f>400</f>
        <v>400</v>
      </c>
      <c r="W67" s="2225"/>
      <c r="X67" s="2225"/>
      <c r="Y67" s="2225"/>
      <c r="Z67" s="2225"/>
      <c r="AA67" s="2225"/>
      <c r="AB67" s="2954">
        <f t="shared" si="25"/>
        <v>0</v>
      </c>
      <c r="AC67" s="2225"/>
      <c r="AD67" s="3637"/>
      <c r="AE67" s="3164"/>
    </row>
    <row r="68" spans="1:31" s="154" customFormat="1">
      <c r="A68" s="2931">
        <v>52</v>
      </c>
      <c r="B68" s="2917" t="s">
        <v>1491</v>
      </c>
      <c r="C68" s="3634">
        <f t="shared" si="19"/>
        <v>718</v>
      </c>
      <c r="D68" s="2225">
        <f t="shared" si="20"/>
        <v>0</v>
      </c>
      <c r="E68" s="2225"/>
      <c r="F68" s="2225"/>
      <c r="G68" s="2225"/>
      <c r="H68" s="2225"/>
      <c r="I68" s="2225"/>
      <c r="J68" s="2954">
        <f t="shared" si="21"/>
        <v>718</v>
      </c>
      <c r="K68" s="2225"/>
      <c r="L68" s="2225">
        <v>38</v>
      </c>
      <c r="M68" s="2225"/>
      <c r="N68" s="2225"/>
      <c r="O68" s="2954"/>
      <c r="P68" s="2225"/>
      <c r="Q68" s="2225"/>
      <c r="R68" s="2225"/>
      <c r="S68" s="2225"/>
      <c r="T68" s="2225"/>
      <c r="U68" s="2225"/>
      <c r="V68" s="2335">
        <f>400+280</f>
        <v>680</v>
      </c>
      <c r="W68" s="2225"/>
      <c r="X68" s="2225"/>
      <c r="Y68" s="2225"/>
      <c r="Z68" s="2225"/>
      <c r="AA68" s="2225"/>
      <c r="AB68" s="2954">
        <f t="shared" si="25"/>
        <v>0</v>
      </c>
      <c r="AC68" s="2225"/>
      <c r="AD68" s="3637"/>
      <c r="AE68" s="3164"/>
    </row>
    <row r="69" spans="1:31" s="154" customFormat="1">
      <c r="A69" s="2931">
        <v>53</v>
      </c>
      <c r="B69" s="2917" t="s">
        <v>1492</v>
      </c>
      <c r="C69" s="3634">
        <f t="shared" si="19"/>
        <v>1050</v>
      </c>
      <c r="D69" s="2225">
        <f t="shared" si="20"/>
        <v>0</v>
      </c>
      <c r="E69" s="2225"/>
      <c r="F69" s="2225"/>
      <c r="G69" s="2225"/>
      <c r="H69" s="2225"/>
      <c r="I69" s="2225"/>
      <c r="J69" s="2954">
        <f t="shared" si="21"/>
        <v>1050</v>
      </c>
      <c r="K69" s="2225"/>
      <c r="L69" s="2225"/>
      <c r="M69" s="2225"/>
      <c r="N69" s="2225"/>
      <c r="O69" s="2954"/>
      <c r="P69" s="2225"/>
      <c r="Q69" s="2225"/>
      <c r="R69" s="2225"/>
      <c r="S69" s="2225"/>
      <c r="T69" s="2225"/>
      <c r="U69" s="2225"/>
      <c r="V69" s="2335">
        <f>400+650</f>
        <v>1050</v>
      </c>
      <c r="W69" s="2225"/>
      <c r="X69" s="2225"/>
      <c r="Y69" s="2225"/>
      <c r="Z69" s="2225"/>
      <c r="AA69" s="2225"/>
      <c r="AB69" s="2954">
        <f t="shared" si="25"/>
        <v>0</v>
      </c>
      <c r="AC69" s="2225"/>
      <c r="AD69" s="3637"/>
      <c r="AE69" s="3164"/>
    </row>
    <row r="70" spans="1:31" s="154" customFormat="1">
      <c r="A70" s="2931">
        <v>54</v>
      </c>
      <c r="B70" s="2917" t="s">
        <v>2757</v>
      </c>
      <c r="C70" s="3634">
        <f t="shared" si="19"/>
        <v>150</v>
      </c>
      <c r="D70" s="2225"/>
      <c r="E70" s="2225"/>
      <c r="F70" s="2225"/>
      <c r="G70" s="2225"/>
      <c r="H70" s="2225"/>
      <c r="I70" s="2225"/>
      <c r="J70" s="2954">
        <f t="shared" si="21"/>
        <v>150</v>
      </c>
      <c r="K70" s="2225"/>
      <c r="L70" s="2225"/>
      <c r="M70" s="2225"/>
      <c r="N70" s="2225"/>
      <c r="O70" s="2954"/>
      <c r="P70" s="2225"/>
      <c r="Q70" s="2225"/>
      <c r="R70" s="2225"/>
      <c r="S70" s="2225"/>
      <c r="T70" s="2225"/>
      <c r="U70" s="2225"/>
      <c r="V70" s="2335">
        <v>150</v>
      </c>
      <c r="W70" s="2225"/>
      <c r="X70" s="2225"/>
      <c r="Y70" s="2225"/>
      <c r="Z70" s="2225"/>
      <c r="AA70" s="2225"/>
      <c r="AB70" s="2954">
        <f t="shared" si="25"/>
        <v>0</v>
      </c>
      <c r="AC70" s="2225"/>
      <c r="AD70" s="3637"/>
      <c r="AE70" s="3164"/>
    </row>
    <row r="71" spans="1:31" s="154" customFormat="1">
      <c r="A71" s="2931">
        <v>55</v>
      </c>
      <c r="B71" s="2917" t="s">
        <v>2626</v>
      </c>
      <c r="C71" s="3634">
        <f t="shared" si="19"/>
        <v>300</v>
      </c>
      <c r="D71" s="2225"/>
      <c r="E71" s="2225"/>
      <c r="F71" s="2225"/>
      <c r="G71" s="2225"/>
      <c r="H71" s="2225"/>
      <c r="I71" s="2225"/>
      <c r="J71" s="2954">
        <f>SUM(K71:V71)</f>
        <v>300</v>
      </c>
      <c r="K71" s="2225"/>
      <c r="L71" s="2225"/>
      <c r="M71" s="2225"/>
      <c r="N71" s="2225"/>
      <c r="O71" s="2954"/>
      <c r="P71" s="2225"/>
      <c r="Q71" s="2225"/>
      <c r="R71" s="2225"/>
      <c r="S71" s="2225"/>
      <c r="T71" s="2225"/>
      <c r="U71" s="2225"/>
      <c r="V71" s="2335">
        <v>300</v>
      </c>
      <c r="W71" s="2225"/>
      <c r="X71" s="2225"/>
      <c r="Y71" s="2225"/>
      <c r="Z71" s="2225"/>
      <c r="AA71" s="2225"/>
      <c r="AB71" s="2954"/>
      <c r="AC71" s="2225"/>
      <c r="AD71" s="3637"/>
      <c r="AE71" s="3164"/>
    </row>
    <row r="72" spans="1:31" s="154" customFormat="1">
      <c r="A72" s="2931">
        <v>56</v>
      </c>
      <c r="B72" s="2917" t="s">
        <v>2760</v>
      </c>
      <c r="C72" s="3634">
        <f t="shared" si="19"/>
        <v>100</v>
      </c>
      <c r="D72" s="2225"/>
      <c r="E72" s="2225"/>
      <c r="F72" s="2225"/>
      <c r="G72" s="2225"/>
      <c r="H72" s="2225"/>
      <c r="I72" s="2225"/>
      <c r="J72" s="2954">
        <f>SUM(K72:V72)</f>
        <v>100</v>
      </c>
      <c r="K72" s="2225"/>
      <c r="L72" s="2225"/>
      <c r="M72" s="2225"/>
      <c r="N72" s="2225"/>
      <c r="O72" s="2954"/>
      <c r="P72" s="2225"/>
      <c r="Q72" s="2225"/>
      <c r="R72" s="2225"/>
      <c r="S72" s="2225"/>
      <c r="T72" s="2225"/>
      <c r="U72" s="2225"/>
      <c r="V72" s="2335">
        <v>100</v>
      </c>
      <c r="W72" s="2225"/>
      <c r="X72" s="2225"/>
      <c r="Y72" s="2225"/>
      <c r="Z72" s="2225"/>
      <c r="AA72" s="2225"/>
      <c r="AB72" s="2954"/>
      <c r="AC72" s="2225"/>
      <c r="AD72" s="3637"/>
      <c r="AE72" s="3164"/>
    </row>
    <row r="73" spans="1:31" s="154" customFormat="1">
      <c r="A73" s="2931">
        <v>57</v>
      </c>
      <c r="B73" s="2917" t="s">
        <v>2762</v>
      </c>
      <c r="C73" s="3634">
        <f t="shared" si="19"/>
        <v>300</v>
      </c>
      <c r="D73" s="2225"/>
      <c r="E73" s="2225"/>
      <c r="F73" s="2225"/>
      <c r="G73" s="2225"/>
      <c r="H73" s="2225"/>
      <c r="I73" s="2225"/>
      <c r="J73" s="2954">
        <f>SUM(K73:V73)</f>
        <v>300</v>
      </c>
      <c r="K73" s="2225"/>
      <c r="L73" s="2225"/>
      <c r="M73" s="2225"/>
      <c r="N73" s="2225"/>
      <c r="O73" s="2954"/>
      <c r="P73" s="2225"/>
      <c r="Q73" s="2225"/>
      <c r="R73" s="2225"/>
      <c r="S73" s="2225"/>
      <c r="T73" s="2225"/>
      <c r="U73" s="2225"/>
      <c r="V73" s="2335">
        <v>300</v>
      </c>
      <c r="W73" s="2225"/>
      <c r="X73" s="2225"/>
      <c r="Y73" s="2225"/>
      <c r="Z73" s="2225"/>
      <c r="AA73" s="2225"/>
      <c r="AB73" s="2954"/>
      <c r="AC73" s="2225"/>
      <c r="AD73" s="3637"/>
      <c r="AE73" s="3164"/>
    </row>
    <row r="74" spans="1:31" s="154" customFormat="1">
      <c r="A74" s="2931">
        <v>58</v>
      </c>
      <c r="B74" s="2917" t="s">
        <v>2759</v>
      </c>
      <c r="C74" s="3634">
        <f t="shared" si="19"/>
        <v>187</v>
      </c>
      <c r="D74" s="2225"/>
      <c r="E74" s="2225"/>
      <c r="F74" s="2225"/>
      <c r="G74" s="2225"/>
      <c r="H74" s="2225"/>
      <c r="I74" s="2225"/>
      <c r="J74" s="2954">
        <f>SUM(K74:V74)</f>
        <v>187</v>
      </c>
      <c r="K74" s="2225"/>
      <c r="L74" s="2225"/>
      <c r="M74" s="2225"/>
      <c r="N74" s="2225"/>
      <c r="O74" s="2954"/>
      <c r="P74" s="2225"/>
      <c r="Q74" s="2225"/>
      <c r="R74" s="2225"/>
      <c r="S74" s="2225"/>
      <c r="T74" s="2225"/>
      <c r="U74" s="2225"/>
      <c r="V74" s="2335">
        <f>187</f>
        <v>187</v>
      </c>
      <c r="W74" s="2225"/>
      <c r="X74" s="2225"/>
      <c r="Y74" s="2225"/>
      <c r="Z74" s="2225"/>
      <c r="AA74" s="2225"/>
      <c r="AB74" s="2954"/>
      <c r="AC74" s="2225"/>
      <c r="AD74" s="3637"/>
      <c r="AE74" s="3164"/>
    </row>
    <row r="75" spans="1:31" s="154" customFormat="1" ht="69.599999999999994">
      <c r="A75" s="2933" t="s">
        <v>72</v>
      </c>
      <c r="B75" s="3638" t="s">
        <v>2764</v>
      </c>
      <c r="C75" s="3641">
        <f>C76+C81+C83+C85+C89+C95+C98+C102</f>
        <v>330590.951</v>
      </c>
      <c r="D75" s="3641">
        <f t="shared" ref="D75:I75" si="28">D76+D81+D83+D85+D89+D95+D98+D102</f>
        <v>0</v>
      </c>
      <c r="E75" s="3641">
        <f t="shared" si="28"/>
        <v>0</v>
      </c>
      <c r="F75" s="3641">
        <f t="shared" si="28"/>
        <v>0</v>
      </c>
      <c r="G75" s="3641">
        <f t="shared" si="28"/>
        <v>0</v>
      </c>
      <c r="H75" s="3641">
        <f t="shared" si="28"/>
        <v>0</v>
      </c>
      <c r="I75" s="3641">
        <f t="shared" si="28"/>
        <v>0</v>
      </c>
      <c r="J75" s="3563">
        <f>SUM(K75:V75)</f>
        <v>318964.55099999998</v>
      </c>
      <c r="K75" s="3641">
        <f>SUM(K77:K105)</f>
        <v>195500</v>
      </c>
      <c r="L75" s="3641">
        <f>SUM(L82:L105)</f>
        <v>1152</v>
      </c>
      <c r="M75" s="3641">
        <f>SUM(M77:M83)</f>
        <v>1892</v>
      </c>
      <c r="N75" s="3641">
        <f>SUM(N77:N85)</f>
        <v>74667</v>
      </c>
      <c r="O75" s="3641">
        <f>SUM(O77:O106)</f>
        <v>0</v>
      </c>
      <c r="P75" s="3641">
        <f>SUM(P77:P89)</f>
        <v>2694</v>
      </c>
      <c r="Q75" s="3641">
        <f>SUM(Q77:Q106)</f>
        <v>0</v>
      </c>
      <c r="R75" s="3641">
        <f>SUM(R77:R106)</f>
        <v>0</v>
      </c>
      <c r="S75" s="3641">
        <f>SUM(S77:S95)</f>
        <v>23385</v>
      </c>
      <c r="T75" s="3641">
        <f>SUM(T77:T98)</f>
        <v>5498.9510000000009</v>
      </c>
      <c r="U75" s="3641">
        <f>SUM(U77:U100)</f>
        <v>-0.39999999999417923</v>
      </c>
      <c r="V75" s="3641">
        <f>SUM(V77:AA102)</f>
        <v>14176</v>
      </c>
      <c r="W75" s="3641">
        <f>SUM(W77:W106)</f>
        <v>0</v>
      </c>
      <c r="X75" s="3641">
        <f>SUM(X77:X106)</f>
        <v>0</v>
      </c>
      <c r="Y75" s="3641">
        <f>SUM(Y77:Y106)</f>
        <v>0</v>
      </c>
      <c r="Z75" s="3641">
        <f>SUM(Z77:Z106)</f>
        <v>0</v>
      </c>
      <c r="AA75" s="3641">
        <f>SUM(AA77:AA106)</f>
        <v>0</v>
      </c>
      <c r="AB75" s="3641">
        <f>SUM(AB77:AB85)</f>
        <v>11626</v>
      </c>
      <c r="AC75" s="3661">
        <f t="shared" ref="AC75" si="29">SUM(AC77:AC85)</f>
        <v>0</v>
      </c>
      <c r="AD75" s="3660">
        <f>SUM(AD77:AD85)</f>
        <v>11626</v>
      </c>
      <c r="AE75" s="3643">
        <f>SUM(AE77:AE106)</f>
        <v>0</v>
      </c>
    </row>
    <row r="76" spans="1:31" s="1319" customFormat="1" ht="17.399999999999999">
      <c r="A76" s="2930">
        <v>1</v>
      </c>
      <c r="B76" s="2918" t="s">
        <v>2765</v>
      </c>
      <c r="C76" s="3654">
        <f t="shared" ref="C76:C81" si="30">D76+J76+W76+X76+AB76+AE76+Y76+Z76+AA76</f>
        <v>195500</v>
      </c>
      <c r="D76" s="3641"/>
      <c r="E76" s="3641"/>
      <c r="F76" s="3641"/>
      <c r="G76" s="3641"/>
      <c r="H76" s="3641"/>
      <c r="I76" s="3641"/>
      <c r="J76" s="2956">
        <f t="shared" ref="J76:J105" si="31">SUM(K76:V76)</f>
        <v>195500</v>
      </c>
      <c r="K76" s="3641">
        <f>K75</f>
        <v>195500</v>
      </c>
      <c r="L76" s="3641"/>
      <c r="M76" s="3641"/>
      <c r="N76" s="3641"/>
      <c r="O76" s="3641"/>
      <c r="P76" s="3641"/>
      <c r="Q76" s="3641"/>
      <c r="R76" s="3641"/>
      <c r="S76" s="3641"/>
      <c r="T76" s="3641"/>
      <c r="U76" s="3641"/>
      <c r="V76" s="3641"/>
      <c r="W76" s="3641"/>
      <c r="X76" s="3641"/>
      <c r="Y76" s="3641"/>
      <c r="Z76" s="3641"/>
      <c r="AA76" s="3641"/>
      <c r="AB76" s="3641"/>
      <c r="AC76" s="3641"/>
      <c r="AD76" s="3642"/>
      <c r="AE76" s="3667"/>
    </row>
    <row r="77" spans="1:31" s="154" customFormat="1" ht="36">
      <c r="A77" s="2931" t="s">
        <v>34</v>
      </c>
      <c r="B77" s="2916" t="s">
        <v>1493</v>
      </c>
      <c r="C77" s="3634">
        <f t="shared" si="30"/>
        <v>70000</v>
      </c>
      <c r="D77" s="2225">
        <f>SUM(E77:H77)</f>
        <v>0</v>
      </c>
      <c r="E77" s="2225"/>
      <c r="F77" s="2225"/>
      <c r="G77" s="2225"/>
      <c r="H77" s="2225"/>
      <c r="I77" s="2225"/>
      <c r="J77" s="2954">
        <f t="shared" si="31"/>
        <v>70000</v>
      </c>
      <c r="K77" s="2954">
        <f>70000</f>
        <v>70000</v>
      </c>
      <c r="L77" s="2225"/>
      <c r="M77" s="2225"/>
      <c r="N77" s="2225"/>
      <c r="O77" s="2954"/>
      <c r="P77" s="2225"/>
      <c r="Q77" s="2225"/>
      <c r="R77" s="2225"/>
      <c r="S77" s="2225"/>
      <c r="T77" s="2225"/>
      <c r="U77" s="2225"/>
      <c r="V77" s="2225"/>
      <c r="W77" s="2225"/>
      <c r="X77" s="2225"/>
      <c r="Y77" s="2225"/>
      <c r="Z77" s="2225"/>
      <c r="AA77" s="2225"/>
      <c r="AB77" s="2954">
        <f t="shared" si="25"/>
        <v>0</v>
      </c>
      <c r="AC77" s="2225"/>
      <c r="AD77" s="3637"/>
      <c r="AE77" s="3164"/>
    </row>
    <row r="78" spans="1:31" s="154" customFormat="1" ht="36">
      <c r="A78" s="2931" t="s">
        <v>35</v>
      </c>
      <c r="B78" s="2916" t="s">
        <v>2607</v>
      </c>
      <c r="C78" s="3634">
        <f t="shared" si="30"/>
        <v>55000</v>
      </c>
      <c r="D78" s="2225">
        <f>SUM(E78:H78)</f>
        <v>0</v>
      </c>
      <c r="E78" s="2225"/>
      <c r="F78" s="2225"/>
      <c r="G78" s="2225"/>
      <c r="H78" s="2225"/>
      <c r="I78" s="2225"/>
      <c r="J78" s="2954">
        <f t="shared" ref="J78" si="32">SUM(K78:V78)</f>
        <v>55000</v>
      </c>
      <c r="K78" s="2954">
        <f>ROUND('Phụ lục số 8'!E26*1.5,-3)</f>
        <v>55000</v>
      </c>
      <c r="L78" s="2225"/>
      <c r="M78" s="2225"/>
      <c r="N78" s="2225"/>
      <c r="O78" s="2954"/>
      <c r="P78" s="2225"/>
      <c r="Q78" s="2225"/>
      <c r="R78" s="2225"/>
      <c r="S78" s="2225"/>
      <c r="T78" s="2225"/>
      <c r="U78" s="2225"/>
      <c r="V78" s="2225"/>
      <c r="W78" s="2225"/>
      <c r="X78" s="2225"/>
      <c r="Y78" s="2225"/>
      <c r="Z78" s="2225"/>
      <c r="AA78" s="2225"/>
      <c r="AB78" s="2954"/>
      <c r="AC78" s="2225"/>
      <c r="AD78" s="3637"/>
      <c r="AE78" s="3164"/>
    </row>
    <row r="79" spans="1:31" s="154" customFormat="1" ht="36">
      <c r="A79" s="2931" t="s">
        <v>36</v>
      </c>
      <c r="B79" s="2916" t="s">
        <v>1495</v>
      </c>
      <c r="C79" s="3634">
        <f t="shared" si="30"/>
        <v>15000</v>
      </c>
      <c r="D79" s="2225">
        <f>SUM(E79:H79)</f>
        <v>0</v>
      </c>
      <c r="E79" s="2225"/>
      <c r="F79" s="2225"/>
      <c r="G79" s="2225"/>
      <c r="H79" s="2225"/>
      <c r="I79" s="2225"/>
      <c r="J79" s="2954">
        <f t="shared" ref="J79" si="33">SUM(K79:V79)</f>
        <v>15000</v>
      </c>
      <c r="K79" s="2954">
        <v>15000</v>
      </c>
      <c r="L79" s="2225"/>
      <c r="M79" s="2225"/>
      <c r="N79" s="2225"/>
      <c r="O79" s="2954"/>
      <c r="P79" s="2225"/>
      <c r="Q79" s="2225"/>
      <c r="R79" s="2225"/>
      <c r="S79" s="2225"/>
      <c r="T79" s="2225"/>
      <c r="U79" s="2225"/>
      <c r="V79" s="2225"/>
      <c r="W79" s="2225"/>
      <c r="X79" s="2225"/>
      <c r="Y79" s="2225"/>
      <c r="Z79" s="2225"/>
      <c r="AA79" s="2225"/>
      <c r="AB79" s="2954"/>
      <c r="AC79" s="2225"/>
      <c r="AD79" s="3637"/>
      <c r="AE79" s="3164"/>
    </row>
    <row r="80" spans="1:31" s="2351" customFormat="1" ht="54">
      <c r="A80" s="2932" t="s">
        <v>37</v>
      </c>
      <c r="B80" s="3649" t="s">
        <v>2766</v>
      </c>
      <c r="C80" s="3650">
        <f t="shared" si="30"/>
        <v>55500</v>
      </c>
      <c r="D80" s="2213">
        <f>SUM(E80:H80)</f>
        <v>0</v>
      </c>
      <c r="E80" s="2213"/>
      <c r="F80" s="2213"/>
      <c r="G80" s="2213"/>
      <c r="H80" s="2213"/>
      <c r="I80" s="2213"/>
      <c r="J80" s="3651">
        <f t="shared" ref="J80" si="34">SUM(K80:V80)</f>
        <v>55500</v>
      </c>
      <c r="K80" s="3651">
        <f>(532112+7888)+((1822)+(3888))-K11-K41-K56-K60-K77-K78-K79-K105</f>
        <v>55500</v>
      </c>
      <c r="L80" s="2213"/>
      <c r="M80" s="2213"/>
      <c r="N80" s="2213"/>
      <c r="O80" s="3651"/>
      <c r="P80" s="2213"/>
      <c r="Q80" s="2213"/>
      <c r="R80" s="2213"/>
      <c r="S80" s="2213"/>
      <c r="T80" s="2213"/>
      <c r="U80" s="2213"/>
      <c r="V80" s="2213"/>
      <c r="W80" s="2213"/>
      <c r="X80" s="2213"/>
      <c r="Y80" s="2213"/>
      <c r="Z80" s="2213"/>
      <c r="AA80" s="2213"/>
      <c r="AB80" s="3651"/>
      <c r="AC80" s="2213"/>
      <c r="AD80" s="3652"/>
      <c r="AE80" s="3653"/>
    </row>
    <row r="81" spans="1:31" s="1319" customFormat="1" ht="17.399999999999999">
      <c r="A81" s="2930">
        <v>2</v>
      </c>
      <c r="B81" s="2918" t="s">
        <v>598</v>
      </c>
      <c r="C81" s="3654">
        <f t="shared" si="30"/>
        <v>1152</v>
      </c>
      <c r="D81" s="2224">
        <f t="shared" ref="D81:D82" si="35">SUM(E81:H81)</f>
        <v>0</v>
      </c>
      <c r="E81" s="2224"/>
      <c r="F81" s="2224"/>
      <c r="G81" s="2224"/>
      <c r="H81" s="2224"/>
      <c r="I81" s="2224"/>
      <c r="J81" s="2956">
        <f t="shared" ref="J81" si="36">SUM(K81:V81)</f>
        <v>1152</v>
      </c>
      <c r="K81" s="2956"/>
      <c r="L81" s="3655">
        <f>L82</f>
        <v>1152</v>
      </c>
      <c r="M81" s="2224"/>
      <c r="N81" s="2224"/>
      <c r="O81" s="2956"/>
      <c r="P81" s="2224"/>
      <c r="Q81" s="2224"/>
      <c r="R81" s="2224"/>
      <c r="S81" s="2224"/>
      <c r="T81" s="2224"/>
      <c r="U81" s="2224"/>
      <c r="V81" s="2224"/>
      <c r="W81" s="2224"/>
      <c r="X81" s="2224"/>
      <c r="Y81" s="2224"/>
      <c r="Z81" s="2224"/>
      <c r="AA81" s="2224"/>
      <c r="AB81" s="2956"/>
      <c r="AC81" s="2224"/>
      <c r="AD81" s="3656"/>
      <c r="AE81" s="3166"/>
    </row>
    <row r="82" spans="1:31" s="2351" customFormat="1" ht="54">
      <c r="A82" s="3657"/>
      <c r="B82" s="3649" t="s">
        <v>2766</v>
      </c>
      <c r="C82" s="3654">
        <f t="shared" ref="C82:C103" si="37">D82+J82+W82+X82+AB82+AE82+Y82+Z82+AA82</f>
        <v>1152</v>
      </c>
      <c r="D82" s="2213">
        <f t="shared" si="35"/>
        <v>0</v>
      </c>
      <c r="E82" s="2213"/>
      <c r="F82" s="2213"/>
      <c r="G82" s="2213"/>
      <c r="H82" s="2213"/>
      <c r="I82" s="2213"/>
      <c r="J82" s="3651">
        <f>SUM(K82:V82)</f>
        <v>1152</v>
      </c>
      <c r="K82" s="3651"/>
      <c r="L82" s="3651">
        <f>(61094+906+(1065+3994))+(906)-L11-L41-L56-L60-L105</f>
        <v>1152</v>
      </c>
      <c r="M82" s="2213"/>
      <c r="N82" s="2213"/>
      <c r="O82" s="3651"/>
      <c r="P82" s="2213"/>
      <c r="Q82" s="2213"/>
      <c r="R82" s="2213"/>
      <c r="S82" s="2213"/>
      <c r="T82" s="2213"/>
      <c r="U82" s="2213"/>
      <c r="V82" s="2213"/>
      <c r="W82" s="2213"/>
      <c r="X82" s="2213"/>
      <c r="Y82" s="2213"/>
      <c r="Z82" s="2213"/>
      <c r="AA82" s="2213"/>
      <c r="AB82" s="3651"/>
      <c r="AC82" s="2213"/>
      <c r="AD82" s="3652"/>
      <c r="AE82" s="3653"/>
    </row>
    <row r="83" spans="1:31" s="2394" customFormat="1">
      <c r="A83" s="2930">
        <v>3</v>
      </c>
      <c r="B83" s="2918" t="s">
        <v>1038</v>
      </c>
      <c r="C83" s="3662">
        <f t="shared" si="37"/>
        <v>1892</v>
      </c>
      <c r="D83" s="3663"/>
      <c r="E83" s="3663"/>
      <c r="F83" s="3663"/>
      <c r="G83" s="3663"/>
      <c r="H83" s="3663"/>
      <c r="I83" s="3663"/>
      <c r="J83" s="3664">
        <f t="shared" ref="J83:J103" si="38">SUM(K83:V83)</f>
        <v>1892</v>
      </c>
      <c r="K83" s="3664">
        <f t="shared" ref="K83:L83" si="39">K84</f>
        <v>0</v>
      </c>
      <c r="L83" s="3664">
        <f t="shared" si="39"/>
        <v>0</v>
      </c>
      <c r="M83" s="3664">
        <f>M84</f>
        <v>1892</v>
      </c>
      <c r="N83" s="3663"/>
      <c r="O83" s="3664"/>
      <c r="P83" s="3663"/>
      <c r="Q83" s="3663"/>
      <c r="R83" s="3663"/>
      <c r="S83" s="3663"/>
      <c r="T83" s="3663"/>
      <c r="U83" s="3663"/>
      <c r="V83" s="3663"/>
      <c r="W83" s="3663"/>
      <c r="X83" s="3663"/>
      <c r="Y83" s="3663"/>
      <c r="Z83" s="3663"/>
      <c r="AA83" s="3663"/>
      <c r="AB83" s="3664"/>
      <c r="AC83" s="3663"/>
      <c r="AD83" s="3668"/>
      <c r="AE83" s="3665"/>
    </row>
    <row r="84" spans="1:31" s="2351" customFormat="1" ht="54">
      <c r="A84" s="2932"/>
      <c r="B84" s="3649" t="s">
        <v>2766</v>
      </c>
      <c r="C84" s="3650">
        <f t="shared" si="37"/>
        <v>1892</v>
      </c>
      <c r="D84" s="2213"/>
      <c r="E84" s="2213"/>
      <c r="F84" s="2213"/>
      <c r="G84" s="2213"/>
      <c r="H84" s="2213"/>
      <c r="I84" s="2213"/>
      <c r="J84" s="3651">
        <f t="shared" si="38"/>
        <v>1892</v>
      </c>
      <c r="K84" s="3651"/>
      <c r="L84" s="2213"/>
      <c r="M84" s="3658">
        <f>(30547+453+218)-M11-M41-M56-M60-M105</f>
        <v>1892</v>
      </c>
      <c r="N84" s="2213"/>
      <c r="O84" s="3651"/>
      <c r="P84" s="2213"/>
      <c r="Q84" s="2213"/>
      <c r="R84" s="2213"/>
      <c r="S84" s="2213"/>
      <c r="T84" s="2213"/>
      <c r="U84" s="2213"/>
      <c r="V84" s="2213"/>
      <c r="W84" s="2213"/>
      <c r="X84" s="2213"/>
      <c r="Y84" s="2213"/>
      <c r="Z84" s="2213"/>
      <c r="AA84" s="2213"/>
      <c r="AB84" s="3651"/>
      <c r="AC84" s="2213"/>
      <c r="AD84" s="3652"/>
      <c r="AE84" s="3653"/>
    </row>
    <row r="85" spans="1:31" s="1319" customFormat="1">
      <c r="A85" s="2930">
        <v>4</v>
      </c>
      <c r="B85" s="2918" t="s">
        <v>2767</v>
      </c>
      <c r="C85" s="3654">
        <f t="shared" si="37"/>
        <v>86293</v>
      </c>
      <c r="D85" s="2224"/>
      <c r="E85" s="2224"/>
      <c r="F85" s="2224"/>
      <c r="G85" s="2224"/>
      <c r="H85" s="2224"/>
      <c r="I85" s="2224"/>
      <c r="J85" s="3664">
        <f>SUM(K85:V85)</f>
        <v>74667</v>
      </c>
      <c r="K85" s="2956"/>
      <c r="L85" s="2224"/>
      <c r="M85" s="3655"/>
      <c r="N85" s="2956">
        <f>N86</f>
        <v>74667</v>
      </c>
      <c r="O85" s="2956">
        <f t="shared" ref="O85:AD85" si="40">O86</f>
        <v>0</v>
      </c>
      <c r="P85" s="2956">
        <f t="shared" si="40"/>
        <v>0</v>
      </c>
      <c r="Q85" s="2956">
        <f t="shared" si="40"/>
        <v>0</v>
      </c>
      <c r="R85" s="2956">
        <f t="shared" si="40"/>
        <v>0</v>
      </c>
      <c r="S85" s="2956">
        <f t="shared" si="40"/>
        <v>0</v>
      </c>
      <c r="T85" s="2956">
        <f t="shared" si="40"/>
        <v>0</v>
      </c>
      <c r="U85" s="2956">
        <f t="shared" si="40"/>
        <v>0</v>
      </c>
      <c r="V85" s="2956">
        <f t="shared" si="40"/>
        <v>0</v>
      </c>
      <c r="W85" s="2956">
        <f t="shared" si="40"/>
        <v>0</v>
      </c>
      <c r="X85" s="2956">
        <f t="shared" si="40"/>
        <v>0</v>
      </c>
      <c r="Y85" s="2956">
        <f t="shared" si="40"/>
        <v>0</v>
      </c>
      <c r="Z85" s="2956">
        <f t="shared" si="40"/>
        <v>0</v>
      </c>
      <c r="AA85" s="2956">
        <f t="shared" si="40"/>
        <v>0</v>
      </c>
      <c r="AB85" s="2956">
        <f t="shared" si="40"/>
        <v>11626</v>
      </c>
      <c r="AC85" s="2956">
        <f t="shared" si="40"/>
        <v>0</v>
      </c>
      <c r="AD85" s="3143">
        <f t="shared" si="40"/>
        <v>11626</v>
      </c>
      <c r="AE85" s="3166"/>
    </row>
    <row r="86" spans="1:31" s="2351" customFormat="1" ht="54">
      <c r="A86" s="2932"/>
      <c r="B86" s="3649" t="s">
        <v>2766</v>
      </c>
      <c r="C86" s="3650">
        <f t="shared" si="37"/>
        <v>86293</v>
      </c>
      <c r="D86" s="2213"/>
      <c r="E86" s="2213"/>
      <c r="F86" s="2213"/>
      <c r="G86" s="2213"/>
      <c r="H86" s="2213"/>
      <c r="I86" s="2213"/>
      <c r="J86" s="3651">
        <f t="shared" si="38"/>
        <v>74667</v>
      </c>
      <c r="K86" s="3651"/>
      <c r="L86" s="2213"/>
      <c r="M86" s="3658"/>
      <c r="N86" s="3651">
        <f>(1002180+14855-635+270)-(60000)+(6)-N11-N41-N56-N105</f>
        <v>74667</v>
      </c>
      <c r="O86" s="3651"/>
      <c r="P86" s="2213"/>
      <c r="Q86" s="2213"/>
      <c r="R86" s="2213"/>
      <c r="S86" s="2213"/>
      <c r="T86" s="2213"/>
      <c r="U86" s="2213"/>
      <c r="V86" s="2213"/>
      <c r="W86" s="2213"/>
      <c r="X86" s="2213"/>
      <c r="Y86" s="2213"/>
      <c r="Z86" s="2213"/>
      <c r="AA86" s="2213"/>
      <c r="AB86" s="3651">
        <f t="shared" si="25"/>
        <v>11626</v>
      </c>
      <c r="AC86" s="2213"/>
      <c r="AD86" s="3659">
        <f>'Phụ lục số 8'!E30</f>
        <v>11626</v>
      </c>
      <c r="AE86" s="3653"/>
    </row>
    <row r="87" spans="1:31" s="3684" customFormat="1" hidden="1">
      <c r="A87" s="3676">
        <v>5</v>
      </c>
      <c r="B87" s="3677" t="s">
        <v>1426</v>
      </c>
      <c r="C87" s="3654">
        <f t="shared" si="37"/>
        <v>0</v>
      </c>
      <c r="D87" s="3679"/>
      <c r="E87" s="3679"/>
      <c r="F87" s="3679"/>
      <c r="G87" s="3679"/>
      <c r="H87" s="3679"/>
      <c r="I87" s="3679"/>
      <c r="J87" s="3664">
        <f>SUM(K87:V87)</f>
        <v>0</v>
      </c>
      <c r="K87" s="3680"/>
      <c r="L87" s="3679"/>
      <c r="M87" s="3681"/>
      <c r="N87" s="3680"/>
      <c r="O87" s="3680">
        <f>O88</f>
        <v>0</v>
      </c>
      <c r="P87" s="3679"/>
      <c r="Q87" s="3679"/>
      <c r="R87" s="3679"/>
      <c r="S87" s="3679"/>
      <c r="T87" s="3679"/>
      <c r="U87" s="3679"/>
      <c r="V87" s="3679"/>
      <c r="W87" s="3679"/>
      <c r="X87" s="3679"/>
      <c r="Y87" s="3679"/>
      <c r="Z87" s="3679"/>
      <c r="AA87" s="3679"/>
      <c r="AB87" s="3680"/>
      <c r="AC87" s="3679"/>
      <c r="AD87" s="3682"/>
      <c r="AE87" s="3683"/>
    </row>
    <row r="88" spans="1:31" s="3684" customFormat="1" ht="54" hidden="1">
      <c r="A88" s="3685"/>
      <c r="B88" s="3686" t="s">
        <v>2766</v>
      </c>
      <c r="C88" s="3650">
        <f t="shared" si="37"/>
        <v>0</v>
      </c>
      <c r="D88" s="3679"/>
      <c r="E88" s="3679"/>
      <c r="F88" s="3679"/>
      <c r="G88" s="3679"/>
      <c r="H88" s="3679"/>
      <c r="I88" s="3679"/>
      <c r="J88" s="3651">
        <f>SUM(K88:V88)</f>
        <v>0</v>
      </c>
      <c r="K88" s="3680"/>
      <c r="L88" s="3679"/>
      <c r="M88" s="3681"/>
      <c r="N88" s="3680"/>
      <c r="O88" s="3687">
        <f>(739045+10955+52298+26240)-O11-O41-O56-O60-O105</f>
        <v>0</v>
      </c>
      <c r="P88" s="3679"/>
      <c r="Q88" s="3679"/>
      <c r="R88" s="3679"/>
      <c r="S88" s="3679"/>
      <c r="T88" s="3679"/>
      <c r="U88" s="3679"/>
      <c r="V88" s="3679"/>
      <c r="W88" s="3679"/>
      <c r="X88" s="3679"/>
      <c r="Y88" s="3679"/>
      <c r="Z88" s="3679"/>
      <c r="AA88" s="3679"/>
      <c r="AB88" s="3680"/>
      <c r="AC88" s="3679"/>
      <c r="AD88" s="3682"/>
      <c r="AE88" s="3683"/>
    </row>
    <row r="89" spans="1:31" s="1319" customFormat="1">
      <c r="A89" s="2930">
        <v>5</v>
      </c>
      <c r="B89" s="2918" t="s">
        <v>2768</v>
      </c>
      <c r="C89" s="3654">
        <f t="shared" si="37"/>
        <v>2694</v>
      </c>
      <c r="D89" s="2224"/>
      <c r="E89" s="2224"/>
      <c r="F89" s="2224"/>
      <c r="G89" s="2224"/>
      <c r="H89" s="2224"/>
      <c r="I89" s="2224"/>
      <c r="J89" s="3651">
        <f t="shared" si="38"/>
        <v>2694</v>
      </c>
      <c r="K89" s="2956"/>
      <c r="L89" s="2224"/>
      <c r="M89" s="3655"/>
      <c r="N89" s="2956"/>
      <c r="O89" s="2956"/>
      <c r="P89" s="2956">
        <f>P90</f>
        <v>2694</v>
      </c>
      <c r="Q89" s="2224"/>
      <c r="R89" s="2224"/>
      <c r="S89" s="2224"/>
      <c r="T89" s="2224"/>
      <c r="U89" s="2224"/>
      <c r="V89" s="2224"/>
      <c r="W89" s="2224"/>
      <c r="X89" s="2224"/>
      <c r="Y89" s="2224"/>
      <c r="Z89" s="2224"/>
      <c r="AA89" s="2224"/>
      <c r="AB89" s="2956"/>
      <c r="AC89" s="2224"/>
      <c r="AD89" s="3666"/>
      <c r="AE89" s="3166"/>
    </row>
    <row r="90" spans="1:31" s="2351" customFormat="1" ht="54">
      <c r="A90" s="2932"/>
      <c r="B90" s="3649" t="s">
        <v>2766</v>
      </c>
      <c r="C90" s="3650">
        <f t="shared" si="37"/>
        <v>2694</v>
      </c>
      <c r="D90" s="2213"/>
      <c r="E90" s="2213"/>
      <c r="F90" s="2213"/>
      <c r="G90" s="2213"/>
      <c r="H90" s="2213"/>
      <c r="I90" s="2213"/>
      <c r="J90" s="3651">
        <f t="shared" si="38"/>
        <v>2694</v>
      </c>
      <c r="K90" s="3651"/>
      <c r="L90" s="2213"/>
      <c r="M90" s="3658"/>
      <c r="N90" s="3651"/>
      <c r="O90" s="3651"/>
      <c r="P90" s="3658">
        <f>(39416+584+(5194+1558))+(581+204+351)-P11-P41-P56-P60-P105</f>
        <v>2694</v>
      </c>
      <c r="Q90" s="2213"/>
      <c r="R90" s="2213"/>
      <c r="S90" s="2213"/>
      <c r="T90" s="2213"/>
      <c r="U90" s="2213"/>
      <c r="V90" s="2213"/>
      <c r="W90" s="2213"/>
      <c r="X90" s="2213"/>
      <c r="Y90" s="2213"/>
      <c r="Z90" s="2213"/>
      <c r="AA90" s="2213"/>
      <c r="AB90" s="3651"/>
      <c r="AC90" s="2213"/>
      <c r="AD90" s="3659"/>
      <c r="AE90" s="3653"/>
    </row>
    <row r="91" spans="1:31" s="3684" customFormat="1" hidden="1">
      <c r="A91" s="3676">
        <v>7</v>
      </c>
      <c r="B91" s="3677" t="s">
        <v>576</v>
      </c>
      <c r="C91" s="3654">
        <f t="shared" si="37"/>
        <v>0</v>
      </c>
      <c r="D91" s="3679"/>
      <c r="E91" s="3679"/>
      <c r="F91" s="3679"/>
      <c r="G91" s="3679"/>
      <c r="H91" s="3679"/>
      <c r="I91" s="3679"/>
      <c r="J91" s="3680"/>
      <c r="K91" s="3680"/>
      <c r="L91" s="3679"/>
      <c r="M91" s="3681"/>
      <c r="N91" s="3680"/>
      <c r="O91" s="3680"/>
      <c r="P91" s="3681"/>
      <c r="Q91" s="3688">
        <f>Q92</f>
        <v>0</v>
      </c>
      <c r="R91" s="3679"/>
      <c r="S91" s="3679"/>
      <c r="T91" s="3679"/>
      <c r="U91" s="3679"/>
      <c r="V91" s="3679"/>
      <c r="W91" s="3679"/>
      <c r="X91" s="3679"/>
      <c r="Y91" s="3679"/>
      <c r="Z91" s="3679"/>
      <c r="AA91" s="3679"/>
      <c r="AB91" s="3680"/>
      <c r="AC91" s="3679"/>
      <c r="AD91" s="3682"/>
      <c r="AE91" s="3683"/>
    </row>
    <row r="92" spans="1:31" s="3684" customFormat="1" ht="54" hidden="1">
      <c r="A92" s="3685"/>
      <c r="B92" s="3686" t="s">
        <v>2766</v>
      </c>
      <c r="C92" s="3650">
        <f t="shared" si="37"/>
        <v>0</v>
      </c>
      <c r="D92" s="3679"/>
      <c r="E92" s="3679"/>
      <c r="F92" s="3679"/>
      <c r="G92" s="3679"/>
      <c r="H92" s="3679"/>
      <c r="I92" s="3679"/>
      <c r="J92" s="3680"/>
      <c r="K92" s="3680"/>
      <c r="L92" s="3679"/>
      <c r="M92" s="3681"/>
      <c r="N92" s="3680"/>
      <c r="O92" s="3680"/>
      <c r="P92" s="3681"/>
      <c r="Q92" s="3687">
        <f>(13796+204+4073)-Q11-Q41-Q56-Q60-Q105</f>
        <v>0</v>
      </c>
      <c r="R92" s="3679"/>
      <c r="S92" s="3679"/>
      <c r="T92" s="3679"/>
      <c r="U92" s="3679"/>
      <c r="V92" s="3679"/>
      <c r="W92" s="3679"/>
      <c r="X92" s="3679"/>
      <c r="Y92" s="3679"/>
      <c r="Z92" s="3679"/>
      <c r="AA92" s="3679"/>
      <c r="AB92" s="3680"/>
      <c r="AC92" s="3679"/>
      <c r="AD92" s="3682"/>
      <c r="AE92" s="3683"/>
    </row>
    <row r="93" spans="1:31" s="3684" customFormat="1" hidden="1">
      <c r="A93" s="3676">
        <v>8</v>
      </c>
      <c r="B93" s="3677" t="s">
        <v>577</v>
      </c>
      <c r="C93" s="3654">
        <f t="shared" si="37"/>
        <v>0</v>
      </c>
      <c r="D93" s="3679"/>
      <c r="E93" s="3679"/>
      <c r="F93" s="3679"/>
      <c r="G93" s="3679"/>
      <c r="H93" s="3679"/>
      <c r="I93" s="3679"/>
      <c r="J93" s="3680"/>
      <c r="K93" s="3680"/>
      <c r="L93" s="3679"/>
      <c r="M93" s="3681"/>
      <c r="N93" s="3680"/>
      <c r="O93" s="3680"/>
      <c r="P93" s="3681"/>
      <c r="Q93" s="3679"/>
      <c r="R93" s="3688">
        <f>R94</f>
        <v>0</v>
      </c>
      <c r="S93" s="3679"/>
      <c r="T93" s="3679"/>
      <c r="U93" s="3679"/>
      <c r="V93" s="3679"/>
      <c r="W93" s="3679"/>
      <c r="X93" s="3679"/>
      <c r="Y93" s="3679"/>
      <c r="Z93" s="3679"/>
      <c r="AA93" s="3679"/>
      <c r="AB93" s="3680"/>
      <c r="AC93" s="3679"/>
      <c r="AD93" s="3682"/>
      <c r="AE93" s="3683"/>
    </row>
    <row r="94" spans="1:31" s="3684" customFormat="1" ht="54" hidden="1">
      <c r="A94" s="3685"/>
      <c r="B94" s="3686" t="s">
        <v>2766</v>
      </c>
      <c r="C94" s="3650">
        <f t="shared" si="37"/>
        <v>0</v>
      </c>
      <c r="D94" s="3679"/>
      <c r="E94" s="3679"/>
      <c r="F94" s="3679"/>
      <c r="G94" s="3679"/>
      <c r="H94" s="3679"/>
      <c r="I94" s="3679"/>
      <c r="J94" s="3680"/>
      <c r="K94" s="3680"/>
      <c r="L94" s="3679"/>
      <c r="M94" s="3681"/>
      <c r="N94" s="3680"/>
      <c r="O94" s="3680"/>
      <c r="P94" s="3681"/>
      <c r="Q94" s="3679"/>
      <c r="R94" s="3689">
        <f>(23649+351+13202)-R11-R41-R56-R60</f>
        <v>0</v>
      </c>
      <c r="S94" s="3679"/>
      <c r="T94" s="3679"/>
      <c r="U94" s="3679"/>
      <c r="V94" s="3679"/>
      <c r="W94" s="3679"/>
      <c r="X94" s="3679"/>
      <c r="Y94" s="3679"/>
      <c r="Z94" s="3679"/>
      <c r="AA94" s="3679"/>
      <c r="AB94" s="3680"/>
      <c r="AC94" s="3679"/>
      <c r="AD94" s="3682"/>
      <c r="AE94" s="3683"/>
    </row>
    <row r="95" spans="1:31" s="1319" customFormat="1" ht="17.399999999999999">
      <c r="A95" s="2930">
        <v>6</v>
      </c>
      <c r="B95" s="2918" t="s">
        <v>601</v>
      </c>
      <c r="C95" s="3654">
        <f>D95+J95+W95+X95+AB95+AE95+Y95+Z95+AA95</f>
        <v>23385</v>
      </c>
      <c r="D95" s="2224"/>
      <c r="E95" s="2224"/>
      <c r="F95" s="2224"/>
      <c r="G95" s="2224"/>
      <c r="H95" s="2224"/>
      <c r="I95" s="2224"/>
      <c r="J95" s="2956">
        <f t="shared" si="38"/>
        <v>23385</v>
      </c>
      <c r="K95" s="2956"/>
      <c r="L95" s="2224"/>
      <c r="M95" s="3655"/>
      <c r="N95" s="2956"/>
      <c r="O95" s="2956"/>
      <c r="P95" s="3655"/>
      <c r="Q95" s="2224"/>
      <c r="R95" s="2224"/>
      <c r="S95" s="3654">
        <f>SUM(S96:S97)</f>
        <v>23385</v>
      </c>
      <c r="T95" s="2224"/>
      <c r="U95" s="2224"/>
      <c r="V95" s="2224"/>
      <c r="W95" s="2224"/>
      <c r="X95" s="2224"/>
      <c r="Y95" s="2224"/>
      <c r="Z95" s="2224"/>
      <c r="AA95" s="2224"/>
      <c r="AB95" s="2956"/>
      <c r="AC95" s="2224"/>
      <c r="AD95" s="3666"/>
      <c r="AE95" s="3166"/>
    </row>
    <row r="96" spans="1:31" s="154" customFormat="1" ht="126">
      <c r="A96" s="2931" t="s">
        <v>34</v>
      </c>
      <c r="B96" s="2916" t="s">
        <v>1494</v>
      </c>
      <c r="C96" s="3634">
        <f t="shared" si="37"/>
        <v>21000</v>
      </c>
      <c r="D96" s="2225">
        <f t="shared" si="20"/>
        <v>0</v>
      </c>
      <c r="E96" s="2225"/>
      <c r="F96" s="2225"/>
      <c r="G96" s="2225"/>
      <c r="H96" s="2225"/>
      <c r="I96" s="2225"/>
      <c r="J96" s="2954">
        <f t="shared" si="38"/>
        <v>21000</v>
      </c>
      <c r="K96" s="2225"/>
      <c r="L96" s="2225"/>
      <c r="M96" s="2225"/>
      <c r="N96" s="2225"/>
      <c r="O96" s="2954"/>
      <c r="P96" s="2225"/>
      <c r="Q96" s="2225"/>
      <c r="R96" s="2225"/>
      <c r="S96" s="2954">
        <f>15000+6000</f>
        <v>21000</v>
      </c>
      <c r="T96" s="2225"/>
      <c r="U96" s="2225"/>
      <c r="V96" s="2225"/>
      <c r="W96" s="2225"/>
      <c r="X96" s="2225"/>
      <c r="Y96" s="2225"/>
      <c r="Z96" s="2225"/>
      <c r="AA96" s="2225"/>
      <c r="AB96" s="2954">
        <f t="shared" si="25"/>
        <v>0</v>
      </c>
      <c r="AC96" s="2225"/>
      <c r="AD96" s="3637"/>
      <c r="AE96" s="3164"/>
    </row>
    <row r="97" spans="1:31" s="2351" customFormat="1" ht="54">
      <c r="A97" s="2932" t="s">
        <v>35</v>
      </c>
      <c r="B97" s="3649" t="s">
        <v>2766</v>
      </c>
      <c r="C97" s="3650">
        <f t="shared" si="37"/>
        <v>2385</v>
      </c>
      <c r="D97" s="2213">
        <f t="shared" si="20"/>
        <v>0</v>
      </c>
      <c r="E97" s="2213"/>
      <c r="F97" s="2213"/>
      <c r="G97" s="2213"/>
      <c r="H97" s="2213"/>
      <c r="I97" s="2213"/>
      <c r="J97" s="3651">
        <f t="shared" si="38"/>
        <v>2385</v>
      </c>
      <c r="K97" s="3651"/>
      <c r="L97" s="2213"/>
      <c r="M97" s="2213"/>
      <c r="N97" s="2213"/>
      <c r="O97" s="3651"/>
      <c r="P97" s="2213"/>
      <c r="Q97" s="2213"/>
      <c r="R97" s="2213"/>
      <c r="S97" s="3651">
        <f>(73905+1095+1363)+(1022)-S11-S41-S56-S60-S96-S105</f>
        <v>2385</v>
      </c>
      <c r="T97" s="2213"/>
      <c r="U97" s="2213"/>
      <c r="V97" s="2213"/>
      <c r="W97" s="2213"/>
      <c r="X97" s="2213"/>
      <c r="Y97" s="2213"/>
      <c r="Z97" s="2213"/>
      <c r="AA97" s="2213"/>
      <c r="AB97" s="3651">
        <f t="shared" si="25"/>
        <v>0</v>
      </c>
      <c r="AC97" s="2213"/>
      <c r="AD97" s="3652"/>
      <c r="AE97" s="3653"/>
    </row>
    <row r="98" spans="1:31" s="1319" customFormat="1" ht="17.399999999999999">
      <c r="A98" s="2930">
        <v>7</v>
      </c>
      <c r="B98" s="2919" t="s">
        <v>2769</v>
      </c>
      <c r="C98" s="3654">
        <f t="shared" si="37"/>
        <v>5498.9510000000009</v>
      </c>
      <c r="D98" s="2224">
        <f t="shared" si="20"/>
        <v>0</v>
      </c>
      <c r="E98" s="2224"/>
      <c r="F98" s="2224"/>
      <c r="G98" s="2224"/>
      <c r="H98" s="2224"/>
      <c r="I98" s="2224"/>
      <c r="J98" s="2956">
        <f t="shared" si="38"/>
        <v>5498.9510000000009</v>
      </c>
      <c r="K98" s="2956"/>
      <c r="L98" s="2224"/>
      <c r="M98" s="2224"/>
      <c r="N98" s="2224"/>
      <c r="O98" s="2956"/>
      <c r="P98" s="2224"/>
      <c r="Q98" s="2224"/>
      <c r="R98" s="2224"/>
      <c r="S98" s="2224"/>
      <c r="T98" s="2956">
        <f>T99</f>
        <v>5498.9510000000009</v>
      </c>
      <c r="U98" s="2224"/>
      <c r="V98" s="2224"/>
      <c r="W98" s="2224"/>
      <c r="X98" s="2224"/>
      <c r="Y98" s="2224"/>
      <c r="Z98" s="2224"/>
      <c r="AA98" s="2224"/>
      <c r="AB98" s="2956">
        <f t="shared" si="25"/>
        <v>0</v>
      </c>
      <c r="AC98" s="2224"/>
      <c r="AD98" s="3656"/>
      <c r="AE98" s="3166"/>
    </row>
    <row r="99" spans="1:31" s="2351" customFormat="1" ht="54">
      <c r="A99" s="2932"/>
      <c r="B99" s="3649" t="s">
        <v>2766</v>
      </c>
      <c r="C99" s="3650">
        <f t="shared" si="37"/>
        <v>5498.9510000000009</v>
      </c>
      <c r="D99" s="2213">
        <f t="shared" si="20"/>
        <v>0</v>
      </c>
      <c r="E99" s="2213"/>
      <c r="F99" s="2213"/>
      <c r="G99" s="2213"/>
      <c r="H99" s="2213"/>
      <c r="I99" s="2213"/>
      <c r="J99" s="3651">
        <f t="shared" si="38"/>
        <v>5498.9510000000009</v>
      </c>
      <c r="K99" s="2213"/>
      <c r="L99" s="2213"/>
      <c r="M99" s="2213"/>
      <c r="N99" s="2213"/>
      <c r="O99" s="3651"/>
      <c r="P99" s="2213"/>
      <c r="Q99" s="2213"/>
      <c r="R99" s="2213"/>
      <c r="S99" s="2213"/>
      <c r="T99" s="3857">
        <f>(448354+6646+39607)+(12211+3640)+5000-T11-T41-T56-T60-T105</f>
        <v>5498.9510000000009</v>
      </c>
      <c r="U99" s="2213"/>
      <c r="V99" s="2213"/>
      <c r="W99" s="2213"/>
      <c r="X99" s="2213"/>
      <c r="Y99" s="2213"/>
      <c r="Z99" s="2213"/>
      <c r="AA99" s="2213"/>
      <c r="AB99" s="3651">
        <f t="shared" si="25"/>
        <v>0</v>
      </c>
      <c r="AC99" s="2213"/>
      <c r="AD99" s="3652"/>
      <c r="AE99" s="3653"/>
    </row>
    <row r="100" spans="1:31" s="3684" customFormat="1" hidden="1">
      <c r="A100" s="3676">
        <v>8</v>
      </c>
      <c r="B100" s="3677" t="s">
        <v>2770</v>
      </c>
      <c r="C100" s="3709">
        <f t="shared" si="37"/>
        <v>-0.39999999999417923</v>
      </c>
      <c r="D100" s="3679"/>
      <c r="E100" s="3679"/>
      <c r="F100" s="3679"/>
      <c r="G100" s="3679"/>
      <c r="H100" s="3679"/>
      <c r="I100" s="3679"/>
      <c r="J100" s="3701">
        <f t="shared" si="38"/>
        <v>-0.39999999999417923</v>
      </c>
      <c r="K100" s="3679"/>
      <c r="L100" s="3679"/>
      <c r="M100" s="3679"/>
      <c r="N100" s="3679"/>
      <c r="O100" s="3680"/>
      <c r="P100" s="3679"/>
      <c r="Q100" s="3679"/>
      <c r="R100" s="3679"/>
      <c r="S100" s="3679"/>
      <c r="T100" s="3680"/>
      <c r="U100" s="3710">
        <f>U101</f>
        <v>-0.39999999999417923</v>
      </c>
      <c r="V100" s="3679"/>
      <c r="W100" s="3679"/>
      <c r="X100" s="3679"/>
      <c r="Y100" s="3679"/>
      <c r="Z100" s="3679"/>
      <c r="AA100" s="3679"/>
      <c r="AB100" s="3680"/>
      <c r="AC100" s="3679"/>
      <c r="AD100" s="3711"/>
      <c r="AE100" s="3683"/>
    </row>
    <row r="101" spans="1:31" s="3684" customFormat="1" ht="54" hidden="1">
      <c r="A101" s="3685"/>
      <c r="B101" s="3686" t="s">
        <v>2766</v>
      </c>
      <c r="C101" s="3678">
        <f t="shared" si="37"/>
        <v>-0.39999999999417923</v>
      </c>
      <c r="D101" s="3679"/>
      <c r="E101" s="3679"/>
      <c r="F101" s="3679"/>
      <c r="G101" s="3679"/>
      <c r="H101" s="3679"/>
      <c r="I101" s="3679"/>
      <c r="J101" s="3680">
        <f t="shared" si="38"/>
        <v>-0.39999999999417923</v>
      </c>
      <c r="K101" s="3679"/>
      <c r="L101" s="3679"/>
      <c r="M101" s="3679"/>
      <c r="N101" s="3679"/>
      <c r="O101" s="3680"/>
      <c r="P101" s="3679"/>
      <c r="Q101" s="3679"/>
      <c r="R101" s="3679"/>
      <c r="S101" s="3679"/>
      <c r="T101" s="3680"/>
      <c r="U101" s="3712">
        <f>(137955+2045+8327)-U11-U41-U56-U60-U105</f>
        <v>-0.39999999999417923</v>
      </c>
      <c r="V101" s="3679"/>
      <c r="W101" s="3679"/>
      <c r="X101" s="3679"/>
      <c r="Y101" s="3679"/>
      <c r="Z101" s="3679"/>
      <c r="AA101" s="3679"/>
      <c r="AB101" s="3680"/>
      <c r="AC101" s="3679"/>
      <c r="AD101" s="3711"/>
      <c r="AE101" s="3683"/>
    </row>
    <row r="102" spans="1:31" s="1319" customFormat="1" ht="17.399999999999999">
      <c r="A102" s="2930">
        <v>8</v>
      </c>
      <c r="B102" s="2918" t="s">
        <v>90</v>
      </c>
      <c r="C102" s="3654">
        <f t="shared" si="37"/>
        <v>14176</v>
      </c>
      <c r="D102" s="2224">
        <f t="shared" si="20"/>
        <v>0</v>
      </c>
      <c r="E102" s="2224"/>
      <c r="F102" s="2224"/>
      <c r="G102" s="2224"/>
      <c r="H102" s="2224"/>
      <c r="I102" s="2224"/>
      <c r="J102" s="2956">
        <f t="shared" si="38"/>
        <v>14176</v>
      </c>
      <c r="K102" s="2224"/>
      <c r="L102" s="2224"/>
      <c r="M102" s="2224"/>
      <c r="N102" s="2224"/>
      <c r="O102" s="2956"/>
      <c r="P102" s="2224"/>
      <c r="Q102" s="2224"/>
      <c r="R102" s="2224"/>
      <c r="S102" s="2224"/>
      <c r="T102" s="2224"/>
      <c r="U102" s="2224"/>
      <c r="V102" s="2956">
        <f>V103</f>
        <v>14176</v>
      </c>
      <c r="W102" s="2224"/>
      <c r="X102" s="2224"/>
      <c r="Y102" s="2224"/>
      <c r="Z102" s="2224"/>
      <c r="AA102" s="2224"/>
      <c r="AB102" s="2956">
        <f t="shared" si="25"/>
        <v>0</v>
      </c>
      <c r="AC102" s="2224"/>
      <c r="AD102" s="3656"/>
      <c r="AE102" s="3166"/>
    </row>
    <row r="103" spans="1:31" s="2351" customFormat="1" ht="54">
      <c r="A103" s="2932"/>
      <c r="B103" s="3649" t="s">
        <v>2766</v>
      </c>
      <c r="C103" s="3650">
        <f t="shared" si="37"/>
        <v>14176</v>
      </c>
      <c r="D103" s="2213">
        <f t="shared" si="20"/>
        <v>0</v>
      </c>
      <c r="E103" s="2213"/>
      <c r="F103" s="2213"/>
      <c r="G103" s="2213"/>
      <c r="H103" s="2213"/>
      <c r="I103" s="2213"/>
      <c r="J103" s="3651">
        <f t="shared" si="38"/>
        <v>14176</v>
      </c>
      <c r="K103" s="2213"/>
      <c r="L103" s="2213"/>
      <c r="M103" s="2213"/>
      <c r="N103" s="2213"/>
      <c r="O103" s="3651"/>
      <c r="P103" s="2213"/>
      <c r="Q103" s="2213"/>
      <c r="R103" s="2213"/>
      <c r="S103" s="2213"/>
      <c r="T103" s="2213"/>
      <c r="U103" s="2213"/>
      <c r="V103" s="3651">
        <f>(19708+292)-V11-V41-V56-V60-V105</f>
        <v>14176</v>
      </c>
      <c r="W103" s="2213"/>
      <c r="X103" s="2213"/>
      <c r="Y103" s="2213"/>
      <c r="Z103" s="2213"/>
      <c r="AA103" s="2213"/>
      <c r="AB103" s="3651">
        <f t="shared" si="25"/>
        <v>0</v>
      </c>
      <c r="AC103" s="2213"/>
      <c r="AD103" s="3652"/>
      <c r="AE103" s="3653"/>
    </row>
    <row r="104" spans="1:31" s="154" customFormat="1" hidden="1">
      <c r="A104" s="2931"/>
      <c r="B104" s="2916"/>
      <c r="C104" s="3634">
        <f t="shared" ref="C104" si="41">D104+J104+W104+X104+AB104+AE104+Y104+Z104+AA104</f>
        <v>0</v>
      </c>
      <c r="D104" s="2225">
        <f t="shared" si="20"/>
        <v>0</v>
      </c>
      <c r="E104" s="2225"/>
      <c r="F104" s="2225"/>
      <c r="G104" s="2225"/>
      <c r="H104" s="2225"/>
      <c r="I104" s="2225"/>
      <c r="J104" s="2954">
        <f t="shared" si="31"/>
        <v>0</v>
      </c>
      <c r="K104" s="2225"/>
      <c r="L104" s="2225"/>
      <c r="M104" s="2225"/>
      <c r="N104" s="2225"/>
      <c r="O104" s="2954"/>
      <c r="P104" s="2225"/>
      <c r="Q104" s="2225"/>
      <c r="R104" s="2225"/>
      <c r="S104" s="2225"/>
      <c r="T104" s="2225"/>
      <c r="U104" s="2225"/>
      <c r="V104" s="2225"/>
      <c r="W104" s="2225"/>
      <c r="X104" s="2225"/>
      <c r="Y104" s="2225"/>
      <c r="Z104" s="2225"/>
      <c r="AA104" s="2225"/>
      <c r="AB104" s="2954">
        <f t="shared" si="25"/>
        <v>0</v>
      </c>
      <c r="AC104" s="2225"/>
      <c r="AD104" s="3637"/>
      <c r="AE104" s="3164"/>
    </row>
    <row r="105" spans="1:31" s="1319" customFormat="1" ht="34.799999999999997" hidden="1">
      <c r="A105" s="2930">
        <v>9</v>
      </c>
      <c r="B105" s="3669" t="s">
        <v>1496</v>
      </c>
      <c r="C105" s="3654">
        <f t="shared" ref="C105" si="42">D105+J105+W105+X105+AB105+AE105+Y105+Z105+AA105</f>
        <v>0</v>
      </c>
      <c r="D105" s="2224">
        <f t="shared" si="20"/>
        <v>0</v>
      </c>
      <c r="E105" s="2224"/>
      <c r="F105" s="2224"/>
      <c r="G105" s="2224"/>
      <c r="H105" s="2224"/>
      <c r="I105" s="2224"/>
      <c r="J105" s="2956">
        <f t="shared" si="31"/>
        <v>0</v>
      </c>
      <c r="K105" s="3654"/>
      <c r="L105" s="3654"/>
      <c r="M105" s="3654"/>
      <c r="N105" s="3654"/>
      <c r="O105" s="3654"/>
      <c r="P105" s="3654"/>
      <c r="Q105" s="3654"/>
      <c r="R105" s="3654"/>
      <c r="S105" s="3654"/>
      <c r="T105" s="3654"/>
      <c r="U105" s="3654"/>
      <c r="V105" s="3654"/>
      <c r="W105" s="2224"/>
      <c r="X105" s="2224"/>
      <c r="Y105" s="2224"/>
      <c r="Z105" s="2224"/>
      <c r="AA105" s="2224"/>
      <c r="AB105" s="2956">
        <f>SUM(AC105:AD105)</f>
        <v>0</v>
      </c>
      <c r="AC105" s="2224"/>
      <c r="AD105" s="3656"/>
      <c r="AE105" s="3166"/>
    </row>
    <row r="106" spans="1:31" s="154" customFormat="1" ht="40.200000000000003" hidden="1" customHeight="1">
      <c r="A106" s="3690"/>
      <c r="B106" s="3691" t="s">
        <v>1497</v>
      </c>
      <c r="C106" s="3692">
        <f>D106+J106+W106+X106+AB106+AE106+Y106+Z106+AA106</f>
        <v>155579.55100000001</v>
      </c>
      <c r="D106" s="3693">
        <f t="shared" si="20"/>
        <v>0</v>
      </c>
      <c r="E106" s="3694"/>
      <c r="F106" s="3694"/>
      <c r="G106" s="3694"/>
      <c r="H106" s="3694"/>
      <c r="I106" s="3694"/>
      <c r="J106" s="3695">
        <f>SUM(K106:V106)</f>
        <v>155579.55100000001</v>
      </c>
      <c r="K106" s="3696">
        <f>((532112+7888)+(1822))+(3888)-K11-K41-K56-K60-K77-K78-K79-K98-K99-K102-K103-K104-K105</f>
        <v>55500</v>
      </c>
      <c r="L106" s="3696">
        <f>(61094+906+(1065+3994))+(906)-L11-L41-L56-L60-L77-L96-L97-L98-L99-L102-L103-L104-L105</f>
        <v>1152</v>
      </c>
      <c r="M106" s="3696">
        <f>(30547+453+218)-M11-M41-M56-M60-M77-M96-M97-M98-M99-M102-M103-M104-M105</f>
        <v>1892</v>
      </c>
      <c r="N106" s="3696">
        <f>(1002180+14855-635+270)-(60000)+(6)-N11-N41-N56-N60-N77-N96-N97-N98-N99-N102-N103-N104-N105</f>
        <v>74667</v>
      </c>
      <c r="O106" s="3696">
        <f>(739045+10955+52298+26240)-O11-O41-O56-O60-O77-O96-O97-O98-O99-O102-O103-O104-O105</f>
        <v>0</v>
      </c>
      <c r="P106" s="3696">
        <f>(39416+584+(5194+1558))+(581+204+351)-P11-P41-P56-P60-P77-P96-P97-P98-P99-P102-P103-P104-P105</f>
        <v>2694</v>
      </c>
      <c r="Q106" s="3696">
        <f>(13796+204+4073)-Q11-Q41-Q56-Q60-Q77-Q96-Q97-Q98-Q99-Q102-Q103-Q104-Q105</f>
        <v>0</v>
      </c>
      <c r="R106" s="3696">
        <f>(23649+351+13202)-R11-R41-R56-R60-R77-R96-R97-R98-R99-R102-R103-R104-R105</f>
        <v>0</v>
      </c>
      <c r="S106" s="3696">
        <f>(73905+1095+1363)+(1022)-S11-S41-S56-S60-S77-S96-S97-S98-S99-S102-S103-S104-S105</f>
        <v>0</v>
      </c>
      <c r="T106" s="3696">
        <f>(448354+6646+39607)+(12211+3640)+5000-T11-T41-T56-T60-T77-T96-T97-T102-T103-T104-T105</f>
        <v>5498.9510000000009</v>
      </c>
      <c r="U106" s="3696">
        <f>(137955+2045+8327)-U11-U41-U56-U60-U77-U96-U97-U98-U99-U102-U103-U104-U105</f>
        <v>-0.39999999999417923</v>
      </c>
      <c r="V106" s="3696">
        <f>(19708+292)-V11-V41-V56-V60-V77-V96-V97-V98-V99-V104-V105</f>
        <v>14176</v>
      </c>
      <c r="W106" s="3693"/>
      <c r="X106" s="3693"/>
      <c r="Y106" s="3693"/>
      <c r="Z106" s="3693"/>
      <c r="AA106" s="3693"/>
      <c r="AB106" s="3697">
        <f>AC106+AD106</f>
        <v>0</v>
      </c>
      <c r="AC106" s="3693"/>
      <c r="AD106" s="3698"/>
      <c r="AE106" s="3164"/>
    </row>
    <row r="107" spans="1:31" s="154" customFormat="1">
      <c r="A107" s="2930" t="s">
        <v>22</v>
      </c>
      <c r="B107" s="2918" t="s">
        <v>1498</v>
      </c>
      <c r="C107" s="3634">
        <f>D107+J107+W107+X107+AB107+AE107+Y107+Z107+AA107</f>
        <v>2000</v>
      </c>
      <c r="D107" s="2954">
        <f>SUM(E107:H107)</f>
        <v>0</v>
      </c>
      <c r="E107" s="2954"/>
      <c r="F107" s="2954"/>
      <c r="G107" s="2954"/>
      <c r="H107" s="2954"/>
      <c r="I107" s="2954"/>
      <c r="J107" s="2225"/>
      <c r="K107" s="2225"/>
      <c r="L107" s="2225"/>
      <c r="M107" s="2225"/>
      <c r="N107" s="2225"/>
      <c r="O107" s="2954"/>
      <c r="P107" s="2225"/>
      <c r="Q107" s="2225"/>
      <c r="R107" s="2225"/>
      <c r="S107" s="2225"/>
      <c r="T107" s="2225"/>
      <c r="U107" s="2225"/>
      <c r="V107" s="2225"/>
      <c r="W107" s="2954">
        <f>'Phụ lục số 2'!AA29</f>
        <v>2000</v>
      </c>
      <c r="X107" s="2954"/>
      <c r="Y107" s="2954"/>
      <c r="Z107" s="2954"/>
      <c r="AA107" s="2954"/>
      <c r="AB107" s="2954">
        <f t="shared" si="25"/>
        <v>0</v>
      </c>
      <c r="AC107" s="2225"/>
      <c r="AD107" s="3637"/>
      <c r="AE107" s="3164"/>
    </row>
    <row r="108" spans="1:31" s="154" customFormat="1">
      <c r="A108" s="2930" t="s">
        <v>26</v>
      </c>
      <c r="B108" s="2918" t="s">
        <v>1499</v>
      </c>
      <c r="C108" s="3634">
        <f t="shared" ref="C108:C117" si="43">D108+J108+W108+X108+AB108+AE108+Y108+Z108+AA108</f>
        <v>152264.36799999999</v>
      </c>
      <c r="D108" s="2954">
        <f t="shared" ref="D108:D110" si="44">SUM(E108:H108)</f>
        <v>0</v>
      </c>
      <c r="E108" s="2954"/>
      <c r="F108" s="2954"/>
      <c r="G108" s="2954"/>
      <c r="H108" s="2954"/>
      <c r="I108" s="2954"/>
      <c r="J108" s="2225"/>
      <c r="K108" s="2225"/>
      <c r="L108" s="2225"/>
      <c r="M108" s="2225"/>
      <c r="N108" s="2225"/>
      <c r="O108" s="2954"/>
      <c r="P108" s="2225"/>
      <c r="Q108" s="2225"/>
      <c r="R108" s="2225"/>
      <c r="S108" s="2225"/>
      <c r="T108" s="2225"/>
      <c r="U108" s="2225"/>
      <c r="V108" s="2225"/>
      <c r="W108" s="2954"/>
      <c r="X108" s="2954">
        <f>'Phụ lục số 2'!AA30</f>
        <v>152264.36799999999</v>
      </c>
      <c r="Y108" s="2954"/>
      <c r="Z108" s="2954"/>
      <c r="AA108" s="2954"/>
      <c r="AB108" s="2954">
        <f t="shared" si="25"/>
        <v>0</v>
      </c>
      <c r="AC108" s="2225"/>
      <c r="AD108" s="3637"/>
      <c r="AE108" s="3164"/>
    </row>
    <row r="109" spans="1:31" s="154" customFormat="1" ht="34.799999999999997">
      <c r="A109" s="2930" t="s">
        <v>130</v>
      </c>
      <c r="B109" s="2918" t="s">
        <v>2621</v>
      </c>
      <c r="C109" s="3634">
        <f t="shared" si="43"/>
        <v>79139.200000000012</v>
      </c>
      <c r="D109" s="2954"/>
      <c r="E109" s="2954"/>
      <c r="F109" s="2954"/>
      <c r="G109" s="2954"/>
      <c r="H109" s="2954"/>
      <c r="I109" s="2954"/>
      <c r="J109" s="2225"/>
      <c r="K109" s="2225"/>
      <c r="L109" s="2225"/>
      <c r="M109" s="2225"/>
      <c r="N109" s="2225"/>
      <c r="O109" s="2954"/>
      <c r="P109" s="2225"/>
      <c r="Q109" s="2225"/>
      <c r="R109" s="2225"/>
      <c r="S109" s="2225"/>
      <c r="T109" s="2225"/>
      <c r="U109" s="2225"/>
      <c r="V109" s="2225"/>
      <c r="W109" s="2954"/>
      <c r="X109" s="2954"/>
      <c r="Y109" s="2954"/>
      <c r="Z109" s="2954">
        <f>'Phụ lục số 2'!AA32</f>
        <v>79139.200000000012</v>
      </c>
      <c r="AA109" s="2954"/>
      <c r="AB109" s="2954"/>
      <c r="AC109" s="2225"/>
      <c r="AD109" s="3637"/>
      <c r="AE109" s="3164"/>
    </row>
    <row r="110" spans="1:31" s="154" customFormat="1">
      <c r="A110" s="2930" t="s">
        <v>1504</v>
      </c>
      <c r="B110" s="2918" t="s">
        <v>2609</v>
      </c>
      <c r="C110" s="3634">
        <f t="shared" si="43"/>
        <v>3000</v>
      </c>
      <c r="D110" s="2954">
        <f t="shared" si="44"/>
        <v>0</v>
      </c>
      <c r="E110" s="2954"/>
      <c r="F110" s="2954"/>
      <c r="G110" s="2954"/>
      <c r="H110" s="2954"/>
      <c r="I110" s="2954"/>
      <c r="J110" s="2225"/>
      <c r="K110" s="2225"/>
      <c r="L110" s="2225"/>
      <c r="M110" s="2225"/>
      <c r="N110" s="2225"/>
      <c r="O110" s="2954"/>
      <c r="P110" s="2225"/>
      <c r="Q110" s="2225"/>
      <c r="R110" s="2225"/>
      <c r="S110" s="2225"/>
      <c r="T110" s="2225"/>
      <c r="U110" s="2225"/>
      <c r="V110" s="2225"/>
      <c r="W110" s="2954"/>
      <c r="X110" s="2954"/>
      <c r="Y110" s="2954"/>
      <c r="Z110" s="2954"/>
      <c r="AA110" s="2954">
        <v>3000</v>
      </c>
      <c r="AB110" s="2954">
        <f t="shared" si="25"/>
        <v>0</v>
      </c>
      <c r="AC110" s="2225"/>
      <c r="AD110" s="3637"/>
      <c r="AE110" s="3164"/>
    </row>
    <row r="111" spans="1:31" s="154" customFormat="1">
      <c r="A111" s="2930" t="s">
        <v>217</v>
      </c>
      <c r="B111" s="2918" t="s">
        <v>1500</v>
      </c>
      <c r="C111" s="3634">
        <f t="shared" si="43"/>
        <v>562186</v>
      </c>
      <c r="D111" s="2954">
        <f t="shared" ref="D111:D114" si="45">SUM(E111:I111)</f>
        <v>562186</v>
      </c>
      <c r="E111" s="2954">
        <f>E131</f>
        <v>562186</v>
      </c>
      <c r="F111" s="2954"/>
      <c r="G111" s="2954"/>
      <c r="H111" s="2954"/>
      <c r="I111" s="2954"/>
      <c r="J111" s="2225"/>
      <c r="K111" s="2225"/>
      <c r="L111" s="2225"/>
      <c r="M111" s="2225"/>
      <c r="N111" s="2225"/>
      <c r="O111" s="2954"/>
      <c r="P111" s="2225"/>
      <c r="Q111" s="2225"/>
      <c r="R111" s="2225"/>
      <c r="S111" s="2225"/>
      <c r="T111" s="2225"/>
      <c r="U111" s="2225"/>
      <c r="V111" s="2225"/>
      <c r="W111" s="2225"/>
      <c r="X111" s="2225"/>
      <c r="Y111" s="2225"/>
      <c r="Z111" s="2225"/>
      <c r="AA111" s="2225"/>
      <c r="AB111" s="2954">
        <f t="shared" si="25"/>
        <v>0</v>
      </c>
      <c r="AC111" s="2225"/>
      <c r="AD111" s="3637"/>
      <c r="AE111" s="3164"/>
    </row>
    <row r="112" spans="1:31" s="154" customFormat="1" ht="121.8">
      <c r="A112" s="2930" t="s">
        <v>1505</v>
      </c>
      <c r="B112" s="2918" t="s">
        <v>2536</v>
      </c>
      <c r="C112" s="3634">
        <f t="shared" si="43"/>
        <v>627000</v>
      </c>
      <c r="D112" s="2954">
        <f t="shared" si="45"/>
        <v>627000</v>
      </c>
      <c r="E112" s="2954"/>
      <c r="F112" s="2954">
        <f>'Phụ lục số 2'!AA11</f>
        <v>627000</v>
      </c>
      <c r="G112" s="2954"/>
      <c r="H112" s="2954"/>
      <c r="I112" s="2954"/>
      <c r="J112" s="2225"/>
      <c r="K112" s="2225"/>
      <c r="L112" s="2225"/>
      <c r="M112" s="2225"/>
      <c r="N112" s="2225"/>
      <c r="O112" s="2954"/>
      <c r="P112" s="2225"/>
      <c r="Q112" s="2225"/>
      <c r="R112" s="2225"/>
      <c r="S112" s="2225"/>
      <c r="T112" s="2225"/>
      <c r="U112" s="2225"/>
      <c r="V112" s="2225"/>
      <c r="W112" s="2225"/>
      <c r="X112" s="2225"/>
      <c r="Y112" s="2225"/>
      <c r="Z112" s="2225"/>
      <c r="AA112" s="2225"/>
      <c r="AB112" s="2954">
        <f t="shared" si="25"/>
        <v>0</v>
      </c>
      <c r="AC112" s="2225"/>
      <c r="AD112" s="3637"/>
      <c r="AE112" s="3164"/>
    </row>
    <row r="113" spans="1:31" s="154" customFormat="1" ht="34.799999999999997">
      <c r="A113" s="2930" t="s">
        <v>884</v>
      </c>
      <c r="B113" s="2918" t="s">
        <v>1501</v>
      </c>
      <c r="C113" s="3634">
        <f t="shared" si="43"/>
        <v>1950000</v>
      </c>
      <c r="D113" s="2954">
        <f t="shared" si="45"/>
        <v>1950000</v>
      </c>
      <c r="E113" s="2954"/>
      <c r="F113" s="2954"/>
      <c r="G113" s="2954">
        <f>'Phụ lục số 2'!AA12</f>
        <v>1950000</v>
      </c>
      <c r="H113" s="2954"/>
      <c r="I113" s="2954"/>
      <c r="J113" s="2225"/>
      <c r="K113" s="2225"/>
      <c r="L113" s="2225"/>
      <c r="M113" s="2225"/>
      <c r="N113" s="2225"/>
      <c r="O113" s="2954"/>
      <c r="P113" s="2225"/>
      <c r="Q113" s="2225"/>
      <c r="R113" s="2225"/>
      <c r="S113" s="2225"/>
      <c r="T113" s="2225"/>
      <c r="U113" s="2225"/>
      <c r="V113" s="2225"/>
      <c r="W113" s="2225"/>
      <c r="X113" s="2225"/>
      <c r="Y113" s="2225"/>
      <c r="Z113" s="2225"/>
      <c r="AA113" s="2954"/>
      <c r="AB113" s="2954">
        <f t="shared" si="25"/>
        <v>0</v>
      </c>
      <c r="AC113" s="2225"/>
      <c r="AD113" s="3637"/>
      <c r="AE113" s="3164"/>
    </row>
    <row r="114" spans="1:31" s="154" customFormat="1" ht="69.599999999999994" hidden="1">
      <c r="A114" s="2930" t="s">
        <v>2534</v>
      </c>
      <c r="B114" s="2919" t="s">
        <v>2535</v>
      </c>
      <c r="C114" s="3634">
        <f t="shared" si="43"/>
        <v>0</v>
      </c>
      <c r="D114" s="2954">
        <f t="shared" si="45"/>
        <v>0</v>
      </c>
      <c r="E114" s="2954"/>
      <c r="F114" s="2954"/>
      <c r="G114" s="2954"/>
      <c r="H114" s="2954">
        <f>'Phụ lục số 2'!AA13</f>
        <v>0</v>
      </c>
      <c r="I114" s="2954"/>
      <c r="J114" s="2225"/>
      <c r="K114" s="2225"/>
      <c r="L114" s="2225"/>
      <c r="M114" s="2225"/>
      <c r="N114" s="2225"/>
      <c r="O114" s="2954"/>
      <c r="P114" s="2225"/>
      <c r="Q114" s="2225"/>
      <c r="R114" s="2225"/>
      <c r="S114" s="2225"/>
      <c r="T114" s="2225"/>
      <c r="U114" s="2225"/>
      <c r="V114" s="2225"/>
      <c r="W114" s="2225"/>
      <c r="X114" s="2225"/>
      <c r="Y114" s="2225"/>
      <c r="Z114" s="2225"/>
      <c r="AA114" s="2225"/>
      <c r="AB114" s="2954">
        <f t="shared" si="25"/>
        <v>0</v>
      </c>
      <c r="AC114" s="2225"/>
      <c r="AD114" s="3637"/>
      <c r="AE114" s="3164"/>
    </row>
    <row r="115" spans="1:31" s="154" customFormat="1" ht="52.2">
      <c r="A115" s="2930" t="s">
        <v>9</v>
      </c>
      <c r="B115" s="3869" t="s">
        <v>2801</v>
      </c>
      <c r="C115" s="3634">
        <f t="shared" si="43"/>
        <v>60000</v>
      </c>
      <c r="D115" s="2954">
        <f>SUM(E115:I115)</f>
        <v>60000</v>
      </c>
      <c r="E115" s="2954"/>
      <c r="F115" s="2954"/>
      <c r="G115" s="2954"/>
      <c r="H115" s="2954"/>
      <c r="I115" s="2954">
        <v>60000</v>
      </c>
      <c r="J115" s="2225"/>
      <c r="K115" s="2225"/>
      <c r="L115" s="2225"/>
      <c r="M115" s="2225"/>
      <c r="N115" s="2225"/>
      <c r="O115" s="2954"/>
      <c r="P115" s="2225"/>
      <c r="Q115" s="2225"/>
      <c r="R115" s="2225"/>
      <c r="S115" s="2225"/>
      <c r="T115" s="2225"/>
      <c r="U115" s="2225"/>
      <c r="V115" s="2225"/>
      <c r="W115" s="2225"/>
      <c r="X115" s="2225"/>
      <c r="Y115" s="2225"/>
      <c r="Z115" s="2225"/>
      <c r="AA115" s="2225"/>
      <c r="AB115" s="2954"/>
      <c r="AC115" s="2225"/>
      <c r="AD115" s="3637"/>
      <c r="AE115" s="3164"/>
    </row>
    <row r="116" spans="1:31" s="154" customFormat="1" ht="52.2">
      <c r="A116" s="2930" t="s">
        <v>2610</v>
      </c>
      <c r="B116" s="2918" t="s">
        <v>1502</v>
      </c>
      <c r="C116" s="3634">
        <f t="shared" si="43"/>
        <v>1814491</v>
      </c>
      <c r="D116" s="2954">
        <f t="shared" ref="D116:D118" si="46">SUM(E116:I116)</f>
        <v>0</v>
      </c>
      <c r="E116" s="2954"/>
      <c r="F116" s="2954"/>
      <c r="G116" s="2954"/>
      <c r="H116" s="2954"/>
      <c r="I116" s="2954"/>
      <c r="J116" s="2225"/>
      <c r="K116" s="2225"/>
      <c r="L116" s="2225"/>
      <c r="M116" s="2225"/>
      <c r="N116" s="2225"/>
      <c r="O116" s="2954"/>
      <c r="P116" s="2225"/>
      <c r="Q116" s="2225"/>
      <c r="R116" s="2225"/>
      <c r="S116" s="2225"/>
      <c r="T116" s="2225"/>
      <c r="U116" s="2225"/>
      <c r="V116" s="2225"/>
      <c r="W116" s="2225"/>
      <c r="X116" s="2225"/>
      <c r="Y116" s="2225"/>
      <c r="Z116" s="2225"/>
      <c r="AA116" s="2225"/>
      <c r="AB116" s="2157">
        <f t="shared" si="25"/>
        <v>1814491</v>
      </c>
      <c r="AC116" s="2954">
        <f>'Phụ lục số 8'!D7</f>
        <v>1814491</v>
      </c>
      <c r="AD116" s="3637"/>
      <c r="AE116" s="3164"/>
    </row>
    <row r="117" spans="1:31" s="154" customFormat="1" ht="34.799999999999997">
      <c r="A117" s="2930" t="s">
        <v>2624</v>
      </c>
      <c r="B117" s="2918" t="s">
        <v>1503</v>
      </c>
      <c r="C117" s="3634">
        <f t="shared" si="43"/>
        <v>0</v>
      </c>
      <c r="D117" s="2954">
        <f t="shared" si="46"/>
        <v>0</v>
      </c>
      <c r="E117" s="2954"/>
      <c r="F117" s="2954"/>
      <c r="G117" s="2954"/>
      <c r="H117" s="2954"/>
      <c r="I117" s="2954"/>
      <c r="J117" s="2225"/>
      <c r="K117" s="2225"/>
      <c r="L117" s="2225"/>
      <c r="M117" s="2225"/>
      <c r="N117" s="2225"/>
      <c r="O117" s="2954"/>
      <c r="P117" s="2225"/>
      <c r="Q117" s="2225"/>
      <c r="R117" s="2225"/>
      <c r="S117" s="2225"/>
      <c r="T117" s="2225"/>
      <c r="U117" s="2225"/>
      <c r="V117" s="2225"/>
      <c r="W117" s="2225"/>
      <c r="X117" s="2225"/>
      <c r="Y117" s="2225"/>
      <c r="Z117" s="2225"/>
      <c r="AA117" s="2225"/>
      <c r="AB117" s="2954">
        <f t="shared" si="25"/>
        <v>0</v>
      </c>
      <c r="AC117" s="2225"/>
      <c r="AD117" s="3637"/>
      <c r="AE117" s="3164"/>
    </row>
    <row r="118" spans="1:31" s="154" customFormat="1" ht="35.4" thickBot="1">
      <c r="A118" s="2936" t="s">
        <v>2625</v>
      </c>
      <c r="B118" s="3156" t="s">
        <v>1506</v>
      </c>
      <c r="C118" s="3644">
        <f t="shared" ref="C118" si="47">D118+J118+W118+X118+AB118+AE118+Y118+Z118+AA118</f>
        <v>5083323.3480000002</v>
      </c>
      <c r="D118" s="3645">
        <f t="shared" si="46"/>
        <v>0</v>
      </c>
      <c r="E118" s="3645"/>
      <c r="F118" s="3645"/>
      <c r="G118" s="3645"/>
      <c r="H118" s="3645"/>
      <c r="I118" s="3645"/>
      <c r="J118" s="3646"/>
      <c r="K118" s="3646"/>
      <c r="L118" s="3646"/>
      <c r="M118" s="3646"/>
      <c r="N118" s="3646"/>
      <c r="O118" s="3645"/>
      <c r="P118" s="3646"/>
      <c r="Q118" s="3646"/>
      <c r="R118" s="3646"/>
      <c r="S118" s="3646"/>
      <c r="T118" s="3646"/>
      <c r="U118" s="3646"/>
      <c r="V118" s="3646"/>
      <c r="W118" s="3646"/>
      <c r="X118" s="3646"/>
      <c r="Y118" s="3646"/>
      <c r="Z118" s="3646"/>
      <c r="AA118" s="3646"/>
      <c r="AB118" s="3646"/>
      <c r="AC118" s="3646"/>
      <c r="AD118" s="3647"/>
      <c r="AE118" s="3648">
        <f>'Phụ lục số 5'!E36</f>
        <v>5083323.3480000002</v>
      </c>
    </row>
    <row r="119" spans="1:31" ht="18.600000000000001" thickTop="1"/>
    <row r="122" spans="1:31" s="1319" customFormat="1" ht="17.399999999999999" hidden="1">
      <c r="A122" s="210">
        <v>1</v>
      </c>
      <c r="B122" s="3523" t="s">
        <v>2486</v>
      </c>
      <c r="C122" s="3524">
        <f>D122+J122+AB122</f>
        <v>3168035</v>
      </c>
      <c r="D122" s="3524"/>
      <c r="E122" s="3524">
        <f>'Phụ lục số 2'!D10</f>
        <v>540000</v>
      </c>
      <c r="F122" s="3524"/>
      <c r="G122" s="3524"/>
      <c r="H122" s="3524"/>
      <c r="I122" s="3524"/>
      <c r="J122" s="3524">
        <f>SUM(K122:V122)</f>
        <v>3168035</v>
      </c>
      <c r="K122" s="3524">
        <f>'Phụ lục số 2'!D16</f>
        <v>540000</v>
      </c>
      <c r="L122" s="3524">
        <f>'Phụ lục số 2'!D17</f>
        <v>62000</v>
      </c>
      <c r="M122" s="3524">
        <f>'Phụ lục số 2'!D19</f>
        <v>31000</v>
      </c>
      <c r="N122" s="3524">
        <f>'Phụ lục số 2'!D20</f>
        <v>1017035</v>
      </c>
      <c r="O122" s="3524">
        <f>'Phụ lục số 2'!D21</f>
        <v>750000</v>
      </c>
      <c r="P122" s="3524">
        <f>'Phụ lục số 2'!D22</f>
        <v>40000</v>
      </c>
      <c r="Q122" s="3524">
        <f>'Phụ lục số 2'!D23</f>
        <v>14000</v>
      </c>
      <c r="R122" s="3524">
        <f>'Phụ lục số 2'!D24</f>
        <v>24000</v>
      </c>
      <c r="S122" s="3524">
        <f>'Phụ lục số 2'!D25</f>
        <v>75000</v>
      </c>
      <c r="T122" s="3524">
        <f>'Phụ lục số 2'!D26</f>
        <v>455000</v>
      </c>
      <c r="U122" s="3524">
        <f>'Phụ lục số 2'!D27</f>
        <v>140000</v>
      </c>
      <c r="V122" s="3524">
        <f>'Phụ lục số 2'!D28</f>
        <v>20000</v>
      </c>
      <c r="W122" s="3524">
        <f>'Phụ lục số 2'!D29</f>
        <v>2000</v>
      </c>
      <c r="X122" s="3524">
        <f>'Phụ lục số 2'!D30</f>
        <v>135382</v>
      </c>
    </row>
    <row r="123" spans="1:31" s="2351" customFormat="1" ht="36" hidden="1">
      <c r="A123" s="2404"/>
      <c r="B123" s="3532" t="s">
        <v>2487</v>
      </c>
      <c r="C123" s="3533">
        <f>'Phụ lục số 3.1'!J68</f>
        <v>0.98539349434665024</v>
      </c>
      <c r="K123" s="3534">
        <f>$C$123</f>
        <v>0.98539349434665024</v>
      </c>
      <c r="L123" s="3534">
        <f t="shared" ref="L123:X123" si="48">$C$123</f>
        <v>0.98539349434665024</v>
      </c>
      <c r="M123" s="3534">
        <f t="shared" si="48"/>
        <v>0.98539349434665024</v>
      </c>
      <c r="N123" s="3534">
        <f t="shared" si="48"/>
        <v>0.98539349434665024</v>
      </c>
      <c r="O123" s="3534">
        <f t="shared" si="48"/>
        <v>0.98539349434665024</v>
      </c>
      <c r="P123" s="3534">
        <f t="shared" si="48"/>
        <v>0.98539349434665024</v>
      </c>
      <c r="Q123" s="3534">
        <f t="shared" si="48"/>
        <v>0.98539349434665024</v>
      </c>
      <c r="R123" s="3534">
        <f t="shared" si="48"/>
        <v>0.98539349434665024</v>
      </c>
      <c r="S123" s="3534">
        <f t="shared" si="48"/>
        <v>0.98539349434665024</v>
      </c>
      <c r="T123" s="3534">
        <f t="shared" si="48"/>
        <v>0.98539349434665024</v>
      </c>
      <c r="U123" s="3534">
        <f t="shared" si="48"/>
        <v>0.98539349434665024</v>
      </c>
      <c r="V123" s="3534">
        <f t="shared" si="48"/>
        <v>0.98539349434665024</v>
      </c>
      <c r="W123" s="3535">
        <f t="shared" si="48"/>
        <v>0.98539349434665024</v>
      </c>
      <c r="X123" s="3535">
        <f t="shared" si="48"/>
        <v>0.98539349434665024</v>
      </c>
    </row>
    <row r="124" spans="1:31" s="2" customFormat="1" ht="17.399999999999999" hidden="1">
      <c r="A124" s="38"/>
      <c r="B124" s="2208" t="s">
        <v>2488</v>
      </c>
      <c r="C124" s="2785">
        <f>D124+J124+AB124</f>
        <v>3653873.5658096811</v>
      </c>
      <c r="D124" s="2786">
        <f>SUM(E124:H124)</f>
        <v>532112.48694719118</v>
      </c>
      <c r="E124" s="2786">
        <f>E122*C123</f>
        <v>532112.48694719118</v>
      </c>
      <c r="F124" s="2208"/>
      <c r="G124" s="2208"/>
      <c r="H124" s="2208"/>
      <c r="I124" s="2208"/>
      <c r="J124" s="2876">
        <f>SUM(K124:V124)</f>
        <v>3121761.0788624897</v>
      </c>
      <c r="K124" s="2877">
        <f>K122*$C$123</f>
        <v>532112.48694719118</v>
      </c>
      <c r="L124" s="2877">
        <f t="shared" ref="L124:V124" si="49">L122*$C$123</f>
        <v>61094.396649492315</v>
      </c>
      <c r="M124" s="2877">
        <f t="shared" si="49"/>
        <v>30547.198324746158</v>
      </c>
      <c r="N124" s="2877">
        <f t="shared" si="49"/>
        <v>1002179.6725228454</v>
      </c>
      <c r="O124" s="2877">
        <f t="shared" si="49"/>
        <v>739045.12075998774</v>
      </c>
      <c r="P124" s="2877">
        <f t="shared" si="49"/>
        <v>39415.739773866007</v>
      </c>
      <c r="Q124" s="2877">
        <f t="shared" si="49"/>
        <v>13795.508920853103</v>
      </c>
      <c r="R124" s="2877">
        <f t="shared" si="49"/>
        <v>23649.443864319604</v>
      </c>
      <c r="S124" s="2877">
        <f t="shared" si="49"/>
        <v>73904.512075998762</v>
      </c>
      <c r="T124" s="2877">
        <f t="shared" si="49"/>
        <v>448354.03992772585</v>
      </c>
      <c r="U124" s="2877">
        <f t="shared" si="49"/>
        <v>137955.08920853105</v>
      </c>
      <c r="V124" s="2877">
        <f t="shared" si="49"/>
        <v>19707.869886933004</v>
      </c>
      <c r="W124" s="2786">
        <f>W122*$C$123-68</f>
        <v>1902.7869886933006</v>
      </c>
      <c r="X124" s="2786">
        <f>X122*$C$123</f>
        <v>133404.54205163821</v>
      </c>
    </row>
    <row r="125" spans="1:31" s="1319" customFormat="1" ht="34.799999999999997" hidden="1">
      <c r="A125" s="210"/>
      <c r="B125" s="3523" t="s">
        <v>2613</v>
      </c>
      <c r="C125" s="3524">
        <f>D125+J125+AB125+W125+X125</f>
        <v>56236.105149987088</v>
      </c>
      <c r="D125" s="3525">
        <f>SUM(E125:H125)</f>
        <v>7887.5130528088193</v>
      </c>
      <c r="E125" s="3526">
        <f>(E122*1)-E124</f>
        <v>7887.5130528088193</v>
      </c>
      <c r="F125" s="3527"/>
      <c r="G125" s="3527"/>
      <c r="H125" s="3527"/>
      <c r="I125" s="3527"/>
      <c r="J125" s="3524">
        <f>SUM(K125:V125)</f>
        <v>46273.921137509788</v>
      </c>
      <c r="K125" s="3528">
        <f>(K122*1)-K124</f>
        <v>7887.5130528088193</v>
      </c>
      <c r="L125" s="3528">
        <f t="shared" ref="L125:X125" si="50">(L122*1)-L124</f>
        <v>905.60335050768481</v>
      </c>
      <c r="M125" s="3528">
        <f t="shared" si="50"/>
        <v>452.8016752538424</v>
      </c>
      <c r="N125" s="3529">
        <f t="shared" si="50"/>
        <v>14855.327477154555</v>
      </c>
      <c r="O125" s="3530">
        <f t="shared" si="50"/>
        <v>10954.879240012262</v>
      </c>
      <c r="P125" s="3528">
        <f t="shared" si="50"/>
        <v>584.26022613399255</v>
      </c>
      <c r="Q125" s="3528">
        <f t="shared" si="50"/>
        <v>204.49107914689739</v>
      </c>
      <c r="R125" s="3528">
        <f t="shared" si="50"/>
        <v>350.55613568039553</v>
      </c>
      <c r="S125" s="3528">
        <f t="shared" si="50"/>
        <v>1095.4879240012378</v>
      </c>
      <c r="T125" s="3530">
        <f t="shared" si="50"/>
        <v>6645.9600722741452</v>
      </c>
      <c r="U125" s="3528">
        <f t="shared" si="50"/>
        <v>2044.9107914689521</v>
      </c>
      <c r="V125" s="3530">
        <f>(V122*1)-V124</f>
        <v>292.13011306699627</v>
      </c>
      <c r="W125" s="3530">
        <f t="shared" si="50"/>
        <v>97.2130113066994</v>
      </c>
      <c r="X125" s="3530">
        <f t="shared" si="50"/>
        <v>1977.4579483617854</v>
      </c>
      <c r="AA125" s="3531">
        <v>3000</v>
      </c>
    </row>
    <row r="126" spans="1:31" s="2" customFormat="1" ht="17.399999999999999" hidden="1">
      <c r="A126" s="38"/>
      <c r="B126" s="3522" t="s">
        <v>2489</v>
      </c>
      <c r="C126" s="2785">
        <f>D126+J126+AB126</f>
        <v>3708035</v>
      </c>
      <c r="D126" s="2786">
        <f>SUM(E126:H126)</f>
        <v>540000</v>
      </c>
      <c r="E126" s="2786">
        <f>E124+E125</f>
        <v>540000</v>
      </c>
      <c r="F126" s="2786"/>
      <c r="G126" s="2786"/>
      <c r="H126" s="2208"/>
      <c r="I126" s="2208"/>
      <c r="J126" s="2785">
        <f>SUM(K126:V126)</f>
        <v>3168035</v>
      </c>
      <c r="K126" s="2786">
        <f>K124+K125</f>
        <v>540000</v>
      </c>
      <c r="L126" s="2786">
        <f t="shared" ref="L126:X126" si="51">L124+L125</f>
        <v>62000</v>
      </c>
      <c r="M126" s="2786">
        <f t="shared" si="51"/>
        <v>31000</v>
      </c>
      <c r="N126" s="2786">
        <f t="shared" si="51"/>
        <v>1017035</v>
      </c>
      <c r="O126" s="2786">
        <f>O124+O125</f>
        <v>750000</v>
      </c>
      <c r="P126" s="2786">
        <f t="shared" si="51"/>
        <v>40000</v>
      </c>
      <c r="Q126" s="2786">
        <f t="shared" si="51"/>
        <v>14000</v>
      </c>
      <c r="R126" s="2786">
        <f t="shared" si="51"/>
        <v>24000</v>
      </c>
      <c r="S126" s="2786">
        <f t="shared" si="51"/>
        <v>75000</v>
      </c>
      <c r="T126" s="2786">
        <f>T124+T125</f>
        <v>455000</v>
      </c>
      <c r="U126" s="2786">
        <f t="shared" si="51"/>
        <v>140000</v>
      </c>
      <c r="V126" s="2786">
        <f t="shared" si="51"/>
        <v>20000</v>
      </c>
      <c r="W126" s="2786">
        <f t="shared" si="51"/>
        <v>2000</v>
      </c>
      <c r="X126" s="2786">
        <f t="shared" si="51"/>
        <v>135382</v>
      </c>
    </row>
    <row r="127" spans="1:31" s="2" customFormat="1" ht="17.399999999999999" hidden="1">
      <c r="A127" s="38"/>
      <c r="B127" s="3522"/>
      <c r="C127" s="2785"/>
      <c r="D127" s="2786"/>
      <c r="E127" s="2786">
        <f>E125</f>
        <v>7887.5130528088193</v>
      </c>
      <c r="F127" s="2786"/>
      <c r="G127" s="2786"/>
      <c r="H127" s="2208"/>
      <c r="I127" s="2208"/>
      <c r="J127" s="2785"/>
      <c r="K127" s="2786"/>
      <c r="L127" s="2786"/>
      <c r="M127" s="2786"/>
      <c r="N127" s="2786"/>
      <c r="O127" s="2786"/>
      <c r="P127" s="2786"/>
      <c r="Q127" s="2786"/>
      <c r="R127" s="2786"/>
      <c r="S127" s="2786"/>
      <c r="T127" s="2786"/>
      <c r="U127" s="2786"/>
      <c r="V127" s="2786"/>
      <c r="W127" s="2786"/>
      <c r="X127" s="2786"/>
    </row>
    <row r="128" spans="1:31" s="2" customFormat="1" ht="17.399999999999999" hidden="1">
      <c r="A128" s="38"/>
      <c r="B128" s="3522"/>
      <c r="C128" s="2785"/>
      <c r="D128" s="2786"/>
      <c r="E128" s="2786">
        <v>13000</v>
      </c>
      <c r="F128" s="2786"/>
      <c r="G128" s="2786"/>
      <c r="H128" s="2208"/>
      <c r="I128" s="2208"/>
      <c r="J128" s="2785"/>
      <c r="K128" s="2786"/>
      <c r="L128" s="2786"/>
      <c r="M128" s="2786"/>
      <c r="N128" s="2786"/>
      <c r="O128" s="2786"/>
      <c r="P128" s="2786"/>
      <c r="Q128" s="2786"/>
      <c r="R128" s="2786"/>
      <c r="S128" s="2786"/>
      <c r="T128" s="2786"/>
      <c r="U128" s="2786"/>
      <c r="V128" s="2786"/>
      <c r="W128" s="2786"/>
      <c r="X128" s="2786"/>
    </row>
    <row r="129" spans="1:34" s="2" customFormat="1" ht="17.399999999999999" hidden="1">
      <c r="A129" s="38"/>
      <c r="B129" s="3522"/>
      <c r="C129" s="2785"/>
      <c r="D129" s="2786"/>
      <c r="E129" s="2786">
        <v>9186</v>
      </c>
      <c r="F129" s="2786"/>
      <c r="G129" s="2786"/>
      <c r="H129" s="2208"/>
      <c r="I129" s="2208"/>
      <c r="J129" s="2785"/>
      <c r="K129" s="2786"/>
      <c r="L129" s="2786"/>
      <c r="M129" s="2786"/>
      <c r="N129" s="2786"/>
      <c r="O129" s="2786"/>
      <c r="P129" s="2786"/>
      <c r="Q129" s="2786"/>
      <c r="R129" s="2786"/>
      <c r="S129" s="2786"/>
      <c r="T129" s="2786"/>
      <c r="U129" s="2786"/>
      <c r="V129" s="2786"/>
      <c r="W129" s="2786"/>
      <c r="X129" s="2786"/>
    </row>
    <row r="130" spans="1:34" s="2" customFormat="1" ht="17.399999999999999" hidden="1">
      <c r="A130" s="38"/>
      <c r="B130" s="3522"/>
      <c r="C130" s="2785"/>
      <c r="D130" s="2786"/>
      <c r="E130" s="2786">
        <f>SUM(E127:E129)</f>
        <v>30073.513052808819</v>
      </c>
      <c r="F130" s="2786"/>
      <c r="G130" s="2786"/>
      <c r="H130" s="2208"/>
      <c r="I130" s="2208"/>
      <c r="J130" s="2785"/>
      <c r="K130" s="2786"/>
      <c r="L130" s="2786"/>
      <c r="M130" s="2786"/>
      <c r="N130" s="2786"/>
      <c r="O130" s="2786"/>
      <c r="P130" s="2786"/>
      <c r="Q130" s="2786"/>
      <c r="R130" s="2786"/>
      <c r="S130" s="2786"/>
      <c r="T130" s="2786"/>
      <c r="U130" s="2786"/>
      <c r="V130" s="2786"/>
      <c r="W130" s="2786"/>
      <c r="X130" s="2786"/>
    </row>
    <row r="131" spans="1:34" s="2" customFormat="1" ht="17.399999999999999" hidden="1">
      <c r="A131" s="38"/>
      <c r="B131" s="3522"/>
      <c r="C131" s="2785"/>
      <c r="D131" s="2786">
        <v>540000</v>
      </c>
      <c r="E131" s="2786">
        <f>E130+E124</f>
        <v>562186</v>
      </c>
      <c r="F131" s="2786"/>
      <c r="G131" s="2786">
        <f>E131-D131</f>
        <v>22186</v>
      </c>
      <c r="H131" s="2208"/>
      <c r="I131" s="2208"/>
      <c r="J131" s="2785"/>
      <c r="K131" s="2786"/>
      <c r="L131" s="2786"/>
      <c r="M131" s="2786"/>
      <c r="N131" s="2786"/>
      <c r="O131" s="2786"/>
      <c r="P131" s="2786"/>
      <c r="Q131" s="2786"/>
      <c r="R131" s="2786"/>
      <c r="S131" s="2786"/>
      <c r="T131" s="2786"/>
      <c r="U131" s="2786"/>
      <c r="V131" s="2786"/>
      <c r="W131" s="2786"/>
      <c r="X131" s="2786"/>
    </row>
    <row r="132" spans="1:34" s="2" customFormat="1" ht="17.399999999999999" hidden="1">
      <c r="A132" s="38"/>
      <c r="B132" s="3522"/>
      <c r="C132" s="2785"/>
      <c r="D132" s="2786">
        <v>521000</v>
      </c>
      <c r="E132" s="2786">
        <f>'Phụ lục số 2'!AB10</f>
        <v>581000.40896987612</v>
      </c>
      <c r="F132" s="2786"/>
      <c r="G132" s="2786">
        <f>E132-D132</f>
        <v>60000.408969876124</v>
      </c>
      <c r="H132" s="2208"/>
      <c r="I132" s="2208"/>
      <c r="J132" s="2785"/>
      <c r="K132" s="2786"/>
      <c r="L132" s="2786"/>
      <c r="M132" s="2786"/>
      <c r="N132" s="2786"/>
      <c r="O132" s="2786"/>
      <c r="P132" s="2786"/>
      <c r="Q132" s="2786"/>
      <c r="R132" s="2786"/>
      <c r="S132" s="2786"/>
      <c r="T132" s="2786"/>
      <c r="U132" s="2786"/>
      <c r="V132" s="2786"/>
      <c r="W132" s="2786"/>
      <c r="X132" s="2786"/>
    </row>
    <row r="133" spans="1:34" s="2" customFormat="1" ht="17.399999999999999" hidden="1">
      <c r="A133" s="38"/>
      <c r="B133" s="3522"/>
      <c r="C133" s="2785"/>
      <c r="D133" s="2786"/>
      <c r="E133" s="2786">
        <f>E132+E131</f>
        <v>1143186.4089698761</v>
      </c>
      <c r="F133" s="2786">
        <f>1070186</f>
        <v>1070186</v>
      </c>
      <c r="G133" s="2786">
        <f>E133-F133</f>
        <v>73000.408969876124</v>
      </c>
      <c r="H133" s="2208"/>
      <c r="I133" s="2208"/>
      <c r="J133" s="2785"/>
      <c r="K133" s="2786"/>
      <c r="L133" s="2786"/>
      <c r="M133" s="2786"/>
      <c r="N133" s="2786"/>
      <c r="O133" s="2786"/>
      <c r="P133" s="2786"/>
      <c r="Q133" s="2786"/>
      <c r="R133" s="2786"/>
      <c r="S133" s="2786"/>
      <c r="T133" s="2786"/>
      <c r="U133" s="2786"/>
      <c r="V133" s="2786"/>
      <c r="W133" s="2786"/>
      <c r="X133" s="2786"/>
    </row>
    <row r="134" spans="1:34" s="2" customFormat="1" ht="17.399999999999999" hidden="1">
      <c r="A134" s="38"/>
      <c r="B134" s="3522"/>
      <c r="C134" s="2785"/>
      <c r="D134" s="2786"/>
      <c r="E134" s="2786">
        <f>E133</f>
        <v>1143186.4089698761</v>
      </c>
      <c r="F134" s="2786">
        <f>F133+13000</f>
        <v>1083186</v>
      </c>
      <c r="G134" s="2786">
        <f>E134-F134</f>
        <v>60000.408969876124</v>
      </c>
      <c r="H134" s="2208"/>
      <c r="I134" s="2208"/>
      <c r="J134" s="2785"/>
      <c r="K134" s="2786"/>
      <c r="L134" s="2786"/>
      <c r="M134" s="2786"/>
      <c r="N134" s="2786"/>
      <c r="O134" s="2786"/>
      <c r="P134" s="2786"/>
      <c r="Q134" s="2786"/>
      <c r="R134" s="2786"/>
      <c r="S134" s="2786"/>
      <c r="T134" s="2786"/>
      <c r="U134" s="2786"/>
      <c r="V134" s="2786"/>
      <c r="W134" s="2786"/>
      <c r="X134" s="2786"/>
    </row>
    <row r="135" spans="1:34" s="2" customFormat="1" ht="17.399999999999999" hidden="1">
      <c r="A135" s="38"/>
      <c r="B135" s="3522"/>
      <c r="C135" s="2785"/>
      <c r="D135" s="2786"/>
      <c r="E135" s="2786"/>
      <c r="F135" s="2786"/>
      <c r="G135" s="2786"/>
      <c r="H135" s="2208"/>
      <c r="I135" s="2208"/>
      <c r="J135" s="2785"/>
      <c r="K135" s="2786"/>
      <c r="L135" s="2786"/>
      <c r="M135" s="2786"/>
      <c r="N135" s="2786"/>
      <c r="O135" s="2786"/>
      <c r="P135" s="2786"/>
      <c r="Q135" s="2786"/>
      <c r="R135" s="2786"/>
      <c r="S135" s="2786"/>
      <c r="T135" s="2786"/>
      <c r="U135" s="2786"/>
      <c r="V135" s="2786"/>
      <c r="W135" s="2786"/>
      <c r="X135" s="2786"/>
    </row>
    <row r="136" spans="1:34" s="2" customFormat="1" ht="17.399999999999999" hidden="1">
      <c r="A136" s="38"/>
      <c r="B136" s="3522"/>
      <c r="C136" s="2785"/>
      <c r="D136" s="2786">
        <f>'Phụ lục số 1'!AI54</f>
        <v>129700</v>
      </c>
      <c r="E136" s="2786">
        <f>'Phụ lục số 1'!AI58</f>
        <v>650315</v>
      </c>
      <c r="F136" s="2786"/>
      <c r="G136" s="2786"/>
      <c r="H136" s="2208"/>
      <c r="I136" s="2208"/>
      <c r="J136" s="2785"/>
      <c r="K136" s="2786"/>
      <c r="L136" s="2786"/>
      <c r="M136" s="2786"/>
      <c r="N136" s="2786"/>
      <c r="O136" s="2786"/>
      <c r="P136" s="2786"/>
      <c r="Q136" s="2786"/>
      <c r="R136" s="2786"/>
      <c r="S136" s="2786"/>
      <c r="T136" s="2786"/>
      <c r="U136" s="2786"/>
      <c r="V136" s="2786"/>
      <c r="W136" s="2786"/>
      <c r="X136" s="2786"/>
    </row>
    <row r="137" spans="1:34" s="2" customFormat="1" ht="17.399999999999999" hidden="1">
      <c r="A137" s="38"/>
      <c r="B137" s="3522"/>
      <c r="C137" s="2785"/>
      <c r="D137" s="2786">
        <f>E130</f>
        <v>30073.513052808819</v>
      </c>
      <c r="E137" s="2786">
        <f>J150</f>
        <v>187110.13099999999</v>
      </c>
      <c r="F137" s="2786"/>
      <c r="G137" s="2786"/>
      <c r="H137" s="2208"/>
      <c r="I137" s="2208"/>
      <c r="J137" s="2785"/>
      <c r="K137" s="2786"/>
      <c r="L137" s="2786"/>
      <c r="M137" s="2786"/>
      <c r="N137" s="2786"/>
      <c r="O137" s="2786"/>
      <c r="P137" s="2786"/>
      <c r="Q137" s="2786"/>
      <c r="R137" s="2786"/>
      <c r="S137" s="2786"/>
      <c r="T137" s="2786"/>
      <c r="U137" s="2786"/>
      <c r="V137" s="2786"/>
      <c r="W137" s="2786"/>
      <c r="X137" s="2786"/>
    </row>
    <row r="138" spans="1:34" s="2" customFormat="1" ht="17.399999999999999" hidden="1">
      <c r="A138" s="38"/>
      <c r="B138" s="2208" t="s">
        <v>2745</v>
      </c>
      <c r="C138" s="2785"/>
      <c r="D138" s="2786">
        <f>60000-60000</f>
        <v>0</v>
      </c>
      <c r="E138" s="2786">
        <f>'Phụ lục số 5'!E41</f>
        <v>232934</v>
      </c>
      <c r="F138" s="2785"/>
      <c r="G138" s="2785"/>
      <c r="H138" s="2208"/>
      <c r="I138" s="2208"/>
      <c r="J138" s="2876">
        <f>J139+J143</f>
        <v>1923840</v>
      </c>
      <c r="K138" s="2786"/>
      <c r="L138" s="2786"/>
      <c r="M138" s="2786"/>
      <c r="N138" s="2786"/>
      <c r="O138" s="2786"/>
      <c r="P138" s="2786"/>
      <c r="Q138" s="2786"/>
      <c r="R138" s="2786"/>
      <c r="S138" s="2786"/>
      <c r="T138" s="2786"/>
      <c r="U138" s="2786"/>
      <c r="V138" s="2786"/>
      <c r="W138" s="2786"/>
      <c r="X138" s="2786"/>
    </row>
    <row r="139" spans="1:34" s="2" customFormat="1" ht="17.399999999999999" hidden="1">
      <c r="A139" s="38">
        <v>1</v>
      </c>
      <c r="B139" s="2208" t="s">
        <v>402</v>
      </c>
      <c r="C139" s="2785"/>
      <c r="D139" s="2786">
        <v>3000</v>
      </c>
      <c r="E139" s="2786">
        <f>-'Phụ lục số 3.1'!J56</f>
        <v>62400</v>
      </c>
      <c r="F139" s="2208"/>
      <c r="G139" s="2208"/>
      <c r="H139" s="2208"/>
      <c r="I139" s="2208"/>
      <c r="J139" s="2785">
        <f>SUM(K139:T139)</f>
        <v>1093801</v>
      </c>
      <c r="K139" s="2786">
        <f>SUM(K140:K141)</f>
        <v>41982</v>
      </c>
      <c r="L139" s="2786">
        <f t="shared" ref="L139:V139" si="52">SUM(L140:L141)</f>
        <v>8766</v>
      </c>
      <c r="M139" s="2786">
        <f t="shared" si="52"/>
        <v>1438</v>
      </c>
      <c r="N139" s="2786">
        <f t="shared" si="52"/>
        <v>520335</v>
      </c>
      <c r="O139" s="2786">
        <f>SUM(O140:O141)</f>
        <v>224416</v>
      </c>
      <c r="P139" s="2786">
        <f t="shared" si="52"/>
        <v>15296</v>
      </c>
      <c r="Q139" s="2786">
        <f t="shared" si="52"/>
        <v>0</v>
      </c>
      <c r="R139" s="2786">
        <f t="shared" si="52"/>
        <v>0</v>
      </c>
      <c r="S139" s="2786">
        <f t="shared" si="52"/>
        <v>8854</v>
      </c>
      <c r="T139" s="2786">
        <f t="shared" si="52"/>
        <v>272714</v>
      </c>
      <c r="U139" s="2786">
        <f t="shared" si="52"/>
        <v>0</v>
      </c>
      <c r="V139" s="2786">
        <f t="shared" si="52"/>
        <v>0</v>
      </c>
      <c r="W139" s="2786"/>
      <c r="X139" s="2786"/>
    </row>
    <row r="140" spans="1:34" s="2" customFormat="1" ht="17.399999999999999" hidden="1">
      <c r="A140" s="38" t="s">
        <v>137</v>
      </c>
      <c r="B140" s="2208" t="s">
        <v>2614</v>
      </c>
      <c r="C140" s="2785"/>
      <c r="D140" s="2786">
        <f>+W149+X149+'Phụ lục số 2'!AA45+600</f>
        <v>19557.038959668473</v>
      </c>
      <c r="E140" s="3543"/>
      <c r="F140" s="2786"/>
      <c r="G140" s="2208"/>
      <c r="H140" s="2208"/>
      <c r="I140" s="2208"/>
      <c r="J140" s="2785">
        <f>SUM(K140:T140)</f>
        <v>871528</v>
      </c>
      <c r="K140" s="2786">
        <f>'[28]chi tiet 2024'!$AC$15</f>
        <v>34751</v>
      </c>
      <c r="L140" s="2786">
        <f>'[28]chi tiet 2024'!$AC$60</f>
        <v>7256</v>
      </c>
      <c r="M140" s="2786">
        <f>'[28]chi tiet 2024'!$AC$67</f>
        <v>1190</v>
      </c>
      <c r="N140" s="2786">
        <f>'[28]chi tiet 2024'!$AC$76</f>
        <v>430722</v>
      </c>
      <c r="O140" s="2786">
        <f>'[28]chi tiet 2024'!$AC$125</f>
        <v>151188</v>
      </c>
      <c r="P140" s="2786">
        <f>'[28]chi tiet 2024'!$AC$156</f>
        <v>12662</v>
      </c>
      <c r="Q140" s="2786">
        <f>'[28]chi tiet 2024'!$AC$166</f>
        <v>0</v>
      </c>
      <c r="R140" s="2786">
        <f>'[28]chi tiet 2024'!$AC$179</f>
        <v>0</v>
      </c>
      <c r="S140" s="2786">
        <f>'[28]chi tiet 2024'!$AC$183</f>
        <v>7329</v>
      </c>
      <c r="T140" s="2786">
        <f>'[28]chi tiet 2024'!$AC$191+'[29]TH DT gui STC'!$D$9+'[29]TH DT gui STC'!$D$10</f>
        <v>226430</v>
      </c>
      <c r="U140" s="2786"/>
      <c r="V140" s="2786"/>
      <c r="W140" s="2786"/>
      <c r="X140" s="2786"/>
    </row>
    <row r="141" spans="1:34" s="2" customFormat="1" ht="17.399999999999999" hidden="1">
      <c r="A141" s="38" t="s">
        <v>137</v>
      </c>
      <c r="B141" s="2208" t="s">
        <v>2615</v>
      </c>
      <c r="C141" s="2785"/>
      <c r="D141" s="3543">
        <f>J154</f>
        <v>75188.908927725861</v>
      </c>
      <c r="E141" s="3543"/>
      <c r="F141" s="2208"/>
      <c r="G141" s="2208"/>
      <c r="H141" s="2208"/>
      <c r="I141" s="2208"/>
      <c r="J141" s="2785">
        <f>SUM(K141:T141)</f>
        <v>222273</v>
      </c>
      <c r="K141" s="2786">
        <f>'[28]chi tiet 2024'!$AD$15</f>
        <v>7231</v>
      </c>
      <c r="L141" s="2786">
        <f>'[28]chi tiet 2024'!$AD$60</f>
        <v>1510</v>
      </c>
      <c r="M141" s="2786">
        <f>'[28]chi tiet 2024'!$AD$67</f>
        <v>248</v>
      </c>
      <c r="N141" s="2786">
        <f>'[28]chi tiet 2024'!$AD$76</f>
        <v>89613</v>
      </c>
      <c r="O141" s="2786">
        <f>'[28]chi tiet 2024'!$AD$125</f>
        <v>73228</v>
      </c>
      <c r="P141" s="2786">
        <f>'[28]chi tiet 2024'!$AD$156</f>
        <v>2634</v>
      </c>
      <c r="Q141" s="2786">
        <f>'[28]chi tiet 2024'!$AD$166</f>
        <v>0</v>
      </c>
      <c r="R141" s="2786">
        <f>'[28]chi tiet 2024'!$AD$179</f>
        <v>0</v>
      </c>
      <c r="S141" s="2786">
        <f>'[28]chi tiet 2024'!$AD$183</f>
        <v>1525</v>
      </c>
      <c r="T141" s="2786">
        <f>'[28]chi tiet 2024'!$AD$191+'[29]TH DT gui STC'!$F$9+'[29]TH DT gui STC'!$F$10</f>
        <v>46284</v>
      </c>
      <c r="U141" s="2786"/>
      <c r="V141" s="2786"/>
      <c r="W141" s="2786"/>
      <c r="X141" s="2786"/>
    </row>
    <row r="142" spans="1:34" s="2" customFormat="1" ht="17.399999999999999" hidden="1">
      <c r="A142" s="38" t="s">
        <v>137</v>
      </c>
      <c r="B142" s="2208" t="s">
        <v>2616</v>
      </c>
      <c r="C142" s="2785"/>
      <c r="D142" s="3543">
        <f>J149</f>
        <v>46273.921137509788</v>
      </c>
      <c r="E142" s="2786"/>
      <c r="F142" s="2208"/>
      <c r="G142" s="2208"/>
      <c r="H142" s="2208"/>
      <c r="I142" s="2786"/>
      <c r="J142" s="3536">
        <f>SUM(K142:T142)</f>
        <v>187110.13099999999</v>
      </c>
      <c r="K142" s="2786">
        <f>'[28]chi tiet 2024'!$AF$15</f>
        <v>1822</v>
      </c>
      <c r="L142" s="2786">
        <f>'[28]chi tiet 2024'!$AF$60</f>
        <v>1065</v>
      </c>
      <c r="M142" s="2786">
        <f>'[28]chi tiet 2024'!$AF$67</f>
        <v>218</v>
      </c>
      <c r="N142" s="2877">
        <f>'[28]chi tiet 2024'!$AF$76</f>
        <v>89133</v>
      </c>
      <c r="O142" s="2786">
        <f>'[28]chi tiet 2024'!$AF$125</f>
        <v>52298.330999999998</v>
      </c>
      <c r="P142" s="2786">
        <f>'[28]chi tiet 2024'!$AF$156</f>
        <v>1604</v>
      </c>
      <c r="Q142" s="2786">
        <f>'[28]chi tiet 2024'!$AF$166</f>
        <v>0</v>
      </c>
      <c r="R142" s="2786">
        <f>'[28]chi tiet 2024'!$AF$179</f>
        <v>0</v>
      </c>
      <c r="S142" s="2786">
        <f>'[28]chi tiet 2024'!$AF$183</f>
        <v>1363</v>
      </c>
      <c r="T142" s="2786">
        <f>'[28]chi tiet 2024'!$AF$191+'[29]TH DT gui STC'!$F$9+'[29]TH DT gui STC'!$F$10</f>
        <v>39606.800000000003</v>
      </c>
      <c r="U142" s="2786"/>
      <c r="V142" s="2786"/>
      <c r="W142" s="2786"/>
      <c r="X142" s="2786"/>
      <c r="AH142" s="2576">
        <f>N142</f>
        <v>89133</v>
      </c>
    </row>
    <row r="143" spans="1:34" s="2" customFormat="1" ht="17.399999999999999" hidden="1">
      <c r="A143" s="38">
        <v>2</v>
      </c>
      <c r="B143" s="2208" t="s">
        <v>1166</v>
      </c>
      <c r="C143" s="2785"/>
      <c r="D143" s="3543">
        <f>J157</f>
        <v>13597.960072274145</v>
      </c>
      <c r="E143" s="2786"/>
      <c r="F143" s="2208"/>
      <c r="G143" s="2208"/>
      <c r="H143" s="2208"/>
      <c r="I143" s="2208"/>
      <c r="J143" s="2785">
        <f>'Phụ lục 6.1 Chi'!G28</f>
        <v>830039</v>
      </c>
      <c r="K143" s="2786"/>
      <c r="L143" s="2786"/>
      <c r="M143" s="2786"/>
      <c r="N143" s="2786"/>
      <c r="O143" s="2786"/>
      <c r="P143" s="2786"/>
      <c r="Q143" s="2786"/>
      <c r="R143" s="2786"/>
      <c r="S143" s="2786"/>
      <c r="T143" s="2786"/>
      <c r="U143" s="2786"/>
      <c r="V143" s="2786"/>
      <c r="W143" s="2786"/>
      <c r="X143" s="2786"/>
      <c r="AH143" s="2576">
        <f>'Phụ lục 6.1 Chi'!G29</f>
        <v>610392.31385136012</v>
      </c>
    </row>
    <row r="144" spans="1:34" s="2" customFormat="1" ht="17.399999999999999" hidden="1">
      <c r="A144" s="38"/>
      <c r="B144" s="2208"/>
      <c r="C144" s="2785"/>
      <c r="D144" s="2786">
        <f>SUM(D137:D143)</f>
        <v>187691.34214998709</v>
      </c>
      <c r="E144" s="2786">
        <f>SUM(E137:E143)</f>
        <v>482444.13099999999</v>
      </c>
      <c r="F144" s="2208"/>
      <c r="G144" s="2208"/>
      <c r="H144" s="2208"/>
      <c r="I144" s="2786"/>
      <c r="J144" s="2785"/>
      <c r="K144" s="2786"/>
      <c r="L144" s="2786"/>
      <c r="M144" s="2786"/>
      <c r="N144" s="2786"/>
      <c r="O144" s="2786"/>
      <c r="P144" s="2786"/>
      <c r="Q144" s="2786"/>
      <c r="R144" s="2786"/>
      <c r="S144" s="2786"/>
      <c r="T144" s="2786"/>
      <c r="U144" s="2786"/>
      <c r="V144" s="2786"/>
      <c r="W144" s="2786"/>
      <c r="X144" s="2786"/>
      <c r="AH144" s="2576">
        <f>AH143+AH142</f>
        <v>699525.31385136012</v>
      </c>
    </row>
    <row r="145" spans="1:34" s="2" customFormat="1" ht="17.399999999999999" hidden="1">
      <c r="A145" s="38"/>
      <c r="B145" s="2208"/>
      <c r="C145" s="2785"/>
      <c r="D145" s="2786">
        <f>D136-D144</f>
        <v>-57991.342149987089</v>
      </c>
      <c r="E145" s="2786">
        <f>E136-E144</f>
        <v>167870.86900000001</v>
      </c>
      <c r="F145" s="2208"/>
      <c r="G145" s="2208"/>
      <c r="H145" s="2208"/>
      <c r="I145" s="2208"/>
      <c r="J145" s="2785"/>
      <c r="K145" s="2786"/>
      <c r="L145" s="2786"/>
      <c r="M145" s="2786"/>
      <c r="N145" s="2786"/>
      <c r="O145" s="2786"/>
      <c r="P145" s="2786"/>
      <c r="Q145" s="2786"/>
      <c r="R145" s="2786"/>
      <c r="S145" s="2786"/>
      <c r="T145" s="2786"/>
      <c r="U145" s="2786"/>
      <c r="V145" s="2786"/>
      <c r="W145" s="2786"/>
      <c r="X145" s="2786"/>
      <c r="AH145" s="3537">
        <f>AH144-'Dự toán Chi TW-ĐP'!F28</f>
        <v>228324.31385136012</v>
      </c>
    </row>
    <row r="146" spans="1:34" s="2" customFormat="1" ht="17.399999999999999" hidden="1">
      <c r="A146" s="38"/>
      <c r="B146" s="2208"/>
      <c r="C146" s="2785"/>
      <c r="D146" s="2786"/>
      <c r="E146" s="2786"/>
      <c r="F146" s="2208"/>
      <c r="G146" s="2208"/>
      <c r="H146" s="2208"/>
      <c r="I146" s="2786"/>
      <c r="J146" s="2785"/>
      <c r="K146" s="2786"/>
      <c r="L146" s="2786"/>
      <c r="M146" s="2786"/>
      <c r="N146" s="2786"/>
      <c r="O146" s="2786"/>
      <c r="P146" s="2786"/>
      <c r="Q146" s="2786"/>
      <c r="R146" s="2786"/>
      <c r="S146" s="2786"/>
      <c r="T146" s="2786"/>
      <c r="U146" s="2786"/>
      <c r="V146" s="2786"/>
      <c r="W146" s="2786"/>
      <c r="X146" s="2786"/>
    </row>
    <row r="147" spans="1:34" s="2" customFormat="1" ht="17.399999999999999" hidden="1">
      <c r="A147" s="38">
        <v>3</v>
      </c>
      <c r="B147" s="2208" t="s">
        <v>2746</v>
      </c>
      <c r="C147" s="2785"/>
      <c r="D147" s="2786">
        <f>D146+D145</f>
        <v>-57991.342149987089</v>
      </c>
      <c r="E147" s="2786"/>
      <c r="F147" s="2208"/>
      <c r="G147" s="2208"/>
      <c r="H147" s="2208"/>
      <c r="I147" s="2786">
        <f>J147-J9</f>
        <v>60705.131000000052</v>
      </c>
      <c r="J147" s="3524">
        <f>SUM(K147:V147)</f>
        <v>3355145.1310000001</v>
      </c>
      <c r="K147" s="2786">
        <f t="shared" ref="K147:P147" si="53">K148+K149+K150</f>
        <v>541822</v>
      </c>
      <c r="L147" s="2786">
        <f t="shared" si="53"/>
        <v>63065</v>
      </c>
      <c r="M147" s="2786">
        <f t="shared" si="53"/>
        <v>31218</v>
      </c>
      <c r="N147" s="2786">
        <f t="shared" si="53"/>
        <v>1106168</v>
      </c>
      <c r="O147" s="2786">
        <f t="shared" si="53"/>
        <v>802298.33100000001</v>
      </c>
      <c r="P147" s="2786">
        <f t="shared" si="53"/>
        <v>41604</v>
      </c>
      <c r="Q147" s="2786">
        <f t="shared" ref="Q147:AA147" si="54">Q148+Q149+Q150</f>
        <v>14000</v>
      </c>
      <c r="R147" s="2786">
        <f t="shared" si="54"/>
        <v>24000</v>
      </c>
      <c r="S147" s="2786">
        <f t="shared" si="54"/>
        <v>76363</v>
      </c>
      <c r="T147" s="2786">
        <f>T148+T149+T150</f>
        <v>494606.8</v>
      </c>
      <c r="U147" s="2786">
        <f t="shared" si="54"/>
        <v>140000</v>
      </c>
      <c r="V147" s="2786">
        <f t="shared" si="54"/>
        <v>20000</v>
      </c>
      <c r="W147" s="2786">
        <f t="shared" si="54"/>
        <v>2000</v>
      </c>
      <c r="X147" s="2786">
        <f t="shared" si="54"/>
        <v>135382</v>
      </c>
      <c r="Y147" s="2786">
        <f t="shared" si="54"/>
        <v>0</v>
      </c>
      <c r="Z147" s="2786">
        <f t="shared" si="54"/>
        <v>0</v>
      </c>
      <c r="AA147" s="2786">
        <f t="shared" si="54"/>
        <v>0</v>
      </c>
    </row>
    <row r="148" spans="1:34" s="1319" customFormat="1" ht="34.799999999999997" hidden="1">
      <c r="A148" s="210"/>
      <c r="B148" s="3523" t="s">
        <v>2747</v>
      </c>
      <c r="C148" s="3524"/>
      <c r="D148" s="3525"/>
      <c r="E148" s="3529"/>
      <c r="F148" s="3527"/>
      <c r="G148" s="3527"/>
      <c r="H148" s="3527"/>
      <c r="I148" s="3527"/>
      <c r="J148" s="3524">
        <f>SUM(K148:V148)</f>
        <v>3121761.0788624897</v>
      </c>
      <c r="K148" s="3524">
        <f>K124</f>
        <v>532112.48694719118</v>
      </c>
      <c r="L148" s="3524">
        <f t="shared" ref="L148:U148" si="55">L124</f>
        <v>61094.396649492315</v>
      </c>
      <c r="M148" s="3524">
        <f t="shared" si="55"/>
        <v>30547.198324746158</v>
      </c>
      <c r="N148" s="3524">
        <f t="shared" si="55"/>
        <v>1002179.6725228454</v>
      </c>
      <c r="O148" s="3524">
        <f t="shared" si="55"/>
        <v>739045.12075998774</v>
      </c>
      <c r="P148" s="3524">
        <f t="shared" si="55"/>
        <v>39415.739773866007</v>
      </c>
      <c r="Q148" s="3524">
        <f t="shared" si="55"/>
        <v>13795.508920853103</v>
      </c>
      <c r="R148" s="3524">
        <f t="shared" si="55"/>
        <v>23649.443864319604</v>
      </c>
      <c r="S148" s="3524">
        <f t="shared" si="55"/>
        <v>73904.512075998762</v>
      </c>
      <c r="T148" s="3524">
        <f t="shared" si="55"/>
        <v>448354.03992772585</v>
      </c>
      <c r="U148" s="3524">
        <f t="shared" si="55"/>
        <v>137955.08920853105</v>
      </c>
      <c r="V148" s="3524">
        <f>V124</f>
        <v>19707.869886933004</v>
      </c>
      <c r="W148" s="3524">
        <f t="shared" ref="W148:AA148" si="56">W124</f>
        <v>1902.7869886933006</v>
      </c>
      <c r="X148" s="3524">
        <f t="shared" si="56"/>
        <v>133404.54205163821</v>
      </c>
      <c r="Y148" s="3524">
        <f>Y124</f>
        <v>0</v>
      </c>
      <c r="Z148" s="3524">
        <f t="shared" si="56"/>
        <v>0</v>
      </c>
      <c r="AA148" s="3524">
        <f t="shared" si="56"/>
        <v>0</v>
      </c>
    </row>
    <row r="149" spans="1:34" s="2" customFormat="1" ht="17.399999999999999" hidden="1">
      <c r="A149" s="38"/>
      <c r="B149" s="2208" t="s">
        <v>2748</v>
      </c>
      <c r="C149" s="2785"/>
      <c r="D149" s="2786"/>
      <c r="E149" s="2786"/>
      <c r="F149" s="2785"/>
      <c r="G149" s="2786"/>
      <c r="H149" s="2208"/>
      <c r="I149" s="2786">
        <f>J149+W149+X149</f>
        <v>48348.592097178269</v>
      </c>
      <c r="J149" s="3524">
        <f>SUM(K149:V149)</f>
        <v>46273.921137509788</v>
      </c>
      <c r="K149" s="2785">
        <f>K125</f>
        <v>7887.5130528088193</v>
      </c>
      <c r="L149" s="2785">
        <f t="shared" ref="L149:Z149" si="57">L125</f>
        <v>905.60335050768481</v>
      </c>
      <c r="M149" s="2785">
        <f>M125</f>
        <v>452.8016752538424</v>
      </c>
      <c r="N149" s="2785">
        <f t="shared" si="57"/>
        <v>14855.327477154555</v>
      </c>
      <c r="O149" s="2785">
        <f t="shared" si="57"/>
        <v>10954.879240012262</v>
      </c>
      <c r="P149" s="2785">
        <f t="shared" si="57"/>
        <v>584.26022613399255</v>
      </c>
      <c r="Q149" s="2785">
        <f t="shared" si="57"/>
        <v>204.49107914689739</v>
      </c>
      <c r="R149" s="2785">
        <f t="shared" si="57"/>
        <v>350.55613568039553</v>
      </c>
      <c r="S149" s="2785">
        <f t="shared" si="57"/>
        <v>1095.4879240012378</v>
      </c>
      <c r="T149" s="2785">
        <f t="shared" si="57"/>
        <v>6645.9600722741452</v>
      </c>
      <c r="U149" s="2785">
        <f t="shared" si="57"/>
        <v>2044.9107914689521</v>
      </c>
      <c r="V149" s="2785">
        <f t="shared" si="57"/>
        <v>292.13011306699627</v>
      </c>
      <c r="W149" s="2785">
        <f t="shared" si="57"/>
        <v>97.2130113066994</v>
      </c>
      <c r="X149" s="2785">
        <f t="shared" si="57"/>
        <v>1977.4579483617854</v>
      </c>
      <c r="Y149" s="2785">
        <f t="shared" si="57"/>
        <v>0</v>
      </c>
      <c r="Z149" s="2785">
        <f t="shared" si="57"/>
        <v>0</v>
      </c>
      <c r="AA149" s="2785"/>
    </row>
    <row r="150" spans="1:34" s="2" customFormat="1" ht="17.399999999999999" hidden="1">
      <c r="A150" s="38"/>
      <c r="B150" s="2208" t="s">
        <v>2749</v>
      </c>
      <c r="C150" s="2785"/>
      <c r="D150" s="2786"/>
      <c r="E150" s="2786"/>
      <c r="F150" s="2208"/>
      <c r="G150" s="2208"/>
      <c r="H150" s="2208"/>
      <c r="I150" s="2208"/>
      <c r="J150" s="3524">
        <f>SUM(K150:V150)</f>
        <v>187110.13099999999</v>
      </c>
      <c r="K150" s="2876">
        <f>K142</f>
        <v>1822</v>
      </c>
      <c r="L150" s="2785">
        <f t="shared" ref="L150:V150" si="58">L142</f>
        <v>1065</v>
      </c>
      <c r="M150" s="2785">
        <f t="shared" si="58"/>
        <v>218</v>
      </c>
      <c r="N150" s="2785">
        <f t="shared" si="58"/>
        <v>89133</v>
      </c>
      <c r="O150" s="2785">
        <f t="shared" si="58"/>
        <v>52298.330999999998</v>
      </c>
      <c r="P150" s="2785">
        <f t="shared" si="58"/>
        <v>1604</v>
      </c>
      <c r="Q150" s="2785">
        <f t="shared" si="58"/>
        <v>0</v>
      </c>
      <c r="R150" s="2785">
        <f t="shared" si="58"/>
        <v>0</v>
      </c>
      <c r="S150" s="2785">
        <f t="shared" si="58"/>
        <v>1363</v>
      </c>
      <c r="T150" s="2785">
        <f t="shared" si="58"/>
        <v>39606.800000000003</v>
      </c>
      <c r="U150" s="2785">
        <f t="shared" si="58"/>
        <v>0</v>
      </c>
      <c r="V150" s="2785">
        <f t="shared" si="58"/>
        <v>0</v>
      </c>
      <c r="W150" s="2786"/>
      <c r="X150" s="2786"/>
    </row>
    <row r="151" spans="1:34" s="2" customFormat="1" ht="17.399999999999999" hidden="1">
      <c r="A151" s="38"/>
      <c r="B151" s="2208"/>
      <c r="C151" s="2785"/>
      <c r="D151" s="2786">
        <f>+E145+D147</f>
        <v>109879.52685001292</v>
      </c>
      <c r="E151" s="2786"/>
      <c r="F151" s="2786"/>
      <c r="G151" s="2208"/>
      <c r="H151" s="2208"/>
      <c r="I151" s="2208"/>
      <c r="J151" s="2785"/>
      <c r="K151" s="2786"/>
      <c r="L151" s="2786"/>
      <c r="M151" s="2786"/>
      <c r="N151" s="2786"/>
      <c r="O151" s="2786"/>
      <c r="P151" s="2786"/>
      <c r="Q151" s="2786"/>
      <c r="R151" s="2786"/>
      <c r="S151" s="2786"/>
      <c r="T151" s="2786"/>
      <c r="U151" s="2786"/>
      <c r="V151" s="2786"/>
      <c r="W151" s="2786"/>
      <c r="X151" s="2786"/>
      <c r="Y151" s="2786"/>
      <c r="Z151" s="2786"/>
      <c r="AA151" s="2786"/>
    </row>
    <row r="152" spans="1:34" s="2" customFormat="1" ht="17.399999999999999" hidden="1">
      <c r="A152" s="38"/>
      <c r="B152" s="2208"/>
      <c r="C152" s="2785"/>
      <c r="D152" s="2786">
        <f>J162</f>
        <v>82361</v>
      </c>
      <c r="E152" s="2786"/>
      <c r="F152" s="2208"/>
      <c r="G152" s="2208"/>
      <c r="H152" s="2208"/>
      <c r="I152" s="2208"/>
      <c r="J152" s="2785"/>
      <c r="K152" s="2786"/>
      <c r="L152" s="2786"/>
      <c r="M152" s="2786"/>
      <c r="N152" s="2786"/>
      <c r="O152" s="2786"/>
      <c r="P152" s="2786"/>
      <c r="Q152" s="2786"/>
      <c r="R152" s="2786"/>
      <c r="S152" s="2786"/>
      <c r="T152" s="2786"/>
      <c r="U152" s="2786"/>
      <c r="V152" s="2786"/>
      <c r="W152" s="2786"/>
      <c r="X152" s="2786"/>
    </row>
    <row r="153" spans="1:34" hidden="1">
      <c r="A153" s="38">
        <v>4</v>
      </c>
      <c r="B153" s="2208" t="s">
        <v>2750</v>
      </c>
      <c r="C153" s="55"/>
      <c r="D153" s="2354">
        <f>D151-D152</f>
        <v>27518.526850012917</v>
      </c>
      <c r="E153" s="2354"/>
      <c r="J153" s="3524">
        <f>SUM(K153:V153)</f>
        <v>-60705.130999999994</v>
      </c>
      <c r="K153" s="3538">
        <f t="shared" ref="K153:AA153" si="59">K9-K147</f>
        <v>3888</v>
      </c>
      <c r="L153" s="3539">
        <f t="shared" si="59"/>
        <v>4900</v>
      </c>
      <c r="M153" s="2354">
        <f t="shared" si="59"/>
        <v>0</v>
      </c>
      <c r="N153" s="3541">
        <f t="shared" si="59"/>
        <v>-149492</v>
      </c>
      <c r="O153" s="2354">
        <f t="shared" si="59"/>
        <v>26239.668999999994</v>
      </c>
      <c r="P153" s="2354">
        <f t="shared" si="59"/>
        <v>6284</v>
      </c>
      <c r="Q153" s="2354">
        <f t="shared" si="59"/>
        <v>4073</v>
      </c>
      <c r="R153" s="3540">
        <f t="shared" si="59"/>
        <v>13202</v>
      </c>
      <c r="S153" s="3540">
        <f t="shared" si="59"/>
        <v>1022</v>
      </c>
      <c r="T153" s="3540">
        <f t="shared" si="59"/>
        <v>20851.200000000012</v>
      </c>
      <c r="U153" s="3538">
        <f t="shared" si="59"/>
        <v>8327</v>
      </c>
      <c r="V153" s="2354">
        <f t="shared" si="59"/>
        <v>0</v>
      </c>
      <c r="W153" s="2354">
        <f t="shared" si="59"/>
        <v>0</v>
      </c>
      <c r="X153" s="2354">
        <f t="shared" si="59"/>
        <v>16882.367999999988</v>
      </c>
      <c r="Y153" s="2354">
        <f t="shared" si="59"/>
        <v>0</v>
      </c>
      <c r="Z153" s="2354">
        <f t="shared" si="59"/>
        <v>79139.200000000012</v>
      </c>
      <c r="AA153" s="2354">
        <f t="shared" si="59"/>
        <v>3000</v>
      </c>
    </row>
    <row r="154" spans="1:34" hidden="1">
      <c r="B154" s="2208" t="s">
        <v>2754</v>
      </c>
      <c r="C154" s="55"/>
      <c r="D154" s="58"/>
      <c r="E154" s="2354"/>
      <c r="J154" s="3524">
        <f>SUM(K154:V154)</f>
        <v>75188.908927725861</v>
      </c>
      <c r="K154" s="58">
        <f>K153-K157</f>
        <v>0</v>
      </c>
      <c r="L154" s="3540">
        <f>L153-L157</f>
        <v>3994</v>
      </c>
      <c r="M154" s="2354"/>
      <c r="N154" s="3366"/>
      <c r="O154" s="3540">
        <f>O153</f>
        <v>26239.668999999994</v>
      </c>
      <c r="P154" s="3540">
        <f>P153-P157</f>
        <v>5148</v>
      </c>
      <c r="Q154" s="3540">
        <f>Q153</f>
        <v>4073</v>
      </c>
      <c r="R154" s="3540">
        <v>13202</v>
      </c>
      <c r="S154" s="3366"/>
      <c r="T154" s="3540">
        <f>T153-T157</f>
        <v>14205.239927725866</v>
      </c>
      <c r="U154" s="3540">
        <v>8327</v>
      </c>
      <c r="V154" s="2354"/>
      <c r="W154" s="58"/>
      <c r="X154" s="58"/>
      <c r="Y154" s="58"/>
      <c r="Z154" s="58"/>
      <c r="AA154" s="58"/>
    </row>
    <row r="155" spans="1:34" hidden="1">
      <c r="B155" s="2575"/>
      <c r="C155" s="55"/>
      <c r="E155" s="55"/>
      <c r="J155" s="2785"/>
      <c r="K155" s="58"/>
      <c r="L155" s="58"/>
      <c r="M155" s="58"/>
      <c r="N155" s="58"/>
      <c r="O155" s="58"/>
      <c r="P155" s="58"/>
      <c r="Q155" s="58"/>
      <c r="R155" s="58"/>
      <c r="S155" s="58"/>
      <c r="T155" s="58"/>
      <c r="U155" s="58"/>
      <c r="V155" s="58"/>
    </row>
    <row r="156" spans="1:34" hidden="1">
      <c r="B156" s="2575" t="s">
        <v>2751</v>
      </c>
      <c r="C156" s="55"/>
      <c r="E156" s="2354"/>
      <c r="J156" s="3524">
        <f>SUM(K156:V156)</f>
        <v>187110.13099999999</v>
      </c>
      <c r="K156" s="58">
        <f t="shared" ref="K156:P156" si="60">K150</f>
        <v>1822</v>
      </c>
      <c r="L156" s="58">
        <f t="shared" si="60"/>
        <v>1065</v>
      </c>
      <c r="M156" s="58">
        <f t="shared" si="60"/>
        <v>218</v>
      </c>
      <c r="N156" s="58">
        <f t="shared" si="60"/>
        <v>89133</v>
      </c>
      <c r="O156" s="58">
        <f t="shared" si="60"/>
        <v>52298.330999999998</v>
      </c>
      <c r="P156" s="58">
        <f t="shared" si="60"/>
        <v>1604</v>
      </c>
      <c r="Q156" s="58"/>
      <c r="R156" s="58"/>
      <c r="S156" s="58">
        <f>S150</f>
        <v>1363</v>
      </c>
      <c r="T156" s="58">
        <f>T150</f>
        <v>39606.800000000003</v>
      </c>
      <c r="U156" s="58"/>
      <c r="V156" s="58"/>
    </row>
    <row r="157" spans="1:34" hidden="1">
      <c r="B157" s="2208" t="s">
        <v>2752</v>
      </c>
      <c r="C157" s="55"/>
      <c r="E157" s="55"/>
      <c r="I157" s="58"/>
      <c r="J157" s="3524">
        <f>SUM(K157:V157)</f>
        <v>13597.960072274145</v>
      </c>
      <c r="K157" s="2354">
        <v>3888</v>
      </c>
      <c r="L157" s="2">
        <v>906</v>
      </c>
      <c r="M157" s="2354"/>
      <c r="N157" s="2354"/>
      <c r="O157" s="2"/>
      <c r="P157" s="2576">
        <f>581+204+351</f>
        <v>1136</v>
      </c>
      <c r="Q157" s="2"/>
      <c r="R157" s="2"/>
      <c r="S157" s="2354">
        <f>1095-73</f>
        <v>1022</v>
      </c>
      <c r="T157" s="2354">
        <f>T149</f>
        <v>6645.9600722741452</v>
      </c>
      <c r="U157" s="2">
        <v>0</v>
      </c>
      <c r="V157" s="58"/>
    </row>
    <row r="158" spans="1:34" hidden="1">
      <c r="B158" s="2575"/>
      <c r="C158" s="55"/>
      <c r="E158" s="2354"/>
      <c r="J158" s="55"/>
    </row>
    <row r="159" spans="1:34" hidden="1">
      <c r="B159" s="2575"/>
      <c r="C159" s="2576"/>
      <c r="J159" s="55"/>
      <c r="K159" s="58"/>
      <c r="L159" s="58"/>
      <c r="M159" s="58"/>
      <c r="N159" s="58"/>
      <c r="O159" s="58"/>
      <c r="P159" s="58"/>
      <c r="Q159" s="58"/>
      <c r="R159" s="58"/>
      <c r="S159" s="58"/>
      <c r="T159" s="58"/>
      <c r="U159" s="58"/>
      <c r="V159" s="58"/>
    </row>
    <row r="160" spans="1:34" hidden="1">
      <c r="B160" s="2575"/>
      <c r="C160" s="55"/>
      <c r="E160" s="58"/>
      <c r="J160" s="58"/>
      <c r="K160" s="58"/>
      <c r="L160" s="58"/>
      <c r="M160" s="58"/>
      <c r="N160" s="58"/>
      <c r="O160" s="58"/>
      <c r="P160" s="58"/>
      <c r="Q160" s="58"/>
      <c r="R160" s="58"/>
      <c r="S160" s="58"/>
      <c r="T160" s="58"/>
      <c r="U160" s="58"/>
      <c r="V160" s="58"/>
    </row>
    <row r="161" spans="2:23" hidden="1">
      <c r="B161" s="2575" t="s">
        <v>2753</v>
      </c>
      <c r="C161" s="55"/>
      <c r="E161" s="58"/>
      <c r="J161" s="2354">
        <f t="shared" ref="J161:V161" si="61">J9*25%</f>
        <v>823610</v>
      </c>
      <c r="K161" s="2354">
        <f t="shared" si="61"/>
        <v>136427.5</v>
      </c>
      <c r="L161" s="2354">
        <f t="shared" si="61"/>
        <v>16991.25</v>
      </c>
      <c r="M161" s="2354">
        <f t="shared" si="61"/>
        <v>7804.5</v>
      </c>
      <c r="N161" s="2354">
        <f t="shared" si="61"/>
        <v>239169</v>
      </c>
      <c r="O161" s="2354">
        <f t="shared" si="61"/>
        <v>207134.5</v>
      </c>
      <c r="P161" s="2354">
        <f t="shared" si="61"/>
        <v>11972</v>
      </c>
      <c r="Q161" s="2354">
        <f t="shared" si="61"/>
        <v>4518.25</v>
      </c>
      <c r="R161" s="2354">
        <f t="shared" si="61"/>
        <v>9300.5</v>
      </c>
      <c r="S161" s="2354">
        <f t="shared" si="61"/>
        <v>19346.25</v>
      </c>
      <c r="T161" s="2354">
        <f t="shared" si="61"/>
        <v>128864.5</v>
      </c>
      <c r="U161" s="2354">
        <f t="shared" si="61"/>
        <v>37081.75</v>
      </c>
      <c r="V161" s="2354">
        <f t="shared" si="61"/>
        <v>5000</v>
      </c>
    </row>
    <row r="162" spans="2:23" hidden="1">
      <c r="B162" s="2575" t="s">
        <v>1073</v>
      </c>
      <c r="C162" s="55"/>
      <c r="E162" s="2354"/>
      <c r="J162" s="58">
        <f>J161*10%</f>
        <v>82361</v>
      </c>
      <c r="K162" s="58">
        <f t="shared" ref="K162:V162" si="62">K161*10%</f>
        <v>13642.75</v>
      </c>
      <c r="L162" s="58">
        <f t="shared" si="62"/>
        <v>1699.125</v>
      </c>
      <c r="M162" s="58">
        <f t="shared" si="62"/>
        <v>780.45</v>
      </c>
      <c r="N162" s="58">
        <f>N161*10%</f>
        <v>23916.9</v>
      </c>
      <c r="O162" s="58">
        <f t="shared" si="62"/>
        <v>20713.45</v>
      </c>
      <c r="P162" s="58">
        <f t="shared" si="62"/>
        <v>1197.2</v>
      </c>
      <c r="Q162" s="58">
        <f t="shared" si="62"/>
        <v>451.82500000000005</v>
      </c>
      <c r="R162" s="58">
        <f t="shared" si="62"/>
        <v>930.05000000000007</v>
      </c>
      <c r="S162" s="58">
        <f t="shared" si="62"/>
        <v>1934.625</v>
      </c>
      <c r="T162" s="58">
        <f t="shared" si="62"/>
        <v>12886.45</v>
      </c>
      <c r="U162" s="58">
        <f t="shared" si="62"/>
        <v>3708.1750000000002</v>
      </c>
      <c r="V162" s="58">
        <f t="shared" si="62"/>
        <v>500</v>
      </c>
    </row>
    <row r="163" spans="2:23" hidden="1">
      <c r="B163" s="2575"/>
      <c r="C163" s="55"/>
    </row>
    <row r="164" spans="2:23" hidden="1">
      <c r="B164" s="2575"/>
      <c r="C164" s="2576">
        <f>C9-'Phụ lục số 2'!AA7</f>
        <v>5083323.7479999997</v>
      </c>
      <c r="J164" s="55">
        <f>J9</f>
        <v>3294440</v>
      </c>
      <c r="K164" s="55"/>
      <c r="L164" s="55"/>
      <c r="M164" s="55"/>
      <c r="N164" s="55"/>
      <c r="O164" s="55"/>
      <c r="P164" s="55"/>
      <c r="Q164" s="55"/>
      <c r="R164" s="55"/>
      <c r="S164" s="55"/>
      <c r="T164" s="55"/>
      <c r="U164" s="55"/>
      <c r="V164" s="55"/>
    </row>
    <row r="165" spans="2:23" hidden="1">
      <c r="B165" s="2575"/>
      <c r="C165" s="55"/>
      <c r="J165" s="58">
        <f>'Phụ lục số 2'!AB15</f>
        <v>7370538.3947110809</v>
      </c>
    </row>
    <row r="166" spans="2:23" hidden="1">
      <c r="B166" s="2575"/>
      <c r="C166" s="55"/>
      <c r="J166" s="55">
        <f>J165+J164</f>
        <v>10664978.394711081</v>
      </c>
      <c r="K166" s="55"/>
    </row>
    <row r="167" spans="2:23" hidden="1">
      <c r="B167" s="2575"/>
      <c r="J167" s="55">
        <v>10426978</v>
      </c>
      <c r="K167" s="55"/>
    </row>
    <row r="168" spans="2:23" hidden="1">
      <c r="B168" s="2575"/>
      <c r="C168" s="58"/>
      <c r="J168" s="58">
        <f>J166-J167</f>
        <v>238000.39471108094</v>
      </c>
      <c r="K168" s="55"/>
      <c r="L168" s="58"/>
      <c r="M168" s="58"/>
      <c r="N168" s="58"/>
      <c r="O168" s="58"/>
      <c r="P168" s="58"/>
      <c r="Q168" s="58"/>
      <c r="R168" s="58"/>
      <c r="S168" s="58"/>
      <c r="T168" s="58"/>
      <c r="U168" s="58"/>
      <c r="V168" s="58"/>
      <c r="W168" s="58"/>
    </row>
    <row r="169" spans="2:23" hidden="1">
      <c r="J169" s="58" t="e">
        <f>'SO SANH (1) UTH2023-DT2024'!#REF!</f>
        <v>#REF!</v>
      </c>
      <c r="K169" s="55"/>
      <c r="L169" s="58"/>
      <c r="M169" s="58"/>
      <c r="N169" s="58"/>
      <c r="O169" s="58"/>
      <c r="P169" s="58"/>
      <c r="Q169" s="58"/>
      <c r="R169" s="58"/>
      <c r="S169" s="58"/>
      <c r="T169" s="58"/>
      <c r="U169" s="58"/>
      <c r="V169" s="58"/>
    </row>
    <row r="170" spans="2:23" hidden="1">
      <c r="J170" s="58" t="e">
        <f>J169-J168</f>
        <v>#REF!</v>
      </c>
      <c r="K170" s="55"/>
      <c r="L170" s="58"/>
      <c r="M170" s="58"/>
      <c r="N170" s="58"/>
      <c r="O170" s="58"/>
      <c r="P170" s="58"/>
      <c r="Q170" s="58"/>
      <c r="R170" s="58"/>
      <c r="S170" s="58"/>
      <c r="T170" s="58"/>
      <c r="U170" s="58"/>
      <c r="V170" s="58"/>
    </row>
    <row r="171" spans="2:23">
      <c r="K171" s="55"/>
    </row>
    <row r="172" spans="2:23">
      <c r="K172" s="58"/>
    </row>
    <row r="173" spans="2:23">
      <c r="K173" s="58"/>
    </row>
    <row r="177" spans="11:11">
      <c r="K177" s="1"/>
    </row>
    <row r="179" spans="11:11">
      <c r="K179" s="1"/>
    </row>
    <row r="186" spans="11:11">
      <c r="K186" s="1"/>
    </row>
  </sheetData>
  <mergeCells count="20">
    <mergeCell ref="AB6:AB8"/>
    <mergeCell ref="AC6:AD7"/>
    <mergeCell ref="D6:I6"/>
    <mergeCell ref="E7:I7"/>
    <mergeCell ref="A2:AD2"/>
    <mergeCell ref="AB4:AD4"/>
    <mergeCell ref="AA6:AA8"/>
    <mergeCell ref="Z6:Z8"/>
    <mergeCell ref="A1:AE1"/>
    <mergeCell ref="B5:B8"/>
    <mergeCell ref="A5:A8"/>
    <mergeCell ref="J7:J8"/>
    <mergeCell ref="K7:V7"/>
    <mergeCell ref="C6:C8"/>
    <mergeCell ref="J6:V6"/>
    <mergeCell ref="D7:D8"/>
    <mergeCell ref="AE5:AE8"/>
    <mergeCell ref="W6:W8"/>
    <mergeCell ref="X6:X8"/>
    <mergeCell ref="C5:AD5"/>
  </mergeCells>
  <hyperlinks>
    <hyperlink ref="A5:A8" location="'List danh mục'!A1" display="Số TT"/>
  </hyperlinks>
  <printOptions horizontalCentered="1"/>
  <pageMargins left="0" right="0" top="0.39370078740157483" bottom="0" header="0" footer="0"/>
  <pageSetup paperSize="9" scale="50" orientation="landscape" r:id="rId1"/>
  <headerFooter>
    <oddHeader>&amp;R&amp;A</oddHeader>
    <oddFooter>&amp;C&amp;P/&amp;N</oddFooter>
  </headerFooter>
  <legacy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O51"/>
  <sheetViews>
    <sheetView workbookViewId="0">
      <pane xSplit="5" ySplit="6" topLeftCell="F39" activePane="bottomRight" state="frozen"/>
      <selection activeCell="Y35" sqref="Y35"/>
      <selection pane="topRight" activeCell="Y35" sqref="Y35"/>
      <selection pane="bottomLeft" activeCell="Y35" sqref="Y35"/>
      <selection pane="bottomRight" activeCell="Y35" sqref="Y35"/>
    </sheetView>
  </sheetViews>
  <sheetFormatPr defaultColWidth="10.59765625" defaultRowHeight="18"/>
  <cols>
    <col min="1" max="1" width="3.3984375" style="2267" bestFit="1" customWidth="1"/>
    <col min="2" max="2" width="76.5" style="1" customWidth="1"/>
    <col min="3" max="41" width="7.69921875" style="1" customWidth="1"/>
    <col min="42" max="16384" width="10.59765625" style="1"/>
  </cols>
  <sheetData>
    <row r="1" spans="1:41">
      <c r="B1" s="3"/>
      <c r="C1" s="2401"/>
      <c r="D1" s="2401"/>
      <c r="E1" s="3" t="s">
        <v>245</v>
      </c>
      <c r="F1" s="2401"/>
      <c r="G1" s="2401"/>
      <c r="H1" s="2401"/>
      <c r="I1" s="2401"/>
      <c r="J1" s="2401"/>
      <c r="K1" s="2401"/>
      <c r="L1" s="2401"/>
      <c r="M1" s="2401"/>
      <c r="N1" s="2401"/>
      <c r="O1" s="2401"/>
      <c r="P1" s="2401"/>
      <c r="Q1" s="2401"/>
      <c r="R1" s="2401"/>
      <c r="S1" s="2401"/>
      <c r="T1" s="2401"/>
      <c r="U1" s="2401"/>
      <c r="V1" s="2401"/>
      <c r="W1" s="2401"/>
      <c r="X1" s="2401"/>
      <c r="Y1" s="2401"/>
      <c r="AA1" s="1401"/>
      <c r="AB1" s="1401"/>
      <c r="AC1" s="1401"/>
      <c r="AD1" s="3" t="s">
        <v>245</v>
      </c>
      <c r="AE1" s="1401"/>
      <c r="AF1" s="1401"/>
      <c r="AG1" s="1401"/>
      <c r="AH1" s="1401"/>
      <c r="AI1" s="2401"/>
      <c r="AJ1" s="1401"/>
      <c r="AK1" s="1401"/>
      <c r="AL1" s="1401"/>
      <c r="AM1" s="2401"/>
      <c r="AN1" s="2401"/>
      <c r="AO1" s="2401"/>
    </row>
    <row r="2" spans="1:41">
      <c r="A2" s="161"/>
      <c r="B2" s="161"/>
      <c r="C2" s="161"/>
      <c r="D2" s="161"/>
      <c r="E2" s="4300"/>
      <c r="F2" s="4300"/>
      <c r="G2" s="4300"/>
      <c r="H2" s="4300"/>
      <c r="I2" s="4300"/>
      <c r="J2" s="4300"/>
      <c r="K2" s="4300"/>
      <c r="L2" s="4300"/>
      <c r="M2" s="4300"/>
      <c r="N2" s="4300"/>
      <c r="O2" s="4300"/>
      <c r="P2" s="4300"/>
      <c r="Q2" s="4300"/>
      <c r="R2" s="4300"/>
      <c r="S2" s="4300"/>
      <c r="T2" s="4300"/>
      <c r="U2" s="4300"/>
      <c r="V2" s="4300"/>
      <c r="W2" s="4300"/>
      <c r="X2" s="2401"/>
      <c r="Y2" s="2401"/>
      <c r="AA2" s="1401"/>
      <c r="AB2" s="1401"/>
      <c r="AC2" s="1401"/>
      <c r="AD2" s="3"/>
      <c r="AE2" s="1401"/>
      <c r="AF2" s="1401"/>
      <c r="AG2" s="1401"/>
      <c r="AH2" s="1401"/>
      <c r="AI2" s="2401"/>
      <c r="AJ2" s="1401"/>
      <c r="AK2" s="1401"/>
      <c r="AL2" s="1401"/>
      <c r="AM2" s="2401"/>
      <c r="AN2" s="2401"/>
      <c r="AO2" s="2401"/>
    </row>
    <row r="3" spans="1:41">
      <c r="D3" s="2514"/>
      <c r="E3" s="2514"/>
      <c r="F3" s="163"/>
      <c r="T3" s="2515"/>
      <c r="U3" s="4421" t="s">
        <v>224</v>
      </c>
      <c r="V3" s="4421"/>
      <c r="W3" s="4421"/>
      <c r="AL3" s="2515"/>
      <c r="AM3" s="4432" t="s">
        <v>224</v>
      </c>
      <c r="AN3" s="4432"/>
      <c r="AO3" s="4432"/>
    </row>
    <row r="4" spans="1:41">
      <c r="D4" s="2514"/>
      <c r="E4" s="2514"/>
      <c r="F4" s="163"/>
      <c r="T4" s="2515"/>
      <c r="U4" s="2800"/>
      <c r="V4" s="2800"/>
      <c r="W4" s="2800"/>
      <c r="AL4" s="2515"/>
      <c r="AM4" s="2799"/>
      <c r="AN4" s="2799"/>
      <c r="AO4" s="2799"/>
    </row>
    <row r="5" spans="1:41" ht="24.75" customHeight="1">
      <c r="A5" s="4654" t="s">
        <v>244</v>
      </c>
      <c r="B5" s="4655" t="s">
        <v>246</v>
      </c>
      <c r="C5" s="4653" t="s">
        <v>247</v>
      </c>
      <c r="D5" s="4653"/>
      <c r="E5" s="4653"/>
      <c r="F5" s="4653" t="s">
        <v>248</v>
      </c>
      <c r="G5" s="4653"/>
      <c r="H5" s="4653"/>
      <c r="I5" s="4653" t="s">
        <v>249</v>
      </c>
      <c r="J5" s="4653"/>
      <c r="K5" s="4653"/>
      <c r="L5" s="4653" t="s">
        <v>250</v>
      </c>
      <c r="M5" s="4653"/>
      <c r="N5" s="4653"/>
      <c r="O5" s="4653" t="s">
        <v>251</v>
      </c>
      <c r="P5" s="4653"/>
      <c r="Q5" s="4653"/>
      <c r="R5" s="4653" t="s">
        <v>252</v>
      </c>
      <c r="S5" s="4653"/>
      <c r="T5" s="4653"/>
      <c r="U5" s="4653" t="s">
        <v>253</v>
      </c>
      <c r="V5" s="4653"/>
      <c r="W5" s="4653"/>
      <c r="X5" s="4653" t="s">
        <v>254</v>
      </c>
      <c r="Y5" s="4653"/>
      <c r="Z5" s="4653"/>
      <c r="AA5" s="4653" t="s">
        <v>255</v>
      </c>
      <c r="AB5" s="4653"/>
      <c r="AC5" s="4653"/>
      <c r="AD5" s="4653" t="s">
        <v>256</v>
      </c>
      <c r="AE5" s="4653"/>
      <c r="AF5" s="4653"/>
      <c r="AG5" s="4653" t="s">
        <v>257</v>
      </c>
      <c r="AH5" s="4653"/>
      <c r="AI5" s="4653"/>
      <c r="AJ5" s="4653" t="s">
        <v>258</v>
      </c>
      <c r="AK5" s="4653"/>
      <c r="AL5" s="4653"/>
      <c r="AM5" s="4653" t="s">
        <v>259</v>
      </c>
      <c r="AN5" s="4653"/>
      <c r="AO5" s="4653"/>
    </row>
    <row r="6" spans="1:41" s="34" customFormat="1" ht="27.75" customHeight="1">
      <c r="A6" s="4654"/>
      <c r="B6" s="4655"/>
      <c r="C6" s="2402" t="s">
        <v>260</v>
      </c>
      <c r="D6" s="2402" t="s">
        <v>261</v>
      </c>
      <c r="E6" s="2402" t="s">
        <v>262</v>
      </c>
      <c r="F6" s="2402" t="s">
        <v>260</v>
      </c>
      <c r="G6" s="2402" t="s">
        <v>261</v>
      </c>
      <c r="H6" s="2402" t="s">
        <v>262</v>
      </c>
      <c r="I6" s="2402" t="s">
        <v>260</v>
      </c>
      <c r="J6" s="2402" t="s">
        <v>261</v>
      </c>
      <c r="K6" s="2402" t="s">
        <v>262</v>
      </c>
      <c r="L6" s="2402" t="s">
        <v>260</v>
      </c>
      <c r="M6" s="2402" t="s">
        <v>261</v>
      </c>
      <c r="N6" s="2402" t="s">
        <v>262</v>
      </c>
      <c r="O6" s="2402" t="s">
        <v>260</v>
      </c>
      <c r="P6" s="2402" t="s">
        <v>261</v>
      </c>
      <c r="Q6" s="2402" t="s">
        <v>262</v>
      </c>
      <c r="R6" s="2402" t="s">
        <v>260</v>
      </c>
      <c r="S6" s="2402" t="s">
        <v>261</v>
      </c>
      <c r="T6" s="2402" t="s">
        <v>262</v>
      </c>
      <c r="U6" s="2402" t="s">
        <v>260</v>
      </c>
      <c r="V6" s="2402" t="s">
        <v>261</v>
      </c>
      <c r="W6" s="2402" t="s">
        <v>262</v>
      </c>
      <c r="X6" s="2402" t="s">
        <v>260</v>
      </c>
      <c r="Y6" s="2402" t="s">
        <v>261</v>
      </c>
      <c r="Z6" s="2402" t="s">
        <v>262</v>
      </c>
      <c r="AA6" s="2402" t="s">
        <v>260</v>
      </c>
      <c r="AB6" s="2402" t="s">
        <v>261</v>
      </c>
      <c r="AC6" s="2402" t="s">
        <v>262</v>
      </c>
      <c r="AD6" s="2402" t="s">
        <v>260</v>
      </c>
      <c r="AE6" s="2402" t="s">
        <v>261</v>
      </c>
      <c r="AF6" s="2402" t="s">
        <v>262</v>
      </c>
      <c r="AG6" s="2402" t="s">
        <v>260</v>
      </c>
      <c r="AH6" s="2402" t="s">
        <v>261</v>
      </c>
      <c r="AI6" s="2402" t="s">
        <v>262</v>
      </c>
      <c r="AJ6" s="2402" t="s">
        <v>260</v>
      </c>
      <c r="AK6" s="2402" t="s">
        <v>261</v>
      </c>
      <c r="AL6" s="2402" t="s">
        <v>262</v>
      </c>
      <c r="AM6" s="2402" t="s">
        <v>260</v>
      </c>
      <c r="AN6" s="2402" t="s">
        <v>261</v>
      </c>
      <c r="AO6" s="2402" t="s">
        <v>262</v>
      </c>
    </row>
    <row r="7" spans="1:41" s="2270" customFormat="1">
      <c r="A7" s="1408" t="s">
        <v>9</v>
      </c>
      <c r="B7" s="2268" t="s">
        <v>263</v>
      </c>
      <c r="C7" s="2516">
        <f>SUM(C9,C15,C18,C19,C20,C21,C25,C28,C31,C35)</f>
        <v>4836300</v>
      </c>
      <c r="D7" s="2516"/>
      <c r="E7" s="2516">
        <f>SUM(E9,E15,E18,E19,E20,E21,E25,E28,E31,E35)</f>
        <v>3939080</v>
      </c>
      <c r="F7" s="2516">
        <f>SUM(F9,F15,F18,F19,F20,F21,F25,F28,F31,F35)</f>
        <v>189200</v>
      </c>
      <c r="G7" s="2516"/>
      <c r="H7" s="2516">
        <f>SUM(H9,H15,H18,H19,H20,H21,H25,H28,H31,H35)</f>
        <v>157900</v>
      </c>
      <c r="I7" s="2516">
        <f>SUM(I9,I15,I18,I19,I20,I21,I25,I28,I31,I35)</f>
        <v>430350</v>
      </c>
      <c r="J7" s="2516"/>
      <c r="K7" s="2516">
        <f>SUM(K9,K15,K18,K19,K20,K21,K25,K28,K31,K35)</f>
        <v>384130</v>
      </c>
      <c r="L7" s="2516">
        <f>SUM(L9,L15,L18,L19,L20,L21,L25,L28,L31,L35)</f>
        <v>101150</v>
      </c>
      <c r="M7" s="2516"/>
      <c r="N7" s="2516">
        <f>SUM(N9,N15,N18,N19,N20,N21,N25,N28,N31,N35)</f>
        <v>96340</v>
      </c>
      <c r="O7" s="2516">
        <f>SUM(O9,O15,O18,O19,O20,O21,O25,O28,O31,O35)</f>
        <v>155300</v>
      </c>
      <c r="P7" s="2516"/>
      <c r="Q7" s="2516">
        <f>SUM(Q9,Q15,Q18,Q19,Q20,Q21,Q25,Q28,Q31,Q35)</f>
        <v>140940</v>
      </c>
      <c r="R7" s="2516">
        <f>SUM(R9,R15,R18,R19,R20,R21,R25,R28,R31,R35)</f>
        <v>260000</v>
      </c>
      <c r="S7" s="2516"/>
      <c r="T7" s="2516">
        <f>SUM(T9,T15,T18,T19,T20,T21,T25,T28,T31,T35)</f>
        <v>241850</v>
      </c>
      <c r="U7" s="2516">
        <f>SUM(U9,U15,U18,U19,U20,U21,U25,U28,U31,U35)</f>
        <v>1450250</v>
      </c>
      <c r="V7" s="2516"/>
      <c r="W7" s="2516">
        <f>SUM(W9,W15,W18,W19,W20,W21,W25,W28,W31,W35)</f>
        <v>1146450</v>
      </c>
      <c r="X7" s="2516">
        <f>SUM(X9,X15,X18,X19,X20,X21,X25,X28,X31,X35)</f>
        <v>280250</v>
      </c>
      <c r="Y7" s="2516"/>
      <c r="Z7" s="2516">
        <f>SUM(Z9,Z15,Z18,Z19,Z20,Z21,Z25,Z28,Z31,Z35)</f>
        <v>259140</v>
      </c>
      <c r="AA7" s="2516">
        <f>SUM(AA9,AA15,AA18,AA19,AA20,AA21,AA25,AA28,AA31,AA35)</f>
        <v>275700</v>
      </c>
      <c r="AB7" s="2516"/>
      <c r="AC7" s="2516">
        <f>SUM(AC9,AC15,AC18,AC19,AC20,AC21,AC25,AC28,AC31,AC35)</f>
        <v>257750</v>
      </c>
      <c r="AD7" s="2516">
        <f>SUM(AD9,AD15,AD18,AD19,AD20,AD21,AD25,AD28,AD31,AD35)</f>
        <v>284000</v>
      </c>
      <c r="AE7" s="2516"/>
      <c r="AF7" s="2516">
        <f>SUM(AF9,AF15,AF18,AF19,AF20,AF21,AF25,AF28,AF31,AF35)</f>
        <v>269200</v>
      </c>
      <c r="AG7" s="2516">
        <f>SUM(AG9,AG15,AG18,AG19,AG20,AG21,AG25,AG28,AG31,AG35)</f>
        <v>195000</v>
      </c>
      <c r="AH7" s="2516"/>
      <c r="AI7" s="2516">
        <f>SUM(AI9,AI15,AI18,AI19,AI20,AI21,AI25,AI28,AI31,AI35)</f>
        <v>175430</v>
      </c>
      <c r="AJ7" s="2516">
        <f>SUM(AJ9,AJ15,AJ18,AJ19,AJ20,AJ21,AJ25,AJ28,AJ31,AJ35)</f>
        <v>930100</v>
      </c>
      <c r="AK7" s="2516"/>
      <c r="AL7" s="2516">
        <f>SUM(AL9,AL15,AL18,AL19,AL20,AL21,AL25,AL28,AL31,AL35)</f>
        <v>544440</v>
      </c>
      <c r="AM7" s="2516">
        <f>SUM(AM9,AM15,AM18,AM19,AM20,AM21,AM25,AM28,AM31,AM35)</f>
        <v>285000</v>
      </c>
      <c r="AN7" s="2516"/>
      <c r="AO7" s="2516">
        <f>SUM(AO9,AO15,AO18,AO19,AO20,AO21,AO25,AO28,AO31,AO35)</f>
        <v>265510</v>
      </c>
    </row>
    <row r="8" spans="1:41" s="2520" customFormat="1">
      <c r="A8" s="2517"/>
      <c r="B8" s="2518" t="s">
        <v>264</v>
      </c>
      <c r="C8" s="2519">
        <f>C7-C28</f>
        <v>3066300</v>
      </c>
      <c r="D8" s="2519">
        <f t="shared" ref="D8:AO8" si="0">D7-D28</f>
        <v>0</v>
      </c>
      <c r="E8" s="2519">
        <f t="shared" si="0"/>
        <v>2796080</v>
      </c>
      <c r="F8" s="2519">
        <f t="shared" si="0"/>
        <v>89200</v>
      </c>
      <c r="G8" s="2519">
        <f t="shared" si="0"/>
        <v>0</v>
      </c>
      <c r="H8" s="2519">
        <f t="shared" si="0"/>
        <v>67900</v>
      </c>
      <c r="I8" s="2519">
        <f t="shared" si="0"/>
        <v>130350</v>
      </c>
      <c r="J8" s="2519">
        <f t="shared" si="0"/>
        <v>0</v>
      </c>
      <c r="K8" s="2519">
        <f t="shared" si="0"/>
        <v>114130</v>
      </c>
      <c r="L8" s="2519">
        <f t="shared" si="0"/>
        <v>71150</v>
      </c>
      <c r="M8" s="2519">
        <f t="shared" si="0"/>
        <v>0</v>
      </c>
      <c r="N8" s="2519">
        <f t="shared" si="0"/>
        <v>69340</v>
      </c>
      <c r="O8" s="2519">
        <f t="shared" si="0"/>
        <v>95300</v>
      </c>
      <c r="P8" s="2519">
        <f t="shared" si="0"/>
        <v>0</v>
      </c>
      <c r="Q8" s="2519">
        <f t="shared" si="0"/>
        <v>86940</v>
      </c>
      <c r="R8" s="2519">
        <f t="shared" si="0"/>
        <v>190000</v>
      </c>
      <c r="S8" s="2519">
        <f t="shared" si="0"/>
        <v>0</v>
      </c>
      <c r="T8" s="2519">
        <f t="shared" si="0"/>
        <v>178850</v>
      </c>
      <c r="U8" s="2519">
        <f t="shared" si="0"/>
        <v>1140250</v>
      </c>
      <c r="V8" s="2519">
        <f t="shared" si="0"/>
        <v>0</v>
      </c>
      <c r="W8" s="2519">
        <f t="shared" si="0"/>
        <v>1002450</v>
      </c>
      <c r="X8" s="2519">
        <f t="shared" si="0"/>
        <v>220250</v>
      </c>
      <c r="Y8" s="2519">
        <f t="shared" si="0"/>
        <v>0</v>
      </c>
      <c r="Z8" s="2519">
        <f t="shared" si="0"/>
        <v>205140</v>
      </c>
      <c r="AA8" s="2519">
        <f t="shared" si="0"/>
        <v>175700</v>
      </c>
      <c r="AB8" s="2519">
        <f t="shared" si="0"/>
        <v>0</v>
      </c>
      <c r="AC8" s="2519">
        <f t="shared" si="0"/>
        <v>167750</v>
      </c>
      <c r="AD8" s="2519">
        <f t="shared" si="0"/>
        <v>224000</v>
      </c>
      <c r="AE8" s="2519">
        <f t="shared" si="0"/>
        <v>0</v>
      </c>
      <c r="AF8" s="2519">
        <f t="shared" si="0"/>
        <v>215200</v>
      </c>
      <c r="AG8" s="2519">
        <f t="shared" si="0"/>
        <v>125000</v>
      </c>
      <c r="AH8" s="2519">
        <f t="shared" si="0"/>
        <v>0</v>
      </c>
      <c r="AI8" s="2519">
        <f t="shared" si="0"/>
        <v>112430</v>
      </c>
      <c r="AJ8" s="2519">
        <f t="shared" si="0"/>
        <v>420100</v>
      </c>
      <c r="AK8" s="2519">
        <f t="shared" si="0"/>
        <v>0</v>
      </c>
      <c r="AL8" s="2519">
        <f t="shared" si="0"/>
        <v>400440</v>
      </c>
      <c r="AM8" s="2519">
        <f t="shared" si="0"/>
        <v>185000</v>
      </c>
      <c r="AN8" s="2519">
        <f t="shared" si="0"/>
        <v>0</v>
      </c>
      <c r="AO8" s="2519">
        <f t="shared" si="0"/>
        <v>175510</v>
      </c>
    </row>
    <row r="9" spans="1:41" s="2270" customFormat="1">
      <c r="A9" s="1410">
        <v>1</v>
      </c>
      <c r="B9" s="1399" t="s">
        <v>265</v>
      </c>
      <c r="C9" s="2521">
        <f>SUM(F9,L9,O9,R9,U9,X9,AA9,AD9,AG9,AJ9,AM9,I9)</f>
        <v>1701000</v>
      </c>
      <c r="D9" s="2521"/>
      <c r="E9" s="2521">
        <f>SUM(H9,N9,Q9,T9,W9,Z9,AC9,AF9,AI9,AL9,AO9,K9)</f>
        <v>1630080</v>
      </c>
      <c r="F9" s="2521">
        <f>SUM(F10:F14)</f>
        <v>19500</v>
      </c>
      <c r="G9" s="2521"/>
      <c r="H9" s="2521">
        <f>SUM(H10:H14)</f>
        <v>18500</v>
      </c>
      <c r="I9" s="2521">
        <f>SUM(I10:I14)</f>
        <v>54000</v>
      </c>
      <c r="J9" s="2521"/>
      <c r="K9" s="2521">
        <f>SUM(K10:K14)</f>
        <v>51680</v>
      </c>
      <c r="L9" s="2521">
        <f>SUM(L10:L14)</f>
        <v>30000</v>
      </c>
      <c r="M9" s="2521"/>
      <c r="N9" s="2521">
        <f>SUM(N10:N14)</f>
        <v>29900</v>
      </c>
      <c r="O9" s="2521">
        <f>SUM(O10:O14)</f>
        <v>37000</v>
      </c>
      <c r="P9" s="2521"/>
      <c r="Q9" s="2521">
        <f>SUM(Q10:Q14)</f>
        <v>36300</v>
      </c>
      <c r="R9" s="2521">
        <f>SUM(R10:R14)</f>
        <v>104000</v>
      </c>
      <c r="S9" s="2521"/>
      <c r="T9" s="2521">
        <f>SUM(T10:T14)</f>
        <v>103600</v>
      </c>
      <c r="U9" s="2521">
        <f>SUM(U10:U14)</f>
        <v>763000</v>
      </c>
      <c r="V9" s="2521"/>
      <c r="W9" s="2521">
        <f>SUM(W10:W14)</f>
        <v>701200</v>
      </c>
      <c r="X9" s="2521">
        <f>SUM(X10:X14)</f>
        <v>96000</v>
      </c>
      <c r="Y9" s="2521"/>
      <c r="Z9" s="2521">
        <f>SUM(Z10:Z14)</f>
        <v>95390</v>
      </c>
      <c r="AA9" s="2521">
        <f>SUM(AA10:AA14)</f>
        <v>78000</v>
      </c>
      <c r="AB9" s="2521"/>
      <c r="AC9" s="2521">
        <f>SUM(AC10:AC14)</f>
        <v>77550</v>
      </c>
      <c r="AD9" s="2521">
        <f>SUM(AD10:AD14)</f>
        <v>138300</v>
      </c>
      <c r="AE9" s="2521"/>
      <c r="AF9" s="2521">
        <f>SUM(AF10:AF14)</f>
        <v>137600</v>
      </c>
      <c r="AG9" s="2521">
        <f>SUM(AG10:AG14)</f>
        <v>48800</v>
      </c>
      <c r="AH9" s="2521"/>
      <c r="AI9" s="2521">
        <f>SUM(AI10:AI14)</f>
        <v>47200</v>
      </c>
      <c r="AJ9" s="2521">
        <f>SUM(AJ10:AJ14)</f>
        <v>252200</v>
      </c>
      <c r="AK9" s="2521"/>
      <c r="AL9" s="2521">
        <f>SUM(AL10:AL14)</f>
        <v>251200</v>
      </c>
      <c r="AM9" s="2521">
        <f>SUM(AM10:AM14)</f>
        <v>80200</v>
      </c>
      <c r="AN9" s="2521"/>
      <c r="AO9" s="2521">
        <f>SUM(AO10:AO14)</f>
        <v>79960</v>
      </c>
    </row>
    <row r="10" spans="1:41">
      <c r="A10" s="1413" t="s">
        <v>137</v>
      </c>
      <c r="B10" s="16" t="s">
        <v>266</v>
      </c>
      <c r="C10" s="2522">
        <f>SUM(F10,L10,O10,R10,U10,X10,AA10,AD10,AG10,AJ10,AM10,I10)</f>
        <v>724290</v>
      </c>
      <c r="D10" s="2522">
        <f t="shared" ref="D10:D20" si="1">IF(E10=0,"",E10/C10*100)</f>
        <v>100</v>
      </c>
      <c r="E10" s="2522">
        <f t="shared" ref="E10:E20" si="2">SUM(H10,N10,Q10,T10,W10,Z10,AC10,AF10,AI10,AL10,AO10,K10)</f>
        <v>724290</v>
      </c>
      <c r="F10" s="2522">
        <f>'Phụ lục số 5.1 Thu'!U12</f>
        <v>14100</v>
      </c>
      <c r="G10" s="2523">
        <v>100</v>
      </c>
      <c r="H10" s="2522">
        <f t="shared" ref="H10:H34" si="3">F10*G10/100</f>
        <v>14100</v>
      </c>
      <c r="I10" s="2522">
        <f>'Phụ lục số 5.1 Thu'!AG12</f>
        <v>45500</v>
      </c>
      <c r="J10" s="2522">
        <v>100</v>
      </c>
      <c r="K10" s="2522">
        <f t="shared" ref="K10:K20" si="4">I10*J10/100</f>
        <v>45500</v>
      </c>
      <c r="L10" s="2522">
        <f>'Phụ lục số 5.1 Thu'!AS12</f>
        <v>28900</v>
      </c>
      <c r="M10" s="2522">
        <v>100</v>
      </c>
      <c r="N10" s="2522">
        <f t="shared" ref="N10:N20" si="5">L10*M10/100</f>
        <v>28900</v>
      </c>
      <c r="O10" s="2522">
        <f>'Phụ lục số 5.1 Thu'!BE12</f>
        <v>29300</v>
      </c>
      <c r="P10" s="2522">
        <v>100</v>
      </c>
      <c r="Q10" s="2522">
        <f t="shared" ref="Q10:Q20" si="6">O10*P10/100</f>
        <v>29300</v>
      </c>
      <c r="R10" s="2522">
        <f>'Phụ lục số 5.1 Thu'!BQ12</f>
        <v>20100</v>
      </c>
      <c r="S10" s="2522">
        <v>100</v>
      </c>
      <c r="T10" s="2522">
        <f t="shared" ref="T10:T20" si="7">R10*S10/100</f>
        <v>20100</v>
      </c>
      <c r="U10" s="2522">
        <f>'Phụ lục số 5.1 Thu'!CC12</f>
        <v>261600</v>
      </c>
      <c r="V10" s="2522">
        <v>100</v>
      </c>
      <c r="W10" s="2522">
        <f t="shared" ref="W10:W20" si="8">U10*V10/100</f>
        <v>261600</v>
      </c>
      <c r="X10" s="2522">
        <f>'Phụ lục số 5.1 Thu'!CO12</f>
        <v>45390</v>
      </c>
      <c r="Y10" s="2522">
        <v>100</v>
      </c>
      <c r="Z10" s="2522">
        <f t="shared" ref="Z10:Z20" si="9">X10*Y10/100</f>
        <v>45390</v>
      </c>
      <c r="AA10" s="2522">
        <f>'Phụ lục số 5.1 Thu'!DA12</f>
        <v>63900</v>
      </c>
      <c r="AB10" s="2522">
        <v>100</v>
      </c>
      <c r="AC10" s="2522">
        <f t="shared" ref="AC10:AC20" si="10">AA10*AB10/100</f>
        <v>63900</v>
      </c>
      <c r="AD10" s="2522">
        <f>'Phụ lục số 5.1 Thu'!DM12</f>
        <v>38600</v>
      </c>
      <c r="AE10" s="2522">
        <v>100</v>
      </c>
      <c r="AF10" s="2522">
        <f t="shared" ref="AF10:AF20" si="11">AD10*AE10/100</f>
        <v>38600</v>
      </c>
      <c r="AG10" s="2522">
        <f>'Phụ lục số 5.1 Thu'!DY12</f>
        <v>30900</v>
      </c>
      <c r="AH10" s="2522">
        <v>100</v>
      </c>
      <c r="AI10" s="2522">
        <f t="shared" ref="AI10:AI20" si="12">AG10*AH10/100</f>
        <v>30900</v>
      </c>
      <c r="AJ10" s="2522">
        <f>'Phụ lục số 5.1 Thu'!EK12</f>
        <v>100000</v>
      </c>
      <c r="AK10" s="2522">
        <v>100</v>
      </c>
      <c r="AL10" s="2522">
        <f t="shared" ref="AL10:AL20" si="13">AJ10*AK10/100</f>
        <v>100000</v>
      </c>
      <c r="AM10" s="2522">
        <f>'Phụ lục số 5.1 Thu'!EW12</f>
        <v>46000</v>
      </c>
      <c r="AN10" s="2522">
        <v>100</v>
      </c>
      <c r="AO10" s="2522">
        <f t="shared" ref="AO10:AO20" si="14">AM10*AN10/100</f>
        <v>46000</v>
      </c>
    </row>
    <row r="11" spans="1:41">
      <c r="A11" s="1413" t="s">
        <v>137</v>
      </c>
      <c r="B11" s="16" t="s">
        <v>267</v>
      </c>
      <c r="C11" s="2522">
        <f t="shared" ref="C11:C20" si="15">SUM(F11,L11,O11,R11,U11,X11,AA11,AD11,AG11,AJ11,AM11,I11)</f>
        <v>905790</v>
      </c>
      <c r="D11" s="2522">
        <f t="shared" si="1"/>
        <v>100</v>
      </c>
      <c r="E11" s="2522">
        <f t="shared" si="2"/>
        <v>905790</v>
      </c>
      <c r="F11" s="2522">
        <f>'Phụ lục số 5.1 Thu'!U13</f>
        <v>4400</v>
      </c>
      <c r="G11" s="2523">
        <v>100</v>
      </c>
      <c r="H11" s="2522">
        <f t="shared" si="3"/>
        <v>4400</v>
      </c>
      <c r="I11" s="2522">
        <f>'Phụ lục số 5.1 Thu'!AG13</f>
        <v>6180</v>
      </c>
      <c r="J11" s="2522">
        <v>100</v>
      </c>
      <c r="K11" s="2522">
        <f t="shared" si="4"/>
        <v>6180</v>
      </c>
      <c r="L11" s="2522">
        <f>'Phụ lục số 5.1 Thu'!AS13</f>
        <v>1000</v>
      </c>
      <c r="M11" s="2522">
        <v>100</v>
      </c>
      <c r="N11" s="2522">
        <f t="shared" si="5"/>
        <v>1000</v>
      </c>
      <c r="O11" s="2522">
        <f>'Phụ lục số 5.1 Thu'!BE13</f>
        <v>7000</v>
      </c>
      <c r="P11" s="2522">
        <v>100</v>
      </c>
      <c r="Q11" s="2522">
        <f t="shared" si="6"/>
        <v>7000</v>
      </c>
      <c r="R11" s="2522">
        <f>'Phụ lục số 5.1 Thu'!BQ13</f>
        <v>83500</v>
      </c>
      <c r="S11" s="2522">
        <v>100</v>
      </c>
      <c r="T11" s="2522">
        <f t="shared" si="7"/>
        <v>83500</v>
      </c>
      <c r="U11" s="2522">
        <f>'Phụ lục số 5.1 Thu'!CC13</f>
        <v>439600</v>
      </c>
      <c r="V11" s="2522">
        <v>100</v>
      </c>
      <c r="W11" s="2522">
        <f t="shared" si="8"/>
        <v>439600</v>
      </c>
      <c r="X11" s="2522">
        <f>'Phụ lục số 5.1 Thu'!CO13</f>
        <v>50000</v>
      </c>
      <c r="Y11" s="2522">
        <v>100</v>
      </c>
      <c r="Z11" s="2522">
        <f t="shared" si="9"/>
        <v>50000</v>
      </c>
      <c r="AA11" s="2522">
        <f>'Phụ lục số 5.1 Thu'!DA13</f>
        <v>13650</v>
      </c>
      <c r="AB11" s="2522">
        <v>100</v>
      </c>
      <c r="AC11" s="2522">
        <f t="shared" si="10"/>
        <v>13650</v>
      </c>
      <c r="AD11" s="2522">
        <f>'Phụ lục số 5.1 Thu'!DM13</f>
        <v>99000</v>
      </c>
      <c r="AE11" s="2522">
        <v>100</v>
      </c>
      <c r="AF11" s="2522">
        <f t="shared" si="11"/>
        <v>99000</v>
      </c>
      <c r="AG11" s="2522">
        <f>'Phụ lục số 5.1 Thu'!DY13</f>
        <v>16300</v>
      </c>
      <c r="AH11" s="2522">
        <v>100</v>
      </c>
      <c r="AI11" s="2522">
        <f t="shared" si="12"/>
        <v>16300</v>
      </c>
      <c r="AJ11" s="2522">
        <f>'Phụ lục số 5.1 Thu'!EK13</f>
        <v>151200</v>
      </c>
      <c r="AK11" s="2522">
        <v>100</v>
      </c>
      <c r="AL11" s="2522">
        <f t="shared" si="13"/>
        <v>151200</v>
      </c>
      <c r="AM11" s="2522">
        <f>'Phụ lục số 5.1 Thu'!EW13</f>
        <v>33960</v>
      </c>
      <c r="AN11" s="2522">
        <v>100</v>
      </c>
      <c r="AO11" s="2522">
        <f t="shared" si="14"/>
        <v>33960</v>
      </c>
    </row>
    <row r="12" spans="1:41">
      <c r="A12" s="1413" t="s">
        <v>137</v>
      </c>
      <c r="B12" s="16" t="s">
        <v>268</v>
      </c>
      <c r="C12" s="2522">
        <f t="shared" si="15"/>
        <v>63450</v>
      </c>
      <c r="D12" s="2522" t="str">
        <f t="shared" si="1"/>
        <v/>
      </c>
      <c r="E12" s="2522">
        <f t="shared" si="2"/>
        <v>0</v>
      </c>
      <c r="F12" s="2522">
        <f>'Phụ lục số 5.1 Thu'!U14</f>
        <v>0</v>
      </c>
      <c r="G12" s="2523">
        <v>0</v>
      </c>
      <c r="H12" s="2522">
        <f t="shared" si="3"/>
        <v>0</v>
      </c>
      <c r="I12" s="2522">
        <f>'Phụ lục số 5.1 Thu'!AG14</f>
        <v>800</v>
      </c>
      <c r="J12" s="2522">
        <v>0</v>
      </c>
      <c r="K12" s="2522">
        <f t="shared" si="4"/>
        <v>0</v>
      </c>
      <c r="L12" s="2522">
        <f>'Phụ lục số 5.1 Thu'!AS14</f>
        <v>50</v>
      </c>
      <c r="M12" s="2522">
        <v>0</v>
      </c>
      <c r="N12" s="2522">
        <f t="shared" si="5"/>
        <v>0</v>
      </c>
      <c r="O12" s="2522">
        <f>'Phụ lục số 5.1 Thu'!BE14</f>
        <v>200</v>
      </c>
      <c r="P12" s="2522">
        <v>0</v>
      </c>
      <c r="Q12" s="2522">
        <f t="shared" si="6"/>
        <v>0</v>
      </c>
      <c r="R12" s="2522">
        <f>'Phụ lục số 5.1 Thu'!BQ14</f>
        <v>100</v>
      </c>
      <c r="S12" s="2522">
        <v>0</v>
      </c>
      <c r="T12" s="2522">
        <f t="shared" si="7"/>
        <v>0</v>
      </c>
      <c r="U12" s="2522">
        <f>'Phụ lục số 5.1 Thu'!CC14</f>
        <v>61200</v>
      </c>
      <c r="V12" s="2522">
        <v>0</v>
      </c>
      <c r="W12" s="2522">
        <f t="shared" si="8"/>
        <v>0</v>
      </c>
      <c r="X12" s="2522">
        <f>'Phụ lục số 5.1 Thu'!CO14</f>
        <v>100</v>
      </c>
      <c r="Y12" s="2522">
        <v>0</v>
      </c>
      <c r="Z12" s="2522">
        <f t="shared" si="9"/>
        <v>0</v>
      </c>
      <c r="AA12" s="2522">
        <f>'Phụ lục số 5.1 Thu'!DA14</f>
        <v>100</v>
      </c>
      <c r="AB12" s="2522">
        <v>0</v>
      </c>
      <c r="AC12" s="2522">
        <f t="shared" si="10"/>
        <v>0</v>
      </c>
      <c r="AD12" s="2522">
        <f>'Phụ lục số 5.1 Thu'!DM14</f>
        <v>100</v>
      </c>
      <c r="AE12" s="2522">
        <v>0</v>
      </c>
      <c r="AF12" s="2522">
        <f t="shared" si="11"/>
        <v>0</v>
      </c>
      <c r="AG12" s="2522">
        <f>'Phụ lục số 5.1 Thu'!DY14</f>
        <v>200</v>
      </c>
      <c r="AH12" s="2522">
        <v>0</v>
      </c>
      <c r="AI12" s="2522">
        <f t="shared" si="12"/>
        <v>0</v>
      </c>
      <c r="AJ12" s="2522">
        <f>'Phụ lục số 5.1 Thu'!EK14</f>
        <v>500</v>
      </c>
      <c r="AK12" s="2522">
        <v>0</v>
      </c>
      <c r="AL12" s="2522">
        <f t="shared" si="13"/>
        <v>0</v>
      </c>
      <c r="AM12" s="2522">
        <f>'Phụ lục số 5.1 Thu'!EW14</f>
        <v>100</v>
      </c>
      <c r="AN12" s="2522">
        <v>0</v>
      </c>
      <c r="AO12" s="2522">
        <f t="shared" si="14"/>
        <v>0</v>
      </c>
    </row>
    <row r="13" spans="1:41">
      <c r="A13" s="1413" t="s">
        <v>137</v>
      </c>
      <c r="B13" s="16" t="s">
        <v>14</v>
      </c>
      <c r="C13" s="2522">
        <f t="shared" si="15"/>
        <v>5970</v>
      </c>
      <c r="D13" s="2522" t="str">
        <f t="shared" si="1"/>
        <v/>
      </c>
      <c r="E13" s="2522">
        <f t="shared" si="2"/>
        <v>0</v>
      </c>
      <c r="F13" s="2522">
        <f>'Phụ lục số 5.1 Thu'!U15</f>
        <v>1000</v>
      </c>
      <c r="G13" s="2523">
        <v>0</v>
      </c>
      <c r="H13" s="2522">
        <f t="shared" si="3"/>
        <v>0</v>
      </c>
      <c r="I13" s="2522">
        <f>'Phụ lục số 5.1 Thu'!AG15</f>
        <v>20</v>
      </c>
      <c r="J13" s="2522">
        <v>0</v>
      </c>
      <c r="K13" s="2522">
        <f t="shared" si="4"/>
        <v>0</v>
      </c>
      <c r="L13" s="2522">
        <f>'Phụ lục số 5.1 Thu'!AS15</f>
        <v>50</v>
      </c>
      <c r="M13" s="2522">
        <v>0</v>
      </c>
      <c r="N13" s="2522">
        <f t="shared" si="5"/>
        <v>0</v>
      </c>
      <c r="O13" s="2522">
        <f>'Phụ lục số 5.1 Thu'!BE15</f>
        <v>500</v>
      </c>
      <c r="P13" s="2522">
        <v>0</v>
      </c>
      <c r="Q13" s="2522">
        <f t="shared" si="6"/>
        <v>0</v>
      </c>
      <c r="R13" s="2522">
        <f>'Phụ lục số 5.1 Thu'!BQ15</f>
        <v>300</v>
      </c>
      <c r="S13" s="2522">
        <v>0</v>
      </c>
      <c r="T13" s="2522">
        <f t="shared" si="7"/>
        <v>0</v>
      </c>
      <c r="U13" s="2522">
        <f>'Phụ lục số 5.1 Thu'!CC15</f>
        <v>600</v>
      </c>
      <c r="V13" s="2522">
        <v>0</v>
      </c>
      <c r="W13" s="2522">
        <f t="shared" si="8"/>
        <v>0</v>
      </c>
      <c r="X13" s="2522">
        <f>'Phụ lục số 5.1 Thu'!CO15</f>
        <v>510</v>
      </c>
      <c r="Y13" s="2522">
        <v>0</v>
      </c>
      <c r="Z13" s="2522">
        <f t="shared" si="9"/>
        <v>0</v>
      </c>
      <c r="AA13" s="2522">
        <f>'Phụ lục số 5.1 Thu'!DA15</f>
        <v>350</v>
      </c>
      <c r="AB13" s="2522">
        <v>0</v>
      </c>
      <c r="AC13" s="2522">
        <f t="shared" si="10"/>
        <v>0</v>
      </c>
      <c r="AD13" s="2522">
        <f>'Phụ lục số 5.1 Thu'!DM15</f>
        <v>600</v>
      </c>
      <c r="AE13" s="2522">
        <v>0</v>
      </c>
      <c r="AF13" s="2522">
        <f t="shared" si="11"/>
        <v>0</v>
      </c>
      <c r="AG13" s="2522">
        <f>'Phụ lục số 5.1 Thu'!DY15</f>
        <v>1400</v>
      </c>
      <c r="AH13" s="2522">
        <v>0</v>
      </c>
      <c r="AI13" s="2522">
        <f t="shared" si="12"/>
        <v>0</v>
      </c>
      <c r="AJ13" s="2522">
        <f>'Phụ lục số 5.1 Thu'!EK15</f>
        <v>500</v>
      </c>
      <c r="AK13" s="2522">
        <v>0</v>
      </c>
      <c r="AL13" s="2522">
        <f t="shared" si="13"/>
        <v>0</v>
      </c>
      <c r="AM13" s="2522">
        <f>'Phụ lục số 5.1 Thu'!EW15</f>
        <v>140</v>
      </c>
      <c r="AN13" s="2522">
        <v>0</v>
      </c>
      <c r="AO13" s="2522">
        <f t="shared" si="14"/>
        <v>0</v>
      </c>
    </row>
    <row r="14" spans="1:41">
      <c r="A14" s="1413" t="s">
        <v>137</v>
      </c>
      <c r="B14" s="16" t="s">
        <v>269</v>
      </c>
      <c r="C14" s="2522">
        <f t="shared" si="15"/>
        <v>1500</v>
      </c>
      <c r="D14" s="2522"/>
      <c r="E14" s="2522">
        <f t="shared" si="2"/>
        <v>0</v>
      </c>
      <c r="F14" s="2522">
        <f>'Phụ lục số 5.1 Thu'!U16</f>
        <v>0</v>
      </c>
      <c r="G14" s="2523"/>
      <c r="H14" s="2522">
        <f t="shared" si="3"/>
        <v>0</v>
      </c>
      <c r="I14" s="2522">
        <f>'Phụ lục số 5.1 Thu'!AG16</f>
        <v>1500</v>
      </c>
      <c r="J14" s="2522"/>
      <c r="K14" s="2522">
        <f>I14*J14/100</f>
        <v>0</v>
      </c>
      <c r="L14" s="2522">
        <f>'Phụ lục số 5.1 Thu'!AS16</f>
        <v>0</v>
      </c>
      <c r="M14" s="2522"/>
      <c r="N14" s="2522">
        <f t="shared" si="5"/>
        <v>0</v>
      </c>
      <c r="O14" s="2522">
        <f>'Phụ lục số 5.1 Thu'!BE16</f>
        <v>0</v>
      </c>
      <c r="P14" s="2522"/>
      <c r="Q14" s="2522">
        <f t="shared" si="6"/>
        <v>0</v>
      </c>
      <c r="R14" s="2522">
        <f>'Phụ lục số 5.1 Thu'!BQ16</f>
        <v>0</v>
      </c>
      <c r="S14" s="2522"/>
      <c r="T14" s="2522">
        <f t="shared" si="7"/>
        <v>0</v>
      </c>
      <c r="U14" s="2522">
        <f>'Phụ lục số 5.1 Thu'!CC16</f>
        <v>0</v>
      </c>
      <c r="V14" s="2522"/>
      <c r="W14" s="2522">
        <f t="shared" si="8"/>
        <v>0</v>
      </c>
      <c r="X14" s="2522">
        <f>'Phụ lục số 5.1 Thu'!CO16</f>
        <v>0</v>
      </c>
      <c r="Y14" s="2522"/>
      <c r="Z14" s="2522">
        <f t="shared" si="9"/>
        <v>0</v>
      </c>
      <c r="AA14" s="2522">
        <f>'Phụ lục số 5.1 Thu'!DA16</f>
        <v>0</v>
      </c>
      <c r="AB14" s="2522"/>
      <c r="AC14" s="2522">
        <f t="shared" si="10"/>
        <v>0</v>
      </c>
      <c r="AD14" s="2522">
        <f>'Phụ lục số 5.1 Thu'!DM16</f>
        <v>0</v>
      </c>
      <c r="AE14" s="2522"/>
      <c r="AF14" s="2522">
        <f t="shared" si="11"/>
        <v>0</v>
      </c>
      <c r="AG14" s="2522">
        <f>'Phụ lục số 5.1 Thu'!DY16</f>
        <v>0</v>
      </c>
      <c r="AH14" s="2522"/>
      <c r="AI14" s="2522">
        <f t="shared" si="12"/>
        <v>0</v>
      </c>
      <c r="AJ14" s="2522">
        <f>'Phụ lục số 5.1 Thu'!EK16</f>
        <v>0</v>
      </c>
      <c r="AK14" s="2522"/>
      <c r="AL14" s="2522">
        <f t="shared" si="13"/>
        <v>0</v>
      </c>
      <c r="AM14" s="2522">
        <f>'Phụ lục số 5.1 Thu'!EW16</f>
        <v>0</v>
      </c>
      <c r="AN14" s="2522"/>
      <c r="AO14" s="2522">
        <f t="shared" si="14"/>
        <v>0</v>
      </c>
    </row>
    <row r="15" spans="1:41" s="2210" customFormat="1">
      <c r="A15" s="1410">
        <v>2</v>
      </c>
      <c r="B15" s="1399" t="s">
        <v>97</v>
      </c>
      <c r="C15" s="2521">
        <f>SUM(C16:C17)</f>
        <v>322000</v>
      </c>
      <c r="D15" s="2522">
        <f>IF(E15=0,"",E15/C15*100)</f>
        <v>100</v>
      </c>
      <c r="E15" s="2521">
        <f>SUM(E16:E17)</f>
        <v>322000</v>
      </c>
      <c r="F15" s="2521">
        <f>SUM(F16:F17)</f>
        <v>12000</v>
      </c>
      <c r="G15" s="2524">
        <v>100</v>
      </c>
      <c r="H15" s="2521">
        <f>SUM(H16:H17)</f>
        <v>12000</v>
      </c>
      <c r="I15" s="2521">
        <f>SUM(I16:I17)</f>
        <v>20000</v>
      </c>
      <c r="J15" s="2521">
        <v>100</v>
      </c>
      <c r="K15" s="2521">
        <f>SUM(K16:K17)</f>
        <v>20000</v>
      </c>
      <c r="L15" s="2521">
        <f>SUM(L16:L17)</f>
        <v>15000</v>
      </c>
      <c r="M15" s="2521">
        <v>100</v>
      </c>
      <c r="N15" s="2521">
        <f>SUM(N16:N17)</f>
        <v>15000</v>
      </c>
      <c r="O15" s="2521">
        <f>SUM(O16:O17)</f>
        <v>18000</v>
      </c>
      <c r="P15" s="2521">
        <v>100</v>
      </c>
      <c r="Q15" s="2521">
        <f>SUM(Q16:Q17)</f>
        <v>18000</v>
      </c>
      <c r="R15" s="2521">
        <f>SUM(R16:R17)</f>
        <v>17000</v>
      </c>
      <c r="S15" s="2521">
        <v>100</v>
      </c>
      <c r="T15" s="2521">
        <f>SUM(T16:T17)</f>
        <v>17000</v>
      </c>
      <c r="U15" s="2521">
        <f>SUM(U16:U17)</f>
        <v>70000</v>
      </c>
      <c r="V15" s="2521">
        <v>100</v>
      </c>
      <c r="W15" s="2521">
        <f>SUM(W16:W17)</f>
        <v>70000</v>
      </c>
      <c r="X15" s="2521">
        <f>SUM(X16:X17)</f>
        <v>32000</v>
      </c>
      <c r="Y15" s="2521">
        <v>100</v>
      </c>
      <c r="Z15" s="2521">
        <f>SUM(Z16:Z17)</f>
        <v>32000</v>
      </c>
      <c r="AA15" s="2521">
        <f>SUM(AA16:AA17)</f>
        <v>31000</v>
      </c>
      <c r="AB15" s="2521">
        <v>100</v>
      </c>
      <c r="AC15" s="2521">
        <f>SUM(AC16:AC17)</f>
        <v>31000</v>
      </c>
      <c r="AD15" s="2521">
        <f>SUM(AD16:AD17)</f>
        <v>25000</v>
      </c>
      <c r="AE15" s="2521">
        <v>100</v>
      </c>
      <c r="AF15" s="2521">
        <f>SUM(AF16:AF17)</f>
        <v>25000</v>
      </c>
      <c r="AG15" s="2521">
        <f>SUM(AG16:AG17)</f>
        <v>24000</v>
      </c>
      <c r="AH15" s="2521">
        <v>100</v>
      </c>
      <c r="AI15" s="2521">
        <f>SUM(AI16:AI17)</f>
        <v>24000</v>
      </c>
      <c r="AJ15" s="2521">
        <f>SUM(AJ16:AJ17)</f>
        <v>39000</v>
      </c>
      <c r="AK15" s="2521">
        <v>100</v>
      </c>
      <c r="AL15" s="2521">
        <f>SUM(AL16:AL17)</f>
        <v>39000</v>
      </c>
      <c r="AM15" s="2521">
        <f>SUM(AM16:AM17)</f>
        <v>19000</v>
      </c>
      <c r="AN15" s="2521">
        <v>100</v>
      </c>
      <c r="AO15" s="2521">
        <f>SUM(AO16:AO17)</f>
        <v>19000</v>
      </c>
    </row>
    <row r="16" spans="1:41" s="2210" customFormat="1" hidden="1">
      <c r="A16" s="1412" t="s">
        <v>137</v>
      </c>
      <c r="B16" s="137" t="s">
        <v>276</v>
      </c>
      <c r="C16" s="2522">
        <f>SUM(F16,L16,O16,R16,U16,X16,AA16,AD16,AG16,AJ16,AM16,I16)</f>
        <v>0</v>
      </c>
      <c r="D16" s="2522" t="str">
        <f>IF(E16=0,"",E16/C16*100)</f>
        <v/>
      </c>
      <c r="E16" s="2522">
        <f t="shared" si="2"/>
        <v>0</v>
      </c>
      <c r="F16" s="2525">
        <f>'Phụ lục số 5.1 Thu'!U18</f>
        <v>0</v>
      </c>
      <c r="G16" s="2524"/>
      <c r="H16" s="2521"/>
      <c r="I16" s="2522">
        <f>'Phụ lục số 5.1 Thu'!AG18</f>
        <v>0</v>
      </c>
      <c r="J16" s="2521"/>
      <c r="K16" s="2521"/>
      <c r="L16" s="2522">
        <f>'Phụ lục số 5.1 Thu'!AS18</f>
        <v>0</v>
      </c>
      <c r="M16" s="2521"/>
      <c r="N16" s="2521"/>
      <c r="O16" s="2522">
        <f>'Phụ lục số 5.1 Thu'!BE18</f>
        <v>0</v>
      </c>
      <c r="P16" s="2521"/>
      <c r="Q16" s="2521"/>
      <c r="R16" s="2522">
        <f>'Phụ lục số 5.1 Thu'!BQ18</f>
        <v>0</v>
      </c>
      <c r="S16" s="2521"/>
      <c r="T16" s="2521"/>
      <c r="U16" s="2522">
        <f>'Phụ lục số 5.1 Thu'!CC18</f>
        <v>0</v>
      </c>
      <c r="V16" s="2521"/>
      <c r="W16" s="2521"/>
      <c r="X16" s="2522">
        <f>'Phụ lục số 5.1 Thu'!CO18</f>
        <v>0</v>
      </c>
      <c r="Y16" s="2521"/>
      <c r="Z16" s="2521"/>
      <c r="AA16" s="2522">
        <f>'Phụ lục số 5.1 Thu'!DA18</f>
        <v>0</v>
      </c>
      <c r="AB16" s="2521"/>
      <c r="AC16" s="2521"/>
      <c r="AD16" s="2522">
        <f>'Phụ lục số 5.1 Thu'!DM18</f>
        <v>0</v>
      </c>
      <c r="AE16" s="2521"/>
      <c r="AF16" s="2521"/>
      <c r="AG16" s="2522">
        <f>'Phụ lục số 5.1 Thu'!DY18</f>
        <v>0</v>
      </c>
      <c r="AH16" s="2521"/>
      <c r="AI16" s="2521"/>
      <c r="AJ16" s="2522">
        <f>'Phụ lục số 5.1 Thu'!EK18</f>
        <v>0</v>
      </c>
      <c r="AK16" s="2521"/>
      <c r="AL16" s="2521"/>
      <c r="AM16" s="2522">
        <f>'Phụ lục số 5.1 Thu'!EW18</f>
        <v>0</v>
      </c>
      <c r="AN16" s="2521"/>
      <c r="AO16" s="2521"/>
    </row>
    <row r="17" spans="1:41" s="2528" customFormat="1" hidden="1">
      <c r="A17" s="2273" t="s">
        <v>137</v>
      </c>
      <c r="B17" s="2274" t="s">
        <v>277</v>
      </c>
      <c r="C17" s="2522">
        <f>SUM(F17,L17,O17,R17,U17,X17,AA17,AD17,AG17,AJ17,AM17,I17)</f>
        <v>322000</v>
      </c>
      <c r="D17" s="2522">
        <f>IF(E17=0,"",E17/C17*100)</f>
        <v>100</v>
      </c>
      <c r="E17" s="2522">
        <f t="shared" si="2"/>
        <v>322000</v>
      </c>
      <c r="F17" s="2522">
        <f>'Phụ lục số 5.1 Thu'!U19</f>
        <v>12000</v>
      </c>
      <c r="G17" s="2526">
        <v>100</v>
      </c>
      <c r="H17" s="2527">
        <f>F17/G17*100</f>
        <v>12000</v>
      </c>
      <c r="I17" s="2522">
        <f>'Phụ lục số 5.1 Thu'!AG19</f>
        <v>20000</v>
      </c>
      <c r="J17" s="2527">
        <v>100</v>
      </c>
      <c r="K17" s="2527">
        <f>I17/J17*100</f>
        <v>20000</v>
      </c>
      <c r="L17" s="2522">
        <f>'Phụ lục số 5.1 Thu'!AS19</f>
        <v>15000</v>
      </c>
      <c r="M17" s="2527">
        <v>100</v>
      </c>
      <c r="N17" s="2527">
        <f>L17/M17*100</f>
        <v>15000</v>
      </c>
      <c r="O17" s="2522">
        <f>'Phụ lục số 5.1 Thu'!BE19</f>
        <v>18000</v>
      </c>
      <c r="P17" s="2527">
        <v>100</v>
      </c>
      <c r="Q17" s="2527">
        <f>O17/P17*100</f>
        <v>18000</v>
      </c>
      <c r="R17" s="2522">
        <f>'Phụ lục số 5.1 Thu'!BQ19</f>
        <v>17000</v>
      </c>
      <c r="S17" s="2527">
        <v>100</v>
      </c>
      <c r="T17" s="2527">
        <f>R17/S17*100</f>
        <v>17000</v>
      </c>
      <c r="U17" s="2522">
        <f>'Phụ lục số 5.1 Thu'!CC19</f>
        <v>70000</v>
      </c>
      <c r="V17" s="2527">
        <v>100</v>
      </c>
      <c r="W17" s="2527">
        <f>U17/V17*100</f>
        <v>70000</v>
      </c>
      <c r="X17" s="2522">
        <f>'Phụ lục số 5.1 Thu'!CO19</f>
        <v>32000</v>
      </c>
      <c r="Y17" s="2527">
        <v>100</v>
      </c>
      <c r="Z17" s="2527">
        <f>X17/Y17*100</f>
        <v>32000</v>
      </c>
      <c r="AA17" s="2522">
        <f>'Phụ lục số 5.1 Thu'!DA19</f>
        <v>31000</v>
      </c>
      <c r="AB17" s="2527">
        <v>100</v>
      </c>
      <c r="AC17" s="2527">
        <f>AA17/AB17*100</f>
        <v>31000</v>
      </c>
      <c r="AD17" s="2522">
        <f>'Phụ lục số 5.1 Thu'!DM19</f>
        <v>25000</v>
      </c>
      <c r="AE17" s="2527">
        <v>100</v>
      </c>
      <c r="AF17" s="2527">
        <f>AD17/AE17*100</f>
        <v>25000</v>
      </c>
      <c r="AG17" s="2522">
        <f>'Phụ lục số 5.1 Thu'!DY19</f>
        <v>24000</v>
      </c>
      <c r="AH17" s="2527">
        <v>100</v>
      </c>
      <c r="AI17" s="2527">
        <f>AG17/AH17*100</f>
        <v>24000</v>
      </c>
      <c r="AJ17" s="2522">
        <f>'Phụ lục số 5.1 Thu'!EK19</f>
        <v>39000</v>
      </c>
      <c r="AK17" s="2527">
        <v>100</v>
      </c>
      <c r="AL17" s="2527">
        <f>AJ17/AK17*100</f>
        <v>39000</v>
      </c>
      <c r="AM17" s="2522">
        <f>'Phụ lục số 5.1 Thu'!EW19</f>
        <v>19000</v>
      </c>
      <c r="AN17" s="2527">
        <v>100</v>
      </c>
      <c r="AO17" s="2527">
        <f>AM17/AN17*100</f>
        <v>19000</v>
      </c>
    </row>
    <row r="18" spans="1:41" s="2270" customFormat="1">
      <c r="A18" s="1410">
        <v>3</v>
      </c>
      <c r="B18" s="1399" t="s">
        <v>16</v>
      </c>
      <c r="C18" s="2521">
        <f t="shared" si="15"/>
        <v>350000</v>
      </c>
      <c r="D18" s="2522">
        <f t="shared" si="1"/>
        <v>100</v>
      </c>
      <c r="E18" s="2521">
        <f t="shared" si="2"/>
        <v>350000</v>
      </c>
      <c r="F18" s="2521">
        <f>'Phụ lục số 5.1 Thu'!U20</f>
        <v>15000</v>
      </c>
      <c r="G18" s="2524">
        <v>100</v>
      </c>
      <c r="H18" s="2521">
        <f t="shared" si="3"/>
        <v>15000</v>
      </c>
      <c r="I18" s="2521">
        <f>'Phụ lục số 5.1 Thu'!AG20</f>
        <v>24000</v>
      </c>
      <c r="J18" s="2521">
        <v>100</v>
      </c>
      <c r="K18" s="2521">
        <f t="shared" si="4"/>
        <v>24000</v>
      </c>
      <c r="L18" s="2521">
        <f>'Phụ lục số 5.1 Thu'!AS20</f>
        <v>15000</v>
      </c>
      <c r="M18" s="2521">
        <v>100</v>
      </c>
      <c r="N18" s="2521">
        <f t="shared" si="5"/>
        <v>15000</v>
      </c>
      <c r="O18" s="2521">
        <f>'Phụ lục số 5.1 Thu'!BE20</f>
        <v>20000</v>
      </c>
      <c r="P18" s="2521">
        <v>100</v>
      </c>
      <c r="Q18" s="2521">
        <f t="shared" si="6"/>
        <v>20000</v>
      </c>
      <c r="R18" s="2521">
        <f>'Phụ lục số 5.1 Thu'!BQ20</f>
        <v>26000</v>
      </c>
      <c r="S18" s="2521">
        <v>100</v>
      </c>
      <c r="T18" s="2521">
        <f t="shared" si="7"/>
        <v>26000</v>
      </c>
      <c r="U18" s="2521">
        <f>'Phụ lục số 5.1 Thu'!CC20</f>
        <v>72000</v>
      </c>
      <c r="V18" s="2521">
        <v>100</v>
      </c>
      <c r="W18" s="2521">
        <f t="shared" si="8"/>
        <v>72000</v>
      </c>
      <c r="X18" s="2521">
        <f>'Phụ lục số 5.1 Thu'!CO20</f>
        <v>38000</v>
      </c>
      <c r="Y18" s="2521">
        <v>100</v>
      </c>
      <c r="Z18" s="2521">
        <f t="shared" si="9"/>
        <v>38000</v>
      </c>
      <c r="AA18" s="2521">
        <f>'Phụ lục số 5.1 Thu'!DA20</f>
        <v>33000</v>
      </c>
      <c r="AB18" s="2521">
        <v>100</v>
      </c>
      <c r="AC18" s="2521">
        <f t="shared" si="10"/>
        <v>33000</v>
      </c>
      <c r="AD18" s="2521">
        <f>'Phụ lục số 5.1 Thu'!DM20</f>
        <v>25000</v>
      </c>
      <c r="AE18" s="2521">
        <v>100</v>
      </c>
      <c r="AF18" s="2521">
        <f t="shared" si="11"/>
        <v>25000</v>
      </c>
      <c r="AG18" s="2521">
        <f>'Phụ lục số 5.1 Thu'!DY20</f>
        <v>24000</v>
      </c>
      <c r="AH18" s="2521">
        <v>100</v>
      </c>
      <c r="AI18" s="2521">
        <f t="shared" si="12"/>
        <v>24000</v>
      </c>
      <c r="AJ18" s="2521">
        <f>'Phụ lục số 5.1 Thu'!EK20</f>
        <v>33000</v>
      </c>
      <c r="AK18" s="2521">
        <v>100</v>
      </c>
      <c r="AL18" s="2521">
        <f t="shared" si="13"/>
        <v>33000</v>
      </c>
      <c r="AM18" s="2521">
        <f>'Phụ lục số 5.1 Thu'!EW20</f>
        <v>25000</v>
      </c>
      <c r="AN18" s="2521">
        <v>100</v>
      </c>
      <c r="AO18" s="2521">
        <f t="shared" si="14"/>
        <v>25000</v>
      </c>
    </row>
    <row r="19" spans="1:41" s="2270" customFormat="1">
      <c r="A19" s="1410">
        <v>4</v>
      </c>
      <c r="B19" s="1399" t="s">
        <v>270</v>
      </c>
      <c r="C19" s="2521">
        <f t="shared" si="15"/>
        <v>0</v>
      </c>
      <c r="D19" s="2522" t="str">
        <f t="shared" si="1"/>
        <v/>
      </c>
      <c r="E19" s="2521">
        <f t="shared" si="2"/>
        <v>0</v>
      </c>
      <c r="F19" s="2521">
        <f>'Phụ lục số 5.1 Thu'!U21</f>
        <v>0</v>
      </c>
      <c r="G19" s="2524">
        <v>100</v>
      </c>
      <c r="H19" s="2521">
        <f t="shared" si="3"/>
        <v>0</v>
      </c>
      <c r="I19" s="2521">
        <f>'Phụ lục số 5.1 Thu'!AG21</f>
        <v>0</v>
      </c>
      <c r="J19" s="2521">
        <v>100</v>
      </c>
      <c r="K19" s="2521">
        <f t="shared" si="4"/>
        <v>0</v>
      </c>
      <c r="L19" s="2521">
        <f>'Phụ lục số 5.1 Thu'!AS21</f>
        <v>0</v>
      </c>
      <c r="M19" s="2521">
        <v>100</v>
      </c>
      <c r="N19" s="2521">
        <f t="shared" si="5"/>
        <v>0</v>
      </c>
      <c r="O19" s="2521">
        <f>'Phụ lục số 5.1 Thu'!BE21</f>
        <v>0</v>
      </c>
      <c r="P19" s="2521">
        <v>100</v>
      </c>
      <c r="Q19" s="2521">
        <f t="shared" si="6"/>
        <v>0</v>
      </c>
      <c r="R19" s="2521">
        <f>'Phụ lục số 5.1 Thu'!BQ21</f>
        <v>0</v>
      </c>
      <c r="S19" s="2521">
        <v>100</v>
      </c>
      <c r="T19" s="2521">
        <f t="shared" si="7"/>
        <v>0</v>
      </c>
      <c r="U19" s="2521">
        <f>'Phụ lục số 5.1 Thu'!CC21</f>
        <v>0</v>
      </c>
      <c r="V19" s="2521">
        <v>100</v>
      </c>
      <c r="W19" s="2521">
        <f t="shared" si="8"/>
        <v>0</v>
      </c>
      <c r="X19" s="2521">
        <f>'Phụ lục số 5.1 Thu'!CO21</f>
        <v>0</v>
      </c>
      <c r="Y19" s="2521">
        <v>100</v>
      </c>
      <c r="Z19" s="2521">
        <f t="shared" si="9"/>
        <v>0</v>
      </c>
      <c r="AA19" s="2521">
        <f>'Phụ lục số 5.1 Thu'!DA21</f>
        <v>0</v>
      </c>
      <c r="AB19" s="2521">
        <v>100</v>
      </c>
      <c r="AC19" s="2521">
        <f t="shared" si="10"/>
        <v>0</v>
      </c>
      <c r="AD19" s="2521">
        <f>'Phụ lục số 5.1 Thu'!DM21</f>
        <v>0</v>
      </c>
      <c r="AE19" s="2521">
        <v>100</v>
      </c>
      <c r="AF19" s="2521">
        <f t="shared" si="11"/>
        <v>0</v>
      </c>
      <c r="AG19" s="2521">
        <f>'Phụ lục số 5.1 Thu'!DY21</f>
        <v>0</v>
      </c>
      <c r="AH19" s="2521">
        <v>100</v>
      </c>
      <c r="AI19" s="2521">
        <f t="shared" si="12"/>
        <v>0</v>
      </c>
      <c r="AJ19" s="2521">
        <f>'Phụ lục số 5.1 Thu'!EK21</f>
        <v>0</v>
      </c>
      <c r="AK19" s="2521">
        <v>100</v>
      </c>
      <c r="AL19" s="2521">
        <f t="shared" si="13"/>
        <v>0</v>
      </c>
      <c r="AM19" s="2521">
        <f>'Phụ lục số 5.1 Thu'!EW21</f>
        <v>0</v>
      </c>
      <c r="AN19" s="2521">
        <v>100</v>
      </c>
      <c r="AO19" s="2521">
        <f t="shared" si="14"/>
        <v>0</v>
      </c>
    </row>
    <row r="20" spans="1:41" s="2270" customFormat="1">
      <c r="A20" s="1410">
        <v>4</v>
      </c>
      <c r="B20" s="1399" t="s">
        <v>271</v>
      </c>
      <c r="C20" s="2521">
        <f t="shared" si="15"/>
        <v>15000</v>
      </c>
      <c r="D20" s="2522">
        <f t="shared" si="1"/>
        <v>100</v>
      </c>
      <c r="E20" s="2521">
        <f t="shared" si="2"/>
        <v>15000</v>
      </c>
      <c r="F20" s="2521">
        <f>'Phụ lục số 5.1 Thu'!U22</f>
        <v>0</v>
      </c>
      <c r="G20" s="2524">
        <v>100</v>
      </c>
      <c r="H20" s="2521">
        <f t="shared" si="3"/>
        <v>0</v>
      </c>
      <c r="I20" s="2521">
        <f>'Phụ lục số 5.1 Thu'!AG22</f>
        <v>250</v>
      </c>
      <c r="J20" s="2521">
        <v>100</v>
      </c>
      <c r="K20" s="2521">
        <f t="shared" si="4"/>
        <v>250</v>
      </c>
      <c r="L20" s="2521">
        <f>'Phụ lục số 5.1 Thu'!AS22</f>
        <v>250</v>
      </c>
      <c r="M20" s="2521">
        <v>100</v>
      </c>
      <c r="N20" s="2521">
        <f t="shared" si="5"/>
        <v>250</v>
      </c>
      <c r="O20" s="2521">
        <f>'Phụ lục số 5.1 Thu'!BE22</f>
        <v>200</v>
      </c>
      <c r="P20" s="2521">
        <v>100</v>
      </c>
      <c r="Q20" s="2521">
        <f t="shared" si="6"/>
        <v>200</v>
      </c>
      <c r="R20" s="2521">
        <f>'Phụ lục số 5.1 Thu'!BQ22</f>
        <v>1000</v>
      </c>
      <c r="S20" s="2521">
        <v>100</v>
      </c>
      <c r="T20" s="2521">
        <f t="shared" si="7"/>
        <v>1000</v>
      </c>
      <c r="U20" s="2521">
        <f>'Phụ lục số 5.1 Thu'!CC22</f>
        <v>4150</v>
      </c>
      <c r="V20" s="2521">
        <v>100</v>
      </c>
      <c r="W20" s="2521">
        <f t="shared" si="8"/>
        <v>4150</v>
      </c>
      <c r="X20" s="2521">
        <f>'Phụ lục số 5.1 Thu'!CO22</f>
        <v>2000</v>
      </c>
      <c r="Y20" s="2521">
        <v>100</v>
      </c>
      <c r="Z20" s="2521">
        <f t="shared" si="9"/>
        <v>2000</v>
      </c>
      <c r="AA20" s="2521">
        <f>'Phụ lục số 5.1 Thu'!DA22</f>
        <v>1900</v>
      </c>
      <c r="AB20" s="2521">
        <v>100</v>
      </c>
      <c r="AC20" s="2521">
        <f t="shared" si="10"/>
        <v>1900</v>
      </c>
      <c r="AD20" s="2521">
        <f>'Phụ lục số 5.1 Thu'!DM22</f>
        <v>700</v>
      </c>
      <c r="AE20" s="2521">
        <v>100</v>
      </c>
      <c r="AF20" s="2521">
        <f t="shared" si="11"/>
        <v>700</v>
      </c>
      <c r="AG20" s="2521">
        <f>'Phụ lục số 5.1 Thu'!DY22</f>
        <v>1000</v>
      </c>
      <c r="AH20" s="2521">
        <v>100</v>
      </c>
      <c r="AI20" s="2521">
        <f t="shared" si="12"/>
        <v>1000</v>
      </c>
      <c r="AJ20" s="2521">
        <f>'Phụ lục số 5.1 Thu'!EK22</f>
        <v>2800</v>
      </c>
      <c r="AK20" s="2521">
        <v>100</v>
      </c>
      <c r="AL20" s="2521">
        <f t="shared" si="13"/>
        <v>2800</v>
      </c>
      <c r="AM20" s="2521">
        <f>'Phụ lục số 5.1 Thu'!EW22</f>
        <v>750</v>
      </c>
      <c r="AN20" s="2521">
        <v>100</v>
      </c>
      <c r="AO20" s="2521">
        <f t="shared" si="14"/>
        <v>750</v>
      </c>
    </row>
    <row r="21" spans="1:41" s="2270" customFormat="1">
      <c r="A21" s="1410">
        <v>5</v>
      </c>
      <c r="B21" s="1399" t="s">
        <v>272</v>
      </c>
      <c r="C21" s="2521">
        <f>SUM(C22:C24)</f>
        <v>99300</v>
      </c>
      <c r="D21" s="2521"/>
      <c r="E21" s="2521">
        <f>SUM(E22:E24)</f>
        <v>62400</v>
      </c>
      <c r="F21" s="2521">
        <f>SUM(F22:F24)</f>
        <v>4500</v>
      </c>
      <c r="G21" s="2524"/>
      <c r="H21" s="2521">
        <f>SUM(H22:H24)</f>
        <v>2000</v>
      </c>
      <c r="I21" s="2521">
        <f>SUM(I22:I24)</f>
        <v>6000</v>
      </c>
      <c r="J21" s="2521"/>
      <c r="K21" s="2521">
        <f>SUM(K22:K24)</f>
        <v>3000</v>
      </c>
      <c r="L21" s="2521">
        <f>SUM(L22:L24)</f>
        <v>3300</v>
      </c>
      <c r="M21" s="2521"/>
      <c r="N21" s="2521">
        <f>SUM(N22:N24)</f>
        <v>1650</v>
      </c>
      <c r="O21" s="2521">
        <f>SUM(O22:O24)</f>
        <v>4500</v>
      </c>
      <c r="P21" s="2521"/>
      <c r="Q21" s="2521">
        <f>SUM(Q22:Q24)</f>
        <v>2500</v>
      </c>
      <c r="R21" s="2521">
        <f>SUM(R22:R24)</f>
        <v>7000</v>
      </c>
      <c r="S21" s="2521"/>
      <c r="T21" s="2521">
        <f>SUM(T22:T24)</f>
        <v>3750</v>
      </c>
      <c r="U21" s="2521">
        <f>SUM(U22:U24)</f>
        <v>16000</v>
      </c>
      <c r="V21" s="2521"/>
      <c r="W21" s="2521">
        <f>SUM(W22:W24)</f>
        <v>12000</v>
      </c>
      <c r="X21" s="2521">
        <f>SUM(X22:X24)</f>
        <v>11000</v>
      </c>
      <c r="Y21" s="2521"/>
      <c r="Z21" s="2521">
        <f>SUM(Z22:Z24)</f>
        <v>8000</v>
      </c>
      <c r="AA21" s="2521">
        <f>SUM(AA22:AA24)</f>
        <v>9000</v>
      </c>
      <c r="AB21" s="2521"/>
      <c r="AC21" s="2521">
        <f>SUM(AC22:AC24)</f>
        <v>6500</v>
      </c>
      <c r="AD21" s="2521">
        <f>SUM(AD22:AD24)</f>
        <v>11000</v>
      </c>
      <c r="AE21" s="2521"/>
      <c r="AF21" s="2521">
        <f>SUM(AF22:AF24)</f>
        <v>7500</v>
      </c>
      <c r="AG21" s="2521">
        <f>SUM(AG22:AG24)</f>
        <v>7000</v>
      </c>
      <c r="AH21" s="2521"/>
      <c r="AI21" s="2521">
        <f>SUM(AI22:AI24)</f>
        <v>4250</v>
      </c>
      <c r="AJ21" s="2521">
        <f>SUM(AJ22:AJ24)</f>
        <v>13000</v>
      </c>
      <c r="AK21" s="2521"/>
      <c r="AL21" s="2521">
        <f>SUM(AL22:AL24)</f>
        <v>7000</v>
      </c>
      <c r="AM21" s="2521">
        <f>SUM(AM22:AM24)</f>
        <v>7000</v>
      </c>
      <c r="AN21" s="2521"/>
      <c r="AO21" s="2521">
        <f>SUM(AO22:AO24)</f>
        <v>4250</v>
      </c>
    </row>
    <row r="22" spans="1:41">
      <c r="A22" s="2277" t="s">
        <v>137</v>
      </c>
      <c r="B22" s="137" t="s">
        <v>273</v>
      </c>
      <c r="C22" s="2522">
        <f>SUM(F22,L22,O22,R22,U22,X22,AA22,AD22,AG22,AJ22,AM22,I22)</f>
        <v>34000</v>
      </c>
      <c r="D22" s="2522"/>
      <c r="E22" s="2522">
        <f>SUM(H22,N22,Q22,T22,W22,Z22,AC22,AF22,AI22,AL22,AO22,K22)</f>
        <v>0</v>
      </c>
      <c r="F22" s="2522">
        <f>'Phụ lục số 5.1 Thu'!U24</f>
        <v>2000</v>
      </c>
      <c r="G22" s="2523">
        <v>0</v>
      </c>
      <c r="H22" s="2522">
        <f t="shared" si="3"/>
        <v>0</v>
      </c>
      <c r="I22" s="2522">
        <f>'Phụ lục số 5.1 Thu'!AG24</f>
        <v>3000</v>
      </c>
      <c r="J22" s="2522">
        <v>0</v>
      </c>
      <c r="K22" s="2522">
        <f>I22*J22/100</f>
        <v>0</v>
      </c>
      <c r="L22" s="2522">
        <f>'Phụ lục số 5.1 Thu'!AS24</f>
        <v>1500</v>
      </c>
      <c r="M22" s="2522">
        <v>0</v>
      </c>
      <c r="N22" s="2522">
        <f>L22*M22/100</f>
        <v>0</v>
      </c>
      <c r="O22" s="2522">
        <f>'Phụ lục số 5.1 Thu'!BE24</f>
        <v>2000</v>
      </c>
      <c r="P22" s="2522">
        <v>0</v>
      </c>
      <c r="Q22" s="2522">
        <f>O22*P22/100</f>
        <v>0</v>
      </c>
      <c r="R22" s="2522">
        <f>'Phụ lục số 5.1 Thu'!BQ24</f>
        <v>3000</v>
      </c>
      <c r="S22" s="2522">
        <v>0</v>
      </c>
      <c r="T22" s="2522">
        <f>R22*S22/100</f>
        <v>0</v>
      </c>
      <c r="U22" s="2522">
        <f>'Phụ lục số 5.1 Thu'!CC24</f>
        <v>4000</v>
      </c>
      <c r="V22" s="2522">
        <v>0</v>
      </c>
      <c r="W22" s="2522">
        <f>U22*V22/100</f>
        <v>0</v>
      </c>
      <c r="X22" s="2522">
        <f>'Phụ lục số 5.1 Thu'!CO24</f>
        <v>3000</v>
      </c>
      <c r="Y22" s="2522">
        <v>0</v>
      </c>
      <c r="Z22" s="2522">
        <f>X22*Y22/100</f>
        <v>0</v>
      </c>
      <c r="AA22" s="2522">
        <f>'Phụ lục số 5.1 Thu'!DA24</f>
        <v>2500</v>
      </c>
      <c r="AB22" s="2522">
        <v>0</v>
      </c>
      <c r="AC22" s="2522">
        <f>AA22*AB22/100</f>
        <v>0</v>
      </c>
      <c r="AD22" s="2522">
        <f>'Phụ lục số 5.1 Thu'!DM24</f>
        <v>3500</v>
      </c>
      <c r="AE22" s="2522">
        <v>0</v>
      </c>
      <c r="AF22" s="2522">
        <f>AD22*AE22/100</f>
        <v>0</v>
      </c>
      <c r="AG22" s="2522">
        <f>'Phụ lục số 5.1 Thu'!DY24</f>
        <v>2500</v>
      </c>
      <c r="AH22" s="2522">
        <v>0</v>
      </c>
      <c r="AI22" s="2522">
        <f>AG22*AH22/100</f>
        <v>0</v>
      </c>
      <c r="AJ22" s="2522">
        <f>'Phụ lục số 5.1 Thu'!EK24</f>
        <v>4500</v>
      </c>
      <c r="AK22" s="2522">
        <v>0</v>
      </c>
      <c r="AL22" s="2522">
        <f>AJ22*AK22/100</f>
        <v>0</v>
      </c>
      <c r="AM22" s="2522">
        <f>'Phụ lục số 5.1 Thu'!EW24</f>
        <v>2500</v>
      </c>
      <c r="AN22" s="2522">
        <v>0</v>
      </c>
      <c r="AO22" s="2522">
        <f>AM22*AN22/100</f>
        <v>0</v>
      </c>
    </row>
    <row r="23" spans="1:41">
      <c r="A23" s="2277" t="s">
        <v>137</v>
      </c>
      <c r="B23" s="137" t="s">
        <v>274</v>
      </c>
      <c r="C23" s="2522">
        <f>SUM(F23,L23,O23,R23,U23,X23,AA23,AD23,AG23,AJ23,AM23,I23)</f>
        <v>2900</v>
      </c>
      <c r="D23" s="2522"/>
      <c r="E23" s="2522">
        <f>SUM(H23,N23,Q23,T23,W23,Z23,AC23,AF23,AI23,AL23,AO23,K23)</f>
        <v>0</v>
      </c>
      <c r="F23" s="2522">
        <f>'Phụ lục số 5.1 Thu'!U25</f>
        <v>500</v>
      </c>
      <c r="G23" s="2523">
        <v>0</v>
      </c>
      <c r="H23" s="2522">
        <f t="shared" si="3"/>
        <v>0</v>
      </c>
      <c r="I23" s="2522">
        <f>'Phụ lục số 5.1 Thu'!AG25</f>
        <v>0</v>
      </c>
      <c r="J23" s="2522">
        <v>0</v>
      </c>
      <c r="K23" s="2522">
        <f>I23*J23/100</f>
        <v>0</v>
      </c>
      <c r="L23" s="2522">
        <f>'Phụ lục số 5.1 Thu'!AS25</f>
        <v>150</v>
      </c>
      <c r="M23" s="2522">
        <v>0</v>
      </c>
      <c r="N23" s="2522">
        <f>L23*M23/100</f>
        <v>0</v>
      </c>
      <c r="O23" s="2522">
        <f>'Phụ lục số 5.1 Thu'!BE25</f>
        <v>0</v>
      </c>
      <c r="P23" s="2522">
        <v>0</v>
      </c>
      <c r="Q23" s="2522">
        <f>O23*P23/100</f>
        <v>0</v>
      </c>
      <c r="R23" s="2522">
        <f>'Phụ lục số 5.1 Thu'!BQ25</f>
        <v>250</v>
      </c>
      <c r="S23" s="2522">
        <v>0</v>
      </c>
      <c r="T23" s="2522">
        <f>R23*S23/100</f>
        <v>0</v>
      </c>
      <c r="U23" s="2522">
        <f>'Phụ lục số 5.1 Thu'!CC25</f>
        <v>0</v>
      </c>
      <c r="V23" s="2522">
        <v>0</v>
      </c>
      <c r="W23" s="2522">
        <f>U23*V23/100</f>
        <v>0</v>
      </c>
      <c r="X23" s="2522">
        <f>'Phụ lục số 5.1 Thu'!CO25</f>
        <v>0</v>
      </c>
      <c r="Y23" s="2522">
        <v>0</v>
      </c>
      <c r="Z23" s="2522">
        <f>X23*Y23/100</f>
        <v>0</v>
      </c>
      <c r="AA23" s="2522">
        <f>'Phụ lục số 5.1 Thu'!DA25</f>
        <v>0</v>
      </c>
      <c r="AB23" s="2522">
        <v>0</v>
      </c>
      <c r="AC23" s="2522">
        <f>AA23*AB23/100</f>
        <v>0</v>
      </c>
      <c r="AD23" s="2522">
        <f>'Phụ lục số 5.1 Thu'!DM25</f>
        <v>0</v>
      </c>
      <c r="AE23" s="2522">
        <v>0</v>
      </c>
      <c r="AF23" s="2522">
        <f>AD23*AE23/100</f>
        <v>0</v>
      </c>
      <c r="AG23" s="2522">
        <f>'Phụ lục số 5.1 Thu'!DY25</f>
        <v>250</v>
      </c>
      <c r="AH23" s="2522">
        <v>0</v>
      </c>
      <c r="AI23" s="2522">
        <f>AG23*AH23/100</f>
        <v>0</v>
      </c>
      <c r="AJ23" s="2522">
        <f>'Phụ lục số 5.1 Thu'!EK25</f>
        <v>1500</v>
      </c>
      <c r="AK23" s="2522">
        <v>0</v>
      </c>
      <c r="AL23" s="2522">
        <f>AJ23*AK23/100</f>
        <v>0</v>
      </c>
      <c r="AM23" s="2522">
        <f>'Phụ lục số 5.1 Thu'!EW25</f>
        <v>250</v>
      </c>
      <c r="AN23" s="2522">
        <v>0</v>
      </c>
      <c r="AO23" s="2522">
        <f>AM23*AN23/100</f>
        <v>0</v>
      </c>
    </row>
    <row r="24" spans="1:41">
      <c r="A24" s="2277" t="s">
        <v>137</v>
      </c>
      <c r="B24" s="137" t="s">
        <v>275</v>
      </c>
      <c r="C24" s="2522">
        <f>SUM(F24,L24,O24,R24,U24,X24,AA24,AD24,AG24,AJ24,AM24,I24)</f>
        <v>62400</v>
      </c>
      <c r="D24" s="2522"/>
      <c r="E24" s="2522">
        <f>SUM(H24,N24,Q24,T24,W24,Z24,AC24,AF24,AI24,AL24,AO24,K24)</f>
        <v>62400</v>
      </c>
      <c r="F24" s="2522">
        <f>'Phụ lục số 5.1 Thu'!U26</f>
        <v>2000</v>
      </c>
      <c r="G24" s="2523">
        <v>100</v>
      </c>
      <c r="H24" s="2522">
        <f>F24*G24/100</f>
        <v>2000</v>
      </c>
      <c r="I24" s="2522">
        <f>'Phụ lục số 5.1 Thu'!AG26</f>
        <v>3000</v>
      </c>
      <c r="J24" s="2522">
        <v>100</v>
      </c>
      <c r="K24" s="2522">
        <f>I24*J24/100</f>
        <v>3000</v>
      </c>
      <c r="L24" s="2522">
        <f>'Phụ lục số 5.1 Thu'!AS26</f>
        <v>1650</v>
      </c>
      <c r="M24" s="2522">
        <v>100</v>
      </c>
      <c r="N24" s="2522">
        <f>L24*M24/100</f>
        <v>1650</v>
      </c>
      <c r="O24" s="2522">
        <f>'Phụ lục số 5.1 Thu'!BE26</f>
        <v>2500</v>
      </c>
      <c r="P24" s="2522">
        <v>100</v>
      </c>
      <c r="Q24" s="2522">
        <f>O24*P24/100</f>
        <v>2500</v>
      </c>
      <c r="R24" s="2522">
        <f>'Phụ lục số 5.1 Thu'!BQ26</f>
        <v>3750</v>
      </c>
      <c r="S24" s="2522">
        <v>100</v>
      </c>
      <c r="T24" s="2522">
        <f>R24*S24/100</f>
        <v>3750</v>
      </c>
      <c r="U24" s="2522">
        <f>'Phụ lục số 5.1 Thu'!CC26</f>
        <v>12000</v>
      </c>
      <c r="V24" s="2522">
        <v>100</v>
      </c>
      <c r="W24" s="2522">
        <f>U24*V24/100</f>
        <v>12000</v>
      </c>
      <c r="X24" s="2522">
        <f>'Phụ lục số 5.1 Thu'!CO26</f>
        <v>8000</v>
      </c>
      <c r="Y24" s="2522">
        <v>100</v>
      </c>
      <c r="Z24" s="2522">
        <f>X24*Y24/100</f>
        <v>8000</v>
      </c>
      <c r="AA24" s="2522">
        <f>'Phụ lục số 5.1 Thu'!DA26</f>
        <v>6500</v>
      </c>
      <c r="AB24" s="2522">
        <v>100</v>
      </c>
      <c r="AC24" s="2522">
        <f>AA24*AB24/100</f>
        <v>6500</v>
      </c>
      <c r="AD24" s="2522">
        <f>'Phụ lục số 5.1 Thu'!DM26</f>
        <v>7500</v>
      </c>
      <c r="AE24" s="2522">
        <v>100</v>
      </c>
      <c r="AF24" s="2522">
        <f>AD24*AE24/100</f>
        <v>7500</v>
      </c>
      <c r="AG24" s="2522">
        <f>'Phụ lục số 5.1 Thu'!DY26</f>
        <v>4250</v>
      </c>
      <c r="AH24" s="2522">
        <v>100</v>
      </c>
      <c r="AI24" s="2522">
        <f>AG24*AH24/100</f>
        <v>4250</v>
      </c>
      <c r="AJ24" s="2522">
        <f>'Phụ lục số 5.1 Thu'!EK26</f>
        <v>7000</v>
      </c>
      <c r="AK24" s="2522">
        <v>100</v>
      </c>
      <c r="AL24" s="2522">
        <f>AJ24*AK24/100</f>
        <v>7000</v>
      </c>
      <c r="AM24" s="2522">
        <f>'Phụ lục số 5.1 Thu'!EW26</f>
        <v>4250</v>
      </c>
      <c r="AN24" s="2522">
        <v>100</v>
      </c>
      <c r="AO24" s="2522">
        <f>AM24*AN24/100</f>
        <v>4250</v>
      </c>
    </row>
    <row r="25" spans="1:41" s="2270" customFormat="1">
      <c r="A25" s="1410">
        <v>6</v>
      </c>
      <c r="B25" s="1399" t="s">
        <v>98</v>
      </c>
      <c r="C25" s="2521">
        <f>SUM(C26:C27)</f>
        <v>315000</v>
      </c>
      <c r="D25" s="2521"/>
      <c r="E25" s="2521">
        <f>SUM(E26:E27)</f>
        <v>269100</v>
      </c>
      <c r="F25" s="2521">
        <f>SUM(F26:F27)</f>
        <v>24000</v>
      </c>
      <c r="G25" s="2524"/>
      <c r="H25" s="2521">
        <f>SUM(H26:H27)</f>
        <v>7200</v>
      </c>
      <c r="I25" s="2521">
        <f>SUM(I26:I27)</f>
        <v>9000</v>
      </c>
      <c r="J25" s="2521"/>
      <c r="K25" s="2521">
        <f>SUM(K26:K27)</f>
        <v>8100</v>
      </c>
      <c r="L25" s="2521">
        <f>SUM(L26:L27)</f>
        <v>600</v>
      </c>
      <c r="M25" s="2521"/>
      <c r="N25" s="2521">
        <f>SUM(N26:N27)</f>
        <v>540</v>
      </c>
      <c r="O25" s="2521">
        <f>SUM(O26:O27)</f>
        <v>1600</v>
      </c>
      <c r="P25" s="2521"/>
      <c r="Q25" s="2521">
        <f>SUM(Q26:Q27)</f>
        <v>1440</v>
      </c>
      <c r="R25" s="2521">
        <f>SUM(R26:R27)</f>
        <v>10000</v>
      </c>
      <c r="S25" s="2521"/>
      <c r="T25" s="2521">
        <f>SUM(T26:T27)</f>
        <v>9000</v>
      </c>
      <c r="U25" s="2521">
        <f>SUM(U26:U27)</f>
        <v>135000</v>
      </c>
      <c r="V25" s="2521"/>
      <c r="W25" s="2521">
        <f>SUM(W26:W27)</f>
        <v>121500</v>
      </c>
      <c r="X25" s="2521">
        <f>SUM(X26:X27)</f>
        <v>15000</v>
      </c>
      <c r="Y25" s="2521"/>
      <c r="Z25" s="2521">
        <f>SUM(Z26:Z27)</f>
        <v>13500</v>
      </c>
      <c r="AA25" s="2521">
        <f>SUM(AA26:AA27)</f>
        <v>10000</v>
      </c>
      <c r="AB25" s="2521"/>
      <c r="AC25" s="2521">
        <f>SUM(AC26:AC27)</f>
        <v>9000</v>
      </c>
      <c r="AD25" s="2521">
        <f>SUM(AD26:AD27)</f>
        <v>6000</v>
      </c>
      <c r="AE25" s="2521"/>
      <c r="AF25" s="2521">
        <f>SUM(AF26:AF27)</f>
        <v>5400</v>
      </c>
      <c r="AG25" s="2521">
        <f>SUM(AG26:AG27)</f>
        <v>2200</v>
      </c>
      <c r="AH25" s="2521"/>
      <c r="AI25" s="2521">
        <f>SUM(AI26:AI27)</f>
        <v>1980</v>
      </c>
      <c r="AJ25" s="2521">
        <f>SUM(AJ26:AJ27)</f>
        <v>61600</v>
      </c>
      <c r="AK25" s="2521"/>
      <c r="AL25" s="2521">
        <f>SUM(AL26:AL27)</f>
        <v>55440</v>
      </c>
      <c r="AM25" s="2521">
        <f>SUM(AM26:AM27)</f>
        <v>40000</v>
      </c>
      <c r="AN25" s="2521"/>
      <c r="AO25" s="2521">
        <f>SUM(AO26:AO27)</f>
        <v>36000</v>
      </c>
    </row>
    <row r="26" spans="1:41">
      <c r="A26" s="2277" t="s">
        <v>137</v>
      </c>
      <c r="B26" s="137" t="s">
        <v>276</v>
      </c>
      <c r="C26" s="2522">
        <f>SUM(F26,L26,O26,R26,U26,X26,AA26,AD26,AG26,AJ26,AM26,I26)</f>
        <v>16000</v>
      </c>
      <c r="D26" s="2522" t="str">
        <f>IF(E26=0,"",E26/C26*100)</f>
        <v/>
      </c>
      <c r="E26" s="2522">
        <f>SUM(H26,N26,Q26,T26,W26,Z26,AC26,AF26,AI26,AL26,AO26,K26)</f>
        <v>0</v>
      </c>
      <c r="F26" s="2522">
        <f>'Phụ lục số 5.1 Thu'!U28</f>
        <v>16000</v>
      </c>
      <c r="G26" s="2523">
        <v>0</v>
      </c>
      <c r="H26" s="2522">
        <f t="shared" si="3"/>
        <v>0</v>
      </c>
      <c r="I26" s="2522">
        <f>'[30]Thu NSH'!AG25</f>
        <v>0</v>
      </c>
      <c r="J26" s="2522">
        <v>0</v>
      </c>
      <c r="K26" s="2522">
        <f>I26*J26/100</f>
        <v>0</v>
      </c>
      <c r="L26" s="2522">
        <f>'Phụ lục số 5.1 Thu'!AS28</f>
        <v>0</v>
      </c>
      <c r="M26" s="2522">
        <v>0</v>
      </c>
      <c r="N26" s="2522">
        <f>L26*M26/100</f>
        <v>0</v>
      </c>
      <c r="O26" s="2522">
        <f>'Phụ lục số 5.1 Thu'!BE28</f>
        <v>0</v>
      </c>
      <c r="P26" s="2522">
        <v>0</v>
      </c>
      <c r="Q26" s="2522">
        <f>O26*P26/100</f>
        <v>0</v>
      </c>
      <c r="R26" s="2522">
        <f>'Phụ lục số 5.1 Thu'!BQ28</f>
        <v>0</v>
      </c>
      <c r="S26" s="2522"/>
      <c r="T26" s="2522"/>
      <c r="U26" s="2522">
        <f>'Phụ lục số 5.1 Thu'!CC28</f>
        <v>0</v>
      </c>
      <c r="V26" s="2522"/>
      <c r="W26" s="2522"/>
      <c r="X26" s="2522">
        <f>'Phụ lục số 5.1 Thu'!CO28</f>
        <v>0</v>
      </c>
      <c r="Y26" s="2522"/>
      <c r="Z26" s="2522"/>
      <c r="AA26" s="2522">
        <f>'Phụ lục số 5.1 Thu'!DA28</f>
        <v>0</v>
      </c>
      <c r="AB26" s="2522"/>
      <c r="AC26" s="2522"/>
      <c r="AD26" s="2522">
        <f>'Phụ lục số 5.1 Thu'!DM28</f>
        <v>0</v>
      </c>
      <c r="AE26" s="2522">
        <v>0</v>
      </c>
      <c r="AF26" s="2522">
        <f>AD26*AE26/100</f>
        <v>0</v>
      </c>
      <c r="AG26" s="2522">
        <f>'Phụ lục số 5.1 Thu'!DY28</f>
        <v>0</v>
      </c>
      <c r="AH26" s="2522">
        <v>0</v>
      </c>
      <c r="AI26" s="2522">
        <f>AG26*AH26/100</f>
        <v>0</v>
      </c>
      <c r="AJ26" s="2522">
        <f>'Phụ lục số 5.1 Thu'!EK28</f>
        <v>0</v>
      </c>
      <c r="AK26" s="2522">
        <v>0</v>
      </c>
      <c r="AL26" s="2522">
        <f>AJ26*AK26/100</f>
        <v>0</v>
      </c>
      <c r="AM26" s="2522">
        <f>'Phụ lục số 5.1 Thu'!EW28</f>
        <v>0</v>
      </c>
      <c r="AN26" s="2522">
        <v>0</v>
      </c>
      <c r="AO26" s="2522">
        <f>AM26*AN26/100</f>
        <v>0</v>
      </c>
    </row>
    <row r="27" spans="1:41" s="2276" customFormat="1">
      <c r="A27" s="2278" t="s">
        <v>137</v>
      </c>
      <c r="B27" s="2274" t="s">
        <v>277</v>
      </c>
      <c r="C27" s="2529">
        <f>SUM(F27,L27,O27,R27,U27,X27,AA27,AD27,AG27,AJ27,AM27,I27)</f>
        <v>299000</v>
      </c>
      <c r="D27" s="2529">
        <f>IF(E27=0,"",E27/C27*100)</f>
        <v>90</v>
      </c>
      <c r="E27" s="2529">
        <f>SUM(H27,N27,Q27,T27,W27,Z27,AC27,AF27,AI27,AL27,AO27,K27)</f>
        <v>269100</v>
      </c>
      <c r="F27" s="2522">
        <f>'Phụ lục số 5.1 Thu'!U29</f>
        <v>8000</v>
      </c>
      <c r="G27" s="2530">
        <v>90</v>
      </c>
      <c r="H27" s="2522">
        <f>F27*G27/100</f>
        <v>7200</v>
      </c>
      <c r="I27" s="2529">
        <f>'Phụ lục số 5.1 Thu'!AG29</f>
        <v>9000</v>
      </c>
      <c r="J27" s="2531">
        <f>G27</f>
        <v>90</v>
      </c>
      <c r="K27" s="2522">
        <f>I27*J27/100</f>
        <v>8100</v>
      </c>
      <c r="L27" s="2522">
        <f>'Phụ lục số 5.1 Thu'!AS29</f>
        <v>600</v>
      </c>
      <c r="M27" s="2532">
        <f>J27</f>
        <v>90</v>
      </c>
      <c r="N27" s="2522">
        <f>L27*M27/100</f>
        <v>540</v>
      </c>
      <c r="O27" s="2522">
        <f>'Phụ lục số 5.1 Thu'!BE29</f>
        <v>1600</v>
      </c>
      <c r="P27" s="2532">
        <f>M27</f>
        <v>90</v>
      </c>
      <c r="Q27" s="2522">
        <f>O27*P27/100</f>
        <v>1440</v>
      </c>
      <c r="R27" s="2522">
        <f>'Phụ lục số 5.1 Thu'!BQ29</f>
        <v>10000</v>
      </c>
      <c r="S27" s="2532">
        <f>P27</f>
        <v>90</v>
      </c>
      <c r="T27" s="2522">
        <f>R27*S27/100</f>
        <v>9000</v>
      </c>
      <c r="U27" s="2522">
        <f>'Phụ lục số 5.1 Thu'!CC29</f>
        <v>135000</v>
      </c>
      <c r="V27" s="2532">
        <f>S27</f>
        <v>90</v>
      </c>
      <c r="W27" s="2522">
        <f>U27*V27/100</f>
        <v>121500</v>
      </c>
      <c r="X27" s="2522">
        <f>'Phụ lục số 5.1 Thu'!CO29</f>
        <v>15000</v>
      </c>
      <c r="Y27" s="2532">
        <f>V27</f>
        <v>90</v>
      </c>
      <c r="Z27" s="2522">
        <f>X27*Y27/100</f>
        <v>13500</v>
      </c>
      <c r="AA27" s="2522">
        <f>'Phụ lục số 5.1 Thu'!DA29</f>
        <v>10000</v>
      </c>
      <c r="AB27" s="2532">
        <f>Y27</f>
        <v>90</v>
      </c>
      <c r="AC27" s="2522">
        <f>AA27*AB27/100</f>
        <v>9000</v>
      </c>
      <c r="AD27" s="2522">
        <f>'Phụ lục số 5.1 Thu'!DM29</f>
        <v>6000</v>
      </c>
      <c r="AE27" s="2532">
        <f>AB27</f>
        <v>90</v>
      </c>
      <c r="AF27" s="2522">
        <f>AD27*AE27/100</f>
        <v>5400</v>
      </c>
      <c r="AG27" s="2522">
        <f>'Phụ lục số 5.1 Thu'!DY29</f>
        <v>2200</v>
      </c>
      <c r="AH27" s="2532">
        <f>AE27</f>
        <v>90</v>
      </c>
      <c r="AI27" s="2522">
        <f>AG27*AH27/100</f>
        <v>1980</v>
      </c>
      <c r="AJ27" s="2522">
        <f>'Phụ lục số 5.1 Thu'!EK29</f>
        <v>61600</v>
      </c>
      <c r="AK27" s="2532">
        <f>AH27</f>
        <v>90</v>
      </c>
      <c r="AL27" s="2522">
        <f>AJ27*AK27/100</f>
        <v>55440</v>
      </c>
      <c r="AM27" s="2522">
        <f>'Phụ lục số 5.1 Thu'!EW29</f>
        <v>40000</v>
      </c>
      <c r="AN27" s="2532">
        <f>AK27</f>
        <v>90</v>
      </c>
      <c r="AO27" s="2522">
        <f>AM27*AN27/100</f>
        <v>36000</v>
      </c>
    </row>
    <row r="28" spans="1:41" s="2270" customFormat="1">
      <c r="A28" s="1410">
        <v>7</v>
      </c>
      <c r="B28" s="1399" t="s">
        <v>278</v>
      </c>
      <c r="C28" s="2521">
        <f>SUM(C29:C30)</f>
        <v>1770000</v>
      </c>
      <c r="D28" s="2521"/>
      <c r="E28" s="2521">
        <f>SUM(E29:E30)</f>
        <v>1143000</v>
      </c>
      <c r="F28" s="2521">
        <f>SUM(F29:F30)</f>
        <v>100000</v>
      </c>
      <c r="G28" s="2524"/>
      <c r="H28" s="2521">
        <f>SUM(H29:H30)</f>
        <v>90000</v>
      </c>
      <c r="I28" s="2521">
        <f>SUM(I29:I30)</f>
        <v>300000</v>
      </c>
      <c r="J28" s="2521"/>
      <c r="K28" s="2521">
        <f>SUM(K29:K30)</f>
        <v>270000</v>
      </c>
      <c r="L28" s="2521">
        <f>SUM(L29:L30)</f>
        <v>30000</v>
      </c>
      <c r="M28" s="2521"/>
      <c r="N28" s="2521">
        <f>SUM(N29:N30)</f>
        <v>27000</v>
      </c>
      <c r="O28" s="2521">
        <f>SUM(O29:O30)</f>
        <v>60000</v>
      </c>
      <c r="P28" s="2521"/>
      <c r="Q28" s="2521">
        <f>SUM(Q29:Q30)</f>
        <v>54000</v>
      </c>
      <c r="R28" s="2521">
        <f>SUM(R29:R30)</f>
        <v>70000</v>
      </c>
      <c r="S28" s="2521"/>
      <c r="T28" s="2521">
        <f>SUM(T29:T30)</f>
        <v>63000</v>
      </c>
      <c r="U28" s="2521">
        <f>SUM(U29:U30)</f>
        <v>310000</v>
      </c>
      <c r="V28" s="2521"/>
      <c r="W28" s="2521">
        <f>SUM(W29:W30)</f>
        <v>144000</v>
      </c>
      <c r="X28" s="2521">
        <f>SUM(X29:X30)</f>
        <v>60000</v>
      </c>
      <c r="Y28" s="2521"/>
      <c r="Z28" s="2521">
        <f>SUM(Z29:Z30)</f>
        <v>54000</v>
      </c>
      <c r="AA28" s="2521">
        <f>SUM(AA29:AA30)</f>
        <v>100000</v>
      </c>
      <c r="AB28" s="2521"/>
      <c r="AC28" s="2521">
        <f>SUM(AC29:AC30)</f>
        <v>90000</v>
      </c>
      <c r="AD28" s="2521">
        <f>SUM(AD29:AD30)</f>
        <v>60000</v>
      </c>
      <c r="AE28" s="2521"/>
      <c r="AF28" s="2521">
        <f>SUM(AF29:AF30)</f>
        <v>54000</v>
      </c>
      <c r="AG28" s="2521">
        <f>SUM(AG29:AG30)</f>
        <v>70000</v>
      </c>
      <c r="AH28" s="2521"/>
      <c r="AI28" s="2521">
        <f>SUM(AI29:AI30)</f>
        <v>63000</v>
      </c>
      <c r="AJ28" s="2521">
        <f>SUM(AJ29:AJ30)</f>
        <v>510000</v>
      </c>
      <c r="AK28" s="2521"/>
      <c r="AL28" s="2521">
        <f>SUM(AL29:AL30)</f>
        <v>144000</v>
      </c>
      <c r="AM28" s="2521">
        <f>SUM(AM29:AM30)</f>
        <v>100000</v>
      </c>
      <c r="AN28" s="2521"/>
      <c r="AO28" s="2521">
        <f>SUM(AO29:AO30)</f>
        <v>90000</v>
      </c>
    </row>
    <row r="29" spans="1:41">
      <c r="A29" s="2277" t="s">
        <v>137</v>
      </c>
      <c r="B29" s="137" t="s">
        <v>276</v>
      </c>
      <c r="C29" s="2522">
        <f>SUM(F29,L29,O29,R29,U29,X29,AA29,AD29,AG29,AJ29,AM29,I29)</f>
        <v>500000</v>
      </c>
      <c r="D29" s="2522" t="str">
        <f t="shared" ref="D29:D34" si="16">IF(E29=0,"",E29/C29*100)</f>
        <v/>
      </c>
      <c r="E29" s="2522">
        <f>SUM(H29,N29,Q29,T29,W29,Z29,AC29,AF29,AI29,AL29,AO29,K29)</f>
        <v>0</v>
      </c>
      <c r="F29" s="2522">
        <f>'Phụ lục số 5.1 Thu'!U31</f>
        <v>0</v>
      </c>
      <c r="G29" s="2523">
        <v>0</v>
      </c>
      <c r="H29" s="2522">
        <f t="shared" si="3"/>
        <v>0</v>
      </c>
      <c r="I29" s="2522">
        <f>'Phụ lục số 5.1 Thu'!AG31</f>
        <v>0</v>
      </c>
      <c r="J29" s="2522">
        <v>0</v>
      </c>
      <c r="K29" s="2522">
        <f>I29*J29/100</f>
        <v>0</v>
      </c>
      <c r="L29" s="2522">
        <f>'Phụ lục số 5.1 Thu'!AS31</f>
        <v>0</v>
      </c>
      <c r="M29" s="2522">
        <v>0</v>
      </c>
      <c r="N29" s="2522">
        <f>L29*M29/100</f>
        <v>0</v>
      </c>
      <c r="O29" s="2522">
        <f>'Phụ lục số 5.1 Thu'!BE31</f>
        <v>0</v>
      </c>
      <c r="P29" s="2522">
        <v>0</v>
      </c>
      <c r="Q29" s="2522">
        <f>O29*P29/100</f>
        <v>0</v>
      </c>
      <c r="R29" s="2522">
        <f>'Phụ lục số 5.1 Thu'!BQ31</f>
        <v>0</v>
      </c>
      <c r="S29" s="2522">
        <v>0</v>
      </c>
      <c r="T29" s="2522">
        <f>R29*S29/100</f>
        <v>0</v>
      </c>
      <c r="U29" s="2522">
        <f>'Phụ lục số 5.1 Thu'!CC31</f>
        <v>150000</v>
      </c>
      <c r="V29" s="2522">
        <v>0</v>
      </c>
      <c r="W29" s="2522">
        <f>U29*V29/100</f>
        <v>0</v>
      </c>
      <c r="X29" s="2522">
        <f>'Phụ lục số 5.1 Thu'!CO31</f>
        <v>0</v>
      </c>
      <c r="Y29" s="2522">
        <v>0</v>
      </c>
      <c r="Z29" s="2522">
        <f>X29*Y29/100</f>
        <v>0</v>
      </c>
      <c r="AA29" s="2522">
        <f>'Phụ lục số 5.1 Thu'!DA31</f>
        <v>0</v>
      </c>
      <c r="AB29" s="2522">
        <v>0</v>
      </c>
      <c r="AC29" s="2522">
        <f>AA29*AB29/100</f>
        <v>0</v>
      </c>
      <c r="AD29" s="2522">
        <f>'Phụ lục số 5.1 Thu'!DM31</f>
        <v>0</v>
      </c>
      <c r="AE29" s="2522">
        <v>0</v>
      </c>
      <c r="AF29" s="2522">
        <f>AD29*AE29/100</f>
        <v>0</v>
      </c>
      <c r="AG29" s="2522">
        <f>'Phụ lục số 5.1 Thu'!DY31</f>
        <v>0</v>
      </c>
      <c r="AH29" s="2522">
        <v>0</v>
      </c>
      <c r="AI29" s="2522">
        <f>AG29*AH29/100</f>
        <v>0</v>
      </c>
      <c r="AJ29" s="2522">
        <f>'Phụ lục số 5.1 Thu'!EK31</f>
        <v>350000</v>
      </c>
      <c r="AK29" s="2522">
        <v>0</v>
      </c>
      <c r="AL29" s="2522">
        <f>AJ29*AK29/100</f>
        <v>0</v>
      </c>
      <c r="AM29" s="2522">
        <f>'Phụ lục số 5.1 Thu'!EW31</f>
        <v>0</v>
      </c>
      <c r="AN29" s="2522">
        <v>0</v>
      </c>
      <c r="AO29" s="2522">
        <f>AM29*AN29/100</f>
        <v>0</v>
      </c>
    </row>
    <row r="30" spans="1:41" s="2276" customFormat="1">
      <c r="A30" s="2278" t="s">
        <v>137</v>
      </c>
      <c r="B30" s="2274" t="s">
        <v>277</v>
      </c>
      <c r="C30" s="2529">
        <f>SUM(F30,L30,O30,R30,U30,X30,AA30,AD30,AG30,AJ30,AM30,I30)</f>
        <v>1270000</v>
      </c>
      <c r="D30" s="2529">
        <f t="shared" si="16"/>
        <v>90</v>
      </c>
      <c r="E30" s="2529">
        <f>SUM(H30,N30,Q30,T30,W30,Z30,AC30,AF30,AI30,AL30,AO30,K30)</f>
        <v>1143000</v>
      </c>
      <c r="F30" s="2522">
        <f>'Phụ lục số 5.1 Thu'!U32</f>
        <v>100000</v>
      </c>
      <c r="G30" s="2530">
        <v>90</v>
      </c>
      <c r="H30" s="2522">
        <f>F30*G30/100</f>
        <v>90000</v>
      </c>
      <c r="I30" s="2522">
        <f>'Phụ lục số 5.1 Thu'!AG32</f>
        <v>300000</v>
      </c>
      <c r="J30" s="2531">
        <f>G30</f>
        <v>90</v>
      </c>
      <c r="K30" s="2522">
        <f>I30*J30/100</f>
        <v>270000</v>
      </c>
      <c r="L30" s="2522">
        <f>'Phụ lục số 5.1 Thu'!AS32</f>
        <v>30000</v>
      </c>
      <c r="M30" s="2532">
        <f>J30</f>
        <v>90</v>
      </c>
      <c r="N30" s="2522">
        <f>L30*M30/100</f>
        <v>27000</v>
      </c>
      <c r="O30" s="2522">
        <f>'Phụ lục số 5.1 Thu'!BE32</f>
        <v>60000</v>
      </c>
      <c r="P30" s="2532">
        <f>M30</f>
        <v>90</v>
      </c>
      <c r="Q30" s="2522">
        <f>O30*P30/100</f>
        <v>54000</v>
      </c>
      <c r="R30" s="2522">
        <f>'Phụ lục số 5.1 Thu'!BQ32</f>
        <v>70000</v>
      </c>
      <c r="S30" s="2532">
        <f>P30</f>
        <v>90</v>
      </c>
      <c r="T30" s="2522">
        <f>R30*S30/100</f>
        <v>63000</v>
      </c>
      <c r="U30" s="2522">
        <f>'Phụ lục số 5.1 Thu'!CC32</f>
        <v>160000</v>
      </c>
      <c r="V30" s="2532">
        <f>S30</f>
        <v>90</v>
      </c>
      <c r="W30" s="2522">
        <f>U30*V30/100</f>
        <v>144000</v>
      </c>
      <c r="X30" s="2522">
        <f>'Phụ lục số 5.1 Thu'!CO32</f>
        <v>60000</v>
      </c>
      <c r="Y30" s="2532">
        <f>V30</f>
        <v>90</v>
      </c>
      <c r="Z30" s="2522">
        <f>X30*Y30/100</f>
        <v>54000</v>
      </c>
      <c r="AA30" s="2522">
        <f>'Phụ lục số 5.1 Thu'!DA32</f>
        <v>100000</v>
      </c>
      <c r="AB30" s="2532">
        <f>Y30</f>
        <v>90</v>
      </c>
      <c r="AC30" s="2522">
        <f>AA30*AB30/100</f>
        <v>90000</v>
      </c>
      <c r="AD30" s="2522">
        <f>'Phụ lục số 5.1 Thu'!DM32</f>
        <v>60000</v>
      </c>
      <c r="AE30" s="2532">
        <f>AB30</f>
        <v>90</v>
      </c>
      <c r="AF30" s="2522">
        <f>AD30*AE30/100</f>
        <v>54000</v>
      </c>
      <c r="AG30" s="2522">
        <f>'Phụ lục số 5.1 Thu'!DY32</f>
        <v>70000</v>
      </c>
      <c r="AH30" s="2532">
        <f>AE30</f>
        <v>90</v>
      </c>
      <c r="AI30" s="2522">
        <f>AG30*AH30/100</f>
        <v>63000</v>
      </c>
      <c r="AJ30" s="2522">
        <f>'Phụ lục số 5.1 Thu'!EK32</f>
        <v>160000</v>
      </c>
      <c r="AK30" s="2532">
        <f>AH30</f>
        <v>90</v>
      </c>
      <c r="AL30" s="2522">
        <f>AJ30*AK30/100</f>
        <v>144000</v>
      </c>
      <c r="AM30" s="2522">
        <f>'Phụ lục số 5.1 Thu'!EW32</f>
        <v>100000</v>
      </c>
      <c r="AN30" s="2532">
        <f>AK30</f>
        <v>90</v>
      </c>
      <c r="AO30" s="2522">
        <f>AM30*AN30/100</f>
        <v>90000</v>
      </c>
    </row>
    <row r="31" spans="1:41" s="2270" customFormat="1">
      <c r="A31" s="1410">
        <v>8</v>
      </c>
      <c r="B31" s="1399" t="s">
        <v>279</v>
      </c>
      <c r="C31" s="2521">
        <f>SUM(C32:C34)</f>
        <v>262000</v>
      </c>
      <c r="D31" s="2521"/>
      <c r="E31" s="2521">
        <f>SUM(E32:E34)</f>
        <v>145500</v>
      </c>
      <c r="F31" s="2521">
        <f>SUM(F32:F34)</f>
        <v>14000</v>
      </c>
      <c r="G31" s="2521"/>
      <c r="H31" s="2521">
        <f>SUM(H32:H34)</f>
        <v>13000</v>
      </c>
      <c r="I31" s="2521">
        <f>SUM(I32:I34)</f>
        <v>17000</v>
      </c>
      <c r="J31" s="2521"/>
      <c r="K31" s="2521">
        <f>SUM(K32:K34)</f>
        <v>7000</v>
      </c>
      <c r="L31" s="2521">
        <f>SUM(L32:L34)</f>
        <v>7000</v>
      </c>
      <c r="M31" s="2521"/>
      <c r="N31" s="2521">
        <f>SUM(N32:N34)</f>
        <v>7000</v>
      </c>
      <c r="O31" s="2521">
        <f>SUM(O32:O34)</f>
        <v>14000</v>
      </c>
      <c r="P31" s="2521"/>
      <c r="Q31" s="2521">
        <f>SUM(Q32:Q34)</f>
        <v>8500</v>
      </c>
      <c r="R31" s="2521">
        <f>SUM(R32:R34)</f>
        <v>25000</v>
      </c>
      <c r="S31" s="2521"/>
      <c r="T31" s="2521">
        <f>SUM(T32:T34)</f>
        <v>18500</v>
      </c>
      <c r="U31" s="2521">
        <f>SUM(U32:U34)</f>
        <v>80000</v>
      </c>
      <c r="V31" s="2521"/>
      <c r="W31" s="2521">
        <f>SUM(W32:W34)</f>
        <v>21500</v>
      </c>
      <c r="X31" s="2521">
        <f>SUM(X32:X34)</f>
        <v>26000</v>
      </c>
      <c r="Y31" s="2521"/>
      <c r="Z31" s="2521">
        <f>SUM(Z32:Z34)</f>
        <v>16000</v>
      </c>
      <c r="AA31" s="2521">
        <f>SUM(AA32:AA34)</f>
        <v>12000</v>
      </c>
      <c r="AB31" s="2521"/>
      <c r="AC31" s="2521">
        <f>SUM(AC32:AC34)</f>
        <v>8000</v>
      </c>
      <c r="AD31" s="2521">
        <f>SUM(AD32:AD34)</f>
        <v>18000</v>
      </c>
      <c r="AE31" s="2521"/>
      <c r="AF31" s="2521">
        <f>SUM(AF32:AF34)</f>
        <v>14000</v>
      </c>
      <c r="AG31" s="2521">
        <f>SUM(AG32:AG34)</f>
        <v>18000</v>
      </c>
      <c r="AH31" s="2521"/>
      <c r="AI31" s="2521">
        <f>SUM(AI32:AI34)</f>
        <v>10000</v>
      </c>
      <c r="AJ31" s="2521">
        <f>SUM(AJ32:AJ34)</f>
        <v>18000</v>
      </c>
      <c r="AK31" s="2521"/>
      <c r="AL31" s="2521">
        <f>SUM(AL32:AL34)</f>
        <v>11500</v>
      </c>
      <c r="AM31" s="2521">
        <f>SUM(AM32:AM34)</f>
        <v>13000</v>
      </c>
      <c r="AN31" s="2521"/>
      <c r="AO31" s="2521">
        <f>SUM(AO32:AO34)</f>
        <v>10500</v>
      </c>
    </row>
    <row r="32" spans="1:41">
      <c r="A32" s="2277" t="s">
        <v>137</v>
      </c>
      <c r="B32" s="137" t="s">
        <v>280</v>
      </c>
      <c r="C32" s="2522">
        <f t="shared" ref="C32:C37" si="17">SUM(F32,L32,O32,R32,U32,X32,AA32,AD32,AG32,AJ32,AM32,I32)</f>
        <v>84000</v>
      </c>
      <c r="D32" s="2522" t="str">
        <f t="shared" si="16"/>
        <v/>
      </c>
      <c r="E32" s="2522">
        <f t="shared" ref="E32:E37" si="18">SUM(H32,N32,Q32,T32,W32,Z32,AC32,AF32,AI32,AL32,AO32,K32)</f>
        <v>0</v>
      </c>
      <c r="F32" s="2522">
        <f>'Phụ lục số 5.1 Thu'!U34</f>
        <v>1000</v>
      </c>
      <c r="G32" s="2522">
        <v>0</v>
      </c>
      <c r="H32" s="2522">
        <f t="shared" si="3"/>
        <v>0</v>
      </c>
      <c r="I32" s="2522">
        <f>'Phụ lục số 5.1 Thu'!AG34</f>
        <v>6000</v>
      </c>
      <c r="J32" s="2522">
        <v>0</v>
      </c>
      <c r="K32" s="2522">
        <f>I32*J32/100</f>
        <v>0</v>
      </c>
      <c r="L32" s="2522">
        <f>'Phụ lục số 5.1 Thu'!AS34</f>
        <v>0</v>
      </c>
      <c r="M32" s="2522">
        <v>0</v>
      </c>
      <c r="N32" s="2522">
        <f>L32*M32/100</f>
        <v>0</v>
      </c>
      <c r="O32" s="2522">
        <f>'Phụ lục số 5.1 Thu'!BE34</f>
        <v>2500</v>
      </c>
      <c r="P32" s="2522">
        <v>0</v>
      </c>
      <c r="Q32" s="2522">
        <f>O32*P32/100</f>
        <v>0</v>
      </c>
      <c r="R32" s="2522">
        <f>'Phụ lục số 5.1 Thu'!BQ34</f>
        <v>3500</v>
      </c>
      <c r="S32" s="2522">
        <v>0</v>
      </c>
      <c r="T32" s="2522">
        <f>R32*S32/100</f>
        <v>0</v>
      </c>
      <c r="U32" s="2522">
        <f>'Phụ lục số 5.1 Thu'!CC34</f>
        <v>50000</v>
      </c>
      <c r="V32" s="2522">
        <v>0</v>
      </c>
      <c r="W32" s="2522">
        <f>U32*V32/100</f>
        <v>0</v>
      </c>
      <c r="X32" s="2522">
        <f>'Phụ lục số 5.1 Thu'!CO34</f>
        <v>5500</v>
      </c>
      <c r="Y32" s="2522">
        <v>0</v>
      </c>
      <c r="Z32" s="2522">
        <f>X32*Y32/100</f>
        <v>0</v>
      </c>
      <c r="AA32" s="2522">
        <f>'Phụ lục số 5.1 Thu'!DA34</f>
        <v>3000</v>
      </c>
      <c r="AB32" s="2522">
        <v>0</v>
      </c>
      <c r="AC32" s="2522">
        <f>AA32*AB32/100</f>
        <v>0</v>
      </c>
      <c r="AD32" s="2522">
        <f>'Phụ lục số 5.1 Thu'!DM34</f>
        <v>2500</v>
      </c>
      <c r="AE32" s="2522">
        <v>0</v>
      </c>
      <c r="AF32" s="2522">
        <f>AD32*AE32/100</f>
        <v>0</v>
      </c>
      <c r="AG32" s="2522">
        <f>'Phụ lục số 5.1 Thu'!DY34</f>
        <v>4000</v>
      </c>
      <c r="AH32" s="2522">
        <v>0</v>
      </c>
      <c r="AI32" s="2522">
        <f>AG32*AH32/100</f>
        <v>0</v>
      </c>
      <c r="AJ32" s="2522">
        <f>'Phụ lục số 5.1 Thu'!EK34</f>
        <v>4000</v>
      </c>
      <c r="AK32" s="2522">
        <v>0</v>
      </c>
      <c r="AL32" s="2522">
        <f>AJ32*AK32/100</f>
        <v>0</v>
      </c>
      <c r="AM32" s="2522">
        <f>'Phụ lục số 5.1 Thu'!EW34</f>
        <v>2000</v>
      </c>
      <c r="AN32" s="2522">
        <v>0</v>
      </c>
      <c r="AO32" s="2522">
        <f>AM32*AN32/100</f>
        <v>0</v>
      </c>
    </row>
    <row r="33" spans="1:41">
      <c r="A33" s="2277" t="s">
        <v>137</v>
      </c>
      <c r="B33" s="137" t="s">
        <v>281</v>
      </c>
      <c r="C33" s="2522">
        <f t="shared" si="17"/>
        <v>32500</v>
      </c>
      <c r="D33" s="2522" t="str">
        <f t="shared" si="16"/>
        <v/>
      </c>
      <c r="E33" s="2522">
        <f t="shared" si="18"/>
        <v>0</v>
      </c>
      <c r="F33" s="2522">
        <f>'Phụ lục số 5.1 Thu'!U35</f>
        <v>0</v>
      </c>
      <c r="G33" s="2522">
        <v>0</v>
      </c>
      <c r="H33" s="2522">
        <f t="shared" si="3"/>
        <v>0</v>
      </c>
      <c r="I33" s="2522">
        <f>'Phụ lục số 5.1 Thu'!AG35</f>
        <v>4000</v>
      </c>
      <c r="J33" s="2522">
        <v>0</v>
      </c>
      <c r="K33" s="2522">
        <f>I33*J33/100</f>
        <v>0</v>
      </c>
      <c r="L33" s="2522">
        <f>'Phụ lục số 5.1 Thu'!AS35</f>
        <v>0</v>
      </c>
      <c r="M33" s="2522">
        <v>0</v>
      </c>
      <c r="N33" s="2522">
        <f>L33*M33/100</f>
        <v>0</v>
      </c>
      <c r="O33" s="2522">
        <f>'Phụ lục số 5.1 Thu'!BE35</f>
        <v>3000</v>
      </c>
      <c r="P33" s="2522">
        <v>0</v>
      </c>
      <c r="Q33" s="2522">
        <f>O33*P33/100</f>
        <v>0</v>
      </c>
      <c r="R33" s="2522">
        <f>'Phụ lục số 5.1 Thu'!BQ35</f>
        <v>3000</v>
      </c>
      <c r="S33" s="2522">
        <v>0</v>
      </c>
      <c r="T33" s="2522">
        <f>R33*S33/100</f>
        <v>0</v>
      </c>
      <c r="U33" s="2522">
        <f>'Phụ lục số 5.1 Thu'!CC35</f>
        <v>8500</v>
      </c>
      <c r="V33" s="2522">
        <v>0</v>
      </c>
      <c r="W33" s="2522">
        <f>U33*V33/100</f>
        <v>0</v>
      </c>
      <c r="X33" s="2522">
        <f>'Phụ lục số 5.1 Thu'!CO35</f>
        <v>4500</v>
      </c>
      <c r="Y33" s="2522">
        <v>0</v>
      </c>
      <c r="Z33" s="2522">
        <f>X33*Y33/100</f>
        <v>0</v>
      </c>
      <c r="AA33" s="2522">
        <f>'Phụ lục số 5.1 Thu'!DA35</f>
        <v>1000</v>
      </c>
      <c r="AB33" s="2522">
        <v>0</v>
      </c>
      <c r="AC33" s="2522">
        <f>AA33*AB33/100</f>
        <v>0</v>
      </c>
      <c r="AD33" s="2522">
        <f>'Phụ lục số 5.1 Thu'!DM35</f>
        <v>1500</v>
      </c>
      <c r="AE33" s="2522">
        <v>0</v>
      </c>
      <c r="AF33" s="2522">
        <f>AD33*AE33/100</f>
        <v>0</v>
      </c>
      <c r="AG33" s="2522">
        <f>'Phụ lục số 5.1 Thu'!DY35</f>
        <v>4000</v>
      </c>
      <c r="AH33" s="2522">
        <v>0</v>
      </c>
      <c r="AI33" s="2522">
        <f>AG33*AH33/100</f>
        <v>0</v>
      </c>
      <c r="AJ33" s="2522">
        <f>'Phụ lục số 5.1 Thu'!EK35</f>
        <v>2500</v>
      </c>
      <c r="AK33" s="2522">
        <v>0</v>
      </c>
      <c r="AL33" s="2522">
        <f>AJ33*AK33/100</f>
        <v>0</v>
      </c>
      <c r="AM33" s="2522">
        <f>'Phụ lục số 5.1 Thu'!EW35</f>
        <v>500</v>
      </c>
      <c r="AN33" s="2522">
        <v>0</v>
      </c>
      <c r="AO33" s="2522">
        <f>AM33*AN33/100</f>
        <v>0</v>
      </c>
    </row>
    <row r="34" spans="1:41">
      <c r="A34" s="2277" t="s">
        <v>137</v>
      </c>
      <c r="B34" s="137" t="s">
        <v>282</v>
      </c>
      <c r="C34" s="2522">
        <f t="shared" si="17"/>
        <v>145500</v>
      </c>
      <c r="D34" s="2522">
        <f t="shared" si="16"/>
        <v>100</v>
      </c>
      <c r="E34" s="2522">
        <f t="shared" si="18"/>
        <v>145500</v>
      </c>
      <c r="F34" s="2522">
        <f>'Phụ lục số 5.1 Thu'!U36</f>
        <v>13000</v>
      </c>
      <c r="G34" s="2522">
        <v>100</v>
      </c>
      <c r="H34" s="2522">
        <f t="shared" si="3"/>
        <v>13000</v>
      </c>
      <c r="I34" s="2522">
        <f>'Phụ lục số 5.1 Thu'!AG36</f>
        <v>7000</v>
      </c>
      <c r="J34" s="2522">
        <v>100</v>
      </c>
      <c r="K34" s="2522">
        <f>I34*J34/100</f>
        <v>7000</v>
      </c>
      <c r="L34" s="2522">
        <f>'Phụ lục số 5.1 Thu'!AS36</f>
        <v>7000</v>
      </c>
      <c r="M34" s="2522">
        <v>100</v>
      </c>
      <c r="N34" s="2522">
        <f>L34*M34/100</f>
        <v>7000</v>
      </c>
      <c r="O34" s="2522">
        <f>'Phụ lục số 5.1 Thu'!BE36</f>
        <v>8500</v>
      </c>
      <c r="P34" s="2522">
        <v>100</v>
      </c>
      <c r="Q34" s="2522">
        <f>O34*P34/100</f>
        <v>8500</v>
      </c>
      <c r="R34" s="2522">
        <f>'Phụ lục số 5.1 Thu'!BQ36</f>
        <v>18500</v>
      </c>
      <c r="S34" s="2522">
        <v>100</v>
      </c>
      <c r="T34" s="2522">
        <f>R34*S34/100</f>
        <v>18500</v>
      </c>
      <c r="U34" s="2522">
        <f>'Phụ lục số 5.1 Thu'!CC36</f>
        <v>21500</v>
      </c>
      <c r="V34" s="2522">
        <v>100</v>
      </c>
      <c r="W34" s="2522">
        <f>U34*V34/100</f>
        <v>21500</v>
      </c>
      <c r="X34" s="2522">
        <f>'Phụ lục số 5.1 Thu'!CO36</f>
        <v>16000</v>
      </c>
      <c r="Y34" s="2522">
        <v>100</v>
      </c>
      <c r="Z34" s="2522">
        <f>X34*Y34/100</f>
        <v>16000</v>
      </c>
      <c r="AA34" s="2522">
        <f>'Phụ lục số 5.1 Thu'!DA36</f>
        <v>8000</v>
      </c>
      <c r="AB34" s="2522">
        <v>100</v>
      </c>
      <c r="AC34" s="2522">
        <f>AA34*AB34/100</f>
        <v>8000</v>
      </c>
      <c r="AD34" s="2522">
        <f>'Phụ lục số 5.1 Thu'!DM36</f>
        <v>14000</v>
      </c>
      <c r="AE34" s="2522">
        <v>100</v>
      </c>
      <c r="AF34" s="2522">
        <f>AD34*AE34/100</f>
        <v>14000</v>
      </c>
      <c r="AG34" s="2522">
        <f>'Phụ lục số 5.1 Thu'!DY36</f>
        <v>10000</v>
      </c>
      <c r="AH34" s="2522">
        <v>100</v>
      </c>
      <c r="AI34" s="2522">
        <f>AG34*AH34/100</f>
        <v>10000</v>
      </c>
      <c r="AJ34" s="2522">
        <f>'Phụ lục số 5.1 Thu'!EK36</f>
        <v>11500</v>
      </c>
      <c r="AK34" s="2522">
        <v>100</v>
      </c>
      <c r="AL34" s="2522">
        <f>AJ34*AK34/100</f>
        <v>11500</v>
      </c>
      <c r="AM34" s="2522">
        <f>'Phụ lục số 5.1 Thu'!EW36</f>
        <v>10500</v>
      </c>
      <c r="AN34" s="2522">
        <v>100</v>
      </c>
      <c r="AO34" s="2522">
        <f>AM34*AN34/100</f>
        <v>10500</v>
      </c>
    </row>
    <row r="35" spans="1:41" s="2210" customFormat="1">
      <c r="A35" s="1410">
        <v>9</v>
      </c>
      <c r="B35" s="1399" t="s">
        <v>19</v>
      </c>
      <c r="C35" s="2521">
        <f t="shared" si="17"/>
        <v>2000</v>
      </c>
      <c r="D35" s="2522">
        <f>IF(E35=0,"",E35/C35*100)</f>
        <v>100</v>
      </c>
      <c r="E35" s="2521">
        <f t="shared" si="18"/>
        <v>2000</v>
      </c>
      <c r="F35" s="2525">
        <f>'Phụ lục số 5.1 Thu'!U37</f>
        <v>200</v>
      </c>
      <c r="G35" s="2521">
        <v>100</v>
      </c>
      <c r="H35" s="2521">
        <f>F35*G35/100</f>
        <v>200</v>
      </c>
      <c r="I35" s="2525">
        <f>'Phụ lục số 5.1 Thu'!AG37</f>
        <v>100</v>
      </c>
      <c r="J35" s="2521">
        <v>100</v>
      </c>
      <c r="K35" s="2521">
        <f>I35*J35/100</f>
        <v>100</v>
      </c>
      <c r="L35" s="2522">
        <f>'Phụ lục số 5.1 Thu'!AS37</f>
        <v>0</v>
      </c>
      <c r="M35" s="2521">
        <v>100</v>
      </c>
      <c r="N35" s="2521">
        <f>L35*M35/100</f>
        <v>0</v>
      </c>
      <c r="O35" s="2521">
        <f>'Phụ lục số 5.1 Thu'!BE37</f>
        <v>0</v>
      </c>
      <c r="P35" s="2521">
        <v>100</v>
      </c>
      <c r="Q35" s="2521">
        <f>O35*P35/100</f>
        <v>0</v>
      </c>
      <c r="R35" s="2521">
        <f>'Phụ lục số 5.1 Thu'!BQ37</f>
        <v>0</v>
      </c>
      <c r="S35" s="2521">
        <v>100</v>
      </c>
      <c r="T35" s="2521">
        <f>R35*S35/100</f>
        <v>0</v>
      </c>
      <c r="U35" s="2521">
        <f>'Phụ lục số 5.1 Thu'!CC37</f>
        <v>100</v>
      </c>
      <c r="V35" s="2521">
        <v>100</v>
      </c>
      <c r="W35" s="2521">
        <f>U35*V35/100</f>
        <v>100</v>
      </c>
      <c r="X35" s="2521">
        <f>'Phụ lục số 5.1 Thu'!CO37</f>
        <v>250</v>
      </c>
      <c r="Y35" s="2521">
        <v>100</v>
      </c>
      <c r="Z35" s="2521">
        <f>X35*Y35/100</f>
        <v>250</v>
      </c>
      <c r="AA35" s="2521">
        <f>'Phụ lục số 5.1 Thu'!DA37</f>
        <v>800</v>
      </c>
      <c r="AB35" s="2521">
        <v>100</v>
      </c>
      <c r="AC35" s="2521">
        <f>AA35*AB35/100</f>
        <v>800</v>
      </c>
      <c r="AD35" s="2521">
        <f>'Phụ lục số 5.1 Thu'!DM37</f>
        <v>0</v>
      </c>
      <c r="AE35" s="2521">
        <v>100</v>
      </c>
      <c r="AF35" s="2521">
        <f>AD35*AE35/100</f>
        <v>0</v>
      </c>
      <c r="AG35" s="2521">
        <f>'Phụ lục số 5.1 Thu'!DY37</f>
        <v>0</v>
      </c>
      <c r="AH35" s="2521">
        <v>100</v>
      </c>
      <c r="AI35" s="2521">
        <f>AG35*AH35/100</f>
        <v>0</v>
      </c>
      <c r="AJ35" s="2521">
        <f>'Phụ lục số 5.1 Thu'!EK37</f>
        <v>500</v>
      </c>
      <c r="AK35" s="2521">
        <v>100</v>
      </c>
      <c r="AL35" s="2521">
        <f>AJ35*AK35/100</f>
        <v>500</v>
      </c>
      <c r="AM35" s="2521">
        <f>'Phụ lục số 5.1 Thu'!EW37</f>
        <v>50</v>
      </c>
      <c r="AN35" s="2521">
        <v>100</v>
      </c>
      <c r="AO35" s="2521">
        <f>AM35*AN35/100</f>
        <v>50</v>
      </c>
    </row>
    <row r="36" spans="1:41" s="2270" customFormat="1">
      <c r="A36" s="1410" t="s">
        <v>20</v>
      </c>
      <c r="B36" s="1399" t="s">
        <v>283</v>
      </c>
      <c r="C36" s="2521">
        <f t="shared" si="17"/>
        <v>5083323.3480000002</v>
      </c>
      <c r="D36" s="2522"/>
      <c r="E36" s="2521">
        <f t="shared" si="18"/>
        <v>5083323.3480000002</v>
      </c>
      <c r="F36" s="2521">
        <f>F37+F38</f>
        <v>469609</v>
      </c>
      <c r="G36" s="2521"/>
      <c r="H36" s="2521">
        <f t="shared" ref="H36:H44" si="19">F36</f>
        <v>469609</v>
      </c>
      <c r="I36" s="2521">
        <f>I37+I38</f>
        <v>291055</v>
      </c>
      <c r="J36" s="2521"/>
      <c r="K36" s="2521">
        <f t="shared" ref="K36:K44" si="20">I36</f>
        <v>291055</v>
      </c>
      <c r="L36" s="2521">
        <f>L37+L38</f>
        <v>441196.82400000002</v>
      </c>
      <c r="M36" s="2521"/>
      <c r="N36" s="2521">
        <f t="shared" ref="N36:N44" si="21">L36</f>
        <v>441196.82400000002</v>
      </c>
      <c r="O36" s="2521">
        <f>O37+O38</f>
        <v>467064.76</v>
      </c>
      <c r="P36" s="2521"/>
      <c r="Q36" s="2521">
        <f t="shared" ref="Q36:Q44" si="22">O36</f>
        <v>467064.76</v>
      </c>
      <c r="R36" s="2521">
        <f>R37+R38</f>
        <v>486100.35200000001</v>
      </c>
      <c r="S36" s="2521"/>
      <c r="T36" s="2521">
        <f t="shared" ref="T36:T44" si="23">R36</f>
        <v>486100.35200000001</v>
      </c>
      <c r="U36" s="2521">
        <f>U37+U38</f>
        <v>56513.2</v>
      </c>
      <c r="V36" s="2521"/>
      <c r="W36" s="2521">
        <f t="shared" ref="W36:W44" si="24">U36</f>
        <v>56513.2</v>
      </c>
      <c r="X36" s="2521">
        <f>X37+X38</f>
        <v>642349.19999999995</v>
      </c>
      <c r="Y36" s="2521"/>
      <c r="Z36" s="2521">
        <f t="shared" ref="Z36:Z44" si="25">X36</f>
        <v>642349.19999999995</v>
      </c>
      <c r="AA36" s="2521">
        <f>AA37+AA38</f>
        <v>540705.6</v>
      </c>
      <c r="AB36" s="2521"/>
      <c r="AC36" s="2521">
        <f t="shared" ref="AC36:AC44" si="26">AA36</f>
        <v>540705.6</v>
      </c>
      <c r="AD36" s="2521">
        <f>AD37+AD38</f>
        <v>520654.94799999997</v>
      </c>
      <c r="AE36" s="2521"/>
      <c r="AF36" s="2521">
        <f t="shared" ref="AF36:AF44" si="27">AD36</f>
        <v>520654.94799999997</v>
      </c>
      <c r="AG36" s="2521">
        <f>AG37+AG38</f>
        <v>519057.712</v>
      </c>
      <c r="AH36" s="2521"/>
      <c r="AI36" s="2521">
        <f t="shared" ref="AI36:AI44" si="28">AG36</f>
        <v>519057.712</v>
      </c>
      <c r="AJ36" s="2521">
        <f>AJ37+AJ38</f>
        <v>234459.92</v>
      </c>
      <c r="AK36" s="2521"/>
      <c r="AL36" s="2521">
        <f t="shared" ref="AL36:AL44" si="29">AJ36</f>
        <v>234459.92</v>
      </c>
      <c r="AM36" s="2521">
        <f>AM37+AM38</f>
        <v>414556.83199999999</v>
      </c>
      <c r="AN36" s="2521"/>
      <c r="AO36" s="2521">
        <f t="shared" ref="AO36:AO44" si="30">AM36</f>
        <v>414556.83199999999</v>
      </c>
    </row>
    <row r="37" spans="1:41" s="2210" customFormat="1" ht="17.399999999999999">
      <c r="A37" s="1410">
        <v>1</v>
      </c>
      <c r="B37" s="1399" t="s">
        <v>284</v>
      </c>
      <c r="C37" s="2521">
        <f t="shared" si="17"/>
        <v>4430923</v>
      </c>
      <c r="D37" s="2521"/>
      <c r="E37" s="2521">
        <f t="shared" si="18"/>
        <v>4430923</v>
      </c>
      <c r="F37" s="2533">
        <f>'Phụ lục 6.1 Chi'!N11</f>
        <v>413967</v>
      </c>
      <c r="G37" s="2521"/>
      <c r="H37" s="2521">
        <f t="shared" si="19"/>
        <v>413967</v>
      </c>
      <c r="I37" s="2533">
        <f>'Phụ lục 6.1 Chi'!V11</f>
        <v>225665</v>
      </c>
      <c r="J37" s="2521"/>
      <c r="K37" s="2521">
        <f t="shared" si="20"/>
        <v>225665</v>
      </c>
      <c r="L37" s="2533">
        <f>'Phụ lục 6.1 Chi'!AD11</f>
        <v>391207</v>
      </c>
      <c r="M37" s="2521"/>
      <c r="N37" s="2521">
        <f t="shared" si="21"/>
        <v>391207</v>
      </c>
      <c r="O37" s="2533">
        <f>'Phụ lục 6.1 Chi'!AL11</f>
        <v>388772</v>
      </c>
      <c r="P37" s="2521"/>
      <c r="Q37" s="2521">
        <f t="shared" si="22"/>
        <v>388772</v>
      </c>
      <c r="R37" s="2533">
        <f>'Phụ lục 6.1 Chi'!AT11</f>
        <v>449761</v>
      </c>
      <c r="S37" s="2521"/>
      <c r="T37" s="2521">
        <f t="shared" si="23"/>
        <v>449761</v>
      </c>
      <c r="U37" s="2533">
        <f>'Phụ lục 6.1 Chi'!BB11</f>
        <v>37354</v>
      </c>
      <c r="V37" s="2521"/>
      <c r="W37" s="2521">
        <f t="shared" si="24"/>
        <v>37354</v>
      </c>
      <c r="X37" s="2533">
        <f>'Phụ lục 6.1 Chi'!BJ11</f>
        <v>566422</v>
      </c>
      <c r="Y37" s="2521"/>
      <c r="Z37" s="2521">
        <f t="shared" si="25"/>
        <v>566422</v>
      </c>
      <c r="AA37" s="2533">
        <f>'Phụ lục 6.1 Chi'!BR11</f>
        <v>441700</v>
      </c>
      <c r="AB37" s="2521"/>
      <c r="AC37" s="2521">
        <f t="shared" si="26"/>
        <v>441700</v>
      </c>
      <c r="AD37" s="2533">
        <f>'Phụ lục 6.1 Chi'!BZ11</f>
        <v>470689</v>
      </c>
      <c r="AE37" s="2521"/>
      <c r="AF37" s="2521">
        <f t="shared" si="27"/>
        <v>470689</v>
      </c>
      <c r="AG37" s="2533">
        <f>'Phụ lục 6.1 Chi'!CH11</f>
        <v>440874</v>
      </c>
      <c r="AH37" s="2521"/>
      <c r="AI37" s="2521">
        <f t="shared" si="28"/>
        <v>440874</v>
      </c>
      <c r="AJ37" s="2533">
        <f>'Phụ lục 6.1 Chi'!CP11</f>
        <v>224584</v>
      </c>
      <c r="AK37" s="2521"/>
      <c r="AL37" s="2521">
        <f t="shared" si="29"/>
        <v>224584</v>
      </c>
      <c r="AM37" s="2533">
        <f>'Phụ lục 6.1 Chi'!CX11</f>
        <v>379928</v>
      </c>
      <c r="AN37" s="2521"/>
      <c r="AO37" s="2521">
        <f t="shared" si="30"/>
        <v>379928</v>
      </c>
    </row>
    <row r="38" spans="1:41" s="2210" customFormat="1" ht="17.399999999999999">
      <c r="A38" s="1410">
        <v>2</v>
      </c>
      <c r="B38" s="1399" t="s">
        <v>285</v>
      </c>
      <c r="C38" s="2521">
        <f>SUM(F38,L38,O38,R38,U38,X38,AA38,AD38,AG38,AJ38,AM38,I38)</f>
        <v>652400.348</v>
      </c>
      <c r="D38" s="2521"/>
      <c r="E38" s="2521">
        <f>SUM(H38,N38,Q38,T38,W38,Z38,AC38,AF38,AI38,AL38,AO38,K38)</f>
        <v>652400.348</v>
      </c>
      <c r="F38" s="2521">
        <f>SUM(F39:F43)</f>
        <v>55642</v>
      </c>
      <c r="G38" s="2521"/>
      <c r="H38" s="2521">
        <f>SUM(H39:H43)</f>
        <v>55642</v>
      </c>
      <c r="I38" s="2521">
        <f>SUM(I39:I43)</f>
        <v>65390</v>
      </c>
      <c r="J38" s="2521"/>
      <c r="K38" s="2521">
        <f>SUM(K39:K43)</f>
        <v>65390</v>
      </c>
      <c r="L38" s="2521">
        <f>SUM(L39:L43)</f>
        <v>49989.824000000001</v>
      </c>
      <c r="M38" s="2521"/>
      <c r="N38" s="2521">
        <f>SUM(N39:N43)</f>
        <v>49989.824000000001</v>
      </c>
      <c r="O38" s="2521">
        <f>SUM(O39:O43)</f>
        <v>78292.759999999995</v>
      </c>
      <c r="P38" s="2521"/>
      <c r="Q38" s="2521">
        <f>SUM(Q39:Q43)</f>
        <v>78292.759999999995</v>
      </c>
      <c r="R38" s="2521">
        <f>SUM(R39:R43)</f>
        <v>36339.351999999999</v>
      </c>
      <c r="S38" s="2521"/>
      <c r="T38" s="2521">
        <f>SUM(T39:T43)</f>
        <v>36339.351999999999</v>
      </c>
      <c r="U38" s="2521">
        <f>SUM(U39:U43)</f>
        <v>19159.2</v>
      </c>
      <c r="V38" s="2521"/>
      <c r="W38" s="2521">
        <f>SUM(W39:W43)</f>
        <v>19159.2</v>
      </c>
      <c r="X38" s="2521">
        <f>SUM(X39:X43)</f>
        <v>75927.199999999997</v>
      </c>
      <c r="Y38" s="2521"/>
      <c r="Z38" s="2521">
        <f>SUM(Z39:Z43)</f>
        <v>75927.199999999997</v>
      </c>
      <c r="AA38" s="2521">
        <f>SUM(AA39:AA43)</f>
        <v>99005.6</v>
      </c>
      <c r="AB38" s="2521"/>
      <c r="AC38" s="2521">
        <f>SUM(AC39:AC43)</f>
        <v>99005.6</v>
      </c>
      <c r="AD38" s="2521">
        <f>SUM(AD39:AD43)</f>
        <v>49965.948000000004</v>
      </c>
      <c r="AE38" s="2521"/>
      <c r="AF38" s="2521">
        <f>SUM(AF39:AF43)</f>
        <v>49965.948000000004</v>
      </c>
      <c r="AG38" s="2521">
        <f>SUM(AG39:AG43)</f>
        <v>78183.712</v>
      </c>
      <c r="AH38" s="2521"/>
      <c r="AI38" s="2521">
        <f>SUM(AI39:AI43)</f>
        <v>78183.712</v>
      </c>
      <c r="AJ38" s="2521">
        <f>SUM(AJ39:AJ43)</f>
        <v>9875.92</v>
      </c>
      <c r="AK38" s="2521"/>
      <c r="AL38" s="2521">
        <f>SUM(AL39:AL43)</f>
        <v>9875.92</v>
      </c>
      <c r="AM38" s="2521">
        <f>SUM(AM39:AM43)</f>
        <v>34628.832000000002</v>
      </c>
      <c r="AN38" s="2521"/>
      <c r="AO38" s="2521">
        <f>SUM(AO39:AO43)</f>
        <v>34628.832000000002</v>
      </c>
    </row>
    <row r="39" spans="1:41" s="2210" customFormat="1" ht="36">
      <c r="A39" s="1864" t="s">
        <v>34</v>
      </c>
      <c r="B39" s="2701" t="s">
        <v>1881</v>
      </c>
      <c r="C39" s="2470">
        <f>SUM(F39,L39,O39,R39,U39,X39,AA39,AD39,AG39,AJ39,AM39,I39)</f>
        <v>148700</v>
      </c>
      <c r="D39" s="2470"/>
      <c r="E39" s="2470">
        <f>SUM(H39,N39,Q39,T39,W39,Z39,AC39,AF39,AI39,AL39,AO39,K39)</f>
        <v>148700</v>
      </c>
      <c r="F39" s="2470">
        <f>'Phụ lục 6.1 Chi'!P13</f>
        <v>9300</v>
      </c>
      <c r="G39" s="2470"/>
      <c r="H39" s="2470">
        <f t="shared" si="19"/>
        <v>9300</v>
      </c>
      <c r="I39" s="2470">
        <f>'Phụ lục 6.1 Chi'!X13</f>
        <v>5800</v>
      </c>
      <c r="J39" s="2470"/>
      <c r="K39" s="2470">
        <f t="shared" si="20"/>
        <v>5800</v>
      </c>
      <c r="L39" s="2470">
        <f>'Phụ lục 6.1 Chi'!AF13</f>
        <v>16100</v>
      </c>
      <c r="M39" s="2470"/>
      <c r="N39" s="2470">
        <f t="shared" si="21"/>
        <v>16100</v>
      </c>
      <c r="O39" s="2470">
        <f>'Phụ lục 6.1 Chi'!AN13</f>
        <v>18900</v>
      </c>
      <c r="P39" s="2470"/>
      <c r="Q39" s="2470">
        <f t="shared" si="22"/>
        <v>18900</v>
      </c>
      <c r="R39" s="2470">
        <f>'Phụ lục 6.1 Chi'!AV13</f>
        <v>13200</v>
      </c>
      <c r="S39" s="2470"/>
      <c r="T39" s="2470">
        <f t="shared" si="23"/>
        <v>13200</v>
      </c>
      <c r="U39" s="2470">
        <f>'Phụ lục 6.1 Chi'!BD13</f>
        <v>5000</v>
      </c>
      <c r="V39" s="2470"/>
      <c r="W39" s="2470">
        <f t="shared" si="24"/>
        <v>5000</v>
      </c>
      <c r="X39" s="2470">
        <f>'Phụ lục 6.1 Chi'!BL13</f>
        <v>21400</v>
      </c>
      <c r="Y39" s="2470"/>
      <c r="Z39" s="2470">
        <f t="shared" si="25"/>
        <v>21400</v>
      </c>
      <c r="AA39" s="2470">
        <f>'Phụ lục 6.1 Chi'!BT13</f>
        <v>28600</v>
      </c>
      <c r="AB39" s="2470"/>
      <c r="AC39" s="2470">
        <f t="shared" si="26"/>
        <v>28600</v>
      </c>
      <c r="AD39" s="2470">
        <f>'Phụ lục 6.1 Chi'!CB13</f>
        <v>8900</v>
      </c>
      <c r="AE39" s="2470"/>
      <c r="AF39" s="2470">
        <f t="shared" si="27"/>
        <v>8900</v>
      </c>
      <c r="AG39" s="2470">
        <f>'Phụ lục 6.1 Chi'!CJ13</f>
        <v>11300</v>
      </c>
      <c r="AH39" s="2470"/>
      <c r="AI39" s="2470">
        <f t="shared" si="28"/>
        <v>11300</v>
      </c>
      <c r="AJ39" s="2470">
        <f>'Phụ lục 6.1 Chi'!CR13</f>
        <v>3000</v>
      </c>
      <c r="AK39" s="2470"/>
      <c r="AL39" s="2470">
        <f t="shared" si="29"/>
        <v>3000</v>
      </c>
      <c r="AM39" s="2470">
        <f>'Phụ lục 6.1 Chi'!CZ13</f>
        <v>7200</v>
      </c>
      <c r="AN39" s="2470"/>
      <c r="AO39" s="2470">
        <f t="shared" si="30"/>
        <v>7200</v>
      </c>
    </row>
    <row r="40" spans="1:41" s="2210" customFormat="1" ht="72">
      <c r="A40" s="1864" t="s">
        <v>35</v>
      </c>
      <c r="B40" s="2701" t="s">
        <v>1882</v>
      </c>
      <c r="C40" s="2470">
        <f>SUM(F40,L40,O40,R40,U40,X40,AA40,AD40,AG40,AJ40,AM40,I40)</f>
        <v>169098</v>
      </c>
      <c r="D40" s="2470"/>
      <c r="E40" s="2470">
        <f>SUM(H40,N40,Q40,T40,W40,Z40,AC40,AF40,AI40,AL40,AO40,K40)</f>
        <v>169098</v>
      </c>
      <c r="F40" s="2470">
        <f>'Phụ lục 6.1 Chi'!P14</f>
        <v>9500</v>
      </c>
      <c r="G40" s="2470"/>
      <c r="H40" s="2470">
        <f t="shared" si="19"/>
        <v>9500</v>
      </c>
      <c r="I40" s="2470">
        <f>'Phụ lục 6.1 Chi'!X14</f>
        <v>7500</v>
      </c>
      <c r="J40" s="2470"/>
      <c r="K40" s="2470">
        <f t="shared" si="20"/>
        <v>7500</v>
      </c>
      <c r="L40" s="2470">
        <f>'Phụ lục 6.1 Chi'!AF14</f>
        <v>18000</v>
      </c>
      <c r="M40" s="2470"/>
      <c r="N40" s="2470">
        <f t="shared" si="21"/>
        <v>18000</v>
      </c>
      <c r="O40" s="2470">
        <f>'Phụ lục 6.1 Chi'!AN14</f>
        <v>27000</v>
      </c>
      <c r="P40" s="2470"/>
      <c r="Q40" s="2470">
        <f t="shared" si="22"/>
        <v>27000</v>
      </c>
      <c r="R40" s="2470">
        <f>'Phụ lục 6.1 Chi'!AV14</f>
        <v>19098</v>
      </c>
      <c r="S40" s="2470"/>
      <c r="T40" s="2470">
        <f t="shared" si="23"/>
        <v>19098</v>
      </c>
      <c r="U40" s="2470">
        <f>'Phụ lục 6.1 Chi'!BD14</f>
        <v>3000</v>
      </c>
      <c r="V40" s="2470"/>
      <c r="W40" s="2470">
        <f t="shared" si="24"/>
        <v>3000</v>
      </c>
      <c r="X40" s="2470">
        <f>'Phụ lục 6.1 Chi'!BL14</f>
        <v>26000</v>
      </c>
      <c r="Y40" s="2470"/>
      <c r="Z40" s="2470">
        <f t="shared" si="25"/>
        <v>26000</v>
      </c>
      <c r="AA40" s="2470">
        <f>'Phụ lục 6.1 Chi'!BT14</f>
        <v>33000</v>
      </c>
      <c r="AB40" s="2470"/>
      <c r="AC40" s="2470">
        <f t="shared" si="26"/>
        <v>33000</v>
      </c>
      <c r="AD40" s="2470">
        <f>'Phụ lục 6.1 Chi'!CB14</f>
        <v>7000</v>
      </c>
      <c r="AE40" s="2470"/>
      <c r="AF40" s="2470">
        <f t="shared" si="27"/>
        <v>7000</v>
      </c>
      <c r="AG40" s="2470">
        <f>'Phụ lục 6.1 Chi'!CJ14</f>
        <v>7000</v>
      </c>
      <c r="AH40" s="2470"/>
      <c r="AI40" s="2470">
        <f t="shared" si="28"/>
        <v>7000</v>
      </c>
      <c r="AJ40" s="2470">
        <f>'Phụ lục 6.1 Chi'!CR14</f>
        <v>1500</v>
      </c>
      <c r="AK40" s="2470"/>
      <c r="AL40" s="2470">
        <f t="shared" si="29"/>
        <v>1500</v>
      </c>
      <c r="AM40" s="2470">
        <f>'Phụ lục 6.1 Chi'!CZ14</f>
        <v>10500</v>
      </c>
      <c r="AN40" s="2470"/>
      <c r="AO40" s="2470">
        <f t="shared" si="30"/>
        <v>10500</v>
      </c>
    </row>
    <row r="41" spans="1:41" s="2210" customFormat="1" ht="36">
      <c r="A41" s="1864" t="s">
        <v>36</v>
      </c>
      <c r="B41" s="2702" t="s">
        <v>2481</v>
      </c>
      <c r="C41" s="2470">
        <f t="shared" ref="C41:C42" si="31">SUM(F41,L41,O41,R41,U41,X41,AA41,AD41,AG41,AJ41,AM41,I41)</f>
        <v>232934</v>
      </c>
      <c r="D41" s="2470"/>
      <c r="E41" s="2470">
        <f t="shared" ref="E41:E42" si="32">SUM(H41,N41,Q41,T41,W41,Z41,AC41,AF41,AI41,AL41,AO41,K41)</f>
        <v>232934</v>
      </c>
      <c r="F41" s="2470">
        <f>'Phụ lục 6.1 Chi'!P15</f>
        <v>33411</v>
      </c>
      <c r="G41" s="2470"/>
      <c r="H41" s="2470">
        <f t="shared" si="19"/>
        <v>33411</v>
      </c>
      <c r="I41" s="2470">
        <f>'Phụ lục 6.1 Chi'!X15</f>
        <v>46035</v>
      </c>
      <c r="J41" s="2470"/>
      <c r="K41" s="2470">
        <f t="shared" si="20"/>
        <v>46035</v>
      </c>
      <c r="L41" s="2470">
        <f>'Phụ lục 6.1 Chi'!AF15</f>
        <v>8966</v>
      </c>
      <c r="M41" s="2470"/>
      <c r="N41" s="2470">
        <f t="shared" si="21"/>
        <v>8966</v>
      </c>
      <c r="O41" s="2470">
        <f>'Phụ lục 6.1 Chi'!AN15</f>
        <v>30706</v>
      </c>
      <c r="P41" s="2470"/>
      <c r="Q41" s="2470">
        <f t="shared" si="22"/>
        <v>30706</v>
      </c>
      <c r="R41" s="2470">
        <f>'Phụ lục 6.1 Chi'!AV15</f>
        <v>0</v>
      </c>
      <c r="S41" s="2470"/>
      <c r="T41" s="2470">
        <f t="shared" si="23"/>
        <v>0</v>
      </c>
      <c r="U41" s="2470">
        <f>'Phụ lục 6.1 Chi'!BD15</f>
        <v>0</v>
      </c>
      <c r="V41" s="2470"/>
      <c r="W41" s="2470">
        <f t="shared" si="24"/>
        <v>0</v>
      </c>
      <c r="X41" s="2470">
        <f>'Phụ lục 6.1 Chi'!BL15</f>
        <v>10606</v>
      </c>
      <c r="Y41" s="2470"/>
      <c r="Z41" s="2470">
        <f t="shared" si="25"/>
        <v>10606</v>
      </c>
      <c r="AA41" s="2470">
        <f>'Phụ lục 6.1 Chi'!BT15</f>
        <v>34795</v>
      </c>
      <c r="AB41" s="2470"/>
      <c r="AC41" s="2470">
        <f t="shared" si="26"/>
        <v>34795</v>
      </c>
      <c r="AD41" s="2470">
        <f>'Phụ lục 6.1 Chi'!CB15</f>
        <v>9628</v>
      </c>
      <c r="AE41" s="2470"/>
      <c r="AF41" s="2470">
        <f t="shared" si="27"/>
        <v>9628</v>
      </c>
      <c r="AG41" s="2470">
        <f>'Phụ lục 6.1 Chi'!CJ15</f>
        <v>50621</v>
      </c>
      <c r="AH41" s="2470"/>
      <c r="AI41" s="2470">
        <f t="shared" si="28"/>
        <v>50621</v>
      </c>
      <c r="AJ41" s="2470">
        <f>'Phụ lục 6.1 Chi'!CR15</f>
        <v>0</v>
      </c>
      <c r="AK41" s="2470"/>
      <c r="AL41" s="2470">
        <f t="shared" si="29"/>
        <v>0</v>
      </c>
      <c r="AM41" s="2470">
        <f>'Phụ lục 6.1 Chi'!CZ15</f>
        <v>8166</v>
      </c>
      <c r="AN41" s="2470"/>
      <c r="AO41" s="2470">
        <f t="shared" si="30"/>
        <v>8166</v>
      </c>
    </row>
    <row r="42" spans="1:41" s="2210" customFormat="1" ht="36">
      <c r="A42" s="1864" t="s">
        <v>37</v>
      </c>
      <c r="B42" s="2703" t="s">
        <v>1879</v>
      </c>
      <c r="C42" s="2470">
        <f t="shared" si="31"/>
        <v>93668.347999999998</v>
      </c>
      <c r="D42" s="2470"/>
      <c r="E42" s="2470">
        <f t="shared" si="32"/>
        <v>93668.347999999998</v>
      </c>
      <c r="F42" s="2470">
        <f>'Phụ lục 6.1 Chi'!P16</f>
        <v>3431</v>
      </c>
      <c r="G42" s="2470"/>
      <c r="H42" s="2470">
        <f t="shared" si="19"/>
        <v>3431</v>
      </c>
      <c r="I42" s="2470">
        <f>'Phụ lục 6.1 Chi'!X16</f>
        <v>4055</v>
      </c>
      <c r="J42" s="2470"/>
      <c r="K42" s="2470">
        <f t="shared" si="20"/>
        <v>4055</v>
      </c>
      <c r="L42" s="2470">
        <f>'Phụ lục 6.1 Chi'!AF16</f>
        <v>6923.8239999999996</v>
      </c>
      <c r="M42" s="2470"/>
      <c r="N42" s="2470">
        <f t="shared" si="21"/>
        <v>6923.8239999999996</v>
      </c>
      <c r="O42" s="2470">
        <f>'Phụ lục 6.1 Chi'!AN16</f>
        <v>1686.76</v>
      </c>
      <c r="P42" s="2470"/>
      <c r="Q42" s="2470">
        <f t="shared" si="22"/>
        <v>1686.76</v>
      </c>
      <c r="R42" s="2470">
        <f>'Phụ lục 6.1 Chi'!AV16</f>
        <v>4041.3519999999999</v>
      </c>
      <c r="S42" s="2470"/>
      <c r="T42" s="2470">
        <f t="shared" si="23"/>
        <v>4041.3519999999999</v>
      </c>
      <c r="U42" s="2470">
        <f>'Phụ lục 6.1 Chi'!BD16</f>
        <v>11159.2</v>
      </c>
      <c r="V42" s="2470"/>
      <c r="W42" s="2470">
        <f t="shared" si="24"/>
        <v>11159.2</v>
      </c>
      <c r="X42" s="2470">
        <f>'Phụ lục 6.1 Chi'!BL16</f>
        <v>17921.2</v>
      </c>
      <c r="Y42" s="2470"/>
      <c r="Z42" s="2470">
        <f t="shared" si="25"/>
        <v>17921.2</v>
      </c>
      <c r="AA42" s="2470">
        <f>'Phụ lục 6.1 Chi'!BT16</f>
        <v>2610.6</v>
      </c>
      <c r="AB42" s="2470"/>
      <c r="AC42" s="2470">
        <f t="shared" si="26"/>
        <v>2610.6</v>
      </c>
      <c r="AD42" s="2470">
        <f>'Phụ lục 6.1 Chi'!CB16</f>
        <v>22437.948</v>
      </c>
      <c r="AE42" s="2470"/>
      <c r="AF42" s="2470">
        <f t="shared" si="27"/>
        <v>22437.948</v>
      </c>
      <c r="AG42" s="2470">
        <f>'Phụ lục 6.1 Chi'!CJ16</f>
        <v>7262.7119999999995</v>
      </c>
      <c r="AH42" s="2470"/>
      <c r="AI42" s="2470">
        <f t="shared" si="28"/>
        <v>7262.7119999999995</v>
      </c>
      <c r="AJ42" s="2470">
        <f>'Phụ lục 6.1 Chi'!CR16</f>
        <v>5375.92</v>
      </c>
      <c r="AK42" s="2470"/>
      <c r="AL42" s="2470">
        <f t="shared" si="29"/>
        <v>5375.92</v>
      </c>
      <c r="AM42" s="2470">
        <f>'Phụ lục 6.1 Chi'!CZ16</f>
        <v>6762.8320000000003</v>
      </c>
      <c r="AN42" s="2470"/>
      <c r="AO42" s="2470">
        <f t="shared" si="30"/>
        <v>6762.8320000000003</v>
      </c>
    </row>
    <row r="43" spans="1:41" s="2210" customFormat="1">
      <c r="A43" s="1864" t="s">
        <v>1327</v>
      </c>
      <c r="B43" s="3151" t="str">
        <f>'Phụ lục 6.1 Chi'!B17</f>
        <v>Bổ sung có mục tiêu kinh phí diễn tập khu vực phòng thủ cấp huyện năm 2024</v>
      </c>
      <c r="C43" s="2470">
        <f t="shared" ref="C43" si="33">SUM(F43,L43,O43,R43,U43,X43,AA43,AD43,AG43,AJ43,AM43,I43)</f>
        <v>8000</v>
      </c>
      <c r="D43" s="2470"/>
      <c r="E43" s="2470">
        <f t="shared" ref="E43" si="34">SUM(H43,N43,Q43,T43,W43,Z43,AC43,AF43,AI43,AL43,AO43,K43)</f>
        <v>8000</v>
      </c>
      <c r="F43" s="2470">
        <f>'Phụ lục 6.1 Chi'!P17</f>
        <v>0</v>
      </c>
      <c r="G43" s="2470"/>
      <c r="H43" s="2470">
        <f t="shared" si="19"/>
        <v>0</v>
      </c>
      <c r="I43" s="2470">
        <f>'Phụ lục 6.1 Chi'!X17</f>
        <v>2000</v>
      </c>
      <c r="J43" s="2470"/>
      <c r="K43" s="2470">
        <f t="shared" si="20"/>
        <v>2000</v>
      </c>
      <c r="L43" s="2470">
        <f>'Phụ lục 6.1 Chi'!AF17</f>
        <v>0</v>
      </c>
      <c r="M43" s="2470"/>
      <c r="N43" s="2470">
        <f t="shared" si="21"/>
        <v>0</v>
      </c>
      <c r="O43" s="2470">
        <f>'Phụ lục 6.1 Chi'!AN17</f>
        <v>0</v>
      </c>
      <c r="P43" s="2470"/>
      <c r="Q43" s="2470">
        <f t="shared" si="22"/>
        <v>0</v>
      </c>
      <c r="R43" s="2470">
        <f>'Phụ lục 6.1 Chi'!AV17</f>
        <v>0</v>
      </c>
      <c r="S43" s="2470"/>
      <c r="T43" s="2470">
        <f t="shared" si="23"/>
        <v>0</v>
      </c>
      <c r="U43" s="2470">
        <f>'Phụ lục 6.1 Chi'!BD17</f>
        <v>0</v>
      </c>
      <c r="V43" s="2470"/>
      <c r="W43" s="2470">
        <f t="shared" si="24"/>
        <v>0</v>
      </c>
      <c r="X43" s="2470">
        <f>'Phụ lục 6.1 Chi'!BL17</f>
        <v>0</v>
      </c>
      <c r="Y43" s="2470"/>
      <c r="Z43" s="2470">
        <f t="shared" si="25"/>
        <v>0</v>
      </c>
      <c r="AA43" s="2470">
        <f>'Phụ lục 6.1 Chi'!BT17</f>
        <v>0</v>
      </c>
      <c r="AB43" s="2470"/>
      <c r="AC43" s="2470">
        <f t="shared" si="26"/>
        <v>0</v>
      </c>
      <c r="AD43" s="2470">
        <f>'Phụ lục 6.1 Chi'!CB17</f>
        <v>2000</v>
      </c>
      <c r="AE43" s="2470"/>
      <c r="AF43" s="2470">
        <f t="shared" si="27"/>
        <v>2000</v>
      </c>
      <c r="AG43" s="2470">
        <f>'Phụ lục 6.1 Chi'!CJ17</f>
        <v>2000</v>
      </c>
      <c r="AH43" s="2470"/>
      <c r="AI43" s="2470">
        <f t="shared" si="28"/>
        <v>2000</v>
      </c>
      <c r="AJ43" s="2470">
        <f>'Phụ lục 6.1 Chi'!CR17</f>
        <v>0</v>
      </c>
      <c r="AK43" s="2470"/>
      <c r="AL43" s="2470">
        <f t="shared" si="29"/>
        <v>0</v>
      </c>
      <c r="AM43" s="2470">
        <f>'Phụ lục 6.1 Chi'!CZ17</f>
        <v>2000</v>
      </c>
      <c r="AN43" s="2470"/>
      <c r="AO43" s="2470">
        <f t="shared" si="30"/>
        <v>2000</v>
      </c>
    </row>
    <row r="44" spans="1:41" s="2210" customFormat="1" ht="17.399999999999999">
      <c r="A44" s="1410" t="s">
        <v>49</v>
      </c>
      <c r="B44" s="1399" t="s">
        <v>286</v>
      </c>
      <c r="C44" s="2521">
        <f>SUM(F44,L44,O44,R44,U44,X44,AA44,AD44,AG44,AJ44,AM44,I44)</f>
        <v>886000</v>
      </c>
      <c r="D44" s="2521"/>
      <c r="E44" s="2521">
        <f>SUM(H44,N44,Q44,T44,W44,Z44,AC44,AF44,AI44,AL44,AO44,K44)</f>
        <v>886000</v>
      </c>
      <c r="F44" s="2521">
        <f>'Phụ lục 6.1 Chi'!P21</f>
        <v>36493</v>
      </c>
      <c r="G44" s="2521"/>
      <c r="H44" s="2521">
        <f t="shared" si="19"/>
        <v>36493</v>
      </c>
      <c r="I44" s="2521">
        <f>'Phụ lục 6.1 Chi'!X21</f>
        <v>0</v>
      </c>
      <c r="J44" s="2521"/>
      <c r="K44" s="2521">
        <f t="shared" si="20"/>
        <v>0</v>
      </c>
      <c r="L44" s="2521">
        <f>'Phụ lục 6.1 Chi'!AF21</f>
        <v>36249</v>
      </c>
      <c r="M44" s="2521"/>
      <c r="N44" s="2521">
        <f t="shared" si="21"/>
        <v>36249</v>
      </c>
      <c r="O44" s="2521">
        <f>'Phụ lục 6.1 Chi'!AN21</f>
        <v>21613</v>
      </c>
      <c r="P44" s="2521"/>
      <c r="Q44" s="2521">
        <f t="shared" si="22"/>
        <v>21613</v>
      </c>
      <c r="R44" s="2521">
        <f>'Phụ lục 6.1 Chi'!AV21</f>
        <v>39471</v>
      </c>
      <c r="S44" s="2521"/>
      <c r="T44" s="2521">
        <f t="shared" si="23"/>
        <v>39471</v>
      </c>
      <c r="U44" s="2521">
        <f>'Phụ lục 6.1 Chi'!BD21</f>
        <v>395603</v>
      </c>
      <c r="V44" s="2521"/>
      <c r="W44" s="2521">
        <f t="shared" si="24"/>
        <v>395603</v>
      </c>
      <c r="X44" s="2521">
        <f>'Phụ lục 6.1 Chi'!BL21</f>
        <v>59176</v>
      </c>
      <c r="Y44" s="2521"/>
      <c r="Z44" s="2521">
        <f t="shared" si="25"/>
        <v>59176</v>
      </c>
      <c r="AA44" s="2521">
        <f>'Phụ lục 6.1 Chi'!BT21</f>
        <v>26700</v>
      </c>
      <c r="AB44" s="2521"/>
      <c r="AC44" s="2521">
        <f t="shared" si="26"/>
        <v>26700</v>
      </c>
      <c r="AD44" s="2521">
        <f>'Phụ lục 6.1 Chi'!CB21</f>
        <v>39278</v>
      </c>
      <c r="AE44" s="2521"/>
      <c r="AF44" s="2521">
        <f t="shared" si="27"/>
        <v>39278</v>
      </c>
      <c r="AG44" s="2521">
        <f>'Phụ lục 6.1 Chi'!CJ21</f>
        <v>22770</v>
      </c>
      <c r="AH44" s="2521"/>
      <c r="AI44" s="2521">
        <f t="shared" si="28"/>
        <v>22770</v>
      </c>
      <c r="AJ44" s="2521">
        <f>'Phụ lục 6.1 Chi'!CR21</f>
        <v>174966</v>
      </c>
      <c r="AK44" s="2521"/>
      <c r="AL44" s="2521">
        <f t="shared" si="29"/>
        <v>174966</v>
      </c>
      <c r="AM44" s="2521">
        <f>'Phụ lục 6.1 Chi'!CZ21</f>
        <v>33681</v>
      </c>
      <c r="AN44" s="2521"/>
      <c r="AO44" s="2521">
        <f t="shared" si="30"/>
        <v>33681</v>
      </c>
    </row>
    <row r="45" spans="1:41">
      <c r="A45" s="1418"/>
      <c r="B45" s="1418" t="s">
        <v>287</v>
      </c>
      <c r="C45" s="2534"/>
      <c r="D45" s="2534"/>
      <c r="E45" s="2534">
        <f>SUM(H45,N45,Q45,T45,W45,Z45,AC45,AF45,AI45,AL45,AO45,K45)</f>
        <v>9908403.3480000012</v>
      </c>
      <c r="F45" s="2534"/>
      <c r="G45" s="2534"/>
      <c r="H45" s="2534">
        <f>SUM(H7,H36,H44)</f>
        <v>664002</v>
      </c>
      <c r="I45" s="2534"/>
      <c r="J45" s="2534"/>
      <c r="K45" s="2534">
        <f>SUM(K7,K36,K44)</f>
        <v>675185</v>
      </c>
      <c r="L45" s="2534"/>
      <c r="M45" s="2534"/>
      <c r="N45" s="2534">
        <f>SUM(N7,N36,N44)</f>
        <v>573785.82400000002</v>
      </c>
      <c r="O45" s="2534"/>
      <c r="P45" s="2534"/>
      <c r="Q45" s="2534">
        <f>SUM(Q7,Q36,Q44)</f>
        <v>629617.76</v>
      </c>
      <c r="R45" s="2534"/>
      <c r="S45" s="2534"/>
      <c r="T45" s="2534">
        <f>SUM(T7,T36,T44)</f>
        <v>767421.35199999996</v>
      </c>
      <c r="U45" s="2534"/>
      <c r="V45" s="2534"/>
      <c r="W45" s="2534">
        <f>SUM(W7,W36,W44)</f>
        <v>1598566.2</v>
      </c>
      <c r="X45" s="2534"/>
      <c r="Y45" s="2534"/>
      <c r="Z45" s="2534">
        <f>SUM(Z7,Z36,Z44)</f>
        <v>960665.2</v>
      </c>
      <c r="AA45" s="2534"/>
      <c r="AB45" s="2534"/>
      <c r="AC45" s="2534">
        <f>SUM(AC7,AC36,AC44)</f>
        <v>825155.6</v>
      </c>
      <c r="AD45" s="2534"/>
      <c r="AE45" s="2534"/>
      <c r="AF45" s="2534">
        <f>SUM(AF7,AF36,AF44)</f>
        <v>829132.94799999997</v>
      </c>
      <c r="AG45" s="2534"/>
      <c r="AH45" s="2534"/>
      <c r="AI45" s="2534">
        <f>SUM(AI7,AI36,AI44)</f>
        <v>717257.71200000006</v>
      </c>
      <c r="AJ45" s="2534"/>
      <c r="AK45" s="2534"/>
      <c r="AL45" s="2534">
        <f>SUM(AL7,AL36,AL44)</f>
        <v>953865.92</v>
      </c>
      <c r="AM45" s="2534"/>
      <c r="AN45" s="2534"/>
      <c r="AO45" s="2534">
        <f>SUM(AO7,AO36,AO44)</f>
        <v>713747.83199999994</v>
      </c>
    </row>
    <row r="46" spans="1:41" hidden="1">
      <c r="E46" s="35">
        <f>E7/C7</f>
        <v>0.81448214544176334</v>
      </c>
      <c r="H46" s="35">
        <f>H7/F7</f>
        <v>0.83456659619450313</v>
      </c>
      <c r="K46" s="35">
        <f>K7/I7</f>
        <v>0.89259904728709194</v>
      </c>
      <c r="N46" s="35">
        <f>N7/L7</f>
        <v>0.95244686109738008</v>
      </c>
      <c r="Q46" s="35">
        <f>Q7/O7</f>
        <v>0.90753380553766905</v>
      </c>
      <c r="T46" s="35">
        <f>T7/R7</f>
        <v>0.93019230769230765</v>
      </c>
      <c r="W46" s="35">
        <f>W7/U7</f>
        <v>0.79051887605585247</v>
      </c>
      <c r="Z46" s="35">
        <f>Z7/X7</f>
        <v>0.92467439785905436</v>
      </c>
      <c r="AC46" s="35">
        <f>AC7/AA7</f>
        <v>0.93489299963728689</v>
      </c>
      <c r="AF46" s="35">
        <f>AF7/AD7</f>
        <v>0.94788732394366193</v>
      </c>
      <c r="AI46" s="35">
        <f>AI7/AG7</f>
        <v>0.89964102564102566</v>
      </c>
      <c r="AL46" s="35">
        <f>AL7/AJ7</f>
        <v>0.58535641328889365</v>
      </c>
      <c r="AO46" s="35">
        <f>AO7/AM7</f>
        <v>0.93161403508771934</v>
      </c>
    </row>
    <row r="50" hidden="1"/>
    <row r="51" hidden="1"/>
  </sheetData>
  <mergeCells count="18">
    <mergeCell ref="A5:A6"/>
    <mergeCell ref="B5:B6"/>
    <mergeCell ref="C5:E5"/>
    <mergeCell ref="F5:H5"/>
    <mergeCell ref="I5:K5"/>
    <mergeCell ref="AG5:AI5"/>
    <mergeCell ref="E2:W2"/>
    <mergeCell ref="AJ5:AL5"/>
    <mergeCell ref="U3:W3"/>
    <mergeCell ref="AM3:AO3"/>
    <mergeCell ref="L5:N5"/>
    <mergeCell ref="O5:Q5"/>
    <mergeCell ref="R5:T5"/>
    <mergeCell ref="AM5:AO5"/>
    <mergeCell ref="U5:W5"/>
    <mergeCell ref="X5:Z5"/>
    <mergeCell ref="AA5:AC5"/>
    <mergeCell ref="AD5:AF5"/>
  </mergeCells>
  <hyperlinks>
    <hyperlink ref="A5:A6" location="'List danh mục'!A1" display="STT"/>
  </hyperlinks>
  <printOptions horizontalCentered="1"/>
  <pageMargins left="0" right="0" top="0.39370078740157483" bottom="0" header="0.11811023622047245" footer="0.11811023622047245"/>
  <pageSetup paperSize="9" scale="55" orientation="landscape" r:id="rId1"/>
  <headerFooter>
    <oddHeader>&amp;R&amp;A</oddHeader>
    <oddFooter>&amp;C&amp;P/&amp;N</oddFooter>
  </headerFooter>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O51"/>
  <sheetViews>
    <sheetView workbookViewId="0">
      <selection activeCell="Y35" sqref="Y35"/>
    </sheetView>
  </sheetViews>
  <sheetFormatPr defaultColWidth="9" defaultRowHeight="18.75" customHeight="1"/>
  <cols>
    <col min="1" max="1" width="4.5" style="19" customWidth="1"/>
    <col min="2" max="2" width="50.69921875" style="1" customWidth="1"/>
    <col min="3" max="15" width="8.69921875" style="1" customWidth="1"/>
    <col min="16" max="16384" width="9" style="1"/>
  </cols>
  <sheetData>
    <row r="1" spans="1:15" ht="18.75" customHeight="1">
      <c r="A1" s="4442" t="s">
        <v>2361</v>
      </c>
      <c r="B1" s="4442"/>
      <c r="C1" s="4442"/>
      <c r="D1" s="4442"/>
      <c r="E1" s="4442"/>
      <c r="F1" s="4442"/>
      <c r="G1" s="4442"/>
      <c r="H1" s="4442"/>
      <c r="I1" s="4442"/>
      <c r="J1" s="4442"/>
      <c r="K1" s="4442"/>
      <c r="L1" s="4442"/>
      <c r="M1" s="4442"/>
      <c r="N1" s="4442"/>
      <c r="O1" s="4442"/>
    </row>
    <row r="2" spans="1:15" ht="18.75" customHeight="1">
      <c r="A2" s="4441" t="str">
        <f>'Phụ lục số 4'!A2:AD2</f>
        <v>(Kèm theo Báo cáo số         /BC-UBND ngày      tháng 10 năm 2023 của Ủy ban nhân dân tỉnh Đồng Tháp)</v>
      </c>
      <c r="B2" s="4441"/>
      <c r="C2" s="4441"/>
      <c r="D2" s="4441"/>
      <c r="E2" s="4441"/>
      <c r="F2" s="4441"/>
      <c r="G2" s="4441"/>
      <c r="H2" s="4441"/>
      <c r="I2" s="4441"/>
      <c r="J2" s="4441"/>
      <c r="K2" s="4441"/>
      <c r="L2" s="4441"/>
      <c r="M2" s="4441"/>
      <c r="N2" s="4441"/>
      <c r="O2" s="4441"/>
    </row>
    <row r="3" spans="1:15" ht="18.75" customHeight="1">
      <c r="M3" s="4421" t="s">
        <v>64</v>
      </c>
      <c r="N3" s="4421"/>
      <c r="O3" s="4421"/>
    </row>
    <row r="4" spans="1:15" ht="52.2">
      <c r="A4" s="2285" t="s">
        <v>288</v>
      </c>
      <c r="B4" s="2402" t="s">
        <v>289</v>
      </c>
      <c r="C4" s="6" t="s">
        <v>53</v>
      </c>
      <c r="D4" s="3854" t="s">
        <v>2362</v>
      </c>
      <c r="E4" s="6" t="s">
        <v>290</v>
      </c>
      <c r="F4" s="6" t="s">
        <v>2363</v>
      </c>
      <c r="G4" s="6" t="s">
        <v>2364</v>
      </c>
      <c r="H4" s="6" t="s">
        <v>2365</v>
      </c>
      <c r="I4" s="6" t="s">
        <v>2366</v>
      </c>
      <c r="J4" s="6" t="s">
        <v>294</v>
      </c>
      <c r="K4" s="3854" t="s">
        <v>2367</v>
      </c>
      <c r="L4" s="3854" t="s">
        <v>413</v>
      </c>
      <c r="M4" s="6" t="s">
        <v>2368</v>
      </c>
      <c r="N4" s="3854" t="s">
        <v>2369</v>
      </c>
      <c r="O4" s="3854" t="s">
        <v>2370</v>
      </c>
    </row>
    <row r="5" spans="1:15" s="2210" customFormat="1" ht="18.75" customHeight="1">
      <c r="A5" s="2286"/>
      <c r="B5" s="1408" t="s">
        <v>297</v>
      </c>
      <c r="C5" s="1409">
        <f t="shared" ref="C5:N5" si="0">SUM(C6,C10,C14,C15,C16)</f>
        <v>9908403.3480000012</v>
      </c>
      <c r="D5" s="1409">
        <f>SUM(D6,D10,D14,D15,D16)</f>
        <v>664002</v>
      </c>
      <c r="E5" s="1409">
        <f t="shared" si="0"/>
        <v>675185</v>
      </c>
      <c r="F5" s="1409">
        <f t="shared" si="0"/>
        <v>573785.82400000002</v>
      </c>
      <c r="G5" s="1409">
        <f t="shared" si="0"/>
        <v>629617.76</v>
      </c>
      <c r="H5" s="1409">
        <f t="shared" si="0"/>
        <v>767421.35199999996</v>
      </c>
      <c r="I5" s="1409">
        <f t="shared" si="0"/>
        <v>1598566.2</v>
      </c>
      <c r="J5" s="1409">
        <f t="shared" si="0"/>
        <v>960665.2</v>
      </c>
      <c r="K5" s="1409">
        <f>SUM(K6,K10,K14,K15,K16)</f>
        <v>825155.6</v>
      </c>
      <c r="L5" s="1409">
        <f t="shared" si="0"/>
        <v>829132.94799999997</v>
      </c>
      <c r="M5" s="1409">
        <f>SUM(M6,M10,M14,M15,M16)</f>
        <v>717257.71200000006</v>
      </c>
      <c r="N5" s="1409">
        <f t="shared" si="0"/>
        <v>953865.92</v>
      </c>
      <c r="O5" s="1409">
        <f>SUM(O6,O10,O14,O15,O16)</f>
        <v>713747.83200000005</v>
      </c>
    </row>
    <row r="6" spans="1:15" s="2210" customFormat="1" ht="18.75" customHeight="1">
      <c r="A6" s="2596" t="s">
        <v>9</v>
      </c>
      <c r="B6" s="1399" t="s">
        <v>93</v>
      </c>
      <c r="C6" s="1415">
        <f t="shared" ref="C6:O6" si="1">SUM(C8:C9)</f>
        <v>1724000.4089698761</v>
      </c>
      <c r="D6" s="1415">
        <f t="shared" si="1"/>
        <v>117999.59453397225</v>
      </c>
      <c r="E6" s="1415">
        <f t="shared" si="1"/>
        <v>298000.23934054258</v>
      </c>
      <c r="F6" s="1415">
        <f t="shared" si="1"/>
        <v>58999.51627905004</v>
      </c>
      <c r="G6" s="1415">
        <f t="shared" si="1"/>
        <v>83999.809682436709</v>
      </c>
      <c r="H6" s="1415">
        <f t="shared" si="1"/>
        <v>106999.86288471894</v>
      </c>
      <c r="I6" s="1415">
        <f t="shared" si="1"/>
        <v>284000.24258928356</v>
      </c>
      <c r="J6" s="1415">
        <f t="shared" si="1"/>
        <v>101000.03850993092</v>
      </c>
      <c r="K6" s="1415">
        <f t="shared" si="1"/>
        <v>130000.33494633662</v>
      </c>
      <c r="L6" s="1415">
        <f t="shared" si="1"/>
        <v>96000.351400568732</v>
      </c>
      <c r="M6" s="1415">
        <f t="shared" si="1"/>
        <v>96999.720817696681</v>
      </c>
      <c r="N6" s="1415">
        <f t="shared" si="1"/>
        <v>227000.360400012</v>
      </c>
      <c r="O6" s="1415">
        <f t="shared" si="1"/>
        <v>123000.33758532717</v>
      </c>
    </row>
    <row r="7" spans="1:15" s="161" customFormat="1" ht="18">
      <c r="A7" s="2597"/>
      <c r="B7" s="2593" t="s">
        <v>299</v>
      </c>
      <c r="C7" s="2598">
        <f t="shared" ref="C7:C13" si="2">SUM(D7:O7)</f>
        <v>0</v>
      </c>
      <c r="D7" s="2598"/>
      <c r="E7" s="2598"/>
      <c r="F7" s="2598"/>
      <c r="G7" s="2598"/>
      <c r="H7" s="2598"/>
      <c r="I7" s="2598"/>
      <c r="J7" s="2598"/>
      <c r="K7" s="2598"/>
      <c r="L7" s="2598"/>
      <c r="M7" s="2598"/>
      <c r="N7" s="2598"/>
      <c r="O7" s="2598"/>
    </row>
    <row r="8" spans="1:15" ht="18.75" customHeight="1">
      <c r="A8" s="2599">
        <v>1</v>
      </c>
      <c r="B8" s="2246" t="s">
        <v>1305</v>
      </c>
      <c r="C8" s="10">
        <f t="shared" si="2"/>
        <v>581000.40896987612</v>
      </c>
      <c r="D8" s="10">
        <f>'Phụ lục 6.1 Chi'!P25</f>
        <v>27999.594533972257</v>
      </c>
      <c r="E8" s="10">
        <f>'Phụ lục 6.1 Chi'!X25</f>
        <v>28000.239340542557</v>
      </c>
      <c r="F8" s="10">
        <f>'Phụ lục 6.1 Chi'!AF25</f>
        <v>31999.51627905004</v>
      </c>
      <c r="G8" s="10">
        <f>'Phụ lục 6.1 Chi'!AN25</f>
        <v>29999.809682436709</v>
      </c>
      <c r="H8" s="10">
        <f>'Phụ lục 6.1 Chi'!AV25</f>
        <v>43999.862884718939</v>
      </c>
      <c r="I8" s="10">
        <f>'Phụ lục 6.1 Chi'!BD25</f>
        <v>140000.24258928356</v>
      </c>
      <c r="J8" s="10">
        <f>'Phụ lục 6.1 Chi'!BL25</f>
        <v>47000.038509930921</v>
      </c>
      <c r="K8" s="10">
        <f>'Phụ lục 6.1 Chi'!BT25</f>
        <v>40000.334946336618</v>
      </c>
      <c r="L8" s="10">
        <f>'Phụ lục 6.1 Chi'!CB25</f>
        <v>42000.351400568725</v>
      </c>
      <c r="M8" s="10">
        <f>'Phụ lục 6.1 Chi'!CJ25</f>
        <v>33999.720817696674</v>
      </c>
      <c r="N8" s="10">
        <f>'Phụ lục 6.1 Chi'!CR25</f>
        <v>83000.360400011981</v>
      </c>
      <c r="O8" s="10">
        <f>'Phụ lục 6.1 Chi'!CZ25</f>
        <v>33000.337585327172</v>
      </c>
    </row>
    <row r="9" spans="1:15" ht="18.75" customHeight="1">
      <c r="A9" s="2599">
        <v>2</v>
      </c>
      <c r="B9" s="2246" t="s">
        <v>391</v>
      </c>
      <c r="C9" s="10">
        <f t="shared" si="2"/>
        <v>1143000</v>
      </c>
      <c r="D9" s="10">
        <f>'Phụ lục 6.1 Chi'!P27</f>
        <v>90000</v>
      </c>
      <c r="E9" s="10">
        <f>'Phụ lục 6.1 Chi'!X27</f>
        <v>270000</v>
      </c>
      <c r="F9" s="10">
        <f>'Phụ lục 6.1 Chi'!AF27</f>
        <v>27000</v>
      </c>
      <c r="G9" s="10">
        <f>'Phụ lục 6.1 Chi'!AN27</f>
        <v>54000</v>
      </c>
      <c r="H9" s="10">
        <f>'Phụ lục 6.1 Chi'!AV27</f>
        <v>63000</v>
      </c>
      <c r="I9" s="10">
        <f>'Phụ lục 6.1 Chi'!BD27</f>
        <v>144000</v>
      </c>
      <c r="J9" s="10">
        <f>'Phụ lục 6.1 Chi'!BL27</f>
        <v>54000</v>
      </c>
      <c r="K9" s="10">
        <f>'Phụ lục 6.1 Chi'!BT27</f>
        <v>90000</v>
      </c>
      <c r="L9" s="10">
        <f>'Phụ lục 6.1 Chi'!CB27</f>
        <v>54000</v>
      </c>
      <c r="M9" s="10">
        <f>'Phụ lục 6.1 Chi'!CJ27</f>
        <v>63000</v>
      </c>
      <c r="N9" s="10">
        <f>'Phụ lục 6.1 Chi'!CR27</f>
        <v>144000</v>
      </c>
      <c r="O9" s="10">
        <f>'Phụ lục 6.1 Chi'!CZ27</f>
        <v>90000</v>
      </c>
    </row>
    <row r="10" spans="1:15" s="2210" customFormat="1" ht="18.75" customHeight="1">
      <c r="A10" s="2596" t="s">
        <v>20</v>
      </c>
      <c r="B10" s="1399" t="s">
        <v>298</v>
      </c>
      <c r="C10" s="1415">
        <f>SUM(D10:O10)</f>
        <v>7370538.3947110819</v>
      </c>
      <c r="D10" s="1415">
        <f>'Phụ lục 6.1 Chi'!P28-D19-D20-D21</f>
        <v>535564.81160976144</v>
      </c>
      <c r="E10" s="1415">
        <f>'Phụ lục 6.1 Chi'!X28-E19-E20-E21</f>
        <v>365685.54508638143</v>
      </c>
      <c r="F10" s="1415">
        <f>'Phụ lục 6.1 Chi'!AF28-F19-F20-F21</f>
        <v>504249.08388374688</v>
      </c>
      <c r="G10" s="1415">
        <f>'Phụ lục 6.1 Chi'!AN28-G19-G20-G21</f>
        <v>534028.97233674373</v>
      </c>
      <c r="H10" s="1415">
        <f>'Phụ lục 6.1 Chi'!AV28-H19-H20-H21</f>
        <v>645402.39632410579</v>
      </c>
      <c r="I10" s="1415">
        <f>'Phụ lục 6.1 Chi'!BD28-I19-I20-I21</f>
        <v>824431.64142151806</v>
      </c>
      <c r="J10" s="1415">
        <f>'Phụ lục 6.1 Chi'!BL28-J19-J20-J21</f>
        <v>841340.27048818825</v>
      </c>
      <c r="K10" s="1415">
        <f>'Phụ lục 6.1 Chi'!BT28-K19-K20-K21</f>
        <v>679823.93388392578</v>
      </c>
      <c r="L10" s="1415">
        <f>'Phụ lục 6.1 Chi'!CB28-L19-L20-L21</f>
        <v>716878.32347413257</v>
      </c>
      <c r="M10" s="1415">
        <f>'Phụ lục 6.1 Chi'!CJ28-M19-M20-M21</f>
        <v>608806.9670957122</v>
      </c>
      <c r="N10" s="1415">
        <f>'Phụ lục 6.1 Chi'!CR28-N19-N20-N21</f>
        <v>537382.28403784544</v>
      </c>
      <c r="O10" s="1415">
        <f>'Phụ lục 6.1 Chi'!CZ28-O19-O20-O21</f>
        <v>576944.16506902024</v>
      </c>
    </row>
    <row r="11" spans="1:15" s="161" customFormat="1" ht="18.75" customHeight="1">
      <c r="A11" s="2600"/>
      <c r="B11" s="2593" t="s">
        <v>299</v>
      </c>
      <c r="C11" s="31"/>
      <c r="D11" s="31"/>
      <c r="E11" s="31"/>
      <c r="F11" s="31"/>
      <c r="G11" s="31"/>
      <c r="H11" s="31"/>
      <c r="I11" s="31"/>
      <c r="J11" s="31"/>
      <c r="K11" s="31"/>
      <c r="L11" s="31"/>
      <c r="M11" s="31"/>
      <c r="N11" s="31"/>
      <c r="O11" s="31"/>
    </row>
    <row r="12" spans="1:15" s="2210" customFormat="1" ht="18.75" customHeight="1">
      <c r="A12" s="2599">
        <v>1</v>
      </c>
      <c r="B12" s="16" t="s">
        <v>300</v>
      </c>
      <c r="C12" s="10">
        <f t="shared" si="2"/>
        <v>3841269.7831797441</v>
      </c>
      <c r="D12" s="10">
        <f>'Phụ lục 6.1 Chi'!P29</f>
        <v>319042.11488564592</v>
      </c>
      <c r="E12" s="10">
        <f>'Phụ lục 6.1 Chi'!X29</f>
        <v>186442.40845576092</v>
      </c>
      <c r="F12" s="10">
        <f>'Phụ lục 6.1 Chi'!AF29</f>
        <v>286155.85849218653</v>
      </c>
      <c r="G12" s="10">
        <f>'Phụ lục 6.1 Chi'!AN29</f>
        <v>267458.19947370357</v>
      </c>
      <c r="H12" s="10">
        <f>'Phụ lục 6.1 Chi'!AV29</f>
        <v>358528.40219701076</v>
      </c>
      <c r="I12" s="10">
        <f>'Phụ lục 6.1 Chi'!BD29</f>
        <v>390638.93133133231</v>
      </c>
      <c r="J12" s="10">
        <f>'Phụ lục 6.1 Chi'!BL29</f>
        <v>446043.65421420382</v>
      </c>
      <c r="K12" s="10">
        <f>'Phụ lục 6.1 Chi'!BT29</f>
        <v>372742.22567693546</v>
      </c>
      <c r="L12" s="10">
        <f>'Phụ lục 6.1 Chi'!CB29</f>
        <v>366671.59034785029</v>
      </c>
      <c r="M12" s="10">
        <f>'Phụ lục 6.1 Chi'!CJ29</f>
        <v>331706.50480976811</v>
      </c>
      <c r="N12" s="10">
        <f>'Phụ lục 6.1 Chi'!CR29</f>
        <v>221835.73186322945</v>
      </c>
      <c r="O12" s="10">
        <f>'Phụ lục 6.1 Chi'!CZ29</f>
        <v>294004.16143211746</v>
      </c>
    </row>
    <row r="13" spans="1:15" ht="18.75" customHeight="1">
      <c r="A13" s="2599">
        <v>2</v>
      </c>
      <c r="B13" s="16" t="s">
        <v>301</v>
      </c>
      <c r="C13" s="10">
        <f t="shared" si="2"/>
        <v>3529268.6115313373</v>
      </c>
      <c r="D13" s="10">
        <f>D10-D12</f>
        <v>216522.69672411552</v>
      </c>
      <c r="E13" s="10">
        <f>E10-E12</f>
        <v>179243.13663062052</v>
      </c>
      <c r="F13" s="10">
        <f t="shared" ref="F13:O13" si="3">F10-F12</f>
        <v>218093.22539156035</v>
      </c>
      <c r="G13" s="10">
        <f t="shared" si="3"/>
        <v>266570.77286304015</v>
      </c>
      <c r="H13" s="10">
        <f t="shared" si="3"/>
        <v>286873.99412709504</v>
      </c>
      <c r="I13" s="10">
        <f t="shared" si="3"/>
        <v>433792.71009018575</v>
      </c>
      <c r="J13" s="10">
        <f t="shared" si="3"/>
        <v>395296.61627398443</v>
      </c>
      <c r="K13" s="10">
        <f t="shared" si="3"/>
        <v>307081.70820699033</v>
      </c>
      <c r="L13" s="10">
        <f t="shared" si="3"/>
        <v>350206.73312628228</v>
      </c>
      <c r="M13" s="10">
        <f t="shared" si="3"/>
        <v>277100.46228594409</v>
      </c>
      <c r="N13" s="10">
        <f t="shared" si="3"/>
        <v>315546.55217461602</v>
      </c>
      <c r="O13" s="10">
        <f t="shared" si="3"/>
        <v>282940.00363690278</v>
      </c>
    </row>
    <row r="14" spans="1:15" s="2210" customFormat="1" ht="18.75" customHeight="1">
      <c r="A14" s="2596" t="s">
        <v>49</v>
      </c>
      <c r="B14" s="1399" t="s">
        <v>87</v>
      </c>
      <c r="C14" s="1415">
        <f t="shared" ref="C14:C21" si="4">SUM(D14:O14)</f>
        <v>175604.54431904212</v>
      </c>
      <c r="D14" s="1415">
        <f>'Phụ lục 6.1 Chi'!P31</f>
        <v>10437.59385626638</v>
      </c>
      <c r="E14" s="1415">
        <f>'Phụ lục 6.1 Chi'!X31</f>
        <v>11499.215573075984</v>
      </c>
      <c r="F14" s="1415">
        <f>'Phụ lục 6.1 Chi'!AF31</f>
        <v>10537.223837203137</v>
      </c>
      <c r="G14" s="1415">
        <f>'Phụ lục 6.1 Chi'!AN31</f>
        <v>11588.977980819584</v>
      </c>
      <c r="H14" s="1415">
        <f>'Phụ lục 6.1 Chi'!AV31</f>
        <v>15019.092791175266</v>
      </c>
      <c r="I14" s="1415">
        <f>'Phụ lục 6.1 Chi'!BD31</f>
        <v>24840.315989198371</v>
      </c>
      <c r="J14" s="1415">
        <f>'Phụ lục 6.1 Chi'!BL31</f>
        <v>18324.891001880766</v>
      </c>
      <c r="K14" s="1415">
        <f>'Phụ lục 6.1 Chi'!BT31</f>
        <v>15331.331169737576</v>
      </c>
      <c r="L14" s="1415">
        <f>'Phụ lục 6.1 Chi'!CB31</f>
        <v>16254.273125298643</v>
      </c>
      <c r="M14" s="1415">
        <f>'Phụ lục 6.1 Chi'!CJ31</f>
        <v>11451.024086591191</v>
      </c>
      <c r="N14" s="1415">
        <f>'Phụ lục 6.1 Chi'!CR31</f>
        <v>16517.275562142579</v>
      </c>
      <c r="O14" s="1415">
        <f>'Phụ lục 6.1 Chi'!CZ31</f>
        <v>13803.329345652623</v>
      </c>
    </row>
    <row r="15" spans="1:15" s="2210" customFormat="1" ht="18.75" customHeight="1">
      <c r="A15" s="2601" t="s">
        <v>50</v>
      </c>
      <c r="B15" s="2283" t="s">
        <v>302</v>
      </c>
      <c r="C15" s="2602">
        <f t="shared" si="4"/>
        <v>638260</v>
      </c>
      <c r="D15" s="2602">
        <f>'Phụ lục 6.1 Chi'!P33</f>
        <v>0</v>
      </c>
      <c r="E15" s="2602">
        <f>'Phụ lục 6.1 Chi'!X33</f>
        <v>0</v>
      </c>
      <c r="F15" s="2602">
        <f>'Phụ lục 6.1 Chi'!AF33</f>
        <v>0</v>
      </c>
      <c r="G15" s="2602">
        <f>'Phụ lục 6.1 Chi'!AN33</f>
        <v>0</v>
      </c>
      <c r="H15" s="2602">
        <f>'Phụ lục 6.1 Chi'!AV33</f>
        <v>0</v>
      </c>
      <c r="I15" s="2602">
        <f>'Phụ lục 6.1 Chi'!BD33</f>
        <v>465294</v>
      </c>
      <c r="J15" s="2602">
        <f>'Phụ lục 6.1 Chi'!BL33</f>
        <v>0</v>
      </c>
      <c r="K15" s="2602">
        <f>'Phụ lục 6.1 Chi'!BT33</f>
        <v>0</v>
      </c>
      <c r="L15" s="2602">
        <f>'Phụ lục 6.1 Chi'!CB33</f>
        <v>0</v>
      </c>
      <c r="M15" s="2602">
        <f>'Phụ lục 6.1 Chi'!CJ33</f>
        <v>0</v>
      </c>
      <c r="N15" s="2602">
        <f>'Phụ lục 6.1 Chi'!CR33</f>
        <v>172966</v>
      </c>
      <c r="O15" s="2602">
        <f>'Phụ lục 6.1 Chi'!CZ33</f>
        <v>0</v>
      </c>
    </row>
    <row r="16" spans="1:15" s="2210" customFormat="1" ht="18.75" customHeight="1">
      <c r="A16" s="2603" t="s">
        <v>72</v>
      </c>
      <c r="B16" s="2268" t="s">
        <v>303</v>
      </c>
      <c r="C16" s="2604">
        <f>SUM(D16:O16)</f>
        <v>0</v>
      </c>
      <c r="D16" s="2604">
        <f>ROUND(SUM(D17:D21),0)</f>
        <v>0</v>
      </c>
      <c r="E16" s="2604">
        <f t="shared" ref="E16:O16" si="5">ROUND(SUM(E17:E21),0)</f>
        <v>0</v>
      </c>
      <c r="F16" s="2604">
        <f t="shared" si="5"/>
        <v>0</v>
      </c>
      <c r="G16" s="2604">
        <f t="shared" si="5"/>
        <v>0</v>
      </c>
      <c r="H16" s="2604">
        <f t="shared" si="5"/>
        <v>0</v>
      </c>
      <c r="I16" s="2604">
        <f t="shared" si="5"/>
        <v>0</v>
      </c>
      <c r="J16" s="2604">
        <f t="shared" si="5"/>
        <v>0</v>
      </c>
      <c r="K16" s="2604">
        <f t="shared" si="5"/>
        <v>0</v>
      </c>
      <c r="L16" s="2604">
        <f t="shared" si="5"/>
        <v>0</v>
      </c>
      <c r="M16" s="2604">
        <f t="shared" si="5"/>
        <v>0</v>
      </c>
      <c r="N16" s="2604">
        <f t="shared" si="5"/>
        <v>0</v>
      </c>
      <c r="O16" s="2604">
        <f t="shared" si="5"/>
        <v>0</v>
      </c>
    </row>
    <row r="17" spans="1:15" s="166" customFormat="1" ht="18.75" hidden="1" customHeight="1">
      <c r="A17" s="2817" t="s">
        <v>137</v>
      </c>
      <c r="B17" s="11" t="s">
        <v>1305</v>
      </c>
      <c r="C17" s="2299">
        <f t="shared" si="4"/>
        <v>0</v>
      </c>
      <c r="D17" s="2299"/>
      <c r="E17" s="2299"/>
      <c r="F17" s="2299"/>
      <c r="G17" s="2299"/>
      <c r="H17" s="2299"/>
      <c r="I17" s="2299"/>
      <c r="J17" s="2299"/>
      <c r="K17" s="2299"/>
      <c r="L17" s="2299"/>
      <c r="M17" s="2299"/>
      <c r="N17" s="2299"/>
      <c r="O17" s="2299"/>
    </row>
    <row r="18" spans="1:15" s="166" customFormat="1" ht="18.75" hidden="1" customHeight="1">
      <c r="A18" s="2817" t="s">
        <v>137</v>
      </c>
      <c r="B18" s="11" t="s">
        <v>2577</v>
      </c>
      <c r="C18" s="2299">
        <f t="shared" si="4"/>
        <v>0</v>
      </c>
      <c r="D18" s="2299"/>
      <c r="E18" s="2299"/>
      <c r="F18" s="2299"/>
      <c r="G18" s="2299"/>
      <c r="H18" s="2299"/>
      <c r="I18" s="2299"/>
      <c r="J18" s="2299"/>
      <c r="K18" s="2299"/>
      <c r="L18" s="2299"/>
      <c r="M18" s="2299"/>
      <c r="N18" s="2299"/>
      <c r="O18" s="2299"/>
    </row>
    <row r="19" spans="1:15" s="166" customFormat="1" ht="18.75" hidden="1" customHeight="1">
      <c r="A19" s="2817" t="s">
        <v>137</v>
      </c>
      <c r="B19" s="11" t="s">
        <v>2578</v>
      </c>
      <c r="C19" s="2299">
        <f t="shared" si="4"/>
        <v>0</v>
      </c>
      <c r="D19" s="2299"/>
      <c r="E19" s="2299"/>
      <c r="F19" s="2299"/>
      <c r="G19" s="2299"/>
      <c r="H19" s="2299"/>
      <c r="I19" s="2299"/>
      <c r="J19" s="2299"/>
      <c r="K19" s="2299"/>
      <c r="L19" s="2299"/>
      <c r="M19" s="2299"/>
      <c r="N19" s="2299"/>
      <c r="O19" s="2299">
        <v>0</v>
      </c>
    </row>
    <row r="20" spans="1:15" s="2820" customFormat="1" ht="18.75" hidden="1" customHeight="1">
      <c r="A20" s="2818" t="s">
        <v>137</v>
      </c>
      <c r="B20" s="11" t="s">
        <v>2579</v>
      </c>
      <c r="C20" s="2819">
        <f t="shared" si="4"/>
        <v>0</v>
      </c>
      <c r="D20" s="2819"/>
      <c r="E20" s="2819"/>
      <c r="F20" s="2819"/>
      <c r="G20" s="2819"/>
      <c r="H20" s="2819"/>
      <c r="I20" s="2819"/>
      <c r="J20" s="2819"/>
      <c r="K20" s="2819"/>
      <c r="L20" s="2819"/>
      <c r="M20" s="2819"/>
      <c r="N20" s="2819"/>
      <c r="O20" s="2819"/>
    </row>
    <row r="21" spans="1:15" s="2820" customFormat="1" ht="18.75" hidden="1" customHeight="1">
      <c r="A21" s="2821" t="s">
        <v>137</v>
      </c>
      <c r="B21" s="2822" t="s">
        <v>2580</v>
      </c>
      <c r="C21" s="2823">
        <f t="shared" si="4"/>
        <v>0</v>
      </c>
      <c r="D21" s="2823"/>
      <c r="E21" s="2823"/>
      <c r="F21" s="2823"/>
      <c r="G21" s="2823"/>
      <c r="H21" s="2823"/>
      <c r="I21" s="2823"/>
      <c r="J21" s="2823"/>
      <c r="K21" s="2823"/>
      <c r="L21" s="2823"/>
      <c r="M21" s="2823"/>
      <c r="N21" s="2823"/>
      <c r="O21" s="2823"/>
    </row>
    <row r="24" spans="1:15" ht="18.75" customHeight="1">
      <c r="D24" s="36"/>
      <c r="E24" s="36"/>
      <c r="F24" s="36"/>
      <c r="G24" s="36"/>
      <c r="H24" s="36"/>
      <c r="I24" s="36"/>
      <c r="J24" s="36"/>
      <c r="K24" s="36"/>
      <c r="L24" s="36"/>
      <c r="M24" s="36"/>
      <c r="N24" s="36"/>
      <c r="O24" s="36"/>
    </row>
    <row r="46" ht="18.75" hidden="1" customHeight="1"/>
    <row r="50" ht="18.75" hidden="1" customHeight="1"/>
    <row r="51" ht="18.75" hidden="1" customHeight="1"/>
  </sheetData>
  <mergeCells count="3">
    <mergeCell ref="A1:O1"/>
    <mergeCell ref="M3:O3"/>
    <mergeCell ref="A2:O2"/>
  </mergeCells>
  <hyperlinks>
    <hyperlink ref="A4" location="'List danh mục'!A1" display="Số TT"/>
  </hyperlinks>
  <printOptions horizontalCentered="1"/>
  <pageMargins left="0" right="0" top="0.39370078740157483" bottom="0" header="0" footer="0"/>
  <pageSetup paperSize="9" scale="80" orientation="landscape" r:id="rId1"/>
  <headerFooter>
    <oddHeader>&amp;R&amp;A</oddHeader>
    <oddFooter>&amp;C&amp;P/&amp;N</oddFooter>
  </headerFooter>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Z188"/>
  <sheetViews>
    <sheetView workbookViewId="0">
      <selection activeCell="Y11" sqref="Y11"/>
    </sheetView>
  </sheetViews>
  <sheetFormatPr defaultColWidth="9" defaultRowHeight="15.6"/>
  <cols>
    <col min="1" max="1" width="5.3984375" style="290" customWidth="1"/>
    <col min="2" max="2" width="55.59765625" style="220" customWidth="1"/>
    <col min="3" max="10" width="8.59765625" style="220" hidden="1" customWidth="1"/>
    <col min="11" max="11" width="10.69921875" style="220" hidden="1" customWidth="1"/>
    <col min="12" max="13" width="8.59765625" style="220" hidden="1" customWidth="1"/>
    <col min="14" max="15" width="8.59765625" style="220" customWidth="1"/>
    <col min="16" max="16" width="7.8984375" style="220" customWidth="1"/>
    <col min="17" max="17" width="7.5" style="553" customWidth="1"/>
    <col min="18" max="18" width="7.19921875" style="220" customWidth="1"/>
    <col min="19" max="19" width="8" style="220" customWidth="1"/>
    <col min="20" max="22" width="8.59765625" style="294" hidden="1" customWidth="1"/>
    <col min="23" max="23" width="6.19921875" style="294" hidden="1" customWidth="1"/>
    <col min="24" max="24" width="7.69921875" style="220" customWidth="1"/>
    <col min="25" max="25" width="7.3984375" style="220" customWidth="1"/>
    <col min="26" max="26" width="7.19921875" style="220" customWidth="1"/>
    <col min="27" max="27" width="7.5" style="220" customWidth="1"/>
    <col min="28" max="31" width="7.5" style="220" hidden="1" customWidth="1"/>
    <col min="32" max="32" width="7.69921875" style="220" customWidth="1"/>
    <col min="33" max="33" width="7.3984375" style="220" customWidth="1"/>
    <col min="34" max="36" width="8.59765625" style="220" customWidth="1"/>
    <col min="37" max="37" width="7.19921875" style="220" hidden="1" customWidth="1"/>
    <col min="38" max="38" width="6.19921875" style="220" hidden="1" customWidth="1"/>
    <col min="39" max="39" width="7" style="220" hidden="1" customWidth="1"/>
    <col min="40" max="40" width="6.5" style="220" hidden="1" customWidth="1"/>
    <col min="41" max="41" width="8.59765625" style="220" customWidth="1"/>
    <col min="42" max="46" width="8.59765625" style="220" hidden="1" customWidth="1"/>
    <col min="47" max="47" width="7.3984375" style="220" hidden="1" customWidth="1"/>
    <col min="48" max="48" width="6.8984375" style="220" hidden="1" customWidth="1"/>
    <col min="49" max="50" width="7.3984375" style="220" hidden="1" customWidth="1"/>
    <col min="51" max="52" width="9" style="220" hidden="1" customWidth="1"/>
    <col min="53" max="57" width="9" style="220" customWidth="1"/>
    <col min="58" max="16384" width="9" style="220"/>
  </cols>
  <sheetData>
    <row r="1" spans="1:52" ht="15.45" customHeight="1">
      <c r="A1" s="4201" t="s">
        <v>542</v>
      </c>
      <c r="B1" s="4201"/>
      <c r="C1" s="4201"/>
      <c r="D1" s="4201"/>
      <c r="E1" s="4201"/>
      <c r="F1" s="4201"/>
      <c r="G1" s="4201"/>
      <c r="H1" s="4201"/>
      <c r="I1" s="4201"/>
      <c r="J1" s="4201"/>
      <c r="K1" s="4201"/>
      <c r="L1" s="4201"/>
      <c r="M1" s="4201"/>
      <c r="N1" s="4201"/>
      <c r="O1" s="4201"/>
      <c r="P1" s="4201"/>
      <c r="Q1" s="4201"/>
      <c r="R1" s="4201"/>
      <c r="S1" s="4201"/>
      <c r="T1" s="4201"/>
      <c r="U1" s="4201"/>
      <c r="V1" s="4201"/>
      <c r="W1" s="4201"/>
      <c r="X1" s="4201"/>
      <c r="Y1" s="4201"/>
      <c r="Z1" s="4201"/>
      <c r="AA1" s="4201"/>
      <c r="AB1" s="4201"/>
      <c r="AC1" s="4201"/>
      <c r="AD1" s="4201"/>
      <c r="AE1" s="4201"/>
      <c r="AF1" s="4201"/>
      <c r="AG1" s="4201"/>
      <c r="AH1" s="4201"/>
      <c r="AI1" s="4201"/>
      <c r="AJ1" s="4201"/>
      <c r="AK1" s="4201"/>
      <c r="AL1" s="4201"/>
      <c r="AM1" s="4201"/>
      <c r="AN1" s="4201"/>
      <c r="AO1" s="4201"/>
      <c r="AP1" s="4201"/>
      <c r="AQ1" s="4201"/>
      <c r="AR1" s="4201"/>
      <c r="AS1" s="4201"/>
      <c r="AT1" s="4201"/>
      <c r="AU1" s="4201"/>
      <c r="AV1" s="4201"/>
      <c r="AW1" s="4201"/>
      <c r="AX1" s="4201"/>
    </row>
    <row r="2" spans="1:52">
      <c r="A2" s="4202" t="s">
        <v>543</v>
      </c>
      <c r="B2" s="4202"/>
      <c r="C2" s="4202"/>
      <c r="D2" s="4202"/>
      <c r="E2" s="4202"/>
      <c r="F2" s="4202"/>
      <c r="G2" s="4202"/>
      <c r="H2" s="4202"/>
      <c r="I2" s="4202"/>
      <c r="J2" s="4202"/>
      <c r="K2" s="4202"/>
      <c r="L2" s="4202"/>
      <c r="M2" s="4202"/>
      <c r="N2" s="4202"/>
      <c r="O2" s="4202"/>
      <c r="P2" s="4202"/>
      <c r="Q2" s="4202"/>
      <c r="R2" s="4202"/>
      <c r="S2" s="4202"/>
      <c r="T2" s="4202"/>
      <c r="U2" s="4202"/>
      <c r="V2" s="4202"/>
      <c r="W2" s="4202"/>
      <c r="X2" s="4202"/>
      <c r="Y2" s="4202"/>
      <c r="Z2" s="4202"/>
      <c r="AA2" s="4202"/>
      <c r="AB2" s="4202"/>
      <c r="AC2" s="4202"/>
      <c r="AD2" s="4202"/>
      <c r="AE2" s="4202"/>
      <c r="AF2" s="4202"/>
      <c r="AG2" s="4202"/>
      <c r="AH2" s="4202"/>
      <c r="AI2" s="4202"/>
      <c r="AJ2" s="4202"/>
      <c r="AK2" s="4202"/>
      <c r="AL2" s="4202"/>
      <c r="AM2" s="4202"/>
      <c r="AN2" s="4202"/>
      <c r="AO2" s="4202"/>
      <c r="AP2" s="4202"/>
      <c r="AQ2" s="4202"/>
      <c r="AR2" s="4202"/>
      <c r="AS2" s="4202"/>
      <c r="AT2" s="4202"/>
      <c r="AU2" s="4202"/>
      <c r="AV2" s="4202"/>
      <c r="AW2" s="4202"/>
      <c r="AX2" s="4202"/>
    </row>
    <row r="3" spans="1:52" ht="16.2" thickBot="1">
      <c r="A3" s="246"/>
      <c r="AH3" s="230"/>
      <c r="AN3" s="292" t="s">
        <v>64</v>
      </c>
    </row>
    <row r="4" spans="1:52" s="561" customFormat="1" ht="15.75" customHeight="1">
      <c r="A4" s="4269" t="s">
        <v>0</v>
      </c>
      <c r="B4" s="4263" t="s">
        <v>27</v>
      </c>
      <c r="C4" s="4263" t="s">
        <v>428</v>
      </c>
      <c r="D4" s="4263" t="s">
        <v>431</v>
      </c>
      <c r="E4" s="4263" t="s">
        <v>432</v>
      </c>
      <c r="F4" s="4263" t="s">
        <v>433</v>
      </c>
      <c r="G4" s="4263" t="s">
        <v>434</v>
      </c>
      <c r="H4" s="4263" t="s">
        <v>435</v>
      </c>
      <c r="I4" s="4263" t="s">
        <v>544</v>
      </c>
      <c r="J4" s="4263" t="s">
        <v>545</v>
      </c>
      <c r="K4" s="4263" t="s">
        <v>546</v>
      </c>
      <c r="L4" s="4263" t="s">
        <v>438</v>
      </c>
      <c r="M4" s="4263" t="s">
        <v>439</v>
      </c>
      <c r="N4" s="4265" t="s">
        <v>547</v>
      </c>
      <c r="O4" s="4266"/>
      <c r="P4" s="4265" t="s">
        <v>548</v>
      </c>
      <c r="Q4" s="4266"/>
      <c r="R4" s="4267" t="s">
        <v>549</v>
      </c>
      <c r="S4" s="4268"/>
      <c r="T4" s="4246" t="s">
        <v>550</v>
      </c>
      <c r="U4" s="4246" t="s">
        <v>551</v>
      </c>
      <c r="V4" s="4246" t="s">
        <v>546</v>
      </c>
      <c r="W4" s="4246" t="s">
        <v>552</v>
      </c>
      <c r="X4" s="4267" t="s">
        <v>553</v>
      </c>
      <c r="Y4" s="4268"/>
      <c r="Z4" s="4267" t="s">
        <v>554</v>
      </c>
      <c r="AA4" s="4268"/>
      <c r="AB4" s="4246" t="s">
        <v>555</v>
      </c>
      <c r="AC4" s="4246" t="s">
        <v>29</v>
      </c>
      <c r="AD4" s="1391"/>
      <c r="AE4" s="1391"/>
      <c r="AF4" s="4265" t="s">
        <v>145</v>
      </c>
      <c r="AG4" s="4266"/>
      <c r="AH4" s="4263" t="s">
        <v>176</v>
      </c>
      <c r="AI4" s="4263" t="s">
        <v>177</v>
      </c>
      <c r="AJ4" s="4263" t="s">
        <v>556</v>
      </c>
      <c r="AK4" s="4263" t="s">
        <v>455</v>
      </c>
      <c r="AL4" s="4263" t="s">
        <v>557</v>
      </c>
      <c r="AM4" s="4263" t="s">
        <v>558</v>
      </c>
      <c r="AN4" s="4263" t="s">
        <v>559</v>
      </c>
      <c r="AO4" s="4255" t="s">
        <v>560</v>
      </c>
      <c r="AP4" s="4240" t="s">
        <v>561</v>
      </c>
      <c r="AQ4" s="4240" t="s">
        <v>562</v>
      </c>
      <c r="AR4" s="4240" t="s">
        <v>563</v>
      </c>
      <c r="AS4" s="4240" t="s">
        <v>564</v>
      </c>
      <c r="AT4" s="4242" t="s">
        <v>565</v>
      </c>
      <c r="AU4" s="4216" t="s">
        <v>566</v>
      </c>
      <c r="AV4" s="4208" t="s">
        <v>557</v>
      </c>
      <c r="AW4" s="4208" t="s">
        <v>558</v>
      </c>
      <c r="AX4" s="4254" t="s">
        <v>567</v>
      </c>
    </row>
    <row r="5" spans="1:52" s="561" customFormat="1" ht="15.75" customHeight="1">
      <c r="A5" s="4270"/>
      <c r="B5" s="4264"/>
      <c r="C5" s="4264"/>
      <c r="D5" s="4264"/>
      <c r="E5" s="4264"/>
      <c r="F5" s="4264"/>
      <c r="G5" s="4264"/>
      <c r="H5" s="4264"/>
      <c r="I5" s="4264"/>
      <c r="J5" s="4264"/>
      <c r="K5" s="4264"/>
      <c r="L5" s="4264"/>
      <c r="M5" s="4264"/>
      <c r="N5" s="4212" t="s">
        <v>1752</v>
      </c>
      <c r="O5" s="4272"/>
      <c r="P5" s="4212" t="s">
        <v>164</v>
      </c>
      <c r="Q5" s="4272"/>
      <c r="R5" s="4273" t="s">
        <v>165</v>
      </c>
      <c r="S5" s="4274"/>
      <c r="T5" s="4247"/>
      <c r="U5" s="4247"/>
      <c r="V5" s="4247"/>
      <c r="W5" s="4247"/>
      <c r="X5" s="4273" t="s">
        <v>166</v>
      </c>
      <c r="Y5" s="4274"/>
      <c r="Z5" s="4273" t="s">
        <v>167</v>
      </c>
      <c r="AA5" s="4274"/>
      <c r="AB5" s="4247"/>
      <c r="AC5" s="4247"/>
      <c r="AD5" s="1392"/>
      <c r="AE5" s="1392"/>
      <c r="AF5" s="4212" t="s">
        <v>568</v>
      </c>
      <c r="AG5" s="4272"/>
      <c r="AH5" s="4264"/>
      <c r="AI5" s="4264"/>
      <c r="AJ5" s="4264"/>
      <c r="AK5" s="4264"/>
      <c r="AL5" s="4264"/>
      <c r="AM5" s="4264"/>
      <c r="AN5" s="4264"/>
      <c r="AO5" s="4256"/>
      <c r="AP5" s="4241"/>
      <c r="AQ5" s="4241"/>
      <c r="AR5" s="4241"/>
      <c r="AS5" s="4241"/>
      <c r="AT5" s="4243"/>
      <c r="AU5" s="4216"/>
      <c r="AV5" s="4264"/>
      <c r="AW5" s="4264"/>
      <c r="AX5" s="4254"/>
    </row>
    <row r="6" spans="1:52" s="561" customFormat="1" ht="151.5" customHeight="1">
      <c r="A6" s="4271"/>
      <c r="B6" s="4220"/>
      <c r="C6" s="4220"/>
      <c r="D6" s="4220"/>
      <c r="E6" s="4220"/>
      <c r="F6" s="4220"/>
      <c r="G6" s="4220"/>
      <c r="H6" s="4220"/>
      <c r="I6" s="4220"/>
      <c r="J6" s="4220"/>
      <c r="K6" s="4220"/>
      <c r="L6" s="4220"/>
      <c r="M6" s="4220"/>
      <c r="N6" s="1381" t="s">
        <v>465</v>
      </c>
      <c r="O6" s="562" t="s">
        <v>466</v>
      </c>
      <c r="P6" s="1381" t="s">
        <v>465</v>
      </c>
      <c r="Q6" s="562" t="s">
        <v>466</v>
      </c>
      <c r="R6" s="562" t="s">
        <v>465</v>
      </c>
      <c r="S6" s="562" t="s">
        <v>466</v>
      </c>
      <c r="T6" s="4248"/>
      <c r="U6" s="4248"/>
      <c r="V6" s="4248"/>
      <c r="W6" s="4248"/>
      <c r="X6" s="562" t="s">
        <v>465</v>
      </c>
      <c r="Y6" s="562" t="s">
        <v>466</v>
      </c>
      <c r="Z6" s="562" t="s">
        <v>465</v>
      </c>
      <c r="AA6" s="562" t="s">
        <v>466</v>
      </c>
      <c r="AB6" s="4248"/>
      <c r="AC6" s="4248"/>
      <c r="AD6" s="1393"/>
      <c r="AE6" s="1393"/>
      <c r="AF6" s="562" t="s">
        <v>465</v>
      </c>
      <c r="AG6" s="562" t="s">
        <v>569</v>
      </c>
      <c r="AH6" s="4220"/>
      <c r="AI6" s="4220"/>
      <c r="AJ6" s="4220"/>
      <c r="AK6" s="4220"/>
      <c r="AL6" s="4220"/>
      <c r="AM6" s="4220"/>
      <c r="AN6" s="4220"/>
      <c r="AO6" s="4256"/>
      <c r="AP6" s="4241"/>
      <c r="AQ6" s="4241"/>
      <c r="AR6" s="4241"/>
      <c r="AS6" s="4241"/>
      <c r="AT6" s="4243"/>
      <c r="AU6" s="4216"/>
      <c r="AV6" s="4220"/>
      <c r="AW6" s="4220"/>
      <c r="AX6" s="4254"/>
    </row>
    <row r="7" spans="1:52" ht="15.45" hidden="1" customHeight="1">
      <c r="A7" s="563">
        <v>1</v>
      </c>
      <c r="B7" s="564">
        <v>2</v>
      </c>
      <c r="C7" s="564"/>
      <c r="D7" s="564"/>
      <c r="E7" s="564"/>
      <c r="F7" s="564"/>
      <c r="G7" s="564"/>
      <c r="H7" s="564"/>
      <c r="I7" s="565"/>
      <c r="J7" s="565"/>
      <c r="K7" s="565"/>
      <c r="L7" s="564"/>
      <c r="M7" s="564"/>
      <c r="N7" s="564"/>
      <c r="O7" s="564"/>
      <c r="P7" s="564"/>
      <c r="Q7" s="566"/>
      <c r="R7" s="566"/>
      <c r="S7" s="566"/>
      <c r="T7" s="567"/>
      <c r="U7" s="567"/>
      <c r="V7" s="567"/>
      <c r="W7" s="567"/>
      <c r="X7" s="566"/>
      <c r="Y7" s="566"/>
      <c r="Z7" s="566"/>
      <c r="AA7" s="566"/>
      <c r="AB7" s="567"/>
      <c r="AC7" s="567"/>
      <c r="AD7" s="567"/>
      <c r="AE7" s="567"/>
      <c r="AF7" s="565"/>
      <c r="AG7" s="565"/>
      <c r="AH7" s="565"/>
      <c r="AI7" s="565"/>
      <c r="AJ7" s="565"/>
      <c r="AK7" s="565"/>
      <c r="AL7" s="565"/>
      <c r="AM7" s="565"/>
      <c r="AN7" s="565"/>
      <c r="AO7" s="1744"/>
      <c r="AP7" s="1736"/>
      <c r="AQ7" s="1736"/>
      <c r="AR7" s="1736"/>
      <c r="AS7" s="1736"/>
      <c r="AT7" s="1737"/>
    </row>
    <row r="8" spans="1:52" s="578" customFormat="1" ht="19.95" customHeight="1">
      <c r="A8" s="568"/>
      <c r="B8" s="569" t="s">
        <v>570</v>
      </c>
      <c r="C8" s="570">
        <f t="shared" ref="C8:I8" si="0">C10+C139</f>
        <v>4688367.4799180003</v>
      </c>
      <c r="D8" s="570">
        <f t="shared" si="0"/>
        <v>5517506.8434038907</v>
      </c>
      <c r="E8" s="570">
        <f t="shared" si="0"/>
        <v>6676915.5707400003</v>
      </c>
      <c r="F8" s="570">
        <f t="shared" si="0"/>
        <v>7325262.428568</v>
      </c>
      <c r="G8" s="570">
        <f t="shared" si="0"/>
        <v>8159969.570863001</v>
      </c>
      <c r="H8" s="570">
        <f t="shared" si="0"/>
        <v>8838259.1655269992</v>
      </c>
      <c r="I8" s="570">
        <f t="shared" si="0"/>
        <v>36517913.57910189</v>
      </c>
      <c r="J8" s="571"/>
      <c r="K8" s="571"/>
      <c r="L8" s="570">
        <f>L10+L139</f>
        <v>9435659.6461590007</v>
      </c>
      <c r="M8" s="570">
        <f>M10+M139</f>
        <v>10825318.322280001</v>
      </c>
      <c r="N8" s="570">
        <f>N10+N36</f>
        <v>11791619</v>
      </c>
      <c r="O8" s="570">
        <f>O10+O36</f>
        <v>12246088.832636001</v>
      </c>
      <c r="P8" s="570">
        <f>P10+P139+P41</f>
        <v>12334250</v>
      </c>
      <c r="Q8" s="572">
        <f>Q10+Q139+Q41</f>
        <v>12081349.228876</v>
      </c>
      <c r="R8" s="572">
        <f>R10+R139+R41</f>
        <v>13693690</v>
      </c>
      <c r="S8" s="572">
        <f>S10+S139+S41</f>
        <v>14498998.645962</v>
      </c>
      <c r="T8" s="573">
        <f>T10+T139</f>
        <v>61940017.675913006</v>
      </c>
      <c r="U8" s="1597"/>
      <c r="V8" s="1597"/>
      <c r="W8" s="1597">
        <f>T8/I8-1</f>
        <v>0.6961543419435503</v>
      </c>
      <c r="X8" s="572">
        <f>X10+X139+X41</f>
        <v>14124109</v>
      </c>
      <c r="Y8" s="572">
        <f>Y10+Y139+Y41</f>
        <v>14701041</v>
      </c>
      <c r="Z8" s="572">
        <f>Z10+Z139+Z41</f>
        <v>14054453</v>
      </c>
      <c r="AA8" s="572">
        <f>AA10+AA139+AA41</f>
        <v>16064574.716484001</v>
      </c>
      <c r="AB8" s="573">
        <f>AA8+Y8+S8</f>
        <v>45264614.362446003</v>
      </c>
      <c r="AC8" s="310">
        <f>AB8/$AB$8</f>
        <v>1</v>
      </c>
      <c r="AD8" s="310"/>
      <c r="AE8" s="310"/>
      <c r="AF8" s="570">
        <f>AF10+AF139+AF41</f>
        <v>15819995</v>
      </c>
      <c r="AG8" s="570">
        <f>AG10+AG139+AG41</f>
        <v>17291694.066666666</v>
      </c>
      <c r="AH8" s="570">
        <f>AH10+AH139+AH41</f>
        <v>19529468.915999997</v>
      </c>
      <c r="AI8" s="570">
        <f>AI10+AI139+AI41</f>
        <v>20396337.310194876</v>
      </c>
      <c r="AJ8" s="570">
        <f>AJ10+AJ139+AJ41</f>
        <v>87829906.289345548</v>
      </c>
      <c r="AK8" s="570"/>
      <c r="AL8" s="574">
        <f>AJ8/$AJ$8</f>
        <v>1</v>
      </c>
      <c r="AM8" s="570"/>
      <c r="AN8" s="488">
        <f>+AJ8/T8-1</f>
        <v>0.41798322933802612</v>
      </c>
      <c r="AO8" s="572">
        <f>AO10+AO139+AO41</f>
        <v>21356840.616623372</v>
      </c>
      <c r="AP8" s="573">
        <f>AP10+AP139+AP41</f>
        <v>20562524.468752064</v>
      </c>
      <c r="AQ8" s="573">
        <f>AQ10+AQ139+AQ41</f>
        <v>21411524.287721697</v>
      </c>
      <c r="AR8" s="573">
        <f>AR10+AR139+AR41</f>
        <v>22366524.227051318</v>
      </c>
      <c r="AS8" s="573">
        <f>AS10+AS139+AS41</f>
        <v>23498523.513003781</v>
      </c>
      <c r="AT8" s="1738">
        <f>SUM(AO8:AS8)</f>
        <v>109195937.11315224</v>
      </c>
      <c r="AU8" s="575"/>
      <c r="AV8" s="576">
        <f>AT8/$AT$8</f>
        <v>1</v>
      </c>
      <c r="AW8" s="577"/>
      <c r="AX8" s="312">
        <f>AT8/AJ8-1</f>
        <v>0.24326600956875377</v>
      </c>
      <c r="AZ8" s="579">
        <f>AI8/Q8-1</f>
        <v>0.68824995650692466</v>
      </c>
    </row>
    <row r="9" spans="1:52" s="587" customFormat="1" ht="19.95" customHeight="1">
      <c r="A9" s="580" t="s">
        <v>137</v>
      </c>
      <c r="B9" s="581" t="s">
        <v>494</v>
      </c>
      <c r="C9" s="582"/>
      <c r="D9" s="583">
        <f>D8/C8</f>
        <v>1.1768503358658209</v>
      </c>
      <c r="E9" s="583">
        <f>E8/D8</f>
        <v>1.2101327212166793</v>
      </c>
      <c r="F9" s="583">
        <f>F8/E8</f>
        <v>1.0971027491599903</v>
      </c>
      <c r="G9" s="583">
        <f>G8/F8</f>
        <v>1.1139491110980138</v>
      </c>
      <c r="H9" s="583">
        <f>H8/G8</f>
        <v>1.0831240348108628</v>
      </c>
      <c r="I9" s="583"/>
      <c r="J9" s="583">
        <f>(D9*E9*F9*G9*H9)^(1/5)-1</f>
        <v>0.13519120436932264</v>
      </c>
      <c r="K9" s="583"/>
      <c r="L9" s="583">
        <f>L8/H8</f>
        <v>1.0675925506871444</v>
      </c>
      <c r="M9" s="583">
        <f>M8/L8</f>
        <v>1.147277321166061</v>
      </c>
      <c r="N9" s="583"/>
      <c r="O9" s="583">
        <f>O8/M8</f>
        <v>1.1312451484619956</v>
      </c>
      <c r="P9" s="583">
        <f>P8/M8</f>
        <v>1.1393891276725239</v>
      </c>
      <c r="Q9" s="584">
        <f>Q8/O8</f>
        <v>0.98654757400412063</v>
      </c>
      <c r="R9" s="585">
        <f>R8/P8</f>
        <v>1.1102166730851086</v>
      </c>
      <c r="S9" s="585">
        <f>S8/Q8</f>
        <v>1.2001141901690502</v>
      </c>
      <c r="T9" s="397"/>
      <c r="U9" s="397">
        <f>(L9*M9*O9*Q9*S9)^(1/5)-1</f>
        <v>0.10406401588012049</v>
      </c>
      <c r="V9" s="397"/>
      <c r="W9" s="397"/>
      <c r="X9" s="585">
        <f>X8/R8</f>
        <v>1.0314319222941368</v>
      </c>
      <c r="Y9" s="585">
        <f>Y8/S8</f>
        <v>1.0139349177809787</v>
      </c>
      <c r="Z9" s="584">
        <f>Z8/X8</f>
        <v>0.99506829067943325</v>
      </c>
      <c r="AA9" s="584">
        <f>AA8/Y8</f>
        <v>1.0927508274063042</v>
      </c>
      <c r="AB9" s="397"/>
      <c r="AC9" s="461">
        <f t="shared" ref="AC9:AC78" si="1">AB9/$AB$8</f>
        <v>0</v>
      </c>
      <c r="AD9" s="461"/>
      <c r="AE9" s="461"/>
      <c r="AF9" s="583">
        <f>AF8/AA8</f>
        <v>0.98477521373578381</v>
      </c>
      <c r="AG9" s="583">
        <f>AG8/AA8</f>
        <v>1.0763866689183814</v>
      </c>
      <c r="AH9" s="583">
        <f>AH8/AF8</f>
        <v>1.2344800940834681</v>
      </c>
      <c r="AI9" s="583">
        <f>AI8/AH8</f>
        <v>1.0443877095646301</v>
      </c>
      <c r="AJ9" s="583"/>
      <c r="AK9" s="583">
        <f>(Y9*AA9*AG9*AH9*AI9)^(1/5)-1</f>
        <v>8.9855889714354209E-2</v>
      </c>
      <c r="AL9" s="583"/>
      <c r="AM9" s="583"/>
      <c r="AN9" s="488"/>
      <c r="AO9" s="584">
        <f>AO8/AI8</f>
        <v>1.0470919504723233</v>
      </c>
      <c r="AP9" s="397">
        <f t="shared" ref="AP9:AS9" si="2">AP8/AO8</f>
        <v>0.96280741322510777</v>
      </c>
      <c r="AQ9" s="397">
        <f t="shared" si="2"/>
        <v>1.0412886958631864</v>
      </c>
      <c r="AR9" s="397">
        <f t="shared" si="2"/>
        <v>1.0446021463253441</v>
      </c>
      <c r="AS9" s="397">
        <f t="shared" si="2"/>
        <v>1.0506113187038404</v>
      </c>
      <c r="AT9" s="1739"/>
      <c r="AU9" s="586">
        <f>(AO9*AP9*AQ9*AR9*AS9)^(1/5)-1</f>
        <v>2.8721171492554154E-2</v>
      </c>
      <c r="AV9" s="583"/>
      <c r="AW9" s="492"/>
      <c r="AX9" s="494"/>
      <c r="AZ9" s="588">
        <f>AI8/AA8-1</f>
        <v>0.26964688889435817</v>
      </c>
    </row>
    <row r="10" spans="1:52" s="598" customFormat="1" ht="19.95" customHeight="1">
      <c r="A10" s="589" t="s">
        <v>7</v>
      </c>
      <c r="B10" s="590" t="s">
        <v>88</v>
      </c>
      <c r="C10" s="591">
        <f t="shared" ref="C10:H10" si="3">SUM(C11,C16,C30,C31,C32,C33,C35)</f>
        <v>4308494.4799180003</v>
      </c>
      <c r="D10" s="591">
        <f t="shared" si="3"/>
        <v>5000022.8434038907</v>
      </c>
      <c r="E10" s="591">
        <f t="shared" si="3"/>
        <v>5990803.5707400003</v>
      </c>
      <c r="F10" s="591">
        <f t="shared" si="3"/>
        <v>6551207.428568</v>
      </c>
      <c r="G10" s="591">
        <f t="shared" si="3"/>
        <v>7628457.570863001</v>
      </c>
      <c r="H10" s="591">
        <f t="shared" si="3"/>
        <v>8304427.1655269992</v>
      </c>
      <c r="I10" s="591">
        <f>SUM(D10:H10)</f>
        <v>33474918.57910189</v>
      </c>
      <c r="J10" s="592"/>
      <c r="K10" s="592">
        <f>I10/$I$10</f>
        <v>1</v>
      </c>
      <c r="L10" s="591">
        <f t="shared" ref="L10:S10" si="4">SUM(L11,L16,L30,L31,L32,L33,L35)</f>
        <v>8674809.6461590007</v>
      </c>
      <c r="M10" s="591">
        <f t="shared" si="4"/>
        <v>10083459.322280001</v>
      </c>
      <c r="N10" s="591">
        <f>SUM(N11,N16,N30,N31,N32,N33,N35)</f>
        <v>9973333</v>
      </c>
      <c r="O10" s="591">
        <f>SUM(O11,O16,O30,O31,O32,O33,O35)</f>
        <v>10427802.832636001</v>
      </c>
      <c r="P10" s="591">
        <f t="shared" si="4"/>
        <v>10895260</v>
      </c>
      <c r="Q10" s="593">
        <f t="shared" si="4"/>
        <v>10979098.228876</v>
      </c>
      <c r="R10" s="593">
        <f t="shared" si="4"/>
        <v>12188277</v>
      </c>
      <c r="S10" s="593">
        <f t="shared" si="4"/>
        <v>13102723</v>
      </c>
      <c r="T10" s="442">
        <f>L10+M10+O10+Q10+S10</f>
        <v>53267893.029951006</v>
      </c>
      <c r="U10" s="318"/>
      <c r="V10" s="318">
        <f>T10/$T$10</f>
        <v>1</v>
      </c>
      <c r="W10" s="318">
        <f t="shared" ref="W10:W30" si="5">T10/I10-1</f>
        <v>0.59127774737010719</v>
      </c>
      <c r="X10" s="593">
        <f t="shared" ref="X10:Z10" si="6">SUM(X11,X16,X30,X31,X32,X33,X35)</f>
        <v>12692115</v>
      </c>
      <c r="Y10" s="593">
        <f t="shared" si="6"/>
        <v>14076644</v>
      </c>
      <c r="Z10" s="593">
        <f t="shared" si="6"/>
        <v>12792680</v>
      </c>
      <c r="AA10" s="593">
        <f>SUM(AA11,AA16,AA30,AA31,AA32,AA33,AA35)</f>
        <v>14484679.802034</v>
      </c>
      <c r="AB10" s="439">
        <f>AA10+Y10+S10</f>
        <v>41664046.802033998</v>
      </c>
      <c r="AC10" s="461">
        <f t="shared" si="1"/>
        <v>0.92045513673039858</v>
      </c>
      <c r="AD10" s="461">
        <f>AB10/$AB$10</f>
        <v>1</v>
      </c>
      <c r="AE10" s="461"/>
      <c r="AF10" s="591">
        <f>SUM(AF11+AF16+AF30+AF31+AF32+AF33+AF35)</f>
        <v>13191488</v>
      </c>
      <c r="AG10" s="591">
        <f>SUM(AG11+AG16+AG30+AG31+AG32+AG33+AG35)+AG34</f>
        <v>14663187.066666666</v>
      </c>
      <c r="AH10" s="591">
        <f>SUM(AH11+AH16+AH30+AH31+AH32+AH33+AH35)</f>
        <v>16578432.915999997</v>
      </c>
      <c r="AI10" s="591">
        <f>SUM(AI11+AI16+AI30+AI31+AI32+AI33+AI35)+AI34</f>
        <v>17039301.310194876</v>
      </c>
      <c r="AJ10" s="591">
        <f t="shared" ref="AJ10:AT10" si="7">SUM(AJ11+AJ16+AJ30+AJ31+AJ32+AJ33+AJ35)</f>
        <v>76689035.374895558</v>
      </c>
      <c r="AK10" s="591">
        <f>SUM(AK11+AK16+AK30+AK31+AK32+AK33+AK35)</f>
        <v>0</v>
      </c>
      <c r="AL10" s="489">
        <f>AJ10/$AJ$8</f>
        <v>0.87315401569770934</v>
      </c>
      <c r="AM10" s="489">
        <f t="shared" ref="AM10:AM79" si="8">AJ10/$AJ$10</f>
        <v>1</v>
      </c>
      <c r="AN10" s="488"/>
      <c r="AO10" s="593">
        <f t="shared" si="7"/>
        <v>17999804.616623372</v>
      </c>
      <c r="AP10" s="442">
        <f t="shared" si="7"/>
        <v>17205488.468752064</v>
      </c>
      <c r="AQ10" s="442">
        <f t="shared" si="7"/>
        <v>18054488.287721697</v>
      </c>
      <c r="AR10" s="442">
        <f t="shared" si="7"/>
        <v>19009488.227051318</v>
      </c>
      <c r="AS10" s="442">
        <f t="shared" si="7"/>
        <v>20141487.513003781</v>
      </c>
      <c r="AT10" s="1740">
        <f t="shared" si="7"/>
        <v>92410757.113152236</v>
      </c>
      <c r="AU10" s="596"/>
      <c r="AV10" s="597">
        <f t="shared" ref="AV10:AV79" si="9">AT10/$AT$8</f>
        <v>0.84628384128791645</v>
      </c>
      <c r="AW10" s="597">
        <f t="shared" ref="AW10:AW79" si="10">AT10/$AT$10</f>
        <v>1</v>
      </c>
      <c r="AX10" s="488">
        <f>AT10/AJ10-1</f>
        <v>0.20500612194951717</v>
      </c>
      <c r="AZ10" s="599">
        <f>AI10/$AI$10</f>
        <v>1</v>
      </c>
    </row>
    <row r="11" spans="1:52" s="578" customFormat="1" ht="19.95" customHeight="1">
      <c r="A11" s="600" t="s">
        <v>9</v>
      </c>
      <c r="B11" s="276" t="s">
        <v>31</v>
      </c>
      <c r="C11" s="326">
        <f>SUM(C12:C15)</f>
        <v>881389.27447200008</v>
      </c>
      <c r="D11" s="326">
        <f>SUM(D12:D15)</f>
        <v>1296865.3711568909</v>
      </c>
      <c r="E11" s="326">
        <f>SUM(E12:E15)</f>
        <v>1283487.4238549999</v>
      </c>
      <c r="F11" s="326">
        <f>SUM(F12:F15)</f>
        <v>1221622.2457999999</v>
      </c>
      <c r="G11" s="326">
        <f>SUM(G12:G15)</f>
        <v>1952654.9714940002</v>
      </c>
      <c r="H11" s="326">
        <f t="shared" ref="H11:O11" si="11">SUM(H12:H15)</f>
        <v>1868861</v>
      </c>
      <c r="I11" s="326">
        <f>SUM(D11:H11)</f>
        <v>7623491.0123058911</v>
      </c>
      <c r="J11" s="488"/>
      <c r="K11" s="488">
        <f>I11/$I$10</f>
        <v>0.22773740268528009</v>
      </c>
      <c r="L11" s="326">
        <f t="shared" si="11"/>
        <v>2029265</v>
      </c>
      <c r="M11" s="326">
        <f t="shared" si="11"/>
        <v>1800118</v>
      </c>
      <c r="N11" s="326">
        <f t="shared" ref="N11" si="12">SUM(N12:N15)</f>
        <v>2556350</v>
      </c>
      <c r="O11" s="326">
        <f t="shared" si="11"/>
        <v>2605155</v>
      </c>
      <c r="P11" s="326">
        <f>SUM(P12:P15)</f>
        <v>2866350</v>
      </c>
      <c r="Q11" s="329">
        <f>SUM(Q12:Q15)</f>
        <v>2582125.2288760003</v>
      </c>
      <c r="R11" s="329">
        <f>SUM(R12:R15)</f>
        <v>3191485</v>
      </c>
      <c r="S11" s="329">
        <f>SUM(S12:S15)</f>
        <v>4460541</v>
      </c>
      <c r="T11" s="439">
        <f t="shared" ref="T11:T52" si="13">L11+M11+O11+Q11+S11</f>
        <v>13477204.228876</v>
      </c>
      <c r="U11" s="323"/>
      <c r="V11" s="323">
        <f>T11/$T$10</f>
        <v>0.25300802157311075</v>
      </c>
      <c r="W11" s="323">
        <f t="shared" si="5"/>
        <v>0.76785205191702932</v>
      </c>
      <c r="X11" s="329">
        <f t="shared" ref="X11:Z11" si="14">SUM(X12:X15)</f>
        <v>3381485</v>
      </c>
      <c r="Y11" s="329">
        <f t="shared" si="14"/>
        <v>4460541</v>
      </c>
      <c r="Z11" s="329">
        <f t="shared" si="14"/>
        <v>3374957</v>
      </c>
      <c r="AA11" s="329">
        <f>SUM(AA12:AA15)</f>
        <v>5399002.1306710001</v>
      </c>
      <c r="AB11" s="439">
        <f>AA11+Y11+S11</f>
        <v>14320084.130671</v>
      </c>
      <c r="AC11" s="461">
        <f>AB11/$AB$8</f>
        <v>0.31636377184186781</v>
      </c>
      <c r="AD11" s="461">
        <f>AB11/$AB$10</f>
        <v>0.34370363010373511</v>
      </c>
      <c r="AE11" s="461"/>
      <c r="AF11" s="326">
        <f>SUM(AF12:AF15)</f>
        <v>3561000</v>
      </c>
      <c r="AG11" s="326">
        <f>SUM(AG12:AG15)</f>
        <v>4091000</v>
      </c>
      <c r="AH11" s="326">
        <f>SUM(AH12:AH15)</f>
        <v>4863186.4089698764</v>
      </c>
      <c r="AI11" s="326">
        <f>SUM(AI12:AI15)</f>
        <v>4735000</v>
      </c>
      <c r="AJ11" s="326">
        <f>Y11+AA11+AG11+AH11+AI11</f>
        <v>23548729.539640877</v>
      </c>
      <c r="AK11" s="488"/>
      <c r="AL11" s="489">
        <f t="shared" ref="AL11:AL80" si="15">AJ11/$AJ$8</f>
        <v>0.26811743897417228</v>
      </c>
      <c r="AM11" s="489">
        <f t="shared" si="8"/>
        <v>0.30706774996611369</v>
      </c>
      <c r="AN11" s="488">
        <f t="shared" ref="AN11" si="16">+AJ11/T11-1</f>
        <v>0.7473007858102958</v>
      </c>
      <c r="AO11" s="329">
        <f t="shared" ref="AO11:AS11" si="17">SUM(AO12:AO15)</f>
        <v>5025000</v>
      </c>
      <c r="AP11" s="439">
        <f t="shared" si="17"/>
        <v>5099330.4687520657</v>
      </c>
      <c r="AQ11" s="439">
        <f t="shared" si="17"/>
        <v>5267830.2877216972</v>
      </c>
      <c r="AR11" s="439">
        <f t="shared" si="17"/>
        <v>5407402.2270513177</v>
      </c>
      <c r="AS11" s="439">
        <f t="shared" si="17"/>
        <v>5601293.4130037781</v>
      </c>
      <c r="AT11" s="1741">
        <f>SUM(AO11:AS11)</f>
        <v>26400856.396528862</v>
      </c>
      <c r="AU11" s="602"/>
      <c r="AV11" s="597">
        <f t="shared" si="9"/>
        <v>0.2417750796824196</v>
      </c>
      <c r="AW11" s="597">
        <f t="shared" si="10"/>
        <v>0.2856902943041833</v>
      </c>
      <c r="AX11" s="488">
        <f>AT11/AJ11-1</f>
        <v>0.12111595456081159</v>
      </c>
      <c r="AZ11" s="599">
        <f t="shared" ref="AZ11:AZ80" si="18">AI11/$AI$10</f>
        <v>0.27788698103290049</v>
      </c>
    </row>
    <row r="12" spans="1:52" s="578" customFormat="1" ht="19.95" customHeight="1">
      <c r="A12" s="603">
        <v>1</v>
      </c>
      <c r="B12" s="604" t="s">
        <v>571</v>
      </c>
      <c r="C12" s="506">
        <v>249673.54338399999</v>
      </c>
      <c r="D12" s="506">
        <v>478645.8879538909</v>
      </c>
      <c r="E12" s="506">
        <v>473880.659055</v>
      </c>
      <c r="F12" s="506">
        <v>347996.01699999999</v>
      </c>
      <c r="G12" s="506">
        <v>453930.929489</v>
      </c>
      <c r="H12" s="506">
        <v>494263</v>
      </c>
      <c r="I12" s="506">
        <f>SUM(D12:H12)</f>
        <v>2248716.4934978909</v>
      </c>
      <c r="J12" s="501"/>
      <c r="K12" s="501">
        <f>I12/$I$10</f>
        <v>6.7176160210341646E-2</v>
      </c>
      <c r="L12" s="506">
        <v>755259</v>
      </c>
      <c r="M12" s="506">
        <v>553506</v>
      </c>
      <c r="N12" s="506">
        <v>1036350</v>
      </c>
      <c r="O12" s="506">
        <v>1113443</v>
      </c>
      <c r="P12" s="506">
        <v>1036350</v>
      </c>
      <c r="Q12" s="495">
        <f>[12]Sheet1!$C$9</f>
        <v>853859.37400000007</v>
      </c>
      <c r="R12" s="495">
        <v>1131485</v>
      </c>
      <c r="S12" s="495">
        <f>[12]Sheet1!$F$9</f>
        <v>1006681.451</v>
      </c>
      <c r="T12" s="485">
        <f>L12+M12+O12+Q12+S12</f>
        <v>4282748.8250000002</v>
      </c>
      <c r="U12" s="388"/>
      <c r="V12" s="388">
        <f t="shared" ref="V12:V35" si="19">T12/$T$10</f>
        <v>8.0400191961636877E-2</v>
      </c>
      <c r="W12" s="388">
        <f>T12/I12-1</f>
        <v>0.9045303564871181</v>
      </c>
      <c r="X12" s="495">
        <f>'[13]Phụ lục số 2'!$C$10</f>
        <v>1131485</v>
      </c>
      <c r="Y12" s="495">
        <f>[12]Sheet1!$I$9</f>
        <v>839196.836075</v>
      </c>
      <c r="Z12" s="495">
        <v>1036180</v>
      </c>
      <c r="AA12" s="495">
        <f>'[4]Chi (HĐND)'!$F$15</f>
        <v>881544.812041</v>
      </c>
      <c r="AB12" s="485">
        <f t="shared" ref="AB12:AB81" si="20">AA12+Y12+S12</f>
        <v>2727423.0991159999</v>
      </c>
      <c r="AC12" s="458">
        <f t="shared" si="1"/>
        <v>6.0255083082709729E-2</v>
      </c>
      <c r="AD12" s="458">
        <f t="shared" ref="AD12:AD81" si="21">AB12/$AB$10</f>
        <v>6.5462270433674002E-2</v>
      </c>
      <c r="AE12" s="458"/>
      <c r="AF12" s="506">
        <f>'PL2.1'!K10</f>
        <v>1061000</v>
      </c>
      <c r="AG12" s="506">
        <f>'PL2.1'!P10</f>
        <v>1061000</v>
      </c>
      <c r="AH12" s="506">
        <f>'PL2.1'!U10</f>
        <v>1143186.4089698761</v>
      </c>
      <c r="AI12" s="506">
        <f>'PL2.1'!Z10</f>
        <v>1213000</v>
      </c>
      <c r="AJ12" s="506">
        <f>Y12+AA12+AG12+AH12+AI12</f>
        <v>5137928.0570858764</v>
      </c>
      <c r="AK12" s="501"/>
      <c r="AL12" s="605">
        <f t="shared" si="15"/>
        <v>5.8498617090169285E-2</v>
      </c>
      <c r="AM12" s="605">
        <f t="shared" si="8"/>
        <v>6.6996905515489064E-2</v>
      </c>
      <c r="AN12" s="501">
        <f>+AJ12/T12-1</f>
        <v>0.19967998755702787</v>
      </c>
      <c r="AO12" s="495">
        <f>'PL2.1'!AE10</f>
        <v>1265000</v>
      </c>
      <c r="AP12" s="485">
        <f>'[8]Phụ lục số 2-1'!AJ10</f>
        <v>1199330.4687520659</v>
      </c>
      <c r="AQ12" s="485">
        <f>'[8]Phụ lục số 2-1'!AO10</f>
        <v>1257830.2877216975</v>
      </c>
      <c r="AR12" s="485">
        <f>'[8]Phụ lục số 2-1'!AT10</f>
        <v>1297402.2270513177</v>
      </c>
      <c r="AS12" s="485">
        <f>'[8]Phụ lục số 2-1'!AY10</f>
        <v>1341293.4130037783</v>
      </c>
      <c r="AT12" s="1742">
        <f>SUM(AO12:AS12)</f>
        <v>6360856.3965288587</v>
      </c>
      <c r="AU12" s="602"/>
      <c r="AV12" s="606">
        <f t="shared" si="9"/>
        <v>5.8251768011638942E-2</v>
      </c>
      <c r="AW12" s="606">
        <f t="shared" si="10"/>
        <v>6.8832423791748795E-2</v>
      </c>
      <c r="AX12" s="501">
        <f>AT12/AJ12-1</f>
        <v>0.23801974762110656</v>
      </c>
      <c r="AZ12" s="599">
        <f t="shared" si="18"/>
        <v>7.1188364940424145E-2</v>
      </c>
    </row>
    <row r="13" spans="1:52" s="578" customFormat="1" ht="19.95" customHeight="1">
      <c r="A13" s="603">
        <v>2</v>
      </c>
      <c r="B13" s="604" t="s">
        <v>76</v>
      </c>
      <c r="C13" s="506">
        <v>282628.00725800003</v>
      </c>
      <c r="D13" s="506">
        <v>262379.85220299999</v>
      </c>
      <c r="E13" s="506">
        <v>291839.82780000003</v>
      </c>
      <c r="F13" s="506">
        <v>303789.2758</v>
      </c>
      <c r="G13" s="506">
        <v>355825.039116</v>
      </c>
      <c r="H13" s="506">
        <v>317091</v>
      </c>
      <c r="I13" s="506">
        <f t="shared" ref="I13:I35" si="22">SUM(D13:H13)</f>
        <v>1530924.994919</v>
      </c>
      <c r="J13" s="501"/>
      <c r="K13" s="501">
        <f>I13/$I$10</f>
        <v>4.5733494207055178E-2</v>
      </c>
      <c r="L13" s="506">
        <v>333567</v>
      </c>
      <c r="M13" s="506">
        <v>351441</v>
      </c>
      <c r="N13" s="506">
        <v>250000</v>
      </c>
      <c r="O13" s="506">
        <v>281847</v>
      </c>
      <c r="P13" s="506">
        <v>450000</v>
      </c>
      <c r="Q13" s="495">
        <f>[12]Sheet1!$C$10</f>
        <v>306246</v>
      </c>
      <c r="R13" s="495">
        <v>600000</v>
      </c>
      <c r="S13" s="495">
        <f>[12]Sheet1!$F$10</f>
        <v>557722.85500600003</v>
      </c>
      <c r="T13" s="485">
        <f t="shared" si="13"/>
        <v>1830823.855006</v>
      </c>
      <c r="U13" s="388"/>
      <c r="V13" s="388">
        <f t="shared" si="19"/>
        <v>3.4370119613640067E-2</v>
      </c>
      <c r="W13" s="388">
        <f t="shared" si="5"/>
        <v>0.19589389492126452</v>
      </c>
      <c r="X13" s="495">
        <f>'[13]Phụ lục số 2'!$C$11</f>
        <v>750000</v>
      </c>
      <c r="Y13" s="495">
        <f>[12]Sheet1!$I$10</f>
        <v>461660.39653100003</v>
      </c>
      <c r="Z13" s="495">
        <v>800000</v>
      </c>
      <c r="AA13" s="495">
        <f>'[4]Chi (HĐND)'!$F$16</f>
        <v>989715.99300000002</v>
      </c>
      <c r="AB13" s="485">
        <f t="shared" si="20"/>
        <v>2009099.2445370001</v>
      </c>
      <c r="AC13" s="458">
        <f t="shared" si="1"/>
        <v>4.4385648101397689E-2</v>
      </c>
      <c r="AD13" s="458">
        <f t="shared" si="21"/>
        <v>4.8221413874729946E-2</v>
      </c>
      <c r="AE13" s="458"/>
      <c r="AF13" s="506">
        <f>'PL2.1'!K11</f>
        <v>900000</v>
      </c>
      <c r="AG13" s="506">
        <f>'PL2.1'!P11</f>
        <v>1080000</v>
      </c>
      <c r="AH13" s="506">
        <f>'PL2.1'!U11</f>
        <v>1770000</v>
      </c>
      <c r="AI13" s="506">
        <f>'PL2.1'!Z11</f>
        <v>1200000</v>
      </c>
      <c r="AJ13" s="506">
        <f t="shared" ref="AJ13:AJ14" si="23">Y13+AA13+AG13+AH13+AI13</f>
        <v>5501376.3895309996</v>
      </c>
      <c r="AK13" s="501"/>
      <c r="AL13" s="605">
        <f t="shared" si="15"/>
        <v>6.2636710227235659E-2</v>
      </c>
      <c r="AM13" s="605">
        <f t="shared" si="8"/>
        <v>7.1736153188489526E-2</v>
      </c>
      <c r="AN13" s="501">
        <f>+AJ13/T13-1</f>
        <v>2.0048638346549019</v>
      </c>
      <c r="AO13" s="495">
        <f>'PL2.1'!AE11</f>
        <v>1260000</v>
      </c>
      <c r="AP13" s="485">
        <f>'[8]Phụ lục số 2-1'!AJ11</f>
        <v>1300000</v>
      </c>
      <c r="AQ13" s="485">
        <f>'[8]Phụ lục số 2-1'!AO11</f>
        <v>1350000</v>
      </c>
      <c r="AR13" s="485">
        <f>'[8]Phụ lục số 2-1'!AT11</f>
        <v>1400000</v>
      </c>
      <c r="AS13" s="485">
        <f>'[8]Phụ lục số 2-1'!AY11</f>
        <v>1450000</v>
      </c>
      <c r="AT13" s="1742">
        <f t="shared" ref="AT13:AT41" si="24">SUM(AO13:AS13)</f>
        <v>6760000</v>
      </c>
      <c r="AU13" s="602"/>
      <c r="AV13" s="606">
        <f t="shared" si="9"/>
        <v>6.1907065214295266E-2</v>
      </c>
      <c r="AW13" s="606">
        <f t="shared" si="10"/>
        <v>7.3151656919364122E-2</v>
      </c>
      <c r="AX13" s="501">
        <f>AT13/AJ13-1</f>
        <v>0.2287834027979132</v>
      </c>
      <c r="AZ13" s="599">
        <f t="shared" si="18"/>
        <v>7.0425422859446793E-2</v>
      </c>
    </row>
    <row r="14" spans="1:52" s="578" customFormat="1" ht="19.95" customHeight="1">
      <c r="A14" s="603">
        <v>3</v>
      </c>
      <c r="B14" s="604" t="s">
        <v>121</v>
      </c>
      <c r="C14" s="506">
        <v>349087.72382999997</v>
      </c>
      <c r="D14" s="506">
        <v>555839.63100000005</v>
      </c>
      <c r="E14" s="506">
        <v>517766.93699999998</v>
      </c>
      <c r="F14" s="506">
        <v>569836.95299999998</v>
      </c>
      <c r="G14" s="506">
        <v>1142899.0028890001</v>
      </c>
      <c r="H14" s="506">
        <v>1057507</v>
      </c>
      <c r="I14" s="506">
        <f t="shared" si="22"/>
        <v>3843849.5238890001</v>
      </c>
      <c r="J14" s="501"/>
      <c r="K14" s="501">
        <f>I14/$I$10</f>
        <v>0.11482774826788325</v>
      </c>
      <c r="L14" s="506">
        <v>940439</v>
      </c>
      <c r="M14" s="506">
        <v>895171</v>
      </c>
      <c r="N14" s="506">
        <v>1270000</v>
      </c>
      <c r="O14" s="506">
        <v>1209865</v>
      </c>
      <c r="P14" s="506">
        <v>1380000</v>
      </c>
      <c r="Q14" s="495">
        <f>[12]Sheet1!$C$11</f>
        <v>1422019.854876</v>
      </c>
      <c r="R14" s="495">
        <v>1460000</v>
      </c>
      <c r="S14" s="495">
        <f>[12]Sheet1!$F$11</f>
        <v>1360127.8934820001</v>
      </c>
      <c r="T14" s="485">
        <f t="shared" si="13"/>
        <v>5827622.7483580001</v>
      </c>
      <c r="U14" s="388"/>
      <c r="V14" s="388">
        <f t="shared" si="19"/>
        <v>0.10940216360878578</v>
      </c>
      <c r="W14" s="388">
        <f t="shared" si="5"/>
        <v>0.51609024030210349</v>
      </c>
      <c r="X14" s="502">
        <f>'[13]Phụ lục số 2'!$C$12</f>
        <v>1500000</v>
      </c>
      <c r="Y14" s="495">
        <f>[12]Sheet1!$I$11</f>
        <v>731759.17074700003</v>
      </c>
      <c r="Z14" s="495">
        <v>1500000</v>
      </c>
      <c r="AA14" s="495">
        <f>'[4]Chi (HĐND)'!$F$17</f>
        <v>1389289.7294949999</v>
      </c>
      <c r="AB14" s="485">
        <f t="shared" si="20"/>
        <v>3481176.793724</v>
      </c>
      <c r="AC14" s="458">
        <f t="shared" si="1"/>
        <v>7.6907245157315965E-2</v>
      </c>
      <c r="AD14" s="458">
        <f t="shared" si="21"/>
        <v>8.3553496621793649E-2</v>
      </c>
      <c r="AE14" s="458"/>
      <c r="AF14" s="506">
        <f>'PL2.1'!K12</f>
        <v>1600000</v>
      </c>
      <c r="AG14" s="506">
        <f>'PL2.1'!P12</f>
        <v>1950000</v>
      </c>
      <c r="AH14" s="506">
        <f>'PL2.1'!U12</f>
        <v>1950000</v>
      </c>
      <c r="AI14" s="506">
        <f>'PL2.1'!Z12</f>
        <v>2322000</v>
      </c>
      <c r="AJ14" s="506">
        <f t="shared" si="23"/>
        <v>8343048.9002419999</v>
      </c>
      <c r="AK14" s="501"/>
      <c r="AL14" s="605">
        <f t="shared" si="15"/>
        <v>9.4990980324592203E-2</v>
      </c>
      <c r="AM14" s="605">
        <f t="shared" si="8"/>
        <v>0.10879063557726178</v>
      </c>
      <c r="AN14" s="501">
        <f>+AJ14/T14-1</f>
        <v>0.43163846743386913</v>
      </c>
      <c r="AO14" s="495">
        <f>'PL2.1'!AE12</f>
        <v>2500000</v>
      </c>
      <c r="AP14" s="485">
        <f>'[8]Phụ lục số 2-1'!AJ12</f>
        <v>2600000</v>
      </c>
      <c r="AQ14" s="485">
        <f>'[8]Phụ lục số 2-1'!AO12</f>
        <v>2660000</v>
      </c>
      <c r="AR14" s="485">
        <f>'[8]Phụ lục số 2-1'!AT12</f>
        <v>2710000</v>
      </c>
      <c r="AS14" s="485">
        <f>'[8]Phụ lục số 2-1'!AY12</f>
        <v>2810000</v>
      </c>
      <c r="AT14" s="1742">
        <f t="shared" si="24"/>
        <v>13280000</v>
      </c>
      <c r="AU14" s="602"/>
      <c r="AV14" s="606">
        <f t="shared" si="9"/>
        <v>0.12161624645648537</v>
      </c>
      <c r="AW14" s="606">
        <f t="shared" si="10"/>
        <v>0.14370621359307034</v>
      </c>
      <c r="AX14" s="501">
        <f t="shared" ref="AX14:AX15" si="25">AT14/AJ14-1</f>
        <v>0.59174423628450712</v>
      </c>
      <c r="AZ14" s="599">
        <f t="shared" si="18"/>
        <v>0.13627319323302955</v>
      </c>
    </row>
    <row r="15" spans="1:52" s="578" customFormat="1" ht="31.2">
      <c r="A15" s="603">
        <v>4</v>
      </c>
      <c r="B15" s="604" t="s">
        <v>572</v>
      </c>
      <c r="C15" s="506"/>
      <c r="D15" s="506"/>
      <c r="E15" s="506"/>
      <c r="F15" s="506"/>
      <c r="G15" s="506"/>
      <c r="H15" s="506"/>
      <c r="I15" s="506"/>
      <c r="J15" s="501"/>
      <c r="K15" s="501"/>
      <c r="L15" s="506"/>
      <c r="M15" s="506"/>
      <c r="N15" s="506"/>
      <c r="O15" s="506"/>
      <c r="P15" s="506"/>
      <c r="Q15" s="495">
        <v>0</v>
      </c>
      <c r="R15" s="495"/>
      <c r="S15" s="495">
        <f>4460541-S12-S13-S14</f>
        <v>1536008.800512</v>
      </c>
      <c r="T15" s="485">
        <f>L15+M15+O15+Q15+S15</f>
        <v>1536008.800512</v>
      </c>
      <c r="U15" s="388"/>
      <c r="V15" s="388"/>
      <c r="W15" s="388"/>
      <c r="X15" s="502"/>
      <c r="Y15" s="495">
        <f>4460541-Y12-Y13-Y14</f>
        <v>2427924.5966469999</v>
      </c>
      <c r="Z15" s="495">
        <v>38777</v>
      </c>
      <c r="AA15" s="495">
        <f>'[4]Chi (HĐND)'!$F$13+'[4]Chi (HĐND)'!$F$19-AA12-AA13-AA14</f>
        <v>2138451.5961350007</v>
      </c>
      <c r="AB15" s="485">
        <f t="shared" si="20"/>
        <v>6102384.9932940006</v>
      </c>
      <c r="AC15" s="458">
        <f t="shared" si="1"/>
        <v>0.13481579550044445</v>
      </c>
      <c r="AD15" s="458">
        <f>AB15/$AB$10</f>
        <v>0.14646644917353752</v>
      </c>
      <c r="AE15" s="458"/>
      <c r="AF15" s="506">
        <f>'PL2.1'!K13</f>
        <v>0</v>
      </c>
      <c r="AG15" s="506">
        <f>'PL2.1'!P13</f>
        <v>0</v>
      </c>
      <c r="AH15" s="506">
        <f>'PL2.1'!U13</f>
        <v>0</v>
      </c>
      <c r="AI15" s="506">
        <f>'PL2.1'!Z13</f>
        <v>0</v>
      </c>
      <c r="AJ15" s="506">
        <f>Y15+AA15+AG15+AH15+AI15</f>
        <v>4566376.1927820006</v>
      </c>
      <c r="AK15" s="501" t="s">
        <v>227</v>
      </c>
      <c r="AL15" s="605">
        <f t="shared" si="15"/>
        <v>5.1991131332175151E-2</v>
      </c>
      <c r="AM15" s="605">
        <f t="shared" si="8"/>
        <v>5.9544055684873316E-2</v>
      </c>
      <c r="AN15" s="501">
        <f t="shared" ref="AN15:AN84" si="26">+AJ15/T15-1</f>
        <v>1.9728841340361356</v>
      </c>
      <c r="AO15" s="495">
        <f>'PL2.1'!AE13</f>
        <v>0</v>
      </c>
      <c r="AP15" s="485">
        <f>'[8]Phụ lục số 2-1'!AJ13</f>
        <v>0</v>
      </c>
      <c r="AQ15" s="485">
        <f>'[8]Phụ lục số 2-1'!AO13</f>
        <v>0</v>
      </c>
      <c r="AR15" s="485">
        <f>'[8]Phụ lục số 2-1'!AT13</f>
        <v>0</v>
      </c>
      <c r="AS15" s="485">
        <f>'[8]Phụ lục số 2-1'!AY13</f>
        <v>0</v>
      </c>
      <c r="AT15" s="1742">
        <f t="shared" si="24"/>
        <v>0</v>
      </c>
      <c r="AU15" s="602"/>
      <c r="AV15" s="606">
        <f t="shared" si="9"/>
        <v>0</v>
      </c>
      <c r="AW15" s="606">
        <f t="shared" si="10"/>
        <v>0</v>
      </c>
      <c r="AX15" s="501">
        <f t="shared" si="25"/>
        <v>-1</v>
      </c>
      <c r="AZ15" s="599">
        <f t="shared" si="18"/>
        <v>0</v>
      </c>
    </row>
    <row r="16" spans="1:52" s="335" customFormat="1" ht="19.95" customHeight="1">
      <c r="A16" s="600" t="s">
        <v>20</v>
      </c>
      <c r="B16" s="276" t="s">
        <v>33</v>
      </c>
      <c r="C16" s="326">
        <f>SUM(C17,C18,C19,C20)</f>
        <v>2567842.2054460002</v>
      </c>
      <c r="D16" s="326">
        <f>SUM(D17,D18,D19,D20)</f>
        <v>3701157.4722469999</v>
      </c>
      <c r="E16" s="326">
        <f>SUM(E17,E18,E19,E20)</f>
        <v>4705316.1468850002</v>
      </c>
      <c r="F16" s="326">
        <f>SUM(F17,F18,F19,F20)</f>
        <v>5327585.1827680003</v>
      </c>
      <c r="G16" s="326">
        <f>SUM(G17,G18,G19,G20)</f>
        <v>5673802.5993690006</v>
      </c>
      <c r="H16" s="326">
        <f t="shared" ref="H16:O16" si="27">SUM(H17,H18,H19,H20)</f>
        <v>5943201.1655269992</v>
      </c>
      <c r="I16" s="326">
        <f t="shared" si="22"/>
        <v>25351062.566796005</v>
      </c>
      <c r="J16" s="488"/>
      <c r="K16" s="488">
        <f t="shared" ref="K16:K30" si="28">I16/$I$10</f>
        <v>0.7573151375078313</v>
      </c>
      <c r="L16" s="326">
        <f t="shared" si="27"/>
        <v>6231312.6461589998</v>
      </c>
      <c r="M16" s="326">
        <f t="shared" si="27"/>
        <v>7010541.32228</v>
      </c>
      <c r="N16" s="326">
        <f t="shared" si="27"/>
        <v>7131263</v>
      </c>
      <c r="O16" s="326">
        <f t="shared" si="27"/>
        <v>7541051.8326360006</v>
      </c>
      <c r="P16" s="326">
        <f>SUM(P17,P18,P19,P20)</f>
        <v>7613338</v>
      </c>
      <c r="Q16" s="329">
        <f>SUM(Q17,Q18,Q19,Q20)</f>
        <v>8394673</v>
      </c>
      <c r="R16" s="329">
        <v>8380843</v>
      </c>
      <c r="S16" s="329">
        <f>SUM(S17,S18,S19,S20)</f>
        <v>8639182</v>
      </c>
      <c r="T16" s="439">
        <f t="shared" si="13"/>
        <v>37816760.801074997</v>
      </c>
      <c r="U16" s="323"/>
      <c r="V16" s="323">
        <f>T16/$T$10</f>
        <v>0.70993535974497279</v>
      </c>
      <c r="W16" s="323">
        <f t="shared" si="5"/>
        <v>0.49172290910623051</v>
      </c>
      <c r="X16" s="329">
        <f t="shared" ref="X16:AI16" si="29">SUM(X17,X18,X19,X20)</f>
        <v>8465821</v>
      </c>
      <c r="Y16" s="329">
        <f t="shared" si="29"/>
        <v>9613280</v>
      </c>
      <c r="Z16" s="329">
        <f t="shared" si="29"/>
        <v>9140657</v>
      </c>
      <c r="AA16" s="329">
        <f>'[4]Chi (HĐND)'!$F$23</f>
        <v>9081902.7744820006</v>
      </c>
      <c r="AB16" s="439">
        <f>AA16+Y16+S16</f>
        <v>27334364.774482001</v>
      </c>
      <c r="AC16" s="461">
        <f t="shared" si="1"/>
        <v>0.60387932515249887</v>
      </c>
      <c r="AD16" s="461">
        <f t="shared" si="21"/>
        <v>0.65606600588658048</v>
      </c>
      <c r="AE16" s="461">
        <f>AB16/$AB$16</f>
        <v>1</v>
      </c>
      <c r="AF16" s="326">
        <f>SUM(AF17+AF18+AF19+AF20)</f>
        <v>9353865</v>
      </c>
      <c r="AG16" s="326">
        <f>SUM(AG17+AG18+AG19+AG20)</f>
        <v>9353865</v>
      </c>
      <c r="AH16" s="326">
        <f t="shared" si="29"/>
        <v>10664978.394711081</v>
      </c>
      <c r="AI16" s="326">
        <f t="shared" si="29"/>
        <v>11071000</v>
      </c>
      <c r="AJ16" s="326">
        <f>Y16+AA16+AG16+AH16+AI16</f>
        <v>49785026.169193082</v>
      </c>
      <c r="AK16" s="488"/>
      <c r="AL16" s="489">
        <f t="shared" si="15"/>
        <v>0.56683455866595178</v>
      </c>
      <c r="AM16" s="489">
        <f t="shared" si="8"/>
        <v>0.64918049791366128</v>
      </c>
      <c r="AN16" s="501">
        <f t="shared" si="26"/>
        <v>0.31648044715077428</v>
      </c>
      <c r="AO16" s="329">
        <f t="shared" ref="AO16:AS16" si="30">SUM(AO17,AO18,AO19,AO20)</f>
        <v>11373000</v>
      </c>
      <c r="AP16" s="439">
        <f t="shared" si="30"/>
        <v>10464000</v>
      </c>
      <c r="AQ16" s="439">
        <f t="shared" si="30"/>
        <v>10767000</v>
      </c>
      <c r="AR16" s="439">
        <f t="shared" si="30"/>
        <v>11101000</v>
      </c>
      <c r="AS16" s="439">
        <f t="shared" si="30"/>
        <v>11476000</v>
      </c>
      <c r="AT16" s="1741">
        <f>SUM(AO16:AS16)</f>
        <v>55181000</v>
      </c>
      <c r="AU16" s="607"/>
      <c r="AV16" s="597">
        <f t="shared" si="9"/>
        <v>0.50533931443639457</v>
      </c>
      <c r="AW16" s="597">
        <f t="shared" si="10"/>
        <v>0.59712745273186862</v>
      </c>
      <c r="AX16" s="488">
        <f>AT16/AJ16-1</f>
        <v>0.10838547744192883</v>
      </c>
      <c r="AY16" s="339">
        <f>AI16/$AI$16</f>
        <v>1</v>
      </c>
      <c r="AZ16" s="599">
        <f t="shared" si="18"/>
        <v>0.64973321373077964</v>
      </c>
    </row>
    <row r="17" spans="1:52" s="335" customFormat="1" ht="19.95" customHeight="1">
      <c r="A17" s="600">
        <v>1</v>
      </c>
      <c r="B17" s="326" t="s">
        <v>573</v>
      </c>
      <c r="C17" s="326">
        <v>1195670.773844</v>
      </c>
      <c r="D17" s="326">
        <v>1428490.927049</v>
      </c>
      <c r="E17" s="326">
        <v>1957330.7359720001</v>
      </c>
      <c r="F17" s="326">
        <v>2188274.0349940001</v>
      </c>
      <c r="G17" s="326">
        <v>2397442.1445920002</v>
      </c>
      <c r="H17" s="326">
        <v>2477605.390437</v>
      </c>
      <c r="I17" s="326">
        <f t="shared" si="22"/>
        <v>10449143.233044</v>
      </c>
      <c r="J17" s="488"/>
      <c r="K17" s="488">
        <f t="shared" si="28"/>
        <v>0.31214842863179698</v>
      </c>
      <c r="L17" s="326">
        <v>2573258.7171829999</v>
      </c>
      <c r="M17" s="326">
        <v>2856667.320301</v>
      </c>
      <c r="N17" s="326">
        <v>3098986</v>
      </c>
      <c r="O17" s="326">
        <v>3044195.1281700004</v>
      </c>
      <c r="P17" s="326">
        <v>3322431</v>
      </c>
      <c r="Q17" s="329">
        <v>3320884</v>
      </c>
      <c r="R17" s="329">
        <v>3653123</v>
      </c>
      <c r="S17" s="329">
        <f>3507850</f>
        <v>3507850</v>
      </c>
      <c r="T17" s="439">
        <f t="shared" si="13"/>
        <v>15302855.165654</v>
      </c>
      <c r="U17" s="323"/>
      <c r="V17" s="323">
        <f t="shared" si="19"/>
        <v>0.28728102981376874</v>
      </c>
      <c r="W17" s="323">
        <f t="shared" si="5"/>
        <v>0.46450812515047102</v>
      </c>
      <c r="X17" s="340">
        <f>'[13]Phụ lục số 2'!$C$19</f>
        <v>3653191</v>
      </c>
      <c r="Y17" s="329">
        <f>3486573</f>
        <v>3486573</v>
      </c>
      <c r="Z17" s="329">
        <v>4090257</v>
      </c>
      <c r="AA17" s="329">
        <f>'[4]Chi (HĐND)'!$F$32</f>
        <v>3506949.6535290005</v>
      </c>
      <c r="AB17" s="439">
        <f t="shared" si="20"/>
        <v>10501372.653529</v>
      </c>
      <c r="AC17" s="461">
        <f t="shared" si="1"/>
        <v>0.2319996050213014</v>
      </c>
      <c r="AD17" s="461">
        <f t="shared" si="21"/>
        <v>0.25204879169385758</v>
      </c>
      <c r="AE17" s="422">
        <f t="shared" ref="AE17:AE29" si="31">AB17/$AB$16</f>
        <v>0.38418206313440861</v>
      </c>
      <c r="AF17" s="326">
        <f>'PL2.1'!K19</f>
        <v>4179745</v>
      </c>
      <c r="AG17" s="326">
        <f>'PL2.1'!P19</f>
        <v>4179745</v>
      </c>
      <c r="AH17" s="326">
        <f>'PL2.1'!U19</f>
        <v>4797945.7831797441</v>
      </c>
      <c r="AI17" s="326">
        <f>'PL2.1'!Z19</f>
        <v>4916000</v>
      </c>
      <c r="AJ17" s="326">
        <f>Y17+AA17+AG17+AH17+AI17</f>
        <v>20887213.436708745</v>
      </c>
      <c r="AK17" s="488"/>
      <c r="AL17" s="489">
        <f t="shared" si="15"/>
        <v>0.23781436550664437</v>
      </c>
      <c r="AM17" s="489">
        <f t="shared" si="8"/>
        <v>0.27236244835524759</v>
      </c>
      <c r="AN17" s="501">
        <f t="shared" si="26"/>
        <v>0.36492263767799216</v>
      </c>
      <c r="AO17" s="329">
        <f>'PL2.1'!AE19</f>
        <v>5004000</v>
      </c>
      <c r="AP17" s="439">
        <f>'[8]Phụ lục số 2-1'!AJ19</f>
        <v>4649000</v>
      </c>
      <c r="AQ17" s="439">
        <f>'[8]Phụ lục số 2-1'!AO19</f>
        <v>4791000</v>
      </c>
      <c r="AR17" s="439">
        <f>'[8]Phụ lục số 2-1'!AT19</f>
        <v>4938000</v>
      </c>
      <c r="AS17" s="439">
        <f>'[8]Phụ lục số 2-1'!AY19</f>
        <v>5104000</v>
      </c>
      <c r="AT17" s="1741">
        <f t="shared" si="24"/>
        <v>24486000</v>
      </c>
      <c r="AU17" s="607"/>
      <c r="AV17" s="597">
        <f t="shared" si="9"/>
        <v>0.22423911225402868</v>
      </c>
      <c r="AW17" s="597">
        <f t="shared" si="10"/>
        <v>0.26496915256324705</v>
      </c>
      <c r="AX17" s="488">
        <f t="shared" ref="AX17:AX41" si="32">AT17/AJ17-1</f>
        <v>0.17229615497520023</v>
      </c>
      <c r="AY17" s="339">
        <f t="shared" ref="AY17:AY86" si="33">AI17/$AI$16</f>
        <v>0.44404299521271789</v>
      </c>
      <c r="AZ17" s="599">
        <f t="shared" si="18"/>
        <v>0.28850948231420037</v>
      </c>
    </row>
    <row r="18" spans="1:52" s="335" customFormat="1" ht="19.95" customHeight="1">
      <c r="A18" s="600">
        <v>2</v>
      </c>
      <c r="B18" s="276" t="s">
        <v>99</v>
      </c>
      <c r="C18" s="326">
        <v>10103.887626</v>
      </c>
      <c r="D18" s="326">
        <v>16708.203065999998</v>
      </c>
      <c r="E18" s="326">
        <v>13732.921410000001</v>
      </c>
      <c r="F18" s="326">
        <v>21991.801834000002</v>
      </c>
      <c r="G18" s="326">
        <v>21685.136095999998</v>
      </c>
      <c r="H18" s="326">
        <v>19615.733521999999</v>
      </c>
      <c r="I18" s="326">
        <f t="shared" si="22"/>
        <v>93733.795927999992</v>
      </c>
      <c r="J18" s="488"/>
      <c r="K18" s="488">
        <f t="shared" si="28"/>
        <v>2.8001202066109641E-3</v>
      </c>
      <c r="L18" s="326">
        <v>17427.107277999999</v>
      </c>
      <c r="M18" s="326">
        <v>20608.003771</v>
      </c>
      <c r="N18" s="326">
        <v>28000</v>
      </c>
      <c r="O18" s="326">
        <v>18902.695590000003</v>
      </c>
      <c r="P18" s="326">
        <v>28000</v>
      </c>
      <c r="Q18" s="329">
        <v>21132</v>
      </c>
      <c r="R18" s="329">
        <v>31000</v>
      </c>
      <c r="S18" s="329">
        <v>19238</v>
      </c>
      <c r="T18" s="439">
        <f t="shared" si="13"/>
        <v>97307.806639000002</v>
      </c>
      <c r="U18" s="323"/>
      <c r="V18" s="323">
        <f t="shared" si="19"/>
        <v>1.8267628228562864E-3</v>
      </c>
      <c r="W18" s="323">
        <f t="shared" si="5"/>
        <v>3.8129371328835537E-2</v>
      </c>
      <c r="X18" s="340">
        <f>'[13]Phụ lục số 2'!$C$18</f>
        <v>31000</v>
      </c>
      <c r="Y18" s="329">
        <v>14227</v>
      </c>
      <c r="Z18" s="329">
        <v>31000</v>
      </c>
      <c r="AA18" s="329">
        <f>'[4]Chi (HĐND)'!$F$31</f>
        <v>17128.735162000001</v>
      </c>
      <c r="AB18" s="439">
        <f t="shared" si="20"/>
        <v>50593.735161999997</v>
      </c>
      <c r="AC18" s="461">
        <f t="shared" si="1"/>
        <v>1.1177326013844342E-3</v>
      </c>
      <c r="AD18" s="461">
        <f t="shared" si="21"/>
        <v>1.2143259967615546E-3</v>
      </c>
      <c r="AE18" s="422">
        <f t="shared" si="31"/>
        <v>1.850920465114733E-3</v>
      </c>
      <c r="AF18" s="326">
        <f>'PL2.1'!K18</f>
        <v>31000</v>
      </c>
      <c r="AG18" s="326">
        <f>'PL2.1'!P18</f>
        <v>31000</v>
      </c>
      <c r="AH18" s="326">
        <f>'PL2.1'!U18</f>
        <v>31218</v>
      </c>
      <c r="AI18" s="326">
        <f>'PL2.1'!Z18</f>
        <v>35000</v>
      </c>
      <c r="AJ18" s="326">
        <f t="shared" ref="AJ18:AJ87" si="34">Y18+AA18+AG18+AH18+AI18</f>
        <v>128573.735162</v>
      </c>
      <c r="AK18" s="488"/>
      <c r="AL18" s="489">
        <f t="shared" si="15"/>
        <v>1.4638947096041362E-3</v>
      </c>
      <c r="AM18" s="489">
        <f t="shared" si="8"/>
        <v>1.6765595568318896E-3</v>
      </c>
      <c r="AN18" s="501">
        <f t="shared" si="26"/>
        <v>0.32130955986905296</v>
      </c>
      <c r="AO18" s="329">
        <f>'PL2.1'!AE18</f>
        <v>38000</v>
      </c>
      <c r="AP18" s="439">
        <f>'[8]Phụ lục số 2-1'!AJ18</f>
        <v>36000</v>
      </c>
      <c r="AQ18" s="439">
        <f>'[8]Phụ lục số 2-1'!AO18</f>
        <v>37000</v>
      </c>
      <c r="AR18" s="439">
        <f>'[8]Phụ lục số 2-1'!AT18</f>
        <v>38000</v>
      </c>
      <c r="AS18" s="439">
        <f>'[8]Phụ lục số 2-1'!AY18</f>
        <v>39000</v>
      </c>
      <c r="AT18" s="1741">
        <f t="shared" si="24"/>
        <v>188000</v>
      </c>
      <c r="AU18" s="607"/>
      <c r="AV18" s="597">
        <f t="shared" si="9"/>
        <v>1.72167577814904E-3</v>
      </c>
      <c r="AW18" s="597">
        <f t="shared" si="10"/>
        <v>2.03439519243202E-3</v>
      </c>
      <c r="AX18" s="488">
        <f t="shared" si="32"/>
        <v>0.46219599020845314</v>
      </c>
      <c r="AY18" s="608">
        <f t="shared" si="33"/>
        <v>3.1614126998464457E-3</v>
      </c>
      <c r="AZ18" s="599">
        <f t="shared" si="18"/>
        <v>2.0540748334005317E-3</v>
      </c>
    </row>
    <row r="19" spans="1:52" s="335" customFormat="1" ht="19.95" customHeight="1">
      <c r="A19" s="600">
        <v>3</v>
      </c>
      <c r="B19" s="276" t="s">
        <v>89</v>
      </c>
      <c r="C19" s="326">
        <v>34249.1469</v>
      </c>
      <c r="D19" s="326">
        <v>55015.130089999999</v>
      </c>
      <c r="E19" s="326">
        <v>58794.641531000001</v>
      </c>
      <c r="F19" s="326">
        <v>63064.983071000002</v>
      </c>
      <c r="G19" s="326">
        <v>73254.026125999997</v>
      </c>
      <c r="H19" s="326">
        <v>66554.003003000005</v>
      </c>
      <c r="I19" s="326">
        <f t="shared" si="22"/>
        <v>316682.78382099996</v>
      </c>
      <c r="J19" s="488"/>
      <c r="K19" s="488">
        <f t="shared" si="28"/>
        <v>9.460300346143407E-3</v>
      </c>
      <c r="L19" s="326">
        <v>69874.356060000006</v>
      </c>
      <c r="M19" s="326">
        <v>114730.499979</v>
      </c>
      <c r="N19" s="326">
        <v>129921</v>
      </c>
      <c r="O19" s="326">
        <v>174534.90139499999</v>
      </c>
      <c r="P19" s="326">
        <v>129921</v>
      </c>
      <c r="Q19" s="329">
        <v>143120</v>
      </c>
      <c r="R19" s="329">
        <v>143469</v>
      </c>
      <c r="S19" s="329">
        <v>118967</v>
      </c>
      <c r="T19" s="439">
        <f t="shared" si="13"/>
        <v>621226.75743400003</v>
      </c>
      <c r="U19" s="323"/>
      <c r="V19" s="323">
        <f t="shared" si="19"/>
        <v>1.1662311424345281E-2</v>
      </c>
      <c r="W19" s="323">
        <f t="shared" si="5"/>
        <v>0.9616688660446373</v>
      </c>
      <c r="X19" s="340">
        <f>'[13]Phụ lục số 2'!$C$16</f>
        <v>143470</v>
      </c>
      <c r="Y19" s="329">
        <f>131042</f>
        <v>131042</v>
      </c>
      <c r="Z19" s="329">
        <v>133115</v>
      </c>
      <c r="AA19" s="329">
        <f>'[4]Chi (HĐND)'!$F$29</f>
        <v>115422.874604</v>
      </c>
      <c r="AB19" s="439">
        <f t="shared" si="20"/>
        <v>365431.87460400001</v>
      </c>
      <c r="AC19" s="461">
        <f t="shared" si="1"/>
        <v>8.0732351252987208E-3</v>
      </c>
      <c r="AD19" s="461">
        <f t="shared" si="21"/>
        <v>8.7709164772289943E-3</v>
      </c>
      <c r="AE19" s="422">
        <f t="shared" si="31"/>
        <v>1.3368954340769937E-2</v>
      </c>
      <c r="AF19" s="326">
        <f>'PL2.1'!K16</f>
        <v>136670</v>
      </c>
      <c r="AG19" s="326">
        <f>'PL2.1'!P16</f>
        <v>136670</v>
      </c>
      <c r="AH19" s="326">
        <f>'PL2.1'!U16</f>
        <v>151965</v>
      </c>
      <c r="AI19" s="326">
        <f>'PL2.1'!Z16</f>
        <v>160000</v>
      </c>
      <c r="AJ19" s="326">
        <f t="shared" si="34"/>
        <v>695099.87460400001</v>
      </c>
      <c r="AK19" s="488"/>
      <c r="AL19" s="489">
        <f t="shared" si="15"/>
        <v>7.91415935608622E-3</v>
      </c>
      <c r="AM19" s="489">
        <f t="shared" si="8"/>
        <v>9.0638755749892184E-3</v>
      </c>
      <c r="AN19" s="501">
        <f t="shared" si="26"/>
        <v>0.11891489908634267</v>
      </c>
      <c r="AO19" s="329">
        <f>'PL2.1'!AE16</f>
        <v>166000</v>
      </c>
      <c r="AP19" s="439">
        <f>'[8]Phụ lục số 2-1'!AJ16</f>
        <v>154000</v>
      </c>
      <c r="AQ19" s="439">
        <f>'[8]Phụ lục số 2-1'!AO16</f>
        <v>158000</v>
      </c>
      <c r="AR19" s="439">
        <f>'[8]Phụ lục số 2-1'!AT16</f>
        <v>163000</v>
      </c>
      <c r="AS19" s="439">
        <f>'[8]Phụ lục số 2-1'!AY16</f>
        <v>169000</v>
      </c>
      <c r="AT19" s="1741">
        <f t="shared" si="24"/>
        <v>810000</v>
      </c>
      <c r="AU19" s="607"/>
      <c r="AV19" s="597">
        <f t="shared" si="9"/>
        <v>7.4178584058549055E-3</v>
      </c>
      <c r="AW19" s="597">
        <f t="shared" si="10"/>
        <v>8.7652133290954046E-3</v>
      </c>
      <c r="AX19" s="488">
        <f t="shared" si="32"/>
        <v>0.1653001670608254</v>
      </c>
      <c r="AY19" s="608">
        <f t="shared" si="33"/>
        <v>1.445217234215518E-2</v>
      </c>
      <c r="AZ19" s="599">
        <f t="shared" si="18"/>
        <v>9.3900563812595733E-3</v>
      </c>
    </row>
    <row r="20" spans="1:52" s="335" customFormat="1" ht="19.95" customHeight="1">
      <c r="A20" s="600">
        <v>4</v>
      </c>
      <c r="B20" s="276" t="s">
        <v>301</v>
      </c>
      <c r="C20" s="326">
        <f>SUM(C21:C29)</f>
        <v>1327818.397076</v>
      </c>
      <c r="D20" s="326">
        <f>SUM(D21:D29)</f>
        <v>2200943.2120419997</v>
      </c>
      <c r="E20" s="326">
        <f>SUM(E21:E29)</f>
        <v>2675457.847972</v>
      </c>
      <c r="F20" s="326">
        <f>SUM(F21:F29)</f>
        <v>3054254.3628690001</v>
      </c>
      <c r="G20" s="326">
        <f>SUM(G21:G29)</f>
        <v>3181421.2925549997</v>
      </c>
      <c r="H20" s="326">
        <f t="shared" ref="H20:O20" si="35">SUM(H21:H29)</f>
        <v>3379426.0385650001</v>
      </c>
      <c r="I20" s="326">
        <f t="shared" si="22"/>
        <v>14491502.754003001</v>
      </c>
      <c r="J20" s="488"/>
      <c r="K20" s="488">
        <f t="shared" si="28"/>
        <v>0.43290628832327988</v>
      </c>
      <c r="L20" s="326">
        <f t="shared" si="35"/>
        <v>3570752.4656379996</v>
      </c>
      <c r="M20" s="326">
        <f t="shared" si="35"/>
        <v>4018535.4982289998</v>
      </c>
      <c r="N20" s="326">
        <f t="shared" si="35"/>
        <v>3874356</v>
      </c>
      <c r="O20" s="326">
        <f t="shared" si="35"/>
        <v>4303419.107481</v>
      </c>
      <c r="P20" s="326">
        <f>SUM(P21:P29)</f>
        <v>4132986</v>
      </c>
      <c r="Q20" s="329">
        <f>SUM(Q21:Q29)</f>
        <v>4909537</v>
      </c>
      <c r="R20" s="329">
        <f>SUM(R21:R29)</f>
        <v>4546251</v>
      </c>
      <c r="S20" s="329">
        <f>SUM(S21:S29)</f>
        <v>4993127</v>
      </c>
      <c r="T20" s="439">
        <f t="shared" si="13"/>
        <v>21795371.071348</v>
      </c>
      <c r="U20" s="323"/>
      <c r="V20" s="323">
        <f t="shared" si="19"/>
        <v>0.40916525568400253</v>
      </c>
      <c r="W20" s="323">
        <f t="shared" si="5"/>
        <v>0.50401041502251687</v>
      </c>
      <c r="X20" s="329">
        <f t="shared" ref="X20:AI20" si="36">SUM(X21:X29)</f>
        <v>4638160</v>
      </c>
      <c r="Y20" s="329">
        <f t="shared" si="36"/>
        <v>5981438</v>
      </c>
      <c r="Z20" s="329">
        <f t="shared" si="36"/>
        <v>4886285</v>
      </c>
      <c r="AA20" s="329">
        <f>SUM(AA21:AA29)</f>
        <v>5442401.5111869993</v>
      </c>
      <c r="AB20" s="439">
        <f t="shared" si="20"/>
        <v>16416966.511186998</v>
      </c>
      <c r="AC20" s="461">
        <f t="shared" si="1"/>
        <v>0.36268875240451426</v>
      </c>
      <c r="AD20" s="461">
        <f t="shared" si="21"/>
        <v>0.39403197171873228</v>
      </c>
      <c r="AE20" s="461">
        <f t="shared" si="31"/>
        <v>0.60059806205970656</v>
      </c>
      <c r="AF20" s="326">
        <f>SUM(AF21:AF29)</f>
        <v>5006450</v>
      </c>
      <c r="AG20" s="326">
        <f>SUM(AG21:AG29)</f>
        <v>5006450</v>
      </c>
      <c r="AH20" s="326">
        <f t="shared" si="36"/>
        <v>5683849.6115313377</v>
      </c>
      <c r="AI20" s="326">
        <f t="shared" si="36"/>
        <v>5960000</v>
      </c>
      <c r="AJ20" s="326">
        <f t="shared" si="34"/>
        <v>28074139.122718334</v>
      </c>
      <c r="AK20" s="488"/>
      <c r="AL20" s="489">
        <f t="shared" si="15"/>
        <v>0.31964213909361699</v>
      </c>
      <c r="AM20" s="489">
        <f t="shared" si="8"/>
        <v>0.36607761442659259</v>
      </c>
      <c r="AN20" s="501">
        <f t="shared" si="26"/>
        <v>0.28807805248263674</v>
      </c>
      <c r="AO20" s="329">
        <f t="shared" ref="AO20:AT20" si="37">SUM(AO21:AO29)</f>
        <v>6165000</v>
      </c>
      <c r="AP20" s="439">
        <f t="shared" si="37"/>
        <v>5625000</v>
      </c>
      <c r="AQ20" s="439">
        <f t="shared" si="37"/>
        <v>5781000</v>
      </c>
      <c r="AR20" s="439">
        <f t="shared" si="37"/>
        <v>5962000</v>
      </c>
      <c r="AS20" s="439">
        <f t="shared" si="37"/>
        <v>6164000</v>
      </c>
      <c r="AT20" s="1741">
        <f t="shared" si="37"/>
        <v>29697000</v>
      </c>
      <c r="AU20" s="607"/>
      <c r="AV20" s="597">
        <f t="shared" si="9"/>
        <v>0.27196066799836188</v>
      </c>
      <c r="AW20" s="597">
        <f t="shared" si="10"/>
        <v>0.32135869164709413</v>
      </c>
      <c r="AX20" s="488">
        <f t="shared" si="32"/>
        <v>5.7806256148684731E-2</v>
      </c>
      <c r="AY20" s="339">
        <f t="shared" si="33"/>
        <v>0.53834341974528044</v>
      </c>
      <c r="AZ20" s="599">
        <f t="shared" si="18"/>
        <v>0.34977960020191912</v>
      </c>
    </row>
    <row r="21" spans="1:52" s="578" customFormat="1" ht="19.95" customHeight="1">
      <c r="A21" s="603" t="s">
        <v>137</v>
      </c>
      <c r="B21" s="604" t="s">
        <v>574</v>
      </c>
      <c r="C21" s="506">
        <v>203470.804259</v>
      </c>
      <c r="D21" s="506">
        <v>437527.82894199999</v>
      </c>
      <c r="E21" s="506">
        <v>556462.56830799999</v>
      </c>
      <c r="F21" s="506">
        <v>576982.66837099998</v>
      </c>
      <c r="G21" s="506">
        <v>616646.97566200001</v>
      </c>
      <c r="H21" s="506">
        <v>662261.89618699998</v>
      </c>
      <c r="I21" s="506">
        <f>SUM(D21:H21)</f>
        <v>2849881.9374699998</v>
      </c>
      <c r="J21" s="501"/>
      <c r="K21" s="501">
        <f t="shared" si="28"/>
        <v>8.5134842994036647E-2</v>
      </c>
      <c r="L21" s="506">
        <v>698207.90548199997</v>
      </c>
      <c r="M21" s="506">
        <v>712910.13209700002</v>
      </c>
      <c r="N21" s="506">
        <v>715000</v>
      </c>
      <c r="O21" s="506">
        <v>722455.72826600005</v>
      </c>
      <c r="P21" s="506">
        <v>755689</v>
      </c>
      <c r="Q21" s="495">
        <v>780602</v>
      </c>
      <c r="R21" s="495">
        <v>764071</v>
      </c>
      <c r="S21" s="495">
        <v>763943</v>
      </c>
      <c r="T21" s="485">
        <f t="shared" si="13"/>
        <v>3678118.7658449998</v>
      </c>
      <c r="U21" s="388"/>
      <c r="V21" s="388">
        <f t="shared" si="19"/>
        <v>6.9049450928665407E-2</v>
      </c>
      <c r="W21" s="388">
        <f t="shared" si="5"/>
        <v>0.29062145258911065</v>
      </c>
      <c r="X21" s="502">
        <f>'[13]Phụ lục số 2'!$C$20</f>
        <v>770000</v>
      </c>
      <c r="Y21" s="495">
        <v>1231791</v>
      </c>
      <c r="Z21" s="495">
        <v>770000</v>
      </c>
      <c r="AA21" s="495">
        <f>'[4]Chi (HĐND)'!$F$35</f>
        <v>858963.24846000003</v>
      </c>
      <c r="AB21" s="485">
        <f t="shared" si="20"/>
        <v>2854697.2484599999</v>
      </c>
      <c r="AC21" s="458">
        <f t="shared" si="1"/>
        <v>6.3066863347198049E-2</v>
      </c>
      <c r="AD21" s="458">
        <f t="shared" si="21"/>
        <v>6.8517042092047481E-2</v>
      </c>
      <c r="AE21" s="458">
        <f t="shared" si="31"/>
        <v>0.10443620226817939</v>
      </c>
      <c r="AF21" s="506">
        <f>'PL2.1'!K20</f>
        <v>750000</v>
      </c>
      <c r="AG21" s="506">
        <f>'PL2.1'!P20</f>
        <v>750000</v>
      </c>
      <c r="AH21" s="506">
        <f>'PL2.1'!U20</f>
        <v>828538</v>
      </c>
      <c r="AI21" s="506">
        <f>'PL2.1'!Z20</f>
        <v>931000</v>
      </c>
      <c r="AJ21" s="506">
        <f t="shared" si="34"/>
        <v>4600292.2484600004</v>
      </c>
      <c r="AK21" s="501"/>
      <c r="AL21" s="605">
        <f t="shared" si="15"/>
        <v>5.2377287450414277E-2</v>
      </c>
      <c r="AM21" s="605">
        <f t="shared" si="8"/>
        <v>5.9986309985141935E-2</v>
      </c>
      <c r="AN21" s="501">
        <f t="shared" si="26"/>
        <v>0.25071878895763255</v>
      </c>
      <c r="AO21" s="495">
        <f>'PL2.1'!AE20</f>
        <v>1007000</v>
      </c>
      <c r="AP21" s="485">
        <f>'[8]Phụ lục số 2-1'!AJ20</f>
        <v>872000</v>
      </c>
      <c r="AQ21" s="485">
        <f>'[8]Phụ lục số 2-1'!AO20</f>
        <v>889000</v>
      </c>
      <c r="AR21" s="485">
        <f>'[8]Phụ lục số 2-1'!AT20</f>
        <v>918000</v>
      </c>
      <c r="AS21" s="485">
        <f>'[8]Phụ lục số 2-1'!AY20</f>
        <v>949000</v>
      </c>
      <c r="AT21" s="1742">
        <f t="shared" si="24"/>
        <v>4635000</v>
      </c>
      <c r="AU21" s="602"/>
      <c r="AV21" s="606">
        <f t="shared" si="9"/>
        <v>4.2446634211280851E-2</v>
      </c>
      <c r="AW21" s="606">
        <f t="shared" si="10"/>
        <v>5.0156498494268155E-2</v>
      </c>
      <c r="AX21" s="501">
        <f t="shared" si="32"/>
        <v>7.5446840473272214E-3</v>
      </c>
      <c r="AY21" s="579">
        <f t="shared" si="33"/>
        <v>8.4093577815915449E-2</v>
      </c>
      <c r="AZ21" s="599">
        <f t="shared" si="18"/>
        <v>5.463839056845414E-2</v>
      </c>
    </row>
    <row r="22" spans="1:52" s="578" customFormat="1" ht="19.95" customHeight="1">
      <c r="A22" s="603" t="s">
        <v>137</v>
      </c>
      <c r="B22" s="604" t="s">
        <v>63</v>
      </c>
      <c r="C22" s="506">
        <v>154262.51921500001</v>
      </c>
      <c r="D22" s="506">
        <v>490696.08976399997</v>
      </c>
      <c r="E22" s="506">
        <v>548010.31741000002</v>
      </c>
      <c r="F22" s="506">
        <v>764485.16498500004</v>
      </c>
      <c r="G22" s="506">
        <v>783114.82380200003</v>
      </c>
      <c r="H22" s="506">
        <v>796081.78902999999</v>
      </c>
      <c r="I22" s="506">
        <f t="shared" si="22"/>
        <v>3382388.1849910002</v>
      </c>
      <c r="J22" s="501"/>
      <c r="K22" s="501">
        <f t="shared" si="28"/>
        <v>0.10104246189571307</v>
      </c>
      <c r="L22" s="506">
        <v>765575.05895500001</v>
      </c>
      <c r="M22" s="506">
        <v>975931.92331099999</v>
      </c>
      <c r="N22" s="506">
        <v>1275496</v>
      </c>
      <c r="O22" s="506">
        <v>1107514.761126</v>
      </c>
      <c r="P22" s="506">
        <v>1407216</v>
      </c>
      <c r="Q22" s="495">
        <v>1591367</v>
      </c>
      <c r="R22" s="495">
        <v>1582205</v>
      </c>
      <c r="S22" s="495">
        <v>1377909</v>
      </c>
      <c r="T22" s="485">
        <f t="shared" si="13"/>
        <v>5818297.743392</v>
      </c>
      <c r="U22" s="388"/>
      <c r="V22" s="388">
        <f t="shared" si="19"/>
        <v>0.10922710496772489</v>
      </c>
      <c r="W22" s="388">
        <f t="shared" si="5"/>
        <v>0.72017445224356513</v>
      </c>
      <c r="X22" s="502">
        <f>'[13]Phụ lục số 2'!$C$15</f>
        <v>1604001</v>
      </c>
      <c r="Y22" s="495">
        <v>1359809</v>
      </c>
      <c r="Z22" s="495">
        <v>1680956</v>
      </c>
      <c r="AA22" s="495">
        <f>'[4]Chi (HĐND)'!$F$24</f>
        <v>1631275.6465659998</v>
      </c>
      <c r="AB22" s="485">
        <f t="shared" si="20"/>
        <v>4368993.6465659998</v>
      </c>
      <c r="AC22" s="458">
        <f t="shared" si="1"/>
        <v>9.652117240152068E-2</v>
      </c>
      <c r="AD22" s="458">
        <f t="shared" si="21"/>
        <v>0.10486244092719073</v>
      </c>
      <c r="AE22" s="458">
        <f t="shared" si="31"/>
        <v>0.15983519948649674</v>
      </c>
      <c r="AF22" s="506">
        <f>'PL2.1'!K15</f>
        <v>1793642</v>
      </c>
      <c r="AG22" s="506">
        <f>'PL2.1'!P15</f>
        <v>1793642</v>
      </c>
      <c r="AH22" s="506">
        <f>'PL2.1'!U15</f>
        <v>2068978.6115313373</v>
      </c>
      <c r="AI22" s="506">
        <f>'PL2.1'!Z15</f>
        <v>2136000</v>
      </c>
      <c r="AJ22" s="506">
        <f t="shared" si="34"/>
        <v>8989705.2580973376</v>
      </c>
      <c r="AK22" s="501"/>
      <c r="AL22" s="605">
        <f t="shared" si="15"/>
        <v>0.10235357907000134</v>
      </c>
      <c r="AM22" s="605">
        <f t="shared" si="8"/>
        <v>0.11722282349948752</v>
      </c>
      <c r="AN22" s="501">
        <f t="shared" si="26"/>
        <v>0.54507480616769599</v>
      </c>
      <c r="AO22" s="495">
        <f>'PL2.1'!AE15</f>
        <v>2186000</v>
      </c>
      <c r="AP22" s="485">
        <f>'[8]Phụ lục số 2-1'!AJ15</f>
        <v>2002000</v>
      </c>
      <c r="AQ22" s="485">
        <f>'[8]Phụ lục số 2-1'!AO15</f>
        <v>2061000</v>
      </c>
      <c r="AR22" s="485">
        <f>'[8]Phụ lục số 2-1'!AT15</f>
        <v>2125000</v>
      </c>
      <c r="AS22" s="485">
        <f>'[8]Phụ lục số 2-1'!AY15</f>
        <v>2196000</v>
      </c>
      <c r="AT22" s="1742">
        <f t="shared" si="24"/>
        <v>10570000</v>
      </c>
      <c r="AU22" s="602"/>
      <c r="AV22" s="606">
        <f t="shared" si="9"/>
        <v>9.6798473271464638E-2</v>
      </c>
      <c r="AW22" s="606">
        <f t="shared" si="10"/>
        <v>0.11438062331918325</v>
      </c>
      <c r="AX22" s="501">
        <f t="shared" si="32"/>
        <v>0.17578938313680936</v>
      </c>
      <c r="AY22" s="579">
        <f t="shared" si="33"/>
        <v>0.19293650076777166</v>
      </c>
      <c r="AZ22" s="599">
        <f t="shared" si="18"/>
        <v>0.12535725268981529</v>
      </c>
    </row>
    <row r="23" spans="1:52" s="578" customFormat="1" ht="19.95" customHeight="1">
      <c r="A23" s="603" t="s">
        <v>137</v>
      </c>
      <c r="B23" s="604" t="s">
        <v>575</v>
      </c>
      <c r="C23" s="506">
        <v>43533.981120999997</v>
      </c>
      <c r="D23" s="506">
        <v>39757.294290999998</v>
      </c>
      <c r="E23" s="506">
        <v>52360.173611999999</v>
      </c>
      <c r="F23" s="506">
        <v>52303.291445000003</v>
      </c>
      <c r="G23" s="506">
        <v>63059.284599999999</v>
      </c>
      <c r="H23" s="506">
        <v>67830.687684999997</v>
      </c>
      <c r="I23" s="506">
        <f t="shared" si="22"/>
        <v>275310.73163300002</v>
      </c>
      <c r="J23" s="501"/>
      <c r="K23" s="501">
        <f t="shared" si="28"/>
        <v>8.2243883874559796E-3</v>
      </c>
      <c r="L23" s="506">
        <v>71963.686795999995</v>
      </c>
      <c r="M23" s="506">
        <v>82277.291335000002</v>
      </c>
      <c r="N23" s="506">
        <v>66139</v>
      </c>
      <c r="O23" s="506">
        <v>83162.060146000003</v>
      </c>
      <c r="P23" s="506">
        <v>69066</v>
      </c>
      <c r="Q23" s="495">
        <v>83133</v>
      </c>
      <c r="R23" s="495">
        <v>77000</v>
      </c>
      <c r="S23" s="495">
        <v>92821</v>
      </c>
      <c r="T23" s="485">
        <f t="shared" si="13"/>
        <v>413357.03827700001</v>
      </c>
      <c r="U23" s="388"/>
      <c r="V23" s="388">
        <f t="shared" si="19"/>
        <v>7.759965990105545E-3</v>
      </c>
      <c r="W23" s="388">
        <f t="shared" si="5"/>
        <v>0.50141999850562002</v>
      </c>
      <c r="X23" s="502">
        <f>'[13]Phụ lục số 2'!$C$21</f>
        <v>77733</v>
      </c>
      <c r="Y23" s="495">
        <v>86194</v>
      </c>
      <c r="Z23" s="495">
        <v>77843</v>
      </c>
      <c r="AA23" s="495">
        <f>'[4]Chi (HĐND)'!$F$36</f>
        <v>98046.919022000002</v>
      </c>
      <c r="AB23" s="485">
        <f t="shared" si="20"/>
        <v>277061.91902199999</v>
      </c>
      <c r="AC23" s="458">
        <f t="shared" si="1"/>
        <v>6.1209384620730511E-3</v>
      </c>
      <c r="AD23" s="458">
        <f t="shared" si="21"/>
        <v>6.6499041808985799E-3</v>
      </c>
      <c r="AE23" s="458">
        <f t="shared" si="31"/>
        <v>1.0136029181868941E-2</v>
      </c>
      <c r="AF23" s="506">
        <f>'PL2.1'!K21</f>
        <v>78978</v>
      </c>
      <c r="AG23" s="506">
        <f>'PL2.1'!P21</f>
        <v>78978</v>
      </c>
      <c r="AH23" s="506">
        <f>'PL2.1'!U21</f>
        <v>91888</v>
      </c>
      <c r="AI23" s="506">
        <f>'PL2.1'!Z21</f>
        <v>98000</v>
      </c>
      <c r="AJ23" s="506">
        <f t="shared" si="34"/>
        <v>453106.91902199999</v>
      </c>
      <c r="AK23" s="501"/>
      <c r="AL23" s="605">
        <f t="shared" si="15"/>
        <v>5.1589138388613469E-3</v>
      </c>
      <c r="AM23" s="605">
        <f t="shared" si="8"/>
        <v>5.9083663891060789E-3</v>
      </c>
      <c r="AN23" s="501">
        <f t="shared" si="26"/>
        <v>9.6163551274437653E-2</v>
      </c>
      <c r="AO23" s="495">
        <f>'PL2.1'!AE21</f>
        <v>102000</v>
      </c>
      <c r="AP23" s="485">
        <f>'[8]Phụ lục số 2-1'!AJ21</f>
        <v>89000</v>
      </c>
      <c r="AQ23" s="485">
        <f>'[8]Phụ lục số 2-1'!AO21</f>
        <v>91000</v>
      </c>
      <c r="AR23" s="485">
        <f>'[8]Phụ lục số 2-1'!AT21</f>
        <v>94000</v>
      </c>
      <c r="AS23" s="485">
        <f>'[8]Phụ lục số 2-1'!AY21</f>
        <v>98000</v>
      </c>
      <c r="AT23" s="1742">
        <f t="shared" si="24"/>
        <v>474000</v>
      </c>
      <c r="AU23" s="602"/>
      <c r="AV23" s="606">
        <f t="shared" si="9"/>
        <v>4.3408208449076859E-3</v>
      </c>
      <c r="AW23" s="606">
        <f t="shared" si="10"/>
        <v>5.1292729851743482E-3</v>
      </c>
      <c r="AX23" s="501">
        <f t="shared" si="32"/>
        <v>4.6110708313826354E-2</v>
      </c>
      <c r="AY23" s="579">
        <f t="shared" si="33"/>
        <v>8.8519555595700482E-3</v>
      </c>
      <c r="AZ23" s="599">
        <f t="shared" si="18"/>
        <v>5.7514095335214881E-3</v>
      </c>
    </row>
    <row r="24" spans="1:52" s="578" customFormat="1" ht="19.95" customHeight="1">
      <c r="A24" s="603" t="s">
        <v>137</v>
      </c>
      <c r="B24" s="604" t="s">
        <v>576</v>
      </c>
      <c r="C24" s="506">
        <v>14485.369694999999</v>
      </c>
      <c r="D24" s="506">
        <v>13384.146613999999</v>
      </c>
      <c r="E24" s="506">
        <v>18335.384052000001</v>
      </c>
      <c r="F24" s="506">
        <v>21908.077399999998</v>
      </c>
      <c r="G24" s="506">
        <v>19416.014755</v>
      </c>
      <c r="H24" s="506">
        <v>20078.266750999999</v>
      </c>
      <c r="I24" s="506">
        <f t="shared" si="22"/>
        <v>93121.889572</v>
      </c>
      <c r="J24" s="501"/>
      <c r="K24" s="501">
        <f t="shared" si="28"/>
        <v>2.7818406593566806E-3</v>
      </c>
      <c r="L24" s="506">
        <v>20810.145353</v>
      </c>
      <c r="M24" s="506">
        <v>22929.685490999997</v>
      </c>
      <c r="N24" s="506">
        <v>29871</v>
      </c>
      <c r="O24" s="506">
        <v>21712.812980000002</v>
      </c>
      <c r="P24" s="506">
        <v>30602</v>
      </c>
      <c r="Q24" s="495">
        <v>21575</v>
      </c>
      <c r="R24" s="495">
        <v>34956</v>
      </c>
      <c r="S24" s="495">
        <v>27053</v>
      </c>
      <c r="T24" s="485">
        <f t="shared" si="13"/>
        <v>114080.643824</v>
      </c>
      <c r="U24" s="388"/>
      <c r="V24" s="388">
        <f t="shared" si="19"/>
        <v>2.141639876010409E-3</v>
      </c>
      <c r="W24" s="388">
        <f t="shared" si="5"/>
        <v>0.22506796574177224</v>
      </c>
      <c r="X24" s="502">
        <f>'[13]Phụ lục số 2'!$C$22</f>
        <v>36574</v>
      </c>
      <c r="Y24" s="495">
        <v>27017</v>
      </c>
      <c r="Z24" s="495">
        <v>41920</v>
      </c>
      <c r="AA24" s="495">
        <f>'[4]Chi (HĐND)'!$F$37</f>
        <v>28184.048601999999</v>
      </c>
      <c r="AB24" s="485">
        <f t="shared" si="20"/>
        <v>82254.048601999995</v>
      </c>
      <c r="AC24" s="458">
        <f t="shared" si="1"/>
        <v>1.8171821357709931E-3</v>
      </c>
      <c r="AD24" s="458">
        <f t="shared" si="21"/>
        <v>1.9742212990694038E-3</v>
      </c>
      <c r="AE24" s="458">
        <f t="shared" si="31"/>
        <v>3.0091809076459048E-3</v>
      </c>
      <c r="AF24" s="506">
        <f>'PL2.1'!K22</f>
        <v>42757</v>
      </c>
      <c r="AG24" s="506">
        <f>'PL2.1'!P22</f>
        <v>42757</v>
      </c>
      <c r="AH24" s="506">
        <f>'PL2.1'!U22</f>
        <v>50073</v>
      </c>
      <c r="AI24" s="506">
        <f>'PL2.1'!Z22</f>
        <v>52000</v>
      </c>
      <c r="AJ24" s="506">
        <f t="shared" si="34"/>
        <v>200031.048602</v>
      </c>
      <c r="AK24" s="501"/>
      <c r="AL24" s="605">
        <f t="shared" si="15"/>
        <v>2.2774822045582136E-3</v>
      </c>
      <c r="AM24" s="605">
        <f t="shared" si="8"/>
        <v>2.6083396097518383E-3</v>
      </c>
      <c r="AN24" s="501">
        <f t="shared" si="26"/>
        <v>0.75341794976719756</v>
      </c>
      <c r="AO24" s="495">
        <f>'PL2.1'!AE22</f>
        <v>54000</v>
      </c>
      <c r="AP24" s="485">
        <f>'[8]Phụ lục số 2-1'!AJ22</f>
        <v>49000</v>
      </c>
      <c r="AQ24" s="485">
        <f>'[8]Phụ lục số 2-1'!AO22</f>
        <v>50000</v>
      </c>
      <c r="AR24" s="485">
        <f>'[8]Phụ lục số 2-1'!AT22</f>
        <v>52000</v>
      </c>
      <c r="AS24" s="485">
        <f>'[8]Phụ lục số 2-1'!AY22</f>
        <v>54000</v>
      </c>
      <c r="AT24" s="1742">
        <f t="shared" si="24"/>
        <v>259000</v>
      </c>
      <c r="AU24" s="602"/>
      <c r="AV24" s="606">
        <f t="shared" si="9"/>
        <v>2.3718831198968155E-3</v>
      </c>
      <c r="AW24" s="606">
        <f t="shared" si="10"/>
        <v>2.8027040151058146E-3</v>
      </c>
      <c r="AX24" s="501">
        <f t="shared" si="32"/>
        <v>0.29479899150721356</v>
      </c>
      <c r="AY24" s="579">
        <f t="shared" si="33"/>
        <v>4.6969560112004333E-3</v>
      </c>
      <c r="AZ24" s="599">
        <f t="shared" si="18"/>
        <v>3.0517683239093614E-3</v>
      </c>
    </row>
    <row r="25" spans="1:52" s="578" customFormat="1" ht="19.95" customHeight="1">
      <c r="A25" s="603" t="s">
        <v>137</v>
      </c>
      <c r="B25" s="604" t="s">
        <v>577</v>
      </c>
      <c r="C25" s="506">
        <v>23029.594314000002</v>
      </c>
      <c r="D25" s="506">
        <v>31166.499995999999</v>
      </c>
      <c r="E25" s="506">
        <v>23136.025249999999</v>
      </c>
      <c r="F25" s="506">
        <v>29067.688738000001</v>
      </c>
      <c r="G25" s="506">
        <v>25959.988635000002</v>
      </c>
      <c r="H25" s="506">
        <v>29270.382845</v>
      </c>
      <c r="I25" s="506">
        <f t="shared" si="22"/>
        <v>138600.585464</v>
      </c>
      <c r="J25" s="501"/>
      <c r="K25" s="501">
        <f t="shared" si="28"/>
        <v>4.1404308463509508E-3</v>
      </c>
      <c r="L25" s="506">
        <v>25568.900889</v>
      </c>
      <c r="M25" s="506">
        <v>31644.635216999995</v>
      </c>
      <c r="N25" s="506">
        <v>28445</v>
      </c>
      <c r="O25" s="506">
        <v>33093.863715</v>
      </c>
      <c r="P25" s="506">
        <v>32041</v>
      </c>
      <c r="Q25" s="495">
        <v>32699</v>
      </c>
      <c r="R25" s="495">
        <v>34000</v>
      </c>
      <c r="S25" s="495">
        <v>39788</v>
      </c>
      <c r="T25" s="485">
        <f t="shared" si="13"/>
        <v>162794.399821</v>
      </c>
      <c r="U25" s="388"/>
      <c r="V25" s="388">
        <f t="shared" si="19"/>
        <v>3.0561449038253754E-3</v>
      </c>
      <c r="W25" s="388">
        <f t="shared" si="5"/>
        <v>0.17455780778995389</v>
      </c>
      <c r="X25" s="502">
        <f>'[13]Phụ lục số 2'!$C$23</f>
        <v>34237</v>
      </c>
      <c r="Y25" s="495">
        <v>21505</v>
      </c>
      <c r="Z25" s="495">
        <v>37960</v>
      </c>
      <c r="AA25" s="495">
        <f>'[4]Chi (HĐND)'!$F$38</f>
        <v>50990.684492</v>
      </c>
      <c r="AB25" s="485">
        <f t="shared" si="20"/>
        <v>112283.684492</v>
      </c>
      <c r="AC25" s="458">
        <f t="shared" si="1"/>
        <v>2.4806062323410997E-3</v>
      </c>
      <c r="AD25" s="458">
        <f t="shared" si="21"/>
        <v>2.694977879261561E-3</v>
      </c>
      <c r="AE25" s="458">
        <f t="shared" si="31"/>
        <v>4.1077846666048171E-3</v>
      </c>
      <c r="AF25" s="506">
        <f>'PL2.1'!K23</f>
        <v>38378</v>
      </c>
      <c r="AG25" s="506">
        <f>'PL2.1'!P23</f>
        <v>38378</v>
      </c>
      <c r="AH25" s="506">
        <f>'PL2.1'!U23</f>
        <v>53202</v>
      </c>
      <c r="AI25" s="506">
        <f>'PL2.1'!Z23</f>
        <v>58000</v>
      </c>
      <c r="AJ25" s="506">
        <f t="shared" si="34"/>
        <v>222075.684492</v>
      </c>
      <c r="AK25" s="501"/>
      <c r="AL25" s="605">
        <f t="shared" si="15"/>
        <v>2.5284745694751985E-3</v>
      </c>
      <c r="AM25" s="605">
        <f t="shared" si="8"/>
        <v>2.8957944692664279E-3</v>
      </c>
      <c r="AN25" s="501">
        <f t="shared" si="26"/>
        <v>0.36414818160933371</v>
      </c>
      <c r="AO25" s="495">
        <f>'PL2.1'!AE23</f>
        <v>61000</v>
      </c>
      <c r="AP25" s="485">
        <f>'[8]Phụ lục số 2-1'!AJ23</f>
        <v>43000</v>
      </c>
      <c r="AQ25" s="485">
        <f>'[8]Phụ lục số 2-1'!AO23</f>
        <v>45000</v>
      </c>
      <c r="AR25" s="485">
        <f>'[8]Phụ lục số 2-1'!AT23</f>
        <v>46000</v>
      </c>
      <c r="AS25" s="485">
        <f>'[8]Phụ lục số 2-1'!AY23</f>
        <v>48000</v>
      </c>
      <c r="AT25" s="1742">
        <f t="shared" si="24"/>
        <v>243000</v>
      </c>
      <c r="AU25" s="602"/>
      <c r="AV25" s="606">
        <f t="shared" si="9"/>
        <v>2.2253575217564717E-3</v>
      </c>
      <c r="AW25" s="606">
        <f t="shared" si="10"/>
        <v>2.6295639987286216E-3</v>
      </c>
      <c r="AX25" s="501">
        <f t="shared" si="32"/>
        <v>9.4221551341222121E-2</v>
      </c>
      <c r="AY25" s="579">
        <f t="shared" si="33"/>
        <v>5.2389124740312527E-3</v>
      </c>
      <c r="AZ25" s="599">
        <f t="shared" si="18"/>
        <v>3.4038954382065952E-3</v>
      </c>
    </row>
    <row r="26" spans="1:52" s="578" customFormat="1" ht="19.95" customHeight="1">
      <c r="A26" s="603" t="s">
        <v>137</v>
      </c>
      <c r="B26" s="604" t="s">
        <v>578</v>
      </c>
      <c r="C26" s="506">
        <v>43901.085969</v>
      </c>
      <c r="D26" s="506">
        <v>218884.160164</v>
      </c>
      <c r="E26" s="506">
        <v>202429.24258699999</v>
      </c>
      <c r="F26" s="506">
        <v>246506.12884799999</v>
      </c>
      <c r="G26" s="506">
        <v>220529.87967299999</v>
      </c>
      <c r="H26" s="506">
        <v>268672.20944100001</v>
      </c>
      <c r="I26" s="506">
        <f t="shared" si="22"/>
        <v>1157021.620713</v>
      </c>
      <c r="J26" s="501"/>
      <c r="K26" s="501">
        <f t="shared" si="28"/>
        <v>3.4563836741796257E-2</v>
      </c>
      <c r="L26" s="506">
        <v>429583.572162</v>
      </c>
      <c r="M26" s="506">
        <v>427772.94375599996</v>
      </c>
      <c r="N26" s="506">
        <v>359571</v>
      </c>
      <c r="O26" s="506">
        <v>484349.07345999999</v>
      </c>
      <c r="P26" s="506">
        <v>373408</v>
      </c>
      <c r="Q26" s="495">
        <v>412864</v>
      </c>
      <c r="R26" s="495">
        <v>420000</v>
      </c>
      <c r="S26" s="495">
        <v>630109</v>
      </c>
      <c r="T26" s="485">
        <f t="shared" si="13"/>
        <v>2384678.5893779998</v>
      </c>
      <c r="U26" s="388"/>
      <c r="V26" s="388">
        <f t="shared" si="19"/>
        <v>4.4767653716604926E-2</v>
      </c>
      <c r="W26" s="388">
        <f t="shared" si="5"/>
        <v>1.0610492895616521</v>
      </c>
      <c r="X26" s="502">
        <f>'[13]Phụ lục số 2'!$C$24</f>
        <v>427859</v>
      </c>
      <c r="Y26" s="495">
        <v>877453</v>
      </c>
      <c r="Z26" s="495">
        <v>517039</v>
      </c>
      <c r="AA26" s="495">
        <f>'[4]Chi (HĐND)'!$F$39</f>
        <v>630626.71309500001</v>
      </c>
      <c r="AB26" s="485">
        <f t="shared" si="20"/>
        <v>2138188.713095</v>
      </c>
      <c r="AC26" s="458">
        <f t="shared" si="1"/>
        <v>4.7237532965020868E-2</v>
      </c>
      <c r="AD26" s="458">
        <f t="shared" si="21"/>
        <v>5.1319755933804674E-2</v>
      </c>
      <c r="AE26" s="458">
        <f t="shared" si="31"/>
        <v>7.8223464519325742E-2</v>
      </c>
      <c r="AF26" s="506">
        <f>'PL2.1'!K24</f>
        <v>539140</v>
      </c>
      <c r="AG26" s="506">
        <f>'PL2.1'!P24</f>
        <v>539140</v>
      </c>
      <c r="AH26" s="506">
        <f>'PL2.1'!U24</f>
        <v>601385</v>
      </c>
      <c r="AI26" s="506">
        <f>'PL2.1'!Z24</f>
        <v>611000</v>
      </c>
      <c r="AJ26" s="506">
        <f t="shared" si="34"/>
        <v>3259604.713095</v>
      </c>
      <c r="AK26" s="501"/>
      <c r="AL26" s="605">
        <f t="shared" si="15"/>
        <v>3.7112697153024461E-2</v>
      </c>
      <c r="AM26" s="605">
        <f t="shared" si="8"/>
        <v>4.2504181949353917E-2</v>
      </c>
      <c r="AN26" s="501">
        <f t="shared" si="26"/>
        <v>0.36689477886628263</v>
      </c>
      <c r="AO26" s="495">
        <f>'PL2.1'!AE24</f>
        <v>618000</v>
      </c>
      <c r="AP26" s="485">
        <f>'[8]Phụ lục số 2-1'!AJ24</f>
        <v>595000</v>
      </c>
      <c r="AQ26" s="485">
        <f>'[8]Phụ lục số 2-1'!AO24</f>
        <v>614000</v>
      </c>
      <c r="AR26" s="485">
        <f>'[8]Phụ lục số 2-1'!AT24</f>
        <v>633000</v>
      </c>
      <c r="AS26" s="485">
        <f>'[8]Phụ lục số 2-1'!AY24</f>
        <v>654000</v>
      </c>
      <c r="AT26" s="1742">
        <f t="shared" si="24"/>
        <v>3114000</v>
      </c>
      <c r="AU26" s="602"/>
      <c r="AV26" s="606">
        <f t="shared" si="9"/>
        <v>2.8517544538064415E-2</v>
      </c>
      <c r="AW26" s="606">
        <f t="shared" si="10"/>
        <v>3.3697375687411227E-2</v>
      </c>
      <c r="AX26" s="501">
        <f t="shared" si="32"/>
        <v>-4.4669438754353807E-2</v>
      </c>
      <c r="AY26" s="579">
        <f t="shared" si="33"/>
        <v>5.5189233131605092E-2</v>
      </c>
      <c r="AZ26" s="599">
        <f t="shared" si="18"/>
        <v>3.5858277805934993E-2</v>
      </c>
    </row>
    <row r="27" spans="1:52" s="578" customFormat="1" ht="19.95" customHeight="1">
      <c r="A27" s="603" t="s">
        <v>137</v>
      </c>
      <c r="B27" s="604" t="s">
        <v>579</v>
      </c>
      <c r="C27" s="506">
        <v>622912.42801599996</v>
      </c>
      <c r="D27" s="506">
        <v>717228.87336099998</v>
      </c>
      <c r="E27" s="506">
        <v>908800.16295799997</v>
      </c>
      <c r="F27" s="506">
        <v>916290.82646599994</v>
      </c>
      <c r="G27" s="506">
        <v>1102294.9754869998</v>
      </c>
      <c r="H27" s="506">
        <v>1151725.5044160001</v>
      </c>
      <c r="I27" s="506">
        <f t="shared" si="22"/>
        <v>4796340.3426879998</v>
      </c>
      <c r="J27" s="501"/>
      <c r="K27" s="501">
        <f t="shared" si="28"/>
        <v>0.14328161340718884</v>
      </c>
      <c r="L27" s="506">
        <v>1165502.862461</v>
      </c>
      <c r="M27" s="506">
        <v>1339203.8982509999</v>
      </c>
      <c r="N27" s="506">
        <v>1141145</v>
      </c>
      <c r="O27" s="506">
        <v>1385398.590177</v>
      </c>
      <c r="P27" s="506">
        <v>1194942</v>
      </c>
      <c r="Q27" s="495">
        <v>1476156</v>
      </c>
      <c r="R27" s="495">
        <v>1344176</v>
      </c>
      <c r="S27" s="495">
        <f>1560684</f>
        <v>1560684</v>
      </c>
      <c r="T27" s="485">
        <f t="shared" si="13"/>
        <v>6926945.3508889992</v>
      </c>
      <c r="U27" s="388"/>
      <c r="V27" s="388">
        <f t="shared" si="19"/>
        <v>0.1300397848849433</v>
      </c>
      <c r="W27" s="388">
        <f t="shared" si="5"/>
        <v>0.44421472538934759</v>
      </c>
      <c r="X27" s="502">
        <f>'[13]Phụ lục số 2'!$C$25</f>
        <v>1351525</v>
      </c>
      <c r="Y27" s="495">
        <v>1704379</v>
      </c>
      <c r="Z27" s="495">
        <v>1356350</v>
      </c>
      <c r="AA27" s="495">
        <f>'[4]Chi (HĐND)'!$F$40</f>
        <v>1595782.6105849999</v>
      </c>
      <c r="AB27" s="485">
        <f t="shared" si="20"/>
        <v>4860845.6105850004</v>
      </c>
      <c r="AC27" s="458">
        <f t="shared" si="1"/>
        <v>0.10738731963256984</v>
      </c>
      <c r="AD27" s="458">
        <f t="shared" si="21"/>
        <v>0.11666763033560386</v>
      </c>
      <c r="AE27" s="458">
        <f t="shared" si="31"/>
        <v>0.1778291045242377</v>
      </c>
      <c r="AF27" s="506">
        <f>'PL2.1'!K25</f>
        <v>1388540</v>
      </c>
      <c r="AG27" s="506">
        <f>'PL2.1'!P25</f>
        <v>1388540</v>
      </c>
      <c r="AH27" s="506">
        <f>'PL2.1'!U25</f>
        <v>1570458</v>
      </c>
      <c r="AI27" s="506">
        <f>'PL2.1'!Z25</f>
        <v>1634000</v>
      </c>
      <c r="AJ27" s="506">
        <f t="shared" si="34"/>
        <v>7893159.6105850004</v>
      </c>
      <c r="AK27" s="501"/>
      <c r="AL27" s="605">
        <f t="shared" si="15"/>
        <v>8.986870126653547E-2</v>
      </c>
      <c r="AM27" s="605">
        <f t="shared" si="8"/>
        <v>0.10292422602526118</v>
      </c>
      <c r="AN27" s="501">
        <f t="shared" si="26"/>
        <v>0.13948634076808442</v>
      </c>
      <c r="AO27" s="495">
        <f>'PL2.1'!AE25</f>
        <v>1681000</v>
      </c>
      <c r="AP27" s="485">
        <f>'[8]Phụ lục số 2-1'!AJ25</f>
        <v>1551000</v>
      </c>
      <c r="AQ27" s="485">
        <f>'[8]Phụ lục số 2-1'!AO25</f>
        <v>1596000</v>
      </c>
      <c r="AR27" s="485">
        <f>'[8]Phụ lục số 2-1'!AT25</f>
        <v>1646000</v>
      </c>
      <c r="AS27" s="485">
        <f>'[8]Phụ lục số 2-1'!AY25</f>
        <v>1702000</v>
      </c>
      <c r="AT27" s="1742">
        <f t="shared" si="24"/>
        <v>8176000</v>
      </c>
      <c r="AU27" s="602"/>
      <c r="AV27" s="606">
        <f t="shared" si="9"/>
        <v>7.4874580649715694E-2</v>
      </c>
      <c r="AW27" s="606">
        <f t="shared" si="10"/>
        <v>8.8474548368745715E-2</v>
      </c>
      <c r="AX27" s="501">
        <f t="shared" si="32"/>
        <v>3.5833608259447924E-2</v>
      </c>
      <c r="AY27" s="579">
        <f t="shared" si="33"/>
        <v>0.14759281004425978</v>
      </c>
      <c r="AZ27" s="599">
        <f t="shared" si="18"/>
        <v>9.5895950793613391E-2</v>
      </c>
    </row>
    <row r="28" spans="1:52" s="578" customFormat="1" ht="19.95" customHeight="1">
      <c r="A28" s="603" t="s">
        <v>137</v>
      </c>
      <c r="B28" s="604" t="s">
        <v>580</v>
      </c>
      <c r="C28" s="506">
        <v>94193.786722000004</v>
      </c>
      <c r="D28" s="506">
        <v>152596.82905999999</v>
      </c>
      <c r="E28" s="506">
        <v>178848.46695199999</v>
      </c>
      <c r="F28" s="506">
        <v>238787.16765700001</v>
      </c>
      <c r="G28" s="506">
        <v>225609.581118</v>
      </c>
      <c r="H28" s="506">
        <v>248340.399725</v>
      </c>
      <c r="I28" s="506">
        <f t="shared" si="22"/>
        <v>1044182.444512</v>
      </c>
      <c r="J28" s="501"/>
      <c r="K28" s="501">
        <f t="shared" si="28"/>
        <v>3.1192979365866905E-2</v>
      </c>
      <c r="L28" s="506">
        <v>281758.40066300001</v>
      </c>
      <c r="M28" s="506">
        <v>323370.00026400003</v>
      </c>
      <c r="N28" s="506">
        <v>205014</v>
      </c>
      <c r="O28" s="506">
        <v>369167.60954500001</v>
      </c>
      <c r="P28" s="506">
        <v>215487</v>
      </c>
      <c r="Q28" s="495">
        <v>398306</v>
      </c>
      <c r="R28" s="495">
        <v>227688</v>
      </c>
      <c r="S28" s="495">
        <f>(219316+190583)</f>
        <v>409899</v>
      </c>
      <c r="T28" s="485">
        <f t="shared" si="13"/>
        <v>1782501.0104720001</v>
      </c>
      <c r="U28" s="388"/>
      <c r="V28" s="388">
        <f t="shared" si="19"/>
        <v>3.3462953180253462E-2</v>
      </c>
      <c r="W28" s="388">
        <f t="shared" si="5"/>
        <v>0.70707812589691099</v>
      </c>
      <c r="X28" s="502">
        <f>'[13]Phụ lục số 2'!$C$26</f>
        <v>271557</v>
      </c>
      <c r="Y28" s="495">
        <f>(336887+199032)</f>
        <v>535919</v>
      </c>
      <c r="Z28" s="495">
        <v>317623</v>
      </c>
      <c r="AA28" s="495">
        <f>'[4]Chi (HĐND)'!$F$44</f>
        <v>481069.09012800001</v>
      </c>
      <c r="AB28" s="485">
        <f t="shared" si="20"/>
        <v>1426887.0901279999</v>
      </c>
      <c r="AC28" s="458">
        <f t="shared" si="1"/>
        <v>3.1523235318046218E-2</v>
      </c>
      <c r="AD28" s="458">
        <f t="shared" si="21"/>
        <v>3.4247443531057589E-2</v>
      </c>
      <c r="AE28" s="458">
        <f t="shared" si="31"/>
        <v>5.2201216377271389E-2</v>
      </c>
      <c r="AF28" s="506">
        <f>'PL2.1'!K26</f>
        <v>326504</v>
      </c>
      <c r="AG28" s="506">
        <f>'PL2.1'!P26</f>
        <v>326504</v>
      </c>
      <c r="AH28" s="506">
        <f>'PL2.1'!U26</f>
        <v>367327</v>
      </c>
      <c r="AI28" s="506">
        <f>'PL2.1'!Z26</f>
        <v>386000</v>
      </c>
      <c r="AJ28" s="506">
        <f t="shared" si="34"/>
        <v>2096819.0901279999</v>
      </c>
      <c r="AK28" s="501"/>
      <c r="AL28" s="605">
        <f t="shared" si="15"/>
        <v>2.3873634604826631E-2</v>
      </c>
      <c r="AM28" s="605">
        <f t="shared" si="8"/>
        <v>2.7341836807278468E-2</v>
      </c>
      <c r="AN28" s="501">
        <f t="shared" si="26"/>
        <v>0.17633542859690698</v>
      </c>
      <c r="AO28" s="495">
        <f>'PL2.1'!AE26</f>
        <v>400000</v>
      </c>
      <c r="AP28" s="485">
        <f>'[8]Phụ lục số 2-1'!AJ26</f>
        <v>368000</v>
      </c>
      <c r="AQ28" s="485">
        <f>'[8]Phụ lục số 2-1'!AO26</f>
        <v>378000</v>
      </c>
      <c r="AR28" s="485">
        <f>'[8]Phụ lục số 2-1'!AT26</f>
        <v>389000</v>
      </c>
      <c r="AS28" s="485">
        <f>'[8]Phụ lục số 2-1'!AY26</f>
        <v>402000</v>
      </c>
      <c r="AT28" s="1742">
        <f t="shared" si="24"/>
        <v>1937000</v>
      </c>
      <c r="AU28" s="602"/>
      <c r="AV28" s="606">
        <f t="shared" si="9"/>
        <v>1.7738755224865375E-2</v>
      </c>
      <c r="AW28" s="606">
        <f t="shared" si="10"/>
        <v>2.0960763232663951E-2</v>
      </c>
      <c r="AX28" s="501">
        <f t="shared" si="32"/>
        <v>-7.6219780180579955E-2</v>
      </c>
      <c r="AY28" s="579">
        <f t="shared" si="33"/>
        <v>3.4865865775449374E-2</v>
      </c>
      <c r="AZ28" s="599">
        <f t="shared" si="18"/>
        <v>2.265351101978872E-2</v>
      </c>
    </row>
    <row r="29" spans="1:52" s="578" customFormat="1" ht="19.95" customHeight="1">
      <c r="A29" s="603" t="s">
        <v>137</v>
      </c>
      <c r="B29" s="604" t="s">
        <v>90</v>
      </c>
      <c r="C29" s="506">
        <v>128028.82776499999</v>
      </c>
      <c r="D29" s="506">
        <v>99701.489849999984</v>
      </c>
      <c r="E29" s="506">
        <v>187075.50684300001</v>
      </c>
      <c r="F29" s="506">
        <v>207923.348959</v>
      </c>
      <c r="G29" s="506">
        <v>124789.76882299999</v>
      </c>
      <c r="H29" s="506">
        <v>135164.902485</v>
      </c>
      <c r="I29" s="506">
        <f t="shared" si="22"/>
        <v>754655.01695999992</v>
      </c>
      <c r="J29" s="501"/>
      <c r="K29" s="501">
        <f t="shared" si="28"/>
        <v>2.2543894025514516E-2</v>
      </c>
      <c r="L29" s="506">
        <v>111781.932877</v>
      </c>
      <c r="M29" s="506">
        <v>102494.98850700002</v>
      </c>
      <c r="N29" s="506">
        <v>53675</v>
      </c>
      <c r="O29" s="506">
        <v>96564.608066000015</v>
      </c>
      <c r="P29" s="506">
        <v>54535</v>
      </c>
      <c r="Q29" s="495">
        <v>112835</v>
      </c>
      <c r="R29" s="495">
        <v>62155</v>
      </c>
      <c r="S29" s="495">
        <f>90627+294</f>
        <v>90921</v>
      </c>
      <c r="T29" s="485">
        <f t="shared" si="13"/>
        <v>514597.52945000003</v>
      </c>
      <c r="U29" s="388"/>
      <c r="V29" s="388">
        <f t="shared" si="19"/>
        <v>9.6605572358692063E-3</v>
      </c>
      <c r="W29" s="388">
        <f t="shared" si="5"/>
        <v>-0.31810228795275342</v>
      </c>
      <c r="X29" s="502">
        <f>'[13]Phụ lục số 2'!$C$27</f>
        <v>64674</v>
      </c>
      <c r="Y29" s="495">
        <f>137141+230</f>
        <v>137371</v>
      </c>
      <c r="Z29" s="495">
        <v>86594</v>
      </c>
      <c r="AA29" s="495">
        <f>'[4]Chi (HĐND)'!$F$47</f>
        <v>67462.550237000003</v>
      </c>
      <c r="AB29" s="485">
        <f t="shared" si="20"/>
        <v>295754.55023699999</v>
      </c>
      <c r="AC29" s="458">
        <f t="shared" si="1"/>
        <v>6.5339019099735027E-3</v>
      </c>
      <c r="AD29" s="458">
        <f t="shared" si="21"/>
        <v>7.0985555397984415E-3</v>
      </c>
      <c r="AE29" s="458">
        <f t="shared" si="31"/>
        <v>1.0819880128076057E-2</v>
      </c>
      <c r="AF29" s="506">
        <f>'PL2.1'!K27</f>
        <v>48511</v>
      </c>
      <c r="AG29" s="506">
        <f>'PL2.1'!P27</f>
        <v>48511</v>
      </c>
      <c r="AH29" s="506">
        <f>'PL2.1'!U27</f>
        <v>52000</v>
      </c>
      <c r="AI29" s="506">
        <f>'PL2.1'!Z27</f>
        <v>54000</v>
      </c>
      <c r="AJ29" s="506">
        <f t="shared" si="34"/>
        <v>359344.55023699999</v>
      </c>
      <c r="AK29" s="501"/>
      <c r="AL29" s="605">
        <f t="shared" si="15"/>
        <v>4.0913689359200799E-3</v>
      </c>
      <c r="AM29" s="605">
        <f t="shared" si="8"/>
        <v>4.6857356919452501E-3</v>
      </c>
      <c r="AN29" s="501">
        <f t="shared" si="26"/>
        <v>-0.30169787130329573</v>
      </c>
      <c r="AO29" s="495">
        <f>'PL2.1'!AE27</f>
        <v>56000</v>
      </c>
      <c r="AP29" s="485">
        <f>'[8]Phụ lục số 2-1'!AJ27</f>
        <v>56000</v>
      </c>
      <c r="AQ29" s="485">
        <f>'[8]Phụ lục số 2-1'!AO27</f>
        <v>57000</v>
      </c>
      <c r="AR29" s="485">
        <f>'[8]Phụ lục số 2-1'!AT27</f>
        <v>59000</v>
      </c>
      <c r="AS29" s="485">
        <f>'[8]Phụ lục số 2-1'!AY27</f>
        <v>61000</v>
      </c>
      <c r="AT29" s="1742">
        <f t="shared" si="24"/>
        <v>289000</v>
      </c>
      <c r="AU29" s="602"/>
      <c r="AV29" s="606">
        <f t="shared" si="9"/>
        <v>2.6466186164099603E-3</v>
      </c>
      <c r="AW29" s="606">
        <f t="shared" si="10"/>
        <v>3.1273415458130519E-3</v>
      </c>
      <c r="AX29" s="501">
        <f>AT29/AJ29-1</f>
        <v>-0.19575794370780175</v>
      </c>
      <c r="AY29" s="579">
        <f t="shared" si="33"/>
        <v>4.8776081654773734E-3</v>
      </c>
      <c r="AZ29" s="599">
        <f t="shared" si="18"/>
        <v>3.1691440286751057E-3</v>
      </c>
    </row>
    <row r="30" spans="1:52" s="335" customFormat="1" ht="19.95" customHeight="1">
      <c r="A30" s="600" t="s">
        <v>49</v>
      </c>
      <c r="B30" s="276" t="s">
        <v>65</v>
      </c>
      <c r="C30" s="326">
        <v>2000</v>
      </c>
      <c r="D30" s="326">
        <v>2000</v>
      </c>
      <c r="E30" s="326">
        <v>2000</v>
      </c>
      <c r="F30" s="326">
        <v>2000</v>
      </c>
      <c r="G30" s="326">
        <v>2000</v>
      </c>
      <c r="H30" s="326">
        <v>2000</v>
      </c>
      <c r="I30" s="326">
        <f t="shared" si="22"/>
        <v>10000</v>
      </c>
      <c r="J30" s="488"/>
      <c r="K30" s="488">
        <f t="shared" si="28"/>
        <v>2.9873112241841015E-4</v>
      </c>
      <c r="L30" s="326">
        <v>2000</v>
      </c>
      <c r="M30" s="326">
        <v>2000</v>
      </c>
      <c r="N30" s="326">
        <v>2000</v>
      </c>
      <c r="O30" s="326">
        <v>2000</v>
      </c>
      <c r="P30" s="326">
        <v>2000</v>
      </c>
      <c r="Q30" s="329">
        <f>'[8]Phụ lục số 2'!F28</f>
        <v>2000</v>
      </c>
      <c r="R30" s="329">
        <v>2000</v>
      </c>
      <c r="S30" s="329">
        <f>'[8]Phụ lục số 2'!F28</f>
        <v>2000</v>
      </c>
      <c r="T30" s="439">
        <f t="shared" si="13"/>
        <v>10000</v>
      </c>
      <c r="U30" s="323"/>
      <c r="V30" s="323">
        <f t="shared" si="19"/>
        <v>1.877303462026795E-4</v>
      </c>
      <c r="W30" s="323">
        <f t="shared" si="5"/>
        <v>0</v>
      </c>
      <c r="X30" s="340">
        <f>'[13]Phụ lục số 2'!$C$28</f>
        <v>2000</v>
      </c>
      <c r="Y30" s="329">
        <f>2000</f>
        <v>2000</v>
      </c>
      <c r="Z30" s="329">
        <v>2000</v>
      </c>
      <c r="AA30" s="329">
        <f>'[4]Chi (HĐND)'!$F$48</f>
        <v>2000</v>
      </c>
      <c r="AB30" s="439">
        <f t="shared" si="20"/>
        <v>6000</v>
      </c>
      <c r="AC30" s="461">
        <f t="shared" si="1"/>
        <v>1.3255387424614685E-4</v>
      </c>
      <c r="AD30" s="461">
        <f t="shared" si="21"/>
        <v>1.4400905482150826E-4</v>
      </c>
      <c r="AE30" s="461"/>
      <c r="AF30" s="506">
        <f>'PL2.1'!K28</f>
        <v>2000</v>
      </c>
      <c r="AG30" s="506">
        <f>'PL2.1'!P28</f>
        <v>2000</v>
      </c>
      <c r="AH30" s="326">
        <f>'PL2.1'!U28</f>
        <v>2000</v>
      </c>
      <c r="AI30" s="506">
        <f>'PL2.1'!Z28</f>
        <v>2000</v>
      </c>
      <c r="AJ30" s="326">
        <f t="shared" si="34"/>
        <v>10000</v>
      </c>
      <c r="AK30" s="488"/>
      <c r="AL30" s="489">
        <f t="shared" si="15"/>
        <v>1.1385643481226255E-4</v>
      </c>
      <c r="AM30" s="489">
        <f t="shared" si="8"/>
        <v>1.303967373055984E-4</v>
      </c>
      <c r="AN30" s="501">
        <f t="shared" si="26"/>
        <v>0</v>
      </c>
      <c r="AO30" s="495">
        <f>'PL2.1'!AE28</f>
        <v>2000</v>
      </c>
      <c r="AP30" s="439">
        <f>'[8]Phụ lục số 2-1'!AJ28</f>
        <v>2000</v>
      </c>
      <c r="AQ30" s="439">
        <f>'[8]Phụ lục số 2-1'!AO28</f>
        <v>2000</v>
      </c>
      <c r="AR30" s="439">
        <f>'[8]Phụ lục số 2-1'!AT28</f>
        <v>2000</v>
      </c>
      <c r="AS30" s="439">
        <f>'[8]Phụ lục số 2-1'!AY28</f>
        <v>2000</v>
      </c>
      <c r="AT30" s="1741">
        <f t="shared" si="24"/>
        <v>10000</v>
      </c>
      <c r="AU30" s="607"/>
      <c r="AV30" s="597">
        <f t="shared" si="9"/>
        <v>9.1578498837714892E-5</v>
      </c>
      <c r="AW30" s="597">
        <f t="shared" si="10"/>
        <v>1.0821251023574574E-4</v>
      </c>
      <c r="AX30" s="488">
        <f t="shared" si="32"/>
        <v>0</v>
      </c>
      <c r="AY30" s="339">
        <f t="shared" si="33"/>
        <v>1.8065215427693975E-4</v>
      </c>
      <c r="AZ30" s="609">
        <f t="shared" si="18"/>
        <v>1.1737570476574466E-4</v>
      </c>
    </row>
    <row r="31" spans="1:52" s="335" customFormat="1" ht="19.95" customHeight="1">
      <c r="A31" s="600" t="s">
        <v>50</v>
      </c>
      <c r="B31" s="276" t="s">
        <v>87</v>
      </c>
      <c r="C31" s="326"/>
      <c r="D31" s="326"/>
      <c r="E31" s="326"/>
      <c r="F31" s="326"/>
      <c r="G31" s="326"/>
      <c r="H31" s="326"/>
      <c r="I31" s="326"/>
      <c r="J31" s="592"/>
      <c r="K31" s="592"/>
      <c r="L31" s="326"/>
      <c r="M31" s="326"/>
      <c r="N31" s="326">
        <v>199901</v>
      </c>
      <c r="O31" s="326"/>
      <c r="P31" s="326">
        <v>209077</v>
      </c>
      <c r="Q31" s="329">
        <f>'[8]Phụ lục số 2'!F29</f>
        <v>0</v>
      </c>
      <c r="R31" s="329">
        <v>233960</v>
      </c>
      <c r="S31" s="329">
        <f>'[8]Phụ lục số 2'!F29</f>
        <v>0</v>
      </c>
      <c r="T31" s="439">
        <f t="shared" si="13"/>
        <v>0</v>
      </c>
      <c r="U31" s="323"/>
      <c r="V31" s="323"/>
      <c r="W31" s="323"/>
      <c r="X31" s="340">
        <f>'[13]Phụ lục số 2'!$C$29</f>
        <v>233960</v>
      </c>
      <c r="Y31" s="329">
        <f>'[8]Phụ lục số 2'!F29</f>
        <v>0</v>
      </c>
      <c r="Z31" s="329">
        <v>273066</v>
      </c>
      <c r="AA31" s="329">
        <f>'[10]Chi (HĐND)'!$F$49</f>
        <v>0</v>
      </c>
      <c r="AB31" s="439">
        <f t="shared" si="20"/>
        <v>0</v>
      </c>
      <c r="AC31" s="461">
        <f t="shared" si="1"/>
        <v>0</v>
      </c>
      <c r="AD31" s="461">
        <f t="shared" si="21"/>
        <v>0</v>
      </c>
      <c r="AE31" s="461"/>
      <c r="AF31" s="506">
        <f>'PL2.1'!K29</f>
        <v>274623</v>
      </c>
      <c r="AG31" s="506">
        <f>'PL2.1'!P29</f>
        <v>274623</v>
      </c>
      <c r="AH31" s="326">
        <f>'PL2.1'!U29</f>
        <v>327868.91231904214</v>
      </c>
      <c r="AI31" s="506">
        <f>'PL2.1'!Z29</f>
        <v>347000</v>
      </c>
      <c r="AJ31" s="326">
        <f>Y31+AA31+AG31+AH31+AI31</f>
        <v>949491.91231904214</v>
      </c>
      <c r="AK31" s="488"/>
      <c r="AL31" s="489">
        <f t="shared" si="15"/>
        <v>1.0810576401972354E-2</v>
      </c>
      <c r="AM31" s="489">
        <f t="shared" si="8"/>
        <v>1.2381064746445642E-2</v>
      </c>
      <c r="AN31" s="501" t="e">
        <f t="shared" si="26"/>
        <v>#DIV/0!</v>
      </c>
      <c r="AO31" s="495">
        <f>'PL2.1'!AE29</f>
        <v>361000</v>
      </c>
      <c r="AP31" s="439">
        <f>'[8]Phụ lục số 2-1'!AJ29</f>
        <v>309000</v>
      </c>
      <c r="AQ31" s="439">
        <f>'[8]Phụ lục số 2-1'!AO29</f>
        <v>317000</v>
      </c>
      <c r="AR31" s="439">
        <f>'[8]Phụ lục số 2-1'!AT29</f>
        <v>327000</v>
      </c>
      <c r="AS31" s="439">
        <f>'[8]Phụ lục số 2-1'!AY29</f>
        <v>338000</v>
      </c>
      <c r="AT31" s="1741">
        <f t="shared" si="24"/>
        <v>1652000</v>
      </c>
      <c r="AU31" s="607"/>
      <c r="AV31" s="597">
        <f t="shared" si="9"/>
        <v>1.51287680079905E-2</v>
      </c>
      <c r="AW31" s="597">
        <f t="shared" si="10"/>
        <v>1.7876706690945196E-2</v>
      </c>
      <c r="AX31" s="488">
        <f t="shared" si="32"/>
        <v>0.73987790582138802</v>
      </c>
      <c r="AY31" s="339">
        <f t="shared" si="33"/>
        <v>3.1343148767049051E-2</v>
      </c>
      <c r="AZ31" s="609">
        <f t="shared" si="18"/>
        <v>2.0364684776856698E-2</v>
      </c>
    </row>
    <row r="32" spans="1:52" s="335" customFormat="1" ht="19.95" customHeight="1">
      <c r="A32" s="600" t="s">
        <v>72</v>
      </c>
      <c r="B32" s="276" t="s">
        <v>302</v>
      </c>
      <c r="C32" s="326"/>
      <c r="D32" s="326"/>
      <c r="E32" s="326"/>
      <c r="F32" s="326"/>
      <c r="G32" s="326"/>
      <c r="H32" s="326"/>
      <c r="I32" s="326">
        <f t="shared" si="22"/>
        <v>0</v>
      </c>
      <c r="J32" s="592"/>
      <c r="K32" s="592"/>
      <c r="L32" s="610">
        <f>9435660-9023428</f>
        <v>412232</v>
      </c>
      <c r="M32" s="610">
        <f>10825318-9554518</f>
        <v>1270800</v>
      </c>
      <c r="N32" s="610">
        <v>83719</v>
      </c>
      <c r="O32" s="610">
        <f>12245989-11966493</f>
        <v>279496</v>
      </c>
      <c r="P32" s="326">
        <v>204195</v>
      </c>
      <c r="Q32" s="329"/>
      <c r="R32" s="329">
        <v>378989</v>
      </c>
      <c r="S32" s="329"/>
      <c r="T32" s="439">
        <f>L32+M32+O32+Q32+S32</f>
        <v>1962528</v>
      </c>
      <c r="U32" s="323"/>
      <c r="V32" s="323">
        <f t="shared" si="19"/>
        <v>3.6842606087245218E-2</v>
      </c>
      <c r="W32" s="323"/>
      <c r="X32" s="340">
        <f>'[13]Phụ lục số 2'!$C$30</f>
        <v>606749</v>
      </c>
      <c r="Y32" s="329">
        <v>0</v>
      </c>
      <c r="Z32" s="329"/>
      <c r="AA32" s="329">
        <f>'[10]Chi (HĐND)'!$F$63</f>
        <v>0</v>
      </c>
      <c r="AB32" s="439">
        <f t="shared" si="20"/>
        <v>0</v>
      </c>
      <c r="AC32" s="461">
        <f t="shared" si="1"/>
        <v>0</v>
      </c>
      <c r="AD32" s="461">
        <f t="shared" si="21"/>
        <v>0</v>
      </c>
      <c r="AE32" s="461"/>
      <c r="AF32" s="326">
        <f>'PL2.1'!K30</f>
        <v>0</v>
      </c>
      <c r="AG32" s="326">
        <f>'PL2.1'!P30</f>
        <v>431000</v>
      </c>
      <c r="AH32" s="326">
        <f>'PL2.1'!U30</f>
        <v>0</v>
      </c>
      <c r="AI32" s="506">
        <f>'PL2.1'!Z30</f>
        <v>0</v>
      </c>
      <c r="AJ32" s="326">
        <f>Y32+AA32+AG32+AH32+AI32</f>
        <v>431000</v>
      </c>
      <c r="AK32" s="488"/>
      <c r="AL32" s="489">
        <f t="shared" si="15"/>
        <v>4.9072123404085158E-3</v>
      </c>
      <c r="AM32" s="489">
        <f t="shared" si="8"/>
        <v>5.6200993778712915E-3</v>
      </c>
      <c r="AN32" s="488">
        <f>+AJ32/T32-1</f>
        <v>-0.78038529896133968</v>
      </c>
      <c r="AO32" s="495">
        <f>'PL2.1'!AE30</f>
        <v>0</v>
      </c>
      <c r="AP32" s="439">
        <f>'[8]Phụ lục số 2-1'!AJ30</f>
        <v>1331158</v>
      </c>
      <c r="AQ32" s="439">
        <f>'[8]Phụ lục số 2-1'!AO30</f>
        <v>1700658</v>
      </c>
      <c r="AR32" s="439">
        <f>'[8]Phụ lục số 2-1'!AT30</f>
        <v>2172086</v>
      </c>
      <c r="AS32" s="439">
        <f>'[8]Phụ lục số 2-1'!AY30</f>
        <v>2724194.1</v>
      </c>
      <c r="AT32" s="1741">
        <f t="shared" si="24"/>
        <v>7928096.0999999996</v>
      </c>
      <c r="AU32" s="607"/>
      <c r="AV32" s="597">
        <f t="shared" si="9"/>
        <v>7.2604313947914195E-2</v>
      </c>
      <c r="AW32" s="597">
        <f t="shared" si="10"/>
        <v>8.5791918037122591E-2</v>
      </c>
      <c r="AX32" s="488">
        <f t="shared" si="32"/>
        <v>17.394654524361947</v>
      </c>
      <c r="AY32" s="339">
        <f t="shared" si="33"/>
        <v>0</v>
      </c>
      <c r="AZ32" s="609">
        <f t="shared" si="18"/>
        <v>0</v>
      </c>
    </row>
    <row r="33" spans="1:52" s="335" customFormat="1" ht="19.95" customHeight="1">
      <c r="A33" s="600" t="s">
        <v>100</v>
      </c>
      <c r="B33" s="276" t="s">
        <v>581</v>
      </c>
      <c r="C33" s="326">
        <f>4688367-3831104</f>
        <v>857263</v>
      </c>
      <c r="D33" s="326"/>
      <c r="E33" s="326"/>
      <c r="F33" s="326"/>
      <c r="G33" s="326"/>
      <c r="H33" s="326">
        <f>8838259-8347894</f>
        <v>490365</v>
      </c>
      <c r="I33" s="326">
        <f t="shared" si="22"/>
        <v>490365</v>
      </c>
      <c r="J33" s="592"/>
      <c r="K33" s="592"/>
      <c r="L33" s="610">
        <f>9435660-9023428-(9435660-9023428)</f>
        <v>0</v>
      </c>
      <c r="M33" s="610">
        <f>(10825318-9554518)-(10825318-9554518)</f>
        <v>0</v>
      </c>
      <c r="N33" s="610"/>
      <c r="O33" s="610">
        <f>12245989-11966493-(12245989-11966493)</f>
        <v>0</v>
      </c>
      <c r="P33" s="326"/>
      <c r="Q33" s="329"/>
      <c r="R33" s="329"/>
      <c r="S33" s="329"/>
      <c r="T33" s="439">
        <f>L33+M33+O33+Q33+S33</f>
        <v>0</v>
      </c>
      <c r="U33" s="323"/>
      <c r="V33" s="323">
        <f t="shared" si="19"/>
        <v>0</v>
      </c>
      <c r="W33" s="323"/>
      <c r="X33" s="340"/>
      <c r="Y33" s="329"/>
      <c r="Z33" s="329"/>
      <c r="AA33" s="329">
        <f>0</f>
        <v>0</v>
      </c>
      <c r="AB33" s="439">
        <f t="shared" si="20"/>
        <v>0</v>
      </c>
      <c r="AC33" s="461">
        <f t="shared" si="1"/>
        <v>0</v>
      </c>
      <c r="AD33" s="461">
        <f t="shared" si="21"/>
        <v>0</v>
      </c>
      <c r="AE33" s="461"/>
      <c r="AF33" s="326">
        <f>'PL2.1'!K31</f>
        <v>0</v>
      </c>
      <c r="AG33" s="326">
        <f>'PL2.1'!P31</f>
        <v>357489.34666666656</v>
      </c>
      <c r="AH33" s="326">
        <f>'PL2.1'!U31</f>
        <v>717399.2</v>
      </c>
      <c r="AI33" s="506">
        <f>'PL2.1'!Z31</f>
        <v>881301.31019487511</v>
      </c>
      <c r="AJ33" s="326">
        <f t="shared" si="34"/>
        <v>1956189.8568615415</v>
      </c>
      <c r="AK33" s="488"/>
      <c r="AL33" s="489">
        <f t="shared" si="15"/>
        <v>2.227248029181653E-2</v>
      </c>
      <c r="AM33" s="489">
        <f t="shared" si="8"/>
        <v>2.550807748850506E-2</v>
      </c>
      <c r="AN33" s="488" t="e">
        <f t="shared" si="26"/>
        <v>#DIV/0!</v>
      </c>
      <c r="AO33" s="495">
        <f>'PL2.1'!AE31</f>
        <v>1235804.6166233711</v>
      </c>
      <c r="AP33" s="439"/>
      <c r="AQ33" s="439"/>
      <c r="AR33" s="439"/>
      <c r="AS33" s="439"/>
      <c r="AT33" s="1741">
        <f t="shared" si="24"/>
        <v>1235804.6166233711</v>
      </c>
      <c r="AU33" s="607"/>
      <c r="AV33" s="597">
        <f t="shared" si="9"/>
        <v>1.1317313164708609E-2</v>
      </c>
      <c r="AW33" s="597">
        <f t="shared" si="10"/>
        <v>1.337295197257384E-2</v>
      </c>
      <c r="AX33" s="488">
        <f t="shared" si="32"/>
        <v>-0.36825936792962266</v>
      </c>
      <c r="AY33" s="339">
        <f t="shared" si="33"/>
        <v>7.9604490126896854E-2</v>
      </c>
      <c r="AZ33" s="609">
        <f t="shared" si="18"/>
        <v>5.1721681197548809E-2</v>
      </c>
    </row>
    <row r="34" spans="1:52" s="335" customFormat="1" ht="19.95" customHeight="1">
      <c r="A34" s="600" t="s">
        <v>151</v>
      </c>
      <c r="B34" s="326" t="s">
        <v>1753</v>
      </c>
      <c r="C34" s="326"/>
      <c r="D34" s="326"/>
      <c r="E34" s="326"/>
      <c r="F34" s="326"/>
      <c r="G34" s="326"/>
      <c r="H34" s="326"/>
      <c r="I34" s="326"/>
      <c r="J34" s="592"/>
      <c r="K34" s="592"/>
      <c r="L34" s="610"/>
      <c r="M34" s="610"/>
      <c r="N34" s="610"/>
      <c r="O34" s="610"/>
      <c r="P34" s="326"/>
      <c r="Q34" s="329"/>
      <c r="R34" s="329"/>
      <c r="S34" s="329"/>
      <c r="T34" s="439"/>
      <c r="U34" s="323"/>
      <c r="V34" s="323"/>
      <c r="W34" s="323"/>
      <c r="X34" s="340"/>
      <c r="Y34" s="329"/>
      <c r="Z34" s="329"/>
      <c r="AA34" s="329">
        <f>0</f>
        <v>0</v>
      </c>
      <c r="AB34" s="439"/>
      <c r="AC34" s="461"/>
      <c r="AD34" s="461"/>
      <c r="AE34" s="461"/>
      <c r="AF34" s="326">
        <f>'PL2.1'!K32</f>
        <v>0</v>
      </c>
      <c r="AG34" s="326">
        <f>'PL2.1'!P32</f>
        <v>153209.71999999997</v>
      </c>
      <c r="AH34" s="326">
        <f>'PL2.1'!U32</f>
        <v>0</v>
      </c>
      <c r="AI34" s="506">
        <f>'PL2.1'!Z32</f>
        <v>0</v>
      </c>
      <c r="AJ34" s="326"/>
      <c r="AK34" s="488"/>
      <c r="AL34" s="489"/>
      <c r="AM34" s="489"/>
      <c r="AN34" s="488"/>
      <c r="AO34" s="495">
        <f>'PL2.1'!AE32</f>
        <v>0</v>
      </c>
      <c r="AP34" s="439"/>
      <c r="AQ34" s="439"/>
      <c r="AR34" s="439"/>
      <c r="AS34" s="439"/>
      <c r="AT34" s="1741"/>
      <c r="AU34" s="607"/>
      <c r="AV34" s="597"/>
      <c r="AW34" s="597"/>
      <c r="AX34" s="488"/>
      <c r="AY34" s="339"/>
      <c r="AZ34" s="609"/>
    </row>
    <row r="35" spans="1:52" s="335" customFormat="1" ht="19.95" customHeight="1">
      <c r="A35" s="600" t="s">
        <v>229</v>
      </c>
      <c r="B35" s="276" t="s">
        <v>582</v>
      </c>
      <c r="C35" s="326"/>
      <c r="D35" s="326"/>
      <c r="E35" s="326"/>
      <c r="F35" s="326"/>
      <c r="G35" s="326"/>
      <c r="H35" s="326"/>
      <c r="I35" s="326">
        <f t="shared" si="22"/>
        <v>0</v>
      </c>
      <c r="J35" s="592"/>
      <c r="K35" s="592"/>
      <c r="L35" s="326"/>
      <c r="M35" s="326"/>
      <c r="N35" s="326">
        <v>100</v>
      </c>
      <c r="O35" s="326">
        <f>N35</f>
        <v>100</v>
      </c>
      <c r="P35" s="326">
        <v>300</v>
      </c>
      <c r="Q35" s="329">
        <f>P35</f>
        <v>300</v>
      </c>
      <c r="R35" s="329">
        <v>1000</v>
      </c>
      <c r="S35" s="329">
        <f>R35</f>
        <v>1000</v>
      </c>
      <c r="T35" s="439">
        <f t="shared" si="13"/>
        <v>1400</v>
      </c>
      <c r="U35" s="323"/>
      <c r="V35" s="323">
        <f t="shared" si="19"/>
        <v>2.6282248468375127E-5</v>
      </c>
      <c r="W35" s="323"/>
      <c r="X35" s="340">
        <f>'[13]Phụ lục số 2'!$C$31</f>
        <v>2100</v>
      </c>
      <c r="Y35" s="329">
        <v>823</v>
      </c>
      <c r="Z35" s="329">
        <v>2000</v>
      </c>
      <c r="AA35" s="329">
        <f>'[4]Chi (HĐND)'!$F$53</f>
        <v>1774.8968809999999</v>
      </c>
      <c r="AB35" s="439">
        <f t="shared" si="20"/>
        <v>3597.8968809999997</v>
      </c>
      <c r="AC35" s="461">
        <f t="shared" si="1"/>
        <v>7.9485861785779662E-5</v>
      </c>
      <c r="AD35" s="461">
        <f t="shared" si="21"/>
        <v>8.6354954863010418E-5</v>
      </c>
      <c r="AE35" s="461"/>
      <c r="AF35" s="326">
        <f>'PL2.1'!K33</f>
        <v>0</v>
      </c>
      <c r="AG35" s="326">
        <f>'PL2.1'!P33</f>
        <v>0</v>
      </c>
      <c r="AH35" s="326">
        <f>'PL2.1'!U33</f>
        <v>3000</v>
      </c>
      <c r="AI35" s="506">
        <f>'PL2.1'!Z33</f>
        <v>3000</v>
      </c>
      <c r="AJ35" s="326">
        <f>Y35+AA35+AG35+AH35+AI35</f>
        <v>8597.8968810000006</v>
      </c>
      <c r="AK35" s="488"/>
      <c r="AL35" s="489">
        <f t="shared" si="15"/>
        <v>9.7892588575413211E-5</v>
      </c>
      <c r="AM35" s="489">
        <f t="shared" si="8"/>
        <v>1.121137700972381E-4</v>
      </c>
      <c r="AN35" s="488">
        <f t="shared" si="26"/>
        <v>5.141354915</v>
      </c>
      <c r="AO35" s="495">
        <f>'PL2.1'!AE33</f>
        <v>3000</v>
      </c>
      <c r="AP35" s="439">
        <f>'[8]Phụ lục số 2-1'!AJ31</f>
        <v>0</v>
      </c>
      <c r="AQ35" s="439">
        <f>'[8]Phụ lục số 2-1'!AO31</f>
        <v>0</v>
      </c>
      <c r="AR35" s="439">
        <f>'[8]Phụ lục số 2-1'!AT31</f>
        <v>0</v>
      </c>
      <c r="AS35" s="439">
        <f>'[8]Phụ lục số 2-1'!AY31</f>
        <v>0</v>
      </c>
      <c r="AT35" s="1741">
        <f t="shared" si="24"/>
        <v>3000</v>
      </c>
      <c r="AU35" s="607"/>
      <c r="AV35" s="597">
        <f t="shared" si="9"/>
        <v>2.7473549651314466E-5</v>
      </c>
      <c r="AW35" s="597">
        <f t="shared" si="10"/>
        <v>3.2463753070723725E-5</v>
      </c>
      <c r="AX35" s="488">
        <f t="shared" si="32"/>
        <v>-0.65107746213733642</v>
      </c>
      <c r="AY35" s="339">
        <f t="shared" si="33"/>
        <v>2.7097823141540963E-4</v>
      </c>
      <c r="AZ35" s="609">
        <f t="shared" si="18"/>
        <v>1.7606355714861699E-4</v>
      </c>
    </row>
    <row r="36" spans="1:52" s="335" customFormat="1" ht="19.95" customHeight="1">
      <c r="A36" s="589" t="s">
        <v>22</v>
      </c>
      <c r="B36" s="590" t="s">
        <v>51</v>
      </c>
      <c r="C36" s="591">
        <f t="shared" ref="C36:H36" si="38">SUM(C41,C44)</f>
        <v>0</v>
      </c>
      <c r="D36" s="591">
        <f t="shared" si="38"/>
        <v>0</v>
      </c>
      <c r="E36" s="591">
        <f t="shared" si="38"/>
        <v>0</v>
      </c>
      <c r="F36" s="591">
        <f t="shared" si="38"/>
        <v>0</v>
      </c>
      <c r="G36" s="591">
        <f t="shared" si="38"/>
        <v>0</v>
      </c>
      <c r="H36" s="591">
        <f t="shared" si="38"/>
        <v>0</v>
      </c>
      <c r="I36" s="591">
        <f>SUM(D36:H36)</f>
        <v>0</v>
      </c>
      <c r="J36" s="592"/>
      <c r="K36" s="592" t="e">
        <f>I36/#REF!</f>
        <v>#REF!</v>
      </c>
      <c r="L36" s="591">
        <f>SUM(L41,L44)</f>
        <v>0</v>
      </c>
      <c r="M36" s="591">
        <f>SUM(M41,M44)</f>
        <v>0</v>
      </c>
      <c r="N36" s="591">
        <f>SUM(N37:N40)</f>
        <v>1818286</v>
      </c>
      <c r="O36" s="591">
        <f>SUM(O37:O40)</f>
        <v>1818286</v>
      </c>
      <c r="P36" s="591">
        <f t="shared" ref="P36:Q36" si="39">SUM(P37:P40)</f>
        <v>1511244</v>
      </c>
      <c r="Q36" s="591">
        <f t="shared" si="39"/>
        <v>1511244</v>
      </c>
      <c r="R36" s="591">
        <f t="shared" ref="R36" si="40">SUM(R37:R40)</f>
        <v>1600563</v>
      </c>
      <c r="S36" s="591">
        <f t="shared" ref="S36" si="41">SUM(S37:S40)</f>
        <v>1600563</v>
      </c>
      <c r="T36" s="442">
        <f t="shared" ref="T36" si="42">SUM(T37:T40)</f>
        <v>0</v>
      </c>
      <c r="U36" s="318"/>
      <c r="V36" s="318" t="e">
        <f>T36/#REF!</f>
        <v>#REF!</v>
      </c>
      <c r="W36" s="318" t="e">
        <f>T36/I36-1</f>
        <v>#DIV/0!</v>
      </c>
      <c r="X36" s="591">
        <f t="shared" ref="X36:AA36" si="43">SUM(X37:X40)</f>
        <v>1370794</v>
      </c>
      <c r="Y36" s="591">
        <f t="shared" si="43"/>
        <v>545949</v>
      </c>
      <c r="Z36" s="591">
        <f t="shared" si="43"/>
        <v>1213473</v>
      </c>
      <c r="AA36" s="591">
        <f t="shared" si="43"/>
        <v>1567740</v>
      </c>
      <c r="AB36" s="442">
        <f t="shared" si="20"/>
        <v>3714252</v>
      </c>
      <c r="AC36" s="322">
        <f t="shared" si="1"/>
        <v>8.2056415421083231E-2</v>
      </c>
      <c r="AD36" s="461">
        <f>AB36/$AB$10</f>
        <v>8.9147653314816111E-2</v>
      </c>
      <c r="AE36" s="461"/>
      <c r="AF36" s="591">
        <f t="shared" ref="AF36" si="44">SUM(AF37:AF40)</f>
        <v>2597007</v>
      </c>
      <c r="AG36" s="591">
        <f t="shared" ref="AG36" si="45">SUM(AG37:AG40)</f>
        <v>2597007</v>
      </c>
      <c r="AH36" s="591">
        <f t="shared" ref="AH36" si="46">SUM(AH37:AH40)</f>
        <v>1988976</v>
      </c>
      <c r="AI36" s="591">
        <f t="shared" ref="AI36" si="47">SUM(AI37:AI40)</f>
        <v>2379485.2999999998</v>
      </c>
      <c r="AJ36" s="591">
        <f t="shared" ref="AJ36" si="48">SUM(AJ37:AJ40)</f>
        <v>0</v>
      </c>
      <c r="AK36" s="591">
        <f t="shared" ref="AK36" si="49">SUM(AK37:AK40)</f>
        <v>0</v>
      </c>
      <c r="AL36" s="591">
        <f t="shared" ref="AL36" si="50">SUM(AL37:AL40)</f>
        <v>0</v>
      </c>
      <c r="AM36" s="591">
        <f t="shared" ref="AM36" si="51">SUM(AM37:AM40)</f>
        <v>0</v>
      </c>
      <c r="AN36" s="591">
        <f t="shared" ref="AN36" si="52">SUM(AN37:AN40)</f>
        <v>0</v>
      </c>
      <c r="AO36" s="593">
        <f t="shared" ref="AO36" si="53">SUM(AO37:AO40)</f>
        <v>2379485.2999999998</v>
      </c>
      <c r="AP36" s="442">
        <f t="shared" ref="AP36" si="54">SUM(AP37:AP40)</f>
        <v>0</v>
      </c>
      <c r="AQ36" s="442">
        <f t="shared" ref="AQ36" si="55">SUM(AQ37:AQ40)</f>
        <v>0</v>
      </c>
      <c r="AR36" s="442">
        <f t="shared" ref="AR36" si="56">SUM(AR37:AR40)</f>
        <v>0</v>
      </c>
      <c r="AS36" s="442">
        <f t="shared" ref="AS36" si="57">SUM(AS37:AS40)</f>
        <v>0</v>
      </c>
      <c r="AT36" s="1740">
        <f t="shared" ref="AT36" si="58">SUM(AT37:AT40)</f>
        <v>0</v>
      </c>
      <c r="AU36" s="680"/>
      <c r="AV36" s="681">
        <f t="shared" si="9"/>
        <v>0</v>
      </c>
      <c r="AW36" s="681">
        <f t="shared" si="10"/>
        <v>0</v>
      </c>
      <c r="AX36" s="515"/>
      <c r="AY36" s="339">
        <f t="shared" si="33"/>
        <v>0.21492957275765512</v>
      </c>
      <c r="AZ36" s="609">
        <f t="shared" si="18"/>
        <v>0.13964688203361467</v>
      </c>
    </row>
    <row r="37" spans="1:52" s="578" customFormat="1" ht="19.95" customHeight="1">
      <c r="A37" s="603"/>
      <c r="B37" s="604" t="s">
        <v>610</v>
      </c>
      <c r="C37" s="506"/>
      <c r="D37" s="506"/>
      <c r="E37" s="506"/>
      <c r="F37" s="506"/>
      <c r="G37" s="506"/>
      <c r="H37" s="506"/>
      <c r="I37" s="506"/>
      <c r="J37" s="1073"/>
      <c r="K37" s="1073"/>
      <c r="L37" s="506"/>
      <c r="M37" s="506"/>
      <c r="N37" s="506">
        <v>158489</v>
      </c>
      <c r="O37" s="506">
        <f>N37</f>
        <v>158489</v>
      </c>
      <c r="P37" s="506">
        <f>237567</f>
        <v>237567</v>
      </c>
      <c r="Q37" s="495">
        <f>P37</f>
        <v>237567</v>
      </c>
      <c r="R37" s="495">
        <f>325020+101555</f>
        <v>426575</v>
      </c>
      <c r="S37" s="495">
        <f>R37</f>
        <v>426575</v>
      </c>
      <c r="T37" s="485"/>
      <c r="U37" s="388"/>
      <c r="V37" s="388"/>
      <c r="W37" s="388"/>
      <c r="X37" s="502">
        <f>0</f>
        <v>0</v>
      </c>
      <c r="Y37" s="495">
        <f>X37</f>
        <v>0</v>
      </c>
      <c r="Z37" s="495">
        <v>0</v>
      </c>
      <c r="AA37" s="495">
        <v>0</v>
      </c>
      <c r="AB37" s="485"/>
      <c r="AC37" s="458"/>
      <c r="AD37" s="458"/>
      <c r="AE37" s="458"/>
      <c r="AF37" s="506"/>
      <c r="AG37" s="506"/>
      <c r="AH37" s="506"/>
      <c r="AI37" s="506"/>
      <c r="AJ37" s="506"/>
      <c r="AK37" s="501"/>
      <c r="AL37" s="605"/>
      <c r="AM37" s="605"/>
      <c r="AN37" s="501"/>
      <c r="AO37" s="495"/>
      <c r="AP37" s="485"/>
      <c r="AQ37" s="485"/>
      <c r="AR37" s="485"/>
      <c r="AS37" s="485"/>
      <c r="AT37" s="1742"/>
      <c r="AU37" s="602"/>
      <c r="AV37" s="606"/>
      <c r="AW37" s="606"/>
      <c r="AX37" s="501"/>
      <c r="AY37" s="579"/>
      <c r="AZ37" s="599"/>
    </row>
    <row r="38" spans="1:52" s="578" customFormat="1" ht="19.95" customHeight="1">
      <c r="A38" s="603"/>
      <c r="B38" s="604" t="s">
        <v>1749</v>
      </c>
      <c r="C38" s="506"/>
      <c r="D38" s="506"/>
      <c r="E38" s="506"/>
      <c r="F38" s="506"/>
      <c r="G38" s="506"/>
      <c r="H38" s="506"/>
      <c r="I38" s="506"/>
      <c r="J38" s="1073"/>
      <c r="K38" s="1073"/>
      <c r="L38" s="506"/>
      <c r="M38" s="506"/>
      <c r="N38" s="506">
        <v>1503647</v>
      </c>
      <c r="O38" s="506">
        <f>N38</f>
        <v>1503647</v>
      </c>
      <c r="P38" s="506">
        <f>849684</f>
        <v>849684</v>
      </c>
      <c r="Q38" s="495">
        <f>P38</f>
        <v>849684</v>
      </c>
      <c r="R38" s="495">
        <f>906600</f>
        <v>906600</v>
      </c>
      <c r="S38" s="495">
        <f>R38</f>
        <v>906600</v>
      </c>
      <c r="T38" s="485"/>
      <c r="U38" s="388"/>
      <c r="V38" s="388"/>
      <c r="W38" s="388"/>
      <c r="X38" s="502">
        <v>1263824</v>
      </c>
      <c r="Y38" s="495">
        <v>545949</v>
      </c>
      <c r="Z38" s="495">
        <v>1127000</v>
      </c>
      <c r="AA38" s="495">
        <f>1567740-AA39</f>
        <v>1481267</v>
      </c>
      <c r="AB38" s="485"/>
      <c r="AC38" s="458"/>
      <c r="AD38" s="458"/>
      <c r="AE38" s="458"/>
      <c r="AF38" s="506">
        <f>'PL2.1'!K35</f>
        <v>2417971</v>
      </c>
      <c r="AG38" s="506">
        <f>'PL2.1'!P35</f>
        <v>2417971</v>
      </c>
      <c r="AH38" s="506">
        <f>'PL2.1'!U35</f>
        <v>1814491</v>
      </c>
      <c r="AI38" s="506">
        <f>'PL2.1'!Z35</f>
        <v>2205000</v>
      </c>
      <c r="AJ38" s="506"/>
      <c r="AK38" s="501"/>
      <c r="AL38" s="605"/>
      <c r="AM38" s="605"/>
      <c r="AN38" s="501"/>
      <c r="AO38" s="495">
        <f>'PL2.1'!AE35</f>
        <v>2205000</v>
      </c>
      <c r="AP38" s="485"/>
      <c r="AQ38" s="485"/>
      <c r="AR38" s="485"/>
      <c r="AS38" s="485"/>
      <c r="AT38" s="1742"/>
      <c r="AU38" s="602"/>
      <c r="AV38" s="606"/>
      <c r="AW38" s="606"/>
      <c r="AX38" s="501"/>
      <c r="AY38" s="579"/>
      <c r="AZ38" s="599"/>
    </row>
    <row r="39" spans="1:52" s="578" customFormat="1" ht="19.95" customHeight="1">
      <c r="A39" s="603"/>
      <c r="B39" s="604" t="s">
        <v>1750</v>
      </c>
      <c r="C39" s="506"/>
      <c r="D39" s="506"/>
      <c r="E39" s="506"/>
      <c r="F39" s="506"/>
      <c r="G39" s="506"/>
      <c r="H39" s="506"/>
      <c r="I39" s="506"/>
      <c r="J39" s="1073"/>
      <c r="K39" s="1073"/>
      <c r="L39" s="506"/>
      <c r="M39" s="506"/>
      <c r="N39" s="506">
        <f>245237-89087</f>
        <v>156150</v>
      </c>
      <c r="O39" s="506">
        <f>N39</f>
        <v>156150</v>
      </c>
      <c r="P39" s="506">
        <v>423993</v>
      </c>
      <c r="Q39" s="495">
        <f>P39</f>
        <v>423993</v>
      </c>
      <c r="R39" s="495">
        <v>267388</v>
      </c>
      <c r="S39" s="495">
        <f>R39</f>
        <v>267388</v>
      </c>
      <c r="T39" s="485"/>
      <c r="U39" s="388"/>
      <c r="V39" s="388"/>
      <c r="W39" s="388"/>
      <c r="X39" s="502">
        <v>106970</v>
      </c>
      <c r="Y39" s="495">
        <v>0</v>
      </c>
      <c r="Z39" s="495">
        <v>86473</v>
      </c>
      <c r="AA39" s="495">
        <f>Z39</f>
        <v>86473</v>
      </c>
      <c r="AB39" s="485"/>
      <c r="AC39" s="458"/>
      <c r="AD39" s="458"/>
      <c r="AE39" s="458"/>
      <c r="AF39" s="506">
        <f>'PL2.1'!K36</f>
        <v>179036</v>
      </c>
      <c r="AG39" s="506">
        <f>'PL2.1'!P36</f>
        <v>179036</v>
      </c>
      <c r="AH39" s="506">
        <f>'PL2.1'!U36</f>
        <v>174485</v>
      </c>
      <c r="AI39" s="506">
        <f>'PL2.1'!Z36</f>
        <v>174485.3</v>
      </c>
      <c r="AJ39" s="506"/>
      <c r="AK39" s="501"/>
      <c r="AL39" s="605"/>
      <c r="AM39" s="605"/>
      <c r="AN39" s="501"/>
      <c r="AO39" s="495">
        <f>'PL2.1'!AE36</f>
        <v>174485.3</v>
      </c>
      <c r="AP39" s="485"/>
      <c r="AQ39" s="485"/>
      <c r="AR39" s="485"/>
      <c r="AS39" s="485"/>
      <c r="AT39" s="1742"/>
      <c r="AU39" s="602"/>
      <c r="AV39" s="606"/>
      <c r="AW39" s="606"/>
      <c r="AX39" s="501"/>
      <c r="AY39" s="579"/>
      <c r="AZ39" s="599"/>
    </row>
    <row r="40" spans="1:52" s="578" customFormat="1">
      <c r="A40" s="603"/>
      <c r="B40" s="604" t="s">
        <v>1751</v>
      </c>
      <c r="C40" s="506"/>
      <c r="D40" s="506"/>
      <c r="E40" s="506"/>
      <c r="F40" s="506"/>
      <c r="G40" s="506"/>
      <c r="H40" s="506"/>
      <c r="I40" s="506"/>
      <c r="J40" s="1073"/>
      <c r="K40" s="1073"/>
      <c r="L40" s="506"/>
      <c r="M40" s="506"/>
      <c r="N40" s="506">
        <v>0</v>
      </c>
      <c r="O40" s="506">
        <f>N40</f>
        <v>0</v>
      </c>
      <c r="P40" s="506"/>
      <c r="Q40" s="495"/>
      <c r="R40" s="495"/>
      <c r="S40" s="495"/>
      <c r="T40" s="485"/>
      <c r="U40" s="388"/>
      <c r="V40" s="388"/>
      <c r="W40" s="388"/>
      <c r="X40" s="502"/>
      <c r="Y40" s="495">
        <f>X40</f>
        <v>0</v>
      </c>
      <c r="Z40" s="495"/>
      <c r="AA40" s="495"/>
      <c r="AB40" s="485"/>
      <c r="AC40" s="458"/>
      <c r="AD40" s="458"/>
      <c r="AE40" s="458"/>
      <c r="AF40" s="506">
        <f>'PL2.1'!K37</f>
        <v>0</v>
      </c>
      <c r="AG40" s="506">
        <f>'PL2.1'!P37</f>
        <v>0</v>
      </c>
      <c r="AH40" s="506">
        <f>'PL2.1'!U37</f>
        <v>0</v>
      </c>
      <c r="AI40" s="506">
        <f>'PL2.1'!Z37</f>
        <v>0</v>
      </c>
      <c r="AJ40" s="506"/>
      <c r="AK40" s="501"/>
      <c r="AL40" s="605"/>
      <c r="AM40" s="605"/>
      <c r="AN40" s="501"/>
      <c r="AO40" s="495">
        <f>'PL2.1'!AE37</f>
        <v>0</v>
      </c>
      <c r="AP40" s="485"/>
      <c r="AQ40" s="485"/>
      <c r="AR40" s="485"/>
      <c r="AS40" s="485"/>
      <c r="AT40" s="1742"/>
      <c r="AU40" s="602"/>
      <c r="AV40" s="606"/>
      <c r="AW40" s="606"/>
      <c r="AX40" s="501"/>
      <c r="AY40" s="579"/>
      <c r="AZ40" s="599"/>
    </row>
    <row r="41" spans="1:52" s="314" customFormat="1" ht="19.95" customHeight="1" thickBot="1">
      <c r="A41" s="668" t="s">
        <v>130</v>
      </c>
      <c r="B41" s="670" t="s">
        <v>133</v>
      </c>
      <c r="C41" s="670"/>
      <c r="D41" s="670"/>
      <c r="E41" s="670"/>
      <c r="F41" s="670"/>
      <c r="G41" s="670"/>
      <c r="H41" s="670"/>
      <c r="I41" s="670"/>
      <c r="J41" s="671"/>
      <c r="K41" s="671"/>
      <c r="L41" s="670"/>
      <c r="M41" s="670"/>
      <c r="N41" s="670">
        <v>0</v>
      </c>
      <c r="O41" s="670">
        <f>N41</f>
        <v>0</v>
      </c>
      <c r="P41" s="670">
        <v>15000</v>
      </c>
      <c r="Q41" s="672">
        <f>P41</f>
        <v>15000</v>
      </c>
      <c r="R41" s="672">
        <v>30900</v>
      </c>
      <c r="S41" s="672">
        <f>R41</f>
        <v>30900</v>
      </c>
      <c r="T41" s="673">
        <f t="shared" si="13"/>
        <v>45900</v>
      </c>
      <c r="U41" s="1726"/>
      <c r="V41" s="1726"/>
      <c r="W41" s="1726"/>
      <c r="X41" s="1734">
        <f>'[13]Phụ lục số 2'!$C$35</f>
        <v>61200</v>
      </c>
      <c r="Y41" s="672">
        <f>78453</f>
        <v>78453</v>
      </c>
      <c r="Z41" s="672">
        <v>48300</v>
      </c>
      <c r="AA41" s="673">
        <f>'[3]Chi NSĐP 2021-2030'!$Z$35</f>
        <v>12155.078450000001</v>
      </c>
      <c r="AB41" s="673">
        <f t="shared" si="20"/>
        <v>121508.07845</v>
      </c>
      <c r="AC41" s="674">
        <f t="shared" si="1"/>
        <v>2.6843944251253742E-3</v>
      </c>
      <c r="AD41" s="674">
        <f t="shared" si="21"/>
        <v>2.9163772551270293E-3</v>
      </c>
      <c r="AE41" s="674"/>
      <c r="AF41" s="670">
        <f>'PL2.1'!K38</f>
        <v>31500</v>
      </c>
      <c r="AG41" s="670">
        <f>'PL2.1'!P38</f>
        <v>31500</v>
      </c>
      <c r="AH41" s="670">
        <f>'PL2.1'!U38</f>
        <v>0</v>
      </c>
      <c r="AI41" s="670">
        <f>'PL2.1'!Z38</f>
        <v>0</v>
      </c>
      <c r="AJ41" s="670">
        <f>Y41+AA41+AG41+AH41+AI41</f>
        <v>122108.07845</v>
      </c>
      <c r="AK41" s="671"/>
      <c r="AL41" s="676">
        <f t="shared" si="15"/>
        <v>1.3902790474093066E-3</v>
      </c>
      <c r="AM41" s="676">
        <f t="shared" si="8"/>
        <v>1.5922495028536053E-3</v>
      </c>
      <c r="AN41" s="678">
        <f t="shared" si="26"/>
        <v>1.660306720043573</v>
      </c>
      <c r="AO41" s="672">
        <f>'PL2.1'!AE38</f>
        <v>0</v>
      </c>
      <c r="AP41" s="673">
        <f>'[8]Phụ lục số 2-1'!AJ35</f>
        <v>0</v>
      </c>
      <c r="AQ41" s="673">
        <f>'[8]Phụ lục số 2-1'!AO35</f>
        <v>0</v>
      </c>
      <c r="AR41" s="673">
        <f>'[8]Phụ lục số 2-1'!AT35</f>
        <v>0</v>
      </c>
      <c r="AS41" s="673">
        <f>'[8]Phụ lục số 2-1'!AY35</f>
        <v>0</v>
      </c>
      <c r="AT41" s="1743">
        <f t="shared" si="24"/>
        <v>0</v>
      </c>
      <c r="AU41" s="612"/>
      <c r="AV41" s="1735">
        <f t="shared" si="9"/>
        <v>0</v>
      </c>
      <c r="AW41" s="1735">
        <f t="shared" si="10"/>
        <v>0</v>
      </c>
      <c r="AX41" s="592">
        <f t="shared" si="32"/>
        <v>-1</v>
      </c>
      <c r="AY41" s="609">
        <f t="shared" si="33"/>
        <v>0</v>
      </c>
      <c r="AZ41" s="609">
        <f t="shared" si="18"/>
        <v>0</v>
      </c>
    </row>
    <row r="42" spans="1:52" s="335" customFormat="1" ht="19.95" hidden="1" customHeight="1">
      <c r="A42" s="1733"/>
      <c r="B42" s="523"/>
      <c r="C42" s="523"/>
      <c r="D42" s="523"/>
      <c r="E42" s="523"/>
      <c r="F42" s="523"/>
      <c r="G42" s="523"/>
      <c r="H42" s="523"/>
      <c r="I42" s="523"/>
      <c r="J42" s="1728"/>
      <c r="K42" s="1728"/>
      <c r="L42" s="523"/>
      <c r="M42" s="523"/>
      <c r="N42" s="523"/>
      <c r="O42" s="523"/>
      <c r="P42" s="523"/>
      <c r="Q42" s="526"/>
      <c r="R42" s="526"/>
      <c r="S42" s="526"/>
      <c r="T42" s="521"/>
      <c r="U42" s="311"/>
      <c r="V42" s="311"/>
      <c r="W42" s="311"/>
      <c r="X42" s="525"/>
      <c r="Y42" s="526"/>
      <c r="Z42" s="523"/>
      <c r="AA42" s="523"/>
      <c r="AB42" s="521">
        <f t="shared" si="20"/>
        <v>0</v>
      </c>
      <c r="AC42" s="1729">
        <f t="shared" si="1"/>
        <v>0</v>
      </c>
      <c r="AD42" s="1729">
        <f t="shared" si="21"/>
        <v>0</v>
      </c>
      <c r="AE42" s="1729"/>
      <c r="AF42" s="523"/>
      <c r="AG42" s="523"/>
      <c r="AH42" s="523"/>
      <c r="AI42" s="523"/>
      <c r="AJ42" s="523">
        <f t="shared" si="34"/>
        <v>0</v>
      </c>
      <c r="AK42" s="524"/>
      <c r="AL42" s="1730">
        <f t="shared" si="15"/>
        <v>0</v>
      </c>
      <c r="AM42" s="1730">
        <f t="shared" si="8"/>
        <v>0</v>
      </c>
      <c r="AN42" s="1731" t="e">
        <f t="shared" si="26"/>
        <v>#DIV/0!</v>
      </c>
      <c r="AO42" s="523"/>
      <c r="AP42" s="523"/>
      <c r="AQ42" s="523"/>
      <c r="AR42" s="523"/>
      <c r="AS42" s="523"/>
      <c r="AT42" s="1732"/>
      <c r="AU42" s="607"/>
      <c r="AV42" s="597">
        <f t="shared" si="9"/>
        <v>0</v>
      </c>
      <c r="AW42" s="597">
        <f t="shared" si="10"/>
        <v>0</v>
      </c>
      <c r="AX42" s="488"/>
      <c r="AY42" s="339">
        <f t="shared" si="33"/>
        <v>0</v>
      </c>
      <c r="AZ42" s="609">
        <f t="shared" si="18"/>
        <v>0</v>
      </c>
    </row>
    <row r="43" spans="1:52" s="335" customFormat="1" ht="19.95" hidden="1" customHeight="1">
      <c r="A43" s="600"/>
      <c r="B43" s="326"/>
      <c r="C43" s="326"/>
      <c r="D43" s="326"/>
      <c r="E43" s="326"/>
      <c r="F43" s="326"/>
      <c r="G43" s="326"/>
      <c r="H43" s="326"/>
      <c r="I43" s="326"/>
      <c r="J43" s="592"/>
      <c r="K43" s="592"/>
      <c r="L43" s="326"/>
      <c r="M43" s="326"/>
      <c r="N43" s="326"/>
      <c r="O43" s="326"/>
      <c r="P43" s="326"/>
      <c r="Q43" s="329"/>
      <c r="R43" s="329"/>
      <c r="S43" s="329"/>
      <c r="T43" s="439"/>
      <c r="U43" s="323"/>
      <c r="V43" s="323"/>
      <c r="W43" s="323"/>
      <c r="X43" s="340"/>
      <c r="Y43" s="329"/>
      <c r="Z43" s="326"/>
      <c r="AA43" s="326"/>
      <c r="AB43" s="439">
        <f t="shared" si="20"/>
        <v>0</v>
      </c>
      <c r="AC43" s="461">
        <f t="shared" si="1"/>
        <v>0</v>
      </c>
      <c r="AD43" s="461">
        <f t="shared" si="21"/>
        <v>0</v>
      </c>
      <c r="AE43" s="461"/>
      <c r="AF43" s="326"/>
      <c r="AG43" s="326"/>
      <c r="AH43" s="326"/>
      <c r="AI43" s="326"/>
      <c r="AJ43" s="326">
        <f t="shared" si="34"/>
        <v>0</v>
      </c>
      <c r="AK43" s="488"/>
      <c r="AL43" s="489">
        <f t="shared" si="15"/>
        <v>0</v>
      </c>
      <c r="AM43" s="489">
        <f t="shared" si="8"/>
        <v>0</v>
      </c>
      <c r="AN43" s="501" t="e">
        <f t="shared" si="26"/>
        <v>#DIV/0!</v>
      </c>
      <c r="AO43" s="326"/>
      <c r="AP43" s="326"/>
      <c r="AQ43" s="326"/>
      <c r="AR43" s="326"/>
      <c r="AS43" s="326"/>
      <c r="AT43" s="601"/>
      <c r="AU43" s="607"/>
      <c r="AV43" s="597">
        <f t="shared" si="9"/>
        <v>0</v>
      </c>
      <c r="AW43" s="597">
        <f t="shared" si="10"/>
        <v>0</v>
      </c>
      <c r="AX43" s="488"/>
      <c r="AY43" s="339">
        <f t="shared" si="33"/>
        <v>0</v>
      </c>
      <c r="AZ43" s="609">
        <f t="shared" si="18"/>
        <v>0</v>
      </c>
    </row>
    <row r="44" spans="1:52" s="335" customFormat="1" ht="19.95" hidden="1" customHeight="1">
      <c r="A44" s="600"/>
      <c r="B44" s="326"/>
      <c r="C44" s="326"/>
      <c r="D44" s="326"/>
      <c r="E44" s="326"/>
      <c r="F44" s="326"/>
      <c r="G44" s="326"/>
      <c r="H44" s="326"/>
      <c r="I44" s="326"/>
      <c r="J44" s="592"/>
      <c r="K44" s="592"/>
      <c r="L44" s="326"/>
      <c r="M44" s="326"/>
      <c r="N44" s="326"/>
      <c r="O44" s="326"/>
      <c r="P44" s="326"/>
      <c r="Q44" s="329"/>
      <c r="R44" s="329"/>
      <c r="S44" s="329"/>
      <c r="T44" s="439"/>
      <c r="U44" s="323"/>
      <c r="V44" s="323"/>
      <c r="W44" s="323"/>
      <c r="X44" s="340"/>
      <c r="Y44" s="329"/>
      <c r="Z44" s="326"/>
      <c r="AA44" s="326"/>
      <c r="AB44" s="439">
        <f t="shared" si="20"/>
        <v>0</v>
      </c>
      <c r="AC44" s="461">
        <f t="shared" si="1"/>
        <v>0</v>
      </c>
      <c r="AD44" s="461">
        <f t="shared" si="21"/>
        <v>0</v>
      </c>
      <c r="AE44" s="461"/>
      <c r="AF44" s="326"/>
      <c r="AG44" s="326"/>
      <c r="AH44" s="326"/>
      <c r="AI44" s="326"/>
      <c r="AJ44" s="326">
        <f t="shared" si="34"/>
        <v>0</v>
      </c>
      <c r="AK44" s="488"/>
      <c r="AL44" s="489">
        <f t="shared" si="15"/>
        <v>0</v>
      </c>
      <c r="AM44" s="489">
        <f t="shared" si="8"/>
        <v>0</v>
      </c>
      <c r="AN44" s="501" t="e">
        <f t="shared" si="26"/>
        <v>#DIV/0!</v>
      </c>
      <c r="AO44" s="326"/>
      <c r="AP44" s="326"/>
      <c r="AQ44" s="326"/>
      <c r="AR44" s="326"/>
      <c r="AS44" s="326"/>
      <c r="AT44" s="601"/>
      <c r="AU44" s="607"/>
      <c r="AV44" s="597">
        <f t="shared" si="9"/>
        <v>0</v>
      </c>
      <c r="AW44" s="597">
        <f t="shared" si="10"/>
        <v>0</v>
      </c>
      <c r="AX44" s="488"/>
      <c r="AY44" s="339">
        <f t="shared" si="33"/>
        <v>0</v>
      </c>
      <c r="AZ44" s="609">
        <f t="shared" si="18"/>
        <v>0</v>
      </c>
    </row>
    <row r="45" spans="1:52" s="335" customFormat="1" ht="19.95" hidden="1" customHeight="1">
      <c r="A45" s="600"/>
      <c r="B45" s="326"/>
      <c r="C45" s="326"/>
      <c r="D45" s="326"/>
      <c r="E45" s="326"/>
      <c r="F45" s="326"/>
      <c r="G45" s="326"/>
      <c r="H45" s="326"/>
      <c r="I45" s="326"/>
      <c r="J45" s="592"/>
      <c r="K45" s="592"/>
      <c r="L45" s="326"/>
      <c r="M45" s="326"/>
      <c r="N45" s="326"/>
      <c r="O45" s="326"/>
      <c r="P45" s="326"/>
      <c r="Q45" s="329"/>
      <c r="R45" s="329"/>
      <c r="S45" s="329"/>
      <c r="T45" s="439"/>
      <c r="U45" s="323"/>
      <c r="V45" s="323"/>
      <c r="W45" s="323"/>
      <c r="X45" s="340"/>
      <c r="Y45" s="329"/>
      <c r="Z45" s="326"/>
      <c r="AA45" s="326"/>
      <c r="AB45" s="439">
        <f t="shared" si="20"/>
        <v>0</v>
      </c>
      <c r="AC45" s="461">
        <f t="shared" si="1"/>
        <v>0</v>
      </c>
      <c r="AD45" s="461">
        <f t="shared" si="21"/>
        <v>0</v>
      </c>
      <c r="AE45" s="461"/>
      <c r="AF45" s="326"/>
      <c r="AG45" s="326"/>
      <c r="AH45" s="326"/>
      <c r="AI45" s="326"/>
      <c r="AJ45" s="326">
        <f t="shared" si="34"/>
        <v>0</v>
      </c>
      <c r="AK45" s="488"/>
      <c r="AL45" s="489">
        <f t="shared" si="15"/>
        <v>0</v>
      </c>
      <c r="AM45" s="489">
        <f t="shared" si="8"/>
        <v>0</v>
      </c>
      <c r="AN45" s="501" t="e">
        <f t="shared" si="26"/>
        <v>#DIV/0!</v>
      </c>
      <c r="AO45" s="326"/>
      <c r="AP45" s="326"/>
      <c r="AQ45" s="326"/>
      <c r="AR45" s="326"/>
      <c r="AS45" s="326"/>
      <c r="AT45" s="601"/>
      <c r="AU45" s="607"/>
      <c r="AV45" s="597">
        <f t="shared" si="9"/>
        <v>0</v>
      </c>
      <c r="AW45" s="597">
        <f t="shared" si="10"/>
        <v>0</v>
      </c>
      <c r="AX45" s="488"/>
      <c r="AY45" s="339">
        <f t="shared" si="33"/>
        <v>0</v>
      </c>
      <c r="AZ45" s="609">
        <f t="shared" si="18"/>
        <v>0</v>
      </c>
    </row>
    <row r="46" spans="1:52" s="335" customFormat="1" ht="19.95" hidden="1" customHeight="1">
      <c r="A46" s="600"/>
      <c r="B46" s="326"/>
      <c r="C46" s="326"/>
      <c r="D46" s="326"/>
      <c r="E46" s="326"/>
      <c r="F46" s="326"/>
      <c r="G46" s="326"/>
      <c r="H46" s="326"/>
      <c r="I46" s="326"/>
      <c r="J46" s="592"/>
      <c r="K46" s="592"/>
      <c r="L46" s="326"/>
      <c r="M46" s="326"/>
      <c r="N46" s="326"/>
      <c r="O46" s="326"/>
      <c r="P46" s="326"/>
      <c r="Q46" s="329"/>
      <c r="R46" s="329"/>
      <c r="S46" s="329"/>
      <c r="T46" s="439"/>
      <c r="U46" s="323"/>
      <c r="V46" s="323"/>
      <c r="W46" s="323"/>
      <c r="X46" s="340"/>
      <c r="Y46" s="329"/>
      <c r="Z46" s="326"/>
      <c r="AA46" s="326"/>
      <c r="AB46" s="439">
        <f t="shared" si="20"/>
        <v>0</v>
      </c>
      <c r="AC46" s="461">
        <f t="shared" si="1"/>
        <v>0</v>
      </c>
      <c r="AD46" s="461">
        <f t="shared" si="21"/>
        <v>0</v>
      </c>
      <c r="AE46" s="461"/>
      <c r="AF46" s="326"/>
      <c r="AG46" s="326"/>
      <c r="AH46" s="326"/>
      <c r="AI46" s="326"/>
      <c r="AJ46" s="326">
        <f t="shared" si="34"/>
        <v>0</v>
      </c>
      <c r="AK46" s="488"/>
      <c r="AL46" s="489">
        <f t="shared" si="15"/>
        <v>0</v>
      </c>
      <c r="AM46" s="489">
        <f t="shared" si="8"/>
        <v>0</v>
      </c>
      <c r="AN46" s="501" t="e">
        <f t="shared" si="26"/>
        <v>#DIV/0!</v>
      </c>
      <c r="AO46" s="326"/>
      <c r="AP46" s="326"/>
      <c r="AQ46" s="326"/>
      <c r="AR46" s="326"/>
      <c r="AS46" s="326"/>
      <c r="AT46" s="601"/>
      <c r="AU46" s="607"/>
      <c r="AV46" s="597">
        <f t="shared" si="9"/>
        <v>0</v>
      </c>
      <c r="AW46" s="597">
        <f t="shared" si="10"/>
        <v>0</v>
      </c>
      <c r="AX46" s="488"/>
      <c r="AY46" s="339">
        <f t="shared" si="33"/>
        <v>0</v>
      </c>
      <c r="AZ46" s="609">
        <f t="shared" si="18"/>
        <v>0</v>
      </c>
    </row>
    <row r="47" spans="1:52" s="314" customFormat="1" ht="19.95" hidden="1" customHeight="1">
      <c r="A47" s="589" t="s">
        <v>217</v>
      </c>
      <c r="B47" s="590" t="s">
        <v>583</v>
      </c>
      <c r="C47" s="591"/>
      <c r="D47" s="591"/>
      <c r="E47" s="591"/>
      <c r="F47" s="591"/>
      <c r="G47" s="591"/>
      <c r="H47" s="591"/>
      <c r="I47" s="591"/>
      <c r="J47" s="592"/>
      <c r="K47" s="592"/>
      <c r="L47" s="591"/>
      <c r="M47" s="591"/>
      <c r="N47" s="591"/>
      <c r="O47" s="591"/>
      <c r="P47" s="591"/>
      <c r="Q47" s="593"/>
      <c r="R47" s="593"/>
      <c r="S47" s="593"/>
      <c r="T47" s="442">
        <f t="shared" si="13"/>
        <v>0</v>
      </c>
      <c r="U47" s="318"/>
      <c r="V47" s="318"/>
      <c r="W47" s="318"/>
      <c r="X47" s="611"/>
      <c r="Y47" s="593"/>
      <c r="Z47" s="591"/>
      <c r="AA47" s="591"/>
      <c r="AB47" s="439">
        <f t="shared" si="20"/>
        <v>0</v>
      </c>
      <c r="AC47" s="461">
        <f t="shared" si="1"/>
        <v>0</v>
      </c>
      <c r="AD47" s="461">
        <f t="shared" si="21"/>
        <v>0</v>
      </c>
      <c r="AE47" s="461"/>
      <c r="AF47" s="591"/>
      <c r="AG47" s="591"/>
      <c r="AH47" s="591"/>
      <c r="AI47" s="591"/>
      <c r="AJ47" s="326">
        <f t="shared" si="34"/>
        <v>0</v>
      </c>
      <c r="AK47" s="592"/>
      <c r="AL47" s="489">
        <f t="shared" si="15"/>
        <v>0</v>
      </c>
      <c r="AM47" s="489">
        <f t="shared" si="8"/>
        <v>0</v>
      </c>
      <c r="AN47" s="501" t="e">
        <f t="shared" si="26"/>
        <v>#DIV/0!</v>
      </c>
      <c r="AO47" s="591"/>
      <c r="AP47" s="591"/>
      <c r="AQ47" s="591"/>
      <c r="AR47" s="591"/>
      <c r="AS47" s="591"/>
      <c r="AT47" s="595"/>
      <c r="AU47" s="612"/>
      <c r="AV47" s="597">
        <f t="shared" si="9"/>
        <v>0</v>
      </c>
      <c r="AW47" s="597">
        <f t="shared" si="10"/>
        <v>0</v>
      </c>
      <c r="AX47" s="326"/>
      <c r="AY47" s="339">
        <f t="shared" si="33"/>
        <v>0</v>
      </c>
      <c r="AZ47" s="609">
        <f t="shared" si="18"/>
        <v>0</v>
      </c>
    </row>
    <row r="48" spans="1:52" s="335" customFormat="1" ht="19.95" hidden="1" customHeight="1">
      <c r="A48" s="600" t="s">
        <v>7</v>
      </c>
      <c r="B48" s="276" t="s">
        <v>584</v>
      </c>
      <c r="C48" s="326"/>
      <c r="D48" s="326">
        <f>1609847+91395</f>
        <v>1701242</v>
      </c>
      <c r="E48" s="326">
        <v>2568878</v>
      </c>
      <c r="F48" s="326">
        <v>2531523</v>
      </c>
      <c r="G48" s="326">
        <v>2752464</v>
      </c>
      <c r="H48" s="326">
        <v>2928002</v>
      </c>
      <c r="I48" s="326">
        <f>SUM(D48:H48)</f>
        <v>12482109</v>
      </c>
      <c r="J48" s="488"/>
      <c r="K48" s="488"/>
      <c r="L48" s="326">
        <v>3063372</v>
      </c>
      <c r="M48" s="326">
        <v>3626119</v>
      </c>
      <c r="N48" s="326"/>
      <c r="O48" s="326">
        <v>3812056</v>
      </c>
      <c r="P48" s="326"/>
      <c r="Q48" s="329">
        <v>4137585</v>
      </c>
      <c r="R48" s="329"/>
      <c r="S48" s="329">
        <v>4277080</v>
      </c>
      <c r="T48" s="439">
        <f t="shared" si="13"/>
        <v>18916212</v>
      </c>
      <c r="U48" s="476"/>
      <c r="V48" s="323"/>
      <c r="W48" s="323">
        <f t="shared" ref="W48:W73" si="59">T48/I48-1</f>
        <v>0.51546601619966625</v>
      </c>
      <c r="X48" s="340"/>
      <c r="Y48" s="329">
        <f>S48*(1+$U$49)</f>
        <v>4613840.473430654</v>
      </c>
      <c r="Z48" s="326"/>
      <c r="AA48" s="326">
        <f>Y48*(1+$U$49)</f>
        <v>4977116.143318994</v>
      </c>
      <c r="AB48" s="439">
        <f t="shared" si="20"/>
        <v>13868036.616749648</v>
      </c>
      <c r="AC48" s="461">
        <f t="shared" si="1"/>
        <v>0.30637699695626547</v>
      </c>
      <c r="AD48" s="461">
        <f t="shared" si="21"/>
        <v>0.33285380756803068</v>
      </c>
      <c r="AE48" s="461"/>
      <c r="AF48" s="326">
        <f>AA48*(1+$U$49)</f>
        <v>5368994.7120489348</v>
      </c>
      <c r="AG48" s="326"/>
      <c r="AH48" s="326">
        <f>AF48*(1+$U$49)</f>
        <v>5791728.2594869714</v>
      </c>
      <c r="AI48" s="326">
        <f>AH48*(1+$U$49)</f>
        <v>6247746.1854192736</v>
      </c>
      <c r="AJ48" s="326">
        <f t="shared" si="34"/>
        <v>21630431.061655894</v>
      </c>
      <c r="AK48" s="488"/>
      <c r="AL48" s="489">
        <f t="shared" si="15"/>
        <v>0.24627637641325634</v>
      </c>
      <c r="AM48" s="489">
        <f t="shared" si="8"/>
        <v>0.28205376369536</v>
      </c>
      <c r="AN48" s="501">
        <f t="shared" si="26"/>
        <v>0.14348639472088243</v>
      </c>
      <c r="AO48" s="614">
        <f>AI48*(1+$AK$49)</f>
        <v>6739669.1710254252</v>
      </c>
      <c r="AP48" s="614">
        <f>AO48*AO49</f>
        <v>7270324.2396237459</v>
      </c>
      <c r="AQ48" s="614">
        <f>AP48*AP49</f>
        <v>7842761.0032405248</v>
      </c>
      <c r="AR48" s="614">
        <f>AQ48*AQ49</f>
        <v>8460269.1883702744</v>
      </c>
      <c r="AS48" s="614">
        <f>AR48*AR49</f>
        <v>9126397.5416454878</v>
      </c>
      <c r="AT48" s="601">
        <f>SUM(AO48:AS48)</f>
        <v>39439421.143905461</v>
      </c>
      <c r="AU48" s="607"/>
      <c r="AV48" s="597">
        <f t="shared" si="9"/>
        <v>0.36118029833872944</v>
      </c>
      <c r="AW48" s="597">
        <f t="shared" si="10"/>
        <v>0.42678387642267568</v>
      </c>
      <c r="AX48" s="326"/>
      <c r="AY48" s="339">
        <f t="shared" si="33"/>
        <v>0.56433440388576217</v>
      </c>
      <c r="AZ48" s="609">
        <f t="shared" si="18"/>
        <v>0.36666680585554001</v>
      </c>
    </row>
    <row r="49" spans="1:52" s="335" customFormat="1" ht="19.95" hidden="1" customHeight="1">
      <c r="A49" s="615" t="s">
        <v>137</v>
      </c>
      <c r="B49" s="616" t="s">
        <v>494</v>
      </c>
      <c r="C49" s="617"/>
      <c r="D49" s="617"/>
      <c r="E49" s="617">
        <f>E48/D48</f>
        <v>1.5100015165390932</v>
      </c>
      <c r="F49" s="617">
        <f>F48/E48</f>
        <v>0.98545863213434037</v>
      </c>
      <c r="G49" s="617">
        <f>G48/F48</f>
        <v>1.0872759204636893</v>
      </c>
      <c r="H49" s="617">
        <f>H48/G48</f>
        <v>1.0637748577274762</v>
      </c>
      <c r="I49" s="617"/>
      <c r="J49" s="617">
        <f>(E49*F49*G49*H49)^(1/4)-1</f>
        <v>0.14538454370462239</v>
      </c>
      <c r="K49" s="617"/>
      <c r="L49" s="617">
        <f>L48/H48</f>
        <v>1.0462328919174235</v>
      </c>
      <c r="M49" s="617">
        <f>M48/L48</f>
        <v>1.1837018161685882</v>
      </c>
      <c r="N49" s="617"/>
      <c r="O49" s="617">
        <f>O48/M48</f>
        <v>1.0512771367955658</v>
      </c>
      <c r="P49" s="617"/>
      <c r="Q49" s="613">
        <f>Q48/O48</f>
        <v>1.0853946007089088</v>
      </c>
      <c r="R49" s="613"/>
      <c r="S49" s="613">
        <f>S48/Q48</f>
        <v>1.0337141110091999</v>
      </c>
      <c r="T49" s="476"/>
      <c r="U49" s="476">
        <f>(L49*M49*O49*Q49*S49)^(1/5)-1</f>
        <v>7.873607073766542E-2</v>
      </c>
      <c r="V49" s="476"/>
      <c r="W49" s="476"/>
      <c r="X49" s="618"/>
      <c r="Y49" s="613">
        <f>Y48/S48</f>
        <v>1.0787360707376654</v>
      </c>
      <c r="Z49" s="619"/>
      <c r="AA49" s="617">
        <f>AA48/Y48</f>
        <v>1.0787360707376654</v>
      </c>
      <c r="AB49" s="439">
        <f t="shared" si="20"/>
        <v>3.1911862524845307</v>
      </c>
      <c r="AC49" s="461">
        <f t="shared" si="1"/>
        <v>7.0500683534644515E-8</v>
      </c>
      <c r="AD49" s="461">
        <f t="shared" si="21"/>
        <v>7.6593285996614709E-8</v>
      </c>
      <c r="AE49" s="461"/>
      <c r="AF49" s="617">
        <f>AF48/AA48</f>
        <v>1.0787360707376654</v>
      </c>
      <c r="AG49" s="617"/>
      <c r="AH49" s="617">
        <f>AH48/AF48</f>
        <v>1.0787360707376654</v>
      </c>
      <c r="AI49" s="617">
        <f>AI48/AH48</f>
        <v>1.0787360707376654</v>
      </c>
      <c r="AJ49" s="326">
        <f t="shared" si="34"/>
        <v>4.3149442829506617</v>
      </c>
      <c r="AK49" s="617">
        <f>(Y49*AA49*AF49*AH49*AI49)^(1/5)-1</f>
        <v>7.873607073766542E-2</v>
      </c>
      <c r="AL49" s="489">
        <f t="shared" si="15"/>
        <v>4.9128417247031699E-8</v>
      </c>
      <c r="AM49" s="489">
        <f t="shared" si="8"/>
        <v>5.6265465615221113E-8</v>
      </c>
      <c r="AN49" s="501" t="e">
        <f t="shared" si="26"/>
        <v>#DIV/0!</v>
      </c>
      <c r="AO49" s="617">
        <f>AO48/AI48</f>
        <v>1.0787360707376654</v>
      </c>
      <c r="AP49" s="617">
        <f>AP48/AO48</f>
        <v>1.0787360707376654</v>
      </c>
      <c r="AQ49" s="617">
        <f>AQ48/AP48</f>
        <v>1.0787360707376654</v>
      </c>
      <c r="AR49" s="617">
        <f>AR48/AQ48</f>
        <v>1.0787360707376654</v>
      </c>
      <c r="AS49" s="617">
        <f>AS48/AR48</f>
        <v>1.0787360707376654</v>
      </c>
      <c r="AT49" s="601"/>
      <c r="AU49" s="620">
        <f>(AO49*AP49*AQ49*AR49*AS49)^(1/5)-1</f>
        <v>7.873607073766542E-2</v>
      </c>
      <c r="AV49" s="597">
        <f t="shared" si="9"/>
        <v>0</v>
      </c>
      <c r="AW49" s="597">
        <f t="shared" si="10"/>
        <v>0</v>
      </c>
      <c r="AX49" s="326"/>
      <c r="AY49" s="339">
        <f t="shared" si="33"/>
        <v>9.7437997537500259E-8</v>
      </c>
      <c r="AZ49" s="609">
        <f t="shared" si="18"/>
        <v>6.330870327953184E-8</v>
      </c>
    </row>
    <row r="50" spans="1:52" s="335" customFormat="1" ht="19.95" hidden="1" customHeight="1">
      <c r="A50" s="600">
        <v>1</v>
      </c>
      <c r="B50" s="276" t="s">
        <v>585</v>
      </c>
      <c r="C50" s="326"/>
      <c r="D50" s="326">
        <f>996120+91395</f>
        <v>1087515</v>
      </c>
      <c r="E50" s="326">
        <v>1294679</v>
      </c>
      <c r="F50" s="326">
        <v>1467800</v>
      </c>
      <c r="G50" s="326">
        <v>1577166</v>
      </c>
      <c r="H50" s="326">
        <v>1674236</v>
      </c>
      <c r="I50" s="326">
        <f>SUM(D50:H50)</f>
        <v>7101396</v>
      </c>
      <c r="J50" s="488"/>
      <c r="K50" s="488"/>
      <c r="L50" s="326">
        <v>1718923</v>
      </c>
      <c r="M50" s="326">
        <v>2269384</v>
      </c>
      <c r="N50" s="326"/>
      <c r="O50" s="326">
        <v>2435846</v>
      </c>
      <c r="P50" s="326"/>
      <c r="Q50" s="329">
        <v>2618473</v>
      </c>
      <c r="R50" s="329"/>
      <c r="S50" s="329">
        <v>2723364</v>
      </c>
      <c r="T50" s="439">
        <f>L50+M50+O50+Q50+S50</f>
        <v>11765990</v>
      </c>
      <c r="U50" s="323"/>
      <c r="V50" s="323"/>
      <c r="W50" s="323">
        <f t="shared" si="59"/>
        <v>0.6568559195966539</v>
      </c>
      <c r="X50" s="340"/>
      <c r="Y50" s="329">
        <f>S50*(1+U50)</f>
        <v>2723364</v>
      </c>
      <c r="Z50" s="326"/>
      <c r="AA50" s="326">
        <f>Y50*(1+$U$48)</f>
        <v>2723364</v>
      </c>
      <c r="AB50" s="439">
        <f t="shared" si="20"/>
        <v>8170092</v>
      </c>
      <c r="AC50" s="461">
        <f t="shared" si="1"/>
        <v>0.18049622459124173</v>
      </c>
      <c r="AD50" s="461">
        <f t="shared" si="21"/>
        <v>0.19609453778746103</v>
      </c>
      <c r="AE50" s="461"/>
      <c r="AF50" s="326">
        <f>AA50*(1+$U$48)</f>
        <v>2723364</v>
      </c>
      <c r="AG50" s="326"/>
      <c r="AH50" s="326">
        <f>AF50*(1+$U$48)</f>
        <v>2723364</v>
      </c>
      <c r="AI50" s="326">
        <f t="shared" ref="AI50:AI52" si="60">AH50*(1+$U$48)</f>
        <v>2723364</v>
      </c>
      <c r="AJ50" s="326">
        <f t="shared" si="34"/>
        <v>10893456</v>
      </c>
      <c r="AK50" s="488"/>
      <c r="AL50" s="489">
        <f t="shared" si="15"/>
        <v>0.12402900629442504</v>
      </c>
      <c r="AM50" s="489">
        <f t="shared" si="8"/>
        <v>0.14204711203820949</v>
      </c>
      <c r="AN50" s="501">
        <f t="shared" si="26"/>
        <v>-7.4157295731170914E-2</v>
      </c>
      <c r="AO50" s="326"/>
      <c r="AP50" s="326"/>
      <c r="AQ50" s="326"/>
      <c r="AR50" s="326"/>
      <c r="AS50" s="326"/>
      <c r="AT50" s="601"/>
      <c r="AU50" s="607"/>
      <c r="AV50" s="597">
        <f t="shared" si="9"/>
        <v>0</v>
      </c>
      <c r="AW50" s="597">
        <f t="shared" si="10"/>
        <v>0</v>
      </c>
      <c r="AX50" s="326"/>
      <c r="AY50" s="339">
        <f t="shared" si="33"/>
        <v>0.24599078674013189</v>
      </c>
      <c r="AZ50" s="609">
        <f t="shared" si="18"/>
        <v>0.15982838441682873</v>
      </c>
    </row>
    <row r="51" spans="1:52" s="335" customFormat="1" ht="19.95" hidden="1" customHeight="1">
      <c r="A51" s="615" t="s">
        <v>137</v>
      </c>
      <c r="B51" s="616" t="s">
        <v>494</v>
      </c>
      <c r="C51" s="617"/>
      <c r="D51" s="617"/>
      <c r="E51" s="617">
        <f>E50/D50</f>
        <v>1.1904930046941882</v>
      </c>
      <c r="F51" s="617">
        <f>F50/E50</f>
        <v>1.1337173152572955</v>
      </c>
      <c r="G51" s="617">
        <f>G50/F50</f>
        <v>1.0745101512467639</v>
      </c>
      <c r="H51" s="617">
        <f>H50/G50</f>
        <v>1.061547104109523</v>
      </c>
      <c r="I51" s="617"/>
      <c r="J51" s="617">
        <f>(E51*F51*G51*H51)^(1/4)-1</f>
        <v>0.11389782270493187</v>
      </c>
      <c r="K51" s="617"/>
      <c r="L51" s="617">
        <f>L50/H50</f>
        <v>1.0266909802441233</v>
      </c>
      <c r="M51" s="617">
        <f>M50/L50</f>
        <v>1.3202359849743124</v>
      </c>
      <c r="N51" s="617"/>
      <c r="O51" s="617">
        <f>O50/M50</f>
        <v>1.0733511825235393</v>
      </c>
      <c r="P51" s="617"/>
      <c r="Q51" s="613">
        <f>Q50/O50</f>
        <v>1.0749747726251988</v>
      </c>
      <c r="R51" s="613"/>
      <c r="S51" s="613">
        <f>S50/Q50</f>
        <v>1.0400580796517664</v>
      </c>
      <c r="T51" s="476"/>
      <c r="U51" s="476">
        <f>(L51*M51*O51*Q51*S51)^(1/5)-1</f>
        <v>0.10219339270453331</v>
      </c>
      <c r="V51" s="476"/>
      <c r="W51" s="476"/>
      <c r="X51" s="618"/>
      <c r="Y51" s="613">
        <f>Y50/S50</f>
        <v>1</v>
      </c>
      <c r="Z51" s="619"/>
      <c r="AA51" s="617">
        <f>AA50/Y50</f>
        <v>1</v>
      </c>
      <c r="AB51" s="439">
        <f t="shared" si="20"/>
        <v>3.0400580796517662</v>
      </c>
      <c r="AC51" s="461">
        <f t="shared" si="1"/>
        <v>6.7161912731857154E-8</v>
      </c>
      <c r="AD51" s="461">
        <f t="shared" si="21"/>
        <v>7.2965981775523385E-8</v>
      </c>
      <c r="AE51" s="461"/>
      <c r="AF51" s="617">
        <f>AF50/AA50</f>
        <v>1</v>
      </c>
      <c r="AG51" s="617"/>
      <c r="AH51" s="617">
        <f>AH50/AF50</f>
        <v>1</v>
      </c>
      <c r="AI51" s="617">
        <f>AI50/AH50</f>
        <v>1</v>
      </c>
      <c r="AJ51" s="326">
        <f t="shared" si="34"/>
        <v>4</v>
      </c>
      <c r="AK51" s="617">
        <f>(Y51*AA51*AF51*AH51*AI51)^(1/5)-1</f>
        <v>0</v>
      </c>
      <c r="AL51" s="489">
        <f t="shared" si="15"/>
        <v>4.554257392490502E-8</v>
      </c>
      <c r="AM51" s="489">
        <f t="shared" si="8"/>
        <v>5.2158694922239367E-8</v>
      </c>
      <c r="AN51" s="501" t="e">
        <f t="shared" si="26"/>
        <v>#DIV/0!</v>
      </c>
      <c r="AO51" s="326"/>
      <c r="AP51" s="326"/>
      <c r="AQ51" s="326"/>
      <c r="AR51" s="326"/>
      <c r="AS51" s="326"/>
      <c r="AT51" s="601"/>
      <c r="AU51" s="607"/>
      <c r="AV51" s="597">
        <f t="shared" si="9"/>
        <v>0</v>
      </c>
      <c r="AW51" s="597">
        <f t="shared" si="10"/>
        <v>0</v>
      </c>
      <c r="AX51" s="326"/>
      <c r="AY51" s="339">
        <f t="shared" si="33"/>
        <v>9.0326077138469875E-8</v>
      </c>
      <c r="AZ51" s="609">
        <f t="shared" si="18"/>
        <v>5.8687852382872334E-8</v>
      </c>
    </row>
    <row r="52" spans="1:52" s="335" customFormat="1" ht="19.95" hidden="1" customHeight="1">
      <c r="A52" s="600">
        <v>2</v>
      </c>
      <c r="B52" s="276" t="s">
        <v>586</v>
      </c>
      <c r="C52" s="326"/>
      <c r="D52" s="326">
        <f t="shared" ref="D52:I52" si="61">D48-D50</f>
        <v>613727</v>
      </c>
      <c r="E52" s="326">
        <f t="shared" si="61"/>
        <v>1274199</v>
      </c>
      <c r="F52" s="326">
        <f t="shared" si="61"/>
        <v>1063723</v>
      </c>
      <c r="G52" s="326">
        <f t="shared" si="61"/>
        <v>1175298</v>
      </c>
      <c r="H52" s="326">
        <f t="shared" si="61"/>
        <v>1253766</v>
      </c>
      <c r="I52" s="326">
        <f t="shared" si="61"/>
        <v>5380713</v>
      </c>
      <c r="J52" s="488"/>
      <c r="K52" s="488"/>
      <c r="L52" s="326">
        <f>L48-L50</f>
        <v>1344449</v>
      </c>
      <c r="M52" s="326">
        <f>M48-M50</f>
        <v>1356735</v>
      </c>
      <c r="N52" s="326"/>
      <c r="O52" s="326">
        <f>O48-O50</f>
        <v>1376210</v>
      </c>
      <c r="P52" s="326"/>
      <c r="Q52" s="329">
        <f>Q48-Q50</f>
        <v>1519112</v>
      </c>
      <c r="R52" s="329"/>
      <c r="S52" s="329">
        <f>S48-S50</f>
        <v>1553716</v>
      </c>
      <c r="T52" s="439">
        <f t="shared" si="13"/>
        <v>7150222</v>
      </c>
      <c r="U52" s="323"/>
      <c r="V52" s="323"/>
      <c r="W52" s="323">
        <f t="shared" si="59"/>
        <v>0.32886143527818712</v>
      </c>
      <c r="X52" s="340"/>
      <c r="Y52" s="329">
        <f>S52*(1+U52)</f>
        <v>1553716</v>
      </c>
      <c r="Z52" s="326"/>
      <c r="AA52" s="326">
        <f>Y52*(1+$U$48)</f>
        <v>1553716</v>
      </c>
      <c r="AB52" s="439">
        <f t="shared" si="20"/>
        <v>4661148</v>
      </c>
      <c r="AC52" s="461">
        <f t="shared" si="1"/>
        <v>0.10297553763911314</v>
      </c>
      <c r="AD52" s="461">
        <f t="shared" si="21"/>
        <v>0.11187458631052727</v>
      </c>
      <c r="AE52" s="461"/>
      <c r="AF52" s="326">
        <f>AA52*(1+$U$48)</f>
        <v>1553716</v>
      </c>
      <c r="AG52" s="326"/>
      <c r="AH52" s="326">
        <f>AF52*(1+$U$48)</f>
        <v>1553716</v>
      </c>
      <c r="AI52" s="326">
        <f t="shared" si="60"/>
        <v>1553716</v>
      </c>
      <c r="AJ52" s="326">
        <f t="shared" si="34"/>
        <v>6214864</v>
      </c>
      <c r="AK52" s="488"/>
      <c r="AL52" s="489">
        <f t="shared" si="15"/>
        <v>7.0760225788307735E-2</v>
      </c>
      <c r="AM52" s="489">
        <f t="shared" si="8"/>
        <v>8.1039798839802057E-2</v>
      </c>
      <c r="AN52" s="501">
        <f t="shared" si="26"/>
        <v>-0.1308152390233478</v>
      </c>
      <c r="AO52" s="326"/>
      <c r="AP52" s="326"/>
      <c r="AQ52" s="326"/>
      <c r="AR52" s="326"/>
      <c r="AS52" s="326"/>
      <c r="AT52" s="601"/>
      <c r="AU52" s="607"/>
      <c r="AV52" s="597">
        <f t="shared" si="9"/>
        <v>0</v>
      </c>
      <c r="AW52" s="597">
        <f t="shared" si="10"/>
        <v>0</v>
      </c>
      <c r="AX52" s="326"/>
      <c r="AY52" s="339">
        <f t="shared" si="33"/>
        <v>0.14034107126727485</v>
      </c>
      <c r="AZ52" s="609">
        <f t="shared" si="18"/>
        <v>9.1184255252906868E-2</v>
      </c>
    </row>
    <row r="53" spans="1:52" s="335" customFormat="1" ht="19.95" hidden="1" customHeight="1">
      <c r="A53" s="615" t="s">
        <v>137</v>
      </c>
      <c r="B53" s="616" t="s">
        <v>494</v>
      </c>
      <c r="C53" s="617"/>
      <c r="D53" s="617"/>
      <c r="E53" s="617">
        <f>E52/D52</f>
        <v>2.0761657870681915</v>
      </c>
      <c r="F53" s="617">
        <f>F52/E52</f>
        <v>0.83481701052975243</v>
      </c>
      <c r="G53" s="617">
        <f>G52/F52</f>
        <v>1.1048910289614871</v>
      </c>
      <c r="H53" s="617">
        <f>H52/G52</f>
        <v>1.0667643440216865</v>
      </c>
      <c r="I53" s="617"/>
      <c r="J53" s="617">
        <f>(E53*F53*G53*H53)^(1/4)-1</f>
        <v>0.19552954875555795</v>
      </c>
      <c r="K53" s="617"/>
      <c r="L53" s="617">
        <f>L52/H52</f>
        <v>1.0723284887291569</v>
      </c>
      <c r="M53" s="617">
        <f>M52/L52</f>
        <v>1.0091383161428957</v>
      </c>
      <c r="N53" s="617"/>
      <c r="O53" s="617">
        <f>O52/M52</f>
        <v>1.0143543138490567</v>
      </c>
      <c r="P53" s="617"/>
      <c r="Q53" s="613">
        <f>Q52/O52</f>
        <v>1.1038373504043715</v>
      </c>
      <c r="R53" s="613"/>
      <c r="S53" s="613">
        <f>S52/Q52</f>
        <v>1.0227790972620847</v>
      </c>
      <c r="T53" s="476"/>
      <c r="U53" s="476">
        <f>(L53*M53*O53*Q53*S53)^(1/5)-1</f>
        <v>4.3833017585819256E-2</v>
      </c>
      <c r="V53" s="476"/>
      <c r="W53" s="476"/>
      <c r="X53" s="618"/>
      <c r="Y53" s="613">
        <f>Y52/S52</f>
        <v>1</v>
      </c>
      <c r="Z53" s="619"/>
      <c r="AA53" s="617">
        <f>AA52/Y52</f>
        <v>1</v>
      </c>
      <c r="AB53" s="439">
        <f t="shared" si="20"/>
        <v>3.0227790972620845</v>
      </c>
      <c r="AC53" s="461">
        <f t="shared" si="1"/>
        <v>6.6780180055393279E-8</v>
      </c>
      <c r="AD53" s="461">
        <f t="shared" si="21"/>
        <v>7.2551260121820797E-8</v>
      </c>
      <c r="AE53" s="461"/>
      <c r="AF53" s="617">
        <f>AF52/AA52</f>
        <v>1</v>
      </c>
      <c r="AG53" s="617"/>
      <c r="AH53" s="617">
        <f>AH52/AF52</f>
        <v>1</v>
      </c>
      <c r="AI53" s="617">
        <f>AI52/AH52</f>
        <v>1</v>
      </c>
      <c r="AJ53" s="326">
        <f t="shared" si="34"/>
        <v>4</v>
      </c>
      <c r="AK53" s="617">
        <f>(Y53*AA53*AF53*AH53*AI53)^(1/5)-1</f>
        <v>0</v>
      </c>
      <c r="AL53" s="489">
        <f t="shared" si="15"/>
        <v>4.554257392490502E-8</v>
      </c>
      <c r="AM53" s="489">
        <f t="shared" si="8"/>
        <v>5.2158694922239367E-8</v>
      </c>
      <c r="AN53" s="501" t="e">
        <f t="shared" si="26"/>
        <v>#DIV/0!</v>
      </c>
      <c r="AO53" s="326"/>
      <c r="AP53" s="326"/>
      <c r="AQ53" s="326"/>
      <c r="AR53" s="326"/>
      <c r="AS53" s="326"/>
      <c r="AT53" s="601"/>
      <c r="AU53" s="607"/>
      <c r="AV53" s="597">
        <f t="shared" si="9"/>
        <v>0</v>
      </c>
      <c r="AW53" s="597">
        <f t="shared" si="10"/>
        <v>0</v>
      </c>
      <c r="AX53" s="326"/>
      <c r="AY53" s="339">
        <f t="shared" si="33"/>
        <v>9.0326077138469875E-8</v>
      </c>
      <c r="AZ53" s="609">
        <f t="shared" si="18"/>
        <v>5.8687852382872334E-8</v>
      </c>
    </row>
    <row r="54" spans="1:52" s="335" customFormat="1" ht="19.95" hidden="1" customHeight="1">
      <c r="A54" s="600">
        <v>3</v>
      </c>
      <c r="B54" s="276" t="s">
        <v>587</v>
      </c>
      <c r="C54" s="488"/>
      <c r="D54" s="488">
        <f t="shared" ref="D54:I54" si="62">D48/D16</f>
        <v>0.45965134225082388</v>
      </c>
      <c r="E54" s="488">
        <f t="shared" si="62"/>
        <v>0.54595226331404767</v>
      </c>
      <c r="F54" s="488">
        <f t="shared" si="62"/>
        <v>0.47517269328478795</v>
      </c>
      <c r="G54" s="488">
        <f t="shared" si="62"/>
        <v>0.48511804064281494</v>
      </c>
      <c r="H54" s="488">
        <f t="shared" si="62"/>
        <v>0.49266412467806253</v>
      </c>
      <c r="I54" s="488">
        <f t="shared" si="62"/>
        <v>0.49237024945647284</v>
      </c>
      <c r="J54" s="488"/>
      <c r="K54" s="488"/>
      <c r="L54" s="488">
        <f>L48/L16</f>
        <v>0.49160942067130459</v>
      </c>
      <c r="M54" s="488">
        <f>M48/M16</f>
        <v>0.51723808951470485</v>
      </c>
      <c r="N54" s="488"/>
      <c r="O54" s="488">
        <f>O48/O16</f>
        <v>0.50550720040170882</v>
      </c>
      <c r="P54" s="488"/>
      <c r="Q54" s="342">
        <f>Q48/Q16</f>
        <v>0.49288221232679341</v>
      </c>
      <c r="R54" s="342"/>
      <c r="S54" s="342">
        <f>S48/S16</f>
        <v>0.49507927949660047</v>
      </c>
      <c r="T54" s="323">
        <f>(L54*M54*O54*Q54*S54)^(1/5)</f>
        <v>0.50036991242545181</v>
      </c>
      <c r="U54" s="323"/>
      <c r="V54" s="323"/>
      <c r="W54" s="323">
        <f t="shared" si="59"/>
        <v>1.6247250880429442E-2</v>
      </c>
      <c r="X54" s="340"/>
      <c r="Y54" s="342">
        <f>Y48/Y16</f>
        <v>0.47994445948007902</v>
      </c>
      <c r="Z54" s="621"/>
      <c r="AA54" s="488">
        <f>AA48/AA16</f>
        <v>0.54802570198213452</v>
      </c>
      <c r="AB54" s="439">
        <f t="shared" si="20"/>
        <v>1.5230494409588142</v>
      </c>
      <c r="AC54" s="461">
        <f t="shared" si="1"/>
        <v>3.3647684011253153E-8</v>
      </c>
      <c r="AD54" s="461">
        <f t="shared" si="21"/>
        <v>3.6555485073150895E-8</v>
      </c>
      <c r="AE54" s="461"/>
      <c r="AF54" s="488">
        <f>AF48/AF16</f>
        <v>0.57398676504834467</v>
      </c>
      <c r="AG54" s="488"/>
      <c r="AH54" s="488">
        <f>AH48/AH16</f>
        <v>0.54306047749324782</v>
      </c>
      <c r="AI54" s="488">
        <f>AI48/AI16</f>
        <v>0.56433440388576217</v>
      </c>
      <c r="AJ54" s="326">
        <f t="shared" si="34"/>
        <v>2.1353650428412236</v>
      </c>
      <c r="AK54" s="488"/>
      <c r="AL54" s="489">
        <f t="shared" si="15"/>
        <v>2.4312505080063601E-8</v>
      </c>
      <c r="AM54" s="489">
        <f t="shared" si="8"/>
        <v>2.7844463454292496E-8</v>
      </c>
      <c r="AN54" s="501">
        <f t="shared" si="26"/>
        <v>3.2675728292503265</v>
      </c>
      <c r="AO54" s="326"/>
      <c r="AP54" s="326"/>
      <c r="AQ54" s="326"/>
      <c r="AR54" s="326"/>
      <c r="AS54" s="326"/>
      <c r="AT54" s="601"/>
      <c r="AU54" s="607"/>
      <c r="AV54" s="597">
        <f t="shared" si="9"/>
        <v>0</v>
      </c>
      <c r="AW54" s="597">
        <f t="shared" si="10"/>
        <v>0</v>
      </c>
      <c r="AX54" s="326"/>
      <c r="AY54" s="339">
        <f t="shared" si="33"/>
        <v>5.097411289727777E-8</v>
      </c>
      <c r="AZ54" s="609">
        <f t="shared" si="18"/>
        <v>3.3119574189823867E-8</v>
      </c>
    </row>
    <row r="55" spans="1:52" s="335" customFormat="1" ht="19.95" hidden="1" customHeight="1">
      <c r="A55" s="600">
        <v>4</v>
      </c>
      <c r="B55" s="276" t="s">
        <v>588</v>
      </c>
      <c r="C55" s="488"/>
      <c r="D55" s="488">
        <f t="shared" ref="D55:I55" si="63">D50/D48</f>
        <v>0.63924767904860091</v>
      </c>
      <c r="E55" s="488">
        <f t="shared" si="63"/>
        <v>0.50398617606597118</v>
      </c>
      <c r="F55" s="488">
        <f t="shared" si="63"/>
        <v>0.57980907145619454</v>
      </c>
      <c r="G55" s="488">
        <f t="shared" si="63"/>
        <v>0.57300149974713566</v>
      </c>
      <c r="H55" s="488">
        <f t="shared" si="63"/>
        <v>0.57180152199349588</v>
      </c>
      <c r="I55" s="488">
        <f t="shared" si="63"/>
        <v>0.56892597236572762</v>
      </c>
      <c r="J55" s="488"/>
      <c r="K55" s="488"/>
      <c r="L55" s="488">
        <f>L50/L48</f>
        <v>0.56112120891618777</v>
      </c>
      <c r="M55" s="488">
        <f>M50/M48</f>
        <v>0.62584377401844782</v>
      </c>
      <c r="N55" s="488"/>
      <c r="O55" s="488">
        <f>O50/O48</f>
        <v>0.63898484177567172</v>
      </c>
      <c r="P55" s="488"/>
      <c r="Q55" s="342">
        <f>Q50/Q48</f>
        <v>0.63285056379506399</v>
      </c>
      <c r="R55" s="342"/>
      <c r="S55" s="342">
        <f>S50/S48</f>
        <v>0.63673440758648425</v>
      </c>
      <c r="T55" s="323">
        <f>(L55*M55*O55*Q55*S55)^(1/5)</f>
        <v>0.61837871611008355</v>
      </c>
      <c r="U55" s="323"/>
      <c r="V55" s="323"/>
      <c r="W55" s="323">
        <f t="shared" si="59"/>
        <v>8.6922984968887729E-2</v>
      </c>
      <c r="X55" s="340"/>
      <c r="Y55" s="342">
        <f t="shared" ref="Y55:AH55" si="64">Y50/Y48</f>
        <v>0.59025967969261484</v>
      </c>
      <c r="Z55" s="621"/>
      <c r="AA55" s="488">
        <f t="shared" si="64"/>
        <v>0.54717710448764467</v>
      </c>
      <c r="AB55" s="439">
        <f t="shared" si="20"/>
        <v>1.7741711917667438</v>
      </c>
      <c r="AC55" s="461">
        <f t="shared" si="1"/>
        <v>3.9195544174097573E-8</v>
      </c>
      <c r="AD55" s="461">
        <f t="shared" si="21"/>
        <v>4.2582786069646274E-8</v>
      </c>
      <c r="AE55" s="461"/>
      <c r="AF55" s="488">
        <f t="shared" si="64"/>
        <v>0.50723909149850888</v>
      </c>
      <c r="AG55" s="488"/>
      <c r="AH55" s="488">
        <f t="shared" si="64"/>
        <v>0.47021612167992743</v>
      </c>
      <c r="AI55" s="488">
        <f>AI50/AI48</f>
        <v>0.4358954283955504</v>
      </c>
      <c r="AJ55" s="326">
        <f t="shared" si="34"/>
        <v>2.0435483342557372</v>
      </c>
      <c r="AK55" s="488"/>
      <c r="AL55" s="489">
        <f t="shared" si="15"/>
        <v>2.3267112770489606E-8</v>
      </c>
      <c r="AM55" s="489">
        <f t="shared" si="8"/>
        <v>2.6647203531323858E-8</v>
      </c>
      <c r="AN55" s="501">
        <f t="shared" si="26"/>
        <v>2.3046873720212995</v>
      </c>
      <c r="AO55" s="326"/>
      <c r="AP55" s="326"/>
      <c r="AQ55" s="326"/>
      <c r="AR55" s="326"/>
      <c r="AS55" s="326"/>
      <c r="AT55" s="601"/>
      <c r="AU55" s="607"/>
      <c r="AV55" s="597">
        <f t="shared" si="9"/>
        <v>0</v>
      </c>
      <c r="AW55" s="597">
        <f t="shared" si="10"/>
        <v>0</v>
      </c>
      <c r="AX55" s="326"/>
      <c r="AY55" s="339">
        <f t="shared" si="33"/>
        <v>3.9372724089562858E-8</v>
      </c>
      <c r="AZ55" s="609">
        <f t="shared" si="18"/>
        <v>2.558176655604696E-8</v>
      </c>
    </row>
    <row r="56" spans="1:52" s="335" customFormat="1" ht="19.95" hidden="1" customHeight="1">
      <c r="A56" s="600">
        <v>5</v>
      </c>
      <c r="B56" s="276" t="s">
        <v>589</v>
      </c>
      <c r="C56" s="488"/>
      <c r="D56" s="488">
        <f t="shared" ref="D56:I56" si="65">D17/D16</f>
        <v>0.38595788959548177</v>
      </c>
      <c r="E56" s="488">
        <f t="shared" si="65"/>
        <v>0.41598283194377628</v>
      </c>
      <c r="F56" s="488">
        <f t="shared" si="65"/>
        <v>0.4107440725813154</v>
      </c>
      <c r="G56" s="488">
        <f t="shared" si="65"/>
        <v>0.42254592094173782</v>
      </c>
      <c r="H56" s="488">
        <f t="shared" si="65"/>
        <v>0.41688062063389775</v>
      </c>
      <c r="I56" s="488">
        <f t="shared" si="65"/>
        <v>0.41217772255155677</v>
      </c>
      <c r="J56" s="488"/>
      <c r="K56" s="488"/>
      <c r="L56" s="488">
        <f>L17/L16</f>
        <v>0.41295612390258807</v>
      </c>
      <c r="M56" s="488">
        <f>M17/M16</f>
        <v>0.40748170347734886</v>
      </c>
      <c r="N56" s="488"/>
      <c r="O56" s="488">
        <f>O17/O16</f>
        <v>0.40368309298649807</v>
      </c>
      <c r="P56" s="488"/>
      <c r="Q56" s="342">
        <f>Q17/Q16</f>
        <v>0.39559420599230011</v>
      </c>
      <c r="R56" s="342"/>
      <c r="S56" s="342">
        <f>S17/S16</f>
        <v>0.40603959958246044</v>
      </c>
      <c r="T56" s="323">
        <f>T17/T16</f>
        <v>0.4046580098742617</v>
      </c>
      <c r="U56" s="323"/>
      <c r="V56" s="323"/>
      <c r="W56" s="323">
        <f t="shared" si="59"/>
        <v>-1.8243860028981707E-2</v>
      </c>
      <c r="X56" s="340"/>
      <c r="Y56" s="342">
        <f>Y17/Y16</f>
        <v>0.36268297604979777</v>
      </c>
      <c r="Z56" s="621"/>
      <c r="AA56" s="488">
        <f>AA17/AA16</f>
        <v>0.38614701573140597</v>
      </c>
      <c r="AB56" s="439">
        <f t="shared" si="20"/>
        <v>1.1548695913636642</v>
      </c>
      <c r="AC56" s="461">
        <f t="shared" si="1"/>
        <v>2.5513739764053023E-8</v>
      </c>
      <c r="AD56" s="461">
        <f t="shared" si="21"/>
        <v>2.7718613049063792E-8</v>
      </c>
      <c r="AE56" s="461"/>
      <c r="AF56" s="488">
        <f>AF17/AF16</f>
        <v>0.44684683817865661</v>
      </c>
      <c r="AG56" s="488"/>
      <c r="AH56" s="488">
        <f>AH17/AH16</f>
        <v>0.44987862193505385</v>
      </c>
      <c r="AI56" s="488">
        <f>AI17/AI16</f>
        <v>0.44404299521271789</v>
      </c>
      <c r="AJ56" s="326">
        <f t="shared" si="34"/>
        <v>1.6427516089289755</v>
      </c>
      <c r="AK56" s="488"/>
      <c r="AL56" s="489">
        <f t="shared" si="15"/>
        <v>1.8703784147476133E-8</v>
      </c>
      <c r="AM56" s="489">
        <f t="shared" si="8"/>
        <v>2.1420945000786076E-8</v>
      </c>
      <c r="AN56" s="501">
        <f t="shared" si="26"/>
        <v>3.0596048239337295</v>
      </c>
      <c r="AO56" s="326"/>
      <c r="AP56" s="326"/>
      <c r="AQ56" s="326"/>
      <c r="AR56" s="326"/>
      <c r="AS56" s="326"/>
      <c r="AT56" s="601"/>
      <c r="AU56" s="607"/>
      <c r="AV56" s="597">
        <f t="shared" si="9"/>
        <v>0</v>
      </c>
      <c r="AW56" s="597">
        <f t="shared" si="10"/>
        <v>0</v>
      </c>
      <c r="AX56" s="326"/>
      <c r="AY56" s="339">
        <f t="shared" si="33"/>
        <v>4.0108661838381167E-8</v>
      </c>
      <c r="AZ56" s="609">
        <f t="shared" si="18"/>
        <v>2.6059929754692473E-8</v>
      </c>
    </row>
    <row r="57" spans="1:52" s="335" customFormat="1" ht="19.95" hidden="1" customHeight="1">
      <c r="A57" s="600">
        <v>6</v>
      </c>
      <c r="B57" s="276" t="s">
        <v>590</v>
      </c>
      <c r="C57" s="488"/>
      <c r="D57" s="488">
        <f t="shared" ref="D57:I57" si="66">D17/D10</f>
        <v>0.28569688015195527</v>
      </c>
      <c r="E57" s="488">
        <f t="shared" si="66"/>
        <v>0.326722569495001</v>
      </c>
      <c r="F57" s="488">
        <f t="shared" si="66"/>
        <v>0.33402606448569211</v>
      </c>
      <c r="G57" s="488">
        <f t="shared" si="66"/>
        <v>0.31427613279898986</v>
      </c>
      <c r="H57" s="488">
        <f t="shared" si="66"/>
        <v>0.29834753692848737</v>
      </c>
      <c r="I57" s="488">
        <f t="shared" si="66"/>
        <v>0.31214842863179698</v>
      </c>
      <c r="J57" s="488"/>
      <c r="K57" s="488"/>
      <c r="L57" s="488">
        <f>L17/L10</f>
        <v>0.29663575595833136</v>
      </c>
      <c r="M57" s="488">
        <f>M17/M10</f>
        <v>0.28330231014955592</v>
      </c>
      <c r="N57" s="488"/>
      <c r="O57" s="488">
        <f>O17/O10</f>
        <v>0.29193063745341941</v>
      </c>
      <c r="P57" s="488"/>
      <c r="Q57" s="342">
        <f>Q17/Q10</f>
        <v>0.30247329341364132</v>
      </c>
      <c r="R57" s="342"/>
      <c r="S57" s="342">
        <f>S17/S10</f>
        <v>0.26771916036078913</v>
      </c>
      <c r="T57" s="323">
        <f>T17/T10</f>
        <v>0.28728102981376874</v>
      </c>
      <c r="U57" s="323"/>
      <c r="V57" s="323"/>
      <c r="W57" s="323">
        <f t="shared" si="59"/>
        <v>-7.9665301943138256E-2</v>
      </c>
      <c r="X57" s="340"/>
      <c r="Y57" s="342">
        <f>Y17/Y10</f>
        <v>0.24768495956848804</v>
      </c>
      <c r="Z57" s="621"/>
      <c r="AA57" s="488">
        <f>AA17/AA10</f>
        <v>0.24211440649426988</v>
      </c>
      <c r="AB57" s="439">
        <f t="shared" si="20"/>
        <v>0.75751852642354711</v>
      </c>
      <c r="AC57" s="461">
        <f t="shared" si="1"/>
        <v>1.6735335915112223E-8</v>
      </c>
      <c r="AD57" s="461">
        <f t="shared" si="21"/>
        <v>1.818158783333946E-8</v>
      </c>
      <c r="AE57" s="461"/>
      <c r="AF57" s="488">
        <f>AF17/AF10</f>
        <v>0.31685166980404333</v>
      </c>
      <c r="AG57" s="488"/>
      <c r="AH57" s="488">
        <f>AH17/AH10</f>
        <v>0.28940888487410671</v>
      </c>
      <c r="AI57" s="488">
        <f>AI17/AI10</f>
        <v>0.28850948231420037</v>
      </c>
      <c r="AJ57" s="326">
        <f t="shared" si="34"/>
        <v>1.067717733251065</v>
      </c>
      <c r="AK57" s="488"/>
      <c r="AL57" s="489">
        <f t="shared" si="15"/>
        <v>1.2156653449379661E-8</v>
      </c>
      <c r="AM57" s="489">
        <f t="shared" si="8"/>
        <v>1.3922690877926812E-8</v>
      </c>
      <c r="AN57" s="501">
        <f t="shared" si="26"/>
        <v>2.716631529562596</v>
      </c>
      <c r="AO57" s="326"/>
      <c r="AP57" s="326"/>
      <c r="AQ57" s="326"/>
      <c r="AR57" s="326"/>
      <c r="AS57" s="326"/>
      <c r="AT57" s="601"/>
      <c r="AU57" s="607"/>
      <c r="AV57" s="597">
        <f t="shared" si="9"/>
        <v>0</v>
      </c>
      <c r="AW57" s="597">
        <f t="shared" si="10"/>
        <v>0</v>
      </c>
      <c r="AX57" s="326"/>
      <c r="AY57" s="339">
        <f t="shared" si="33"/>
        <v>2.6059929754692473E-8</v>
      </c>
      <c r="AZ57" s="609">
        <f t="shared" si="18"/>
        <v>1.6932001909114708E-8</v>
      </c>
    </row>
    <row r="58" spans="1:52" s="335" customFormat="1" ht="19.95" hidden="1" customHeight="1">
      <c r="A58" s="600">
        <v>7</v>
      </c>
      <c r="B58" s="276" t="s">
        <v>591</v>
      </c>
      <c r="C58" s="488"/>
      <c r="D58" s="488">
        <f t="shared" ref="D58:I58" si="67">D22/D16</f>
        <v>0.13257909003966123</v>
      </c>
      <c r="E58" s="488">
        <f t="shared" si="67"/>
        <v>0.11646620552219264</v>
      </c>
      <c r="F58" s="488">
        <f t="shared" si="67"/>
        <v>0.14349562489544354</v>
      </c>
      <c r="G58" s="488">
        <f t="shared" si="67"/>
        <v>0.13802292379525019</v>
      </c>
      <c r="H58" s="488">
        <f t="shared" si="67"/>
        <v>0.1339483162117413</v>
      </c>
      <c r="I58" s="488">
        <f t="shared" si="67"/>
        <v>0.13342194931983412</v>
      </c>
      <c r="J58" s="488"/>
      <c r="K58" s="488"/>
      <c r="L58" s="488">
        <f>L22/L16</f>
        <v>0.12285935603422224</v>
      </c>
      <c r="M58" s="488">
        <f>M22/M16</f>
        <v>0.13920921059396923</v>
      </c>
      <c r="N58" s="488"/>
      <c r="O58" s="488">
        <f>O22/O16</f>
        <v>0.14686475914844155</v>
      </c>
      <c r="P58" s="488"/>
      <c r="Q58" s="342">
        <f>Q22/Q16</f>
        <v>0.18956867051283594</v>
      </c>
      <c r="R58" s="342"/>
      <c r="S58" s="342">
        <f>S22/S16</f>
        <v>0.15949530869936529</v>
      </c>
      <c r="T58" s="323">
        <f>T22/T16</f>
        <v>0.15385500027349266</v>
      </c>
      <c r="U58" s="323"/>
      <c r="V58" s="323"/>
      <c r="W58" s="323">
        <f t="shared" si="59"/>
        <v>0.15314609820815317</v>
      </c>
      <c r="X58" s="340"/>
      <c r="Y58" s="342">
        <f>Y22/Y16</f>
        <v>0.1414510968160711</v>
      </c>
      <c r="Z58" s="621"/>
      <c r="AA58" s="488">
        <f>AA22/AA16</f>
        <v>0.17961826800761385</v>
      </c>
      <c r="AB58" s="439">
        <f t="shared" si="20"/>
        <v>0.48056467352305027</v>
      </c>
      <c r="AC58" s="461">
        <f t="shared" si="1"/>
        <v>1.0616784883552504E-8</v>
      </c>
      <c r="AD58" s="461">
        <f t="shared" si="21"/>
        <v>1.1534277402443528E-8</v>
      </c>
      <c r="AE58" s="461"/>
      <c r="AF58" s="488">
        <f>AF22/AF16</f>
        <v>0.19175410378490604</v>
      </c>
      <c r="AG58" s="488"/>
      <c r="AH58" s="488">
        <f>AH22/AH16</f>
        <v>0.19399744987363257</v>
      </c>
      <c r="AI58" s="488">
        <f>AI22/AI16</f>
        <v>0.19293650076777166</v>
      </c>
      <c r="AJ58" s="326">
        <f t="shared" si="34"/>
        <v>0.70800331546508921</v>
      </c>
      <c r="AK58" s="488"/>
      <c r="AL58" s="489">
        <f t="shared" si="15"/>
        <v>8.0610733334116683E-9</v>
      </c>
      <c r="AM58" s="489">
        <f t="shared" si="8"/>
        <v>9.2321322338193955E-9</v>
      </c>
      <c r="AN58" s="501">
        <f t="shared" si="26"/>
        <v>3.6017569413184001</v>
      </c>
      <c r="AO58" s="326"/>
      <c r="AP58" s="326"/>
      <c r="AQ58" s="326"/>
      <c r="AR58" s="326"/>
      <c r="AS58" s="326"/>
      <c r="AT58" s="601"/>
      <c r="AU58" s="607"/>
      <c r="AV58" s="597">
        <f t="shared" si="9"/>
        <v>0</v>
      </c>
      <c r="AW58" s="597">
        <f t="shared" si="10"/>
        <v>0</v>
      </c>
      <c r="AX58" s="326"/>
      <c r="AY58" s="339">
        <f t="shared" si="33"/>
        <v>1.7427197251176197E-8</v>
      </c>
      <c r="AZ58" s="609">
        <f t="shared" si="18"/>
        <v>1.1323028876326917E-8</v>
      </c>
    </row>
    <row r="59" spans="1:52" s="335" customFormat="1" ht="19.95" hidden="1" customHeight="1">
      <c r="A59" s="600">
        <v>8</v>
      </c>
      <c r="B59" s="276" t="s">
        <v>592</v>
      </c>
      <c r="C59" s="326"/>
      <c r="D59" s="326"/>
      <c r="E59" s="326"/>
      <c r="F59" s="326"/>
      <c r="G59" s="326"/>
      <c r="H59" s="326"/>
      <c r="I59" s="326">
        <f>AVERAGE(D11:H11)</f>
        <v>1524698.2024611782</v>
      </c>
      <c r="J59" s="488"/>
      <c r="K59" s="488"/>
      <c r="L59" s="326"/>
      <c r="M59" s="326"/>
      <c r="N59" s="326"/>
      <c r="O59" s="326"/>
      <c r="P59" s="326"/>
      <c r="Q59" s="329"/>
      <c r="R59" s="329"/>
      <c r="S59" s="329"/>
      <c r="T59" s="439">
        <f>AVERAGE(L11:S11)</f>
        <v>2761423.6536095003</v>
      </c>
      <c r="U59" s="323"/>
      <c r="V59" s="323"/>
      <c r="W59" s="323">
        <f t="shared" si="59"/>
        <v>0.81112803120774424</v>
      </c>
      <c r="X59" s="340"/>
      <c r="Y59" s="329"/>
      <c r="Z59" s="326"/>
      <c r="AA59" s="326"/>
      <c r="AB59" s="439">
        <f t="shared" si="20"/>
        <v>0</v>
      </c>
      <c r="AC59" s="461">
        <f t="shared" si="1"/>
        <v>0</v>
      </c>
      <c r="AD59" s="461">
        <f t="shared" si="21"/>
        <v>0</v>
      </c>
      <c r="AE59" s="461"/>
      <c r="AF59" s="326"/>
      <c r="AG59" s="326"/>
      <c r="AH59" s="326"/>
      <c r="AI59" s="326"/>
      <c r="AJ59" s="326">
        <f t="shared" si="34"/>
        <v>0</v>
      </c>
      <c r="AK59" s="488"/>
      <c r="AL59" s="489">
        <f t="shared" si="15"/>
        <v>0</v>
      </c>
      <c r="AM59" s="489">
        <f t="shared" si="8"/>
        <v>0</v>
      </c>
      <c r="AN59" s="501">
        <f t="shared" si="26"/>
        <v>-1</v>
      </c>
      <c r="AO59" s="326"/>
      <c r="AP59" s="326"/>
      <c r="AQ59" s="326"/>
      <c r="AR59" s="326"/>
      <c r="AS59" s="326"/>
      <c r="AT59" s="601"/>
      <c r="AU59" s="607"/>
      <c r="AV59" s="597">
        <f t="shared" si="9"/>
        <v>0</v>
      </c>
      <c r="AW59" s="597">
        <f t="shared" si="10"/>
        <v>0</v>
      </c>
      <c r="AX59" s="326"/>
      <c r="AY59" s="339">
        <f t="shared" si="33"/>
        <v>0</v>
      </c>
      <c r="AZ59" s="609">
        <f t="shared" si="18"/>
        <v>0</v>
      </c>
    </row>
    <row r="60" spans="1:52" s="335" customFormat="1" ht="19.95" hidden="1" customHeight="1">
      <c r="A60" s="600">
        <v>9</v>
      </c>
      <c r="B60" s="276" t="s">
        <v>593</v>
      </c>
      <c r="C60" s="326"/>
      <c r="D60" s="326"/>
      <c r="E60" s="326"/>
      <c r="F60" s="326"/>
      <c r="G60" s="326"/>
      <c r="H60" s="326"/>
      <c r="I60" s="326">
        <f>AVERAGE(D12:H12)</f>
        <v>449743.29869957815</v>
      </c>
      <c r="J60" s="488"/>
      <c r="K60" s="488"/>
      <c r="L60" s="326"/>
      <c r="M60" s="326"/>
      <c r="N60" s="326"/>
      <c r="O60" s="326"/>
      <c r="P60" s="326"/>
      <c r="Q60" s="329"/>
      <c r="R60" s="329"/>
      <c r="S60" s="329"/>
      <c r="T60" s="439">
        <f>AVERAGE(L12:S12)</f>
        <v>935866.72812500002</v>
      </c>
      <c r="U60" s="323"/>
      <c r="V60" s="323"/>
      <c r="W60" s="323">
        <f t="shared" si="59"/>
        <v>1.0808908789325731</v>
      </c>
      <c r="X60" s="340"/>
      <c r="Y60" s="329"/>
      <c r="Z60" s="326"/>
      <c r="AA60" s="326"/>
      <c r="AB60" s="439">
        <f t="shared" si="20"/>
        <v>0</v>
      </c>
      <c r="AC60" s="461">
        <f t="shared" si="1"/>
        <v>0</v>
      </c>
      <c r="AD60" s="461">
        <f t="shared" si="21"/>
        <v>0</v>
      </c>
      <c r="AE60" s="461"/>
      <c r="AF60" s="326"/>
      <c r="AG60" s="326"/>
      <c r="AH60" s="326"/>
      <c r="AI60" s="326"/>
      <c r="AJ60" s="326">
        <f t="shared" si="34"/>
        <v>0</v>
      </c>
      <c r="AK60" s="488"/>
      <c r="AL60" s="489">
        <f t="shared" si="15"/>
        <v>0</v>
      </c>
      <c r="AM60" s="489">
        <f t="shared" si="8"/>
        <v>0</v>
      </c>
      <c r="AN60" s="501">
        <f t="shared" si="26"/>
        <v>-1</v>
      </c>
      <c r="AO60" s="326"/>
      <c r="AP60" s="326"/>
      <c r="AQ60" s="326"/>
      <c r="AR60" s="326"/>
      <c r="AS60" s="326"/>
      <c r="AT60" s="601"/>
      <c r="AU60" s="607"/>
      <c r="AV60" s="597">
        <f t="shared" si="9"/>
        <v>0</v>
      </c>
      <c r="AW60" s="597">
        <f t="shared" si="10"/>
        <v>0</v>
      </c>
      <c r="AX60" s="326"/>
      <c r="AY60" s="339">
        <f t="shared" si="33"/>
        <v>0</v>
      </c>
      <c r="AZ60" s="609">
        <f t="shared" si="18"/>
        <v>0</v>
      </c>
    </row>
    <row r="61" spans="1:52" s="335" customFormat="1" ht="19.95" hidden="1" customHeight="1">
      <c r="A61" s="600">
        <v>10</v>
      </c>
      <c r="B61" s="622" t="s">
        <v>594</v>
      </c>
      <c r="C61" s="326">
        <f t="shared" ref="C61:I61" si="68">C16</f>
        <v>2567842.2054460002</v>
      </c>
      <c r="D61" s="326">
        <f t="shared" si="68"/>
        <v>3701157.4722469999</v>
      </c>
      <c r="E61" s="326">
        <f t="shared" si="68"/>
        <v>4705316.1468850002</v>
      </c>
      <c r="F61" s="326">
        <f t="shared" si="68"/>
        <v>5327585.1827680003</v>
      </c>
      <c r="G61" s="326">
        <f t="shared" si="68"/>
        <v>5673802.5993690006</v>
      </c>
      <c r="H61" s="326">
        <f t="shared" si="68"/>
        <v>5943201.1655269992</v>
      </c>
      <c r="I61" s="326">
        <f t="shared" si="68"/>
        <v>25351062.566796005</v>
      </c>
      <c r="J61" s="488"/>
      <c r="K61" s="488">
        <f>I61/$I$61</f>
        <v>1</v>
      </c>
      <c r="L61" s="326">
        <f>L16</f>
        <v>6231312.6461589998</v>
      </c>
      <c r="M61" s="326">
        <f>M16</f>
        <v>7010541.32228</v>
      </c>
      <c r="N61" s="326"/>
      <c r="O61" s="326">
        <f>O16</f>
        <v>7541051.8326360006</v>
      </c>
      <c r="P61" s="326"/>
      <c r="Q61" s="329">
        <f>Q16</f>
        <v>8394673</v>
      </c>
      <c r="R61" s="329"/>
      <c r="S61" s="329">
        <f>S16</f>
        <v>8639182</v>
      </c>
      <c r="T61" s="439">
        <f>L61+M61+O61+Q61+S61</f>
        <v>37816760.801074997</v>
      </c>
      <c r="U61" s="323"/>
      <c r="V61" s="323">
        <f>T61/$T$61</f>
        <v>1</v>
      </c>
      <c r="W61" s="323">
        <f t="shared" si="59"/>
        <v>0.49172290910623051</v>
      </c>
      <c r="X61" s="340"/>
      <c r="Y61" s="329">
        <f>Y16</f>
        <v>9613280</v>
      </c>
      <c r="Z61" s="326"/>
      <c r="AA61" s="326">
        <f>AA16</f>
        <v>9081902.7744820006</v>
      </c>
      <c r="AB61" s="439">
        <f t="shared" si="20"/>
        <v>27334364.774482001</v>
      </c>
      <c r="AC61" s="461">
        <f t="shared" si="1"/>
        <v>0.60387932515249887</v>
      </c>
      <c r="AD61" s="461">
        <f t="shared" si="21"/>
        <v>0.65606600588658048</v>
      </c>
      <c r="AE61" s="461"/>
      <c r="AF61" s="326">
        <f>AF16</f>
        <v>9353865</v>
      </c>
      <c r="AG61" s="326"/>
      <c r="AH61" s="326">
        <f>AH16</f>
        <v>10664978.394711081</v>
      </c>
      <c r="AI61" s="326">
        <f>AI16</f>
        <v>11071000</v>
      </c>
      <c r="AJ61" s="326">
        <f t="shared" si="34"/>
        <v>40431161.169193082</v>
      </c>
      <c r="AK61" s="488"/>
      <c r="AL61" s="489">
        <f t="shared" si="15"/>
        <v>0.46033478660443128</v>
      </c>
      <c r="AM61" s="489">
        <f t="shared" si="8"/>
        <v>0.5272091501939582</v>
      </c>
      <c r="AN61" s="501">
        <f t="shared" si="26"/>
        <v>6.9133376649323397E-2</v>
      </c>
      <c r="AO61" s="326"/>
      <c r="AP61" s="326"/>
      <c r="AQ61" s="326"/>
      <c r="AR61" s="326"/>
      <c r="AS61" s="326"/>
      <c r="AT61" s="601"/>
      <c r="AU61" s="607"/>
      <c r="AV61" s="597">
        <f t="shared" si="9"/>
        <v>0</v>
      </c>
      <c r="AW61" s="597">
        <f t="shared" si="10"/>
        <v>0</v>
      </c>
      <c r="AX61" s="326"/>
      <c r="AY61" s="339">
        <f t="shared" si="33"/>
        <v>1</v>
      </c>
      <c r="AZ61" s="609">
        <f t="shared" si="18"/>
        <v>0.64973321373077964</v>
      </c>
    </row>
    <row r="62" spans="1:52" s="335" customFormat="1" ht="19.95" hidden="1" customHeight="1">
      <c r="A62" s="615" t="s">
        <v>137</v>
      </c>
      <c r="B62" s="616" t="s">
        <v>494</v>
      </c>
      <c r="C62" s="617"/>
      <c r="D62" s="617">
        <f>D61/C61</f>
        <v>1.4413492637504794</v>
      </c>
      <c r="E62" s="617">
        <f>E61/D61</f>
        <v>1.2713093625893113</v>
      </c>
      <c r="F62" s="617">
        <f>F61/E61</f>
        <v>1.1322480820539451</v>
      </c>
      <c r="G62" s="617">
        <f>G61/F61</f>
        <v>1.0649858058996102</v>
      </c>
      <c r="H62" s="617">
        <f>H61/G61</f>
        <v>1.0474811312941974</v>
      </c>
      <c r="I62" s="617"/>
      <c r="J62" s="617">
        <f>(D62*E62*F62*G62*H62)^(1/5)-1</f>
        <v>0.18274309036120373</v>
      </c>
      <c r="K62" s="617"/>
      <c r="L62" s="617">
        <f>L61/H61</f>
        <v>1.0484774909358892</v>
      </c>
      <c r="M62" s="617">
        <f>M61/L61</f>
        <v>1.1250504862087636</v>
      </c>
      <c r="N62" s="617"/>
      <c r="O62" s="617">
        <f>O61/M61</f>
        <v>1.0756732591633118</v>
      </c>
      <c r="P62" s="617"/>
      <c r="Q62" s="613">
        <f>Q61/O61</f>
        <v>1.1131965654538689</v>
      </c>
      <c r="R62" s="613"/>
      <c r="S62" s="613">
        <f>S61/Q61</f>
        <v>1.0291266854587426</v>
      </c>
      <c r="T62" s="476"/>
      <c r="U62" s="476">
        <f>(L62*M62*O62*Q62*S62)^(1/5)-1</f>
        <v>7.7681527159997543E-2</v>
      </c>
      <c r="V62" s="476"/>
      <c r="W62" s="476"/>
      <c r="X62" s="618"/>
      <c r="Y62" s="613">
        <f>Y61/S61</f>
        <v>1.1127534991160042</v>
      </c>
      <c r="Z62" s="619"/>
      <c r="AA62" s="617">
        <f>AA61/Y61</f>
        <v>0.94472466988187176</v>
      </c>
      <c r="AB62" s="439">
        <f t="shared" si="20"/>
        <v>3.0866048544566187</v>
      </c>
      <c r="AC62" s="461">
        <f t="shared" si="1"/>
        <v>6.8190238620864834E-8</v>
      </c>
      <c r="AD62" s="461">
        <f t="shared" si="21"/>
        <v>7.4083174616296128E-8</v>
      </c>
      <c r="AE62" s="461"/>
      <c r="AF62" s="617">
        <f>AF61/AA61</f>
        <v>1.0299455116698837</v>
      </c>
      <c r="AG62" s="617"/>
      <c r="AH62" s="617">
        <f>AH61/AF61</f>
        <v>1.1401680903787985</v>
      </c>
      <c r="AI62" s="617">
        <f>AI61/AH61</f>
        <v>1.0380705511311932</v>
      </c>
      <c r="AJ62" s="326">
        <f t="shared" si="34"/>
        <v>4.235716810507868</v>
      </c>
      <c r="AK62" s="617">
        <f>(Y62*AA62*AF62*AH62*AI62)^(1/5)-1</f>
        <v>5.0855122278439024E-2</v>
      </c>
      <c r="AL62" s="489">
        <f t="shared" si="15"/>
        <v>4.8226361491879375E-8</v>
      </c>
      <c r="AM62" s="489">
        <f t="shared" si="8"/>
        <v>5.523236522407016E-8</v>
      </c>
      <c r="AN62" s="501" t="e">
        <f t="shared" si="26"/>
        <v>#DIV/0!</v>
      </c>
      <c r="AO62" s="326"/>
      <c r="AP62" s="326"/>
      <c r="AQ62" s="326"/>
      <c r="AR62" s="326"/>
      <c r="AS62" s="326"/>
      <c r="AT62" s="601"/>
      <c r="AU62" s="607"/>
      <c r="AV62" s="597">
        <f t="shared" si="9"/>
        <v>0</v>
      </c>
      <c r="AW62" s="597">
        <f t="shared" si="10"/>
        <v>0</v>
      </c>
      <c r="AX62" s="326"/>
      <c r="AY62" s="339">
        <f t="shared" si="33"/>
        <v>9.3764840676650094E-8</v>
      </c>
      <c r="AZ62" s="609">
        <f t="shared" si="18"/>
        <v>6.0922131267794396E-8</v>
      </c>
    </row>
    <row r="63" spans="1:52" s="335" customFormat="1" ht="19.95" hidden="1" customHeight="1">
      <c r="A63" s="615" t="s">
        <v>137</v>
      </c>
      <c r="B63" s="616" t="s">
        <v>595</v>
      </c>
      <c r="C63" s="617"/>
      <c r="D63" s="617">
        <f>D61/D10</f>
        <v>0.74022811258345056</v>
      </c>
      <c r="E63" s="617">
        <f>E61/E10</f>
        <v>0.7854232059729821</v>
      </c>
      <c r="F63" s="617">
        <f>F61/F10</f>
        <v>0.81322187411375157</v>
      </c>
      <c r="G63" s="617">
        <f>G61/G10</f>
        <v>0.74376799591049281</v>
      </c>
      <c r="H63" s="617">
        <f>H61/H10</f>
        <v>0.71566660132780435</v>
      </c>
      <c r="I63" s="617"/>
      <c r="J63" s="617"/>
      <c r="K63" s="617">
        <f>I61/I10</f>
        <v>0.7573151375078313</v>
      </c>
      <c r="L63" s="617">
        <f>L61/L10</f>
        <v>0.71832269529027382</v>
      </c>
      <c r="M63" s="617">
        <f>M61/M10</f>
        <v>0.69525160941441921</v>
      </c>
      <c r="N63" s="617"/>
      <c r="O63" s="617">
        <f>O61/O10</f>
        <v>0.72316785747374257</v>
      </c>
      <c r="P63" s="617"/>
      <c r="Q63" s="613">
        <f>Q61/Q10</f>
        <v>0.76460496344966355</v>
      </c>
      <c r="R63" s="613"/>
      <c r="S63" s="613">
        <f>S61/S10</f>
        <v>0.65934248934362727</v>
      </c>
      <c r="T63" s="476"/>
      <c r="U63" s="476"/>
      <c r="V63" s="476">
        <f>T61/T10</f>
        <v>0.70993535974497279</v>
      </c>
      <c r="W63" s="476"/>
      <c r="X63" s="618"/>
      <c r="Y63" s="613">
        <f>Y61/Y10</f>
        <v>0.68292414015727043</v>
      </c>
      <c r="Z63" s="619"/>
      <c r="AA63" s="617">
        <f>AA61/AA10</f>
        <v>0.62700058949226356</v>
      </c>
      <c r="AB63" s="439">
        <f t="shared" si="20"/>
        <v>1.9692672189931613</v>
      </c>
      <c r="AC63" s="461">
        <f t="shared" si="1"/>
        <v>4.3505666550579805E-8</v>
      </c>
      <c r="AD63" s="461">
        <f t="shared" si="21"/>
        <v>4.7265385149697543E-8</v>
      </c>
      <c r="AE63" s="461"/>
      <c r="AF63" s="617">
        <f>AF61/AF10</f>
        <v>0.70908338771183355</v>
      </c>
      <c r="AG63" s="617"/>
      <c r="AH63" s="617">
        <f>AH61/AH10</f>
        <v>0.64330437314242239</v>
      </c>
      <c r="AI63" s="617">
        <f>AI61/AI10</f>
        <v>0.64973321373077964</v>
      </c>
      <c r="AJ63" s="326">
        <f t="shared" si="34"/>
        <v>2.6029623165227358</v>
      </c>
      <c r="AK63" s="617"/>
      <c r="AL63" s="489">
        <f t="shared" si="15"/>
        <v>2.9636400930994678E-8</v>
      </c>
      <c r="AM63" s="489">
        <f t="shared" si="8"/>
        <v>3.3941779340398712E-8</v>
      </c>
      <c r="AN63" s="501" t="e">
        <f t="shared" si="26"/>
        <v>#DIV/0!</v>
      </c>
      <c r="AO63" s="326"/>
      <c r="AP63" s="326"/>
      <c r="AQ63" s="326"/>
      <c r="AR63" s="326"/>
      <c r="AS63" s="326"/>
      <c r="AT63" s="601"/>
      <c r="AU63" s="607"/>
      <c r="AV63" s="597">
        <f t="shared" si="9"/>
        <v>0</v>
      </c>
      <c r="AW63" s="597">
        <f t="shared" si="10"/>
        <v>0</v>
      </c>
      <c r="AX63" s="326"/>
      <c r="AY63" s="339">
        <f t="shared" si="33"/>
        <v>5.8687852382872334E-8</v>
      </c>
      <c r="AZ63" s="609">
        <f t="shared" si="18"/>
        <v>3.8131446935681234E-8</v>
      </c>
    </row>
    <row r="64" spans="1:52" s="335" customFormat="1" ht="19.95" hidden="1" customHeight="1">
      <c r="A64" s="600" t="s">
        <v>34</v>
      </c>
      <c r="B64" s="622" t="s">
        <v>596</v>
      </c>
      <c r="C64" s="326">
        <f t="shared" ref="C64:I64" si="69">C17</f>
        <v>1195670.773844</v>
      </c>
      <c r="D64" s="326">
        <f t="shared" si="69"/>
        <v>1428490.927049</v>
      </c>
      <c r="E64" s="326">
        <f t="shared" si="69"/>
        <v>1957330.7359720001</v>
      </c>
      <c r="F64" s="326">
        <f t="shared" si="69"/>
        <v>2188274.0349940001</v>
      </c>
      <c r="G64" s="326">
        <f t="shared" si="69"/>
        <v>2397442.1445920002</v>
      </c>
      <c r="H64" s="326">
        <f t="shared" si="69"/>
        <v>2477605.390437</v>
      </c>
      <c r="I64" s="326">
        <f t="shared" si="69"/>
        <v>10449143.233044</v>
      </c>
      <c r="J64" s="488"/>
      <c r="K64" s="488">
        <f>I64/$I$61</f>
        <v>0.41217772255155677</v>
      </c>
      <c r="L64" s="326">
        <f>L17</f>
        <v>2573258.7171829999</v>
      </c>
      <c r="M64" s="326">
        <f>M17</f>
        <v>2856667.320301</v>
      </c>
      <c r="N64" s="326"/>
      <c r="O64" s="326">
        <f>O17</f>
        <v>3044195.1281700004</v>
      </c>
      <c r="P64" s="326"/>
      <c r="Q64" s="329">
        <f>Q17</f>
        <v>3320884</v>
      </c>
      <c r="R64" s="329"/>
      <c r="S64" s="329">
        <f>S17</f>
        <v>3507850</v>
      </c>
      <c r="T64" s="439">
        <f>L64+M64+O64+Q64+S64</f>
        <v>15302855.165654</v>
      </c>
      <c r="U64" s="323"/>
      <c r="V64" s="323">
        <f>T64/$T$61</f>
        <v>0.4046580098742617</v>
      </c>
      <c r="W64" s="323">
        <f t="shared" si="59"/>
        <v>0.46450812515047102</v>
      </c>
      <c r="X64" s="340"/>
      <c r="Y64" s="329">
        <f>Y17</f>
        <v>3486573</v>
      </c>
      <c r="Z64" s="326"/>
      <c r="AA64" s="326">
        <f>AA17</f>
        <v>3506949.6535290005</v>
      </c>
      <c r="AB64" s="439">
        <f t="shared" si="20"/>
        <v>10501372.653529</v>
      </c>
      <c r="AC64" s="461">
        <f t="shared" si="1"/>
        <v>0.2319996050213014</v>
      </c>
      <c r="AD64" s="461">
        <f t="shared" si="21"/>
        <v>0.25204879169385758</v>
      </c>
      <c r="AE64" s="461"/>
      <c r="AF64" s="326">
        <f>AF17</f>
        <v>4179745</v>
      </c>
      <c r="AG64" s="326"/>
      <c r="AH64" s="326">
        <f>AH17</f>
        <v>4797945.7831797441</v>
      </c>
      <c r="AI64" s="326">
        <f>AI17</f>
        <v>4916000</v>
      </c>
      <c r="AJ64" s="326">
        <f t="shared" si="34"/>
        <v>16707468.436708745</v>
      </c>
      <c r="AK64" s="488"/>
      <c r="AL64" s="489">
        <f t="shared" si="15"/>
        <v>0.19022527909420633</v>
      </c>
      <c r="AM64" s="489">
        <f t="shared" si="8"/>
        <v>0.21785993727830871</v>
      </c>
      <c r="AN64" s="501">
        <f t="shared" si="26"/>
        <v>9.1787660266646531E-2</v>
      </c>
      <c r="AO64" s="326"/>
      <c r="AP64" s="326"/>
      <c r="AQ64" s="326"/>
      <c r="AR64" s="326"/>
      <c r="AS64" s="326"/>
      <c r="AT64" s="601"/>
      <c r="AU64" s="607"/>
      <c r="AV64" s="597">
        <f t="shared" si="9"/>
        <v>0</v>
      </c>
      <c r="AW64" s="597">
        <f t="shared" si="10"/>
        <v>0</v>
      </c>
      <c r="AX64" s="326"/>
      <c r="AY64" s="339">
        <f t="shared" si="33"/>
        <v>0.44404299521271789</v>
      </c>
      <c r="AZ64" s="609">
        <f t="shared" si="18"/>
        <v>0.28850948231420037</v>
      </c>
    </row>
    <row r="65" spans="1:52" s="626" customFormat="1" ht="19.95" hidden="1" customHeight="1">
      <c r="A65" s="615" t="s">
        <v>137</v>
      </c>
      <c r="B65" s="616" t="s">
        <v>494</v>
      </c>
      <c r="C65" s="617"/>
      <c r="D65" s="617">
        <f>D64/C64</f>
        <v>1.1947192808405771</v>
      </c>
      <c r="E65" s="617">
        <f>E64/D64</f>
        <v>1.3702087279024486</v>
      </c>
      <c r="F65" s="617">
        <f>F64/E64</f>
        <v>1.1179888992584153</v>
      </c>
      <c r="G65" s="617">
        <f>G64/F64</f>
        <v>1.0955858846986564</v>
      </c>
      <c r="H65" s="617">
        <f>H64/G64</f>
        <v>1.0334369886780488</v>
      </c>
      <c r="I65" s="617"/>
      <c r="J65" s="617">
        <f>(D65*E65*F65*G65*H65)^(1/5)-1</f>
        <v>0.15686878960784822</v>
      </c>
      <c r="K65" s="617"/>
      <c r="L65" s="617">
        <f>L64/H64</f>
        <v>1.0386071676769837</v>
      </c>
      <c r="M65" s="617">
        <f>M64/L64</f>
        <v>1.1101360703552783</v>
      </c>
      <c r="N65" s="617"/>
      <c r="O65" s="617">
        <f>O64/M64</f>
        <v>1.0656456586793737</v>
      </c>
      <c r="P65" s="617"/>
      <c r="Q65" s="613">
        <f>Q64/O64</f>
        <v>1.090890649311409</v>
      </c>
      <c r="R65" s="613"/>
      <c r="S65" s="613">
        <f>S64/Q64</f>
        <v>1.056300069499567</v>
      </c>
      <c r="T65" s="476"/>
      <c r="U65" s="476">
        <f>(L65*M65*O65*Q65*S65)^(1/5)-1</f>
        <v>7.2017254107991535E-2</v>
      </c>
      <c r="V65" s="476"/>
      <c r="W65" s="476"/>
      <c r="X65" s="618"/>
      <c r="Y65" s="613">
        <f>Y64/S64</f>
        <v>0.9939344612797012</v>
      </c>
      <c r="Z65" s="619"/>
      <c r="AA65" s="617">
        <f>AA64/Y64</f>
        <v>1.0058443214953481</v>
      </c>
      <c r="AB65" s="439">
        <f t="shared" si="20"/>
        <v>3.0560788522746165</v>
      </c>
      <c r="AC65" s="461">
        <f t="shared" si="1"/>
        <v>6.751584864511972E-8</v>
      </c>
      <c r="AD65" s="461">
        <f t="shared" si="21"/>
        <v>7.3350504496011211E-8</v>
      </c>
      <c r="AE65" s="461"/>
      <c r="AF65" s="617">
        <f>AF64/AA64</f>
        <v>1.1918463088838398</v>
      </c>
      <c r="AG65" s="617"/>
      <c r="AH65" s="617">
        <f>AH64/AF64</f>
        <v>1.147903947054125</v>
      </c>
      <c r="AI65" s="617">
        <f>AI64/AH64</f>
        <v>1.0246051585730962</v>
      </c>
      <c r="AJ65" s="326">
        <f t="shared" si="34"/>
        <v>4.1722878884022707</v>
      </c>
      <c r="AK65" s="617">
        <f>(Y65*AA65*AF65*AH65*AI65)^(1/5)-1</f>
        <v>6.9828521663294341E-2</v>
      </c>
      <c r="AL65" s="489">
        <f t="shared" si="15"/>
        <v>4.7504182398386573E-8</v>
      </c>
      <c r="AM65" s="489">
        <f t="shared" si="8"/>
        <v>5.4405272774732078E-8</v>
      </c>
      <c r="AN65" s="501" t="e">
        <f t="shared" si="26"/>
        <v>#DIV/0!</v>
      </c>
      <c r="AO65" s="623"/>
      <c r="AP65" s="623"/>
      <c r="AQ65" s="623"/>
      <c r="AR65" s="623"/>
      <c r="AS65" s="623"/>
      <c r="AT65" s="624"/>
      <c r="AU65" s="625"/>
      <c r="AV65" s="597">
        <f t="shared" si="9"/>
        <v>0</v>
      </c>
      <c r="AW65" s="597">
        <f t="shared" si="10"/>
        <v>0</v>
      </c>
      <c r="AX65" s="623"/>
      <c r="AY65" s="339">
        <f t="shared" si="33"/>
        <v>9.2548564589747653E-8</v>
      </c>
      <c r="AZ65" s="609">
        <f t="shared" si="18"/>
        <v>6.0131876297067371E-8</v>
      </c>
    </row>
    <row r="66" spans="1:52" s="626" customFormat="1" ht="19.95" hidden="1" customHeight="1">
      <c r="A66" s="627" t="s">
        <v>137</v>
      </c>
      <c r="B66" s="628" t="s">
        <v>29</v>
      </c>
      <c r="C66" s="617">
        <f t="shared" ref="C66:I66" si="70">C64/C61</f>
        <v>0.46563249537224882</v>
      </c>
      <c r="D66" s="617">
        <f t="shared" si="70"/>
        <v>0.38595788959548177</v>
      </c>
      <c r="E66" s="617">
        <f t="shared" si="70"/>
        <v>0.41598283194377628</v>
      </c>
      <c r="F66" s="617">
        <f t="shared" si="70"/>
        <v>0.4107440725813154</v>
      </c>
      <c r="G66" s="617">
        <f t="shared" si="70"/>
        <v>0.42254592094173782</v>
      </c>
      <c r="H66" s="617">
        <f t="shared" si="70"/>
        <v>0.41688062063389775</v>
      </c>
      <c r="I66" s="617">
        <f t="shared" si="70"/>
        <v>0.41217772255155677</v>
      </c>
      <c r="J66" s="617"/>
      <c r="K66" s="617"/>
      <c r="L66" s="617">
        <f>L64/L61</f>
        <v>0.41295612390258807</v>
      </c>
      <c r="M66" s="617">
        <f>M64/M61</f>
        <v>0.40748170347734886</v>
      </c>
      <c r="N66" s="617"/>
      <c r="O66" s="617">
        <f>O64/O61</f>
        <v>0.40368309298649807</v>
      </c>
      <c r="P66" s="617"/>
      <c r="Q66" s="613">
        <f>Q64/Q61</f>
        <v>0.39559420599230011</v>
      </c>
      <c r="R66" s="613"/>
      <c r="S66" s="613">
        <f>S64/S61</f>
        <v>0.40603959958246044</v>
      </c>
      <c r="T66" s="476">
        <f>(L66*M66*O66*Q66*S66)^(1/5)</f>
        <v>0.40511113409138183</v>
      </c>
      <c r="U66" s="476"/>
      <c r="V66" s="476"/>
      <c r="W66" s="476"/>
      <c r="X66" s="618"/>
      <c r="Y66" s="613">
        <f t="shared" ref="Y66:AH66" si="71">Y64/Y61</f>
        <v>0.36268297604979777</v>
      </c>
      <c r="Z66" s="619"/>
      <c r="AA66" s="617">
        <f t="shared" si="71"/>
        <v>0.38614701573140597</v>
      </c>
      <c r="AB66" s="439">
        <f t="shared" si="20"/>
        <v>1.1548695913636642</v>
      </c>
      <c r="AC66" s="461">
        <f t="shared" si="1"/>
        <v>2.5513739764053023E-8</v>
      </c>
      <c r="AD66" s="461">
        <f t="shared" si="21"/>
        <v>2.7718613049063792E-8</v>
      </c>
      <c r="AE66" s="461"/>
      <c r="AF66" s="617">
        <f t="shared" si="71"/>
        <v>0.44684683817865661</v>
      </c>
      <c r="AG66" s="617"/>
      <c r="AH66" s="617">
        <f t="shared" si="71"/>
        <v>0.44987862193505385</v>
      </c>
      <c r="AI66" s="617">
        <f>AI64/AI61</f>
        <v>0.44404299521271789</v>
      </c>
      <c r="AJ66" s="326">
        <f t="shared" si="34"/>
        <v>1.6427516089289755</v>
      </c>
      <c r="AK66" s="617"/>
      <c r="AL66" s="489">
        <f t="shared" si="15"/>
        <v>1.8703784147476133E-8</v>
      </c>
      <c r="AM66" s="489">
        <f t="shared" si="8"/>
        <v>2.1420945000786076E-8</v>
      </c>
      <c r="AN66" s="501">
        <f t="shared" si="26"/>
        <v>3.0550640816463375</v>
      </c>
      <c r="AO66" s="623"/>
      <c r="AP66" s="623"/>
      <c r="AQ66" s="623"/>
      <c r="AR66" s="623"/>
      <c r="AS66" s="623"/>
      <c r="AT66" s="624"/>
      <c r="AU66" s="625"/>
      <c r="AV66" s="597">
        <f t="shared" si="9"/>
        <v>0</v>
      </c>
      <c r="AW66" s="597">
        <f t="shared" si="10"/>
        <v>0</v>
      </c>
      <c r="AX66" s="623"/>
      <c r="AY66" s="339">
        <f t="shared" si="33"/>
        <v>4.0108661838381167E-8</v>
      </c>
      <c r="AZ66" s="609">
        <f t="shared" si="18"/>
        <v>2.6059929754692473E-8</v>
      </c>
    </row>
    <row r="67" spans="1:52" s="335" customFormat="1" ht="19.95" hidden="1" customHeight="1">
      <c r="A67" s="600" t="s">
        <v>35</v>
      </c>
      <c r="B67" s="622" t="s">
        <v>597</v>
      </c>
      <c r="C67" s="326">
        <f t="shared" ref="C67:H67" si="72">C18</f>
        <v>10103.887626</v>
      </c>
      <c r="D67" s="326">
        <f t="shared" si="72"/>
        <v>16708.203065999998</v>
      </c>
      <c r="E67" s="326">
        <f t="shared" si="72"/>
        <v>13732.921410000001</v>
      </c>
      <c r="F67" s="326">
        <f t="shared" si="72"/>
        <v>21991.801834000002</v>
      </c>
      <c r="G67" s="326">
        <f t="shared" si="72"/>
        <v>21685.136095999998</v>
      </c>
      <c r="H67" s="326">
        <f t="shared" si="72"/>
        <v>19615.733521999999</v>
      </c>
      <c r="I67" s="326">
        <f>SUM(D67:H67)</f>
        <v>93733.795927999992</v>
      </c>
      <c r="J67" s="488"/>
      <c r="K67" s="488">
        <f>I67/$I$61</f>
        <v>3.6974306572368082E-3</v>
      </c>
      <c r="L67" s="326">
        <f>L18</f>
        <v>17427.107277999999</v>
      </c>
      <c r="M67" s="326">
        <f>M18</f>
        <v>20608.003771</v>
      </c>
      <c r="N67" s="326"/>
      <c r="O67" s="326">
        <f>O18</f>
        <v>18902.695590000003</v>
      </c>
      <c r="P67" s="326"/>
      <c r="Q67" s="329">
        <f>Q18</f>
        <v>21132</v>
      </c>
      <c r="R67" s="329"/>
      <c r="S67" s="329">
        <f>S18</f>
        <v>19238</v>
      </c>
      <c r="T67" s="439">
        <f>L67+M67+O67+Q67+S67</f>
        <v>97307.806639000002</v>
      </c>
      <c r="U67" s="323"/>
      <c r="V67" s="323">
        <f>T67/$T$61</f>
        <v>2.5731396496612127E-3</v>
      </c>
      <c r="W67" s="323">
        <f t="shared" si="59"/>
        <v>3.8129371328835537E-2</v>
      </c>
      <c r="X67" s="340"/>
      <c r="Y67" s="329">
        <f>Y18</f>
        <v>14227</v>
      </c>
      <c r="Z67" s="326"/>
      <c r="AA67" s="326">
        <f>AA18</f>
        <v>17128.735162000001</v>
      </c>
      <c r="AB67" s="439">
        <f t="shared" si="20"/>
        <v>50593.735161999997</v>
      </c>
      <c r="AC67" s="461">
        <f t="shared" si="1"/>
        <v>1.1177326013844342E-3</v>
      </c>
      <c r="AD67" s="461">
        <f t="shared" si="21"/>
        <v>1.2143259967615546E-3</v>
      </c>
      <c r="AE67" s="461"/>
      <c r="AF67" s="326">
        <f>AF18</f>
        <v>31000</v>
      </c>
      <c r="AG67" s="326"/>
      <c r="AH67" s="326">
        <f>AH18</f>
        <v>31218</v>
      </c>
      <c r="AI67" s="326">
        <f>AI18</f>
        <v>35000</v>
      </c>
      <c r="AJ67" s="326">
        <f t="shared" si="34"/>
        <v>97573.735161999997</v>
      </c>
      <c r="AK67" s="488"/>
      <c r="AL67" s="489">
        <f t="shared" si="15"/>
        <v>1.1109397616861224E-3</v>
      </c>
      <c r="AM67" s="489">
        <f t="shared" si="8"/>
        <v>1.2723296711845344E-3</v>
      </c>
      <c r="AN67" s="501">
        <f t="shared" si="26"/>
        <v>2.7328590807369491E-3</v>
      </c>
      <c r="AO67" s="326"/>
      <c r="AP67" s="326"/>
      <c r="AQ67" s="326"/>
      <c r="AR67" s="326"/>
      <c r="AS67" s="326"/>
      <c r="AT67" s="601"/>
      <c r="AU67" s="607"/>
      <c r="AV67" s="597">
        <f t="shared" si="9"/>
        <v>0</v>
      </c>
      <c r="AW67" s="597">
        <f t="shared" si="10"/>
        <v>0</v>
      </c>
      <c r="AX67" s="326"/>
      <c r="AY67" s="339">
        <f t="shared" si="33"/>
        <v>3.1614126998464457E-3</v>
      </c>
      <c r="AZ67" s="609">
        <f t="shared" si="18"/>
        <v>2.0540748334005317E-3</v>
      </c>
    </row>
    <row r="68" spans="1:52" s="626" customFormat="1" ht="19.95" hidden="1" customHeight="1">
      <c r="A68" s="615" t="s">
        <v>137</v>
      </c>
      <c r="B68" s="616" t="s">
        <v>494</v>
      </c>
      <c r="C68" s="617"/>
      <c r="D68" s="617">
        <f>D67/C67</f>
        <v>1.6536410225906839</v>
      </c>
      <c r="E68" s="617">
        <f>E67/D67</f>
        <v>0.82192689158450061</v>
      </c>
      <c r="F68" s="617">
        <f>F67/E67</f>
        <v>1.6013928265828472</v>
      </c>
      <c r="G68" s="617">
        <f>G67/F67</f>
        <v>0.98605545192182076</v>
      </c>
      <c r="H68" s="617">
        <f>H67/G67</f>
        <v>0.90457045946869952</v>
      </c>
      <c r="I68" s="617"/>
      <c r="J68" s="617">
        <f>(D68*E68*F68*G68*H68)^(1/5)-1</f>
        <v>0.14188721148932903</v>
      </c>
      <c r="K68" s="617"/>
      <c r="L68" s="617">
        <f>L67/H67</f>
        <v>0.8884249604254999</v>
      </c>
      <c r="M68" s="617">
        <f>M67/L67</f>
        <v>1.1825257882595104</v>
      </c>
      <c r="N68" s="617"/>
      <c r="O68" s="617">
        <f>O67/M67</f>
        <v>0.91725020045853534</v>
      </c>
      <c r="P68" s="617"/>
      <c r="Q68" s="613">
        <f>Q67/O67</f>
        <v>1.1179357938335184</v>
      </c>
      <c r="R68" s="613"/>
      <c r="S68" s="613">
        <f>S67/Q67</f>
        <v>0.91037289418890777</v>
      </c>
      <c r="T68" s="476"/>
      <c r="U68" s="476">
        <f>(L68*M68*O68*Q68*S68)^(1/5)-1</f>
        <v>-3.8813450735523114E-3</v>
      </c>
      <c r="V68" s="476"/>
      <c r="W68" s="476"/>
      <c r="X68" s="618"/>
      <c r="Y68" s="613">
        <f>Y67/S67</f>
        <v>0.73952593824721902</v>
      </c>
      <c r="Z68" s="619"/>
      <c r="AA68" s="617">
        <f>AA67/Y67</f>
        <v>1.2039597358543614</v>
      </c>
      <c r="AB68" s="439">
        <f t="shared" si="20"/>
        <v>2.8538585682904882</v>
      </c>
      <c r="AC68" s="461">
        <f t="shared" si="1"/>
        <v>6.3048334962911015E-8</v>
      </c>
      <c r="AD68" s="461">
        <f t="shared" si="21"/>
        <v>6.8496912502295997E-8</v>
      </c>
      <c r="AE68" s="461"/>
      <c r="AF68" s="617">
        <f>AF67/AA67</f>
        <v>1.8098242343528854</v>
      </c>
      <c r="AG68" s="617"/>
      <c r="AH68" s="617">
        <f>AH67/AF67</f>
        <v>1.0070322580645161</v>
      </c>
      <c r="AI68" s="617">
        <f>AI67/AH67</f>
        <v>1.1211480556089435</v>
      </c>
      <c r="AJ68" s="326">
        <f t="shared" si="34"/>
        <v>4.0716659877750399</v>
      </c>
      <c r="AK68" s="617">
        <f>(Y68*AA68*AF68*AH68*AI68)^(1/5)-1</f>
        <v>0.12714976491462449</v>
      </c>
      <c r="AL68" s="489">
        <f t="shared" si="15"/>
        <v>4.6358537311441541E-8</v>
      </c>
      <c r="AM68" s="489">
        <f t="shared" si="8"/>
        <v>5.3093196020404177E-8</v>
      </c>
      <c r="AN68" s="501" t="e">
        <f t="shared" si="26"/>
        <v>#DIV/0!</v>
      </c>
      <c r="AO68" s="623"/>
      <c r="AP68" s="623"/>
      <c r="AQ68" s="623"/>
      <c r="AR68" s="623"/>
      <c r="AS68" s="623"/>
      <c r="AT68" s="624"/>
      <c r="AU68" s="625"/>
      <c r="AV68" s="597">
        <f t="shared" si="9"/>
        <v>0</v>
      </c>
      <c r="AW68" s="597">
        <f t="shared" si="10"/>
        <v>0</v>
      </c>
      <c r="AX68" s="623"/>
      <c r="AY68" s="339">
        <f t="shared" si="33"/>
        <v>1.0126890575457895E-7</v>
      </c>
      <c r="AZ68" s="609">
        <f t="shared" si="18"/>
        <v>6.5797771586922014E-8</v>
      </c>
    </row>
    <row r="69" spans="1:52" s="626" customFormat="1" ht="19.95" hidden="1" customHeight="1">
      <c r="A69" s="627" t="s">
        <v>137</v>
      </c>
      <c r="B69" s="628" t="s">
        <v>29</v>
      </c>
      <c r="C69" s="617"/>
      <c r="D69" s="617">
        <f t="shared" ref="D69:I69" si="73">D67/D61</f>
        <v>4.5143183426497998E-3</v>
      </c>
      <c r="E69" s="617">
        <f t="shared" si="73"/>
        <v>2.9185969616709879E-3</v>
      </c>
      <c r="F69" s="617">
        <f t="shared" si="73"/>
        <v>4.1279118173712503E-3</v>
      </c>
      <c r="G69" s="617">
        <f t="shared" si="73"/>
        <v>3.8219757766002754E-3</v>
      </c>
      <c r="H69" s="617">
        <f t="shared" si="73"/>
        <v>3.3005333280285527E-3</v>
      </c>
      <c r="I69" s="617">
        <f t="shared" si="73"/>
        <v>3.6974306572368082E-3</v>
      </c>
      <c r="J69" s="617"/>
      <c r="K69" s="617"/>
      <c r="L69" s="617">
        <f>L67/L61</f>
        <v>2.7966992297749852E-3</v>
      </c>
      <c r="M69" s="617">
        <f>M67/M61</f>
        <v>2.9395738251347717E-3</v>
      </c>
      <c r="N69" s="617"/>
      <c r="O69" s="617">
        <f>O67/O61</f>
        <v>2.506639128005105E-3</v>
      </c>
      <c r="P69" s="617"/>
      <c r="Q69" s="613">
        <f>Q67/Q61</f>
        <v>2.5173106802373361E-3</v>
      </c>
      <c r="R69" s="613"/>
      <c r="S69" s="613">
        <f>S67/S61</f>
        <v>2.2268311976758911E-3</v>
      </c>
      <c r="T69" s="476">
        <f>(L69*M69*O69*Q69*S69)^(1/5)</f>
        <v>2.5854087417844685E-3</v>
      </c>
      <c r="U69" s="476"/>
      <c r="V69" s="476"/>
      <c r="W69" s="476"/>
      <c r="X69" s="618"/>
      <c r="Y69" s="613">
        <f t="shared" ref="Y69:AH69" si="74">Y67/Y61</f>
        <v>1.4799319275002913E-3</v>
      </c>
      <c r="Z69" s="619"/>
      <c r="AA69" s="617">
        <f t="shared" si="74"/>
        <v>1.8860293473001821E-3</v>
      </c>
      <c r="AB69" s="439">
        <f t="shared" si="20"/>
        <v>5.5927924724763645E-3</v>
      </c>
      <c r="AC69" s="461">
        <f t="shared" si="1"/>
        <v>1.2355771834690479E-10</v>
      </c>
      <c r="AD69" s="461">
        <f t="shared" si="21"/>
        <v>1.3423545962902791E-10</v>
      </c>
      <c r="AE69" s="461"/>
      <c r="AF69" s="617">
        <f t="shared" si="74"/>
        <v>3.3141380595080217E-3</v>
      </c>
      <c r="AG69" s="617"/>
      <c r="AH69" s="617">
        <f t="shared" si="74"/>
        <v>2.9271507962436625E-3</v>
      </c>
      <c r="AI69" s="617">
        <f>AI67/AI61</f>
        <v>3.1614126998464457E-3</v>
      </c>
      <c r="AJ69" s="326">
        <f t="shared" si="34"/>
        <v>9.4545247708905811E-3</v>
      </c>
      <c r="AK69" s="617"/>
      <c r="AL69" s="489">
        <f t="shared" si="15"/>
        <v>1.076458483257825E-10</v>
      </c>
      <c r="AM69" s="489">
        <f t="shared" si="8"/>
        <v>1.2328391828990921E-10</v>
      </c>
      <c r="AN69" s="501">
        <f t="shared" si="26"/>
        <v>2.6568781632435408</v>
      </c>
      <c r="AO69" s="623"/>
      <c r="AP69" s="623"/>
      <c r="AQ69" s="623"/>
      <c r="AR69" s="623"/>
      <c r="AS69" s="623"/>
      <c r="AT69" s="624"/>
      <c r="AU69" s="625"/>
      <c r="AV69" s="597">
        <f t="shared" si="9"/>
        <v>0</v>
      </c>
      <c r="AW69" s="597">
        <f t="shared" si="10"/>
        <v>0</v>
      </c>
      <c r="AX69" s="623"/>
      <c r="AY69" s="339">
        <f t="shared" si="33"/>
        <v>2.8555800739286839E-10</v>
      </c>
      <c r="AZ69" s="609">
        <f t="shared" si="18"/>
        <v>1.8553652184992608E-10</v>
      </c>
    </row>
    <row r="70" spans="1:52" s="335" customFormat="1" ht="19.95" hidden="1" customHeight="1">
      <c r="A70" s="600" t="s">
        <v>36</v>
      </c>
      <c r="B70" s="622" t="s">
        <v>598</v>
      </c>
      <c r="C70" s="326">
        <f t="shared" ref="C70:H70" si="75">C19</f>
        <v>34249.1469</v>
      </c>
      <c r="D70" s="326">
        <f t="shared" si="75"/>
        <v>55015.130089999999</v>
      </c>
      <c r="E70" s="326">
        <f t="shared" si="75"/>
        <v>58794.641531000001</v>
      </c>
      <c r="F70" s="326">
        <f t="shared" si="75"/>
        <v>63064.983071000002</v>
      </c>
      <c r="G70" s="326">
        <f t="shared" si="75"/>
        <v>73254.026125999997</v>
      </c>
      <c r="H70" s="326">
        <f t="shared" si="75"/>
        <v>66554.003003000005</v>
      </c>
      <c r="I70" s="326">
        <f>SUM(D70:H70)</f>
        <v>316682.78382099996</v>
      </c>
      <c r="J70" s="488"/>
      <c r="K70" s="488">
        <f>I70/$I$61</f>
        <v>1.2491893899381589E-2</v>
      </c>
      <c r="L70" s="326">
        <f>L19</f>
        <v>69874.356060000006</v>
      </c>
      <c r="M70" s="326">
        <f>M19</f>
        <v>114730.499979</v>
      </c>
      <c r="N70" s="326"/>
      <c r="O70" s="326">
        <f>O19</f>
        <v>174534.90139499999</v>
      </c>
      <c r="P70" s="326"/>
      <c r="Q70" s="329">
        <f>Q19</f>
        <v>143120</v>
      </c>
      <c r="R70" s="329"/>
      <c r="S70" s="329">
        <f>S19</f>
        <v>118967</v>
      </c>
      <c r="T70" s="439">
        <f>L70+M70+O70+Q70+S70</f>
        <v>621226.75743400003</v>
      </c>
      <c r="U70" s="323"/>
      <c r="V70" s="323">
        <f>T70/$T$61</f>
        <v>1.6427286321581004E-2</v>
      </c>
      <c r="W70" s="323">
        <f t="shared" si="59"/>
        <v>0.9616688660446373</v>
      </c>
      <c r="X70" s="340"/>
      <c r="Y70" s="329">
        <f>Y19</f>
        <v>131042</v>
      </c>
      <c r="Z70" s="326"/>
      <c r="AA70" s="326">
        <f>AA19</f>
        <v>115422.874604</v>
      </c>
      <c r="AB70" s="439">
        <f t="shared" si="20"/>
        <v>365431.87460400001</v>
      </c>
      <c r="AC70" s="461">
        <f t="shared" si="1"/>
        <v>8.0732351252987208E-3</v>
      </c>
      <c r="AD70" s="461">
        <f t="shared" si="21"/>
        <v>8.7709164772289943E-3</v>
      </c>
      <c r="AE70" s="461"/>
      <c r="AF70" s="326">
        <f>AF19</f>
        <v>136670</v>
      </c>
      <c r="AG70" s="326"/>
      <c r="AH70" s="326">
        <f>AH19</f>
        <v>151965</v>
      </c>
      <c r="AI70" s="326">
        <f>AI19</f>
        <v>160000</v>
      </c>
      <c r="AJ70" s="326">
        <f t="shared" si="34"/>
        <v>558429.87460400001</v>
      </c>
      <c r="AK70" s="488"/>
      <c r="AL70" s="489">
        <f t="shared" si="15"/>
        <v>6.3580834615070275E-3</v>
      </c>
      <c r="AM70" s="489">
        <f t="shared" si="8"/>
        <v>7.2817433662336053E-3</v>
      </c>
      <c r="AN70" s="501">
        <f t="shared" si="26"/>
        <v>-0.10108528339858514</v>
      </c>
      <c r="AO70" s="326"/>
      <c r="AP70" s="326"/>
      <c r="AQ70" s="326"/>
      <c r="AR70" s="326"/>
      <c r="AS70" s="326"/>
      <c r="AT70" s="601"/>
      <c r="AU70" s="607"/>
      <c r="AV70" s="597">
        <f t="shared" si="9"/>
        <v>0</v>
      </c>
      <c r="AW70" s="597">
        <f t="shared" si="10"/>
        <v>0</v>
      </c>
      <c r="AX70" s="326"/>
      <c r="AY70" s="339">
        <f t="shared" si="33"/>
        <v>1.445217234215518E-2</v>
      </c>
      <c r="AZ70" s="609">
        <f t="shared" si="18"/>
        <v>9.3900563812595733E-3</v>
      </c>
    </row>
    <row r="71" spans="1:52" s="626" customFormat="1" ht="19.95" hidden="1" customHeight="1">
      <c r="A71" s="615" t="s">
        <v>137</v>
      </c>
      <c r="B71" s="616" t="s">
        <v>494</v>
      </c>
      <c r="C71" s="617"/>
      <c r="D71" s="617">
        <f>D70/C70</f>
        <v>1.6063211808058202</v>
      </c>
      <c r="E71" s="617">
        <f>E70/D70</f>
        <v>1.0686994911184804</v>
      </c>
      <c r="F71" s="617">
        <f>F70/E70</f>
        <v>1.072631475059652</v>
      </c>
      <c r="G71" s="617">
        <f>G70/F70</f>
        <v>1.1615641923431412</v>
      </c>
      <c r="H71" s="617">
        <f>H70/G70</f>
        <v>0.90853713471699604</v>
      </c>
      <c r="I71" s="617"/>
      <c r="J71" s="617">
        <f>(D71*E71*F71*G71*H71)^(1/5)-1</f>
        <v>0.14210198076841918</v>
      </c>
      <c r="K71" s="617"/>
      <c r="L71" s="617">
        <f>L70/H70</f>
        <v>1.0498896070436263</v>
      </c>
      <c r="M71" s="617">
        <f>M70/L70</f>
        <v>1.6419543083943806</v>
      </c>
      <c r="N71" s="617"/>
      <c r="O71" s="617">
        <f>O70/M70</f>
        <v>1.5212598343679009</v>
      </c>
      <c r="P71" s="617"/>
      <c r="Q71" s="613">
        <f>Q70/O70</f>
        <v>0.82000791163308295</v>
      </c>
      <c r="R71" s="613"/>
      <c r="S71" s="613">
        <f>S70/Q70</f>
        <v>0.83123951928451645</v>
      </c>
      <c r="T71" s="476"/>
      <c r="U71" s="476">
        <f>(L71*M71*O71*Q71*S71)^(1/5)-1</f>
        <v>0.12318285536840889</v>
      </c>
      <c r="V71" s="476"/>
      <c r="W71" s="476"/>
      <c r="X71" s="618"/>
      <c r="Y71" s="613">
        <f>Y70/S70</f>
        <v>1.1014987349433036</v>
      </c>
      <c r="Z71" s="619"/>
      <c r="AA71" s="617">
        <f>AA70/Y70</f>
        <v>0.88080824929411938</v>
      </c>
      <c r="AB71" s="439">
        <f t="shared" si="20"/>
        <v>2.8135465035219394</v>
      </c>
      <c r="AC71" s="461">
        <f t="shared" si="1"/>
        <v>6.2157748235588892E-8</v>
      </c>
      <c r="AD71" s="461">
        <f t="shared" si="21"/>
        <v>6.7529362111425647E-8</v>
      </c>
      <c r="AE71" s="461"/>
      <c r="AF71" s="617">
        <f>AF70/AA70</f>
        <v>1.1840807159663624</v>
      </c>
      <c r="AG71" s="617"/>
      <c r="AH71" s="617">
        <f>AH70/AF70</f>
        <v>1.1119119045876931</v>
      </c>
      <c r="AI71" s="617">
        <f>AI70/AH70</f>
        <v>1.0528740170433981</v>
      </c>
      <c r="AJ71" s="326">
        <f t="shared" si="34"/>
        <v>4.1470929058685142</v>
      </c>
      <c r="AK71" s="617">
        <f>(Y71*AA71*AF71*AH71*AI71)^(1/5)-1</f>
        <v>6.1056950352238015E-2</v>
      </c>
      <c r="AL71" s="489">
        <f t="shared" si="15"/>
        <v>4.7217321309741498E-8</v>
      </c>
      <c r="AM71" s="489">
        <f t="shared" si="8"/>
        <v>5.4076738422844741E-8</v>
      </c>
      <c r="AN71" s="501" t="e">
        <f t="shared" si="26"/>
        <v>#DIV/0!</v>
      </c>
      <c r="AO71" s="623"/>
      <c r="AP71" s="623"/>
      <c r="AQ71" s="623"/>
      <c r="AR71" s="623"/>
      <c r="AS71" s="623"/>
      <c r="AT71" s="624"/>
      <c r="AU71" s="625"/>
      <c r="AV71" s="597">
        <f t="shared" si="9"/>
        <v>0</v>
      </c>
      <c r="AW71" s="597">
        <f t="shared" si="10"/>
        <v>0</v>
      </c>
      <c r="AX71" s="623"/>
      <c r="AY71" s="339">
        <f t="shared" si="33"/>
        <v>9.5101979680552622E-8</v>
      </c>
      <c r="AZ71" s="609">
        <f t="shared" si="18"/>
        <v>6.1790914890004761E-8</v>
      </c>
    </row>
    <row r="72" spans="1:52" s="626" customFormat="1" ht="19.95" hidden="1" customHeight="1">
      <c r="A72" s="627" t="s">
        <v>137</v>
      </c>
      <c r="B72" s="628" t="s">
        <v>29</v>
      </c>
      <c r="C72" s="617"/>
      <c r="D72" s="617">
        <f t="shared" ref="D72:I72" si="76">D70/D61</f>
        <v>1.4864304073125511E-2</v>
      </c>
      <c r="E72" s="617">
        <f t="shared" si="76"/>
        <v>1.2495364752466858E-2</v>
      </c>
      <c r="F72" s="617">
        <f t="shared" si="76"/>
        <v>1.1837442463610494E-2</v>
      </c>
      <c r="G72" s="617">
        <f t="shared" si="76"/>
        <v>1.291092258552435E-2</v>
      </c>
      <c r="H72" s="617">
        <f t="shared" si="76"/>
        <v>1.1198342635453849E-2</v>
      </c>
      <c r="I72" s="617">
        <f t="shared" si="76"/>
        <v>1.2491893899381589E-2</v>
      </c>
      <c r="J72" s="617"/>
      <c r="K72" s="617"/>
      <c r="L72" s="617">
        <f>L70/L61</f>
        <v>1.1213424847663642E-2</v>
      </c>
      <c r="M72" s="617">
        <f>M70/M61</f>
        <v>1.6365426677449044E-2</v>
      </c>
      <c r="N72" s="617"/>
      <c r="O72" s="617">
        <f>O70/O61</f>
        <v>2.3144636221654337E-2</v>
      </c>
      <c r="P72" s="617"/>
      <c r="Q72" s="613">
        <f>Q70/Q61</f>
        <v>1.7048907086672702E-2</v>
      </c>
      <c r="R72" s="613"/>
      <c r="S72" s="613">
        <f>S70/S61</f>
        <v>1.3770632451081595E-2</v>
      </c>
      <c r="T72" s="476">
        <f>(L72*M72*O72*Q72*S72)^(1/5)</f>
        <v>1.5839930796324397E-2</v>
      </c>
      <c r="U72" s="476"/>
      <c r="V72" s="476"/>
      <c r="W72" s="476"/>
      <c r="X72" s="618"/>
      <c r="Y72" s="613">
        <f t="shared" ref="Y72:AH72" si="77">Y70/Y61</f>
        <v>1.3631351630244828E-2</v>
      </c>
      <c r="Z72" s="619"/>
      <c r="AA72" s="617">
        <f t="shared" si="77"/>
        <v>1.270910705279856E-2</v>
      </c>
      <c r="AB72" s="439">
        <f t="shared" si="20"/>
        <v>4.0111091134124983E-2</v>
      </c>
      <c r="AC72" s="461">
        <f t="shared" si="1"/>
        <v>8.8614675501142316E-10</v>
      </c>
      <c r="AD72" s="461">
        <f t="shared" si="21"/>
        <v>9.627267203474532E-10</v>
      </c>
      <c r="AE72" s="461"/>
      <c r="AF72" s="617">
        <f t="shared" si="77"/>
        <v>1.4611072535256816E-2</v>
      </c>
      <c r="AG72" s="617"/>
      <c r="AH72" s="617">
        <f t="shared" si="77"/>
        <v>1.4248974013427132E-2</v>
      </c>
      <c r="AI72" s="617">
        <f>AI70/AI61</f>
        <v>1.445217234215518E-2</v>
      </c>
      <c r="AJ72" s="326">
        <f t="shared" si="34"/>
        <v>5.50416050386257E-2</v>
      </c>
      <c r="AK72" s="617"/>
      <c r="AL72" s="489">
        <f t="shared" si="15"/>
        <v>6.2668409160425887E-10</v>
      </c>
      <c r="AM72" s="489">
        <f t="shared" si="8"/>
        <v>7.1772457131001779E-10</v>
      </c>
      <c r="AN72" s="501">
        <f t="shared" si="26"/>
        <v>2.4748639843425275</v>
      </c>
      <c r="AO72" s="623"/>
      <c r="AP72" s="623"/>
      <c r="AQ72" s="623"/>
      <c r="AR72" s="623"/>
      <c r="AS72" s="623"/>
      <c r="AT72" s="624"/>
      <c r="AU72" s="625"/>
      <c r="AV72" s="597">
        <f t="shared" si="9"/>
        <v>0</v>
      </c>
      <c r="AW72" s="597">
        <f t="shared" si="10"/>
        <v>0</v>
      </c>
      <c r="AX72" s="623"/>
      <c r="AY72" s="339">
        <f t="shared" si="33"/>
        <v>1.3054080337959697E-9</v>
      </c>
      <c r="AZ72" s="609">
        <f t="shared" si="18"/>
        <v>8.4816695702823348E-10</v>
      </c>
    </row>
    <row r="73" spans="1:52" s="335" customFormat="1" ht="19.95" hidden="1" customHeight="1">
      <c r="A73" s="629" t="s">
        <v>37</v>
      </c>
      <c r="B73" s="276" t="s">
        <v>301</v>
      </c>
      <c r="C73" s="326">
        <f t="shared" ref="C73:H73" si="78">C20</f>
        <v>1327818.397076</v>
      </c>
      <c r="D73" s="326">
        <f t="shared" si="78"/>
        <v>2200943.2120419997</v>
      </c>
      <c r="E73" s="326">
        <f t="shared" si="78"/>
        <v>2675457.847972</v>
      </c>
      <c r="F73" s="326">
        <f t="shared" si="78"/>
        <v>3054254.3628690001</v>
      </c>
      <c r="G73" s="326">
        <f t="shared" si="78"/>
        <v>3181421.2925549997</v>
      </c>
      <c r="H73" s="326">
        <f t="shared" si="78"/>
        <v>3379426.0385650001</v>
      </c>
      <c r="I73" s="326">
        <f>SUM(D73:H73)</f>
        <v>14491502.754003001</v>
      </c>
      <c r="J73" s="488"/>
      <c r="K73" s="488">
        <f>I73/$I$61</f>
        <v>0.5716329528918247</v>
      </c>
      <c r="L73" s="326">
        <f>L20</f>
        <v>3570752.4656379996</v>
      </c>
      <c r="M73" s="326">
        <f>M20</f>
        <v>4018535.4982289998</v>
      </c>
      <c r="N73" s="326"/>
      <c r="O73" s="326">
        <f>O20</f>
        <v>4303419.107481</v>
      </c>
      <c r="P73" s="326"/>
      <c r="Q73" s="329">
        <f>Q20</f>
        <v>4909537</v>
      </c>
      <c r="R73" s="329"/>
      <c r="S73" s="329">
        <f>S20</f>
        <v>4993127</v>
      </c>
      <c r="T73" s="439">
        <f>SUM(L73:S73)</f>
        <v>21795371.071348</v>
      </c>
      <c r="U73" s="323"/>
      <c r="V73" s="323">
        <f>T73/$T$61</f>
        <v>0.57634156415449611</v>
      </c>
      <c r="W73" s="323">
        <f t="shared" si="59"/>
        <v>0.50401041502251687</v>
      </c>
      <c r="X73" s="340"/>
      <c r="Y73" s="329">
        <f>Y20</f>
        <v>5981438</v>
      </c>
      <c r="Z73" s="326"/>
      <c r="AA73" s="326">
        <f>AA20</f>
        <v>5442401.5111869993</v>
      </c>
      <c r="AB73" s="439">
        <f t="shared" si="20"/>
        <v>16416966.511186998</v>
      </c>
      <c r="AC73" s="461">
        <f t="shared" si="1"/>
        <v>0.36268875240451426</v>
      </c>
      <c r="AD73" s="461">
        <f t="shared" si="21"/>
        <v>0.39403197171873228</v>
      </c>
      <c r="AE73" s="461"/>
      <c r="AF73" s="326">
        <f>AF20</f>
        <v>5006450</v>
      </c>
      <c r="AG73" s="326"/>
      <c r="AH73" s="326">
        <f>AH20</f>
        <v>5683849.6115313377</v>
      </c>
      <c r="AI73" s="326">
        <f>AI20</f>
        <v>5960000</v>
      </c>
      <c r="AJ73" s="326">
        <f t="shared" si="34"/>
        <v>23067689.122718334</v>
      </c>
      <c r="AK73" s="488"/>
      <c r="AL73" s="489">
        <f t="shared" si="15"/>
        <v>0.26264048428703179</v>
      </c>
      <c r="AM73" s="489">
        <f t="shared" si="8"/>
        <v>0.30079513987823125</v>
      </c>
      <c r="AN73" s="501">
        <f t="shared" si="26"/>
        <v>5.8375608619158248E-2</v>
      </c>
      <c r="AO73" s="326"/>
      <c r="AP73" s="326"/>
      <c r="AQ73" s="326"/>
      <c r="AR73" s="326"/>
      <c r="AS73" s="326"/>
      <c r="AT73" s="601"/>
      <c r="AU73" s="607"/>
      <c r="AV73" s="597">
        <f t="shared" si="9"/>
        <v>0</v>
      </c>
      <c r="AW73" s="597">
        <f t="shared" si="10"/>
        <v>0</v>
      </c>
      <c r="AX73" s="326"/>
      <c r="AY73" s="339">
        <f t="shared" si="33"/>
        <v>0.53834341974528044</v>
      </c>
      <c r="AZ73" s="609">
        <f t="shared" si="18"/>
        <v>0.34977960020191912</v>
      </c>
    </row>
    <row r="74" spans="1:52" s="626" customFormat="1" ht="19.95" hidden="1" customHeight="1">
      <c r="A74" s="615" t="s">
        <v>137</v>
      </c>
      <c r="B74" s="616" t="s">
        <v>494</v>
      </c>
      <c r="C74" s="617"/>
      <c r="D74" s="617">
        <f>D73/C73</f>
        <v>1.6575634265112722</v>
      </c>
      <c r="E74" s="617">
        <f>E73/D73</f>
        <v>1.2155960377958837</v>
      </c>
      <c r="F74" s="617">
        <f>F73/E73</f>
        <v>1.1415819408943886</v>
      </c>
      <c r="G74" s="617">
        <f>G73/F73</f>
        <v>1.0416359983739356</v>
      </c>
      <c r="H74" s="617">
        <f>H73/G73</f>
        <v>1.0622378263681584</v>
      </c>
      <c r="I74" s="617"/>
      <c r="J74" s="617">
        <f>(D74*E74*F74*G74*H74)^(1/5)-1</f>
        <v>0.20542682795877787</v>
      </c>
      <c r="K74" s="617"/>
      <c r="L74" s="617">
        <f>L73/H73</f>
        <v>1.0566150656619318</v>
      </c>
      <c r="M74" s="617">
        <f>M73/L73</f>
        <v>1.1254029891178674</v>
      </c>
      <c r="N74" s="617"/>
      <c r="O74" s="617">
        <f>O73/M73</f>
        <v>1.0708923958435979</v>
      </c>
      <c r="P74" s="617"/>
      <c r="Q74" s="613">
        <f>Q73/O73</f>
        <v>1.1408456572276062</v>
      </c>
      <c r="R74" s="613"/>
      <c r="S74" s="613">
        <f>S73/Q73</f>
        <v>1.0170260454295386</v>
      </c>
      <c r="T74" s="476"/>
      <c r="U74" s="476">
        <f>(L74*M74*O74*Q74*S74)^(1/5)-1</f>
        <v>8.1199741745489495E-2</v>
      </c>
      <c r="V74" s="476"/>
      <c r="W74" s="476"/>
      <c r="X74" s="618"/>
      <c r="Y74" s="613">
        <f>Y73/S73</f>
        <v>1.1979342804619229</v>
      </c>
      <c r="Z74" s="619"/>
      <c r="AA74" s="617">
        <f>AA73/Y73</f>
        <v>0.90988178949393095</v>
      </c>
      <c r="AB74" s="439">
        <f t="shared" si="20"/>
        <v>3.124842115385392</v>
      </c>
      <c r="AC74" s="461">
        <f t="shared" si="1"/>
        <v>6.903498813364313E-8</v>
      </c>
      <c r="AD74" s="461">
        <f t="shared" si="21"/>
        <v>7.5000926583848793E-8</v>
      </c>
      <c r="AE74" s="461"/>
      <c r="AF74" s="617">
        <f>AF73/AA73</f>
        <v>0.91989721627651144</v>
      </c>
      <c r="AG74" s="617"/>
      <c r="AH74" s="617">
        <f>AH73/AF73</f>
        <v>1.1353053783681726</v>
      </c>
      <c r="AI74" s="617">
        <f>AI73/AH73</f>
        <v>1.0485850976613476</v>
      </c>
      <c r="AJ74" s="326">
        <f t="shared" si="34"/>
        <v>4.2917065459853738</v>
      </c>
      <c r="AK74" s="617">
        <f>(Y74*AA74*AF74*AH74*AI74)^(1/5)-1</f>
        <v>3.603572087761675E-2</v>
      </c>
      <c r="AL74" s="489">
        <f t="shared" si="15"/>
        <v>4.8863840658634419E-8</v>
      </c>
      <c r="AM74" s="489">
        <f t="shared" si="8"/>
        <v>5.596245310695719E-8</v>
      </c>
      <c r="AN74" s="501" t="e">
        <f t="shared" si="26"/>
        <v>#DIV/0!</v>
      </c>
      <c r="AO74" s="623"/>
      <c r="AP74" s="623"/>
      <c r="AQ74" s="623"/>
      <c r="AR74" s="623"/>
      <c r="AS74" s="623"/>
      <c r="AT74" s="624"/>
      <c r="AU74" s="625"/>
      <c r="AV74" s="597">
        <f t="shared" si="9"/>
        <v>0</v>
      </c>
      <c r="AW74" s="597">
        <f t="shared" si="10"/>
        <v>0</v>
      </c>
      <c r="AX74" s="623"/>
      <c r="AY74" s="339">
        <f t="shared" si="33"/>
        <v>9.4714578417608845E-8</v>
      </c>
      <c r="AZ74" s="609">
        <f t="shared" si="18"/>
        <v>6.1539207422428939E-8</v>
      </c>
    </row>
    <row r="75" spans="1:52" s="626" customFormat="1" ht="19.95" hidden="1" customHeight="1">
      <c r="A75" s="627" t="s">
        <v>137</v>
      </c>
      <c r="B75" s="628" t="s">
        <v>29</v>
      </c>
      <c r="C75" s="617"/>
      <c r="D75" s="617">
        <f t="shared" ref="D75:I75" si="79">D73/D61</f>
        <v>0.59466348798874291</v>
      </c>
      <c r="E75" s="617">
        <f t="shared" si="79"/>
        <v>0.56860320634208583</v>
      </c>
      <c r="F75" s="617">
        <f t="shared" si="79"/>
        <v>0.57329057313770282</v>
      </c>
      <c r="G75" s="617">
        <f t="shared" si="79"/>
        <v>0.56072118069613741</v>
      </c>
      <c r="H75" s="617">
        <f t="shared" si="79"/>
        <v>0.56862050340261994</v>
      </c>
      <c r="I75" s="617">
        <f t="shared" si="79"/>
        <v>0.5716329528918247</v>
      </c>
      <c r="J75" s="617"/>
      <c r="K75" s="617"/>
      <c r="L75" s="617">
        <f>L73/L61</f>
        <v>0.5730337520199732</v>
      </c>
      <c r="M75" s="617">
        <f>M73/M61</f>
        <v>0.57321329602006732</v>
      </c>
      <c r="N75" s="617"/>
      <c r="O75" s="617">
        <f>O73/O61</f>
        <v>0.57066563166384243</v>
      </c>
      <c r="P75" s="617"/>
      <c r="Q75" s="613">
        <f>Q73/Q61</f>
        <v>0.58483957624078986</v>
      </c>
      <c r="R75" s="613"/>
      <c r="S75" s="613">
        <f>S73/S61</f>
        <v>0.57796293676878208</v>
      </c>
      <c r="T75" s="476">
        <f>(L75*M75*O75*Q75*S75)^(1/5)</f>
        <v>0.57592109180131679</v>
      </c>
      <c r="U75" s="476"/>
      <c r="V75" s="476"/>
      <c r="W75" s="476"/>
      <c r="X75" s="618"/>
      <c r="Y75" s="613">
        <f t="shared" ref="Y75:AH75" si="80">Y73/Y61</f>
        <v>0.62220574039245713</v>
      </c>
      <c r="Z75" s="619"/>
      <c r="AA75" s="617">
        <f t="shared" si="80"/>
        <v>0.59925784786849523</v>
      </c>
      <c r="AB75" s="439">
        <f t="shared" si="20"/>
        <v>1.7994265250297343</v>
      </c>
      <c r="AC75" s="461">
        <f t="shared" si="1"/>
        <v>3.9753492885662067E-8</v>
      </c>
      <c r="AD75" s="461">
        <f t="shared" si="21"/>
        <v>4.3188952181713854E-8</v>
      </c>
      <c r="AE75" s="461"/>
      <c r="AF75" s="617">
        <f t="shared" si="80"/>
        <v>0.53522795122657851</v>
      </c>
      <c r="AG75" s="617"/>
      <c r="AH75" s="617">
        <f t="shared" si="80"/>
        <v>0.53294525325527542</v>
      </c>
      <c r="AI75" s="617">
        <f>AI73/AI61</f>
        <v>0.53834341974528044</v>
      </c>
      <c r="AJ75" s="326">
        <f t="shared" si="34"/>
        <v>2.2927522612615081</v>
      </c>
      <c r="AK75" s="617"/>
      <c r="AL75" s="489">
        <f t="shared" si="15"/>
        <v>2.6104459837498844E-8</v>
      </c>
      <c r="AM75" s="489">
        <f t="shared" si="8"/>
        <v>2.9896741431853362E-8</v>
      </c>
      <c r="AN75" s="501">
        <f t="shared" si="26"/>
        <v>2.9810180490011806</v>
      </c>
      <c r="AO75" s="623"/>
      <c r="AP75" s="623"/>
      <c r="AQ75" s="623"/>
      <c r="AR75" s="623"/>
      <c r="AS75" s="623"/>
      <c r="AT75" s="624"/>
      <c r="AU75" s="625"/>
      <c r="AV75" s="597">
        <f t="shared" si="9"/>
        <v>0</v>
      </c>
      <c r="AW75" s="597">
        <f t="shared" si="10"/>
        <v>0</v>
      </c>
      <c r="AX75" s="623"/>
      <c r="AY75" s="339">
        <f t="shared" si="33"/>
        <v>4.8626449258899871E-8</v>
      </c>
      <c r="AZ75" s="609">
        <f t="shared" si="18"/>
        <v>3.1594219149301699E-8</v>
      </c>
    </row>
    <row r="76" spans="1:52" s="626" customFormat="1" ht="19.95" hidden="1" customHeight="1">
      <c r="A76" s="627"/>
      <c r="B76" s="628" t="s">
        <v>513</v>
      </c>
      <c r="C76" s="630"/>
      <c r="D76" s="630"/>
      <c r="E76" s="630"/>
      <c r="F76" s="630"/>
      <c r="G76" s="630"/>
      <c r="H76" s="630"/>
      <c r="I76" s="630"/>
      <c r="J76" s="617"/>
      <c r="K76" s="617"/>
      <c r="L76" s="630"/>
      <c r="M76" s="630"/>
      <c r="N76" s="630"/>
      <c r="O76" s="630"/>
      <c r="P76" s="630"/>
      <c r="Q76" s="631"/>
      <c r="R76" s="631"/>
      <c r="S76" s="631"/>
      <c r="T76" s="473"/>
      <c r="U76" s="476"/>
      <c r="V76" s="476"/>
      <c r="W76" s="476"/>
      <c r="X76" s="618"/>
      <c r="Y76" s="631"/>
      <c r="Z76" s="619"/>
      <c r="AA76" s="630"/>
      <c r="AB76" s="439">
        <f t="shared" si="20"/>
        <v>0</v>
      </c>
      <c r="AC76" s="461">
        <f t="shared" si="1"/>
        <v>0</v>
      </c>
      <c r="AD76" s="461">
        <f t="shared" si="21"/>
        <v>0</v>
      </c>
      <c r="AE76" s="461"/>
      <c r="AF76" s="630"/>
      <c r="AG76" s="630"/>
      <c r="AH76" s="630"/>
      <c r="AI76" s="630"/>
      <c r="AJ76" s="326">
        <f t="shared" si="34"/>
        <v>0</v>
      </c>
      <c r="AK76" s="617"/>
      <c r="AL76" s="489">
        <f t="shared" si="15"/>
        <v>0</v>
      </c>
      <c r="AM76" s="489">
        <f t="shared" si="8"/>
        <v>0</v>
      </c>
      <c r="AN76" s="501" t="e">
        <f t="shared" si="26"/>
        <v>#DIV/0!</v>
      </c>
      <c r="AO76" s="623"/>
      <c r="AP76" s="623"/>
      <c r="AQ76" s="623"/>
      <c r="AR76" s="623"/>
      <c r="AS76" s="623"/>
      <c r="AT76" s="624"/>
      <c r="AU76" s="625"/>
      <c r="AV76" s="597">
        <f t="shared" si="9"/>
        <v>0</v>
      </c>
      <c r="AW76" s="597">
        <f t="shared" si="10"/>
        <v>0</v>
      </c>
      <c r="AX76" s="623"/>
      <c r="AY76" s="339">
        <f t="shared" si="33"/>
        <v>0</v>
      </c>
      <c r="AZ76" s="609">
        <f t="shared" si="18"/>
        <v>0</v>
      </c>
    </row>
    <row r="77" spans="1:52" s="626" customFormat="1" ht="19.95" hidden="1" customHeight="1">
      <c r="A77" s="627" t="s">
        <v>514</v>
      </c>
      <c r="B77" s="628" t="s">
        <v>63</v>
      </c>
      <c r="C77" s="326">
        <f t="shared" ref="C77:H77" si="81">C22</f>
        <v>154262.51921500001</v>
      </c>
      <c r="D77" s="326">
        <f t="shared" si="81"/>
        <v>490696.08976399997</v>
      </c>
      <c r="E77" s="326">
        <f t="shared" si="81"/>
        <v>548010.31741000002</v>
      </c>
      <c r="F77" s="326">
        <f t="shared" si="81"/>
        <v>764485.16498500004</v>
      </c>
      <c r="G77" s="326">
        <f t="shared" si="81"/>
        <v>783114.82380200003</v>
      </c>
      <c r="H77" s="326">
        <f t="shared" si="81"/>
        <v>796081.78902999999</v>
      </c>
      <c r="I77" s="326">
        <f>SUM(D77:H77)</f>
        <v>3382388.1849910002</v>
      </c>
      <c r="J77" s="488"/>
      <c r="K77" s="488">
        <f>I77/$I$61</f>
        <v>0.13342194931983412</v>
      </c>
      <c r="L77" s="326">
        <f>L22</f>
        <v>765575.05895500001</v>
      </c>
      <c r="M77" s="326">
        <f>M22</f>
        <v>975931.92331099999</v>
      </c>
      <c r="N77" s="326"/>
      <c r="O77" s="326">
        <f>O22</f>
        <v>1107514.761126</v>
      </c>
      <c r="P77" s="326"/>
      <c r="Q77" s="329">
        <f>Q22</f>
        <v>1591367</v>
      </c>
      <c r="R77" s="329"/>
      <c r="S77" s="329">
        <f>S22</f>
        <v>1377909</v>
      </c>
      <c r="T77" s="439">
        <f>SUM(L77:S77)</f>
        <v>5818297.743392</v>
      </c>
      <c r="U77" s="323"/>
      <c r="V77" s="323"/>
      <c r="W77" s="323"/>
      <c r="X77" s="340"/>
      <c r="Y77" s="329">
        <f>Y22</f>
        <v>1359809</v>
      </c>
      <c r="Z77" s="326"/>
      <c r="AA77" s="326">
        <f>AA22</f>
        <v>1631275.6465659998</v>
      </c>
      <c r="AB77" s="439">
        <f t="shared" si="20"/>
        <v>4368993.6465659998</v>
      </c>
      <c r="AC77" s="461">
        <f t="shared" si="1"/>
        <v>9.652117240152068E-2</v>
      </c>
      <c r="AD77" s="461">
        <f t="shared" si="21"/>
        <v>0.10486244092719073</v>
      </c>
      <c r="AE77" s="461"/>
      <c r="AF77" s="326">
        <f>AF22</f>
        <v>1793642</v>
      </c>
      <c r="AG77" s="326"/>
      <c r="AH77" s="326">
        <f>AH22</f>
        <v>2068978.6115313373</v>
      </c>
      <c r="AI77" s="326">
        <f>AI22</f>
        <v>2136000</v>
      </c>
      <c r="AJ77" s="326">
        <f t="shared" si="34"/>
        <v>7196063.2580973376</v>
      </c>
      <c r="AK77" s="488"/>
      <c r="AL77" s="489">
        <f t="shared" si="15"/>
        <v>8.1931810725047724E-2</v>
      </c>
      <c r="AM77" s="489">
        <f t="shared" si="8"/>
        <v>9.383431703005872E-2</v>
      </c>
      <c r="AN77" s="501">
        <f t="shared" si="26"/>
        <v>0.23679872970923554</v>
      </c>
      <c r="AO77" s="623"/>
      <c r="AP77" s="623"/>
      <c r="AQ77" s="623"/>
      <c r="AR77" s="623"/>
      <c r="AS77" s="623"/>
      <c r="AT77" s="624"/>
      <c r="AU77" s="625"/>
      <c r="AV77" s="597">
        <f t="shared" si="9"/>
        <v>0</v>
      </c>
      <c r="AW77" s="597">
        <f t="shared" si="10"/>
        <v>0</v>
      </c>
      <c r="AX77" s="623"/>
      <c r="AY77" s="339">
        <f t="shared" si="33"/>
        <v>0.19293650076777166</v>
      </c>
      <c r="AZ77" s="609">
        <f t="shared" si="18"/>
        <v>0.12535725268981529</v>
      </c>
    </row>
    <row r="78" spans="1:52" s="626" customFormat="1" ht="19.95" hidden="1" customHeight="1">
      <c r="A78" s="627"/>
      <c r="B78" s="616" t="s">
        <v>494</v>
      </c>
      <c r="C78" s="617"/>
      <c r="D78" s="617">
        <f>D77/C77</f>
        <v>3.1809158327053058</v>
      </c>
      <c r="E78" s="617">
        <f>E77/D77</f>
        <v>1.1168018837760971</v>
      </c>
      <c r="F78" s="617">
        <f>F77/E77</f>
        <v>1.395019656925623</v>
      </c>
      <c r="G78" s="617">
        <f>G77/F77</f>
        <v>1.0243688951339762</v>
      </c>
      <c r="H78" s="617">
        <f>H77/G77</f>
        <v>1.0165581915114896</v>
      </c>
      <c r="I78" s="617"/>
      <c r="J78" s="617">
        <f>(D78*E78*F78*G78*H78)^(1/5)-1</f>
        <v>0.38847944214347718</v>
      </c>
      <c r="K78" s="617"/>
      <c r="L78" s="617">
        <f>L77/H77</f>
        <v>0.96167889971183562</v>
      </c>
      <c r="M78" s="617">
        <f>M77/L77</f>
        <v>1.274769745821049</v>
      </c>
      <c r="N78" s="617"/>
      <c r="O78" s="617">
        <f>O77/M77</f>
        <v>1.1348278857080367</v>
      </c>
      <c r="P78" s="617"/>
      <c r="Q78" s="613">
        <f>Q77/O77</f>
        <v>1.4368810745078213</v>
      </c>
      <c r="R78" s="613"/>
      <c r="S78" s="613">
        <f>S77/Q77</f>
        <v>0.86586500788315957</v>
      </c>
      <c r="T78" s="476"/>
      <c r="U78" s="476">
        <f>(L78*M78*O78*Q78*S78)^(1/5)-1</f>
        <v>0.11597012759257885</v>
      </c>
      <c r="V78" s="476"/>
      <c r="W78" s="476"/>
      <c r="X78" s="618"/>
      <c r="Y78" s="613">
        <f>Y77/S77</f>
        <v>0.98686415430917429</v>
      </c>
      <c r="Z78" s="619"/>
      <c r="AA78" s="617">
        <f>AA77/Y77</f>
        <v>1.1996358654531627</v>
      </c>
      <c r="AB78" s="439">
        <f t="shared" si="20"/>
        <v>3.0523650276454966</v>
      </c>
      <c r="AC78" s="461">
        <f t="shared" si="1"/>
        <v>6.7433801671309622E-8</v>
      </c>
      <c r="AD78" s="461">
        <f t="shared" si="21"/>
        <v>7.3261367100242476E-8</v>
      </c>
      <c r="AE78" s="461"/>
      <c r="AF78" s="617">
        <f>AF77/AA77</f>
        <v>1.0995333644413792</v>
      </c>
      <c r="AG78" s="617"/>
      <c r="AH78" s="617">
        <f>AH77/AF77</f>
        <v>1.1535070050385401</v>
      </c>
      <c r="AI78" s="617">
        <f>AI77/AH77</f>
        <v>1.0323934660779588</v>
      </c>
      <c r="AJ78" s="326">
        <f t="shared" si="34"/>
        <v>4.3724004908788361</v>
      </c>
      <c r="AK78" s="617">
        <f>(Y78*AA78*AF78*AH78*AI78)^(1/5)-1</f>
        <v>9.1631709074535328E-2</v>
      </c>
      <c r="AL78" s="489">
        <f t="shared" si="15"/>
        <v>4.97825931462851E-8</v>
      </c>
      <c r="AM78" s="489">
        <f t="shared" si="8"/>
        <v>5.7014675820399714E-8</v>
      </c>
      <c r="AN78" s="501" t="e">
        <f t="shared" si="26"/>
        <v>#DIV/0!</v>
      </c>
      <c r="AO78" s="623"/>
      <c r="AP78" s="623"/>
      <c r="AQ78" s="623"/>
      <c r="AR78" s="623"/>
      <c r="AS78" s="623"/>
      <c r="AT78" s="624"/>
      <c r="AU78" s="625"/>
      <c r="AV78" s="597">
        <f t="shared" si="9"/>
        <v>0</v>
      </c>
      <c r="AW78" s="597">
        <f t="shared" si="10"/>
        <v>0</v>
      </c>
      <c r="AX78" s="623"/>
      <c r="AY78" s="339">
        <f t="shared" si="33"/>
        <v>9.3252051854209983E-8</v>
      </c>
      <c r="AZ78" s="609">
        <f t="shared" si="18"/>
        <v>6.0588955338225162E-8</v>
      </c>
    </row>
    <row r="79" spans="1:52" s="626" customFormat="1" ht="19.95" hidden="1" customHeight="1">
      <c r="A79" s="627"/>
      <c r="B79" s="628" t="s">
        <v>29</v>
      </c>
      <c r="C79" s="617"/>
      <c r="D79" s="617">
        <f>D77/D61</f>
        <v>0.13257909003966123</v>
      </c>
      <c r="E79" s="617">
        <f>E77/E61</f>
        <v>0.11646620552219264</v>
      </c>
      <c r="F79" s="617">
        <f>F77/F61</f>
        <v>0.14349562489544354</v>
      </c>
      <c r="G79" s="617">
        <f>G77/G61</f>
        <v>0.13802292379525019</v>
      </c>
      <c r="H79" s="617">
        <f>H77/H61</f>
        <v>0.1339483162117413</v>
      </c>
      <c r="I79" s="617"/>
      <c r="J79" s="617"/>
      <c r="K79" s="617"/>
      <c r="L79" s="617">
        <f>L77/L61</f>
        <v>0.12285935603422224</v>
      </c>
      <c r="M79" s="617">
        <f>M77/M61</f>
        <v>0.13920921059396923</v>
      </c>
      <c r="N79" s="617"/>
      <c r="O79" s="617">
        <f>O77/O61</f>
        <v>0.14686475914844155</v>
      </c>
      <c r="P79" s="617"/>
      <c r="Q79" s="613">
        <f>Q77/Q61</f>
        <v>0.18956867051283594</v>
      </c>
      <c r="R79" s="613"/>
      <c r="S79" s="613">
        <f>S77/S61</f>
        <v>0.15949530869936529</v>
      </c>
      <c r="T79" s="476">
        <f>(L79*M79*O79*Q79*S79)^(1/5)</f>
        <v>0.15000359106033118</v>
      </c>
      <c r="U79" s="476"/>
      <c r="V79" s="476"/>
      <c r="W79" s="476"/>
      <c r="X79" s="618"/>
      <c r="Y79" s="613">
        <f>Y77/Y61</f>
        <v>0.1414510968160711</v>
      </c>
      <c r="Z79" s="619"/>
      <c r="AA79" s="617">
        <f>AA77/AA61</f>
        <v>0.17961826800761385</v>
      </c>
      <c r="AB79" s="439">
        <f t="shared" si="20"/>
        <v>0.48056467352305027</v>
      </c>
      <c r="AC79" s="461">
        <f t="shared" ref="AC79:AC147" si="82">AB79/$AB$8</f>
        <v>1.0616784883552504E-8</v>
      </c>
      <c r="AD79" s="461">
        <f t="shared" si="21"/>
        <v>1.1534277402443528E-8</v>
      </c>
      <c r="AE79" s="461"/>
      <c r="AF79" s="617">
        <f>AF77/AF61</f>
        <v>0.19175410378490604</v>
      </c>
      <c r="AG79" s="617"/>
      <c r="AH79" s="617">
        <f>AH77/AH61</f>
        <v>0.19399744987363257</v>
      </c>
      <c r="AI79" s="617">
        <f>AI77/AI61</f>
        <v>0.19293650076777166</v>
      </c>
      <c r="AJ79" s="326">
        <f t="shared" si="34"/>
        <v>0.70800331546508921</v>
      </c>
      <c r="AK79" s="617"/>
      <c r="AL79" s="489">
        <f t="shared" si="15"/>
        <v>8.0610733334116683E-9</v>
      </c>
      <c r="AM79" s="489">
        <f t="shared" si="8"/>
        <v>9.2321322338193955E-9</v>
      </c>
      <c r="AN79" s="501">
        <f t="shared" si="26"/>
        <v>3.7199091065781991</v>
      </c>
      <c r="AO79" s="623"/>
      <c r="AP79" s="623"/>
      <c r="AQ79" s="623"/>
      <c r="AR79" s="623"/>
      <c r="AS79" s="623"/>
      <c r="AT79" s="624"/>
      <c r="AU79" s="625"/>
      <c r="AV79" s="597">
        <f t="shared" si="9"/>
        <v>0</v>
      </c>
      <c r="AW79" s="597">
        <f t="shared" si="10"/>
        <v>0</v>
      </c>
      <c r="AX79" s="623"/>
      <c r="AY79" s="339">
        <f t="shared" si="33"/>
        <v>1.7427197251176197E-8</v>
      </c>
      <c r="AZ79" s="609">
        <f t="shared" si="18"/>
        <v>1.1323028876326917E-8</v>
      </c>
    </row>
    <row r="80" spans="1:52" s="626" customFormat="1" ht="19.95" hidden="1" customHeight="1">
      <c r="A80" s="627" t="s">
        <v>514</v>
      </c>
      <c r="B80" s="628" t="s">
        <v>579</v>
      </c>
      <c r="C80" s="326">
        <f t="shared" ref="C80:H80" si="83">C27</f>
        <v>622912.42801599996</v>
      </c>
      <c r="D80" s="326">
        <f t="shared" si="83"/>
        <v>717228.87336099998</v>
      </c>
      <c r="E80" s="326">
        <f t="shared" si="83"/>
        <v>908800.16295799997</v>
      </c>
      <c r="F80" s="326">
        <f t="shared" si="83"/>
        <v>916290.82646599994</v>
      </c>
      <c r="G80" s="326">
        <f t="shared" si="83"/>
        <v>1102294.9754869998</v>
      </c>
      <c r="H80" s="326">
        <f t="shared" si="83"/>
        <v>1151725.5044160001</v>
      </c>
      <c r="I80" s="326">
        <f>SUM(D80:H80)</f>
        <v>4796340.3426879998</v>
      </c>
      <c r="J80" s="488"/>
      <c r="K80" s="488">
        <f>I80/$I$61</f>
        <v>0.18919681690068843</v>
      </c>
      <c r="L80" s="326">
        <f>L27</f>
        <v>1165502.862461</v>
      </c>
      <c r="M80" s="326">
        <f>M27</f>
        <v>1339203.8982509999</v>
      </c>
      <c r="N80" s="326"/>
      <c r="O80" s="326">
        <f>O27</f>
        <v>1385398.590177</v>
      </c>
      <c r="P80" s="326"/>
      <c r="Q80" s="329">
        <f>Q27</f>
        <v>1476156</v>
      </c>
      <c r="R80" s="329"/>
      <c r="S80" s="329">
        <f>S27</f>
        <v>1560684</v>
      </c>
      <c r="T80" s="439">
        <f>SUM(L80:S80)</f>
        <v>6926945.3508889992</v>
      </c>
      <c r="U80" s="323"/>
      <c r="V80" s="323"/>
      <c r="W80" s="323"/>
      <c r="X80" s="340"/>
      <c r="Y80" s="329">
        <f>Y27</f>
        <v>1704379</v>
      </c>
      <c r="Z80" s="326"/>
      <c r="AA80" s="326">
        <f>AA27</f>
        <v>1595782.6105849999</v>
      </c>
      <c r="AB80" s="439">
        <f t="shared" si="20"/>
        <v>4860845.6105850004</v>
      </c>
      <c r="AC80" s="461">
        <f t="shared" si="82"/>
        <v>0.10738731963256984</v>
      </c>
      <c r="AD80" s="461">
        <f t="shared" si="21"/>
        <v>0.11666763033560386</v>
      </c>
      <c r="AE80" s="461"/>
      <c r="AF80" s="326">
        <f>AF27</f>
        <v>1388540</v>
      </c>
      <c r="AG80" s="326"/>
      <c r="AH80" s="326">
        <f>AH27</f>
        <v>1570458</v>
      </c>
      <c r="AI80" s="326">
        <f>AI27</f>
        <v>1634000</v>
      </c>
      <c r="AJ80" s="326">
        <f t="shared" si="34"/>
        <v>6504619.6105850004</v>
      </c>
      <c r="AK80" s="488"/>
      <c r="AL80" s="489">
        <f t="shared" si="15"/>
        <v>7.4059279867113567E-2</v>
      </c>
      <c r="AM80" s="489">
        <f t="shared" ref="AM80:AM139" si="84">AJ80/$AJ$10</f>
        <v>8.4818117463429613E-2</v>
      </c>
      <c r="AN80" s="501">
        <f t="shared" si="26"/>
        <v>-6.0968539364872787E-2</v>
      </c>
      <c r="AO80" s="623"/>
      <c r="AP80" s="623"/>
      <c r="AQ80" s="623"/>
      <c r="AR80" s="623"/>
      <c r="AS80" s="623"/>
      <c r="AT80" s="624"/>
      <c r="AU80" s="625"/>
      <c r="AV80" s="597">
        <f t="shared" ref="AV80:AV139" si="85">AT80/$AT$8</f>
        <v>0</v>
      </c>
      <c r="AW80" s="597">
        <f t="shared" ref="AW80:AW139" si="86">AT80/$AT$10</f>
        <v>0</v>
      </c>
      <c r="AX80" s="623"/>
      <c r="AY80" s="339">
        <f t="shared" si="33"/>
        <v>0.14759281004425978</v>
      </c>
      <c r="AZ80" s="609">
        <f t="shared" si="18"/>
        <v>9.5895950793613391E-2</v>
      </c>
    </row>
    <row r="81" spans="1:52" s="626" customFormat="1" ht="19.95" hidden="1" customHeight="1">
      <c r="A81" s="627"/>
      <c r="B81" s="616" t="s">
        <v>494</v>
      </c>
      <c r="C81" s="617"/>
      <c r="D81" s="617">
        <f>D80/C80</f>
        <v>1.1514120462251838</v>
      </c>
      <c r="E81" s="617">
        <f>E80/D80</f>
        <v>1.2670992436476789</v>
      </c>
      <c r="F81" s="617">
        <f>F80/E80</f>
        <v>1.0082423659384248</v>
      </c>
      <c r="G81" s="617">
        <f>G80/F80</f>
        <v>1.202996847342007</v>
      </c>
      <c r="H81" s="617">
        <f>H80/G80</f>
        <v>1.0448432860788117</v>
      </c>
      <c r="I81" s="617"/>
      <c r="J81" s="617">
        <f>(D81*E81*F81*G81*H81)^(1/5)-1</f>
        <v>0.13079634918081728</v>
      </c>
      <c r="K81" s="617"/>
      <c r="L81" s="617">
        <f>L80/H80</f>
        <v>1.0119623625526866</v>
      </c>
      <c r="M81" s="617">
        <f>M80/L80</f>
        <v>1.1490352717137253</v>
      </c>
      <c r="N81" s="617"/>
      <c r="O81" s="617">
        <f>O80/M80</f>
        <v>1.0344941438613868</v>
      </c>
      <c r="P81" s="617"/>
      <c r="Q81" s="613">
        <f>Q80/O80</f>
        <v>1.0655099625959665</v>
      </c>
      <c r="R81" s="613"/>
      <c r="S81" s="613">
        <f>S80/Q80</f>
        <v>1.0572622405761993</v>
      </c>
      <c r="T81" s="476"/>
      <c r="U81" s="476">
        <f>(L81*M81*O81*Q81*S81)^(1/5)-1</f>
        <v>6.2657223627333947E-2</v>
      </c>
      <c r="V81" s="476"/>
      <c r="W81" s="476"/>
      <c r="X81" s="618"/>
      <c r="Y81" s="613">
        <f>Y80/S80</f>
        <v>1.0920718095399198</v>
      </c>
      <c r="Z81" s="619"/>
      <c r="AA81" s="617">
        <f>AA80/Y80</f>
        <v>0.93628389611993568</v>
      </c>
      <c r="AB81" s="439">
        <f t="shared" si="20"/>
        <v>3.0856179462360549</v>
      </c>
      <c r="AC81" s="461">
        <f t="shared" si="82"/>
        <v>6.8168435536171321E-8</v>
      </c>
      <c r="AD81" s="461">
        <f t="shared" si="21"/>
        <v>7.4059487329622959E-8</v>
      </c>
      <c r="AE81" s="461"/>
      <c r="AF81" s="617">
        <f>AF80/AA80</f>
        <v>0.87013105092740262</v>
      </c>
      <c r="AG81" s="617"/>
      <c r="AH81" s="617">
        <f>AH80/AF80</f>
        <v>1.1310138706843158</v>
      </c>
      <c r="AI81" s="617">
        <f>AI80/AH80</f>
        <v>1.0404608082482945</v>
      </c>
      <c r="AJ81" s="326">
        <f t="shared" si="34"/>
        <v>4.1998303845924658</v>
      </c>
      <c r="AK81" s="617">
        <f>(Y81*AA81*AF81*AH81*AI81)^(1/5)-1</f>
        <v>9.223639941212225E-3</v>
      </c>
      <c r="AL81" s="489">
        <f t="shared" ref="AL81:AL139" si="87">AJ81/$AJ$8</f>
        <v>4.7817771440591164E-8</v>
      </c>
      <c r="AM81" s="489">
        <f t="shared" si="84"/>
        <v>5.4764417938777412E-8</v>
      </c>
      <c r="AN81" s="501" t="e">
        <f t="shared" si="26"/>
        <v>#DIV/0!</v>
      </c>
      <c r="AO81" s="623"/>
      <c r="AP81" s="623"/>
      <c r="AQ81" s="623"/>
      <c r="AR81" s="623"/>
      <c r="AS81" s="623"/>
      <c r="AT81" s="624"/>
      <c r="AU81" s="625"/>
      <c r="AV81" s="597">
        <f t="shared" si="85"/>
        <v>0</v>
      </c>
      <c r="AW81" s="597">
        <f t="shared" si="86"/>
        <v>0</v>
      </c>
      <c r="AX81" s="623"/>
      <c r="AY81" s="339">
        <f t="shared" si="33"/>
        <v>9.3980743225390154E-8</v>
      </c>
      <c r="AZ81" s="609">
        <f t="shared" ref="AZ81:AZ139" si="88">AI81/$AI$10</f>
        <v>6.1062410324639935E-8</v>
      </c>
    </row>
    <row r="82" spans="1:52" s="626" customFormat="1" ht="19.95" hidden="1" customHeight="1">
      <c r="A82" s="627"/>
      <c r="B82" s="628" t="s">
        <v>29</v>
      </c>
      <c r="C82" s="617"/>
      <c r="D82" s="617">
        <f>D80/D61</f>
        <v>0.19378501961592168</v>
      </c>
      <c r="E82" s="617">
        <f>E80/E61</f>
        <v>0.19314327339293477</v>
      </c>
      <c r="F82" s="617">
        <f>F80/F61</f>
        <v>0.17198989692923725</v>
      </c>
      <c r="G82" s="617">
        <f>G80/G61</f>
        <v>0.19427799190785897</v>
      </c>
      <c r="H82" s="617">
        <f>H80/H61</f>
        <v>0.19378874655909004</v>
      </c>
      <c r="I82" s="617"/>
      <c r="J82" s="617"/>
      <c r="K82" s="617"/>
      <c r="L82" s="617">
        <f>L80/L61</f>
        <v>0.18703970232972014</v>
      </c>
      <c r="M82" s="617">
        <f>M80/M61</f>
        <v>0.19102717417767931</v>
      </c>
      <c r="N82" s="617"/>
      <c r="O82" s="617">
        <f>O80/O61</f>
        <v>0.18371423787081029</v>
      </c>
      <c r="P82" s="617"/>
      <c r="Q82" s="613">
        <f>Q80/Q61</f>
        <v>0.17584437178196222</v>
      </c>
      <c r="R82" s="613"/>
      <c r="S82" s="613">
        <f>S80/S61</f>
        <v>0.1806518256010812</v>
      </c>
      <c r="T82" s="476">
        <f>(L82*M82*O82*Q82*S82)^(1/5)</f>
        <v>0.18358133314856298</v>
      </c>
      <c r="U82" s="476"/>
      <c r="V82" s="476"/>
      <c r="W82" s="476"/>
      <c r="X82" s="618"/>
      <c r="Y82" s="613">
        <f>Y80/Y61</f>
        <v>0.17729422215934623</v>
      </c>
      <c r="Z82" s="619"/>
      <c r="AA82" s="617">
        <f>AA80/AA61</f>
        <v>0.17571016230968378</v>
      </c>
      <c r="AB82" s="439">
        <f t="shared" ref="AB82:AB139" si="89">AA82+Y82+S82</f>
        <v>0.53365621007011121</v>
      </c>
      <c r="AC82" s="461">
        <f t="shared" si="82"/>
        <v>1.1789699693384809E-8</v>
      </c>
      <c r="AD82" s="461">
        <f t="shared" ref="AD82:AD138" si="90">AB82/$AB$10</f>
        <v>1.280855440197083E-8</v>
      </c>
      <c r="AE82" s="461"/>
      <c r="AF82" s="617">
        <f>AF80/AF61</f>
        <v>0.14844558906933122</v>
      </c>
      <c r="AG82" s="617"/>
      <c r="AH82" s="617">
        <f>AH80/AH61</f>
        <v>0.14725374415937056</v>
      </c>
      <c r="AI82" s="617">
        <f>AI80/AI61</f>
        <v>0.14759281004425978</v>
      </c>
      <c r="AJ82" s="326">
        <f t="shared" si="34"/>
        <v>0.6478509386726603</v>
      </c>
      <c r="AK82" s="617"/>
      <c r="AL82" s="489">
        <f t="shared" si="87"/>
        <v>7.3761998167046852E-9</v>
      </c>
      <c r="AM82" s="489">
        <f t="shared" si="84"/>
        <v>8.4477648663284238E-9</v>
      </c>
      <c r="AN82" s="501">
        <f t="shared" si="26"/>
        <v>2.5289586776689745</v>
      </c>
      <c r="AO82" s="623"/>
      <c r="AP82" s="623"/>
      <c r="AQ82" s="623"/>
      <c r="AR82" s="623"/>
      <c r="AS82" s="623"/>
      <c r="AT82" s="624"/>
      <c r="AU82" s="625"/>
      <c r="AV82" s="597">
        <f t="shared" si="85"/>
        <v>0</v>
      </c>
      <c r="AW82" s="597">
        <f t="shared" si="86"/>
        <v>0</v>
      </c>
      <c r="AX82" s="623"/>
      <c r="AY82" s="339">
        <f t="shared" si="33"/>
        <v>1.333147954514134E-8</v>
      </c>
      <c r="AZ82" s="609">
        <f t="shared" si="88"/>
        <v>8.6619050486508341E-9</v>
      </c>
    </row>
    <row r="83" spans="1:52" s="626" customFormat="1" ht="19.95" hidden="1" customHeight="1">
      <c r="A83" s="627" t="s">
        <v>514</v>
      </c>
      <c r="B83" s="628" t="s">
        <v>574</v>
      </c>
      <c r="C83" s="326">
        <f t="shared" ref="C83:H83" si="91">C21</f>
        <v>203470.804259</v>
      </c>
      <c r="D83" s="326">
        <f t="shared" si="91"/>
        <v>437527.82894199999</v>
      </c>
      <c r="E83" s="326">
        <f t="shared" si="91"/>
        <v>556462.56830799999</v>
      </c>
      <c r="F83" s="326">
        <f t="shared" si="91"/>
        <v>576982.66837099998</v>
      </c>
      <c r="G83" s="326">
        <f t="shared" si="91"/>
        <v>616646.97566200001</v>
      </c>
      <c r="H83" s="326">
        <f t="shared" si="91"/>
        <v>662261.89618699998</v>
      </c>
      <c r="I83" s="326">
        <f>SUM(D83:H83)</f>
        <v>2849881.9374699998</v>
      </c>
      <c r="J83" s="488"/>
      <c r="K83" s="488">
        <f>I83/$I$61</f>
        <v>0.11241666616383497</v>
      </c>
      <c r="L83" s="326">
        <f>L21</f>
        <v>698207.90548199997</v>
      </c>
      <c r="M83" s="326">
        <f>M21</f>
        <v>712910.13209700002</v>
      </c>
      <c r="N83" s="326"/>
      <c r="O83" s="326">
        <f>O21</f>
        <v>722455.72826600005</v>
      </c>
      <c r="P83" s="326"/>
      <c r="Q83" s="329">
        <f>Q21</f>
        <v>780602</v>
      </c>
      <c r="R83" s="329"/>
      <c r="S83" s="329">
        <f>S21</f>
        <v>763943</v>
      </c>
      <c r="T83" s="439">
        <f>SUM(L83:S83)</f>
        <v>3678118.7658449998</v>
      </c>
      <c r="U83" s="323"/>
      <c r="V83" s="323">
        <f>T83/$T$61</f>
        <v>9.7261602737282668E-2</v>
      </c>
      <c r="W83" s="323"/>
      <c r="X83" s="340"/>
      <c r="Y83" s="329">
        <f>Y21</f>
        <v>1231791</v>
      </c>
      <c r="Z83" s="326"/>
      <c r="AA83" s="326">
        <f>AA21</f>
        <v>858963.24846000003</v>
      </c>
      <c r="AB83" s="439">
        <f t="shared" si="89"/>
        <v>2854697.2484599999</v>
      </c>
      <c r="AC83" s="461">
        <f t="shared" si="82"/>
        <v>6.3066863347198049E-2</v>
      </c>
      <c r="AD83" s="461">
        <f t="shared" si="90"/>
        <v>6.8517042092047481E-2</v>
      </c>
      <c r="AE83" s="461"/>
      <c r="AF83" s="326">
        <f>AF21</f>
        <v>750000</v>
      </c>
      <c r="AG83" s="326"/>
      <c r="AH83" s="326">
        <f>AH21</f>
        <v>828538</v>
      </c>
      <c r="AI83" s="326">
        <f>AI21</f>
        <v>931000</v>
      </c>
      <c r="AJ83" s="326">
        <f t="shared" si="34"/>
        <v>3850292.2484599999</v>
      </c>
      <c r="AK83" s="488"/>
      <c r="AL83" s="489">
        <f t="shared" si="87"/>
        <v>4.3838054839494579E-2</v>
      </c>
      <c r="AM83" s="489">
        <f t="shared" si="84"/>
        <v>5.0206554687222044E-2</v>
      </c>
      <c r="AN83" s="501">
        <f t="shared" si="26"/>
        <v>4.6810202055953765E-2</v>
      </c>
      <c r="AO83" s="623"/>
      <c r="AP83" s="623"/>
      <c r="AQ83" s="623"/>
      <c r="AR83" s="623"/>
      <c r="AS83" s="623"/>
      <c r="AT83" s="624"/>
      <c r="AU83" s="625"/>
      <c r="AV83" s="597">
        <f t="shared" si="85"/>
        <v>0</v>
      </c>
      <c r="AW83" s="597">
        <f t="shared" si="86"/>
        <v>0</v>
      </c>
      <c r="AX83" s="623"/>
      <c r="AY83" s="339">
        <f t="shared" si="33"/>
        <v>8.4093577815915449E-2</v>
      </c>
      <c r="AZ83" s="609">
        <f t="shared" si="88"/>
        <v>5.463839056845414E-2</v>
      </c>
    </row>
    <row r="84" spans="1:52" s="626" customFormat="1" ht="19.95" hidden="1" customHeight="1">
      <c r="A84" s="627"/>
      <c r="B84" s="616" t="s">
        <v>494</v>
      </c>
      <c r="C84" s="617"/>
      <c r="D84" s="617">
        <f>D83/C83</f>
        <v>2.1503224039212352</v>
      </c>
      <c r="E84" s="617">
        <f>E83/D83</f>
        <v>1.2718335417740168</v>
      </c>
      <c r="F84" s="617">
        <f>F83/E83</f>
        <v>1.0368759755492525</v>
      </c>
      <c r="G84" s="617">
        <f>G83/F83</f>
        <v>1.0687443652388808</v>
      </c>
      <c r="H84" s="617">
        <f>H83/G83</f>
        <v>1.0739725034344492</v>
      </c>
      <c r="I84" s="617"/>
      <c r="J84" s="617">
        <f>(D84*E84*F84*G84*H84)^(1/5)-1</f>
        <v>0.26620940006647875</v>
      </c>
      <c r="K84" s="617"/>
      <c r="L84" s="617">
        <f>L83/H83</f>
        <v>1.0542776347272289</v>
      </c>
      <c r="M84" s="617">
        <f>M83/L83</f>
        <v>1.0210570898718923</v>
      </c>
      <c r="N84" s="617"/>
      <c r="O84" s="617">
        <f>O83/M83</f>
        <v>1.0133896205695969</v>
      </c>
      <c r="P84" s="617"/>
      <c r="Q84" s="613">
        <f>Q83/O83</f>
        <v>1.080484200566254</v>
      </c>
      <c r="R84" s="613"/>
      <c r="S84" s="613">
        <f>S83/Q83</f>
        <v>0.97865877873743601</v>
      </c>
      <c r="T84" s="476"/>
      <c r="U84" s="476">
        <f>(L84*M84*O84*Q84*S84)^(1/5)-1</f>
        <v>2.8978350791280194E-2</v>
      </c>
      <c r="V84" s="476"/>
      <c r="W84" s="476"/>
      <c r="X84" s="618"/>
      <c r="Y84" s="613">
        <f>Y83/S83</f>
        <v>1.6124121825843027</v>
      </c>
      <c r="Z84" s="619"/>
      <c r="AA84" s="617">
        <f>AA83/Y83</f>
        <v>0.69732872578221472</v>
      </c>
      <c r="AB84" s="439">
        <f t="shared" si="89"/>
        <v>3.2883996871039538</v>
      </c>
      <c r="AC84" s="461">
        <f t="shared" si="82"/>
        <v>7.2648353099241027E-8</v>
      </c>
      <c r="AD84" s="461">
        <f t="shared" si="90"/>
        <v>7.8926555135863982E-8</v>
      </c>
      <c r="AE84" s="461"/>
      <c r="AF84" s="617">
        <f>AF83/AA83</f>
        <v>0.87314562217259495</v>
      </c>
      <c r="AG84" s="617"/>
      <c r="AH84" s="617">
        <f>AH83/AF83</f>
        <v>1.1047173333333333</v>
      </c>
      <c r="AI84" s="617">
        <f>AI83/AH83</f>
        <v>1.1236660237671658</v>
      </c>
      <c r="AJ84" s="326">
        <f t="shared" si="34"/>
        <v>4.5381242654670171</v>
      </c>
      <c r="AK84" s="617">
        <f>(Y84*AA84*AF84*AH84*AI84)^(1/5)-1</f>
        <v>4.0345864248975127E-2</v>
      </c>
      <c r="AL84" s="489">
        <f t="shared" si="87"/>
        <v>5.1669464960109232E-8</v>
      </c>
      <c r="AM84" s="489">
        <f t="shared" si="84"/>
        <v>5.9175659770426441E-8</v>
      </c>
      <c r="AN84" s="501" t="e">
        <f t="shared" si="26"/>
        <v>#DIV/0!</v>
      </c>
      <c r="AO84" s="623"/>
      <c r="AP84" s="623"/>
      <c r="AQ84" s="623"/>
      <c r="AR84" s="623"/>
      <c r="AS84" s="623"/>
      <c r="AT84" s="624"/>
      <c r="AU84" s="625"/>
      <c r="AV84" s="597">
        <f t="shared" si="85"/>
        <v>0</v>
      </c>
      <c r="AW84" s="597">
        <f t="shared" si="86"/>
        <v>0</v>
      </c>
      <c r="AX84" s="623"/>
      <c r="AY84" s="339">
        <f t="shared" si="33"/>
        <v>1.0149634394067074E-7</v>
      </c>
      <c r="AZ84" s="609">
        <f t="shared" si="88"/>
        <v>6.5945545730496544E-8</v>
      </c>
    </row>
    <row r="85" spans="1:52" s="626" customFormat="1" ht="19.95" hidden="1" customHeight="1">
      <c r="A85" s="627"/>
      <c r="B85" s="628" t="s">
        <v>29</v>
      </c>
      <c r="C85" s="617"/>
      <c r="D85" s="617">
        <f>D83/D61</f>
        <v>0.11821378372111621</v>
      </c>
      <c r="E85" s="617">
        <f>E83/E61</f>
        <v>0.11826252496899443</v>
      </c>
      <c r="F85" s="617">
        <f>F83/F61</f>
        <v>0.10830097475254687</v>
      </c>
      <c r="G85" s="617">
        <f>G83/G61</f>
        <v>0.10868319171530201</v>
      </c>
      <c r="H85" s="617">
        <f>H83/H61</f>
        <v>0.1114318492243524</v>
      </c>
      <c r="I85" s="617"/>
      <c r="J85" s="617"/>
      <c r="K85" s="617"/>
      <c r="L85" s="617">
        <f>L83/L61</f>
        <v>0.11204828663385674</v>
      </c>
      <c r="M85" s="617">
        <f>M83/M61</f>
        <v>0.10169116753243017</v>
      </c>
      <c r="N85" s="617"/>
      <c r="O85" s="617">
        <f>O83/O61</f>
        <v>9.5803045026076047E-2</v>
      </c>
      <c r="P85" s="617"/>
      <c r="Q85" s="613">
        <f>Q83/Q61</f>
        <v>9.2987779273832352E-2</v>
      </c>
      <c r="R85" s="613"/>
      <c r="S85" s="613">
        <f>S83/S61</f>
        <v>8.8427700678142901E-2</v>
      </c>
      <c r="T85" s="476">
        <f>(L85*M85*O85*Q85*S85)^(1/5)</f>
        <v>9.7862520044608575E-2</v>
      </c>
      <c r="U85" s="476"/>
      <c r="V85" s="476"/>
      <c r="W85" s="476"/>
      <c r="X85" s="618"/>
      <c r="Y85" s="613">
        <f>Y83/Y61</f>
        <v>0.12813431003778106</v>
      </c>
      <c r="Z85" s="619"/>
      <c r="AA85" s="617">
        <f>AA83/AA61</f>
        <v>9.4579656905542264E-2</v>
      </c>
      <c r="AB85" s="439">
        <f t="shared" si="89"/>
        <v>0.31114166762146622</v>
      </c>
      <c r="AC85" s="461">
        <f t="shared" si="82"/>
        <v>6.8738389137720427E-9</v>
      </c>
      <c r="AD85" s="461">
        <f t="shared" si="90"/>
        <v>7.4678695782925383E-9</v>
      </c>
      <c r="AE85" s="461"/>
      <c r="AF85" s="617">
        <f>AF83/AF61</f>
        <v>8.0180759504226332E-2</v>
      </c>
      <c r="AG85" s="617"/>
      <c r="AH85" s="617">
        <f>AH83/AH61</f>
        <v>7.7687733564550318E-2</v>
      </c>
      <c r="AI85" s="617">
        <f>AI83/AI61</f>
        <v>8.4093577815915449E-2</v>
      </c>
      <c r="AJ85" s="326">
        <f t="shared" si="34"/>
        <v>0.38449527832378905</v>
      </c>
      <c r="AK85" s="617"/>
      <c r="AL85" s="489">
        <f t="shared" si="87"/>
        <v>4.3777261592095237E-9</v>
      </c>
      <c r="AM85" s="489">
        <f t="shared" si="84"/>
        <v>5.0136929802830069E-9</v>
      </c>
      <c r="AN85" s="501">
        <f t="shared" ref="AN85:AN139" si="92">+AJ85/T85-1</f>
        <v>2.9289329372319961</v>
      </c>
      <c r="AO85" s="623"/>
      <c r="AP85" s="623"/>
      <c r="AQ85" s="623"/>
      <c r="AR85" s="623"/>
      <c r="AS85" s="623"/>
      <c r="AT85" s="624"/>
      <c r="AU85" s="625"/>
      <c r="AV85" s="597">
        <f t="shared" si="85"/>
        <v>0</v>
      </c>
      <c r="AW85" s="597">
        <f t="shared" si="86"/>
        <v>0</v>
      </c>
      <c r="AX85" s="623"/>
      <c r="AY85" s="339">
        <f t="shared" si="33"/>
        <v>7.5958429966502976E-9</v>
      </c>
      <c r="AZ85" s="609">
        <f t="shared" si="88"/>
        <v>4.9352714812080336E-9</v>
      </c>
    </row>
    <row r="86" spans="1:52" s="626" customFormat="1" ht="19.95" hidden="1" customHeight="1">
      <c r="A86" s="627" t="s">
        <v>514</v>
      </c>
      <c r="B86" s="628" t="s">
        <v>599</v>
      </c>
      <c r="C86" s="326">
        <f t="shared" ref="C86:H86" si="93">C23</f>
        <v>43533.981120999997</v>
      </c>
      <c r="D86" s="326">
        <f t="shared" si="93"/>
        <v>39757.294290999998</v>
      </c>
      <c r="E86" s="326">
        <f t="shared" si="93"/>
        <v>52360.173611999999</v>
      </c>
      <c r="F86" s="326">
        <f t="shared" si="93"/>
        <v>52303.291445000003</v>
      </c>
      <c r="G86" s="326">
        <f t="shared" si="93"/>
        <v>63059.284599999999</v>
      </c>
      <c r="H86" s="326">
        <f t="shared" si="93"/>
        <v>67830.687684999997</v>
      </c>
      <c r="I86" s="326">
        <f>SUM(D86:H86)</f>
        <v>275310.73163300002</v>
      </c>
      <c r="J86" s="488"/>
      <c r="K86" s="488">
        <f>I86/$I$61</f>
        <v>1.0859928687706882E-2</v>
      </c>
      <c r="L86" s="326">
        <f>L23</f>
        <v>71963.686795999995</v>
      </c>
      <c r="M86" s="326">
        <f>M23</f>
        <v>82277.291335000002</v>
      </c>
      <c r="N86" s="326"/>
      <c r="O86" s="326">
        <f>O23</f>
        <v>83162.060146000003</v>
      </c>
      <c r="P86" s="326"/>
      <c r="Q86" s="329">
        <f>Q23</f>
        <v>83133</v>
      </c>
      <c r="R86" s="329"/>
      <c r="S86" s="329">
        <f>S23</f>
        <v>92821</v>
      </c>
      <c r="T86" s="439">
        <f>SUM(L86:S86)</f>
        <v>413357.03827700001</v>
      </c>
      <c r="U86" s="323"/>
      <c r="V86" s="323">
        <f>T86/$T$61</f>
        <v>1.0930524707056606E-2</v>
      </c>
      <c r="W86" s="323"/>
      <c r="X86" s="340"/>
      <c r="Y86" s="329">
        <f>Y23</f>
        <v>86194</v>
      </c>
      <c r="Z86" s="326"/>
      <c r="AA86" s="326">
        <f>AA23</f>
        <v>98046.919022000002</v>
      </c>
      <c r="AB86" s="439">
        <f t="shared" si="89"/>
        <v>277061.91902199999</v>
      </c>
      <c r="AC86" s="461">
        <f t="shared" si="82"/>
        <v>6.1209384620730511E-3</v>
      </c>
      <c r="AD86" s="461">
        <f t="shared" si="90"/>
        <v>6.6499041808985799E-3</v>
      </c>
      <c r="AE86" s="461"/>
      <c r="AF86" s="326">
        <f>AF23</f>
        <v>78978</v>
      </c>
      <c r="AG86" s="326"/>
      <c r="AH86" s="326">
        <f>AH23</f>
        <v>91888</v>
      </c>
      <c r="AI86" s="326">
        <f>AI23</f>
        <v>98000</v>
      </c>
      <c r="AJ86" s="326">
        <f t="shared" si="34"/>
        <v>374128.91902199999</v>
      </c>
      <c r="AK86" s="488"/>
      <c r="AL86" s="489">
        <f t="shared" si="87"/>
        <v>4.2596984880010598E-3</v>
      </c>
      <c r="AM86" s="489">
        <f t="shared" si="84"/>
        <v>4.8785190372139233E-3</v>
      </c>
      <c r="AN86" s="501">
        <f t="shared" si="92"/>
        <v>-9.4901297480054936E-2</v>
      </c>
      <c r="AO86" s="623"/>
      <c r="AP86" s="623"/>
      <c r="AQ86" s="623"/>
      <c r="AR86" s="623"/>
      <c r="AS86" s="623"/>
      <c r="AT86" s="624"/>
      <c r="AU86" s="625"/>
      <c r="AV86" s="597">
        <f t="shared" si="85"/>
        <v>0</v>
      </c>
      <c r="AW86" s="597">
        <f t="shared" si="86"/>
        <v>0</v>
      </c>
      <c r="AX86" s="623"/>
      <c r="AY86" s="339">
        <f t="shared" si="33"/>
        <v>8.8519555595700482E-3</v>
      </c>
      <c r="AZ86" s="609">
        <f t="shared" si="88"/>
        <v>5.7514095335214881E-3</v>
      </c>
    </row>
    <row r="87" spans="1:52" s="626" customFormat="1" ht="19.95" hidden="1" customHeight="1">
      <c r="A87" s="627"/>
      <c r="B87" s="616" t="s">
        <v>494</v>
      </c>
      <c r="C87" s="617"/>
      <c r="D87" s="617">
        <f>D86/C86</f>
        <v>0.91324738209669054</v>
      </c>
      <c r="E87" s="617">
        <f>E86/D86</f>
        <v>1.3169953978445903</v>
      </c>
      <c r="F87" s="617">
        <f>F86/E86</f>
        <v>0.99891363677627376</v>
      </c>
      <c r="G87" s="617">
        <f>G86/F86</f>
        <v>1.2056465828027392</v>
      </c>
      <c r="H87" s="617">
        <f>H86/G86</f>
        <v>1.0756653538850962</v>
      </c>
      <c r="I87" s="617"/>
      <c r="J87" s="617">
        <f>(D87*E87*F87*G87*H87)^(1/5)-1</f>
        <v>9.2746859687812933E-2</v>
      </c>
      <c r="K87" s="617"/>
      <c r="L87" s="617">
        <f>L86/H86</f>
        <v>1.0609311102696364</v>
      </c>
      <c r="M87" s="617">
        <f>M86/L86</f>
        <v>1.1433167893167653</v>
      </c>
      <c r="N87" s="617"/>
      <c r="O87" s="617">
        <f>O86/M86</f>
        <v>1.010753499497177</v>
      </c>
      <c r="P87" s="617"/>
      <c r="Q87" s="613">
        <f>Q86/O86</f>
        <v>0.99965056005167519</v>
      </c>
      <c r="R87" s="613"/>
      <c r="S87" s="613">
        <f>S86/Q86</f>
        <v>1.1165361529115996</v>
      </c>
      <c r="T87" s="476"/>
      <c r="U87" s="476">
        <f>(L87*M87*O87*Q87*S87)^(1/5)-1</f>
        <v>6.4741065703634471E-2</v>
      </c>
      <c r="V87" s="476"/>
      <c r="W87" s="476"/>
      <c r="X87" s="618"/>
      <c r="Y87" s="613">
        <f>Y86/S86</f>
        <v>0.92860451837407487</v>
      </c>
      <c r="Z87" s="619"/>
      <c r="AA87" s="617">
        <f>AA86/Y86</f>
        <v>1.1375144328143489</v>
      </c>
      <c r="AB87" s="439">
        <f t="shared" si="89"/>
        <v>3.1826551041000233</v>
      </c>
      <c r="AC87" s="461">
        <f t="shared" si="82"/>
        <v>7.0312210739621978E-8</v>
      </c>
      <c r="AD87" s="461">
        <f t="shared" si="90"/>
        <v>7.6388525560715556E-8</v>
      </c>
      <c r="AE87" s="461"/>
      <c r="AF87" s="617">
        <f>AF86/AA86</f>
        <v>0.80551230765628368</v>
      </c>
      <c r="AG87" s="617"/>
      <c r="AH87" s="617">
        <f>AH86/AF86</f>
        <v>1.1634632429284104</v>
      </c>
      <c r="AI87" s="617">
        <f>AI86/AH86</f>
        <v>1.0665157583144698</v>
      </c>
      <c r="AJ87" s="326">
        <f t="shared" si="34"/>
        <v>4.2960979524313041</v>
      </c>
      <c r="AK87" s="617">
        <f>(Y87*AA87*AF87*AH87*AI87)^(1/5)-1</f>
        <v>1.0918086271954008E-2</v>
      </c>
      <c r="AL87" s="489">
        <f t="shared" si="87"/>
        <v>4.8913839646808939E-8</v>
      </c>
      <c r="AM87" s="489">
        <f t="shared" si="84"/>
        <v>5.6019715614230402E-8</v>
      </c>
      <c r="AN87" s="501" t="e">
        <f t="shared" si="92"/>
        <v>#DIV/0!</v>
      </c>
      <c r="AO87" s="623"/>
      <c r="AP87" s="623"/>
      <c r="AQ87" s="623"/>
      <c r="AR87" s="623"/>
      <c r="AS87" s="623"/>
      <c r="AT87" s="624"/>
      <c r="AU87" s="625"/>
      <c r="AV87" s="597">
        <f t="shared" si="85"/>
        <v>0</v>
      </c>
      <c r="AW87" s="597">
        <f t="shared" si="86"/>
        <v>0</v>
      </c>
      <c r="AX87" s="623"/>
      <c r="AY87" s="339">
        <f t="shared" ref="AY87:AY155" si="94">AI87/$AI$16</f>
        <v>9.6334184654906486E-8</v>
      </c>
      <c r="AZ87" s="609">
        <f t="shared" si="88"/>
        <v>6.259151938796675E-8</v>
      </c>
    </row>
    <row r="88" spans="1:52" s="626" customFormat="1" ht="19.95" hidden="1" customHeight="1">
      <c r="A88" s="627"/>
      <c r="B88" s="628" t="s">
        <v>29</v>
      </c>
      <c r="C88" s="617"/>
      <c r="D88" s="617">
        <f>D86/D61</f>
        <v>1.0741854295343736E-2</v>
      </c>
      <c r="E88" s="617">
        <f>E86/E61</f>
        <v>1.112787578506565E-2</v>
      </c>
      <c r="F88" s="617">
        <f>F86/F61</f>
        <v>9.817448177867576E-3</v>
      </c>
      <c r="G88" s="617">
        <f>G86/G61</f>
        <v>1.1114113241622646E-2</v>
      </c>
      <c r="H88" s="617">
        <f>H86/H61</f>
        <v>1.1413156949565458E-2</v>
      </c>
      <c r="I88" s="617"/>
      <c r="J88" s="617"/>
      <c r="K88" s="617"/>
      <c r="L88" s="617">
        <f>L86/L61</f>
        <v>1.1548720290958058E-2</v>
      </c>
      <c r="M88" s="617">
        <f>M86/M61</f>
        <v>1.1736225143344766E-2</v>
      </c>
      <c r="N88" s="617"/>
      <c r="O88" s="617">
        <f>O86/O61</f>
        <v>1.1027912550089239E-2</v>
      </c>
      <c r="P88" s="617"/>
      <c r="Q88" s="613">
        <f>Q86/Q61</f>
        <v>9.9030659085827411E-3</v>
      </c>
      <c r="R88" s="613"/>
      <c r="S88" s="613">
        <f>S86/S61</f>
        <v>1.074418851229202E-2</v>
      </c>
      <c r="T88" s="476">
        <f>(L88*M88*O88*Q88*S88)^(1/5)</f>
        <v>1.0972353211758032E-2</v>
      </c>
      <c r="U88" s="476"/>
      <c r="V88" s="476"/>
      <c r="W88" s="476"/>
      <c r="X88" s="618"/>
      <c r="Y88" s="613">
        <f>Y86/Y61</f>
        <v>8.9661385083967173E-3</v>
      </c>
      <c r="Z88" s="619"/>
      <c r="AA88" s="617">
        <f>AA86/AA61</f>
        <v>1.0795856491382913E-2</v>
      </c>
      <c r="AB88" s="439">
        <f t="shared" si="89"/>
        <v>3.0506183512071652E-2</v>
      </c>
      <c r="AC88" s="461">
        <f t="shared" si="82"/>
        <v>6.7395213549817069E-10</v>
      </c>
      <c r="AD88" s="461">
        <f t="shared" si="90"/>
        <v>7.3219444229748636E-10</v>
      </c>
      <c r="AE88" s="461"/>
      <c r="AF88" s="617">
        <f>AF86/AF61</f>
        <v>8.4433546988330489E-3</v>
      </c>
      <c r="AG88" s="617"/>
      <c r="AH88" s="617">
        <f>AH86/AH61</f>
        <v>8.6158636800960243E-3</v>
      </c>
      <c r="AI88" s="617">
        <f>AI86/AI61</f>
        <v>8.8519555595700482E-3</v>
      </c>
      <c r="AJ88" s="326">
        <f t="shared" ref="AJ88:AJ139" si="95">Y88+AA88+AG88+AH88+AI88</f>
        <v>3.7229814239445699E-2</v>
      </c>
      <c r="AK88" s="617"/>
      <c r="AL88" s="489">
        <f t="shared" si="87"/>
        <v>4.2388539180260932E-10</v>
      </c>
      <c r="AM88" s="489">
        <f t="shared" si="84"/>
        <v>4.8546463073172277E-10</v>
      </c>
      <c r="AN88" s="501">
        <f t="shared" si="92"/>
        <v>2.393056486693304</v>
      </c>
      <c r="AO88" s="623"/>
      <c r="AP88" s="623"/>
      <c r="AQ88" s="623"/>
      <c r="AR88" s="623"/>
      <c r="AS88" s="623"/>
      <c r="AT88" s="624"/>
      <c r="AU88" s="625"/>
      <c r="AV88" s="597">
        <f t="shared" si="85"/>
        <v>0</v>
      </c>
      <c r="AW88" s="597">
        <f t="shared" si="86"/>
        <v>0</v>
      </c>
      <c r="AX88" s="623"/>
      <c r="AY88" s="339">
        <f t="shared" si="94"/>
        <v>7.9956242070003148E-10</v>
      </c>
      <c r="AZ88" s="609">
        <f t="shared" si="88"/>
        <v>5.1950226117979308E-10</v>
      </c>
    </row>
    <row r="89" spans="1:52" s="626" customFormat="1" ht="19.95" hidden="1" customHeight="1">
      <c r="A89" s="627" t="s">
        <v>514</v>
      </c>
      <c r="B89" s="628" t="s">
        <v>600</v>
      </c>
      <c r="C89" s="326">
        <f t="shared" ref="C89:H89" si="96">C24</f>
        <v>14485.369694999999</v>
      </c>
      <c r="D89" s="326">
        <f t="shared" si="96"/>
        <v>13384.146613999999</v>
      </c>
      <c r="E89" s="326">
        <f t="shared" si="96"/>
        <v>18335.384052000001</v>
      </c>
      <c r="F89" s="326">
        <f t="shared" si="96"/>
        <v>21908.077399999998</v>
      </c>
      <c r="G89" s="326">
        <f t="shared" si="96"/>
        <v>19416.014755</v>
      </c>
      <c r="H89" s="326">
        <f t="shared" si="96"/>
        <v>20078.266750999999</v>
      </c>
      <c r="I89" s="326">
        <f>SUM(D89:H89)</f>
        <v>93121.889572</v>
      </c>
      <c r="J89" s="488"/>
      <c r="K89" s="488">
        <f>I89/$I$61</f>
        <v>3.6732933511815797E-3</v>
      </c>
      <c r="L89" s="326">
        <f>L24</f>
        <v>20810.145353</v>
      </c>
      <c r="M89" s="326">
        <f>M24</f>
        <v>22929.685490999997</v>
      </c>
      <c r="N89" s="326"/>
      <c r="O89" s="326">
        <f>O24</f>
        <v>21712.812980000002</v>
      </c>
      <c r="P89" s="326"/>
      <c r="Q89" s="329">
        <f>Q24</f>
        <v>21575</v>
      </c>
      <c r="R89" s="329"/>
      <c r="S89" s="329">
        <f>S24</f>
        <v>27053</v>
      </c>
      <c r="T89" s="439">
        <f>SUM(L89:S89)</f>
        <v>114080.643824</v>
      </c>
      <c r="U89" s="323"/>
      <c r="V89" s="323">
        <f>T89/$T$61</f>
        <v>3.0166688369765685E-3</v>
      </c>
      <c r="W89" s="323"/>
      <c r="X89" s="340"/>
      <c r="Y89" s="329">
        <f>Y24</f>
        <v>27017</v>
      </c>
      <c r="Z89" s="326"/>
      <c r="AA89" s="326">
        <f>AA24</f>
        <v>28184.048601999999</v>
      </c>
      <c r="AB89" s="439">
        <f t="shared" si="89"/>
        <v>82254.048601999995</v>
      </c>
      <c r="AC89" s="461">
        <f t="shared" si="82"/>
        <v>1.8171821357709931E-3</v>
      </c>
      <c r="AD89" s="461">
        <f t="shared" si="90"/>
        <v>1.9742212990694038E-3</v>
      </c>
      <c r="AE89" s="461"/>
      <c r="AF89" s="326">
        <f>AF24</f>
        <v>42757</v>
      </c>
      <c r="AG89" s="326"/>
      <c r="AH89" s="326">
        <f>AH24</f>
        <v>50073</v>
      </c>
      <c r="AI89" s="326">
        <f>AI24</f>
        <v>52000</v>
      </c>
      <c r="AJ89" s="326">
        <f t="shared" si="95"/>
        <v>157274.048602</v>
      </c>
      <c r="AK89" s="488"/>
      <c r="AL89" s="489">
        <f t="shared" si="87"/>
        <v>1.7906662462314224E-3</v>
      </c>
      <c r="AM89" s="489">
        <f t="shared" si="84"/>
        <v>2.050802280054291E-3</v>
      </c>
      <c r="AN89" s="501">
        <f t="shared" si="92"/>
        <v>0.37862167787760215</v>
      </c>
      <c r="AO89" s="623"/>
      <c r="AP89" s="623"/>
      <c r="AQ89" s="623"/>
      <c r="AR89" s="623"/>
      <c r="AS89" s="623"/>
      <c r="AT89" s="624"/>
      <c r="AU89" s="625"/>
      <c r="AV89" s="597">
        <f t="shared" si="85"/>
        <v>0</v>
      </c>
      <c r="AW89" s="597">
        <f t="shared" si="86"/>
        <v>0</v>
      </c>
      <c r="AX89" s="623"/>
      <c r="AY89" s="339">
        <f t="shared" si="94"/>
        <v>4.6969560112004333E-3</v>
      </c>
      <c r="AZ89" s="609">
        <f t="shared" si="88"/>
        <v>3.0517683239093614E-3</v>
      </c>
    </row>
    <row r="90" spans="1:52" s="626" customFormat="1" ht="19.95" hidden="1" customHeight="1">
      <c r="A90" s="627"/>
      <c r="B90" s="616" t="s">
        <v>494</v>
      </c>
      <c r="C90" s="617"/>
      <c r="D90" s="617">
        <f>D89/C89</f>
        <v>0.92397687430924769</v>
      </c>
      <c r="E90" s="617">
        <f>E89/D89</f>
        <v>1.3699329946685537</v>
      </c>
      <c r="F90" s="617">
        <f>F89/E89</f>
        <v>1.1948523869403376</v>
      </c>
      <c r="G90" s="617">
        <f>G89/F89</f>
        <v>0.88624914000897226</v>
      </c>
      <c r="H90" s="617">
        <f>H89/G89</f>
        <v>1.0341085441248676</v>
      </c>
      <c r="I90" s="617"/>
      <c r="J90" s="617">
        <f>(D90*E90*F90*G90*H90)^(1/5)-1</f>
        <v>6.7478968281253326E-2</v>
      </c>
      <c r="K90" s="617"/>
      <c r="L90" s="617">
        <f>L89/H89</f>
        <v>1.0364512839218829</v>
      </c>
      <c r="M90" s="617">
        <f>M89/L89</f>
        <v>1.1018512894574493</v>
      </c>
      <c r="N90" s="617"/>
      <c r="O90" s="617">
        <f>O89/M89</f>
        <v>0.94693025722146862</v>
      </c>
      <c r="P90" s="617"/>
      <c r="Q90" s="613">
        <f>Q89/O89</f>
        <v>0.99365291912535958</v>
      </c>
      <c r="R90" s="613"/>
      <c r="S90" s="613">
        <f>S89/Q89</f>
        <v>1.2539049826187718</v>
      </c>
      <c r="T90" s="476"/>
      <c r="U90" s="476">
        <f>(L90*M90*O90*Q90*S90)^(1/5)-1</f>
        <v>6.1445847929263442E-2</v>
      </c>
      <c r="V90" s="476"/>
      <c r="W90" s="476"/>
      <c r="X90" s="618"/>
      <c r="Y90" s="613">
        <f>Y89/S89</f>
        <v>0.99866927882305101</v>
      </c>
      <c r="Z90" s="619"/>
      <c r="AA90" s="617">
        <f>AA89/Y89</f>
        <v>1.0431968242958136</v>
      </c>
      <c r="AB90" s="439">
        <f t="shared" si="89"/>
        <v>3.2957710857376368</v>
      </c>
      <c r="AC90" s="461">
        <f t="shared" si="82"/>
        <v>7.2811204340492264E-8</v>
      </c>
      <c r="AD90" s="461">
        <f t="shared" si="90"/>
        <v>7.9103479827522186E-8</v>
      </c>
      <c r="AE90" s="461"/>
      <c r="AF90" s="617">
        <f>AF89/AA89</f>
        <v>1.5170638045580815</v>
      </c>
      <c r="AG90" s="617"/>
      <c r="AH90" s="617">
        <f>AH89/AF89</f>
        <v>1.1711064854877564</v>
      </c>
      <c r="AI90" s="617">
        <f>AI89/AH89</f>
        <v>1.0384838136320971</v>
      </c>
      <c r="AJ90" s="326">
        <f t="shared" si="95"/>
        <v>4.251456402238718</v>
      </c>
      <c r="AK90" s="617">
        <f>(Y90*AA90*AF90*AH90*AI90)^(1/5)-1</f>
        <v>0.13961349191829697</v>
      </c>
      <c r="AL90" s="489">
        <f t="shared" si="87"/>
        <v>4.8405566871866885E-8</v>
      </c>
      <c r="AM90" s="489">
        <f t="shared" si="84"/>
        <v>5.5437604364892664E-8</v>
      </c>
      <c r="AN90" s="501" t="e">
        <f t="shared" si="92"/>
        <v>#DIV/0!</v>
      </c>
      <c r="AO90" s="623"/>
      <c r="AP90" s="623"/>
      <c r="AQ90" s="623"/>
      <c r="AR90" s="623"/>
      <c r="AS90" s="623"/>
      <c r="AT90" s="624"/>
      <c r="AU90" s="625"/>
      <c r="AV90" s="597">
        <f t="shared" si="85"/>
        <v>0</v>
      </c>
      <c r="AW90" s="597">
        <f t="shared" si="86"/>
        <v>0</v>
      </c>
      <c r="AX90" s="623"/>
      <c r="AY90" s="339">
        <f t="shared" si="94"/>
        <v>9.3802169057185179E-8</v>
      </c>
      <c r="AZ90" s="609">
        <f t="shared" si="88"/>
        <v>6.0946384756442812E-8</v>
      </c>
    </row>
    <row r="91" spans="1:52" s="626" customFormat="1" ht="19.95" hidden="1" customHeight="1">
      <c r="A91" s="627"/>
      <c r="B91" s="628" t="s">
        <v>29</v>
      </c>
      <c r="C91" s="617"/>
      <c r="D91" s="617">
        <f>D89/D61</f>
        <v>3.6162056638661165E-3</v>
      </c>
      <c r="E91" s="617">
        <f>E89/E61</f>
        <v>3.8967379618345815E-3</v>
      </c>
      <c r="F91" s="617">
        <f>F89/F61</f>
        <v>4.1121965484214812E-3</v>
      </c>
      <c r="G91" s="617">
        <f>G89/G61</f>
        <v>3.4220462229615301E-3</v>
      </c>
      <c r="H91" s="617">
        <f>H89/H61</f>
        <v>3.3783589334754759E-3</v>
      </c>
      <c r="I91" s="617"/>
      <c r="J91" s="617"/>
      <c r="K91" s="617"/>
      <c r="L91" s="617">
        <f>L89/L61</f>
        <v>3.3396086081200625E-3</v>
      </c>
      <c r="M91" s="617">
        <f>M89/M61</f>
        <v>3.2707439321593931E-3</v>
      </c>
      <c r="N91" s="617"/>
      <c r="O91" s="617">
        <f>O89/O61</f>
        <v>2.8792817582862593E-3</v>
      </c>
      <c r="P91" s="617"/>
      <c r="Q91" s="613">
        <f>Q89/Q61</f>
        <v>2.5700822414404943E-3</v>
      </c>
      <c r="R91" s="613"/>
      <c r="S91" s="613">
        <f>S89/S61</f>
        <v>3.1314307303631295E-3</v>
      </c>
      <c r="T91" s="476">
        <f>(L91*M91*O91*Q91*S91)^(1/5)</f>
        <v>3.0245670903882652E-3</v>
      </c>
      <c r="U91" s="476"/>
      <c r="V91" s="476"/>
      <c r="W91" s="476"/>
      <c r="X91" s="618"/>
      <c r="Y91" s="613">
        <f>Y89/Y61</f>
        <v>2.8103831366609522E-3</v>
      </c>
      <c r="Z91" s="619"/>
      <c r="AA91" s="617">
        <f>AA89/AA61</f>
        <v>3.1033197890193796E-3</v>
      </c>
      <c r="AB91" s="439">
        <f t="shared" si="89"/>
        <v>9.0451336560434612E-3</v>
      </c>
      <c r="AC91" s="461">
        <f t="shared" si="82"/>
        <v>1.9982791819712923E-10</v>
      </c>
      <c r="AD91" s="461">
        <f t="shared" si="90"/>
        <v>2.1709685809017203E-10</v>
      </c>
      <c r="AE91" s="461"/>
      <c r="AF91" s="617">
        <f>AF89/AF61</f>
        <v>4.5710516454962732E-3</v>
      </c>
      <c r="AG91" s="617"/>
      <c r="AH91" s="617">
        <f>AH89/AH61</f>
        <v>4.6950868672018999E-3</v>
      </c>
      <c r="AI91" s="617">
        <f>AI89/AI61</f>
        <v>4.6969560112004333E-3</v>
      </c>
      <c r="AJ91" s="326">
        <f t="shared" si="95"/>
        <v>1.5305745804082666E-2</v>
      </c>
      <c r="AK91" s="617"/>
      <c r="AL91" s="489">
        <f t="shared" si="87"/>
        <v>1.7426576493955992E-10</v>
      </c>
      <c r="AM91" s="489">
        <f t="shared" si="84"/>
        <v>1.9958193148812324E-10</v>
      </c>
      <c r="AN91" s="501">
        <f t="shared" si="92"/>
        <v>4.0604748867110958</v>
      </c>
      <c r="AO91" s="623"/>
      <c r="AP91" s="623"/>
      <c r="AQ91" s="623"/>
      <c r="AR91" s="623"/>
      <c r="AS91" s="623"/>
      <c r="AT91" s="624"/>
      <c r="AU91" s="625"/>
      <c r="AV91" s="597">
        <f t="shared" si="85"/>
        <v>0</v>
      </c>
      <c r="AW91" s="597">
        <f t="shared" si="86"/>
        <v>0</v>
      </c>
      <c r="AX91" s="623"/>
      <c r="AY91" s="339">
        <f t="shared" si="94"/>
        <v>4.2425761098369011E-10</v>
      </c>
      <c r="AZ91" s="609">
        <f t="shared" si="88"/>
        <v>2.7565426103417587E-10</v>
      </c>
    </row>
    <row r="92" spans="1:52" s="626" customFormat="1" ht="19.95" hidden="1" customHeight="1">
      <c r="A92" s="627" t="s">
        <v>514</v>
      </c>
      <c r="B92" s="628" t="s">
        <v>577</v>
      </c>
      <c r="C92" s="326">
        <f t="shared" ref="C92:H92" si="97">C25</f>
        <v>23029.594314000002</v>
      </c>
      <c r="D92" s="326">
        <f t="shared" si="97"/>
        <v>31166.499995999999</v>
      </c>
      <c r="E92" s="326">
        <f t="shared" si="97"/>
        <v>23136.025249999999</v>
      </c>
      <c r="F92" s="326">
        <f t="shared" si="97"/>
        <v>29067.688738000001</v>
      </c>
      <c r="G92" s="326">
        <f t="shared" si="97"/>
        <v>25959.988635000002</v>
      </c>
      <c r="H92" s="326">
        <f t="shared" si="97"/>
        <v>29270.382845</v>
      </c>
      <c r="I92" s="326">
        <f>SUM(D92:H92)</f>
        <v>138600.585464</v>
      </c>
      <c r="J92" s="488"/>
      <c r="K92" s="488">
        <f>I92/$I$61</f>
        <v>5.4672495521167833E-3</v>
      </c>
      <c r="L92" s="326">
        <f>L25</f>
        <v>25568.900889</v>
      </c>
      <c r="M92" s="326">
        <f>M25</f>
        <v>31644.635216999995</v>
      </c>
      <c r="N92" s="326"/>
      <c r="O92" s="326">
        <f>O25</f>
        <v>33093.863715</v>
      </c>
      <c r="P92" s="326"/>
      <c r="Q92" s="329">
        <f>Q25</f>
        <v>32699</v>
      </c>
      <c r="R92" s="329"/>
      <c r="S92" s="329">
        <f>S25</f>
        <v>39788</v>
      </c>
      <c r="T92" s="439">
        <f>SUM(L92:S92)</f>
        <v>162794.399821</v>
      </c>
      <c r="U92" s="323"/>
      <c r="V92" s="323">
        <f>T92/$T$61</f>
        <v>4.3048213641918359E-3</v>
      </c>
      <c r="W92" s="323"/>
      <c r="X92" s="340"/>
      <c r="Y92" s="329">
        <f>Y25</f>
        <v>21505</v>
      </c>
      <c r="Z92" s="326"/>
      <c r="AA92" s="326">
        <f>AA25</f>
        <v>50990.684492</v>
      </c>
      <c r="AB92" s="439">
        <f t="shared" si="89"/>
        <v>112283.684492</v>
      </c>
      <c r="AC92" s="461">
        <f t="shared" si="82"/>
        <v>2.4806062323410997E-3</v>
      </c>
      <c r="AD92" s="461">
        <f t="shared" si="90"/>
        <v>2.694977879261561E-3</v>
      </c>
      <c r="AE92" s="461"/>
      <c r="AF92" s="326">
        <f>AF25</f>
        <v>38378</v>
      </c>
      <c r="AG92" s="326"/>
      <c r="AH92" s="326">
        <f>AH25</f>
        <v>53202</v>
      </c>
      <c r="AI92" s="326">
        <f>AI25</f>
        <v>58000</v>
      </c>
      <c r="AJ92" s="326">
        <f t="shared" si="95"/>
        <v>183697.684492</v>
      </c>
      <c r="AK92" s="488"/>
      <c r="AL92" s="489">
        <f t="shared" si="87"/>
        <v>2.0915163439526973E-3</v>
      </c>
      <c r="AM92" s="489">
        <f t="shared" si="84"/>
        <v>2.3953578708350025E-3</v>
      </c>
      <c r="AN92" s="501">
        <f t="shared" si="92"/>
        <v>0.12840297144118051</v>
      </c>
      <c r="AO92" s="623"/>
      <c r="AP92" s="623"/>
      <c r="AQ92" s="623"/>
      <c r="AR92" s="623"/>
      <c r="AS92" s="623"/>
      <c r="AT92" s="624"/>
      <c r="AU92" s="625"/>
      <c r="AV92" s="597">
        <f t="shared" si="85"/>
        <v>0</v>
      </c>
      <c r="AW92" s="597">
        <f t="shared" si="86"/>
        <v>0</v>
      </c>
      <c r="AX92" s="623"/>
      <c r="AY92" s="339">
        <f t="shared" si="94"/>
        <v>5.2389124740312527E-3</v>
      </c>
      <c r="AZ92" s="609">
        <f t="shared" si="88"/>
        <v>3.4038954382065952E-3</v>
      </c>
    </row>
    <row r="93" spans="1:52" s="626" customFormat="1" ht="19.95" hidden="1" customHeight="1">
      <c r="A93" s="627"/>
      <c r="B93" s="616" t="s">
        <v>494</v>
      </c>
      <c r="C93" s="617"/>
      <c r="D93" s="617">
        <f>D92/C92</f>
        <v>1.3533238827856147</v>
      </c>
      <c r="E93" s="617">
        <f>E92/D92</f>
        <v>0.74233633077083871</v>
      </c>
      <c r="F93" s="617">
        <f>F92/E92</f>
        <v>1.2563821323630342</v>
      </c>
      <c r="G93" s="617">
        <f>G92/F92</f>
        <v>0.89308747141848521</v>
      </c>
      <c r="H93" s="617">
        <f>H92/G92</f>
        <v>1.1275190931916215</v>
      </c>
      <c r="I93" s="617"/>
      <c r="J93" s="617">
        <f>(D93*E93*F93*G93*H93)^(1/5)-1</f>
        <v>4.9127867295275518E-2</v>
      </c>
      <c r="K93" s="617"/>
      <c r="L93" s="617">
        <f>L92/H92</f>
        <v>0.87354173071117547</v>
      </c>
      <c r="M93" s="617">
        <f>M92/L92</f>
        <v>1.2376220375829232</v>
      </c>
      <c r="N93" s="617"/>
      <c r="O93" s="617">
        <f>O92/M92</f>
        <v>1.0457969727905556</v>
      </c>
      <c r="P93" s="617"/>
      <c r="Q93" s="613">
        <f>Q92/O92</f>
        <v>0.98806837066833553</v>
      </c>
      <c r="R93" s="613"/>
      <c r="S93" s="613">
        <f>S92/Q92</f>
        <v>1.2167956206611823</v>
      </c>
      <c r="T93" s="476"/>
      <c r="U93" s="476">
        <f>(L93*M93*O93*Q93*S93)^(1/5)-1</f>
        <v>6.3321857530648229E-2</v>
      </c>
      <c r="V93" s="476"/>
      <c r="W93" s="476"/>
      <c r="X93" s="618"/>
      <c r="Y93" s="613">
        <f>Y92/S92</f>
        <v>0.54048959485271941</v>
      </c>
      <c r="Z93" s="619"/>
      <c r="AA93" s="617">
        <f>AA92/Y92</f>
        <v>2.3711083232736572</v>
      </c>
      <c r="AB93" s="439">
        <f t="shared" si="89"/>
        <v>4.1283935387875594</v>
      </c>
      <c r="AC93" s="461">
        <f t="shared" si="82"/>
        <v>9.1205759663175223E-8</v>
      </c>
      <c r="AD93" s="461">
        <f t="shared" si="90"/>
        <v>9.9087675242003023E-8</v>
      </c>
      <c r="AE93" s="461"/>
      <c r="AF93" s="617">
        <f>AF92/AA92</f>
        <v>0.75264728023059146</v>
      </c>
      <c r="AG93" s="617"/>
      <c r="AH93" s="617">
        <f>AH92/AF92</f>
        <v>1.3862629631559749</v>
      </c>
      <c r="AI93" s="617">
        <f>AI92/AH92</f>
        <v>1.0901845795270855</v>
      </c>
      <c r="AJ93" s="326">
        <f t="shared" si="95"/>
        <v>5.3880454608094377</v>
      </c>
      <c r="AK93" s="617">
        <f>(Y93*AA93*AF93*AH93*AI93)^(1/5)-1</f>
        <v>7.8289005003358669E-2</v>
      </c>
      <c r="AL93" s="489">
        <f t="shared" si="87"/>
        <v>6.1346364677415694E-8</v>
      </c>
      <c r="AM93" s="489">
        <f t="shared" si="84"/>
        <v>7.0258354854379019E-8</v>
      </c>
      <c r="AN93" s="501" t="e">
        <f t="shared" si="92"/>
        <v>#DIV/0!</v>
      </c>
      <c r="AO93" s="623"/>
      <c r="AP93" s="623"/>
      <c r="AQ93" s="623"/>
      <c r="AR93" s="623"/>
      <c r="AS93" s="623"/>
      <c r="AT93" s="624"/>
      <c r="AU93" s="625"/>
      <c r="AV93" s="597">
        <f t="shared" si="85"/>
        <v>0</v>
      </c>
      <c r="AW93" s="597">
        <f t="shared" si="86"/>
        <v>0</v>
      </c>
      <c r="AX93" s="623"/>
      <c r="AY93" s="339">
        <f t="shared" si="94"/>
        <v>9.8472096425533869E-8</v>
      </c>
      <c r="AZ93" s="609">
        <f t="shared" si="88"/>
        <v>6.3980591673369337E-8</v>
      </c>
    </row>
    <row r="94" spans="1:52" s="626" customFormat="1" ht="19.95" hidden="1" customHeight="1">
      <c r="A94" s="627"/>
      <c r="B94" s="628" t="s">
        <v>29</v>
      </c>
      <c r="C94" s="617"/>
      <c r="D94" s="617">
        <f>D92/D61</f>
        <v>8.4207441130783843E-3</v>
      </c>
      <c r="E94" s="617">
        <f>E92/E61</f>
        <v>4.9169969727361346E-3</v>
      </c>
      <c r="F94" s="617">
        <f>F92/F61</f>
        <v>5.4560720740832137E-3</v>
      </c>
      <c r="G94" s="617">
        <f>G92/G61</f>
        <v>4.5754127290024305E-3</v>
      </c>
      <c r="H94" s="617">
        <f>H92/H61</f>
        <v>4.9250197039905378E-3</v>
      </c>
      <c r="I94" s="617"/>
      <c r="J94" s="617"/>
      <c r="K94" s="617"/>
      <c r="L94" s="617">
        <f>L92/L61</f>
        <v>4.1032928920298594E-3</v>
      </c>
      <c r="M94" s="617">
        <f>M92/M61</f>
        <v>4.5138647305923568E-3</v>
      </c>
      <c r="N94" s="617"/>
      <c r="O94" s="617">
        <f>O92/O61</f>
        <v>4.3884943969987175E-3</v>
      </c>
      <c r="P94" s="617"/>
      <c r="Q94" s="613">
        <f>Q92/Q61</f>
        <v>3.8952083065058045E-3</v>
      </c>
      <c r="R94" s="613"/>
      <c r="S94" s="613">
        <f>S92/S61</f>
        <v>4.6055286252795697E-3</v>
      </c>
      <c r="T94" s="476">
        <f>(L94*M94*O94*Q94*S94)^(1/5)</f>
        <v>4.2930046213503137E-3</v>
      </c>
      <c r="U94" s="476"/>
      <c r="V94" s="476"/>
      <c r="W94" s="476"/>
      <c r="X94" s="618"/>
      <c r="Y94" s="613">
        <f>Y92/Y61</f>
        <v>2.237009636669274E-3</v>
      </c>
      <c r="Z94" s="619"/>
      <c r="AA94" s="617">
        <f>AA92/AA61</f>
        <v>5.614537587351383E-3</v>
      </c>
      <c r="AB94" s="439">
        <f t="shared" si="89"/>
        <v>1.2457075849300225E-2</v>
      </c>
      <c r="AC94" s="461">
        <f t="shared" si="82"/>
        <v>2.7520561093380917E-10</v>
      </c>
      <c r="AD94" s="461">
        <f t="shared" si="90"/>
        <v>2.9898861981626046E-10</v>
      </c>
      <c r="AE94" s="461"/>
      <c r="AF94" s="617">
        <f>AF92/AF61</f>
        <v>4.1029029176709308E-3</v>
      </c>
      <c r="AG94" s="617"/>
      <c r="AH94" s="617">
        <f>AH92/AH61</f>
        <v>4.9884770536791382E-3</v>
      </c>
      <c r="AI94" s="617">
        <f>AI92/AI61</f>
        <v>5.2389124740312527E-3</v>
      </c>
      <c r="AJ94" s="326">
        <f t="shared" si="95"/>
        <v>1.8078936751731049E-2</v>
      </c>
      <c r="AK94" s="617"/>
      <c r="AL94" s="489">
        <f t="shared" si="87"/>
        <v>2.0584032837484839E-10</v>
      </c>
      <c r="AM94" s="489">
        <f t="shared" si="84"/>
        <v>2.3574343663800022E-10</v>
      </c>
      <c r="AN94" s="501">
        <f t="shared" si="92"/>
        <v>3.2112549010125537</v>
      </c>
      <c r="AO94" s="623"/>
      <c r="AP94" s="623"/>
      <c r="AQ94" s="623"/>
      <c r="AR94" s="623"/>
      <c r="AS94" s="623"/>
      <c r="AT94" s="624"/>
      <c r="AU94" s="625"/>
      <c r="AV94" s="597">
        <f t="shared" si="85"/>
        <v>0</v>
      </c>
      <c r="AW94" s="597">
        <f t="shared" si="86"/>
        <v>0</v>
      </c>
      <c r="AX94" s="623"/>
      <c r="AY94" s="339">
        <f t="shared" si="94"/>
        <v>4.7321041225103899E-10</v>
      </c>
      <c r="AZ94" s="609">
        <f t="shared" si="88"/>
        <v>3.0746052192273463E-10</v>
      </c>
    </row>
    <row r="95" spans="1:52" s="626" customFormat="1" ht="19.95" hidden="1" customHeight="1">
      <c r="A95" s="627" t="s">
        <v>514</v>
      </c>
      <c r="B95" s="628" t="s">
        <v>601</v>
      </c>
      <c r="C95" s="326">
        <f t="shared" ref="C95:H95" si="98">C26</f>
        <v>43901.085969</v>
      </c>
      <c r="D95" s="326">
        <f t="shared" si="98"/>
        <v>218884.160164</v>
      </c>
      <c r="E95" s="326">
        <f t="shared" si="98"/>
        <v>202429.24258699999</v>
      </c>
      <c r="F95" s="326">
        <f t="shared" si="98"/>
        <v>246506.12884799999</v>
      </c>
      <c r="G95" s="326">
        <f t="shared" si="98"/>
        <v>220529.87967299999</v>
      </c>
      <c r="H95" s="326">
        <f t="shared" si="98"/>
        <v>268672.20944100001</v>
      </c>
      <c r="I95" s="326">
        <f>SUM(D95:H95)</f>
        <v>1157021.620713</v>
      </c>
      <c r="J95" s="488"/>
      <c r="K95" s="488">
        <f>I95/$I$61</f>
        <v>4.5639965491167583E-2</v>
      </c>
      <c r="L95" s="326">
        <f>L26</f>
        <v>429583.572162</v>
      </c>
      <c r="M95" s="326">
        <f>M26</f>
        <v>427772.94375599996</v>
      </c>
      <c r="N95" s="326"/>
      <c r="O95" s="326">
        <f>O26</f>
        <v>484349.07345999999</v>
      </c>
      <c r="P95" s="326"/>
      <c r="Q95" s="329">
        <f>Q26</f>
        <v>412864</v>
      </c>
      <c r="R95" s="329"/>
      <c r="S95" s="329">
        <f>S26</f>
        <v>630109</v>
      </c>
      <c r="T95" s="439">
        <f>SUM(L95:S95)</f>
        <v>2384678.5893779998</v>
      </c>
      <c r="U95" s="323"/>
      <c r="V95" s="323">
        <f>T95/$T$61</f>
        <v>6.3058774439248427E-2</v>
      </c>
      <c r="W95" s="323"/>
      <c r="X95" s="340"/>
      <c r="Y95" s="329">
        <f>Y26</f>
        <v>877453</v>
      </c>
      <c r="Z95" s="326"/>
      <c r="AA95" s="326">
        <f>AA26</f>
        <v>630626.71309500001</v>
      </c>
      <c r="AB95" s="439">
        <f t="shared" si="89"/>
        <v>2138188.713095</v>
      </c>
      <c r="AC95" s="461">
        <f t="shared" si="82"/>
        <v>4.7237532965020868E-2</v>
      </c>
      <c r="AD95" s="461">
        <f t="shared" si="90"/>
        <v>5.1319755933804674E-2</v>
      </c>
      <c r="AE95" s="461"/>
      <c r="AF95" s="326">
        <f>AF26</f>
        <v>539140</v>
      </c>
      <c r="AG95" s="326"/>
      <c r="AH95" s="326">
        <f>AH26</f>
        <v>601385</v>
      </c>
      <c r="AI95" s="326">
        <f>AI26</f>
        <v>611000</v>
      </c>
      <c r="AJ95" s="326">
        <f t="shared" si="95"/>
        <v>2720464.713095</v>
      </c>
      <c r="AK95" s="488"/>
      <c r="AL95" s="489">
        <f t="shared" si="87"/>
        <v>3.0974241326556143E-2</v>
      </c>
      <c r="AM95" s="489">
        <f t="shared" si="84"/>
        <v>3.547397225425989E-2</v>
      </c>
      <c r="AN95" s="501">
        <f t="shared" si="92"/>
        <v>0.14080980355704198</v>
      </c>
      <c r="AO95" s="623"/>
      <c r="AP95" s="623"/>
      <c r="AQ95" s="623"/>
      <c r="AR95" s="623"/>
      <c r="AS95" s="623"/>
      <c r="AT95" s="624"/>
      <c r="AU95" s="625"/>
      <c r="AV95" s="597">
        <f t="shared" si="85"/>
        <v>0</v>
      </c>
      <c r="AW95" s="597">
        <f t="shared" si="86"/>
        <v>0</v>
      </c>
      <c r="AX95" s="623"/>
      <c r="AY95" s="339">
        <f t="shared" si="94"/>
        <v>5.5189233131605092E-2</v>
      </c>
      <c r="AZ95" s="609">
        <f t="shared" si="88"/>
        <v>3.5858277805934993E-2</v>
      </c>
    </row>
    <row r="96" spans="1:52" s="626" customFormat="1" ht="19.95" hidden="1" customHeight="1">
      <c r="A96" s="627"/>
      <c r="B96" s="616" t="s">
        <v>494</v>
      </c>
      <c r="C96" s="617"/>
      <c r="D96" s="617">
        <f>D95/C95</f>
        <v>4.9858484211201812</v>
      </c>
      <c r="E96" s="617">
        <f>E95/D95</f>
        <v>0.92482362558957631</v>
      </c>
      <c r="F96" s="617">
        <f>F95/E95</f>
        <v>1.2177397183218559</v>
      </c>
      <c r="G96" s="617">
        <f>G95/F95</f>
        <v>0.89462229885968714</v>
      </c>
      <c r="H96" s="617">
        <f>H95/G95</f>
        <v>1.2183029793485813</v>
      </c>
      <c r="I96" s="617"/>
      <c r="J96" s="617">
        <f>(D96*E96*F96*G96*H96)^(1/5)-1</f>
        <v>0.43664510244794985</v>
      </c>
      <c r="K96" s="617"/>
      <c r="L96" s="617">
        <f>L95/H95</f>
        <v>1.5989133117109229</v>
      </c>
      <c r="M96" s="617">
        <f>M95/L95</f>
        <v>0.9957851544534454</v>
      </c>
      <c r="N96" s="617"/>
      <c r="O96" s="617">
        <f>O95/M95</f>
        <v>1.1322573821692445</v>
      </c>
      <c r="P96" s="617"/>
      <c r="Q96" s="613">
        <f>Q95/O95</f>
        <v>0.85241001299055119</v>
      </c>
      <c r="R96" s="613"/>
      <c r="S96" s="613">
        <f>S95/Q95</f>
        <v>1.5261902224461323</v>
      </c>
      <c r="T96" s="476"/>
      <c r="U96" s="476">
        <f>(L96*M96*O96*Q96*S96)^(1/5)-1</f>
        <v>0.18587410877712252</v>
      </c>
      <c r="V96" s="476"/>
      <c r="W96" s="476"/>
      <c r="X96" s="618"/>
      <c r="Y96" s="613">
        <f>Y95/S95</f>
        <v>1.3925416078805413</v>
      </c>
      <c r="Z96" s="619"/>
      <c r="AA96" s="617">
        <f>AA95/Y95</f>
        <v>0.71870141545473087</v>
      </c>
      <c r="AB96" s="439">
        <f t="shared" si="89"/>
        <v>3.6374332457814047</v>
      </c>
      <c r="AC96" s="461">
        <f t="shared" si="82"/>
        <v>8.0359311506677019E-8</v>
      </c>
      <c r="AD96" s="461">
        <f t="shared" si="90"/>
        <v>8.7303887283551835E-8</v>
      </c>
      <c r="AE96" s="461"/>
      <c r="AF96" s="617">
        <f>AF95/AA95</f>
        <v>0.85492731088729168</v>
      </c>
      <c r="AG96" s="617"/>
      <c r="AH96" s="617">
        <f>AH95/AF95</f>
        <v>1.115452387135067</v>
      </c>
      <c r="AI96" s="617">
        <f>AI95/AH95</f>
        <v>1.0159880941493387</v>
      </c>
      <c r="AJ96" s="326">
        <f t="shared" si="95"/>
        <v>4.242683504619678</v>
      </c>
      <c r="AK96" s="617">
        <f>(Y96*AA96*AF96*AH96*AI96)^(1/5)-1</f>
        <v>-6.1402434049425691E-3</v>
      </c>
      <c r="AL96" s="489">
        <f t="shared" si="87"/>
        <v>4.8305681787279197E-8</v>
      </c>
      <c r="AM96" s="489">
        <f t="shared" si="84"/>
        <v>5.5323208642268779E-8</v>
      </c>
      <c r="AN96" s="501" t="e">
        <f t="shared" si="92"/>
        <v>#DIV/0!</v>
      </c>
      <c r="AO96" s="623"/>
      <c r="AP96" s="623"/>
      <c r="AQ96" s="623"/>
      <c r="AR96" s="623"/>
      <c r="AS96" s="623"/>
      <c r="AT96" s="624"/>
      <c r="AU96" s="625"/>
      <c r="AV96" s="597">
        <f t="shared" si="85"/>
        <v>0</v>
      </c>
      <c r="AW96" s="597">
        <f t="shared" si="86"/>
        <v>0</v>
      </c>
      <c r="AX96" s="623"/>
      <c r="AY96" s="339">
        <f t="shared" si="94"/>
        <v>9.1770218963900165E-8</v>
      </c>
      <c r="AZ96" s="609">
        <f t="shared" si="88"/>
        <v>5.9626159292192183E-8</v>
      </c>
    </row>
    <row r="97" spans="1:52" s="626" customFormat="1" ht="19.95" hidden="1" customHeight="1">
      <c r="A97" s="627"/>
      <c r="B97" s="628" t="s">
        <v>29</v>
      </c>
      <c r="C97" s="617"/>
      <c r="D97" s="617">
        <f>D95/D61</f>
        <v>5.9139380533061683E-2</v>
      </c>
      <c r="E97" s="617">
        <f>E95/E61</f>
        <v>4.3021390331234512E-2</v>
      </c>
      <c r="F97" s="617">
        <f>F95/F61</f>
        <v>4.6269767707388443E-2</v>
      </c>
      <c r="G97" s="617">
        <f>G95/G61</f>
        <v>3.8868091691721125E-2</v>
      </c>
      <c r="H97" s="617">
        <f>H95/H61</f>
        <v>4.5206649069765445E-2</v>
      </c>
      <c r="I97" s="617"/>
      <c r="J97" s="617"/>
      <c r="K97" s="617"/>
      <c r="L97" s="617">
        <f>L95/L61</f>
        <v>6.8939499035856694E-2</v>
      </c>
      <c r="M97" s="617">
        <f>M95/M61</f>
        <v>6.1018532534214874E-2</v>
      </c>
      <c r="N97" s="617"/>
      <c r="O97" s="617">
        <f>O95/O61</f>
        <v>6.4228317774430957E-2</v>
      </c>
      <c r="P97" s="617"/>
      <c r="Q97" s="613">
        <f>Q95/Q61</f>
        <v>4.9181665563387642E-2</v>
      </c>
      <c r="R97" s="613"/>
      <c r="S97" s="613">
        <f>S95/S61</f>
        <v>7.2936187708512221E-2</v>
      </c>
      <c r="T97" s="476">
        <f>(L97*M97*O97*Q97*S97)^(1/5)</f>
        <v>6.2701877357937419E-2</v>
      </c>
      <c r="U97" s="476"/>
      <c r="V97" s="476"/>
      <c r="W97" s="476"/>
      <c r="X97" s="618"/>
      <c r="Y97" s="613">
        <f>Y95/Y61</f>
        <v>9.1275090291763061E-2</v>
      </c>
      <c r="Z97" s="619"/>
      <c r="AA97" s="617">
        <f>AA95/AA61</f>
        <v>6.9437730039008119E-2</v>
      </c>
      <c r="AB97" s="439">
        <f t="shared" si="89"/>
        <v>0.2336490080392834</v>
      </c>
      <c r="AC97" s="461">
        <f t="shared" si="82"/>
        <v>5.1618468715626879E-9</v>
      </c>
      <c r="AD97" s="461">
        <f t="shared" si="90"/>
        <v>5.6079288012866978E-9</v>
      </c>
      <c r="AE97" s="461"/>
      <c r="AF97" s="617">
        <f>AF95/AF61</f>
        <v>5.763820623881144E-2</v>
      </c>
      <c r="AG97" s="617"/>
      <c r="AH97" s="617">
        <f>AH95/AH61</f>
        <v>5.6388768710327219E-2</v>
      </c>
      <c r="AI97" s="617">
        <f>AI95/AI61</f>
        <v>5.5189233131605092E-2</v>
      </c>
      <c r="AJ97" s="326">
        <f t="shared" si="95"/>
        <v>0.27229082217270351</v>
      </c>
      <c r="AK97" s="617"/>
      <c r="AL97" s="489">
        <f t="shared" si="87"/>
        <v>3.1002062244683793E-9</v>
      </c>
      <c r="AM97" s="489">
        <f t="shared" si="84"/>
        <v>3.5505834809579431E-9</v>
      </c>
      <c r="AN97" s="501">
        <f t="shared" si="92"/>
        <v>3.3426263079543066</v>
      </c>
      <c r="AO97" s="623"/>
      <c r="AP97" s="623"/>
      <c r="AQ97" s="623"/>
      <c r="AR97" s="623"/>
      <c r="AS97" s="623"/>
      <c r="AT97" s="624"/>
      <c r="AU97" s="625"/>
      <c r="AV97" s="597">
        <f t="shared" si="85"/>
        <v>0</v>
      </c>
      <c r="AW97" s="597">
        <f t="shared" si="86"/>
        <v>0</v>
      </c>
      <c r="AX97" s="623"/>
      <c r="AY97" s="339">
        <f t="shared" si="94"/>
        <v>4.9850269290583594E-9</v>
      </c>
      <c r="AZ97" s="609">
        <f t="shared" si="88"/>
        <v>3.2389375671515665E-9</v>
      </c>
    </row>
    <row r="98" spans="1:52" s="626" customFormat="1" ht="19.95" hidden="1" customHeight="1">
      <c r="A98" s="627" t="s">
        <v>514</v>
      </c>
      <c r="B98" s="628" t="s">
        <v>602</v>
      </c>
      <c r="C98" s="326">
        <f t="shared" ref="C98:H98" si="99">C28</f>
        <v>94193.786722000004</v>
      </c>
      <c r="D98" s="326">
        <f t="shared" si="99"/>
        <v>152596.82905999999</v>
      </c>
      <c r="E98" s="326">
        <f t="shared" si="99"/>
        <v>178848.46695199999</v>
      </c>
      <c r="F98" s="326">
        <f t="shared" si="99"/>
        <v>238787.16765700001</v>
      </c>
      <c r="G98" s="326">
        <f t="shared" si="99"/>
        <v>225609.581118</v>
      </c>
      <c r="H98" s="326">
        <f t="shared" si="99"/>
        <v>248340.399725</v>
      </c>
      <c r="I98" s="326">
        <f>SUM(D98:H98)</f>
        <v>1044182.444512</v>
      </c>
      <c r="J98" s="488"/>
      <c r="K98" s="488">
        <f>I98/$I$61</f>
        <v>4.1188902506975628E-2</v>
      </c>
      <c r="L98" s="326">
        <f>L28</f>
        <v>281758.40066300001</v>
      </c>
      <c r="M98" s="326">
        <f>M28</f>
        <v>323370.00026400003</v>
      </c>
      <c r="N98" s="326"/>
      <c r="O98" s="326">
        <f>O28</f>
        <v>369167.60954500001</v>
      </c>
      <c r="P98" s="326"/>
      <c r="Q98" s="329">
        <f>Q28</f>
        <v>398306</v>
      </c>
      <c r="R98" s="329"/>
      <c r="S98" s="329">
        <f>S28</f>
        <v>409899</v>
      </c>
      <c r="T98" s="439">
        <f>SUM(L98:S98)</f>
        <v>1782501.0104720001</v>
      </c>
      <c r="U98" s="323"/>
      <c r="V98" s="323">
        <f>T98/$T$61</f>
        <v>4.71352112849742E-2</v>
      </c>
      <c r="W98" s="323"/>
      <c r="X98" s="340"/>
      <c r="Y98" s="329">
        <f>Y28</f>
        <v>535919</v>
      </c>
      <c r="Z98" s="326"/>
      <c r="AA98" s="326">
        <f>AA28</f>
        <v>481069.09012800001</v>
      </c>
      <c r="AB98" s="439">
        <f t="shared" si="89"/>
        <v>1426887.0901279999</v>
      </c>
      <c r="AC98" s="461">
        <f t="shared" si="82"/>
        <v>3.1523235318046218E-2</v>
      </c>
      <c r="AD98" s="461">
        <f t="shared" si="90"/>
        <v>3.4247443531057589E-2</v>
      </c>
      <c r="AE98" s="461"/>
      <c r="AF98" s="326">
        <f>AF28</f>
        <v>326504</v>
      </c>
      <c r="AG98" s="326"/>
      <c r="AH98" s="326">
        <f>AH28</f>
        <v>367327</v>
      </c>
      <c r="AI98" s="326">
        <f>AI28</f>
        <v>386000</v>
      </c>
      <c r="AJ98" s="326">
        <f t="shared" si="95"/>
        <v>1770315.0901279999</v>
      </c>
      <c r="AK98" s="488"/>
      <c r="AL98" s="489">
        <f t="shared" si="87"/>
        <v>2.0156176465632333E-2</v>
      </c>
      <c r="AM98" s="489">
        <f t="shared" si="84"/>
        <v>2.3084331175555757E-2</v>
      </c>
      <c r="AN98" s="501">
        <f t="shared" si="92"/>
        <v>-6.8364170748904662E-3</v>
      </c>
      <c r="AO98" s="623"/>
      <c r="AP98" s="623"/>
      <c r="AQ98" s="623"/>
      <c r="AR98" s="623"/>
      <c r="AS98" s="623"/>
      <c r="AT98" s="624"/>
      <c r="AU98" s="625"/>
      <c r="AV98" s="597">
        <f t="shared" si="85"/>
        <v>0</v>
      </c>
      <c r="AW98" s="597">
        <f t="shared" si="86"/>
        <v>0</v>
      </c>
      <c r="AX98" s="623"/>
      <c r="AY98" s="339">
        <f t="shared" si="94"/>
        <v>3.4865865775449374E-2</v>
      </c>
      <c r="AZ98" s="609">
        <f t="shared" si="88"/>
        <v>2.265351101978872E-2</v>
      </c>
    </row>
    <row r="99" spans="1:52" s="626" customFormat="1" ht="19.95" hidden="1" customHeight="1">
      <c r="A99" s="627"/>
      <c r="B99" s="616" t="s">
        <v>494</v>
      </c>
      <c r="C99" s="617"/>
      <c r="D99" s="617">
        <f>D98/C98</f>
        <v>1.6200307299500394</v>
      </c>
      <c r="E99" s="617">
        <f>E98/D98</f>
        <v>1.1720326566004726</v>
      </c>
      <c r="F99" s="617">
        <f>F98/E98</f>
        <v>1.335136787731519</v>
      </c>
      <c r="G99" s="617">
        <f>G98/F98</f>
        <v>0.94481451131440763</v>
      </c>
      <c r="H99" s="617">
        <f>H98/G98</f>
        <v>1.1007528957518482</v>
      </c>
      <c r="I99" s="617"/>
      <c r="J99" s="617">
        <f>(D99*E99*F99*G99*H99)^(1/5)-1</f>
        <v>0.21396180824494704</v>
      </c>
      <c r="K99" s="617"/>
      <c r="L99" s="617">
        <f>L98/H98</f>
        <v>1.1345653022021607</v>
      </c>
      <c r="M99" s="617">
        <f>M98/L98</f>
        <v>1.1476853911119762</v>
      </c>
      <c r="N99" s="617"/>
      <c r="O99" s="617">
        <f>O98/M98</f>
        <v>1.1416260297603695</v>
      </c>
      <c r="P99" s="617"/>
      <c r="Q99" s="613">
        <f>Q98/O98</f>
        <v>1.0789299757118809</v>
      </c>
      <c r="R99" s="613"/>
      <c r="S99" s="613">
        <f>S98/Q98</f>
        <v>1.0291057629059066</v>
      </c>
      <c r="T99" s="476"/>
      <c r="U99" s="476">
        <f>(L99*M99*O99*Q99*S99)^(1/5)-1</f>
        <v>0.10541638242081675</v>
      </c>
      <c r="V99" s="476"/>
      <c r="W99" s="476"/>
      <c r="X99" s="618"/>
      <c r="Y99" s="613">
        <f>Y98/S98</f>
        <v>1.3074415892695517</v>
      </c>
      <c r="Z99" s="619"/>
      <c r="AA99" s="617">
        <f>AA98/Y98</f>
        <v>0.89765261192083134</v>
      </c>
      <c r="AB99" s="439">
        <f t="shared" si="89"/>
        <v>3.2341999640962893</v>
      </c>
      <c r="AC99" s="461">
        <f t="shared" si="82"/>
        <v>7.1450955887952028E-8</v>
      </c>
      <c r="AD99" s="461">
        <f t="shared" si="90"/>
        <v>7.7625679988877095E-8</v>
      </c>
      <c r="AE99" s="461"/>
      <c r="AF99" s="617">
        <f>AF98/AA98</f>
        <v>0.67870500661999666</v>
      </c>
      <c r="AG99" s="617"/>
      <c r="AH99" s="617">
        <f>AH98/AF98</f>
        <v>1.125030627496141</v>
      </c>
      <c r="AI99" s="617">
        <f>AI98/AH98</f>
        <v>1.0508348147563342</v>
      </c>
      <c r="AJ99" s="326">
        <f t="shared" si="95"/>
        <v>4.3809596434428579</v>
      </c>
      <c r="AK99" s="617">
        <f>(Y99*AA99*AF99*AH99*AI99)^(1/5)-1</f>
        <v>-1.1942795564957476E-2</v>
      </c>
      <c r="AL99" s="489">
        <f t="shared" si="87"/>
        <v>4.9880044605880472E-8</v>
      </c>
      <c r="AM99" s="489">
        <f t="shared" si="84"/>
        <v>5.7126284377244641E-8</v>
      </c>
      <c r="AN99" s="501" t="e">
        <f t="shared" si="92"/>
        <v>#DIV/0!</v>
      </c>
      <c r="AO99" s="623"/>
      <c r="AP99" s="623"/>
      <c r="AQ99" s="623"/>
      <c r="AR99" s="623"/>
      <c r="AS99" s="623"/>
      <c r="AT99" s="624"/>
      <c r="AU99" s="625"/>
      <c r="AV99" s="597">
        <f t="shared" si="85"/>
        <v>0</v>
      </c>
      <c r="AW99" s="597">
        <f t="shared" si="86"/>
        <v>0</v>
      </c>
      <c r="AX99" s="623"/>
      <c r="AY99" s="339">
        <f t="shared" si="94"/>
        <v>9.4917786537470352E-8</v>
      </c>
      <c r="AZ99" s="609">
        <f t="shared" si="88"/>
        <v>6.1671238487202737E-8</v>
      </c>
    </row>
    <row r="100" spans="1:52" s="626" customFormat="1" ht="19.95" hidden="1" customHeight="1">
      <c r="A100" s="627"/>
      <c r="B100" s="628" t="s">
        <v>29</v>
      </c>
      <c r="C100" s="617"/>
      <c r="D100" s="617">
        <f>D98/D61</f>
        <v>4.1229488397681535E-2</v>
      </c>
      <c r="E100" s="617">
        <f>E98/E61</f>
        <v>3.8009872529054342E-2</v>
      </c>
      <c r="F100" s="617">
        <f>F98/F61</f>
        <v>4.4820900927000432E-2</v>
      </c>
      <c r="G100" s="617">
        <f>G98/G61</f>
        <v>3.9763382170379113E-2</v>
      </c>
      <c r="H100" s="617">
        <f>H98/H61</f>
        <v>4.1785629126181362E-2</v>
      </c>
      <c r="I100" s="617"/>
      <c r="J100" s="617"/>
      <c r="K100" s="617"/>
      <c r="L100" s="617">
        <f>L98/L61</f>
        <v>4.5216540504780599E-2</v>
      </c>
      <c r="M100" s="617">
        <f>M98/M61</f>
        <v>4.6126252652745531E-2</v>
      </c>
      <c r="N100" s="617"/>
      <c r="O100" s="617">
        <f>O98/O61</f>
        <v>4.8954392270230053E-2</v>
      </c>
      <c r="P100" s="617"/>
      <c r="Q100" s="613">
        <f>Q98/Q61</f>
        <v>4.7447470556625612E-2</v>
      </c>
      <c r="R100" s="613"/>
      <c r="S100" s="613">
        <f>S98/S61</f>
        <v>4.7446505930769836E-2</v>
      </c>
      <c r="T100" s="476">
        <f>(L100*M100*O100*Q100*S100)^(1/5)</f>
        <v>4.7020895276161899E-2</v>
      </c>
      <c r="U100" s="476"/>
      <c r="V100" s="476"/>
      <c r="W100" s="476"/>
      <c r="X100" s="618"/>
      <c r="Y100" s="613">
        <f>Y98/Y61</f>
        <v>5.5747778073664767E-2</v>
      </c>
      <c r="Z100" s="619"/>
      <c r="AA100" s="617">
        <f>AA98/AA61</f>
        <v>5.2970077094382735E-2</v>
      </c>
      <c r="AB100" s="439">
        <f t="shared" si="89"/>
        <v>0.15616436109881732</v>
      </c>
      <c r="AC100" s="461">
        <f t="shared" si="82"/>
        <v>3.4500318471370829E-9</v>
      </c>
      <c r="AD100" s="461">
        <f t="shared" si="90"/>
        <v>3.7481803397742323E-9</v>
      </c>
      <c r="AE100" s="461"/>
      <c r="AF100" s="617">
        <f>AF98/AF61</f>
        <v>3.4905784934890549E-2</v>
      </c>
      <c r="AG100" s="617"/>
      <c r="AH100" s="617">
        <f>AH98/AH61</f>
        <v>3.4442357631231851E-2</v>
      </c>
      <c r="AI100" s="617">
        <f>AI98/AI61</f>
        <v>3.4865865775449374E-2</v>
      </c>
      <c r="AJ100" s="326">
        <f t="shared" si="95"/>
        <v>0.17802607857472871</v>
      </c>
      <c r="AK100" s="617"/>
      <c r="AL100" s="489">
        <f t="shared" si="87"/>
        <v>2.0269414610126332E-9</v>
      </c>
      <c r="AM100" s="489">
        <f t="shared" si="84"/>
        <v>2.3214019801454721E-9</v>
      </c>
      <c r="AN100" s="501">
        <f t="shared" si="92"/>
        <v>2.7861056776811792</v>
      </c>
      <c r="AO100" s="623"/>
      <c r="AP100" s="623"/>
      <c r="AQ100" s="623"/>
      <c r="AR100" s="623"/>
      <c r="AS100" s="623"/>
      <c r="AT100" s="624"/>
      <c r="AU100" s="625"/>
      <c r="AV100" s="597">
        <f t="shared" si="85"/>
        <v>0</v>
      </c>
      <c r="AW100" s="597">
        <f t="shared" si="86"/>
        <v>0</v>
      </c>
      <c r="AX100" s="623"/>
      <c r="AY100" s="339">
        <f t="shared" si="94"/>
        <v>3.1492968815327769E-9</v>
      </c>
      <c r="AZ100" s="609">
        <f t="shared" si="88"/>
        <v>2.0462027838306132E-9</v>
      </c>
    </row>
    <row r="101" spans="1:52" s="626" customFormat="1" ht="19.95" hidden="1" customHeight="1">
      <c r="A101" s="627" t="s">
        <v>514</v>
      </c>
      <c r="B101" s="628" t="s">
        <v>90</v>
      </c>
      <c r="C101" s="326">
        <f t="shared" ref="C101:H101" si="100">C29</f>
        <v>128028.82776499999</v>
      </c>
      <c r="D101" s="326">
        <f t="shared" si="100"/>
        <v>99701.489849999984</v>
      </c>
      <c r="E101" s="326">
        <f t="shared" si="100"/>
        <v>187075.50684300001</v>
      </c>
      <c r="F101" s="326">
        <f t="shared" si="100"/>
        <v>207923.348959</v>
      </c>
      <c r="G101" s="326">
        <f t="shared" si="100"/>
        <v>124789.76882299999</v>
      </c>
      <c r="H101" s="326">
        <f t="shared" si="100"/>
        <v>135164.902485</v>
      </c>
      <c r="I101" s="326">
        <f>SUM(D101:H101)</f>
        <v>754655.01695999992</v>
      </c>
      <c r="J101" s="488"/>
      <c r="K101" s="488">
        <f>I101/$I$61</f>
        <v>2.9768180918318683E-2</v>
      </c>
      <c r="L101" s="326">
        <f>L29</f>
        <v>111781.932877</v>
      </c>
      <c r="M101" s="326">
        <f>M29</f>
        <v>102494.98850700002</v>
      </c>
      <c r="N101" s="326"/>
      <c r="O101" s="326">
        <f>O29</f>
        <v>96564.608066000015</v>
      </c>
      <c r="P101" s="326"/>
      <c r="Q101" s="329">
        <f>Q29</f>
        <v>112835</v>
      </c>
      <c r="R101" s="329"/>
      <c r="S101" s="329">
        <f>S29</f>
        <v>90921</v>
      </c>
      <c r="T101" s="439">
        <f>SUM(L101:S101)</f>
        <v>514597.52945000003</v>
      </c>
      <c r="U101" s="323"/>
      <c r="V101" s="323">
        <f>T101/$T$61</f>
        <v>1.3607657518762735E-2</v>
      </c>
      <c r="W101" s="323"/>
      <c r="X101" s="340"/>
      <c r="Y101" s="329">
        <f>Y29</f>
        <v>137371</v>
      </c>
      <c r="Z101" s="326"/>
      <c r="AA101" s="326">
        <f>AA29</f>
        <v>67462.550237000003</v>
      </c>
      <c r="AB101" s="439">
        <f t="shared" si="89"/>
        <v>295754.55023699999</v>
      </c>
      <c r="AC101" s="461">
        <f t="shared" si="82"/>
        <v>6.5339019099735027E-3</v>
      </c>
      <c r="AD101" s="461">
        <f t="shared" si="90"/>
        <v>7.0985555397984415E-3</v>
      </c>
      <c r="AE101" s="461"/>
      <c r="AF101" s="326">
        <f>AF29</f>
        <v>48511</v>
      </c>
      <c r="AG101" s="326"/>
      <c r="AH101" s="326">
        <f>AH29</f>
        <v>52000</v>
      </c>
      <c r="AI101" s="326">
        <f>AI29</f>
        <v>54000</v>
      </c>
      <c r="AJ101" s="326">
        <f t="shared" si="95"/>
        <v>310833.55023699999</v>
      </c>
      <c r="AK101" s="488"/>
      <c r="AL101" s="489">
        <f t="shared" si="87"/>
        <v>3.5390399850023127E-3</v>
      </c>
      <c r="AM101" s="489">
        <f t="shared" si="84"/>
        <v>4.0531680796020613E-3</v>
      </c>
      <c r="AN101" s="501">
        <f t="shared" si="92"/>
        <v>-0.39596765929051825</v>
      </c>
      <c r="AO101" s="623"/>
      <c r="AP101" s="623"/>
      <c r="AQ101" s="623"/>
      <c r="AR101" s="623"/>
      <c r="AS101" s="623"/>
      <c r="AT101" s="624"/>
      <c r="AU101" s="625"/>
      <c r="AV101" s="597">
        <f t="shared" si="85"/>
        <v>0</v>
      </c>
      <c r="AW101" s="597">
        <f t="shared" si="86"/>
        <v>0</v>
      </c>
      <c r="AX101" s="623"/>
      <c r="AY101" s="339">
        <f t="shared" si="94"/>
        <v>4.8776081654773734E-3</v>
      </c>
      <c r="AZ101" s="609">
        <f t="shared" si="88"/>
        <v>3.1691440286751057E-3</v>
      </c>
    </row>
    <row r="102" spans="1:52" s="626" customFormat="1" ht="19.95" hidden="1" customHeight="1">
      <c r="A102" s="627"/>
      <c r="B102" s="616" t="s">
        <v>494</v>
      </c>
      <c r="C102" s="617"/>
      <c r="D102" s="617">
        <f>D101/C101</f>
        <v>0.77874250346964413</v>
      </c>
      <c r="E102" s="617">
        <f>E101/D101</f>
        <v>1.8763561820836727</v>
      </c>
      <c r="F102" s="617">
        <f>F101/E101</f>
        <v>1.1114407891648594</v>
      </c>
      <c r="G102" s="617">
        <f>G101/F101</f>
        <v>0.60017198379969849</v>
      </c>
      <c r="H102" s="617">
        <f>H101/G101</f>
        <v>1.0831408997697234</v>
      </c>
      <c r="I102" s="617"/>
      <c r="J102" s="617">
        <f>(D102*E102*F102*G102*H102)^(1/5)-1</f>
        <v>1.0907068548416721E-2</v>
      </c>
      <c r="K102" s="617"/>
      <c r="L102" s="617">
        <f>L101/H101</f>
        <v>0.82700413215187329</v>
      </c>
      <c r="M102" s="617">
        <f>M101/L101</f>
        <v>0.91691909299672847</v>
      </c>
      <c r="N102" s="617"/>
      <c r="O102" s="617">
        <f>O101/M101</f>
        <v>0.9421398009074855</v>
      </c>
      <c r="P102" s="617"/>
      <c r="Q102" s="613">
        <f>Q101/O101</f>
        <v>1.1684922898758052</v>
      </c>
      <c r="R102" s="613"/>
      <c r="S102" s="613">
        <f>S101/Q101</f>
        <v>0.80578721141489784</v>
      </c>
      <c r="T102" s="476"/>
      <c r="U102" s="476">
        <f>(L102*M102*O102*Q102*S102)^(1/5)-1</f>
        <v>-7.6238083862337658E-2</v>
      </c>
      <c r="V102" s="476"/>
      <c r="W102" s="476"/>
      <c r="X102" s="618"/>
      <c r="Y102" s="613">
        <f>Y101/S101</f>
        <v>1.5108830743172645</v>
      </c>
      <c r="Z102" s="619"/>
      <c r="AA102" s="617">
        <f>AA101/Y101</f>
        <v>0.49109746771152574</v>
      </c>
      <c r="AB102" s="439">
        <f t="shared" si="89"/>
        <v>2.807767753443688</v>
      </c>
      <c r="AC102" s="461">
        <f t="shared" si="82"/>
        <v>6.2030082283726815E-8</v>
      </c>
      <c r="AD102" s="461">
        <f t="shared" si="90"/>
        <v>6.7390663388622521E-8</v>
      </c>
      <c r="AE102" s="461"/>
      <c r="AF102" s="617">
        <f>AF101/AA101</f>
        <v>0.71908043543533318</v>
      </c>
      <c r="AG102" s="617"/>
      <c r="AH102" s="617">
        <f>AH101/AF101</f>
        <v>1.0719218321617778</v>
      </c>
      <c r="AI102" s="617">
        <f>AI101/AH101</f>
        <v>1.0384615384615385</v>
      </c>
      <c r="AJ102" s="326">
        <f t="shared" si="95"/>
        <v>4.112363912652107</v>
      </c>
      <c r="AK102" s="617">
        <f>(Y102*AA102*AF102*AH102*AI102)^(1/5)-1</f>
        <v>-9.8956182254122949E-2</v>
      </c>
      <c r="AL102" s="489">
        <f t="shared" si="87"/>
        <v>4.6821909374517558E-8</v>
      </c>
      <c r="AM102" s="489">
        <f t="shared" si="84"/>
        <v>5.3623883682311969E-8</v>
      </c>
      <c r="AN102" s="501" t="e">
        <f t="shared" si="92"/>
        <v>#DIV/0!</v>
      </c>
      <c r="AO102" s="623"/>
      <c r="AP102" s="623"/>
      <c r="AQ102" s="623"/>
      <c r="AR102" s="623"/>
      <c r="AS102" s="623"/>
      <c r="AT102" s="624"/>
      <c r="AU102" s="625"/>
      <c r="AV102" s="597">
        <f t="shared" si="85"/>
        <v>0</v>
      </c>
      <c r="AW102" s="597">
        <f t="shared" si="86"/>
        <v>0</v>
      </c>
      <c r="AX102" s="623"/>
      <c r="AY102" s="339">
        <f t="shared" si="94"/>
        <v>9.3800157028411027E-8</v>
      </c>
      <c r="AZ102" s="609">
        <f t="shared" si="88"/>
        <v>6.0945077474521273E-8</v>
      </c>
    </row>
    <row r="103" spans="1:52" s="626" customFormat="1" ht="19.95" hidden="1" customHeight="1">
      <c r="A103" s="627"/>
      <c r="B103" s="628" t="s">
        <v>29</v>
      </c>
      <c r="C103" s="617"/>
      <c r="D103" s="617">
        <f>D101/D61</f>
        <v>2.6937921609012351E-2</v>
      </c>
      <c r="E103" s="617">
        <f>E101/E61</f>
        <v>3.9758328878038769E-2</v>
      </c>
      <c r="F103" s="617">
        <f>F101/F61</f>
        <v>3.9027691125713984E-2</v>
      </c>
      <c r="G103" s="617">
        <f>G101/G61</f>
        <v>2.1994027222039449E-2</v>
      </c>
      <c r="H103" s="617">
        <f>H101/H61</f>
        <v>2.2742777624457977E-2</v>
      </c>
      <c r="I103" s="617"/>
      <c r="J103" s="617"/>
      <c r="K103" s="617"/>
      <c r="L103" s="617">
        <f>L101/L61</f>
        <v>1.7938745690428921E-2</v>
      </c>
      <c r="M103" s="617">
        <f>M101/M61</f>
        <v>1.4620124722931685E-2</v>
      </c>
      <c r="N103" s="617"/>
      <c r="O103" s="617">
        <f>O101/O61</f>
        <v>1.2805190868479354E-2</v>
      </c>
      <c r="P103" s="617"/>
      <c r="Q103" s="613">
        <f>Q101/Q61</f>
        <v>1.3441262095617065E-2</v>
      </c>
      <c r="R103" s="613"/>
      <c r="S103" s="613">
        <f>S101/S61</f>
        <v>1.0524260282975866E-2</v>
      </c>
      <c r="T103" s="476">
        <f>(L103*M103*O103*Q103*S103)^(1/5)</f>
        <v>1.3656901195165744E-2</v>
      </c>
      <c r="U103" s="476"/>
      <c r="V103" s="476"/>
      <c r="W103" s="476"/>
      <c r="X103" s="618"/>
      <c r="Y103" s="613">
        <f>Y101/Y61</f>
        <v>1.4289711732103923E-2</v>
      </c>
      <c r="Z103" s="619"/>
      <c r="AA103" s="617">
        <f>AA101/AA61</f>
        <v>7.4282396445108194E-3</v>
      </c>
      <c r="AB103" s="439">
        <f t="shared" si="89"/>
        <v>3.2242211659590611E-2</v>
      </c>
      <c r="AC103" s="461">
        <f t="shared" si="82"/>
        <v>7.1230501162383722E-10</v>
      </c>
      <c r="AD103" s="461">
        <f t="shared" si="90"/>
        <v>7.7386173774210955E-10</v>
      </c>
      <c r="AE103" s="461"/>
      <c r="AF103" s="617">
        <f>AF101/AF61</f>
        <v>5.186198432412698E-3</v>
      </c>
      <c r="AG103" s="617"/>
      <c r="AH103" s="617">
        <f>AH101/AH61</f>
        <v>4.8757717151858048E-3</v>
      </c>
      <c r="AI103" s="617">
        <f>AI101/AI61</f>
        <v>4.8776081654773734E-3</v>
      </c>
      <c r="AJ103" s="326">
        <f t="shared" si="95"/>
        <v>3.1471331257277919E-2</v>
      </c>
      <c r="AK103" s="617"/>
      <c r="AL103" s="489">
        <f t="shared" si="87"/>
        <v>3.5832135757493844E-10</v>
      </c>
      <c r="AM103" s="489">
        <f t="shared" si="84"/>
        <v>4.1037589146127372E-10</v>
      </c>
      <c r="AN103" s="501">
        <f t="shared" si="92"/>
        <v>1.304426956564503</v>
      </c>
      <c r="AO103" s="623"/>
      <c r="AP103" s="623"/>
      <c r="AQ103" s="623"/>
      <c r="AR103" s="623"/>
      <c r="AS103" s="623"/>
      <c r="AT103" s="624"/>
      <c r="AU103" s="625"/>
      <c r="AV103" s="597">
        <f t="shared" si="85"/>
        <v>0</v>
      </c>
      <c r="AW103" s="597">
        <f t="shared" si="86"/>
        <v>0</v>
      </c>
      <c r="AX103" s="623"/>
      <c r="AY103" s="339">
        <f t="shared" si="94"/>
        <v>4.4057521140613979E-10</v>
      </c>
      <c r="AZ103" s="609">
        <f t="shared" si="88"/>
        <v>2.8625634799702881E-10</v>
      </c>
    </row>
    <row r="104" spans="1:52" s="335" customFormat="1" ht="19.95" hidden="1" customHeight="1">
      <c r="A104" s="629">
        <v>11</v>
      </c>
      <c r="B104" s="276" t="s">
        <v>603</v>
      </c>
      <c r="C104" s="488"/>
      <c r="D104" s="488">
        <f>D10/'[8]Thu NSNN 2010-2025'!H31</f>
        <v>0.11989599893062587</v>
      </c>
      <c r="E104" s="488">
        <f>E10/'[8]Thu NSNN 2010-2025'!I31</f>
        <v>0.13607112841529062</v>
      </c>
      <c r="F104" s="488">
        <f>F10/'[8]Thu NSNN 2010-2025'!J31</f>
        <v>0.13559084834357149</v>
      </c>
      <c r="G104" s="488">
        <f>G10/'[8]Thu NSNN 2010-2025'!K31</f>
        <v>0.14266265654665997</v>
      </c>
      <c r="H104" s="488">
        <f>H10/'[8]Thu NSNN 2010-2025'!L31</f>
        <v>0.1451610747164562</v>
      </c>
      <c r="I104" s="488"/>
      <c r="J104" s="617">
        <f>AVERAGE(D104:H104)</f>
        <v>0.13587634139052082</v>
      </c>
      <c r="K104" s="488"/>
      <c r="L104" s="488">
        <f>L10/'[8]Thu NSNN 2010-2025'!P31</f>
        <v>0.13941914517681381</v>
      </c>
      <c r="M104" s="488">
        <f>M10/'[8]Thu NSNN 2010-2025'!Q31</f>
        <v>0.14765953850903374</v>
      </c>
      <c r="N104" s="488"/>
      <c r="O104" s="488">
        <f>O10/'[8]Thu NSNN 2010-2025'!R31</f>
        <v>0.13743238078604164</v>
      </c>
      <c r="P104" s="488"/>
      <c r="Q104" s="342">
        <f>Q10/'[8]Thu NSNN 2010-2025'!S31</f>
        <v>0.13343094234381342</v>
      </c>
      <c r="R104" s="342"/>
      <c r="S104" s="342" t="e">
        <f>S10/'[8]Thu NSNN 2010-2025'!#REF!</f>
        <v>#REF!</v>
      </c>
      <c r="T104" s="323"/>
      <c r="U104" s="323" t="e">
        <f>AVERAGE(L104,M104,O104,Q104,S104)</f>
        <v>#REF!</v>
      </c>
      <c r="V104" s="323"/>
      <c r="W104" s="323"/>
      <c r="X104" s="340"/>
      <c r="Y104" s="342">
        <f>Y10/'[8]Thu NSNN 2010-2025'!Z31</f>
        <v>0.14555267566295688</v>
      </c>
      <c r="Z104" s="621"/>
      <c r="AA104" s="488">
        <f>AA10/'[8]Thu NSNN 2010-2025'!AA31</f>
        <v>0.1399736177364751</v>
      </c>
      <c r="AB104" s="439" t="e">
        <f t="shared" si="89"/>
        <v>#REF!</v>
      </c>
      <c r="AC104" s="461" t="e">
        <f t="shared" si="82"/>
        <v>#REF!</v>
      </c>
      <c r="AD104" s="461" t="e">
        <f t="shared" si="90"/>
        <v>#REF!</v>
      </c>
      <c r="AE104" s="461"/>
      <c r="AF104" s="488">
        <f>AF10/'[8]Thu NSNN 2010-2025'!AB31</f>
        <v>0.11913717487262315</v>
      </c>
      <c r="AG104" s="488"/>
      <c r="AH104" s="488">
        <f>AH10/'[8]Thu NSNN 2010-2025'!AC31</f>
        <v>0.13993076525407497</v>
      </c>
      <c r="AI104" s="488">
        <f>AI10/'[8]Thu NSNN 2010-2025'!AD31</f>
        <v>3.2781812976275471E-2</v>
      </c>
      <c r="AJ104" s="326">
        <f t="shared" si="95"/>
        <v>0.45823887162978238</v>
      </c>
      <c r="AK104" s="488" t="e">
        <f>AVERAGE(Y104:AI104)</f>
        <v>#REF!</v>
      </c>
      <c r="AL104" s="489">
        <f t="shared" si="87"/>
        <v>5.2173444216161065E-9</v>
      </c>
      <c r="AM104" s="489">
        <f t="shared" si="84"/>
        <v>5.9752853767122566E-9</v>
      </c>
      <c r="AN104" s="501" t="e">
        <f t="shared" si="92"/>
        <v>#DIV/0!</v>
      </c>
      <c r="AO104" s="326"/>
      <c r="AP104" s="326"/>
      <c r="AQ104" s="326"/>
      <c r="AR104" s="326"/>
      <c r="AS104" s="326"/>
      <c r="AT104" s="601"/>
      <c r="AU104" s="607"/>
      <c r="AV104" s="597">
        <f t="shared" si="85"/>
        <v>0</v>
      </c>
      <c r="AW104" s="597">
        <f t="shared" si="86"/>
        <v>0</v>
      </c>
      <c r="AX104" s="326"/>
      <c r="AY104" s="339">
        <f t="shared" si="94"/>
        <v>2.9610525676339511E-9</v>
      </c>
      <c r="AZ104" s="609">
        <f t="shared" si="88"/>
        <v>1.9238942007945837E-9</v>
      </c>
    </row>
    <row r="105" spans="1:52" s="314" customFormat="1" ht="19.95" hidden="1" customHeight="1">
      <c r="A105" s="589">
        <v>12</v>
      </c>
      <c r="B105" s="632" t="s">
        <v>604</v>
      </c>
      <c r="C105" s="591">
        <f t="shared" ref="C105:H105" si="101">C10</f>
        <v>4308494.4799180003</v>
      </c>
      <c r="D105" s="591">
        <f t="shared" si="101"/>
        <v>5000022.8434038907</v>
      </c>
      <c r="E105" s="591">
        <f t="shared" si="101"/>
        <v>5990803.5707400003</v>
      </c>
      <c r="F105" s="591">
        <f t="shared" si="101"/>
        <v>6551207.428568</v>
      </c>
      <c r="G105" s="591">
        <f t="shared" si="101"/>
        <v>7628457.570863001</v>
      </c>
      <c r="H105" s="591">
        <f t="shared" si="101"/>
        <v>8304427.1655269992</v>
      </c>
      <c r="I105" s="591">
        <f>SUM(D105:H105)</f>
        <v>33474918.57910189</v>
      </c>
      <c r="J105" s="592"/>
      <c r="K105" s="592">
        <f>I105/I8</f>
        <v>0.91667117034469858</v>
      </c>
      <c r="L105" s="591">
        <f>L10</f>
        <v>8674809.6461590007</v>
      </c>
      <c r="M105" s="591">
        <f>M10</f>
        <v>10083459.322280001</v>
      </c>
      <c r="N105" s="591"/>
      <c r="O105" s="591">
        <f>O10</f>
        <v>10427802.832636001</v>
      </c>
      <c r="P105" s="591"/>
      <c r="Q105" s="593">
        <f>Q10</f>
        <v>10979098.228876</v>
      </c>
      <c r="R105" s="593"/>
      <c r="S105" s="593">
        <f>S10</f>
        <v>13102723</v>
      </c>
      <c r="T105" s="442">
        <f>SUM(L105:S105)</f>
        <v>53267893.029951006</v>
      </c>
      <c r="U105" s="318"/>
      <c r="V105" s="318">
        <f>T105/T8</f>
        <v>0.85999156972578028</v>
      </c>
      <c r="W105" s="318"/>
      <c r="X105" s="611"/>
      <c r="Y105" s="593">
        <f>Y10</f>
        <v>14076644</v>
      </c>
      <c r="Z105" s="591"/>
      <c r="AA105" s="591">
        <f>AA10</f>
        <v>14484679.802034</v>
      </c>
      <c r="AB105" s="439">
        <f t="shared" si="89"/>
        <v>41664046.802033998</v>
      </c>
      <c r="AC105" s="461">
        <f t="shared" si="82"/>
        <v>0.92045513673039858</v>
      </c>
      <c r="AD105" s="461">
        <f t="shared" si="90"/>
        <v>1</v>
      </c>
      <c r="AE105" s="461"/>
      <c r="AF105" s="591">
        <f>AF10</f>
        <v>13191488</v>
      </c>
      <c r="AG105" s="591"/>
      <c r="AH105" s="591">
        <f>AH10</f>
        <v>16578432.915999997</v>
      </c>
      <c r="AI105" s="591">
        <f>AI10</f>
        <v>17039301.310194876</v>
      </c>
      <c r="AJ105" s="326">
        <f t="shared" si="95"/>
        <v>62179058.028228879</v>
      </c>
      <c r="AK105" s="592"/>
      <c r="AL105" s="489">
        <f t="shared" si="87"/>
        <v>0.70794858670789318</v>
      </c>
      <c r="AM105" s="489">
        <f t="shared" si="84"/>
        <v>0.81079462956165216</v>
      </c>
      <c r="AN105" s="501">
        <f t="shared" si="92"/>
        <v>0.16728960901959056</v>
      </c>
      <c r="AO105" s="591"/>
      <c r="AP105" s="591"/>
      <c r="AQ105" s="591"/>
      <c r="AR105" s="591"/>
      <c r="AS105" s="591"/>
      <c r="AT105" s="595"/>
      <c r="AU105" s="612"/>
      <c r="AV105" s="597">
        <f t="shared" si="85"/>
        <v>0</v>
      </c>
      <c r="AW105" s="597">
        <f t="shared" si="86"/>
        <v>0</v>
      </c>
      <c r="AX105" s="326"/>
      <c r="AY105" s="339">
        <f t="shared" si="94"/>
        <v>1.5390932445302932</v>
      </c>
      <c r="AZ105" s="609">
        <f t="shared" si="88"/>
        <v>1</v>
      </c>
    </row>
    <row r="106" spans="1:52" s="314" customFormat="1" ht="19.95" hidden="1" customHeight="1">
      <c r="A106" s="615" t="s">
        <v>137</v>
      </c>
      <c r="B106" s="616" t="s">
        <v>494</v>
      </c>
      <c r="C106" s="617"/>
      <c r="D106" s="617">
        <f>D105/C105</f>
        <v>1.1605034813689843</v>
      </c>
      <c r="E106" s="617">
        <f>E105/D105</f>
        <v>1.1981552401591851</v>
      </c>
      <c r="F106" s="617">
        <f>F105/E105</f>
        <v>1.0935440214673533</v>
      </c>
      <c r="G106" s="617">
        <f>G105/F105</f>
        <v>1.1644353585260347</v>
      </c>
      <c r="H106" s="617">
        <f>H105/G105</f>
        <v>1.0886115690340696</v>
      </c>
      <c r="I106" s="617"/>
      <c r="J106" s="617">
        <f>(D106*E106*F106*G106*H106)^(1/5)-1</f>
        <v>0.14024145921695053</v>
      </c>
      <c r="K106" s="617"/>
      <c r="L106" s="617">
        <f>L105/H105</f>
        <v>1.0446006055865622</v>
      </c>
      <c r="M106" s="617">
        <f>M105/L105</f>
        <v>1.1623839292824962</v>
      </c>
      <c r="N106" s="617"/>
      <c r="O106" s="617">
        <f>O105/M105</f>
        <v>1.0341493429338433</v>
      </c>
      <c r="P106" s="617"/>
      <c r="Q106" s="613">
        <f>Q105/O105</f>
        <v>1.0528678385167205</v>
      </c>
      <c r="R106" s="613"/>
      <c r="S106" s="613">
        <f>S105/Q105</f>
        <v>1.1934243347544409</v>
      </c>
      <c r="T106" s="476"/>
      <c r="U106" s="476">
        <f>(L106*M106*O106*Q106*S106)^(1/5)-1</f>
        <v>9.5494939875132578E-2</v>
      </c>
      <c r="V106" s="476"/>
      <c r="W106" s="476"/>
      <c r="X106" s="618"/>
      <c r="Y106" s="613">
        <f>Y105/S105</f>
        <v>1.0743296641469104</v>
      </c>
      <c r="Z106" s="619"/>
      <c r="AA106" s="617">
        <f>AA105/Y105</f>
        <v>1.0289867245370417</v>
      </c>
      <c r="AB106" s="439">
        <f t="shared" si="89"/>
        <v>3.296740723438393</v>
      </c>
      <c r="AC106" s="461">
        <f t="shared" si="82"/>
        <v>7.2832625879467325E-8</v>
      </c>
      <c r="AD106" s="461">
        <f t="shared" si="90"/>
        <v>7.912675259565639E-8</v>
      </c>
      <c r="AE106" s="461"/>
      <c r="AF106" s="617">
        <f>AF105/AA105</f>
        <v>0.91072002835351562</v>
      </c>
      <c r="AG106" s="617"/>
      <c r="AH106" s="617">
        <f>AH105/AF105</f>
        <v>1.2567523023937859</v>
      </c>
      <c r="AI106" s="617">
        <f>AI105/AH105</f>
        <v>1.027799273702769</v>
      </c>
      <c r="AJ106" s="326">
        <f t="shared" si="95"/>
        <v>4.387867964780507</v>
      </c>
      <c r="AK106" s="617">
        <f>(Y106*AA106*AF106*AH106*AI106)^(1/5)-1</f>
        <v>5.3945234705856437E-2</v>
      </c>
      <c r="AL106" s="489">
        <f t="shared" si="87"/>
        <v>4.9958700289684693E-8</v>
      </c>
      <c r="AM106" s="489">
        <f t="shared" si="84"/>
        <v>5.721636663351345E-8</v>
      </c>
      <c r="AN106" s="501" t="e">
        <f t="shared" si="92"/>
        <v>#DIV/0!</v>
      </c>
      <c r="AO106" s="591"/>
      <c r="AP106" s="591"/>
      <c r="AQ106" s="591"/>
      <c r="AR106" s="591"/>
      <c r="AS106" s="591"/>
      <c r="AT106" s="595"/>
      <c r="AU106" s="612"/>
      <c r="AV106" s="597">
        <f t="shared" si="85"/>
        <v>0</v>
      </c>
      <c r="AW106" s="597">
        <f t="shared" si="86"/>
        <v>0</v>
      </c>
      <c r="AX106" s="326"/>
      <c r="AY106" s="339">
        <f t="shared" si="94"/>
        <v>9.2837076479339635E-8</v>
      </c>
      <c r="AZ106" s="609">
        <f t="shared" si="88"/>
        <v>6.0319332054291502E-8</v>
      </c>
    </row>
    <row r="107" spans="1:52" s="314" customFormat="1" ht="19.95" hidden="1" customHeight="1">
      <c r="A107" s="615" t="s">
        <v>137</v>
      </c>
      <c r="B107" s="616" t="s">
        <v>605</v>
      </c>
      <c r="C107" s="617"/>
      <c r="D107" s="617">
        <f>D105/D8</f>
        <v>0.90621053771439442</v>
      </c>
      <c r="E107" s="617">
        <f>E105/E8</f>
        <v>0.89724117480132248</v>
      </c>
      <c r="F107" s="617">
        <f>F105/F8</f>
        <v>0.89433074820893232</v>
      </c>
      <c r="G107" s="617">
        <f>G105/G8</f>
        <v>0.93486348259215546</v>
      </c>
      <c r="H107" s="617">
        <f>H105/H8</f>
        <v>0.93959987029095349</v>
      </c>
      <c r="I107" s="617"/>
      <c r="J107" s="617"/>
      <c r="K107" s="617">
        <f>AVERAGE(D107:H107)</f>
        <v>0.91444916272155174</v>
      </c>
      <c r="L107" s="617">
        <f>L105/L8</f>
        <v>0.91936440815669718</v>
      </c>
      <c r="M107" s="617">
        <f>M105/M8</f>
        <v>0.93147000596987972</v>
      </c>
      <c r="N107" s="617"/>
      <c r="O107" s="617">
        <f>O105/O8</f>
        <v>0.85152108360064793</v>
      </c>
      <c r="P107" s="617"/>
      <c r="Q107" s="613">
        <f>Q105/Q8</f>
        <v>0.90876424651598708</v>
      </c>
      <c r="R107" s="613"/>
      <c r="S107" s="613">
        <f>S105/S8</f>
        <v>0.90369847738754938</v>
      </c>
      <c r="T107" s="476"/>
      <c r="U107" s="476"/>
      <c r="V107" s="476">
        <f>AVERAGE(L107:S107)</f>
        <v>0.90296364432615217</v>
      </c>
      <c r="W107" s="476"/>
      <c r="X107" s="618"/>
      <c r="Y107" s="613">
        <f>Y105/Y8</f>
        <v>0.9575270213857644</v>
      </c>
      <c r="Z107" s="619"/>
      <c r="AA107" s="617">
        <f>AA105/AA8</f>
        <v>0.90165348648608434</v>
      </c>
      <c r="AB107" s="439">
        <f t="shared" si="89"/>
        <v>2.7628789852593982</v>
      </c>
      <c r="AC107" s="461">
        <f t="shared" si="82"/>
        <v>6.103838559489935E-8</v>
      </c>
      <c r="AD107" s="461">
        <f t="shared" si="90"/>
        <v>6.6313265208902295E-8</v>
      </c>
      <c r="AE107" s="461"/>
      <c r="AF107" s="617">
        <f>AF105/AF8</f>
        <v>0.8338490625313093</v>
      </c>
      <c r="AG107" s="617"/>
      <c r="AH107" s="617">
        <f>AH105/AH8</f>
        <v>0.84889317714204249</v>
      </c>
      <c r="AI107" s="617">
        <f>AI105/AI8</f>
        <v>0.83540986065561762</v>
      </c>
      <c r="AJ107" s="326">
        <f t="shared" si="95"/>
        <v>3.5434835456695093</v>
      </c>
      <c r="AK107" s="617"/>
      <c r="AL107" s="489">
        <f t="shared" si="87"/>
        <v>4.0344840332584546E-8</v>
      </c>
      <c r="AM107" s="489">
        <f t="shared" si="84"/>
        <v>4.6205869305137741E-8</v>
      </c>
      <c r="AN107" s="501" t="e">
        <f t="shared" si="92"/>
        <v>#DIV/0!</v>
      </c>
      <c r="AO107" s="591"/>
      <c r="AP107" s="591"/>
      <c r="AQ107" s="591"/>
      <c r="AR107" s="591"/>
      <c r="AS107" s="591"/>
      <c r="AT107" s="595"/>
      <c r="AU107" s="612"/>
      <c r="AV107" s="597">
        <f t="shared" si="85"/>
        <v>0</v>
      </c>
      <c r="AW107" s="597">
        <f t="shared" si="86"/>
        <v>0</v>
      </c>
      <c r="AX107" s="326"/>
      <c r="AY107" s="339">
        <f t="shared" si="94"/>
        <v>7.5459295515817693E-8</v>
      </c>
      <c r="AZ107" s="609">
        <f t="shared" si="88"/>
        <v>4.902841058135283E-8</v>
      </c>
    </row>
    <row r="108" spans="1:52" s="335" customFormat="1" ht="19.95" hidden="1" customHeight="1">
      <c r="A108" s="600" t="s">
        <v>34</v>
      </c>
      <c r="B108" s="622" t="s">
        <v>31</v>
      </c>
      <c r="C108" s="326">
        <f t="shared" ref="C108:H108" si="102">C11</f>
        <v>881389.27447200008</v>
      </c>
      <c r="D108" s="326">
        <f t="shared" si="102"/>
        <v>1296865.3711568909</v>
      </c>
      <c r="E108" s="326">
        <f t="shared" si="102"/>
        <v>1283487.4238549999</v>
      </c>
      <c r="F108" s="326">
        <f t="shared" si="102"/>
        <v>1221622.2457999999</v>
      </c>
      <c r="G108" s="326">
        <f t="shared" si="102"/>
        <v>1952654.9714940002</v>
      </c>
      <c r="H108" s="326">
        <f t="shared" si="102"/>
        <v>1868861</v>
      </c>
      <c r="I108" s="326">
        <f>SUM(D108:H108)</f>
        <v>7623491.0123058911</v>
      </c>
      <c r="J108" s="488"/>
      <c r="K108" s="488"/>
      <c r="L108" s="326">
        <f>L11</f>
        <v>2029265</v>
      </c>
      <c r="M108" s="326">
        <f>M11</f>
        <v>1800118</v>
      </c>
      <c r="N108" s="326"/>
      <c r="O108" s="326">
        <f>O11</f>
        <v>2605155</v>
      </c>
      <c r="P108" s="326"/>
      <c r="Q108" s="329">
        <f>Q11</f>
        <v>2582125.2288760003</v>
      </c>
      <c r="R108" s="329"/>
      <c r="S108" s="329">
        <f>S11</f>
        <v>4460541</v>
      </c>
      <c r="T108" s="439">
        <f>SUM(L108:S108)</f>
        <v>13477204.228876</v>
      </c>
      <c r="U108" s="323"/>
      <c r="V108" s="323"/>
      <c r="W108" s="323"/>
      <c r="X108" s="340"/>
      <c r="Y108" s="329">
        <f>Y11</f>
        <v>4460541</v>
      </c>
      <c r="Z108" s="326"/>
      <c r="AA108" s="326">
        <f>AA11</f>
        <v>5399002.1306710001</v>
      </c>
      <c r="AB108" s="439">
        <f t="shared" si="89"/>
        <v>14320084.130671</v>
      </c>
      <c r="AC108" s="461">
        <f t="shared" si="82"/>
        <v>0.31636377184186781</v>
      </c>
      <c r="AD108" s="461">
        <f t="shared" si="90"/>
        <v>0.34370363010373511</v>
      </c>
      <c r="AE108" s="461"/>
      <c r="AF108" s="326">
        <f>AF11</f>
        <v>3561000</v>
      </c>
      <c r="AG108" s="326"/>
      <c r="AH108" s="326">
        <f>AH11</f>
        <v>4863186.4089698764</v>
      </c>
      <c r="AI108" s="326">
        <f>AI11</f>
        <v>4735000</v>
      </c>
      <c r="AJ108" s="326">
        <f t="shared" si="95"/>
        <v>19457729.539640877</v>
      </c>
      <c r="AK108" s="488"/>
      <c r="AL108" s="489">
        <f t="shared" si="87"/>
        <v>0.22153877149247569</v>
      </c>
      <c r="AM108" s="489">
        <f t="shared" si="84"/>
        <v>0.25372244473439337</v>
      </c>
      <c r="AN108" s="501">
        <f t="shared" si="92"/>
        <v>0.44375118230761235</v>
      </c>
      <c r="AO108" s="326"/>
      <c r="AP108" s="326"/>
      <c r="AQ108" s="326"/>
      <c r="AR108" s="326"/>
      <c r="AS108" s="326"/>
      <c r="AT108" s="601"/>
      <c r="AU108" s="607"/>
      <c r="AV108" s="597">
        <f t="shared" si="85"/>
        <v>0</v>
      </c>
      <c r="AW108" s="597">
        <f t="shared" si="86"/>
        <v>0</v>
      </c>
      <c r="AX108" s="326"/>
      <c r="AY108" s="339">
        <f t="shared" si="94"/>
        <v>0.42769397525065489</v>
      </c>
      <c r="AZ108" s="609">
        <f t="shared" si="88"/>
        <v>0.27788698103290049</v>
      </c>
    </row>
    <row r="109" spans="1:52" s="635" customFormat="1" ht="19.95" hidden="1" customHeight="1">
      <c r="A109" s="615" t="s">
        <v>137</v>
      </c>
      <c r="B109" s="616" t="s">
        <v>494</v>
      </c>
      <c r="C109" s="617"/>
      <c r="D109" s="617">
        <f>D108/C108</f>
        <v>1.4713877383336478</v>
      </c>
      <c r="E109" s="617">
        <f>E108/D108</f>
        <v>0.98968439777988915</v>
      </c>
      <c r="F109" s="617">
        <f>F108/E108</f>
        <v>0.95179915525063286</v>
      </c>
      <c r="G109" s="617">
        <f>G108/F108</f>
        <v>1.5984114387302035</v>
      </c>
      <c r="H109" s="617">
        <f>H108/G108</f>
        <v>0.95708715942279943</v>
      </c>
      <c r="I109" s="617"/>
      <c r="J109" s="617">
        <f>(D109*E109*F109*G109*H109)^(1/5)-1</f>
        <v>0.16220261413492998</v>
      </c>
      <c r="K109" s="617"/>
      <c r="L109" s="617">
        <f>L108/H108</f>
        <v>1.0858298182689885</v>
      </c>
      <c r="M109" s="617">
        <f>M108/L108</f>
        <v>0.8870788191783725</v>
      </c>
      <c r="N109" s="617"/>
      <c r="O109" s="617">
        <f>O108/M108</f>
        <v>1.4472134604509259</v>
      </c>
      <c r="P109" s="617"/>
      <c r="Q109" s="613">
        <f>Q108/O108</f>
        <v>0.99115992287445476</v>
      </c>
      <c r="R109" s="613"/>
      <c r="S109" s="613">
        <f>S108/Q108</f>
        <v>1.7274688888507839</v>
      </c>
      <c r="T109" s="476"/>
      <c r="U109" s="476">
        <f>(L109*M109*O109*Q109*S109)^(1/5)-1</f>
        <v>0.19004150057437119</v>
      </c>
      <c r="V109" s="476"/>
      <c r="W109" s="476"/>
      <c r="X109" s="618"/>
      <c r="Y109" s="613">
        <f>Y108/S108</f>
        <v>1</v>
      </c>
      <c r="Z109" s="619"/>
      <c r="AA109" s="617">
        <f>AA108/Y108</f>
        <v>1.2103917732559795</v>
      </c>
      <c r="AB109" s="439">
        <f t="shared" si="89"/>
        <v>3.9378606621067638</v>
      </c>
      <c r="AC109" s="461">
        <f t="shared" si="82"/>
        <v>8.6996447833958094E-8</v>
      </c>
      <c r="AD109" s="461">
        <f t="shared" si="90"/>
        <v>9.4514598661465625E-8</v>
      </c>
      <c r="AE109" s="461"/>
      <c r="AF109" s="617">
        <f>AF108/AA108</f>
        <v>0.65956632611245714</v>
      </c>
      <c r="AG109" s="617"/>
      <c r="AH109" s="617">
        <f>AH108/AF108</f>
        <v>1.365679980053321</v>
      </c>
      <c r="AI109" s="617">
        <f>AI108/AH108</f>
        <v>0.97364147737922535</v>
      </c>
      <c r="AJ109" s="326">
        <f t="shared" si="95"/>
        <v>4.5497132306885266</v>
      </c>
      <c r="AK109" s="617">
        <f>(Y109*AA109*AF109*AH109*AI109)^(1/5)-1</f>
        <v>1.2013927885006881E-2</v>
      </c>
      <c r="AL109" s="489">
        <f t="shared" si="87"/>
        <v>5.1801412786437667E-8</v>
      </c>
      <c r="AM109" s="489">
        <f t="shared" si="84"/>
        <v>5.9326776095789726E-8</v>
      </c>
      <c r="AN109" s="501" t="e">
        <f t="shared" si="92"/>
        <v>#DIV/0!</v>
      </c>
      <c r="AO109" s="630"/>
      <c r="AP109" s="630"/>
      <c r="AQ109" s="630"/>
      <c r="AR109" s="630"/>
      <c r="AS109" s="630"/>
      <c r="AT109" s="633"/>
      <c r="AU109" s="634"/>
      <c r="AV109" s="597">
        <f t="shared" si="85"/>
        <v>0</v>
      </c>
      <c r="AW109" s="597">
        <f t="shared" si="86"/>
        <v>0</v>
      </c>
      <c r="AX109" s="630"/>
      <c r="AY109" s="339">
        <f t="shared" si="94"/>
        <v>8.7945215190969676E-8</v>
      </c>
      <c r="AZ109" s="609">
        <f t="shared" si="88"/>
        <v>5.7140927298273707E-8</v>
      </c>
    </row>
    <row r="110" spans="1:52" s="626" customFormat="1" ht="19.95" hidden="1" customHeight="1">
      <c r="A110" s="627" t="s">
        <v>137</v>
      </c>
      <c r="B110" s="628" t="s">
        <v>29</v>
      </c>
      <c r="C110" s="617">
        <f t="shared" ref="C110:H110" si="103">C108/C105</f>
        <v>0.20457012967758861</v>
      </c>
      <c r="D110" s="617">
        <f t="shared" si="103"/>
        <v>0.25937188924401339</v>
      </c>
      <c r="E110" s="617">
        <f t="shared" si="103"/>
        <v>0.21424294899665022</v>
      </c>
      <c r="F110" s="617">
        <f t="shared" si="103"/>
        <v>0.18647283865152001</v>
      </c>
      <c r="G110" s="617">
        <f t="shared" si="103"/>
        <v>0.2559698278918392</v>
      </c>
      <c r="H110" s="617">
        <f t="shared" si="103"/>
        <v>0.22504393894354807</v>
      </c>
      <c r="I110" s="617">
        <f>(D110*E110*F110*G110*H110)^(1/5)</f>
        <v>0.22655842895540435</v>
      </c>
      <c r="J110" s="617"/>
      <c r="K110" s="617"/>
      <c r="L110" s="617">
        <f>L108/L105</f>
        <v>0.23392617046052536</v>
      </c>
      <c r="M110" s="617">
        <f>M108/M105</f>
        <v>0.17852186858358546</v>
      </c>
      <c r="N110" s="617"/>
      <c r="O110" s="617">
        <f>O108/O105</f>
        <v>0.24982779611507613</v>
      </c>
      <c r="P110" s="617"/>
      <c r="Q110" s="613">
        <f>Q108/Q105</f>
        <v>0.23518554757846891</v>
      </c>
      <c r="R110" s="613"/>
      <c r="S110" s="613">
        <f>S108/S105</f>
        <v>0.34042855061501337</v>
      </c>
      <c r="T110" s="476">
        <f>(L110*M110*O110*Q110*S110)^(1/5)</f>
        <v>0.24230898567060016</v>
      </c>
      <c r="U110" s="476"/>
      <c r="V110" s="476"/>
      <c r="W110" s="476">
        <f>T110-I110</f>
        <v>1.5750556715195818E-2</v>
      </c>
      <c r="X110" s="618"/>
      <c r="Y110" s="613">
        <f>Y108/Y105</f>
        <v>0.31687531488329179</v>
      </c>
      <c r="Z110" s="619"/>
      <c r="AA110" s="617">
        <f>AA108/AA105</f>
        <v>0.37273879743705823</v>
      </c>
      <c r="AB110" s="439">
        <f t="shared" si="89"/>
        <v>1.0300426629353634</v>
      </c>
      <c r="AC110" s="461">
        <f t="shared" si="82"/>
        <v>2.2756024268483398E-8</v>
      </c>
      <c r="AD110" s="461">
        <f t="shared" si="90"/>
        <v>2.4722578385858517E-8</v>
      </c>
      <c r="AE110" s="461"/>
      <c r="AF110" s="617">
        <f>AF108/AF105</f>
        <v>0.26994680205902472</v>
      </c>
      <c r="AG110" s="617"/>
      <c r="AH110" s="617">
        <f>AH108/AH105</f>
        <v>0.29334415584457146</v>
      </c>
      <c r="AI110" s="617">
        <f>AI108/AI105</f>
        <v>0.27788698103290049</v>
      </c>
      <c r="AJ110" s="326">
        <f t="shared" si="95"/>
        <v>1.2608452491978221</v>
      </c>
      <c r="AK110" s="617"/>
      <c r="AL110" s="489">
        <f t="shared" si="87"/>
        <v>1.4355534492364278E-8</v>
      </c>
      <c r="AM110" s="489">
        <f t="shared" si="84"/>
        <v>1.6441010674266017E-8</v>
      </c>
      <c r="AN110" s="501">
        <f t="shared" si="92"/>
        <v>4.2034605555727973</v>
      </c>
      <c r="AO110" s="623"/>
      <c r="AP110" s="623"/>
      <c r="AQ110" s="623"/>
      <c r="AR110" s="623"/>
      <c r="AS110" s="623"/>
      <c r="AT110" s="624"/>
      <c r="AU110" s="625"/>
      <c r="AV110" s="597">
        <f t="shared" si="85"/>
        <v>0</v>
      </c>
      <c r="AW110" s="597">
        <f t="shared" si="86"/>
        <v>0</v>
      </c>
      <c r="AX110" s="623"/>
      <c r="AY110" s="339">
        <f t="shared" si="94"/>
        <v>2.5100440884554284E-8</v>
      </c>
      <c r="AZ110" s="609">
        <f t="shared" si="88"/>
        <v>1.6308590121980906E-8</v>
      </c>
    </row>
    <row r="111" spans="1:52" s="335" customFormat="1" ht="19.95" hidden="1" customHeight="1">
      <c r="A111" s="600" t="s">
        <v>35</v>
      </c>
      <c r="B111" s="622" t="s">
        <v>58</v>
      </c>
      <c r="C111" s="326">
        <f t="shared" ref="C111:H111" si="104">C16</f>
        <v>2567842.2054460002</v>
      </c>
      <c r="D111" s="326">
        <f t="shared" si="104"/>
        <v>3701157.4722469999</v>
      </c>
      <c r="E111" s="326">
        <f t="shared" si="104"/>
        <v>4705316.1468850002</v>
      </c>
      <c r="F111" s="326">
        <f t="shared" si="104"/>
        <v>5327585.1827680003</v>
      </c>
      <c r="G111" s="326">
        <f t="shared" si="104"/>
        <v>5673802.5993690006</v>
      </c>
      <c r="H111" s="326">
        <f t="shared" si="104"/>
        <v>5943201.1655269992</v>
      </c>
      <c r="I111" s="326">
        <f>SUM(D111:H111)</f>
        <v>25351062.566796005</v>
      </c>
      <c r="J111" s="488"/>
      <c r="K111" s="488"/>
      <c r="L111" s="326">
        <f>L16</f>
        <v>6231312.6461589998</v>
      </c>
      <c r="M111" s="326">
        <f>M16</f>
        <v>7010541.32228</v>
      </c>
      <c r="N111" s="326"/>
      <c r="O111" s="326">
        <f>O16</f>
        <v>7541051.8326360006</v>
      </c>
      <c r="P111" s="326"/>
      <c r="Q111" s="329">
        <f>Q16</f>
        <v>8394673</v>
      </c>
      <c r="R111" s="329"/>
      <c r="S111" s="329">
        <f>S16</f>
        <v>8639182</v>
      </c>
      <c r="T111" s="439">
        <f>SUM(L111:S111)</f>
        <v>37816760.801074997</v>
      </c>
      <c r="U111" s="323"/>
      <c r="V111" s="323"/>
      <c r="W111" s="323"/>
      <c r="X111" s="340"/>
      <c r="Y111" s="329">
        <f>Y16</f>
        <v>9613280</v>
      </c>
      <c r="Z111" s="326"/>
      <c r="AA111" s="326">
        <f>AA16</f>
        <v>9081902.7744820006</v>
      </c>
      <c r="AB111" s="439">
        <f t="shared" si="89"/>
        <v>27334364.774482001</v>
      </c>
      <c r="AC111" s="461">
        <f t="shared" si="82"/>
        <v>0.60387932515249887</v>
      </c>
      <c r="AD111" s="461">
        <f t="shared" si="90"/>
        <v>0.65606600588658048</v>
      </c>
      <c r="AE111" s="461"/>
      <c r="AF111" s="326">
        <f>AF16</f>
        <v>9353865</v>
      </c>
      <c r="AG111" s="326"/>
      <c r="AH111" s="326">
        <f>AH16</f>
        <v>10664978.394711081</v>
      </c>
      <c r="AI111" s="326">
        <f>AI16</f>
        <v>11071000</v>
      </c>
      <c r="AJ111" s="326">
        <f t="shared" si="95"/>
        <v>40431161.169193082</v>
      </c>
      <c r="AK111" s="488"/>
      <c r="AL111" s="489">
        <f t="shared" si="87"/>
        <v>0.46033478660443128</v>
      </c>
      <c r="AM111" s="489">
        <f t="shared" si="84"/>
        <v>0.5272091501939582</v>
      </c>
      <c r="AN111" s="501">
        <f t="shared" si="92"/>
        <v>6.9133376649323397E-2</v>
      </c>
      <c r="AO111" s="326"/>
      <c r="AP111" s="326"/>
      <c r="AQ111" s="326"/>
      <c r="AR111" s="326"/>
      <c r="AS111" s="326"/>
      <c r="AT111" s="601"/>
      <c r="AU111" s="607"/>
      <c r="AV111" s="597">
        <f t="shared" si="85"/>
        <v>0</v>
      </c>
      <c r="AW111" s="597">
        <f t="shared" si="86"/>
        <v>0</v>
      </c>
      <c r="AX111" s="326"/>
      <c r="AY111" s="339">
        <f t="shared" si="94"/>
        <v>1</v>
      </c>
      <c r="AZ111" s="609">
        <f t="shared" si="88"/>
        <v>0.64973321373077964</v>
      </c>
    </row>
    <row r="112" spans="1:52" s="335" customFormat="1" ht="19.95" hidden="1" customHeight="1">
      <c r="A112" s="615" t="s">
        <v>137</v>
      </c>
      <c r="B112" s="616" t="s">
        <v>494</v>
      </c>
      <c r="C112" s="617"/>
      <c r="D112" s="617">
        <f>D111/C111</f>
        <v>1.4413492637504794</v>
      </c>
      <c r="E112" s="617">
        <f>E111/D111</f>
        <v>1.2713093625893113</v>
      </c>
      <c r="F112" s="617">
        <f>F111/E111</f>
        <v>1.1322480820539451</v>
      </c>
      <c r="G112" s="617">
        <f>G111/F111</f>
        <v>1.0649858058996102</v>
      </c>
      <c r="H112" s="617">
        <f>H111/G111</f>
        <v>1.0474811312941974</v>
      </c>
      <c r="I112" s="617"/>
      <c r="J112" s="617">
        <f>(D112*E112*F112*G112*H112)^(1/5)-1</f>
        <v>0.18274309036120373</v>
      </c>
      <c r="K112" s="617"/>
      <c r="L112" s="617">
        <f>L111/H111</f>
        <v>1.0484774909358892</v>
      </c>
      <c r="M112" s="617">
        <f>M111/L111</f>
        <v>1.1250504862087636</v>
      </c>
      <c r="N112" s="617"/>
      <c r="O112" s="617">
        <f>O111/M111</f>
        <v>1.0756732591633118</v>
      </c>
      <c r="P112" s="617"/>
      <c r="Q112" s="613">
        <f>Q111/O111</f>
        <v>1.1131965654538689</v>
      </c>
      <c r="R112" s="613"/>
      <c r="S112" s="613">
        <f>S111/Q111</f>
        <v>1.0291266854587426</v>
      </c>
      <c r="T112" s="476"/>
      <c r="U112" s="476">
        <f>(L112*M112*O112*Q112*S112)^(1/5)-1</f>
        <v>7.7681527159997543E-2</v>
      </c>
      <c r="V112" s="476"/>
      <c r="W112" s="476"/>
      <c r="X112" s="618"/>
      <c r="Y112" s="613">
        <f>Y111/S111</f>
        <v>1.1127534991160042</v>
      </c>
      <c r="Z112" s="619"/>
      <c r="AA112" s="617">
        <f>AA111/Y111</f>
        <v>0.94472466988187176</v>
      </c>
      <c r="AB112" s="439">
        <f t="shared" si="89"/>
        <v>3.0866048544566187</v>
      </c>
      <c r="AC112" s="461">
        <f t="shared" si="82"/>
        <v>6.8190238620864834E-8</v>
      </c>
      <c r="AD112" s="461">
        <f t="shared" si="90"/>
        <v>7.4083174616296128E-8</v>
      </c>
      <c r="AE112" s="461"/>
      <c r="AF112" s="617">
        <f>AF111/AA111</f>
        <v>1.0299455116698837</v>
      </c>
      <c r="AG112" s="617"/>
      <c r="AH112" s="617">
        <f>AH111/AF111</f>
        <v>1.1401680903787985</v>
      </c>
      <c r="AI112" s="617">
        <f>AI111/AH111</f>
        <v>1.0380705511311932</v>
      </c>
      <c r="AJ112" s="326">
        <f t="shared" si="95"/>
        <v>4.235716810507868</v>
      </c>
      <c r="AK112" s="617">
        <f>(Y112*AA112*AF112*AH112*AI112)^(1/5)-1</f>
        <v>5.0855122278439024E-2</v>
      </c>
      <c r="AL112" s="489">
        <f t="shared" si="87"/>
        <v>4.8226361491879375E-8</v>
      </c>
      <c r="AM112" s="489">
        <f t="shared" si="84"/>
        <v>5.523236522407016E-8</v>
      </c>
      <c r="AN112" s="501" t="e">
        <f t="shared" si="92"/>
        <v>#DIV/0!</v>
      </c>
      <c r="AO112" s="326"/>
      <c r="AP112" s="326"/>
      <c r="AQ112" s="326"/>
      <c r="AR112" s="326"/>
      <c r="AS112" s="326"/>
      <c r="AT112" s="601"/>
      <c r="AU112" s="607"/>
      <c r="AV112" s="597">
        <f t="shared" si="85"/>
        <v>0</v>
      </c>
      <c r="AW112" s="597">
        <f t="shared" si="86"/>
        <v>0</v>
      </c>
      <c r="AX112" s="326"/>
      <c r="AY112" s="339">
        <f t="shared" si="94"/>
        <v>9.3764840676650094E-8</v>
      </c>
      <c r="AZ112" s="609">
        <f t="shared" si="88"/>
        <v>6.0922131267794396E-8</v>
      </c>
    </row>
    <row r="113" spans="1:52" s="626" customFormat="1" ht="19.95" hidden="1" customHeight="1">
      <c r="A113" s="627" t="s">
        <v>137</v>
      </c>
      <c r="B113" s="628" t="s">
        <v>29</v>
      </c>
      <c r="C113" s="617">
        <f>C111/C105</f>
        <v>0.59599524089325784</v>
      </c>
      <c r="D113" s="617">
        <f t="shared" ref="D113:I113" si="105">D111/D105</f>
        <v>0.74022811258345056</v>
      </c>
      <c r="E113" s="617">
        <f t="shared" si="105"/>
        <v>0.7854232059729821</v>
      </c>
      <c r="F113" s="617">
        <f t="shared" si="105"/>
        <v>0.81322187411375157</v>
      </c>
      <c r="G113" s="617">
        <f t="shared" si="105"/>
        <v>0.74376799591049281</v>
      </c>
      <c r="H113" s="617">
        <f t="shared" si="105"/>
        <v>0.71566660132780435</v>
      </c>
      <c r="I113" s="617">
        <f t="shared" si="105"/>
        <v>0.7573151375078313</v>
      </c>
      <c r="J113" s="617"/>
      <c r="K113" s="617"/>
      <c r="L113" s="617">
        <f>L111/L105</f>
        <v>0.71832269529027382</v>
      </c>
      <c r="M113" s="617">
        <f>M111/M105</f>
        <v>0.69525160941441921</v>
      </c>
      <c r="N113" s="617"/>
      <c r="O113" s="617">
        <f>O111/O105</f>
        <v>0.72316785747374257</v>
      </c>
      <c r="P113" s="617"/>
      <c r="Q113" s="613">
        <f>Q111/Q105</f>
        <v>0.76460496344966355</v>
      </c>
      <c r="R113" s="613"/>
      <c r="S113" s="613">
        <f>S111/S105</f>
        <v>0.65934248934362727</v>
      </c>
      <c r="T113" s="476">
        <f>(L113*M113*O113*Q113*S113)^(1/5)</f>
        <v>0.71129503370984404</v>
      </c>
      <c r="U113" s="476"/>
      <c r="V113" s="476"/>
      <c r="W113" s="476"/>
      <c r="X113" s="618"/>
      <c r="Y113" s="613">
        <f>Y111/Y105</f>
        <v>0.68292414015727043</v>
      </c>
      <c r="Z113" s="619"/>
      <c r="AA113" s="617">
        <f>AA111/AA105</f>
        <v>0.62700058949226356</v>
      </c>
      <c r="AB113" s="439">
        <f t="shared" si="89"/>
        <v>1.9692672189931613</v>
      </c>
      <c r="AC113" s="461">
        <f t="shared" si="82"/>
        <v>4.3505666550579805E-8</v>
      </c>
      <c r="AD113" s="461">
        <f t="shared" si="90"/>
        <v>4.7265385149697543E-8</v>
      </c>
      <c r="AE113" s="461"/>
      <c r="AF113" s="617">
        <f>AF111/AF105</f>
        <v>0.70908338771183355</v>
      </c>
      <c r="AG113" s="617"/>
      <c r="AH113" s="617">
        <f>AH111/AH105</f>
        <v>0.64330437314242239</v>
      </c>
      <c r="AI113" s="617">
        <f>AI111/AI105</f>
        <v>0.64973321373077964</v>
      </c>
      <c r="AJ113" s="326">
        <f t="shared" si="95"/>
        <v>2.6029623165227358</v>
      </c>
      <c r="AK113" s="617"/>
      <c r="AL113" s="489">
        <f t="shared" si="87"/>
        <v>2.9636400930994678E-8</v>
      </c>
      <c r="AM113" s="489">
        <f t="shared" si="84"/>
        <v>3.3941779340398712E-8</v>
      </c>
      <c r="AN113" s="501">
        <f t="shared" si="92"/>
        <v>2.6594692682538152</v>
      </c>
      <c r="AO113" s="623"/>
      <c r="AP113" s="623"/>
      <c r="AQ113" s="623"/>
      <c r="AR113" s="623"/>
      <c r="AS113" s="623"/>
      <c r="AT113" s="624"/>
      <c r="AU113" s="625"/>
      <c r="AV113" s="597">
        <f t="shared" si="85"/>
        <v>0</v>
      </c>
      <c r="AW113" s="597">
        <f t="shared" si="86"/>
        <v>0</v>
      </c>
      <c r="AX113" s="623"/>
      <c r="AY113" s="339">
        <f t="shared" si="94"/>
        <v>5.8687852382872334E-8</v>
      </c>
      <c r="AZ113" s="609">
        <f t="shared" si="88"/>
        <v>3.8131446935681234E-8</v>
      </c>
    </row>
    <row r="114" spans="1:52" s="335" customFormat="1" ht="19.95" hidden="1" customHeight="1">
      <c r="A114" s="600" t="s">
        <v>36</v>
      </c>
      <c r="B114" s="622" t="s">
        <v>302</v>
      </c>
      <c r="C114" s="326">
        <f t="shared" ref="C114:H114" si="106">C32</f>
        <v>0</v>
      </c>
      <c r="D114" s="326">
        <f t="shared" si="106"/>
        <v>0</v>
      </c>
      <c r="E114" s="326">
        <f t="shared" si="106"/>
        <v>0</v>
      </c>
      <c r="F114" s="326">
        <f t="shared" si="106"/>
        <v>0</v>
      </c>
      <c r="G114" s="326">
        <f t="shared" si="106"/>
        <v>0</v>
      </c>
      <c r="H114" s="326">
        <f t="shared" si="106"/>
        <v>0</v>
      </c>
      <c r="I114" s="326">
        <f>SUM(D114:H114)</f>
        <v>0</v>
      </c>
      <c r="J114" s="488"/>
      <c r="K114" s="488"/>
      <c r="L114" s="326">
        <f>L32</f>
        <v>412232</v>
      </c>
      <c r="M114" s="326">
        <f>M32</f>
        <v>1270800</v>
      </c>
      <c r="N114" s="326"/>
      <c r="O114" s="326">
        <f>O32</f>
        <v>279496</v>
      </c>
      <c r="P114" s="326"/>
      <c r="Q114" s="329">
        <f>Q32</f>
        <v>0</v>
      </c>
      <c r="R114" s="329"/>
      <c r="S114" s="329">
        <f>S32</f>
        <v>0</v>
      </c>
      <c r="T114" s="439">
        <f>SUM(L114:S114)</f>
        <v>1962528</v>
      </c>
      <c r="U114" s="323"/>
      <c r="V114" s="323"/>
      <c r="W114" s="323"/>
      <c r="X114" s="340"/>
      <c r="Y114" s="329">
        <f>Y32</f>
        <v>0</v>
      </c>
      <c r="Z114" s="326"/>
      <c r="AA114" s="326">
        <f>AA32</f>
        <v>0</v>
      </c>
      <c r="AB114" s="439">
        <f t="shared" si="89"/>
        <v>0</v>
      </c>
      <c r="AC114" s="461">
        <f t="shared" si="82"/>
        <v>0</v>
      </c>
      <c r="AD114" s="461">
        <f t="shared" si="90"/>
        <v>0</v>
      </c>
      <c r="AE114" s="461"/>
      <c r="AF114" s="326">
        <f>AF32</f>
        <v>0</v>
      </c>
      <c r="AG114" s="326"/>
      <c r="AH114" s="326">
        <f>AH32</f>
        <v>0</v>
      </c>
      <c r="AI114" s="326">
        <f>AI32</f>
        <v>0</v>
      </c>
      <c r="AJ114" s="326">
        <f t="shared" si="95"/>
        <v>0</v>
      </c>
      <c r="AK114" s="488"/>
      <c r="AL114" s="489">
        <f t="shared" si="87"/>
        <v>0</v>
      </c>
      <c r="AM114" s="489">
        <f t="shared" si="84"/>
        <v>0</v>
      </c>
      <c r="AN114" s="501">
        <f t="shared" si="92"/>
        <v>-1</v>
      </c>
      <c r="AO114" s="326"/>
      <c r="AP114" s="326"/>
      <c r="AQ114" s="326"/>
      <c r="AR114" s="326"/>
      <c r="AS114" s="326"/>
      <c r="AT114" s="601"/>
      <c r="AU114" s="607"/>
      <c r="AV114" s="597">
        <f t="shared" si="85"/>
        <v>0</v>
      </c>
      <c r="AW114" s="597">
        <f t="shared" si="86"/>
        <v>0</v>
      </c>
      <c r="AX114" s="326"/>
      <c r="AY114" s="339">
        <f t="shared" si="94"/>
        <v>0</v>
      </c>
      <c r="AZ114" s="609">
        <f t="shared" si="88"/>
        <v>0</v>
      </c>
    </row>
    <row r="115" spans="1:52" s="335" customFormat="1" ht="19.95" hidden="1" customHeight="1">
      <c r="A115" s="615" t="s">
        <v>137</v>
      </c>
      <c r="B115" s="616" t="s">
        <v>494</v>
      </c>
      <c r="C115" s="617"/>
      <c r="D115" s="617"/>
      <c r="E115" s="617"/>
      <c r="F115" s="617"/>
      <c r="G115" s="617"/>
      <c r="H115" s="617"/>
      <c r="I115" s="617"/>
      <c r="J115" s="617"/>
      <c r="K115" s="617"/>
      <c r="L115" s="617"/>
      <c r="M115" s="617"/>
      <c r="N115" s="617"/>
      <c r="O115" s="617"/>
      <c r="P115" s="617"/>
      <c r="Q115" s="613"/>
      <c r="R115" s="613"/>
      <c r="S115" s="613"/>
      <c r="T115" s="476"/>
      <c r="U115" s="476"/>
      <c r="V115" s="476"/>
      <c r="W115" s="476"/>
      <c r="X115" s="618"/>
      <c r="Y115" s="613"/>
      <c r="Z115" s="619"/>
      <c r="AA115" s="617"/>
      <c r="AB115" s="439">
        <f t="shared" si="89"/>
        <v>0</v>
      </c>
      <c r="AC115" s="461">
        <f t="shared" si="82"/>
        <v>0</v>
      </c>
      <c r="AD115" s="461">
        <f t="shared" si="90"/>
        <v>0</v>
      </c>
      <c r="AE115" s="461"/>
      <c r="AF115" s="617"/>
      <c r="AG115" s="617"/>
      <c r="AH115" s="617"/>
      <c r="AI115" s="617"/>
      <c r="AJ115" s="326">
        <f t="shared" si="95"/>
        <v>0</v>
      </c>
      <c r="AK115" s="617"/>
      <c r="AL115" s="489">
        <f t="shared" si="87"/>
        <v>0</v>
      </c>
      <c r="AM115" s="489">
        <f t="shared" si="84"/>
        <v>0</v>
      </c>
      <c r="AN115" s="501" t="e">
        <f t="shared" si="92"/>
        <v>#DIV/0!</v>
      </c>
      <c r="AO115" s="326"/>
      <c r="AP115" s="326"/>
      <c r="AQ115" s="326"/>
      <c r="AR115" s="326"/>
      <c r="AS115" s="326"/>
      <c r="AT115" s="601"/>
      <c r="AU115" s="607"/>
      <c r="AV115" s="597">
        <f t="shared" si="85"/>
        <v>0</v>
      </c>
      <c r="AW115" s="597">
        <f t="shared" si="86"/>
        <v>0</v>
      </c>
      <c r="AX115" s="326"/>
      <c r="AY115" s="339">
        <f t="shared" si="94"/>
        <v>0</v>
      </c>
      <c r="AZ115" s="609">
        <f t="shared" si="88"/>
        <v>0</v>
      </c>
    </row>
    <row r="116" spans="1:52" s="626" customFormat="1" ht="19.95" hidden="1" customHeight="1">
      <c r="A116" s="627" t="s">
        <v>137</v>
      </c>
      <c r="B116" s="628" t="s">
        <v>29</v>
      </c>
      <c r="C116" s="617">
        <f>C114/C105</f>
        <v>0</v>
      </c>
      <c r="D116" s="617">
        <f t="shared" ref="D116:I116" si="107">D114/D105</f>
        <v>0</v>
      </c>
      <c r="E116" s="617">
        <f t="shared" si="107"/>
        <v>0</v>
      </c>
      <c r="F116" s="617">
        <f t="shared" si="107"/>
        <v>0</v>
      </c>
      <c r="G116" s="617">
        <f t="shared" si="107"/>
        <v>0</v>
      </c>
      <c r="H116" s="617">
        <f t="shared" si="107"/>
        <v>0</v>
      </c>
      <c r="I116" s="617">
        <f t="shared" si="107"/>
        <v>0</v>
      </c>
      <c r="J116" s="617"/>
      <c r="K116" s="617"/>
      <c r="L116" s="617">
        <f t="shared" ref="L116:T116" si="108">L114/L105</f>
        <v>4.7520581639797312E-2</v>
      </c>
      <c r="M116" s="617">
        <f t="shared" si="108"/>
        <v>0.12602817737282801</v>
      </c>
      <c r="N116" s="617"/>
      <c r="O116" s="617">
        <f t="shared" si="108"/>
        <v>2.6802961705917429E-2</v>
      </c>
      <c r="P116" s="617"/>
      <c r="Q116" s="613">
        <f t="shared" si="108"/>
        <v>0</v>
      </c>
      <c r="R116" s="613"/>
      <c r="S116" s="613">
        <f t="shared" si="108"/>
        <v>0</v>
      </c>
      <c r="T116" s="476">
        <f t="shared" si="108"/>
        <v>3.6842606087245218E-2</v>
      </c>
      <c r="U116" s="476"/>
      <c r="V116" s="476"/>
      <c r="W116" s="476"/>
      <c r="X116" s="618"/>
      <c r="Y116" s="613">
        <f t="shared" ref="Y116:AH116" si="109">Y114/Y105</f>
        <v>0</v>
      </c>
      <c r="Z116" s="619"/>
      <c r="AA116" s="617">
        <f t="shared" si="109"/>
        <v>0</v>
      </c>
      <c r="AB116" s="439">
        <f t="shared" si="89"/>
        <v>0</v>
      </c>
      <c r="AC116" s="461">
        <f t="shared" si="82"/>
        <v>0</v>
      </c>
      <c r="AD116" s="461">
        <f t="shared" si="90"/>
        <v>0</v>
      </c>
      <c r="AE116" s="461"/>
      <c r="AF116" s="617">
        <f t="shared" si="109"/>
        <v>0</v>
      </c>
      <c r="AG116" s="617"/>
      <c r="AH116" s="617">
        <f t="shared" si="109"/>
        <v>0</v>
      </c>
      <c r="AI116" s="617">
        <f>AI114/AI105</f>
        <v>0</v>
      </c>
      <c r="AJ116" s="326">
        <f t="shared" si="95"/>
        <v>0</v>
      </c>
      <c r="AK116" s="617"/>
      <c r="AL116" s="489">
        <f t="shared" si="87"/>
        <v>0</v>
      </c>
      <c r="AM116" s="489">
        <f t="shared" si="84"/>
        <v>0</v>
      </c>
      <c r="AN116" s="501">
        <f t="shared" si="92"/>
        <v>-1</v>
      </c>
      <c r="AO116" s="623"/>
      <c r="AP116" s="623"/>
      <c r="AQ116" s="623"/>
      <c r="AR116" s="623"/>
      <c r="AS116" s="623"/>
      <c r="AT116" s="624"/>
      <c r="AU116" s="625"/>
      <c r="AV116" s="597">
        <f t="shared" si="85"/>
        <v>0</v>
      </c>
      <c r="AW116" s="597">
        <f t="shared" si="86"/>
        <v>0</v>
      </c>
      <c r="AX116" s="623"/>
      <c r="AY116" s="339">
        <f t="shared" si="94"/>
        <v>0</v>
      </c>
      <c r="AZ116" s="609">
        <f t="shared" si="88"/>
        <v>0</v>
      </c>
    </row>
    <row r="117" spans="1:52" s="335" customFormat="1" ht="19.95" hidden="1" customHeight="1">
      <c r="A117" s="600" t="s">
        <v>37</v>
      </c>
      <c r="B117" s="622" t="s">
        <v>606</v>
      </c>
      <c r="C117" s="326">
        <f t="shared" ref="C117:H117" si="110">C105-C108-C111-C114</f>
        <v>859263</v>
      </c>
      <c r="D117" s="326">
        <f t="shared" si="110"/>
        <v>2000</v>
      </c>
      <c r="E117" s="326">
        <f t="shared" si="110"/>
        <v>2000</v>
      </c>
      <c r="F117" s="326">
        <f t="shared" si="110"/>
        <v>2000</v>
      </c>
      <c r="G117" s="326">
        <f t="shared" si="110"/>
        <v>2000</v>
      </c>
      <c r="H117" s="326">
        <f t="shared" si="110"/>
        <v>492365</v>
      </c>
      <c r="I117" s="326">
        <f>SUM(D117:H117)</f>
        <v>500365</v>
      </c>
      <c r="J117" s="488"/>
      <c r="K117" s="488"/>
      <c r="L117" s="326">
        <f>L105-L108-L111-L114</f>
        <v>2000.0000000009313</v>
      </c>
      <c r="M117" s="326">
        <f>M105-M108-M111-M114</f>
        <v>2000.0000000009313</v>
      </c>
      <c r="N117" s="326"/>
      <c r="O117" s="326">
        <f>O105-O108-O111-O114</f>
        <v>2100</v>
      </c>
      <c r="P117" s="326"/>
      <c r="Q117" s="329">
        <f>Q105-Q108-Q111-Q114</f>
        <v>2300</v>
      </c>
      <c r="R117" s="329"/>
      <c r="S117" s="329">
        <f>S105-S108-S111-S114</f>
        <v>3000</v>
      </c>
      <c r="T117" s="439">
        <f>SUM(L117:S117)</f>
        <v>11400.000000001863</v>
      </c>
      <c r="U117" s="323"/>
      <c r="V117" s="323"/>
      <c r="W117" s="323"/>
      <c r="X117" s="340"/>
      <c r="Y117" s="329">
        <f>Y105-Y108-Y111-Y114</f>
        <v>2823</v>
      </c>
      <c r="Z117" s="326"/>
      <c r="AA117" s="326">
        <f>AA105-AA108-AA111-AA114</f>
        <v>3774.8968809992075</v>
      </c>
      <c r="AB117" s="439">
        <f t="shared" si="89"/>
        <v>9597.8968809992075</v>
      </c>
      <c r="AC117" s="461">
        <f t="shared" si="82"/>
        <v>2.12039736031909E-4</v>
      </c>
      <c r="AD117" s="461">
        <f t="shared" si="90"/>
        <v>2.3036400968449967E-4</v>
      </c>
      <c r="AE117" s="461"/>
      <c r="AF117" s="326">
        <f>AF105-AF108-AF111-AF114</f>
        <v>276623</v>
      </c>
      <c r="AG117" s="326"/>
      <c r="AH117" s="326">
        <f>AH105-AH108-AH111-AH114</f>
        <v>1050268.112319041</v>
      </c>
      <c r="AI117" s="326">
        <f>AI105-AI108-AI111-AI114</f>
        <v>1233301.310194876</v>
      </c>
      <c r="AJ117" s="326">
        <f t="shared" si="95"/>
        <v>2290167.3193949163</v>
      </c>
      <c r="AK117" s="488"/>
      <c r="AL117" s="489">
        <f t="shared" si="87"/>
        <v>2.6075028610986137E-2</v>
      </c>
      <c r="AM117" s="489">
        <f t="shared" si="84"/>
        <v>2.9863034633300541E-2</v>
      </c>
      <c r="AN117" s="501">
        <f t="shared" si="92"/>
        <v>199.89187012232824</v>
      </c>
      <c r="AO117" s="326"/>
      <c r="AP117" s="326"/>
      <c r="AQ117" s="326"/>
      <c r="AR117" s="326"/>
      <c r="AS117" s="326"/>
      <c r="AT117" s="601"/>
      <c r="AU117" s="607"/>
      <c r="AV117" s="597">
        <f t="shared" si="85"/>
        <v>0</v>
      </c>
      <c r="AW117" s="597">
        <f t="shared" si="86"/>
        <v>0</v>
      </c>
      <c r="AX117" s="326"/>
      <c r="AY117" s="339">
        <f t="shared" si="94"/>
        <v>0.11139926927963834</v>
      </c>
      <c r="AZ117" s="609">
        <f t="shared" si="88"/>
        <v>7.2379805236319927E-2</v>
      </c>
    </row>
    <row r="118" spans="1:52" s="335" customFormat="1" ht="19.95" hidden="1" customHeight="1">
      <c r="A118" s="615" t="s">
        <v>137</v>
      </c>
      <c r="B118" s="616" t="s">
        <v>494</v>
      </c>
      <c r="C118" s="617"/>
      <c r="D118" s="617">
        <f>D117/C117</f>
        <v>2.3275760739145056E-3</v>
      </c>
      <c r="E118" s="617">
        <f>E117/D117</f>
        <v>1</v>
      </c>
      <c r="F118" s="617">
        <f>F117/E117</f>
        <v>1</v>
      </c>
      <c r="G118" s="617">
        <f>G117/F117</f>
        <v>1</v>
      </c>
      <c r="H118" s="617">
        <f>H117/G117</f>
        <v>246.1825</v>
      </c>
      <c r="I118" s="617"/>
      <c r="J118" s="617">
        <f>(D118*E118*F118*G118*H118)^(1/5)-1</f>
        <v>-0.10539316412243604</v>
      </c>
      <c r="K118" s="617"/>
      <c r="L118" s="617">
        <f>L117/H117</f>
        <v>4.0620271546534205E-3</v>
      </c>
      <c r="M118" s="617">
        <f>M117/L117</f>
        <v>1</v>
      </c>
      <c r="N118" s="617"/>
      <c r="O118" s="617">
        <f>O117/M117</f>
        <v>1.0499999999995111</v>
      </c>
      <c r="P118" s="617"/>
      <c r="Q118" s="613">
        <f>Q117/O117</f>
        <v>1.0952380952380953</v>
      </c>
      <c r="R118" s="613"/>
      <c r="S118" s="613">
        <f>S117/Q117</f>
        <v>1.3043478260869565</v>
      </c>
      <c r="T118" s="476"/>
      <c r="U118" s="476">
        <f>(L118*M118*O118*Q118*S118)^(1/5)-1</f>
        <v>-0.63944890714220404</v>
      </c>
      <c r="V118" s="476"/>
      <c r="W118" s="476"/>
      <c r="X118" s="618"/>
      <c r="Y118" s="613">
        <f>Y117/S117</f>
        <v>0.94099999999999995</v>
      </c>
      <c r="Z118" s="619"/>
      <c r="AA118" s="617">
        <f>AA117/Y117</f>
        <v>1.3371933691105942</v>
      </c>
      <c r="AB118" s="439">
        <f t="shared" si="89"/>
        <v>3.5825411951975505</v>
      </c>
      <c r="AC118" s="461">
        <f t="shared" si="82"/>
        <v>7.9146619178309457E-8</v>
      </c>
      <c r="AD118" s="461">
        <f t="shared" si="90"/>
        <v>8.5986395229919301E-8</v>
      </c>
      <c r="AE118" s="461"/>
      <c r="AF118" s="617">
        <f>AF117/AA117</f>
        <v>73.279617621443066</v>
      </c>
      <c r="AG118" s="617"/>
      <c r="AH118" s="617">
        <f>AH117/AF117</f>
        <v>3.7967490494971172</v>
      </c>
      <c r="AI118" s="617">
        <f>AI117/AH117</f>
        <v>1.1742728316026745</v>
      </c>
      <c r="AJ118" s="326">
        <f t="shared" si="95"/>
        <v>7.2492152502103853</v>
      </c>
      <c r="AK118" s="617">
        <f>(Y118*AA118*AF118*AH118*AI118)^(1/5)-1</f>
        <v>2.3326490933189192</v>
      </c>
      <c r="AL118" s="489">
        <f t="shared" si="87"/>
        <v>8.2536980357563828E-8</v>
      </c>
      <c r="AM118" s="489">
        <f t="shared" si="84"/>
        <v>9.4527401665342152E-8</v>
      </c>
      <c r="AN118" s="501" t="e">
        <f t="shared" si="92"/>
        <v>#DIV/0!</v>
      </c>
      <c r="AO118" s="326"/>
      <c r="AP118" s="326"/>
      <c r="AQ118" s="326"/>
      <c r="AR118" s="326"/>
      <c r="AS118" s="326"/>
      <c r="AT118" s="601"/>
      <c r="AU118" s="607"/>
      <c r="AV118" s="597">
        <f t="shared" si="85"/>
        <v>0</v>
      </c>
      <c r="AW118" s="597">
        <f t="shared" si="86"/>
        <v>0</v>
      </c>
      <c r="AX118" s="326"/>
      <c r="AY118" s="339">
        <f t="shared" si="94"/>
        <v>1.0606745836895262E-7</v>
      </c>
      <c r="AZ118" s="609">
        <f t="shared" si="88"/>
        <v>6.8915550598315264E-8</v>
      </c>
    </row>
    <row r="119" spans="1:52" s="626" customFormat="1" ht="19.95" hidden="1" customHeight="1">
      <c r="A119" s="627" t="s">
        <v>137</v>
      </c>
      <c r="B119" s="628" t="s">
        <v>29</v>
      </c>
      <c r="C119" s="617">
        <f>C117/C105</f>
        <v>0.19943462942915355</v>
      </c>
      <c r="D119" s="617">
        <f t="shared" ref="D119:I119" si="111">D117/D105</f>
        <v>3.9999817253603785E-4</v>
      </c>
      <c r="E119" s="617">
        <f t="shared" si="111"/>
        <v>3.3384503036759634E-4</v>
      </c>
      <c r="F119" s="617">
        <f t="shared" si="111"/>
        <v>3.0528723472844936E-4</v>
      </c>
      <c r="G119" s="617">
        <f t="shared" si="111"/>
        <v>2.6217619766793061E-4</v>
      </c>
      <c r="H119" s="617">
        <f t="shared" si="111"/>
        <v>5.9289459728647582E-2</v>
      </c>
      <c r="I119" s="617">
        <f t="shared" si="111"/>
        <v>1.4947459806888781E-2</v>
      </c>
      <c r="J119" s="617"/>
      <c r="K119" s="617"/>
      <c r="L119" s="617">
        <f t="shared" ref="L119:T119" si="112">L117/L105</f>
        <v>2.3055260940353702E-4</v>
      </c>
      <c r="M119" s="617">
        <f t="shared" si="112"/>
        <v>1.9834462916727526E-4</v>
      </c>
      <c r="N119" s="617"/>
      <c r="O119" s="617">
        <f t="shared" si="112"/>
        <v>2.0138470526385565E-4</v>
      </c>
      <c r="P119" s="617"/>
      <c r="Q119" s="613">
        <f t="shared" si="112"/>
        <v>2.0948897186754339E-4</v>
      </c>
      <c r="R119" s="613"/>
      <c r="S119" s="613">
        <f t="shared" si="112"/>
        <v>2.2896004135934187E-4</v>
      </c>
      <c r="T119" s="476">
        <f t="shared" si="112"/>
        <v>2.1401259467108958E-4</v>
      </c>
      <c r="U119" s="476"/>
      <c r="V119" s="476"/>
      <c r="W119" s="476"/>
      <c r="X119" s="618"/>
      <c r="Y119" s="613">
        <f t="shared" ref="Y119:AH119" si="113">Y117/Y105</f>
        <v>2.0054495943777509E-4</v>
      </c>
      <c r="Z119" s="619"/>
      <c r="AA119" s="617">
        <f t="shared" si="113"/>
        <v>2.6061307067824313E-4</v>
      </c>
      <c r="AB119" s="439">
        <f t="shared" si="89"/>
        <v>6.9011807147536012E-4</v>
      </c>
      <c r="AC119" s="461">
        <f t="shared" si="82"/>
        <v>1.5246304010223046E-11</v>
      </c>
      <c r="AD119" s="461">
        <f t="shared" si="90"/>
        <v>1.6563875198068116E-11</v>
      </c>
      <c r="AE119" s="461"/>
      <c r="AF119" s="617">
        <f t="shared" si="113"/>
        <v>2.0969810229141701E-2</v>
      </c>
      <c r="AG119" s="617"/>
      <c r="AH119" s="617">
        <f t="shared" si="113"/>
        <v>6.3351471013006158E-2</v>
      </c>
      <c r="AI119" s="617">
        <f>AI117/AI105</f>
        <v>7.2379805236319927E-2</v>
      </c>
      <c r="AJ119" s="326">
        <f t="shared" si="95"/>
        <v>0.13619243427944211</v>
      </c>
      <c r="AK119" s="617"/>
      <c r="AL119" s="489">
        <f t="shared" si="87"/>
        <v>1.5506385015460652E-9</v>
      </c>
      <c r="AM119" s="489">
        <f t="shared" si="84"/>
        <v>1.7759049075746388E-9</v>
      </c>
      <c r="AN119" s="501">
        <f t="shared" si="92"/>
        <v>635.37579128813775</v>
      </c>
      <c r="AO119" s="623"/>
      <c r="AP119" s="623"/>
      <c r="AQ119" s="623"/>
      <c r="AR119" s="623"/>
      <c r="AS119" s="623"/>
      <c r="AT119" s="624"/>
      <c r="AU119" s="625"/>
      <c r="AV119" s="597">
        <f t="shared" si="85"/>
        <v>0</v>
      </c>
      <c r="AW119" s="597">
        <f t="shared" si="86"/>
        <v>0</v>
      </c>
      <c r="AX119" s="623"/>
      <c r="AY119" s="339">
        <f t="shared" si="94"/>
        <v>6.5377838710432598E-9</v>
      </c>
      <c r="AZ119" s="609">
        <f t="shared" si="88"/>
        <v>4.2478153252101937E-9</v>
      </c>
    </row>
    <row r="120" spans="1:52" s="314" customFormat="1" ht="19.95" hidden="1" customHeight="1">
      <c r="A120" s="589">
        <v>13</v>
      </c>
      <c r="B120" s="590" t="s">
        <v>607</v>
      </c>
      <c r="C120" s="591">
        <f t="shared" ref="C120:H121" si="114">C11</f>
        <v>881389.27447200008</v>
      </c>
      <c r="D120" s="591">
        <f t="shared" si="114"/>
        <v>1296865.3711568909</v>
      </c>
      <c r="E120" s="591">
        <f t="shared" si="114"/>
        <v>1283487.4238549999</v>
      </c>
      <c r="F120" s="591">
        <f t="shared" si="114"/>
        <v>1221622.2457999999</v>
      </c>
      <c r="G120" s="591">
        <f t="shared" si="114"/>
        <v>1952654.9714940002</v>
      </c>
      <c r="H120" s="591">
        <f t="shared" si="114"/>
        <v>1868861</v>
      </c>
      <c r="I120" s="591">
        <f>SUM(D120:H120)</f>
        <v>7623491.0123058911</v>
      </c>
      <c r="J120" s="592"/>
      <c r="K120" s="592"/>
      <c r="L120" s="591">
        <f t="shared" ref="L120:O121" si="115">L11</f>
        <v>2029265</v>
      </c>
      <c r="M120" s="591">
        <f t="shared" si="115"/>
        <v>1800118</v>
      </c>
      <c r="N120" s="591"/>
      <c r="O120" s="591">
        <f t="shared" si="115"/>
        <v>2605155</v>
      </c>
      <c r="P120" s="591"/>
      <c r="Q120" s="593">
        <f>Q11</f>
        <v>2582125.2288760003</v>
      </c>
      <c r="R120" s="593"/>
      <c r="S120" s="593">
        <f>S11</f>
        <v>4460541</v>
      </c>
      <c r="T120" s="442">
        <f>SUM(L120:S120)</f>
        <v>13477204.228876</v>
      </c>
      <c r="U120" s="318"/>
      <c r="V120" s="318"/>
      <c r="W120" s="318"/>
      <c r="X120" s="611"/>
      <c r="Y120" s="593">
        <f>Y11</f>
        <v>4460541</v>
      </c>
      <c r="Z120" s="591"/>
      <c r="AA120" s="591">
        <f>AA11</f>
        <v>5399002.1306710001</v>
      </c>
      <c r="AB120" s="439">
        <f t="shared" si="89"/>
        <v>14320084.130671</v>
      </c>
      <c r="AC120" s="461">
        <f t="shared" si="82"/>
        <v>0.31636377184186781</v>
      </c>
      <c r="AD120" s="461">
        <f t="shared" si="90"/>
        <v>0.34370363010373511</v>
      </c>
      <c r="AE120" s="461"/>
      <c r="AF120" s="591">
        <f>AF11</f>
        <v>3561000</v>
      </c>
      <c r="AG120" s="591"/>
      <c r="AH120" s="591">
        <f>AH11</f>
        <v>4863186.4089698764</v>
      </c>
      <c r="AI120" s="591">
        <f>AI11</f>
        <v>4735000</v>
      </c>
      <c r="AJ120" s="326">
        <f t="shared" si="95"/>
        <v>19457729.539640877</v>
      </c>
      <c r="AK120" s="592"/>
      <c r="AL120" s="489">
        <f t="shared" si="87"/>
        <v>0.22153877149247569</v>
      </c>
      <c r="AM120" s="489">
        <f t="shared" si="84"/>
        <v>0.25372244473439337</v>
      </c>
      <c r="AN120" s="501">
        <f t="shared" si="92"/>
        <v>0.44375118230761235</v>
      </c>
      <c r="AO120" s="591"/>
      <c r="AP120" s="591"/>
      <c r="AQ120" s="591"/>
      <c r="AR120" s="591"/>
      <c r="AS120" s="591"/>
      <c r="AT120" s="595"/>
      <c r="AU120" s="612"/>
      <c r="AV120" s="597">
        <f t="shared" si="85"/>
        <v>0</v>
      </c>
      <c r="AW120" s="597">
        <f t="shared" si="86"/>
        <v>0</v>
      </c>
      <c r="AX120" s="326"/>
      <c r="AY120" s="339">
        <f t="shared" si="94"/>
        <v>0.42769397525065489</v>
      </c>
      <c r="AZ120" s="609">
        <f t="shared" si="88"/>
        <v>0.27788698103290049</v>
      </c>
    </row>
    <row r="121" spans="1:52" s="335" customFormat="1" ht="19.95" hidden="1" customHeight="1">
      <c r="A121" s="600" t="s">
        <v>34</v>
      </c>
      <c r="B121" s="276" t="s">
        <v>571</v>
      </c>
      <c r="C121" s="326">
        <f t="shared" si="114"/>
        <v>249673.54338399999</v>
      </c>
      <c r="D121" s="326">
        <f t="shared" si="114"/>
        <v>478645.8879538909</v>
      </c>
      <c r="E121" s="326">
        <f t="shared" si="114"/>
        <v>473880.659055</v>
      </c>
      <c r="F121" s="326">
        <f t="shared" si="114"/>
        <v>347996.01699999999</v>
      </c>
      <c r="G121" s="326">
        <f t="shared" si="114"/>
        <v>453930.929489</v>
      </c>
      <c r="H121" s="326">
        <f t="shared" si="114"/>
        <v>494263</v>
      </c>
      <c r="I121" s="326">
        <f>SUM(D121:H121)</f>
        <v>2248716.4934978909</v>
      </c>
      <c r="J121" s="488"/>
      <c r="K121" s="488"/>
      <c r="L121" s="326">
        <f t="shared" si="115"/>
        <v>755259</v>
      </c>
      <c r="M121" s="326">
        <f t="shared" si="115"/>
        <v>553506</v>
      </c>
      <c r="N121" s="326"/>
      <c r="O121" s="326">
        <f t="shared" si="115"/>
        <v>1113443</v>
      </c>
      <c r="P121" s="326"/>
      <c r="Q121" s="329">
        <f>Q12</f>
        <v>853859.37400000007</v>
      </c>
      <c r="R121" s="329"/>
      <c r="S121" s="329">
        <f>S12</f>
        <v>1006681.451</v>
      </c>
      <c r="T121" s="439">
        <f>SUM(L121:S121)</f>
        <v>4282748.8250000002</v>
      </c>
      <c r="U121" s="323"/>
      <c r="V121" s="323"/>
      <c r="W121" s="323"/>
      <c r="X121" s="340"/>
      <c r="Y121" s="329">
        <f>Y12</f>
        <v>839196.836075</v>
      </c>
      <c r="Z121" s="326"/>
      <c r="AA121" s="326">
        <f>AA12</f>
        <v>881544.812041</v>
      </c>
      <c r="AB121" s="439">
        <f t="shared" si="89"/>
        <v>2727423.0991159999</v>
      </c>
      <c r="AC121" s="461">
        <f t="shared" si="82"/>
        <v>6.0255083082709729E-2</v>
      </c>
      <c r="AD121" s="461">
        <f t="shared" si="90"/>
        <v>6.5462270433674002E-2</v>
      </c>
      <c r="AE121" s="461"/>
      <c r="AF121" s="326">
        <f>AF12</f>
        <v>1061000</v>
      </c>
      <c r="AG121" s="326"/>
      <c r="AH121" s="326">
        <f>AH12</f>
        <v>1143186.4089698761</v>
      </c>
      <c r="AI121" s="326">
        <f>AI12</f>
        <v>1213000</v>
      </c>
      <c r="AJ121" s="326">
        <f t="shared" si="95"/>
        <v>4076928.0570858764</v>
      </c>
      <c r="AK121" s="488"/>
      <c r="AL121" s="489">
        <f t="shared" si="87"/>
        <v>4.6418449356588232E-2</v>
      </c>
      <c r="AM121" s="489">
        <f t="shared" si="84"/>
        <v>5.3161811687365078E-2</v>
      </c>
      <c r="AN121" s="501">
        <f t="shared" si="92"/>
        <v>-4.8058099207843208E-2</v>
      </c>
      <c r="AO121" s="326"/>
      <c r="AP121" s="326"/>
      <c r="AQ121" s="326"/>
      <c r="AR121" s="326"/>
      <c r="AS121" s="326"/>
      <c r="AT121" s="601"/>
      <c r="AU121" s="607"/>
      <c r="AV121" s="597">
        <f t="shared" si="85"/>
        <v>0</v>
      </c>
      <c r="AW121" s="597">
        <f t="shared" si="86"/>
        <v>0</v>
      </c>
      <c r="AX121" s="326"/>
      <c r="AY121" s="339">
        <f t="shared" si="94"/>
        <v>0.10956553156896395</v>
      </c>
      <c r="AZ121" s="609">
        <f t="shared" si="88"/>
        <v>7.1188364940424145E-2</v>
      </c>
    </row>
    <row r="122" spans="1:52" s="626" customFormat="1" ht="19.95" hidden="1" customHeight="1">
      <c r="A122" s="627" t="s">
        <v>137</v>
      </c>
      <c r="B122" s="636" t="s">
        <v>494</v>
      </c>
      <c r="C122" s="617"/>
      <c r="D122" s="617">
        <f>D121/C121</f>
        <v>1.9170869346686426</v>
      </c>
      <c r="E122" s="617">
        <f>E121/D121</f>
        <v>0.99004435425265802</v>
      </c>
      <c r="F122" s="617">
        <f>F121/E121</f>
        <v>0.73435370351253471</v>
      </c>
      <c r="G122" s="617">
        <f>G121/F121</f>
        <v>1.3044141522142767</v>
      </c>
      <c r="H122" s="617">
        <f>H121/G121</f>
        <v>1.0888506772526003</v>
      </c>
      <c r="I122" s="617"/>
      <c r="J122" s="617">
        <f>(D122*E122*F122*G122*H122)^(1/5)-1</f>
        <v>0.1463496829624471</v>
      </c>
      <c r="K122" s="617"/>
      <c r="L122" s="617">
        <f>L121/H121</f>
        <v>1.5280508555161927</v>
      </c>
      <c r="M122" s="617">
        <f>M121/L121</f>
        <v>0.73286912171850982</v>
      </c>
      <c r="N122" s="617"/>
      <c r="O122" s="617">
        <f>O121/M121</f>
        <v>2.0116186635736559</v>
      </c>
      <c r="P122" s="617"/>
      <c r="Q122" s="613">
        <f>Q121/O121</f>
        <v>0.76686401908315027</v>
      </c>
      <c r="R122" s="613"/>
      <c r="S122" s="613">
        <f>S121/Q121</f>
        <v>1.1789780397726242</v>
      </c>
      <c r="T122" s="476"/>
      <c r="U122" s="476">
        <f>(L122*M122*O122*Q122*S122)^(1/5)-1</f>
        <v>0.15288713544856658</v>
      </c>
      <c r="V122" s="476"/>
      <c r="W122" s="476"/>
      <c r="X122" s="618"/>
      <c r="Y122" s="613">
        <f>Y121/S121</f>
        <v>0.83362699813468599</v>
      </c>
      <c r="Z122" s="619"/>
      <c r="AA122" s="617">
        <f>AA121/Y121</f>
        <v>1.0504625067035112</v>
      </c>
      <c r="AB122" s="439">
        <f t="shared" si="89"/>
        <v>3.0630675446108215</v>
      </c>
      <c r="AC122" s="461">
        <f t="shared" si="82"/>
        <v>6.7670245019299446E-8</v>
      </c>
      <c r="AD122" s="461">
        <f t="shared" si="90"/>
        <v>7.3518243658973744E-8</v>
      </c>
      <c r="AE122" s="461"/>
      <c r="AF122" s="617">
        <f>AF121/AA121</f>
        <v>1.2035689910573186</v>
      </c>
      <c r="AG122" s="617"/>
      <c r="AH122" s="617">
        <f>AH121/AF121</f>
        <v>1.0774612714136438</v>
      </c>
      <c r="AI122" s="617">
        <f>AI121/AH121</f>
        <v>1.0610692976074068</v>
      </c>
      <c r="AJ122" s="326">
        <f t="shared" si="95"/>
        <v>4.0226200738592475</v>
      </c>
      <c r="AK122" s="617">
        <f>(Y122*AA122*AF122*AH122*AI122)^(1/5)-1</f>
        <v>3.7991379904332323E-2</v>
      </c>
      <c r="AL122" s="489">
        <f t="shared" si="87"/>
        <v>4.5800118021385416E-8</v>
      </c>
      <c r="AM122" s="489">
        <f t="shared" si="84"/>
        <v>5.2453653305125116E-8</v>
      </c>
      <c r="AN122" s="501" t="e">
        <f t="shared" si="92"/>
        <v>#DIV/0!</v>
      </c>
      <c r="AO122" s="623"/>
      <c r="AP122" s="623"/>
      <c r="AQ122" s="623"/>
      <c r="AR122" s="623"/>
      <c r="AS122" s="623"/>
      <c r="AT122" s="624"/>
      <c r="AU122" s="625"/>
      <c r="AV122" s="597">
        <f t="shared" si="85"/>
        <v>0</v>
      </c>
      <c r="AW122" s="597">
        <f t="shared" si="86"/>
        <v>0</v>
      </c>
      <c r="AX122" s="623"/>
      <c r="AY122" s="339">
        <f t="shared" si="94"/>
        <v>9.5842227224948679E-8</v>
      </c>
      <c r="AZ122" s="609">
        <f t="shared" si="88"/>
        <v>6.2271878305981518E-8</v>
      </c>
    </row>
    <row r="123" spans="1:52" s="626" customFormat="1" ht="19.95" hidden="1" customHeight="1">
      <c r="A123" s="627" t="s">
        <v>137</v>
      </c>
      <c r="B123" s="636" t="s">
        <v>29</v>
      </c>
      <c r="C123" s="617">
        <f>C121/C120</f>
        <v>0.2832727270632695</v>
      </c>
      <c r="D123" s="617">
        <f t="shared" ref="D123:I123" si="116">D121/D120</f>
        <v>0.36907908762102781</v>
      </c>
      <c r="E123" s="617">
        <f t="shared" si="116"/>
        <v>0.36921332476455643</v>
      </c>
      <c r="F123" s="617">
        <f t="shared" si="116"/>
        <v>0.28486385066777248</v>
      </c>
      <c r="G123" s="617">
        <f t="shared" si="116"/>
        <v>0.2324685805304825</v>
      </c>
      <c r="H123" s="617">
        <f t="shared" si="116"/>
        <v>0.2644728527161731</v>
      </c>
      <c r="I123" s="617">
        <f t="shared" si="116"/>
        <v>0.29497201346049956</v>
      </c>
      <c r="J123" s="617"/>
      <c r="K123" s="617"/>
      <c r="L123" s="617">
        <f>L121/L120</f>
        <v>0.37218352457663245</v>
      </c>
      <c r="M123" s="617">
        <f>M121/M120</f>
        <v>0.30748317610289994</v>
      </c>
      <c r="N123" s="617"/>
      <c r="O123" s="617">
        <f>O121/O120</f>
        <v>0.42739990518798304</v>
      </c>
      <c r="P123" s="617"/>
      <c r="Q123" s="613">
        <f>Q121/Q120</f>
        <v>0.33068085329528546</v>
      </c>
      <c r="R123" s="613"/>
      <c r="S123" s="613">
        <f>S121/S120</f>
        <v>0.22568595401320155</v>
      </c>
      <c r="T123" s="476">
        <f>(L123*M123*O123*Q123*S123)^(1/5)</f>
        <v>0.32543578093162284</v>
      </c>
      <c r="U123" s="476"/>
      <c r="V123" s="476"/>
      <c r="W123" s="476"/>
      <c r="X123" s="618"/>
      <c r="Y123" s="613">
        <f t="shared" ref="Y123:AH123" si="117">Y121/Y120</f>
        <v>0.18813790436518799</v>
      </c>
      <c r="Z123" s="619"/>
      <c r="AA123" s="617">
        <f t="shared" si="117"/>
        <v>0.1632792117330466</v>
      </c>
      <c r="AB123" s="439">
        <f t="shared" si="89"/>
        <v>0.57710307011143613</v>
      </c>
      <c r="AC123" s="461">
        <f t="shared" si="82"/>
        <v>1.2749541297102763E-8</v>
      </c>
      <c r="AD123" s="461">
        <f t="shared" si="90"/>
        <v>1.3851344610223089E-8</v>
      </c>
      <c r="AE123" s="461"/>
      <c r="AF123" s="617">
        <f t="shared" si="117"/>
        <v>0.29795001404099974</v>
      </c>
      <c r="AG123" s="617"/>
      <c r="AH123" s="617">
        <f t="shared" si="117"/>
        <v>0.23506942009488521</v>
      </c>
      <c r="AI123" s="617">
        <f>AI121/AI120</f>
        <v>0.25617740232312564</v>
      </c>
      <c r="AJ123" s="326">
        <f t="shared" si="95"/>
        <v>0.84266393851624533</v>
      </c>
      <c r="AK123" s="617"/>
      <c r="AL123" s="489">
        <f t="shared" si="87"/>
        <v>9.5942711784319308E-9</v>
      </c>
      <c r="AM123" s="489">
        <f t="shared" si="84"/>
        <v>1.0988062822760378E-8</v>
      </c>
      <c r="AN123" s="501">
        <f t="shared" si="92"/>
        <v>1.5893401644525897</v>
      </c>
      <c r="AO123" s="623"/>
      <c r="AP123" s="623"/>
      <c r="AQ123" s="623"/>
      <c r="AR123" s="623"/>
      <c r="AS123" s="623"/>
      <c r="AT123" s="624"/>
      <c r="AU123" s="625"/>
      <c r="AV123" s="597">
        <f t="shared" si="85"/>
        <v>0</v>
      </c>
      <c r="AW123" s="597">
        <f t="shared" si="86"/>
        <v>0</v>
      </c>
      <c r="AX123" s="623"/>
      <c r="AY123" s="339">
        <f t="shared" si="94"/>
        <v>2.3139499803371479E-8</v>
      </c>
      <c r="AZ123" s="609">
        <f t="shared" si="88"/>
        <v>1.5034501571367294E-8</v>
      </c>
    </row>
    <row r="124" spans="1:52" s="335" customFormat="1" ht="19.95" hidden="1" customHeight="1">
      <c r="A124" s="600" t="s">
        <v>35</v>
      </c>
      <c r="B124" s="276" t="s">
        <v>76</v>
      </c>
      <c r="C124" s="326">
        <f t="shared" ref="C124:H124" si="118">C13</f>
        <v>282628.00725800003</v>
      </c>
      <c r="D124" s="326">
        <f t="shared" si="118"/>
        <v>262379.85220299999</v>
      </c>
      <c r="E124" s="326">
        <f t="shared" si="118"/>
        <v>291839.82780000003</v>
      </c>
      <c r="F124" s="326">
        <f t="shared" si="118"/>
        <v>303789.2758</v>
      </c>
      <c r="G124" s="326">
        <f t="shared" si="118"/>
        <v>355825.039116</v>
      </c>
      <c r="H124" s="326">
        <f t="shared" si="118"/>
        <v>317091</v>
      </c>
      <c r="I124" s="326">
        <f>SUM(D124:H124)</f>
        <v>1530924.994919</v>
      </c>
      <c r="J124" s="488"/>
      <c r="K124" s="488"/>
      <c r="L124" s="326">
        <f>L13</f>
        <v>333567</v>
      </c>
      <c r="M124" s="326">
        <f>M13</f>
        <v>351441</v>
      </c>
      <c r="N124" s="326"/>
      <c r="O124" s="326">
        <f>O13</f>
        <v>281847</v>
      </c>
      <c r="P124" s="326"/>
      <c r="Q124" s="329">
        <f>Q13</f>
        <v>306246</v>
      </c>
      <c r="R124" s="329"/>
      <c r="S124" s="329">
        <f>S13</f>
        <v>557722.85500600003</v>
      </c>
      <c r="T124" s="439">
        <f>SUM(L124:S124)</f>
        <v>1830823.855006</v>
      </c>
      <c r="U124" s="323"/>
      <c r="V124" s="323"/>
      <c r="W124" s="323"/>
      <c r="X124" s="340"/>
      <c r="Y124" s="329">
        <f>Y13</f>
        <v>461660.39653100003</v>
      </c>
      <c r="Z124" s="326"/>
      <c r="AA124" s="326">
        <f>AA13</f>
        <v>989715.99300000002</v>
      </c>
      <c r="AB124" s="439">
        <f t="shared" si="89"/>
        <v>2009099.2445370001</v>
      </c>
      <c r="AC124" s="461">
        <f t="shared" si="82"/>
        <v>4.4385648101397689E-2</v>
      </c>
      <c r="AD124" s="461">
        <f t="shared" si="90"/>
        <v>4.8221413874729946E-2</v>
      </c>
      <c r="AE124" s="461"/>
      <c r="AF124" s="326">
        <f>AF13</f>
        <v>900000</v>
      </c>
      <c r="AG124" s="326"/>
      <c r="AH124" s="326">
        <f>AH13</f>
        <v>1770000</v>
      </c>
      <c r="AI124" s="326">
        <f>AI13</f>
        <v>1200000</v>
      </c>
      <c r="AJ124" s="326">
        <f t="shared" si="95"/>
        <v>4421376.3895309996</v>
      </c>
      <c r="AK124" s="488"/>
      <c r="AL124" s="489">
        <f t="shared" si="87"/>
        <v>5.0340215267511298E-2</v>
      </c>
      <c r="AM124" s="489">
        <f t="shared" si="84"/>
        <v>5.7653305559484891E-2</v>
      </c>
      <c r="AN124" s="501">
        <f t="shared" si="92"/>
        <v>1.4149654689290192</v>
      </c>
      <c r="AO124" s="326"/>
      <c r="AP124" s="326"/>
      <c r="AQ124" s="326"/>
      <c r="AR124" s="326"/>
      <c r="AS124" s="326"/>
      <c r="AT124" s="601"/>
      <c r="AU124" s="607"/>
      <c r="AV124" s="597">
        <f t="shared" si="85"/>
        <v>0</v>
      </c>
      <c r="AW124" s="597">
        <f t="shared" si="86"/>
        <v>0</v>
      </c>
      <c r="AX124" s="326"/>
      <c r="AY124" s="339">
        <f t="shared" si="94"/>
        <v>0.10839129256616385</v>
      </c>
      <c r="AZ124" s="609">
        <f t="shared" si="88"/>
        <v>7.0425422859446793E-2</v>
      </c>
    </row>
    <row r="125" spans="1:52" s="626" customFormat="1" ht="19.95" hidden="1" customHeight="1">
      <c r="A125" s="627" t="s">
        <v>137</v>
      </c>
      <c r="B125" s="636" t="s">
        <v>494</v>
      </c>
      <c r="C125" s="617"/>
      <c r="D125" s="617">
        <f>D124/C124</f>
        <v>0.92835757768154836</v>
      </c>
      <c r="E125" s="617">
        <f>E124/D124</f>
        <v>1.1122798696227911</v>
      </c>
      <c r="F125" s="617">
        <f>F124/E124</f>
        <v>1.0409452270105815</v>
      </c>
      <c r="G125" s="617">
        <f>G124/F124</f>
        <v>1.1712890067595993</v>
      </c>
      <c r="H125" s="617">
        <f>H124/G124</f>
        <v>0.89114302014206315</v>
      </c>
      <c r="I125" s="617"/>
      <c r="J125" s="617">
        <f>(D125*E125*F125*G125*H125)^(1/5)-1</f>
        <v>2.3278251500093994E-2</v>
      </c>
      <c r="K125" s="617"/>
      <c r="L125" s="617">
        <f>L124/H124</f>
        <v>1.0519598474885758</v>
      </c>
      <c r="M125" s="617">
        <f>M124/L124</f>
        <v>1.0535844373094461</v>
      </c>
      <c r="N125" s="617"/>
      <c r="O125" s="617">
        <f>O124/M124</f>
        <v>0.80197529599562944</v>
      </c>
      <c r="P125" s="617"/>
      <c r="Q125" s="613">
        <f>Q124/O124</f>
        <v>1.0865682444730651</v>
      </c>
      <c r="R125" s="613"/>
      <c r="S125" s="613">
        <f>S124/Q124</f>
        <v>1.8211596396557017</v>
      </c>
      <c r="T125" s="476"/>
      <c r="U125" s="476">
        <f>(L125*M125*O125*Q125*S125)^(1/5)-1</f>
        <v>0.1195587930198343</v>
      </c>
      <c r="V125" s="476"/>
      <c r="W125" s="476"/>
      <c r="X125" s="618"/>
      <c r="Y125" s="613">
        <f>Y124/S124</f>
        <v>0.82775950884428695</v>
      </c>
      <c r="Z125" s="619"/>
      <c r="AA125" s="617">
        <f>AA124/Y124</f>
        <v>2.1438182708261428</v>
      </c>
      <c r="AB125" s="439">
        <f t="shared" si="89"/>
        <v>4.7927374193261318</v>
      </c>
      <c r="AC125" s="461">
        <f t="shared" si="82"/>
        <v>1.058826521960264E-7</v>
      </c>
      <c r="AD125" s="461">
        <f t="shared" si="90"/>
        <v>1.1503293096080516E-7</v>
      </c>
      <c r="AE125" s="461"/>
      <c r="AF125" s="617">
        <f>AF124/AA124</f>
        <v>0.90935178007172002</v>
      </c>
      <c r="AG125" s="617"/>
      <c r="AH125" s="617">
        <f>AH124/AF124</f>
        <v>1.9666666666666666</v>
      </c>
      <c r="AI125" s="617">
        <f>AI124/AH124</f>
        <v>0.67796610169491522</v>
      </c>
      <c r="AJ125" s="326">
        <f t="shared" si="95"/>
        <v>5.6162105480320115</v>
      </c>
      <c r="AK125" s="617">
        <f>(Y125*AA125*AF125*AH125*AI125)^(1/5)-1</f>
        <v>0.16560811094934058</v>
      </c>
      <c r="AL125" s="489">
        <f t="shared" si="87"/>
        <v>6.3944171015394802E-8</v>
      </c>
      <c r="AM125" s="489">
        <f t="shared" si="84"/>
        <v>7.3233553148466108E-8</v>
      </c>
      <c r="AN125" s="501" t="e">
        <f t="shared" si="92"/>
        <v>#DIV/0!</v>
      </c>
      <c r="AO125" s="623"/>
      <c r="AP125" s="623"/>
      <c r="AQ125" s="623"/>
      <c r="AR125" s="623"/>
      <c r="AS125" s="623"/>
      <c r="AT125" s="624"/>
      <c r="AU125" s="625"/>
      <c r="AV125" s="597">
        <f t="shared" si="85"/>
        <v>0</v>
      </c>
      <c r="AW125" s="597">
        <f t="shared" si="86"/>
        <v>0</v>
      </c>
      <c r="AX125" s="623"/>
      <c r="AY125" s="339">
        <f t="shared" si="94"/>
        <v>6.1238018398962624E-8</v>
      </c>
      <c r="AZ125" s="609">
        <f t="shared" si="88"/>
        <v>3.9788374496862597E-8</v>
      </c>
    </row>
    <row r="126" spans="1:52" s="626" customFormat="1" ht="19.95" hidden="1" customHeight="1">
      <c r="A126" s="627" t="s">
        <v>137</v>
      </c>
      <c r="B126" s="636" t="s">
        <v>29</v>
      </c>
      <c r="C126" s="617">
        <f>C124/C120</f>
        <v>0.32066195430765765</v>
      </c>
      <c r="D126" s="617">
        <f t="shared" ref="D126:I126" si="119">D124/D120</f>
        <v>0.20231849661383092</v>
      </c>
      <c r="E126" s="617">
        <f t="shared" si="119"/>
        <v>0.22738035634462919</v>
      </c>
      <c r="F126" s="617">
        <f t="shared" si="119"/>
        <v>0.24867693498906324</v>
      </c>
      <c r="G126" s="617">
        <f t="shared" si="119"/>
        <v>0.18222627361748087</v>
      </c>
      <c r="H126" s="617">
        <f t="shared" si="119"/>
        <v>0.16967072457502189</v>
      </c>
      <c r="I126" s="617">
        <f t="shared" si="119"/>
        <v>0.20081679016185242</v>
      </c>
      <c r="J126" s="617"/>
      <c r="K126" s="617"/>
      <c r="L126" s="617">
        <f>L124/L120</f>
        <v>0.16437823546949265</v>
      </c>
      <c r="M126" s="617">
        <f>M124/M120</f>
        <v>0.19523220144457196</v>
      </c>
      <c r="N126" s="617"/>
      <c r="O126" s="617">
        <f>O124/O120</f>
        <v>0.10818818841873132</v>
      </c>
      <c r="P126" s="617"/>
      <c r="Q126" s="613">
        <f>Q124/Q120</f>
        <v>0.11860230347282923</v>
      </c>
      <c r="R126" s="613"/>
      <c r="S126" s="613">
        <f>S124/S120</f>
        <v>0.12503480071273868</v>
      </c>
      <c r="T126" s="476">
        <f>(L126*M126*O126*Q126*S126)^(1/5)</f>
        <v>0.13878416886347458</v>
      </c>
      <c r="U126" s="476"/>
      <c r="V126" s="476"/>
      <c r="W126" s="476"/>
      <c r="X126" s="618"/>
      <c r="Y126" s="613">
        <f t="shared" ref="Y126:AH126" si="120">Y124/Y120</f>
        <v>0.10349874522641986</v>
      </c>
      <c r="Z126" s="619"/>
      <c r="AA126" s="617">
        <f t="shared" si="120"/>
        <v>0.18331461426502454</v>
      </c>
      <c r="AB126" s="439">
        <f t="shared" si="89"/>
        <v>0.41184816020418302</v>
      </c>
      <c r="AC126" s="461">
        <f t="shared" si="82"/>
        <v>9.0986782060353704E-9</v>
      </c>
      <c r="AD126" s="461">
        <f t="shared" si="90"/>
        <v>9.8849773801635851E-9</v>
      </c>
      <c r="AE126" s="461"/>
      <c r="AF126" s="617">
        <f t="shared" si="120"/>
        <v>0.25273799494524007</v>
      </c>
      <c r="AG126" s="617"/>
      <c r="AH126" s="617">
        <f t="shared" si="120"/>
        <v>0.363958904954853</v>
      </c>
      <c r="AI126" s="617">
        <f>AI124/AI120</f>
        <v>0.25343189017951423</v>
      </c>
      <c r="AJ126" s="326">
        <f t="shared" si="95"/>
        <v>0.90420415462581172</v>
      </c>
      <c r="AK126" s="617"/>
      <c r="AL126" s="489">
        <f t="shared" si="87"/>
        <v>1.029494613881307E-8</v>
      </c>
      <c r="AM126" s="489">
        <f t="shared" si="84"/>
        <v>1.1790527162137266E-8</v>
      </c>
      <c r="AN126" s="501">
        <f t="shared" si="92"/>
        <v>5.5151822576773846</v>
      </c>
      <c r="AO126" s="623"/>
      <c r="AP126" s="623"/>
      <c r="AQ126" s="623"/>
      <c r="AR126" s="623"/>
      <c r="AS126" s="623"/>
      <c r="AT126" s="624"/>
      <c r="AU126" s="625"/>
      <c r="AV126" s="597">
        <f t="shared" si="85"/>
        <v>0</v>
      </c>
      <c r="AW126" s="597">
        <f t="shared" si="86"/>
        <v>0</v>
      </c>
      <c r="AX126" s="623"/>
      <c r="AY126" s="339">
        <f t="shared" si="94"/>
        <v>2.2891508461703028E-8</v>
      </c>
      <c r="AZ126" s="609">
        <f t="shared" si="88"/>
        <v>1.4873373359967643E-8</v>
      </c>
    </row>
    <row r="127" spans="1:52" s="335" customFormat="1" ht="19.95" hidden="1" customHeight="1">
      <c r="A127" s="600" t="s">
        <v>36</v>
      </c>
      <c r="B127" s="276" t="s">
        <v>121</v>
      </c>
      <c r="C127" s="326">
        <f t="shared" ref="C127:H127" si="121">C14</f>
        <v>349087.72382999997</v>
      </c>
      <c r="D127" s="326">
        <f t="shared" si="121"/>
        <v>555839.63100000005</v>
      </c>
      <c r="E127" s="326">
        <f t="shared" si="121"/>
        <v>517766.93699999998</v>
      </c>
      <c r="F127" s="326">
        <f t="shared" si="121"/>
        <v>569836.95299999998</v>
      </c>
      <c r="G127" s="326">
        <f t="shared" si="121"/>
        <v>1142899.0028890001</v>
      </c>
      <c r="H127" s="326">
        <f t="shared" si="121"/>
        <v>1057507</v>
      </c>
      <c r="I127" s="326">
        <f>SUM(D127:H127)</f>
        <v>3843849.5238890001</v>
      </c>
      <c r="J127" s="488"/>
      <c r="K127" s="488"/>
      <c r="L127" s="326">
        <f>L14</f>
        <v>940439</v>
      </c>
      <c r="M127" s="326">
        <f>M14</f>
        <v>895171</v>
      </c>
      <c r="N127" s="326"/>
      <c r="O127" s="326">
        <f>O14</f>
        <v>1209865</v>
      </c>
      <c r="P127" s="326"/>
      <c r="Q127" s="329">
        <f>Q14</f>
        <v>1422019.854876</v>
      </c>
      <c r="R127" s="329"/>
      <c r="S127" s="329">
        <f>S14</f>
        <v>1360127.8934820001</v>
      </c>
      <c r="T127" s="439">
        <f>SUM(L127:S127)</f>
        <v>5827622.7483580001</v>
      </c>
      <c r="U127" s="323"/>
      <c r="V127" s="323"/>
      <c r="W127" s="323"/>
      <c r="X127" s="340"/>
      <c r="Y127" s="329">
        <f>Y14</f>
        <v>731759.17074700003</v>
      </c>
      <c r="Z127" s="326"/>
      <c r="AA127" s="326">
        <f>AA14</f>
        <v>1389289.7294949999</v>
      </c>
      <c r="AB127" s="439">
        <f t="shared" si="89"/>
        <v>3481176.793724</v>
      </c>
      <c r="AC127" s="461">
        <f t="shared" si="82"/>
        <v>7.6907245157315965E-2</v>
      </c>
      <c r="AD127" s="461">
        <f t="shared" si="90"/>
        <v>8.3553496621793649E-2</v>
      </c>
      <c r="AE127" s="461"/>
      <c r="AF127" s="326">
        <f>AF14</f>
        <v>1600000</v>
      </c>
      <c r="AG127" s="326"/>
      <c r="AH127" s="326">
        <f>AH14</f>
        <v>1950000</v>
      </c>
      <c r="AI127" s="326">
        <f>AI14</f>
        <v>2322000</v>
      </c>
      <c r="AJ127" s="326">
        <f t="shared" si="95"/>
        <v>6393048.9002419999</v>
      </c>
      <c r="AK127" s="488"/>
      <c r="AL127" s="489">
        <f t="shared" si="87"/>
        <v>7.2788975536201006E-2</v>
      </c>
      <c r="AM127" s="489">
        <f t="shared" si="84"/>
        <v>8.3363271802670086E-2</v>
      </c>
      <c r="AN127" s="501">
        <f t="shared" si="92"/>
        <v>9.7025180987104109E-2</v>
      </c>
      <c r="AO127" s="326"/>
      <c r="AP127" s="326"/>
      <c r="AQ127" s="326"/>
      <c r="AR127" s="326"/>
      <c r="AS127" s="326"/>
      <c r="AT127" s="601"/>
      <c r="AU127" s="607"/>
      <c r="AV127" s="597">
        <f t="shared" si="85"/>
        <v>0</v>
      </c>
      <c r="AW127" s="597">
        <f t="shared" si="86"/>
        <v>0</v>
      </c>
      <c r="AX127" s="326"/>
      <c r="AY127" s="339">
        <f t="shared" si="94"/>
        <v>0.20973715111552704</v>
      </c>
      <c r="AZ127" s="609">
        <f t="shared" si="88"/>
        <v>0.13627319323302955</v>
      </c>
    </row>
    <row r="128" spans="1:52" s="626" customFormat="1" ht="19.95" hidden="1" customHeight="1">
      <c r="A128" s="627" t="s">
        <v>137</v>
      </c>
      <c r="B128" s="636" t="s">
        <v>494</v>
      </c>
      <c r="C128" s="617"/>
      <c r="D128" s="617">
        <f>D127/C127</f>
        <v>1.592263471489719</v>
      </c>
      <c r="E128" s="617">
        <f>E127/D127</f>
        <v>0.93150417516738726</v>
      </c>
      <c r="F128" s="617">
        <f>F127/E127</f>
        <v>1.1005665141573149</v>
      </c>
      <c r="G128" s="617">
        <f>G127/F127</f>
        <v>2.0056596836551597</v>
      </c>
      <c r="H128" s="617">
        <f>H127/G127</f>
        <v>0.92528473410760903</v>
      </c>
      <c r="I128" s="617"/>
      <c r="J128" s="617">
        <f>(D128*E128*F128*G128*H128)^(1/5)-1</f>
        <v>0.24815848915268068</v>
      </c>
      <c r="K128" s="617"/>
      <c r="L128" s="617">
        <f>L127/H127</f>
        <v>0.88929813230550725</v>
      </c>
      <c r="M128" s="617">
        <f>M127/L127</f>
        <v>0.95186503324511207</v>
      </c>
      <c r="N128" s="617"/>
      <c r="O128" s="617">
        <f>O127/M127</f>
        <v>1.3515462408858196</v>
      </c>
      <c r="P128" s="617"/>
      <c r="Q128" s="613">
        <f>Q127/O127</f>
        <v>1.1753541551131736</v>
      </c>
      <c r="R128" s="613"/>
      <c r="S128" s="613">
        <f>S127/Q127</f>
        <v>0.95647602163797019</v>
      </c>
      <c r="T128" s="476"/>
      <c r="U128" s="476">
        <f>(L128*M128*O128*Q128*S128)^(1/5)-1</f>
        <v>5.1621119280732097E-2</v>
      </c>
      <c r="V128" s="476"/>
      <c r="W128" s="476"/>
      <c r="X128" s="618"/>
      <c r="Y128" s="613">
        <f>Y127/S127</f>
        <v>0.53800761991113755</v>
      </c>
      <c r="Z128" s="619"/>
      <c r="AA128" s="617">
        <f>AA127/Y127</f>
        <v>1.8985614188842681</v>
      </c>
      <c r="AB128" s="439">
        <f t="shared" si="89"/>
        <v>3.3930450604333755</v>
      </c>
      <c r="AC128" s="461">
        <f t="shared" si="82"/>
        <v>7.4960211375365895E-8</v>
      </c>
      <c r="AD128" s="461">
        <f t="shared" si="90"/>
        <v>8.1438202019966296E-8</v>
      </c>
      <c r="AE128" s="461"/>
      <c r="AF128" s="617">
        <f>AF127/AA127</f>
        <v>1.1516676226934985</v>
      </c>
      <c r="AG128" s="617"/>
      <c r="AH128" s="617">
        <f>AH127/AF127</f>
        <v>1.21875</v>
      </c>
      <c r="AI128" s="617">
        <f>AI127/AH127</f>
        <v>1.1907692307692308</v>
      </c>
      <c r="AJ128" s="326">
        <f t="shared" si="95"/>
        <v>4.8460882695646363</v>
      </c>
      <c r="AK128" s="617">
        <f>(Y128*AA128*AF128*AH128*AI128)^(1/5)-1</f>
        <v>0.11290090003329833</v>
      </c>
      <c r="AL128" s="489">
        <f t="shared" si="87"/>
        <v>5.5175833315815626E-8</v>
      </c>
      <c r="AM128" s="489">
        <f t="shared" si="84"/>
        <v>6.3191409904616194E-8</v>
      </c>
      <c r="AN128" s="501" t="e">
        <f t="shared" si="92"/>
        <v>#DIV/0!</v>
      </c>
      <c r="AO128" s="623"/>
      <c r="AP128" s="623"/>
      <c r="AQ128" s="623"/>
      <c r="AR128" s="623"/>
      <c r="AS128" s="623"/>
      <c r="AT128" s="624"/>
      <c r="AU128" s="625"/>
      <c r="AV128" s="597">
        <f t="shared" si="85"/>
        <v>0</v>
      </c>
      <c r="AW128" s="597">
        <f t="shared" si="86"/>
        <v>0</v>
      </c>
      <c r="AX128" s="623"/>
      <c r="AY128" s="339">
        <f t="shared" si="94"/>
        <v>1.0755751339257798E-7</v>
      </c>
      <c r="AZ128" s="609">
        <f t="shared" si="88"/>
        <v>6.9883688837451058E-8</v>
      </c>
    </row>
    <row r="129" spans="1:52" s="626" customFormat="1" ht="19.95" hidden="1" customHeight="1">
      <c r="A129" s="627" t="s">
        <v>137</v>
      </c>
      <c r="B129" s="636" t="s">
        <v>29</v>
      </c>
      <c r="C129" s="617">
        <f>C127/C120</f>
        <v>0.39606531862907274</v>
      </c>
      <c r="D129" s="617">
        <f t="shared" ref="D129:I129" si="122">D127/D120</f>
        <v>0.4286024157651413</v>
      </c>
      <c r="E129" s="617">
        <f t="shared" si="122"/>
        <v>0.40340631889081441</v>
      </c>
      <c r="F129" s="617">
        <f t="shared" si="122"/>
        <v>0.46645921434316434</v>
      </c>
      <c r="G129" s="617">
        <f t="shared" si="122"/>
        <v>0.58530514585203663</v>
      </c>
      <c r="H129" s="617">
        <f t="shared" si="122"/>
        <v>0.56585642270880498</v>
      </c>
      <c r="I129" s="617">
        <f t="shared" si="122"/>
        <v>0.504211196377648</v>
      </c>
      <c r="J129" s="617"/>
      <c r="K129" s="617"/>
      <c r="L129" s="617">
        <f>L127/L120</f>
        <v>0.4634382399538749</v>
      </c>
      <c r="M129" s="617">
        <f>M127/M120</f>
        <v>0.49728462245252814</v>
      </c>
      <c r="N129" s="617"/>
      <c r="O129" s="617">
        <f>O127/O120</f>
        <v>0.46441190639328561</v>
      </c>
      <c r="P129" s="617"/>
      <c r="Q129" s="613">
        <f>Q127/Q120</f>
        <v>0.55071684323188519</v>
      </c>
      <c r="R129" s="613"/>
      <c r="S129" s="613">
        <f>S127/S120</f>
        <v>0.3049244236252957</v>
      </c>
      <c r="T129" s="476">
        <f>(L129*M129*O129*Q129*S129)^(1/5)</f>
        <v>0.44763513020279661</v>
      </c>
      <c r="U129" s="476"/>
      <c r="V129" s="476"/>
      <c r="W129" s="476"/>
      <c r="X129" s="618"/>
      <c r="Y129" s="613">
        <f t="shared" ref="Y129:AH129" si="123">Y127/Y120</f>
        <v>0.16405166340742078</v>
      </c>
      <c r="Z129" s="619"/>
      <c r="AA129" s="617">
        <f t="shared" si="123"/>
        <v>0.25732342678707848</v>
      </c>
      <c r="AB129" s="439">
        <f t="shared" si="89"/>
        <v>0.72629951381979496</v>
      </c>
      <c r="AC129" s="461">
        <f t="shared" si="82"/>
        <v>1.6045635736651117E-8</v>
      </c>
      <c r="AD129" s="461">
        <f t="shared" si="90"/>
        <v>1.7432284417084941E-8</v>
      </c>
      <c r="AE129" s="461"/>
      <c r="AF129" s="617">
        <f t="shared" si="123"/>
        <v>0.44931199101376018</v>
      </c>
      <c r="AG129" s="617"/>
      <c r="AH129" s="617">
        <f t="shared" si="123"/>
        <v>0.40097167495026176</v>
      </c>
      <c r="AI129" s="617">
        <f>AI127/AI120</f>
        <v>0.49039070749736008</v>
      </c>
      <c r="AJ129" s="326">
        <f t="shared" si="95"/>
        <v>1.312737472642121</v>
      </c>
      <c r="AK129" s="617"/>
      <c r="AL129" s="489">
        <f t="shared" si="87"/>
        <v>1.4946360847949195E-8</v>
      </c>
      <c r="AM129" s="489">
        <f t="shared" si="84"/>
        <v>1.7117668337132985E-8</v>
      </c>
      <c r="AN129" s="501">
        <f t="shared" si="92"/>
        <v>1.9326060089327628</v>
      </c>
      <c r="AO129" s="623"/>
      <c r="AP129" s="623"/>
      <c r="AQ129" s="623"/>
      <c r="AR129" s="623"/>
      <c r="AS129" s="623"/>
      <c r="AT129" s="624"/>
      <c r="AU129" s="625"/>
      <c r="AV129" s="597">
        <f t="shared" si="85"/>
        <v>0</v>
      </c>
      <c r="AW129" s="597">
        <f t="shared" si="86"/>
        <v>0</v>
      </c>
      <c r="AX129" s="623"/>
      <c r="AY129" s="339">
        <f t="shared" si="94"/>
        <v>4.4295068873395361E-8</v>
      </c>
      <c r="AZ129" s="609">
        <f t="shared" si="88"/>
        <v>2.8779977451537392E-8</v>
      </c>
    </row>
    <row r="130" spans="1:52" s="649" customFormat="1" ht="19.95" hidden="1" customHeight="1">
      <c r="A130" s="637">
        <v>14</v>
      </c>
      <c r="B130" s="638" t="s">
        <v>482</v>
      </c>
      <c r="C130" s="639">
        <v>30287000</v>
      </c>
      <c r="D130" s="639">
        <v>41703000</v>
      </c>
      <c r="E130" s="639">
        <v>44027000</v>
      </c>
      <c r="F130" s="639">
        <v>48316000</v>
      </c>
      <c r="G130" s="639">
        <v>53472000</v>
      </c>
      <c r="H130" s="639">
        <v>57208361</v>
      </c>
      <c r="I130" s="639">
        <f>SUM(D130:H130)</f>
        <v>244726361</v>
      </c>
      <c r="J130" s="640"/>
      <c r="K130" s="640">
        <f t="shared" ref="K130:K137" si="124">H130/$H$130</f>
        <v>1</v>
      </c>
      <c r="L130" s="639">
        <v>62221079</v>
      </c>
      <c r="M130" s="639">
        <v>68288574</v>
      </c>
      <c r="N130" s="639"/>
      <c r="O130" s="639">
        <v>75875880</v>
      </c>
      <c r="P130" s="639"/>
      <c r="Q130" s="641">
        <f>SUM(Q131,Q132,Q135)</f>
        <v>82283000</v>
      </c>
      <c r="R130" s="641"/>
      <c r="S130" s="641">
        <f>SUM(S131,S132,S135)</f>
        <v>86575000</v>
      </c>
      <c r="T130" s="1721">
        <f>SUM(L130:S130)</f>
        <v>375243533</v>
      </c>
      <c r="U130" s="379"/>
      <c r="V130" s="379">
        <f t="shared" ref="V130:V137" si="125">S130/$S$130</f>
        <v>1</v>
      </c>
      <c r="W130" s="379"/>
      <c r="X130" s="642"/>
      <c r="Y130" s="643">
        <f>S130*1.07</f>
        <v>92635250</v>
      </c>
      <c r="Z130" s="644"/>
      <c r="AA130" s="645">
        <f>Y130*1.07</f>
        <v>99119717.5</v>
      </c>
      <c r="AB130" s="439">
        <f t="shared" si="89"/>
        <v>278329967.5</v>
      </c>
      <c r="AC130" s="461">
        <f t="shared" si="82"/>
        <v>6.1489525851548565</v>
      </c>
      <c r="AD130" s="461">
        <f t="shared" si="90"/>
        <v>6.6803392580293517</v>
      </c>
      <c r="AE130" s="461"/>
      <c r="AF130" s="645">
        <f>AA130*1.07</f>
        <v>106058097.72500001</v>
      </c>
      <c r="AG130" s="645"/>
      <c r="AH130" s="645">
        <f>AF130*1.07</f>
        <v>113482164.56575002</v>
      </c>
      <c r="AI130" s="645">
        <f>AH130*1.07</f>
        <v>121425916.08535253</v>
      </c>
      <c r="AJ130" s="326">
        <f t="shared" si="95"/>
        <v>426663048.15110254</v>
      </c>
      <c r="AK130" s="640"/>
      <c r="AL130" s="489">
        <f t="shared" si="87"/>
        <v>4.8578333528617241</v>
      </c>
      <c r="AM130" s="489">
        <f t="shared" si="84"/>
        <v>5.5635469407765203</v>
      </c>
      <c r="AN130" s="501">
        <f t="shared" si="92"/>
        <v>0.13702971704805522</v>
      </c>
      <c r="AO130" s="646"/>
      <c r="AP130" s="646"/>
      <c r="AQ130" s="646"/>
      <c r="AR130" s="646"/>
      <c r="AS130" s="646"/>
      <c r="AT130" s="647"/>
      <c r="AU130" s="648"/>
      <c r="AV130" s="597">
        <f t="shared" si="85"/>
        <v>0</v>
      </c>
      <c r="AW130" s="597">
        <f t="shared" si="86"/>
        <v>0</v>
      </c>
      <c r="AX130" s="326"/>
      <c r="AY130" s="339">
        <f t="shared" si="94"/>
        <v>10.967926662934921</v>
      </c>
      <c r="AZ130" s="609">
        <f t="shared" si="88"/>
        <v>7.1262262386722117</v>
      </c>
    </row>
    <row r="131" spans="1:52" s="335" customFormat="1" ht="19.95" hidden="1" customHeight="1">
      <c r="A131" s="600" t="s">
        <v>34</v>
      </c>
      <c r="B131" s="650" t="s">
        <v>483</v>
      </c>
      <c r="C131" s="651">
        <v>12433000</v>
      </c>
      <c r="D131" s="651">
        <v>18357000</v>
      </c>
      <c r="E131" s="651">
        <v>18479000</v>
      </c>
      <c r="F131" s="651">
        <v>19829000</v>
      </c>
      <c r="G131" s="651">
        <v>21568000</v>
      </c>
      <c r="H131" s="651">
        <v>22812751</v>
      </c>
      <c r="I131" s="651">
        <f t="shared" ref="I131:I137" si="126">SUM(D131:H131)</f>
        <v>101045751</v>
      </c>
      <c r="J131" s="488"/>
      <c r="K131" s="488">
        <f t="shared" si="124"/>
        <v>0.39876603002138095</v>
      </c>
      <c r="L131" s="651">
        <v>24048745</v>
      </c>
      <c r="M131" s="651">
        <v>25053517</v>
      </c>
      <c r="N131" s="651"/>
      <c r="O131" s="652">
        <v>27636696</v>
      </c>
      <c r="P131" s="652"/>
      <c r="Q131" s="653">
        <v>29135000</v>
      </c>
      <c r="R131" s="653"/>
      <c r="S131" s="653">
        <v>28219000</v>
      </c>
      <c r="T131" s="1722">
        <f t="shared" ref="T131:T137" si="127">SUM(L131:S131)</f>
        <v>134092958</v>
      </c>
      <c r="U131" s="323"/>
      <c r="V131" s="323">
        <f t="shared" si="125"/>
        <v>0.32594859948021948</v>
      </c>
      <c r="W131" s="323"/>
      <c r="X131" s="340"/>
      <c r="Y131" s="654">
        <v>33516948.789955687</v>
      </c>
      <c r="Z131" s="655"/>
      <c r="AA131" s="656">
        <v>35695516.944354013</v>
      </c>
      <c r="AB131" s="439">
        <f t="shared" si="89"/>
        <v>97431465.734309703</v>
      </c>
      <c r="AC131" s="461">
        <f t="shared" si="82"/>
        <v>2.152486376093909</v>
      </c>
      <c r="AD131" s="461">
        <f t="shared" si="90"/>
        <v>2.3385022150453518</v>
      </c>
      <c r="AE131" s="461"/>
      <c r="AF131" s="656">
        <v>37942371.25841637</v>
      </c>
      <c r="AG131" s="656"/>
      <c r="AH131" s="657">
        <v>40155819.530657232</v>
      </c>
      <c r="AI131" s="657">
        <v>40155819.530657232</v>
      </c>
      <c r="AJ131" s="326">
        <f t="shared" si="95"/>
        <v>149524104.79562417</v>
      </c>
      <c r="AK131" s="488"/>
      <c r="AL131" s="489">
        <f t="shared" si="87"/>
        <v>1.7024281490524897</v>
      </c>
      <c r="AM131" s="489">
        <f t="shared" si="84"/>
        <v>1.9497455413889773</v>
      </c>
      <c r="AN131" s="501">
        <f t="shared" si="92"/>
        <v>0.11507798042328332</v>
      </c>
      <c r="AO131" s="326"/>
      <c r="AP131" s="326"/>
      <c r="AQ131" s="326"/>
      <c r="AR131" s="326"/>
      <c r="AS131" s="326"/>
      <c r="AT131" s="601"/>
      <c r="AU131" s="607"/>
      <c r="AV131" s="597">
        <f t="shared" si="85"/>
        <v>0</v>
      </c>
      <c r="AW131" s="597">
        <f t="shared" si="86"/>
        <v>0</v>
      </c>
      <c r="AX131" s="326"/>
      <c r="AY131" s="339">
        <f t="shared" si="94"/>
        <v>3.6271176524846203</v>
      </c>
      <c r="AZ131" s="609">
        <f t="shared" si="88"/>
        <v>2.3566588089284735</v>
      </c>
    </row>
    <row r="132" spans="1:52" s="335" customFormat="1" ht="19.95" hidden="1" customHeight="1">
      <c r="A132" s="600" t="s">
        <v>35</v>
      </c>
      <c r="B132" s="650" t="s">
        <v>484</v>
      </c>
      <c r="C132" s="651">
        <v>5537000</v>
      </c>
      <c r="D132" s="651">
        <v>7684000</v>
      </c>
      <c r="E132" s="651">
        <v>7550000</v>
      </c>
      <c r="F132" s="651">
        <v>8222000</v>
      </c>
      <c r="G132" s="651">
        <v>9344000</v>
      </c>
      <c r="H132" s="651">
        <v>9956179</v>
      </c>
      <c r="I132" s="651">
        <f t="shared" si="126"/>
        <v>42756179</v>
      </c>
      <c r="J132" s="488"/>
      <c r="K132" s="488">
        <f t="shared" si="124"/>
        <v>0.17403363469895597</v>
      </c>
      <c r="L132" s="651">
        <v>10918344</v>
      </c>
      <c r="M132" s="651">
        <v>12602909</v>
      </c>
      <c r="N132" s="651"/>
      <c r="O132" s="652">
        <v>14241397</v>
      </c>
      <c r="P132" s="652"/>
      <c r="Q132" s="653">
        <v>15934000</v>
      </c>
      <c r="R132" s="653"/>
      <c r="S132" s="653">
        <v>17300000</v>
      </c>
      <c r="T132" s="1722">
        <f t="shared" si="127"/>
        <v>70996650</v>
      </c>
      <c r="U132" s="323"/>
      <c r="V132" s="323">
        <f t="shared" si="125"/>
        <v>0.19982673982096449</v>
      </c>
      <c r="W132" s="323"/>
      <c r="X132" s="340"/>
      <c r="Y132" s="654">
        <v>21870181.051513352</v>
      </c>
      <c r="Z132" s="655"/>
      <c r="AA132" s="656">
        <v>24733621.047940463</v>
      </c>
      <c r="AB132" s="439">
        <f t="shared" si="89"/>
        <v>63903802.099453814</v>
      </c>
      <c r="AC132" s="461">
        <f t="shared" si="82"/>
        <v>1.411782757890276</v>
      </c>
      <c r="AD132" s="461">
        <f t="shared" si="90"/>
        <v>1.5337876899738432</v>
      </c>
      <c r="AE132" s="461"/>
      <c r="AF132" s="656">
        <v>27968987.070854526</v>
      </c>
      <c r="AG132" s="656"/>
      <c r="AH132" s="656">
        <v>31565712.958486915</v>
      </c>
      <c r="AI132" s="656">
        <v>31565712.958486915</v>
      </c>
      <c r="AJ132" s="326">
        <f t="shared" si="95"/>
        <v>109735228.01642764</v>
      </c>
      <c r="AK132" s="488"/>
      <c r="AL132" s="489">
        <f t="shared" si="87"/>
        <v>1.2494061835261161</v>
      </c>
      <c r="AM132" s="489">
        <f t="shared" si="84"/>
        <v>1.4309115700828057</v>
      </c>
      <c r="AN132" s="501">
        <f t="shared" si="92"/>
        <v>0.54563951984252257</v>
      </c>
      <c r="AO132" s="326"/>
      <c r="AP132" s="326"/>
      <c r="AQ132" s="326"/>
      <c r="AR132" s="326"/>
      <c r="AS132" s="326"/>
      <c r="AT132" s="601"/>
      <c r="AU132" s="607"/>
      <c r="AV132" s="597">
        <f t="shared" si="85"/>
        <v>0</v>
      </c>
      <c r="AW132" s="597">
        <f t="shared" si="86"/>
        <v>0</v>
      </c>
      <c r="AX132" s="326"/>
      <c r="AY132" s="339">
        <f t="shared" si="94"/>
        <v>2.8512070236190872</v>
      </c>
      <c r="AZ132" s="609">
        <f t="shared" si="88"/>
        <v>1.8525239024678004</v>
      </c>
    </row>
    <row r="133" spans="1:52" s="626" customFormat="1" ht="19.95" hidden="1" customHeight="1">
      <c r="A133" s="627"/>
      <c r="B133" s="658" t="s">
        <v>485</v>
      </c>
      <c r="C133" s="659">
        <v>4504000</v>
      </c>
      <c r="D133" s="659">
        <v>6402000</v>
      </c>
      <c r="E133" s="659">
        <v>5954000</v>
      </c>
      <c r="F133" s="659">
        <v>6517000</v>
      </c>
      <c r="G133" s="659">
        <v>7470000</v>
      </c>
      <c r="H133" s="659">
        <v>7929072</v>
      </c>
      <c r="I133" s="659">
        <f t="shared" si="126"/>
        <v>34272072</v>
      </c>
      <c r="J133" s="617"/>
      <c r="K133" s="617">
        <f t="shared" si="124"/>
        <v>0.13859988053144889</v>
      </c>
      <c r="L133" s="659">
        <v>8682916</v>
      </c>
      <c r="M133" s="659">
        <v>9979782</v>
      </c>
      <c r="N133" s="659"/>
      <c r="O133" s="660">
        <v>11226790</v>
      </c>
      <c r="P133" s="660"/>
      <c r="Q133" s="661">
        <v>12407642</v>
      </c>
      <c r="R133" s="661"/>
      <c r="S133" s="661">
        <v>13619869</v>
      </c>
      <c r="T133" s="1723">
        <f t="shared" si="127"/>
        <v>55916999</v>
      </c>
      <c r="U133" s="476"/>
      <c r="V133" s="476">
        <f t="shared" si="125"/>
        <v>0.15731872942535374</v>
      </c>
      <c r="W133" s="476"/>
      <c r="X133" s="618"/>
      <c r="Y133" s="662">
        <v>17183562.06968103</v>
      </c>
      <c r="Z133" s="663"/>
      <c r="AA133" s="664">
        <v>19323388.095313232</v>
      </c>
      <c r="AB133" s="439">
        <f t="shared" si="89"/>
        <v>50126819.164994262</v>
      </c>
      <c r="AC133" s="461">
        <f t="shared" si="82"/>
        <v>1.1074173473259989</v>
      </c>
      <c r="AD133" s="461">
        <f t="shared" si="90"/>
        <v>1.2031193081932483</v>
      </c>
      <c r="AE133" s="461"/>
      <c r="AF133" s="664">
        <v>21779680.573048972</v>
      </c>
      <c r="AG133" s="664"/>
      <c r="AH133" s="664">
        <v>24548355.266670678</v>
      </c>
      <c r="AI133" s="664">
        <v>24548355.266670678</v>
      </c>
      <c r="AJ133" s="326">
        <f t="shared" si="95"/>
        <v>85603660.698335618</v>
      </c>
      <c r="AK133" s="617"/>
      <c r="AL133" s="489">
        <f t="shared" si="87"/>
        <v>0.97465276139910906</v>
      </c>
      <c r="AM133" s="489">
        <f t="shared" si="84"/>
        <v>1.116243805647845</v>
      </c>
      <c r="AN133" s="501">
        <f t="shared" si="92"/>
        <v>0.53090584668779561</v>
      </c>
      <c r="AO133" s="623"/>
      <c r="AP133" s="623"/>
      <c r="AQ133" s="623"/>
      <c r="AR133" s="623"/>
      <c r="AS133" s="623"/>
      <c r="AT133" s="624"/>
      <c r="AU133" s="625"/>
      <c r="AV133" s="597">
        <f t="shared" si="85"/>
        <v>0</v>
      </c>
      <c r="AW133" s="597">
        <f t="shared" si="86"/>
        <v>0</v>
      </c>
      <c r="AX133" s="623"/>
      <c r="AY133" s="339">
        <f t="shared" si="94"/>
        <v>2.2173566314398587</v>
      </c>
      <c r="AZ133" s="609">
        <f t="shared" si="88"/>
        <v>1.4406902501326753</v>
      </c>
    </row>
    <row r="134" spans="1:52" s="626" customFormat="1" ht="19.95" hidden="1" customHeight="1">
      <c r="A134" s="627"/>
      <c r="B134" s="658" t="s">
        <v>486</v>
      </c>
      <c r="C134" s="659">
        <v>1033000</v>
      </c>
      <c r="D134" s="659">
        <v>1282000</v>
      </c>
      <c r="E134" s="659">
        <v>1596000</v>
      </c>
      <c r="F134" s="659">
        <v>1705000</v>
      </c>
      <c r="G134" s="659">
        <v>1874000</v>
      </c>
      <c r="H134" s="659">
        <v>2027108</v>
      </c>
      <c r="I134" s="659">
        <f t="shared" si="126"/>
        <v>8484108</v>
      </c>
      <c r="J134" s="617"/>
      <c r="K134" s="617"/>
      <c r="L134" s="659">
        <v>2235428</v>
      </c>
      <c r="M134" s="659">
        <v>2632127</v>
      </c>
      <c r="N134" s="659"/>
      <c r="O134" s="659">
        <v>3014608</v>
      </c>
      <c r="P134" s="659"/>
      <c r="Q134" s="665">
        <v>3231658</v>
      </c>
      <c r="R134" s="665"/>
      <c r="S134" s="661">
        <v>3581323</v>
      </c>
      <c r="T134" s="1723">
        <f t="shared" si="127"/>
        <v>14695144</v>
      </c>
      <c r="U134" s="476"/>
      <c r="V134" s="476"/>
      <c r="W134" s="476"/>
      <c r="X134" s="618"/>
      <c r="Y134" s="662">
        <v>4686618.9818323208</v>
      </c>
      <c r="Z134" s="663"/>
      <c r="AA134" s="664">
        <v>5410232.9526272314</v>
      </c>
      <c r="AB134" s="439">
        <f t="shared" si="89"/>
        <v>13678174.934459552</v>
      </c>
      <c r="AC134" s="461">
        <f t="shared" si="82"/>
        <v>0.30218251336319157</v>
      </c>
      <c r="AD134" s="461">
        <f t="shared" si="90"/>
        <v>0.32829684066579429</v>
      </c>
      <c r="AE134" s="461"/>
      <c r="AF134" s="664">
        <v>6189306.4978055544</v>
      </c>
      <c r="AG134" s="664"/>
      <c r="AH134" s="664">
        <v>7017357.6918162387</v>
      </c>
      <c r="AI134" s="664">
        <v>7017357.6918162387</v>
      </c>
      <c r="AJ134" s="326">
        <f t="shared" si="95"/>
        <v>24131567.318092033</v>
      </c>
      <c r="AK134" s="617"/>
      <c r="AL134" s="489">
        <f t="shared" si="87"/>
        <v>0.2747534221270071</v>
      </c>
      <c r="AM134" s="489">
        <f t="shared" si="84"/>
        <v>0.31466776443496108</v>
      </c>
      <c r="AN134" s="501">
        <f t="shared" si="92"/>
        <v>0.64214568554701024</v>
      </c>
      <c r="AO134" s="623"/>
      <c r="AP134" s="623"/>
      <c r="AQ134" s="623"/>
      <c r="AR134" s="623"/>
      <c r="AS134" s="623"/>
      <c r="AT134" s="624"/>
      <c r="AU134" s="625"/>
      <c r="AV134" s="597">
        <f t="shared" si="85"/>
        <v>0</v>
      </c>
      <c r="AW134" s="597">
        <f t="shared" si="86"/>
        <v>0</v>
      </c>
      <c r="AX134" s="623"/>
      <c r="AY134" s="339">
        <f t="shared" si="94"/>
        <v>0.63385039217922845</v>
      </c>
      <c r="AZ134" s="609">
        <f t="shared" si="88"/>
        <v>0.41183365233512514</v>
      </c>
    </row>
    <row r="135" spans="1:52" s="335" customFormat="1" ht="19.95" hidden="1" customHeight="1">
      <c r="A135" s="600" t="s">
        <v>36</v>
      </c>
      <c r="B135" s="650" t="s">
        <v>487</v>
      </c>
      <c r="C135" s="651">
        <v>12318000</v>
      </c>
      <c r="D135" s="651">
        <v>15662000</v>
      </c>
      <c r="E135" s="651">
        <v>17997000</v>
      </c>
      <c r="F135" s="651">
        <v>20265000</v>
      </c>
      <c r="G135" s="651">
        <v>22560000</v>
      </c>
      <c r="H135" s="651">
        <v>24439431</v>
      </c>
      <c r="I135" s="651">
        <f t="shared" si="126"/>
        <v>100923431</v>
      </c>
      <c r="J135" s="617"/>
      <c r="K135" s="617">
        <f t="shared" si="124"/>
        <v>0.42720033527966306</v>
      </c>
      <c r="L135" s="651">
        <v>27253990</v>
      </c>
      <c r="M135" s="651">
        <v>30632149</v>
      </c>
      <c r="N135" s="651"/>
      <c r="O135" s="652">
        <v>33997786</v>
      </c>
      <c r="P135" s="652"/>
      <c r="Q135" s="653">
        <v>37214000</v>
      </c>
      <c r="R135" s="653"/>
      <c r="S135" s="653">
        <v>41056000</v>
      </c>
      <c r="T135" s="1722">
        <f t="shared" si="127"/>
        <v>170153925</v>
      </c>
      <c r="U135" s="476"/>
      <c r="V135" s="476">
        <f t="shared" si="125"/>
        <v>0.47422466069881608</v>
      </c>
      <c r="W135" s="476"/>
      <c r="X135" s="618"/>
      <c r="Y135" s="662">
        <v>51150752.386760205</v>
      </c>
      <c r="Z135" s="663"/>
      <c r="AA135" s="664">
        <v>57584424.718697324</v>
      </c>
      <c r="AB135" s="439">
        <f t="shared" si="89"/>
        <v>149791177.10545754</v>
      </c>
      <c r="AC135" s="461">
        <f t="shared" si="82"/>
        <v>3.3092334755365216</v>
      </c>
      <c r="AD135" s="461">
        <f t="shared" si="90"/>
        <v>3.5952143059263482</v>
      </c>
      <c r="AE135" s="461"/>
      <c r="AF135" s="664">
        <v>64879104.399336763</v>
      </c>
      <c r="AG135" s="664"/>
      <c r="AH135" s="664">
        <v>73002529.284254506</v>
      </c>
      <c r="AI135" s="664">
        <v>73002529.284254506</v>
      </c>
      <c r="AJ135" s="326">
        <f t="shared" si="95"/>
        <v>254740235.67396653</v>
      </c>
      <c r="AK135" s="617"/>
      <c r="AL135" s="489">
        <f t="shared" si="87"/>
        <v>2.900381503707337</v>
      </c>
      <c r="AM135" s="489">
        <f t="shared" si="84"/>
        <v>3.3217295592344445</v>
      </c>
      <c r="AN135" s="501">
        <f t="shared" si="92"/>
        <v>0.4971164236967589</v>
      </c>
      <c r="AO135" s="326"/>
      <c r="AP135" s="326"/>
      <c r="AQ135" s="326"/>
      <c r="AR135" s="326"/>
      <c r="AS135" s="326"/>
      <c r="AT135" s="601"/>
      <c r="AU135" s="607"/>
      <c r="AV135" s="597">
        <f t="shared" si="85"/>
        <v>0</v>
      </c>
      <c r="AW135" s="597">
        <f t="shared" si="86"/>
        <v>0</v>
      </c>
      <c r="AX135" s="326"/>
      <c r="AY135" s="339">
        <f t="shared" si="94"/>
        <v>6.5940320914329789</v>
      </c>
      <c r="AZ135" s="609">
        <f t="shared" si="88"/>
        <v>4.2843616622106433</v>
      </c>
    </row>
    <row r="136" spans="1:52" s="335" customFormat="1" ht="19.95" hidden="1" customHeight="1">
      <c r="A136" s="600"/>
      <c r="B136" s="650" t="s">
        <v>488</v>
      </c>
      <c r="C136" s="651">
        <v>10250000</v>
      </c>
      <c r="D136" s="651">
        <v>13064000</v>
      </c>
      <c r="E136" s="651">
        <v>15397000</v>
      </c>
      <c r="F136" s="651">
        <v>17597000</v>
      </c>
      <c r="G136" s="651">
        <v>19550000</v>
      </c>
      <c r="H136" s="651">
        <v>21355327</v>
      </c>
      <c r="I136" s="651">
        <f t="shared" si="126"/>
        <v>86963327</v>
      </c>
      <c r="J136" s="617"/>
      <c r="K136" s="617"/>
      <c r="L136" s="651">
        <v>23812618</v>
      </c>
      <c r="M136" s="651">
        <v>26587715</v>
      </c>
      <c r="N136" s="651"/>
      <c r="O136" s="651">
        <v>29244625</v>
      </c>
      <c r="P136" s="651"/>
      <c r="Q136" s="653">
        <v>31342234</v>
      </c>
      <c r="R136" s="653"/>
      <c r="S136" s="653">
        <v>34916571.696000002</v>
      </c>
      <c r="T136" s="1722">
        <f t="shared" si="127"/>
        <v>145903763.69600001</v>
      </c>
      <c r="U136" s="476"/>
      <c r="V136" s="476"/>
      <c r="W136" s="476"/>
      <c r="X136" s="618"/>
      <c r="Y136" s="662">
        <v>44131561.117197707</v>
      </c>
      <c r="Z136" s="663"/>
      <c r="AA136" s="664">
        <v>49706259.917522117</v>
      </c>
      <c r="AB136" s="439">
        <f t="shared" si="89"/>
        <v>128754392.73071983</v>
      </c>
      <c r="AC136" s="461">
        <f t="shared" si="82"/>
        <v>2.8444822637778069</v>
      </c>
      <c r="AD136" s="461">
        <f t="shared" si="90"/>
        <v>3.0902997335447062</v>
      </c>
      <c r="AE136" s="461"/>
      <c r="AF136" s="664">
        <v>56036849.180617742</v>
      </c>
      <c r="AG136" s="664"/>
      <c r="AH136" s="664">
        <v>63078203.083144747</v>
      </c>
      <c r="AI136" s="664">
        <v>63078203.083144747</v>
      </c>
      <c r="AJ136" s="326">
        <f t="shared" si="95"/>
        <v>219994227.20100933</v>
      </c>
      <c r="AK136" s="617"/>
      <c r="AL136" s="489">
        <f t="shared" si="87"/>
        <v>2.5047758388385795</v>
      </c>
      <c r="AM136" s="489">
        <f t="shared" si="84"/>
        <v>2.8686529453078147</v>
      </c>
      <c r="AN136" s="501">
        <f t="shared" si="92"/>
        <v>0.5078036482964321</v>
      </c>
      <c r="AO136" s="326"/>
      <c r="AP136" s="326"/>
      <c r="AQ136" s="326"/>
      <c r="AR136" s="326"/>
      <c r="AS136" s="326"/>
      <c r="AT136" s="601"/>
      <c r="AU136" s="607"/>
      <c r="AV136" s="597">
        <f t="shared" si="85"/>
        <v>0</v>
      </c>
      <c r="AW136" s="597">
        <f t="shared" si="86"/>
        <v>0</v>
      </c>
      <c r="AX136" s="326"/>
      <c r="AY136" s="339">
        <f t="shared" si="94"/>
        <v>5.6976066374442009</v>
      </c>
      <c r="AZ136" s="609">
        <f t="shared" si="88"/>
        <v>3.7019242711204412</v>
      </c>
    </row>
    <row r="137" spans="1:52" s="335" customFormat="1" ht="19.95" hidden="1" customHeight="1">
      <c r="A137" s="666"/>
      <c r="B137" s="650" t="s">
        <v>489</v>
      </c>
      <c r="C137" s="651">
        <v>2068000</v>
      </c>
      <c r="D137" s="651">
        <v>2598000</v>
      </c>
      <c r="E137" s="651">
        <v>2600000</v>
      </c>
      <c r="F137" s="651">
        <v>2668000</v>
      </c>
      <c r="G137" s="651">
        <v>3010000</v>
      </c>
      <c r="H137" s="651">
        <v>3084104</v>
      </c>
      <c r="I137" s="651">
        <f t="shared" si="126"/>
        <v>13960104</v>
      </c>
      <c r="J137" s="488"/>
      <c r="K137" s="488">
        <f t="shared" si="124"/>
        <v>5.3910021998357899E-2</v>
      </c>
      <c r="L137" s="651">
        <v>3441372</v>
      </c>
      <c r="M137" s="651">
        <v>4044434</v>
      </c>
      <c r="N137" s="651"/>
      <c r="O137" s="652">
        <v>4753161</v>
      </c>
      <c r="P137" s="652"/>
      <c r="Q137" s="653">
        <v>5215166</v>
      </c>
      <c r="R137" s="653"/>
      <c r="S137" s="653">
        <v>5572000</v>
      </c>
      <c r="T137" s="1722">
        <f t="shared" si="127"/>
        <v>23026133</v>
      </c>
      <c r="U137" s="323"/>
      <c r="V137" s="323">
        <f t="shared" si="125"/>
        <v>6.4360381172393871E-2</v>
      </c>
      <c r="W137" s="323"/>
      <c r="X137" s="340"/>
      <c r="Y137" s="662">
        <v>7019191.2695624987</v>
      </c>
      <c r="Z137" s="663"/>
      <c r="AA137" s="664">
        <v>7878164.8011752078</v>
      </c>
      <c r="AB137" s="439">
        <f t="shared" si="89"/>
        <v>20469356.070737705</v>
      </c>
      <c r="AC137" s="461">
        <f t="shared" si="82"/>
        <v>0.45221540841669472</v>
      </c>
      <c r="AD137" s="461">
        <f t="shared" si="90"/>
        <v>0.49129543675863985</v>
      </c>
      <c r="AE137" s="461"/>
      <c r="AF137" s="664">
        <v>8842255.2187190223</v>
      </c>
      <c r="AG137" s="664"/>
      <c r="AH137" s="664">
        <v>9924326.2011097651</v>
      </c>
      <c r="AI137" s="664">
        <v>9924326.2011097651</v>
      </c>
      <c r="AJ137" s="326">
        <f t="shared" si="95"/>
        <v>34746008.472957239</v>
      </c>
      <c r="AK137" s="488"/>
      <c r="AL137" s="489">
        <f t="shared" si="87"/>
        <v>0.39560566486875781</v>
      </c>
      <c r="AM137" s="489">
        <f t="shared" si="84"/>
        <v>0.45307661392663018</v>
      </c>
      <c r="AN137" s="501">
        <f t="shared" si="92"/>
        <v>0.50898148955177303</v>
      </c>
      <c r="AO137" s="326"/>
      <c r="AP137" s="326"/>
      <c r="AQ137" s="326"/>
      <c r="AR137" s="326"/>
      <c r="AS137" s="326"/>
      <c r="AT137" s="601"/>
      <c r="AU137" s="607"/>
      <c r="AV137" s="597">
        <f t="shared" si="85"/>
        <v>0</v>
      </c>
      <c r="AW137" s="597">
        <f t="shared" si="86"/>
        <v>0</v>
      </c>
      <c r="AX137" s="326"/>
      <c r="AY137" s="339">
        <f t="shared" si="94"/>
        <v>0.89642545398877838</v>
      </c>
      <c r="AZ137" s="609">
        <f t="shared" si="88"/>
        <v>0.58243739109020209</v>
      </c>
    </row>
    <row r="138" spans="1:52" s="335" customFormat="1" ht="19.95" hidden="1" customHeight="1">
      <c r="A138" s="589">
        <v>15</v>
      </c>
      <c r="B138" s="263" t="s">
        <v>608</v>
      </c>
      <c r="C138" s="592">
        <f t="shared" ref="C138:I138" si="128">C8/C130</f>
        <v>0.15479801498722226</v>
      </c>
      <c r="D138" s="592">
        <f t="shared" si="128"/>
        <v>0.13230479446092344</v>
      </c>
      <c r="E138" s="592">
        <f t="shared" si="128"/>
        <v>0.15165502011810936</v>
      </c>
      <c r="F138" s="592">
        <f t="shared" si="128"/>
        <v>0.15161152472406655</v>
      </c>
      <c r="G138" s="592">
        <f t="shared" si="128"/>
        <v>0.15260266253110041</v>
      </c>
      <c r="H138" s="592">
        <f t="shared" si="128"/>
        <v>0.15449243801141233</v>
      </c>
      <c r="I138" s="592">
        <f t="shared" si="128"/>
        <v>0.14921937068766322</v>
      </c>
      <c r="J138" s="592"/>
      <c r="K138" s="592"/>
      <c r="L138" s="592">
        <f>L8/L130</f>
        <v>0.15164731627619316</v>
      </c>
      <c r="M138" s="592">
        <f>M8/M130</f>
        <v>0.15852312748952704</v>
      </c>
      <c r="N138" s="592"/>
      <c r="O138" s="592">
        <f>O8/O130</f>
        <v>0.16139633349406954</v>
      </c>
      <c r="P138" s="592"/>
      <c r="Q138" s="594">
        <f>Q8/Q130</f>
        <v>0.1468267956792533</v>
      </c>
      <c r="R138" s="594"/>
      <c r="S138" s="594">
        <f>S8/S130</f>
        <v>0.16747327341567428</v>
      </c>
      <c r="T138" s="318">
        <f>(L138*M138*O138*Q138*S138)^(1/5)</f>
        <v>0.15700532096982237</v>
      </c>
      <c r="U138" s="318"/>
      <c r="V138" s="318"/>
      <c r="W138" s="318">
        <f>T138-I138</f>
        <v>7.7859502821591431E-3</v>
      </c>
      <c r="X138" s="611"/>
      <c r="Y138" s="594">
        <f>Y8/Y130</f>
        <v>0.15869813057124582</v>
      </c>
      <c r="Z138" s="667"/>
      <c r="AA138" s="592">
        <f>AA8/AA130</f>
        <v>0.16207244251360989</v>
      </c>
      <c r="AB138" s="439">
        <f t="shared" si="89"/>
        <v>0.48824384650052999</v>
      </c>
      <c r="AC138" s="461">
        <f t="shared" si="82"/>
        <v>1.0786435571747714E-8</v>
      </c>
      <c r="AD138" s="461">
        <f t="shared" si="90"/>
        <v>1.1718589142826481E-8</v>
      </c>
      <c r="AE138" s="461"/>
      <c r="AF138" s="592">
        <f>AF8/AF130</f>
        <v>0.14916348057665485</v>
      </c>
      <c r="AG138" s="592"/>
      <c r="AH138" s="592">
        <f>AH8/AH130</f>
        <v>0.17209284816456677</v>
      </c>
      <c r="AI138" s="592">
        <f>AI8/AI130</f>
        <v>0.16797350983836032</v>
      </c>
      <c r="AJ138" s="326">
        <f t="shared" si="95"/>
        <v>0.66083693108778274</v>
      </c>
      <c r="AK138" s="592"/>
      <c r="AL138" s="489">
        <f t="shared" si="87"/>
        <v>7.5240536965931779E-9</v>
      </c>
      <c r="AM138" s="489">
        <f t="shared" si="84"/>
        <v>8.6170979704891456E-9</v>
      </c>
      <c r="AN138" s="501">
        <f t="shared" si="92"/>
        <v>3.209009777539964</v>
      </c>
      <c r="AO138" s="326"/>
      <c r="AP138" s="326"/>
      <c r="AQ138" s="326"/>
      <c r="AR138" s="326"/>
      <c r="AS138" s="326"/>
      <c r="AT138" s="601"/>
      <c r="AU138" s="607"/>
      <c r="AV138" s="597">
        <f t="shared" si="85"/>
        <v>0</v>
      </c>
      <c r="AW138" s="597">
        <f t="shared" si="86"/>
        <v>0</v>
      </c>
      <c r="AX138" s="326"/>
      <c r="AY138" s="339">
        <f t="shared" si="94"/>
        <v>1.5172388206879264E-8</v>
      </c>
      <c r="AZ138" s="609">
        <f t="shared" si="88"/>
        <v>9.858004549626644E-9</v>
      </c>
    </row>
    <row r="139" spans="1:52" s="335" customFormat="1" ht="19.95" hidden="1" customHeight="1" thickBot="1">
      <c r="A139" s="668" t="s">
        <v>22</v>
      </c>
      <c r="B139" s="669" t="s">
        <v>51</v>
      </c>
      <c r="C139" s="670">
        <f t="shared" ref="C139:H139" si="129">SUM(C147,C150)</f>
        <v>379873</v>
      </c>
      <c r="D139" s="670">
        <f t="shared" si="129"/>
        <v>517484</v>
      </c>
      <c r="E139" s="670">
        <f t="shared" si="129"/>
        <v>686112</v>
      </c>
      <c r="F139" s="670">
        <f t="shared" si="129"/>
        <v>774055</v>
      </c>
      <c r="G139" s="670">
        <f t="shared" si="129"/>
        <v>531512</v>
      </c>
      <c r="H139" s="670">
        <f t="shared" si="129"/>
        <v>533832</v>
      </c>
      <c r="I139" s="670">
        <f>SUM(D139:H139)</f>
        <v>3042995</v>
      </c>
      <c r="J139" s="671"/>
      <c r="K139" s="671">
        <f>I139/I8</f>
        <v>8.3328829655301417E-2</v>
      </c>
      <c r="L139" s="670">
        <f t="shared" ref="L139:Q139" si="130">SUM(L147,L150)</f>
        <v>760850</v>
      </c>
      <c r="M139" s="670">
        <f t="shared" si="130"/>
        <v>741859</v>
      </c>
      <c r="N139" s="670"/>
      <c r="O139" s="670">
        <f t="shared" si="130"/>
        <v>1818286</v>
      </c>
      <c r="P139" s="670">
        <f t="shared" si="130"/>
        <v>1423990</v>
      </c>
      <c r="Q139" s="672">
        <f t="shared" si="130"/>
        <v>1087251</v>
      </c>
      <c r="R139" s="672">
        <f>SUM(R147,R150)</f>
        <v>1474513</v>
      </c>
      <c r="S139" s="672">
        <f>SUM(S147,S150)</f>
        <v>1365375.6459619999</v>
      </c>
      <c r="T139" s="673">
        <f>SUM(L139:S139)</f>
        <v>8672124.6459619999</v>
      </c>
      <c r="U139" s="1726"/>
      <c r="V139" s="1726">
        <f>T139/T8</f>
        <v>0.14000843027421966</v>
      </c>
      <c r="W139" s="1726">
        <f>T139/I139-1</f>
        <v>1.8498649015072322</v>
      </c>
      <c r="X139" s="672">
        <f t="shared" ref="X139:AF139" si="131">SUM(X147,X150)</f>
        <v>1370794</v>
      </c>
      <c r="Y139" s="672">
        <f t="shared" si="131"/>
        <v>545944</v>
      </c>
      <c r="Z139" s="670">
        <f t="shared" si="131"/>
        <v>1213473</v>
      </c>
      <c r="AA139" s="670">
        <f>SUM(AA147,AA150)</f>
        <v>1567739.8360000001</v>
      </c>
      <c r="AB139" s="673">
        <f t="shared" si="89"/>
        <v>3479059.481962</v>
      </c>
      <c r="AC139" s="674">
        <f t="shared" si="82"/>
        <v>7.6860468844475963E-2</v>
      </c>
      <c r="AD139" s="675">
        <f>AB139/$AB$10</f>
        <v>8.3502677944192305E-2</v>
      </c>
      <c r="AE139" s="675"/>
      <c r="AF139" s="670">
        <f t="shared" si="131"/>
        <v>2597007</v>
      </c>
      <c r="AG139" s="670">
        <f>'[8]Phụ lục số 2-1'!P32</f>
        <v>2597007</v>
      </c>
      <c r="AH139" s="670">
        <f>'[8]Phụ lục số 2-1'!U32</f>
        <v>2951036</v>
      </c>
      <c r="AI139" s="670">
        <f>'[8]Phụ lục số 2-1'!Z32</f>
        <v>3357036</v>
      </c>
      <c r="AJ139" s="670">
        <f t="shared" si="95"/>
        <v>11018762.835999999</v>
      </c>
      <c r="AK139" s="671"/>
      <c r="AL139" s="676">
        <f t="shared" si="87"/>
        <v>0.12545570525488151</v>
      </c>
      <c r="AM139" s="677">
        <f t="shared" si="84"/>
        <v>0.14368107229585825</v>
      </c>
      <c r="AN139" s="678">
        <f t="shared" si="92"/>
        <v>0.27059553291022675</v>
      </c>
      <c r="AO139" s="670">
        <f t="shared" ref="AO139:AS139" si="132">SUM(AO147,AO150)</f>
        <v>3357036</v>
      </c>
      <c r="AP139" s="670">
        <f t="shared" si="132"/>
        <v>3357036</v>
      </c>
      <c r="AQ139" s="670">
        <f t="shared" si="132"/>
        <v>3357036</v>
      </c>
      <c r="AR139" s="670">
        <f t="shared" si="132"/>
        <v>3357036</v>
      </c>
      <c r="AS139" s="670">
        <f t="shared" si="132"/>
        <v>3357036</v>
      </c>
      <c r="AT139" s="679">
        <f>SUM(AO139:AS139)</f>
        <v>16785180</v>
      </c>
      <c r="AU139" s="680"/>
      <c r="AV139" s="681">
        <f t="shared" si="85"/>
        <v>0.15371615871208352</v>
      </c>
      <c r="AW139" s="681">
        <f t="shared" si="86"/>
        <v>0.18163664625588347</v>
      </c>
      <c r="AX139" s="515"/>
      <c r="AY139" s="339">
        <f t="shared" si="94"/>
        <v>0.30322789269262035</v>
      </c>
      <c r="AZ139" s="609">
        <f t="shared" si="88"/>
        <v>0.19701723321198819</v>
      </c>
    </row>
    <row r="140" spans="1:52" s="335" customFormat="1" ht="19.95" hidden="1" customHeight="1">
      <c r="A140" s="1471"/>
      <c r="B140" s="1472"/>
      <c r="C140" s="1473"/>
      <c r="D140" s="1473"/>
      <c r="E140" s="1473"/>
      <c r="F140" s="1473"/>
      <c r="G140" s="1473"/>
      <c r="H140" s="1473"/>
      <c r="I140" s="1473"/>
      <c r="J140" s="357"/>
      <c r="K140" s="357"/>
      <c r="L140" s="1473"/>
      <c r="M140" s="1473"/>
      <c r="N140" s="1473"/>
      <c r="O140" s="1473"/>
      <c r="P140" s="1473"/>
      <c r="Q140" s="1474"/>
      <c r="R140" s="1474"/>
      <c r="S140" s="1474"/>
      <c r="T140" s="1475"/>
      <c r="U140" s="350"/>
      <c r="V140" s="350"/>
      <c r="W140" s="350"/>
      <c r="X140" s="1474"/>
      <c r="Y140" s="1474"/>
      <c r="Z140" s="1473"/>
      <c r="AA140" s="1473"/>
      <c r="AB140" s="1475"/>
      <c r="AC140" s="353"/>
      <c r="AD140" s="1476"/>
      <c r="AE140" s="1476"/>
      <c r="AF140" s="1473"/>
      <c r="AG140" s="1473"/>
      <c r="AH140" s="1473"/>
      <c r="AI140" s="1473"/>
      <c r="AJ140" s="1473"/>
      <c r="AK140" s="357"/>
      <c r="AL140" s="365"/>
      <c r="AM140" s="1477"/>
      <c r="AN140" s="1478"/>
      <c r="AO140" s="1473"/>
      <c r="AP140" s="1473"/>
      <c r="AQ140" s="1473"/>
      <c r="AR140" s="1473"/>
      <c r="AS140" s="1473"/>
      <c r="AT140" s="1479"/>
      <c r="AV140" s="1480"/>
      <c r="AW140" s="1480"/>
      <c r="AX140" s="490"/>
      <c r="AY140" s="339"/>
      <c r="AZ140" s="609"/>
    </row>
    <row r="141" spans="1:52" s="335" customFormat="1" ht="19.95" hidden="1" customHeight="1">
      <c r="A141" s="1471"/>
      <c r="B141" s="1472"/>
      <c r="C141" s="1473"/>
      <c r="D141" s="1473"/>
      <c r="E141" s="1473"/>
      <c r="F141" s="1473"/>
      <c r="G141" s="1473"/>
      <c r="H141" s="1473"/>
      <c r="I141" s="1473"/>
      <c r="J141" s="357"/>
      <c r="K141" s="357"/>
      <c r="L141" s="1473"/>
      <c r="M141" s="1473"/>
      <c r="N141" s="1473"/>
      <c r="O141" s="1473"/>
      <c r="P141" s="1473"/>
      <c r="Q141" s="1474"/>
      <c r="R141" s="1474"/>
      <c r="S141" s="1474"/>
      <c r="T141" s="1475"/>
      <c r="U141" s="350"/>
      <c r="V141" s="350"/>
      <c r="W141" s="350"/>
      <c r="X141" s="1474"/>
      <c r="Y141" s="1474"/>
      <c r="Z141" s="1473"/>
      <c r="AA141" s="1473"/>
      <c r="AB141" s="1475"/>
      <c r="AC141" s="353"/>
      <c r="AD141" s="1476"/>
      <c r="AE141" s="1476"/>
      <c r="AF141" s="1473"/>
      <c r="AG141" s="1473"/>
      <c r="AH141" s="1473"/>
      <c r="AI141" s="1473"/>
      <c r="AJ141" s="1473"/>
      <c r="AK141" s="357"/>
      <c r="AL141" s="365"/>
      <c r="AM141" s="1477"/>
      <c r="AN141" s="1478"/>
      <c r="AO141" s="1473"/>
      <c r="AP141" s="1473"/>
      <c r="AQ141" s="1473"/>
      <c r="AR141" s="1473"/>
      <c r="AS141" s="1473"/>
      <c r="AT141" s="1479"/>
      <c r="AV141" s="1480"/>
      <c r="AW141" s="1480"/>
      <c r="AX141" s="490"/>
      <c r="AY141" s="339"/>
      <c r="AZ141" s="609"/>
    </row>
    <row r="142" spans="1:52" s="335" customFormat="1" ht="19.95" hidden="1" customHeight="1">
      <c r="A142" s="1471"/>
      <c r="B142" s="1472"/>
      <c r="C142" s="1473"/>
      <c r="D142" s="1473"/>
      <c r="E142" s="1473"/>
      <c r="F142" s="1473"/>
      <c r="G142" s="1473"/>
      <c r="H142" s="1473"/>
      <c r="I142" s="1473"/>
      <c r="J142" s="357"/>
      <c r="K142" s="357"/>
      <c r="L142" s="1473"/>
      <c r="M142" s="1473"/>
      <c r="N142" s="1473"/>
      <c r="O142" s="1473"/>
      <c r="P142" s="1473"/>
      <c r="Q142" s="1474"/>
      <c r="R142" s="1474"/>
      <c r="S142" s="1474"/>
      <c r="T142" s="1475"/>
      <c r="U142" s="350"/>
      <c r="V142" s="350"/>
      <c r="W142" s="350"/>
      <c r="X142" s="1474"/>
      <c r="Y142" s="1474"/>
      <c r="Z142" s="1473"/>
      <c r="AA142" s="1473"/>
      <c r="AB142" s="1475"/>
      <c r="AC142" s="353"/>
      <c r="AD142" s="1476"/>
      <c r="AE142" s="1476"/>
      <c r="AF142" s="1473"/>
      <c r="AG142" s="1473"/>
      <c r="AH142" s="1473"/>
      <c r="AI142" s="1473"/>
      <c r="AJ142" s="1473"/>
      <c r="AK142" s="357"/>
      <c r="AL142" s="365"/>
      <c r="AM142" s="1477"/>
      <c r="AN142" s="1478"/>
      <c r="AO142" s="1473"/>
      <c r="AP142" s="1473"/>
      <c r="AQ142" s="1473"/>
      <c r="AR142" s="1473"/>
      <c r="AS142" s="1473"/>
      <c r="AT142" s="1479"/>
      <c r="AV142" s="1480"/>
      <c r="AW142" s="1480"/>
      <c r="AX142" s="490"/>
      <c r="AY142" s="339"/>
      <c r="AZ142" s="609"/>
    </row>
    <row r="143" spans="1:52" s="335" customFormat="1" ht="19.95" hidden="1" customHeight="1">
      <c r="A143" s="1471"/>
      <c r="B143" s="1472"/>
      <c r="C143" s="1473"/>
      <c r="D143" s="1473"/>
      <c r="E143" s="1473"/>
      <c r="F143" s="1473"/>
      <c r="G143" s="1473"/>
      <c r="H143" s="1473"/>
      <c r="I143" s="1473"/>
      <c r="J143" s="357"/>
      <c r="K143" s="357"/>
      <c r="L143" s="1473"/>
      <c r="M143" s="1473"/>
      <c r="N143" s="1473"/>
      <c r="O143" s="1473"/>
      <c r="P143" s="1473"/>
      <c r="Q143" s="1474"/>
      <c r="R143" s="1474"/>
      <c r="S143" s="1474"/>
      <c r="T143" s="1475"/>
      <c r="U143" s="350"/>
      <c r="V143" s="350"/>
      <c r="W143" s="350"/>
      <c r="X143" s="1474"/>
      <c r="Y143" s="1474"/>
      <c r="Z143" s="1473"/>
      <c r="AA143" s="1473"/>
      <c r="AB143" s="1475"/>
      <c r="AC143" s="353"/>
      <c r="AD143" s="1476"/>
      <c r="AE143" s="1476"/>
      <c r="AF143" s="1473"/>
      <c r="AG143" s="1473"/>
      <c r="AH143" s="1473"/>
      <c r="AI143" s="1473"/>
      <c r="AJ143" s="1473"/>
      <c r="AK143" s="357"/>
      <c r="AL143" s="365"/>
      <c r="AM143" s="1477"/>
      <c r="AN143" s="1478"/>
      <c r="AO143" s="1473"/>
      <c r="AP143" s="1473"/>
      <c r="AQ143" s="1473"/>
      <c r="AR143" s="1473"/>
      <c r="AS143" s="1473"/>
      <c r="AT143" s="1479"/>
      <c r="AV143" s="1480"/>
      <c r="AW143" s="1480"/>
      <c r="AX143" s="490"/>
      <c r="AY143" s="339"/>
      <c r="AZ143" s="609"/>
    </row>
    <row r="144" spans="1:52" s="335" customFormat="1" ht="19.95" hidden="1" customHeight="1">
      <c r="A144" s="1471"/>
      <c r="B144" s="1472"/>
      <c r="C144" s="1473"/>
      <c r="D144" s="1473"/>
      <c r="E144" s="1473"/>
      <c r="F144" s="1473"/>
      <c r="G144" s="1473"/>
      <c r="H144" s="1473"/>
      <c r="I144" s="1473"/>
      <c r="J144" s="357"/>
      <c r="K144" s="357"/>
      <c r="L144" s="1473"/>
      <c r="M144" s="1473"/>
      <c r="N144" s="1473"/>
      <c r="O144" s="1473"/>
      <c r="P144" s="1473"/>
      <c r="Q144" s="1474"/>
      <c r="R144" s="1474"/>
      <c r="S144" s="1474"/>
      <c r="T144" s="1475"/>
      <c r="U144" s="350"/>
      <c r="V144" s="350"/>
      <c r="W144" s="350"/>
      <c r="X144" s="1474"/>
      <c r="Y144" s="1474"/>
      <c r="Z144" s="1473"/>
      <c r="AA144" s="1473"/>
      <c r="AB144" s="1475"/>
      <c r="AC144" s="353"/>
      <c r="AD144" s="1476"/>
      <c r="AE144" s="1476"/>
      <c r="AF144" s="1473"/>
      <c r="AG144" s="1473"/>
      <c r="AH144" s="1473"/>
      <c r="AI144" s="1473"/>
      <c r="AJ144" s="1473"/>
      <c r="AK144" s="357"/>
      <c r="AL144" s="365"/>
      <c r="AM144" s="1477"/>
      <c r="AN144" s="1478"/>
      <c r="AO144" s="1473"/>
      <c r="AP144" s="1473"/>
      <c r="AQ144" s="1473"/>
      <c r="AR144" s="1473"/>
      <c r="AS144" s="1473"/>
      <c r="AT144" s="1479"/>
      <c r="AV144" s="1480"/>
      <c r="AW144" s="1480"/>
      <c r="AX144" s="490"/>
      <c r="AY144" s="339"/>
      <c r="AZ144" s="609"/>
    </row>
    <row r="145" spans="1:51" hidden="1">
      <c r="A145" s="682" t="s">
        <v>137</v>
      </c>
      <c r="B145" s="683" t="s">
        <v>494</v>
      </c>
      <c r="C145" s="684"/>
      <c r="D145" s="684">
        <f>D139/C139</f>
        <v>1.3622552800541234</v>
      </c>
      <c r="E145" s="684">
        <f>E139/D139</f>
        <v>1.3258612826676768</v>
      </c>
      <c r="F145" s="684">
        <f>F139/E139</f>
        <v>1.1281758663308614</v>
      </c>
      <c r="G145" s="684">
        <f>G139/F139</f>
        <v>0.68665921672232588</v>
      </c>
      <c r="H145" s="684">
        <f>H139/G139</f>
        <v>1.0043649061545177</v>
      </c>
      <c r="I145" s="684"/>
      <c r="J145" s="684">
        <f>(D145*E145*F145*G145*H145)^(1/5)-1</f>
        <v>7.04175856234035E-2</v>
      </c>
      <c r="K145" s="684"/>
      <c r="L145" s="684">
        <f>L139/H139</f>
        <v>1.4252611308426621</v>
      </c>
      <c r="M145" s="684">
        <f>M139/L139</f>
        <v>0.97503975816520994</v>
      </c>
      <c r="N145" s="684"/>
      <c r="O145" s="684">
        <f>O139/M139</f>
        <v>2.450985969031851</v>
      </c>
      <c r="P145" s="684"/>
      <c r="Q145" s="685">
        <f>Q139/O139</f>
        <v>0.59795378724799064</v>
      </c>
      <c r="R145" s="684"/>
      <c r="S145" s="684">
        <f>S139/Q139</f>
        <v>1.2558053714937949</v>
      </c>
      <c r="T145" s="1724"/>
      <c r="U145" s="1724">
        <f>(L145*M145*O145*Q145*S145)^(1/5)-1</f>
        <v>0.20661719427475589</v>
      </c>
      <c r="V145" s="1724"/>
      <c r="W145" s="1724"/>
      <c r="X145" s="686"/>
      <c r="Y145" s="684">
        <f>Y139/S139</f>
        <v>0.39984893652863229</v>
      </c>
      <c r="Z145" s="687"/>
      <c r="AA145" s="684">
        <f>AA139/Y139</f>
        <v>2.8716129053529302</v>
      </c>
      <c r="AB145" s="684"/>
      <c r="AC145" s="688">
        <f t="shared" si="82"/>
        <v>0</v>
      </c>
      <c r="AD145" s="688"/>
      <c r="AE145" s="688"/>
      <c r="AF145" s="684">
        <f>AF139/AA139</f>
        <v>1.6565293171513182</v>
      </c>
      <c r="AG145" s="684"/>
      <c r="AH145" s="684">
        <f>AH139/AF139</f>
        <v>1.1363219275111696</v>
      </c>
      <c r="AI145" s="684">
        <f>AI139/AH139</f>
        <v>1.1375788028339877</v>
      </c>
      <c r="AJ145" s="684"/>
      <c r="AK145" s="684">
        <f>(Y145*AA145*AF145*AH145*AI145)^(1/5)-1</f>
        <v>0.19712849757795214</v>
      </c>
      <c r="AL145" s="684"/>
      <c r="AM145" s="684"/>
      <c r="AN145" s="684"/>
      <c r="AO145" s="689"/>
      <c r="AP145" s="689"/>
      <c r="AQ145" s="689"/>
      <c r="AR145" s="689"/>
      <c r="AS145" s="689"/>
      <c r="AT145" s="689"/>
      <c r="AY145" s="690">
        <f t="shared" si="94"/>
        <v>1.0275303069587099E-7</v>
      </c>
    </row>
    <row r="146" spans="1:51" hidden="1">
      <c r="A146" s="491" t="s">
        <v>137</v>
      </c>
      <c r="B146" s="691" t="s">
        <v>609</v>
      </c>
      <c r="C146" s="583"/>
      <c r="D146" s="583">
        <f t="shared" ref="D146:I146" si="133">D139/D8</f>
        <v>9.3789462285605599E-2</v>
      </c>
      <c r="E146" s="583">
        <f t="shared" si="133"/>
        <v>0.10275882519867754</v>
      </c>
      <c r="F146" s="583">
        <f t="shared" si="133"/>
        <v>0.10566925179106769</v>
      </c>
      <c r="G146" s="583">
        <f t="shared" si="133"/>
        <v>6.5136517407844582E-2</v>
      </c>
      <c r="H146" s="583">
        <f t="shared" si="133"/>
        <v>6.040012970904652E-2</v>
      </c>
      <c r="I146" s="583">
        <f t="shared" si="133"/>
        <v>8.3328829655301417E-2</v>
      </c>
      <c r="J146" s="583"/>
      <c r="K146" s="583"/>
      <c r="L146" s="583">
        <f>L139/L8</f>
        <v>8.0635591843302795E-2</v>
      </c>
      <c r="M146" s="583">
        <f>M139/M8</f>
        <v>6.8529994030120264E-2</v>
      </c>
      <c r="N146" s="583"/>
      <c r="O146" s="583">
        <f>O139/O8</f>
        <v>0.1484789163993521</v>
      </c>
      <c r="P146" s="583"/>
      <c r="Q146" s="584">
        <f>Q139/Q8</f>
        <v>8.9994170303539303E-2</v>
      </c>
      <c r="R146" s="583"/>
      <c r="S146" s="583">
        <f>S139/S8</f>
        <v>9.4170340952632603E-2</v>
      </c>
      <c r="T146" s="397">
        <f>(L146*M146*O146*Q146*S146)^(1/5)</f>
        <v>9.2990836899367615E-2</v>
      </c>
      <c r="U146" s="397"/>
      <c r="V146" s="397"/>
      <c r="W146" s="397"/>
      <c r="X146" s="692"/>
      <c r="Y146" s="583">
        <f>Y139/Y8</f>
        <v>3.7136417754361752E-2</v>
      </c>
      <c r="Z146" s="693"/>
      <c r="AA146" s="583">
        <f>AA139/AA8</f>
        <v>9.7589874843765925E-2</v>
      </c>
      <c r="AB146" s="583"/>
      <c r="AC146" s="694">
        <f t="shared" si="82"/>
        <v>0</v>
      </c>
      <c r="AD146" s="694"/>
      <c r="AE146" s="694"/>
      <c r="AF146" s="583">
        <f>AF139/AF8</f>
        <v>0.16415978639689835</v>
      </c>
      <c r="AG146" s="583"/>
      <c r="AH146" s="583">
        <f>AH139/AH8</f>
        <v>0.15110682285795757</v>
      </c>
      <c r="AI146" s="583">
        <f>AI139/AI8</f>
        <v>0.16459013934438238</v>
      </c>
      <c r="AJ146" s="583">
        <f>AVERAGE(Y146:AI146)</f>
        <v>0.10243050686622768</v>
      </c>
      <c r="AK146" s="583"/>
      <c r="AL146" s="583"/>
      <c r="AM146" s="583"/>
      <c r="AN146" s="583"/>
      <c r="AO146" s="227"/>
      <c r="AP146" s="227"/>
      <c r="AQ146" s="227"/>
      <c r="AR146" s="227"/>
      <c r="AS146" s="227"/>
      <c r="AT146" s="227"/>
      <c r="AY146" s="690">
        <f t="shared" si="94"/>
        <v>1.4866781622652189E-8</v>
      </c>
    </row>
    <row r="147" spans="1:51" hidden="1">
      <c r="A147" s="499">
        <v>1</v>
      </c>
      <c r="B147" s="604" t="s">
        <v>610</v>
      </c>
      <c r="C147" s="506">
        <v>88679</v>
      </c>
      <c r="D147" s="506">
        <v>148144</v>
      </c>
      <c r="E147" s="506">
        <v>167267</v>
      </c>
      <c r="F147" s="506">
        <v>155140</v>
      </c>
      <c r="G147" s="506">
        <f>65206+17050</f>
        <v>82256</v>
      </c>
      <c r="H147" s="506">
        <v>76245</v>
      </c>
      <c r="I147" s="506">
        <f>SUM(D147:H147)</f>
        <v>629052</v>
      </c>
      <c r="J147" s="501"/>
      <c r="K147" s="501">
        <f>I147/$I$10</f>
        <v>1.8791741001954576E-2</v>
      </c>
      <c r="L147" s="506">
        <f>'[8]Chi từ NSTW bổ sung 2010-2025'!L9</f>
        <v>53674</v>
      </c>
      <c r="M147" s="506">
        <f>'[8]Chi từ NSTW bổ sung 2010-2025'!M9</f>
        <v>158319</v>
      </c>
      <c r="N147" s="506"/>
      <c r="O147" s="506">
        <f>'[8]Chi từ NSTW bổ sung 2010-2025'!N9</f>
        <v>158489</v>
      </c>
      <c r="P147" s="506"/>
      <c r="Q147" s="495">
        <f>'[8]Chi từ NSTW bổ sung 2010-2025'!O9</f>
        <v>237567</v>
      </c>
      <c r="R147" s="506">
        <v>426575</v>
      </c>
      <c r="S147" s="506">
        <f>[14]Chi!$F$74</f>
        <v>578053.55000000005</v>
      </c>
      <c r="T147" s="485">
        <f>SUM(L147:S147)</f>
        <v>1612677.55</v>
      </c>
      <c r="U147" s="388"/>
      <c r="V147" s="388">
        <f>T147/$T$10</f>
        <v>3.0274851477478895E-2</v>
      </c>
      <c r="W147" s="388">
        <f>T147/I147-1</f>
        <v>1.5636633378480633</v>
      </c>
      <c r="X147" s="695">
        <v>0</v>
      </c>
      <c r="Y147" s="506">
        <f>'[8]Chi từ NSTW bổ sung 2010-2025'!U9</f>
        <v>0</v>
      </c>
      <c r="Z147" s="506"/>
      <c r="AA147" s="506">
        <f>'[8]Chi từ NSTW bổ sung 2010-2025'!V9</f>
        <v>0</v>
      </c>
      <c r="AB147" s="506"/>
      <c r="AC147" s="694">
        <f t="shared" si="82"/>
        <v>0</v>
      </c>
      <c r="AD147" s="694"/>
      <c r="AE147" s="694"/>
      <c r="AF147" s="506">
        <f>'[8]Chi từ NSTW bổ sung 2010-2025'!W9</f>
        <v>0</v>
      </c>
      <c r="AG147" s="506"/>
      <c r="AH147" s="506">
        <f>'[8]Chi từ NSTW bổ sung 2010-2025'!X9</f>
        <v>0</v>
      </c>
      <c r="AI147" s="506">
        <f>'[8]Chi từ NSTW bổ sung 2010-2025'!Y9</f>
        <v>0</v>
      </c>
      <c r="AJ147" s="326">
        <f>AI147+AH147+AF147+AA147+Y147</f>
        <v>0</v>
      </c>
      <c r="AK147" s="501"/>
      <c r="AL147" s="501"/>
      <c r="AM147" s="501"/>
      <c r="AN147" s="501">
        <f>+AJ147/T147-1</f>
        <v>-1</v>
      </c>
      <c r="AO147" s="227"/>
      <c r="AP147" s="227"/>
      <c r="AQ147" s="227"/>
      <c r="AR147" s="227"/>
      <c r="AS147" s="227"/>
      <c r="AT147" s="227"/>
      <c r="AY147" s="690">
        <f t="shared" si="94"/>
        <v>0</v>
      </c>
    </row>
    <row r="148" spans="1:51" hidden="1">
      <c r="A148" s="491" t="s">
        <v>137</v>
      </c>
      <c r="B148" s="691" t="s">
        <v>494</v>
      </c>
      <c r="C148" s="583"/>
      <c r="D148" s="583">
        <f>D147/C147</f>
        <v>1.670564620710653</v>
      </c>
      <c r="E148" s="583">
        <f>E147/D147</f>
        <v>1.1290838643482017</v>
      </c>
      <c r="F148" s="583">
        <f>F147/E147</f>
        <v>0.92749914806865674</v>
      </c>
      <c r="G148" s="583">
        <f>G147/F147</f>
        <v>0.53020497615057371</v>
      </c>
      <c r="H148" s="583">
        <f>H147/G147</f>
        <v>0.92692326395642866</v>
      </c>
      <c r="I148" s="583"/>
      <c r="J148" s="583">
        <f>(D148*E148*F148*G148*H148)^(1/5)-1</f>
        <v>-2.9762365748168484E-2</v>
      </c>
      <c r="K148" s="583"/>
      <c r="L148" s="583">
        <f>L147/H147</f>
        <v>0.70396747327693621</v>
      </c>
      <c r="M148" s="583">
        <f>M147/L147</f>
        <v>2.9496404218057162</v>
      </c>
      <c r="N148" s="583"/>
      <c r="O148" s="583">
        <f>O147/M147</f>
        <v>1.0010737814160018</v>
      </c>
      <c r="P148" s="583"/>
      <c r="Q148" s="584">
        <f>Q147/O147</f>
        <v>1.4989494539053183</v>
      </c>
      <c r="R148" s="583"/>
      <c r="S148" s="583">
        <f>S147/Q147</f>
        <v>2.4332232591226899</v>
      </c>
      <c r="T148" s="397"/>
      <c r="U148" s="397">
        <f>(L148*M148*O148*Q148*S148)^(1/5)-1</f>
        <v>0.49951681723815566</v>
      </c>
      <c r="V148" s="397"/>
      <c r="W148" s="397"/>
      <c r="X148" s="692"/>
      <c r="Y148" s="583"/>
      <c r="Z148" s="693"/>
      <c r="AA148" s="583"/>
      <c r="AB148" s="583"/>
      <c r="AC148" s="694">
        <f t="shared" ref="AC148:AC179" si="134">AB148/$AB$8</f>
        <v>0</v>
      </c>
      <c r="AD148" s="694"/>
      <c r="AE148" s="694"/>
      <c r="AF148" s="583"/>
      <c r="AG148" s="583"/>
      <c r="AH148" s="583"/>
      <c r="AI148" s="583"/>
      <c r="AJ148" s="583"/>
      <c r="AK148" s="583">
        <f>(Y148*AA148*AF148*AH148*AI148)^(1/5)-1</f>
        <v>-1</v>
      </c>
      <c r="AL148" s="583"/>
      <c r="AM148" s="583"/>
      <c r="AN148" s="583"/>
      <c r="AO148" s="227"/>
      <c r="AP148" s="227"/>
      <c r="AQ148" s="227"/>
      <c r="AR148" s="227"/>
      <c r="AS148" s="227"/>
      <c r="AT148" s="227"/>
      <c r="AY148" s="690">
        <f t="shared" si="94"/>
        <v>0</v>
      </c>
    </row>
    <row r="149" spans="1:51" hidden="1">
      <c r="A149" s="491" t="s">
        <v>137</v>
      </c>
      <c r="B149" s="691" t="s">
        <v>609</v>
      </c>
      <c r="C149" s="583"/>
      <c r="D149" s="583">
        <f t="shared" ref="D149:I149" si="135">D147/D8</f>
        <v>2.6849808111630031E-2</v>
      </c>
      <c r="E149" s="583">
        <f t="shared" si="135"/>
        <v>2.5051537379476234E-2</v>
      </c>
      <c r="F149" s="583">
        <f t="shared" si="135"/>
        <v>2.1178763424906811E-2</v>
      </c>
      <c r="G149" s="583">
        <f t="shared" si="135"/>
        <v>1.008042974739924E-2</v>
      </c>
      <c r="H149" s="583">
        <f t="shared" si="135"/>
        <v>8.6266988297184349E-3</v>
      </c>
      <c r="I149" s="583">
        <f t="shared" si="135"/>
        <v>1.7225847217076158E-2</v>
      </c>
      <c r="J149" s="583"/>
      <c r="K149" s="583"/>
      <c r="L149" s="583">
        <f>L147/L8</f>
        <v>5.6884205251987036E-3</v>
      </c>
      <c r="M149" s="583">
        <f>M147/M8</f>
        <v>1.462488171587136E-2</v>
      </c>
      <c r="N149" s="583"/>
      <c r="O149" s="583">
        <f>O147/O8</f>
        <v>1.294200966251564E-2</v>
      </c>
      <c r="P149" s="583"/>
      <c r="Q149" s="584">
        <f>Q147/Q8</f>
        <v>1.9663946095704599E-2</v>
      </c>
      <c r="R149" s="583"/>
      <c r="S149" s="583">
        <f>S147/S8</f>
        <v>3.986851534474687E-2</v>
      </c>
      <c r="T149" s="397">
        <f>(L149*M149*O149*Q149*S149)^(1/5)</f>
        <v>1.5320653943773537E-2</v>
      </c>
      <c r="U149" s="397"/>
      <c r="V149" s="397"/>
      <c r="W149" s="397"/>
      <c r="X149" s="692"/>
      <c r="Y149" s="583">
        <f>Y147/Y8</f>
        <v>0</v>
      </c>
      <c r="Z149" s="693"/>
      <c r="AA149" s="583">
        <f>AA147/AA8</f>
        <v>0</v>
      </c>
      <c r="AB149" s="583"/>
      <c r="AC149" s="694">
        <f t="shared" si="134"/>
        <v>0</v>
      </c>
      <c r="AD149" s="694"/>
      <c r="AE149" s="694"/>
      <c r="AF149" s="583">
        <f>AF147/AF8</f>
        <v>0</v>
      </c>
      <c r="AG149" s="583"/>
      <c r="AH149" s="583">
        <f>AH147/AH8</f>
        <v>0</v>
      </c>
      <c r="AI149" s="583">
        <f>AI147/AI8</f>
        <v>0</v>
      </c>
      <c r="AJ149" s="583">
        <f>(Y149*AA149*AF149*AH149*AI149)^(1/5)</f>
        <v>0</v>
      </c>
      <c r="AK149" s="583"/>
      <c r="AL149" s="583"/>
      <c r="AM149" s="583"/>
      <c r="AN149" s="583"/>
      <c r="AO149" s="227"/>
      <c r="AP149" s="227"/>
      <c r="AQ149" s="227"/>
      <c r="AR149" s="227"/>
      <c r="AS149" s="227"/>
      <c r="AT149" s="227"/>
      <c r="AY149" s="690">
        <f t="shared" si="94"/>
        <v>0</v>
      </c>
    </row>
    <row r="150" spans="1:51" hidden="1">
      <c r="A150" s="499">
        <v>2</v>
      </c>
      <c r="B150" s="604" t="s">
        <v>611</v>
      </c>
      <c r="C150" s="506">
        <v>291194</v>
      </c>
      <c r="D150" s="506">
        <v>369340</v>
      </c>
      <c r="E150" s="506">
        <v>518845</v>
      </c>
      <c r="F150" s="506">
        <v>618915</v>
      </c>
      <c r="G150" s="506">
        <f>336800+112456</f>
        <v>449256</v>
      </c>
      <c r="H150" s="506">
        <f>372200+85387</f>
        <v>457587</v>
      </c>
      <c r="I150" s="506">
        <f>SUM(D150:H150)</f>
        <v>2413943</v>
      </c>
      <c r="J150" s="501"/>
      <c r="K150" s="501">
        <f>I150/$I$10</f>
        <v>7.2111990184406435E-2</v>
      </c>
      <c r="L150" s="506">
        <f>'[8]Chi từ NSTW bổ sung 2010-2025'!L10</f>
        <v>707176</v>
      </c>
      <c r="M150" s="506">
        <f>'[8]Chi từ NSTW bổ sung 2010-2025'!M10</f>
        <v>583540</v>
      </c>
      <c r="N150" s="506"/>
      <c r="O150" s="506">
        <f>'[8]Chi từ NSTW bổ sung 2010-2025'!N10</f>
        <v>1659797</v>
      </c>
      <c r="P150" s="506">
        <v>1423990</v>
      </c>
      <c r="Q150" s="495">
        <f>'[8]Chi từ NSTW bổ sung 2010-2025'!O10</f>
        <v>849684</v>
      </c>
      <c r="R150" s="506">
        <f>906600+141338</f>
        <v>1047938</v>
      </c>
      <c r="S150" s="506">
        <f>[14]Chi!$F$75</f>
        <v>787322.09596199996</v>
      </c>
      <c r="T150" s="485">
        <f>SUM(L150:S150)</f>
        <v>7059447.0959620001</v>
      </c>
      <c r="U150" s="388"/>
      <c r="V150" s="388">
        <f>T150/$T$10</f>
        <v>0.13252724473244465</v>
      </c>
      <c r="W150" s="388">
        <f>T150/I150-1</f>
        <v>1.9244464744867629</v>
      </c>
      <c r="X150" s="695">
        <f>'[13]Phụ lục số 2'!$C$33+'[13]Phụ lục số 2'!$C$34</f>
        <v>1370794</v>
      </c>
      <c r="Y150" s="506">
        <f>'[15]Bao cao'!$J$67</f>
        <v>545944</v>
      </c>
      <c r="Z150" s="506">
        <v>1213473</v>
      </c>
      <c r="AA150" s="506">
        <f>'[10]Chi (HĐND)'!$F$56</f>
        <v>1567739.8360000001</v>
      </c>
      <c r="AB150" s="506"/>
      <c r="AC150" s="694">
        <f t="shared" si="134"/>
        <v>0</v>
      </c>
      <c r="AD150" s="694"/>
      <c r="AE150" s="694"/>
      <c r="AF150" s="506">
        <f>'[8]Chi từ NSTW bổ sung 2010-2025'!W10</f>
        <v>2597007</v>
      </c>
      <c r="AG150" s="506"/>
      <c r="AH150" s="506">
        <f>'[8]Chi từ NSTW bổ sung 2010-2025'!X10</f>
        <v>2951036</v>
      </c>
      <c r="AI150" s="506">
        <f>'[8]Chi từ NSTW bổ sung 2010-2025'!Y10</f>
        <v>3357036</v>
      </c>
      <c r="AJ150" s="506">
        <f>AI150+AH150+AF150+AA150+Y150</f>
        <v>11018762.835999999</v>
      </c>
      <c r="AK150" s="501"/>
      <c r="AL150" s="501"/>
      <c r="AM150" s="501"/>
      <c r="AN150" s="501">
        <f>+AJ150/T150-1</f>
        <v>0.56085351816046969</v>
      </c>
      <c r="AO150" s="227">
        <f>'[8]Phụ lục số 2-1'!AE32</f>
        <v>3357036</v>
      </c>
      <c r="AP150" s="227">
        <f>'[8]Phụ lục số 2-1'!AJ32</f>
        <v>3357036</v>
      </c>
      <c r="AQ150" s="227">
        <f>'[8]Phụ lục số 2-1'!AO32</f>
        <v>3357036</v>
      </c>
      <c r="AR150" s="227">
        <f>'[8]Phụ lục số 2-1'!AT32</f>
        <v>3357036</v>
      </c>
      <c r="AS150" s="227">
        <f>'[8]Phụ lục số 2-1'!AY32</f>
        <v>3357036</v>
      </c>
      <c r="AT150" s="506">
        <f>SUM(AO150:AS150)</f>
        <v>16785180</v>
      </c>
      <c r="AY150" s="690">
        <f t="shared" si="94"/>
        <v>0.30322789269262035</v>
      </c>
    </row>
    <row r="151" spans="1:51" hidden="1">
      <c r="A151" s="491" t="s">
        <v>137</v>
      </c>
      <c r="B151" s="691" t="s">
        <v>494</v>
      </c>
      <c r="C151" s="583"/>
      <c r="D151" s="583">
        <f>D150/C150</f>
        <v>1.2683640459624854</v>
      </c>
      <c r="E151" s="583">
        <f>E150/D150</f>
        <v>1.4047896247360157</v>
      </c>
      <c r="F151" s="583">
        <f>F150/E150</f>
        <v>1.1928707031965231</v>
      </c>
      <c r="G151" s="583">
        <f>G150/F150</f>
        <v>0.72587673590072954</v>
      </c>
      <c r="H151" s="583">
        <f>H150/G150</f>
        <v>1.0185439927346547</v>
      </c>
      <c r="I151" s="583"/>
      <c r="J151" s="583">
        <f>(D151*E151*F151*G151*H151)^(1/5)-1</f>
        <v>9.4607075565009691E-2</v>
      </c>
      <c r="K151" s="583"/>
      <c r="L151" s="583">
        <f>L150/H150</f>
        <v>1.5454460026180814</v>
      </c>
      <c r="M151" s="583">
        <f>M150/L150</f>
        <v>0.82516940620156798</v>
      </c>
      <c r="N151" s="583"/>
      <c r="O151" s="583">
        <f>O150/M150</f>
        <v>2.844358570106591</v>
      </c>
      <c r="P151" s="583"/>
      <c r="Q151" s="584">
        <f>Q150/O150</f>
        <v>0.51192043364339135</v>
      </c>
      <c r="R151" s="583"/>
      <c r="S151" s="583">
        <f>S150/Q150</f>
        <v>0.92660576868812405</v>
      </c>
      <c r="T151" s="397"/>
      <c r="U151" s="397">
        <f>(L151*M151*O151*Q151*S151)^(1/5)-1</f>
        <v>0.11464289597260713</v>
      </c>
      <c r="V151" s="397"/>
      <c r="W151" s="397"/>
      <c r="X151" s="692"/>
      <c r="Y151" s="583">
        <f>Y150/S150</f>
        <v>0.69341887240308053</v>
      </c>
      <c r="Z151" s="693"/>
      <c r="AA151" s="583">
        <f>AA150/Y150</f>
        <v>2.8716129053529302</v>
      </c>
      <c r="AB151" s="583"/>
      <c r="AC151" s="694">
        <f t="shared" si="134"/>
        <v>0</v>
      </c>
      <c r="AD151" s="694"/>
      <c r="AE151" s="694"/>
      <c r="AF151" s="583">
        <f>AF150/AA150</f>
        <v>1.6565293171513182</v>
      </c>
      <c r="AG151" s="583"/>
      <c r="AH151" s="583">
        <f>AH150/AF150</f>
        <v>1.1363219275111696</v>
      </c>
      <c r="AI151" s="583">
        <f>AI150/AH150</f>
        <v>1.1375788028339877</v>
      </c>
      <c r="AJ151" s="583"/>
      <c r="AK151" s="583">
        <f>(Y151*AA151*AF151*AH151*AI151)^(1/5)-1</f>
        <v>0.33647460741218982</v>
      </c>
      <c r="AL151" s="583"/>
      <c r="AM151" s="583"/>
      <c r="AN151" s="583"/>
      <c r="AO151" s="227"/>
      <c r="AP151" s="227"/>
      <c r="AQ151" s="227"/>
      <c r="AR151" s="227"/>
      <c r="AS151" s="227"/>
      <c r="AT151" s="227"/>
      <c r="AY151" s="690">
        <f t="shared" si="94"/>
        <v>1.0275303069587099E-7</v>
      </c>
    </row>
    <row r="152" spans="1:51" hidden="1">
      <c r="A152" s="491" t="s">
        <v>137</v>
      </c>
      <c r="B152" s="691" t="s">
        <v>609</v>
      </c>
      <c r="C152" s="583"/>
      <c r="D152" s="583">
        <f t="shared" ref="D152:I152" si="136">D150/D8</f>
        <v>6.6939654173975571E-2</v>
      </c>
      <c r="E152" s="583">
        <f t="shared" si="136"/>
        <v>7.7707287819201318E-2</v>
      </c>
      <c r="F152" s="583">
        <f t="shared" si="136"/>
        <v>8.4490488366160882E-2</v>
      </c>
      <c r="G152" s="583">
        <f t="shared" si="136"/>
        <v>5.5056087660445348E-2</v>
      </c>
      <c r="H152" s="583">
        <f t="shared" si="136"/>
        <v>5.1773430879328085E-2</v>
      </c>
      <c r="I152" s="583">
        <f t="shared" si="136"/>
        <v>6.6102982438225266E-2</v>
      </c>
      <c r="J152" s="583"/>
      <c r="K152" s="583"/>
      <c r="L152" s="583">
        <f>L150/L8</f>
        <v>7.4947171318104092E-2</v>
      </c>
      <c r="M152" s="583">
        <f>M150/M8</f>
        <v>5.390511231424891E-2</v>
      </c>
      <c r="N152" s="583"/>
      <c r="O152" s="583">
        <f>O150/O8</f>
        <v>0.13553690673683647</v>
      </c>
      <c r="P152" s="583"/>
      <c r="Q152" s="584">
        <f>Q150/Q8</f>
        <v>7.0330224207834705E-2</v>
      </c>
      <c r="R152" s="583"/>
      <c r="S152" s="583">
        <f>S150/S8</f>
        <v>5.430182560788574E-2</v>
      </c>
      <c r="T152" s="397">
        <f>(L152*M152*O152*Q152*S152)^(1/5)</f>
        <v>7.3127350857074641E-2</v>
      </c>
      <c r="U152" s="397"/>
      <c r="V152" s="397"/>
      <c r="W152" s="397"/>
      <c r="X152" s="692"/>
      <c r="Y152" s="583">
        <f>Y150/Y8</f>
        <v>3.7136417754361752E-2</v>
      </c>
      <c r="Z152" s="693"/>
      <c r="AA152" s="583">
        <f>AA150/AA8</f>
        <v>9.7589874843765925E-2</v>
      </c>
      <c r="AB152" s="583"/>
      <c r="AC152" s="694">
        <f t="shared" si="134"/>
        <v>0</v>
      </c>
      <c r="AD152" s="694"/>
      <c r="AE152" s="694"/>
      <c r="AF152" s="583">
        <f>AF150/AF8</f>
        <v>0.16415978639689835</v>
      </c>
      <c r="AG152" s="583"/>
      <c r="AH152" s="583">
        <f>AH150/AH8</f>
        <v>0.15110682285795757</v>
      </c>
      <c r="AI152" s="583">
        <f>AI150/AI8</f>
        <v>0.16459013934438238</v>
      </c>
      <c r="AJ152" s="583">
        <f>(Y152*AA152*AF152*AH152*AI152)^(1/5)</f>
        <v>0.10815133559098825</v>
      </c>
      <c r="AK152" s="583"/>
      <c r="AL152" s="583"/>
      <c r="AM152" s="583"/>
      <c r="AN152" s="583"/>
      <c r="AO152" s="227"/>
      <c r="AP152" s="227"/>
      <c r="AQ152" s="227"/>
      <c r="AR152" s="227"/>
      <c r="AS152" s="227"/>
      <c r="AT152" s="227"/>
      <c r="AY152" s="690">
        <f t="shared" si="94"/>
        <v>1.4866781622652189E-8</v>
      </c>
    </row>
    <row r="153" spans="1:51" s="289" customFormat="1" ht="31.2" hidden="1">
      <c r="A153" s="486" t="s">
        <v>26</v>
      </c>
      <c r="B153" s="276" t="s">
        <v>612</v>
      </c>
      <c r="C153" s="488">
        <f>'[8]Thu NSNN 2010-2025'!G139/'[8]Chi NSĐP 2021-2030'!C10</f>
        <v>0.84720640893834231</v>
      </c>
      <c r="D153" s="488">
        <f>'[8]Thu NSNN 2010-2025'!H139/'[8]Chi NSĐP 2021-2030'!D10</f>
        <v>0.75395017943570752</v>
      </c>
      <c r="E153" s="488">
        <f>'[8]Thu NSNN 2010-2025'!I139/'[8]Chi NSĐP 2021-2030'!E10</f>
        <v>0.68173446106187663</v>
      </c>
      <c r="F153" s="488">
        <f>'[8]Thu NSNN 2010-2025'!J139/'[8]Chi NSĐP 2021-2030'!F10</f>
        <v>0.62175112300288549</v>
      </c>
      <c r="G153" s="488">
        <f>'[8]Thu NSNN 2010-2025'!K139/'[8]Chi NSĐP 2021-2030'!G10</f>
        <v>0.50809387640147996</v>
      </c>
      <c r="H153" s="488">
        <f>'[8]Thu NSNN 2010-2025'!L139/'[8]Chi NSĐP 2021-2030'!H10</f>
        <v>0.58364310593534119</v>
      </c>
      <c r="I153" s="488">
        <f>(D153*E153*F153*G153*H153)^(1/5)</f>
        <v>0.62421350307285772</v>
      </c>
      <c r="J153" s="488"/>
      <c r="K153" s="488"/>
      <c r="L153" s="488">
        <f>'[8]Thu NSNN 2010-2025'!P139/'[8]Chi NSĐP 2021-2030'!L10</f>
        <v>0.70951621945517296</v>
      </c>
      <c r="M153" s="488">
        <f>'[8]Thu NSNN 2010-2025'!Q139/'[8]Chi NSĐP 2021-2030'!M10</f>
        <v>0.53457177707542691</v>
      </c>
      <c r="N153" s="488"/>
      <c r="O153" s="488">
        <f>'[8]Thu NSNN 2010-2025'!R139/'[8]Chi NSĐP 2021-2030'!N10</f>
        <v>0.54993672798003645</v>
      </c>
      <c r="P153" s="488"/>
      <c r="Q153" s="342">
        <f>'[8]Thu NSNN 2010-2025'!S139/'[8]Chi NSĐP 2021-2030'!P10</f>
        <v>0.64636850863471229</v>
      </c>
      <c r="R153" s="488"/>
      <c r="S153" s="488">
        <f>'[8]Thu NSNN 2010-2025'!T139/'[8]Chi NSĐP 2021-2030'!R10</f>
        <v>0.53455547451953167</v>
      </c>
      <c r="T153" s="323">
        <f>(L153*M153*O153*Q153*S153)^(1/5)</f>
        <v>0.59095009945014565</v>
      </c>
      <c r="U153" s="323"/>
      <c r="V153" s="323"/>
      <c r="W153" s="323"/>
      <c r="X153" s="614"/>
      <c r="Y153" s="488">
        <f>'[8]Thu NSNN 2010-2025'!Z139/'[8]Chi NSĐP 2021-2030'!X10</f>
        <v>0.48759208295318934</v>
      </c>
      <c r="Z153" s="621"/>
      <c r="AA153" s="488">
        <f>'[8]Thu NSNN 2010-2025'!AA139/'[8]Chi NSĐP 2021-2030'!Z10</f>
        <v>0.51269251639949642</v>
      </c>
      <c r="AB153" s="488"/>
      <c r="AC153" s="694">
        <f t="shared" si="134"/>
        <v>0</v>
      </c>
      <c r="AD153" s="694"/>
      <c r="AE153" s="694"/>
      <c r="AF153" s="488">
        <f>'[8]Thu NSNN 2010-2025'!AB139/'[8]Chi NSĐP 2021-2030'!AE10</f>
        <v>0.61463877312400239</v>
      </c>
      <c r="AG153" s="488"/>
      <c r="AH153" s="488">
        <f>'[8]Thu NSNN 2010-2025'!AC139/'[8]Chi NSĐP 2021-2030'!AG10</f>
        <v>0.6253987533681642</v>
      </c>
      <c r="AI153" s="488">
        <f>'[8]Thu NSNN 2010-2025'!AD139/'[8]Chi NSĐP 2021-2030'!AH10</f>
        <v>2.3615888472361872</v>
      </c>
      <c r="AJ153" s="488">
        <f>(Y153*AA153*AF153*AH153*AI153)^(1/5)</f>
        <v>0.7433254037953585</v>
      </c>
      <c r="AK153" s="488"/>
      <c r="AL153" s="488"/>
      <c r="AM153" s="488"/>
      <c r="AN153" s="488"/>
      <c r="AO153" s="696"/>
      <c r="AP153" s="696"/>
      <c r="AQ153" s="696"/>
      <c r="AR153" s="696"/>
      <c r="AS153" s="696"/>
      <c r="AT153" s="696"/>
      <c r="AY153" s="690">
        <f t="shared" si="94"/>
        <v>2.13313056384806E-7</v>
      </c>
    </row>
    <row r="154" spans="1:51" hidden="1">
      <c r="A154" s="486" t="s">
        <v>130</v>
      </c>
      <c r="B154" s="276" t="s">
        <v>613</v>
      </c>
      <c r="C154" s="488">
        <f>C8/'[8]Thu NSNN 2010-2025'!G139-1</f>
        <v>0.28441944430758492</v>
      </c>
      <c r="D154" s="488">
        <f>D8/'[8]Thu NSNN 2010-2025'!H139-1</f>
        <v>0.4636196890147688</v>
      </c>
      <c r="E154" s="488">
        <f>E8/'[8]Thu NSNN 2010-2025'!I139-1</f>
        <v>0.63484113594871894</v>
      </c>
      <c r="F154" s="488">
        <f>F8/'[8]Thu NSNN 2010-2025'!J139-1</f>
        <v>0.79839571473307291</v>
      </c>
      <c r="G154" s="488">
        <f>G8/'[8]Thu NSNN 2010-2025'!K139-1</f>
        <v>1.1052702015684495</v>
      </c>
      <c r="H154" s="488">
        <f>H8/'[8]Thu NSNN 2010-2025'!L139-1</f>
        <v>0.8235164770662593</v>
      </c>
      <c r="I154" s="488">
        <f>(D154*E154*F154*G154*H154)^(1/5)</f>
        <v>0.73457674696982012</v>
      </c>
      <c r="J154" s="488"/>
      <c r="K154" s="488"/>
      <c r="L154" s="488">
        <f>L10/'[8]Thu NSNN 2010-2025'!P139-1</f>
        <v>0.40941105020528679</v>
      </c>
      <c r="M154" s="488">
        <f>M10/'[8]Thu NSNN 2010-2025'!Q139-1</f>
        <v>0.87065618291872937</v>
      </c>
      <c r="N154" s="488"/>
      <c r="O154" s="488">
        <f>O10/'[8]Thu NSNN 2010-2025'!R139-1</f>
        <v>0.81840844402764779</v>
      </c>
      <c r="P154" s="488"/>
      <c r="Q154" s="342">
        <f>Q10/'[8]Thu NSNN 2010-2025'!S139-1</f>
        <v>0.54714735021274885</v>
      </c>
      <c r="R154" s="488"/>
      <c r="S154" s="488">
        <f>S10/'[8]Thu NSNN 2010-2025'!T139-1</f>
        <v>0.87084502171495837</v>
      </c>
      <c r="T154" s="323">
        <f>(L154*M154*O154*Q154*S154)^(1/5)</f>
        <v>0.67391373041742719</v>
      </c>
      <c r="U154" s="323"/>
      <c r="V154" s="323"/>
      <c r="W154" s="323"/>
      <c r="X154" s="614"/>
      <c r="Y154" s="488">
        <f>Y10/'[8]Thu NSNN 2010-2025'!Z139-1</f>
        <v>1.0508946616674328</v>
      </c>
      <c r="Z154" s="621"/>
      <c r="AA154" s="488">
        <f>AA10/'[8]Thu NSNN 2010-2025'!AA139-1</f>
        <v>1.1606025957687947</v>
      </c>
      <c r="AB154" s="488"/>
      <c r="AC154" s="694">
        <f t="shared" si="134"/>
        <v>0</v>
      </c>
      <c r="AD154" s="694"/>
      <c r="AE154" s="694"/>
      <c r="AF154" s="488">
        <f>AF10/'[8]Thu NSNN 2010-2025'!AB139-1</f>
        <v>0.62697187962506162</v>
      </c>
      <c r="AG154" s="488"/>
      <c r="AH154" s="488">
        <f>AH10/'[8]Thu NSNN 2010-2025'!AC139-1</f>
        <v>0.81621745354951769</v>
      </c>
      <c r="AI154" s="488">
        <f>AI10/'[8]Thu NSNN 2010-2025'!AD139-1</f>
        <v>-0.53794685288791722</v>
      </c>
      <c r="AJ154" s="488">
        <f>(Y154*AA154*AF154*AH154*AI154)^(1/5)</f>
        <v>-0.80390958524210865</v>
      </c>
      <c r="AK154" s="488"/>
      <c r="AL154" s="488"/>
      <c r="AM154" s="488"/>
      <c r="AN154" s="488"/>
      <c r="AO154" s="227"/>
      <c r="AP154" s="227"/>
      <c r="AQ154" s="227"/>
      <c r="AR154" s="227"/>
      <c r="AS154" s="227"/>
      <c r="AT154" s="227"/>
      <c r="AY154" s="690">
        <f t="shared" si="94"/>
        <v>-4.859062893035112E-8</v>
      </c>
    </row>
    <row r="155" spans="1:51" hidden="1">
      <c r="A155" s="511" t="s">
        <v>217</v>
      </c>
      <c r="B155" s="697" t="s">
        <v>614</v>
      </c>
      <c r="C155" s="698">
        <f>D48/'[8]Thu NSNN 2010-2025'!H137</f>
        <v>0.30833526137981221</v>
      </c>
      <c r="D155" s="698">
        <f>E48/'[8]Thu NSNN 2010-2025'!I137</f>
        <v>0.38474018637755625</v>
      </c>
      <c r="E155" s="698">
        <f>F48/'[8]Thu NSNN 2010-2025'!J137</f>
        <v>0.34558806860699737</v>
      </c>
      <c r="F155" s="698">
        <f>G48/'[8]Thu NSNN 2010-2025'!K137</f>
        <v>0.33731302226570958</v>
      </c>
      <c r="G155" s="698">
        <f>H48/'[8]Thu NSNN 2010-2025'!L137</f>
        <v>0.33128720388766236</v>
      </c>
      <c r="H155" s="698">
        <f>I48/'[8]Thu NSNN 2010-2025'!M137</f>
        <v>0.34180783929257574</v>
      </c>
      <c r="I155" s="698">
        <f>(D155*E155*F155*G155*H155)^(1/5)</f>
        <v>0.34765558920372519</v>
      </c>
      <c r="J155" s="698"/>
      <c r="K155" s="698"/>
      <c r="L155" s="698">
        <f>L48/'[8]Thu NSNN 2010-2025'!P137</f>
        <v>0.32465900138862785</v>
      </c>
      <c r="M155" s="698">
        <f>M48/'[8]Thu NSNN 2010-2025'!Q137</f>
        <v>0.33496651806296129</v>
      </c>
      <c r="N155" s="698"/>
      <c r="O155" s="698">
        <f>O48/'[8]Thu NSNN 2010-2025'!R137</f>
        <v>0.31129017588445934</v>
      </c>
      <c r="P155" s="698"/>
      <c r="Q155" s="699">
        <f>Q48/'[8]Thu NSNN 2010-2025'!S137</f>
        <v>0.31107978928126123</v>
      </c>
      <c r="R155" s="698"/>
      <c r="S155" s="698">
        <f>S48/'[8]Thu NSNN 2010-2025'!T137</f>
        <v>0.32828614868346739</v>
      </c>
      <c r="T155" s="1725">
        <f>(L155*M155*O155*Q155*S155)^(1/5)</f>
        <v>0.32191686039587591</v>
      </c>
      <c r="U155" s="1725"/>
      <c r="V155" s="1725"/>
      <c r="W155" s="1725"/>
      <c r="X155" s="700"/>
      <c r="Y155" s="698">
        <f>Y48/'[8]Thu NSNN 2010-2025'!Z137</f>
        <v>0.30794010520676479</v>
      </c>
      <c r="Z155" s="701"/>
      <c r="AA155" s="698">
        <f>AA48/'[8]Thu NSNN 2010-2025'!AA137</f>
        <v>0.31523689517708903</v>
      </c>
      <c r="AB155" s="698"/>
      <c r="AC155" s="694">
        <f t="shared" si="134"/>
        <v>0</v>
      </c>
      <c r="AD155" s="702"/>
      <c r="AE155" s="702"/>
      <c r="AF155" s="698">
        <f>AF48/'[8]Thu NSNN 2010-2025'!AB137</f>
        <v>0.30598622907015288</v>
      </c>
      <c r="AG155" s="698"/>
      <c r="AH155" s="698">
        <f>AH48/'[8]Thu NSNN 2010-2025'!AC137</f>
        <v>0.30526925460666021</v>
      </c>
      <c r="AI155" s="698">
        <f>AI48/'[8]Thu NSNN 2010-2025'!AD137</f>
        <v>7.7432939263302233E-2</v>
      </c>
      <c r="AJ155" s="698">
        <f>(Y155*AA155*AF155*AH155*AI155)^(1/5)</f>
        <v>0.23403607046435163</v>
      </c>
      <c r="AK155" s="698"/>
      <c r="AL155" s="698"/>
      <c r="AM155" s="698"/>
      <c r="AN155" s="698"/>
      <c r="AO155" s="703"/>
      <c r="AP155" s="703"/>
      <c r="AQ155" s="703"/>
      <c r="AR155" s="703"/>
      <c r="AS155" s="703"/>
      <c r="AT155" s="703"/>
      <c r="AY155" s="690">
        <f t="shared" si="94"/>
        <v>6.9942136449554902E-9</v>
      </c>
    </row>
    <row r="156" spans="1:51" hidden="1">
      <c r="A156" s="288"/>
      <c r="B156" s="704"/>
      <c r="C156" s="705"/>
      <c r="D156" s="705"/>
      <c r="E156" s="705"/>
      <c r="F156" s="705"/>
      <c r="G156" s="705"/>
      <c r="H156" s="705"/>
      <c r="I156" s="705"/>
      <c r="J156" s="705"/>
      <c r="K156" s="705"/>
      <c r="L156" s="705"/>
      <c r="M156" s="705"/>
      <c r="N156" s="705"/>
      <c r="O156" s="705"/>
      <c r="P156" s="705"/>
      <c r="Q156" s="706"/>
      <c r="R156" s="705"/>
      <c r="S156" s="705"/>
      <c r="T156" s="464"/>
      <c r="U156" s="464"/>
      <c r="V156" s="464"/>
      <c r="W156" s="464"/>
      <c r="X156" s="707"/>
      <c r="Y156" s="705"/>
      <c r="Z156" s="708"/>
      <c r="AA156" s="705"/>
      <c r="AB156" s="705"/>
      <c r="AC156" s="694">
        <f t="shared" si="134"/>
        <v>0</v>
      </c>
      <c r="AD156" s="709"/>
      <c r="AE156" s="709"/>
      <c r="AF156" s="705"/>
      <c r="AG156" s="705"/>
      <c r="AH156" s="705"/>
      <c r="AI156" s="705"/>
      <c r="AJ156" s="705"/>
      <c r="AK156" s="705"/>
      <c r="AL156" s="705"/>
      <c r="AM156" s="705"/>
      <c r="AN156" s="705"/>
      <c r="AY156" s="690">
        <f t="shared" ref="AY156:AY179" si="137">AI156/$AI$16</f>
        <v>0</v>
      </c>
    </row>
    <row r="157" spans="1:51" hidden="1">
      <c r="A157" s="288"/>
      <c r="B157" s="704"/>
      <c r="C157" s="705"/>
      <c r="D157" s="705"/>
      <c r="E157" s="705"/>
      <c r="F157" s="705"/>
      <c r="G157" s="705"/>
      <c r="H157" s="705"/>
      <c r="I157" s="705"/>
      <c r="J157" s="705"/>
      <c r="K157" s="705"/>
      <c r="L157" s="705"/>
      <c r="M157" s="705"/>
      <c r="N157" s="705"/>
      <c r="O157" s="705"/>
      <c r="P157" s="705"/>
      <c r="Q157" s="706"/>
      <c r="R157" s="705"/>
      <c r="S157" s="705"/>
      <c r="T157" s="464"/>
      <c r="U157" s="464"/>
      <c r="V157" s="464"/>
      <c r="W157" s="464"/>
      <c r="X157" s="707"/>
      <c r="Y157" s="705"/>
      <c r="Z157" s="708"/>
      <c r="AA157" s="705"/>
      <c r="AB157" s="705"/>
      <c r="AC157" s="694">
        <f t="shared" si="134"/>
        <v>0</v>
      </c>
      <c r="AD157" s="709"/>
      <c r="AE157" s="709"/>
      <c r="AF157" s="705"/>
      <c r="AG157" s="705"/>
      <c r="AH157" s="705"/>
      <c r="AI157" s="705"/>
      <c r="AJ157" s="705"/>
      <c r="AK157" s="705"/>
      <c r="AL157" s="705"/>
      <c r="AM157" s="705"/>
      <c r="AN157" s="705"/>
      <c r="AY157" s="690">
        <f t="shared" si="137"/>
        <v>0</v>
      </c>
    </row>
    <row r="158" spans="1:51" hidden="1">
      <c r="A158" s="288"/>
      <c r="B158" s="704"/>
      <c r="C158" s="705"/>
      <c r="D158" s="705"/>
      <c r="E158" s="705"/>
      <c r="F158" s="705"/>
      <c r="G158" s="705"/>
      <c r="H158" s="705"/>
      <c r="I158" s="705"/>
      <c r="J158" s="705"/>
      <c r="K158" s="705"/>
      <c r="L158" s="705"/>
      <c r="M158" s="705"/>
      <c r="N158" s="705"/>
      <c r="O158" s="705"/>
      <c r="P158" s="705"/>
      <c r="Q158" s="706"/>
      <c r="R158" s="705"/>
      <c r="S158" s="705"/>
      <c r="T158" s="464"/>
      <c r="U158" s="464"/>
      <c r="V158" s="464"/>
      <c r="W158" s="464"/>
      <c r="X158" s="707"/>
      <c r="Y158" s="705"/>
      <c r="Z158" s="708"/>
      <c r="AA158" s="705"/>
      <c r="AB158" s="705"/>
      <c r="AC158" s="694">
        <f t="shared" si="134"/>
        <v>0</v>
      </c>
      <c r="AD158" s="709"/>
      <c r="AE158" s="709"/>
      <c r="AF158" s="705"/>
      <c r="AG158" s="705"/>
      <c r="AH158" s="705"/>
      <c r="AI158" s="705"/>
      <c r="AJ158" s="705"/>
      <c r="AK158" s="705"/>
      <c r="AL158" s="705"/>
      <c r="AM158" s="705"/>
      <c r="AN158" s="705"/>
      <c r="AY158" s="690">
        <f t="shared" si="137"/>
        <v>0</v>
      </c>
    </row>
    <row r="159" spans="1:51" hidden="1">
      <c r="Q159" s="553" t="s">
        <v>615</v>
      </c>
      <c r="S159" s="220" t="s">
        <v>616</v>
      </c>
      <c r="T159" s="294" t="s">
        <v>617</v>
      </c>
      <c r="V159" s="294" t="s">
        <v>618</v>
      </c>
      <c r="AA159" s="220" t="s">
        <v>619</v>
      </c>
      <c r="AC159" s="694">
        <f t="shared" si="134"/>
        <v>0</v>
      </c>
      <c r="AD159" s="709"/>
      <c r="AE159" s="709"/>
      <c r="AF159" s="220" t="s">
        <v>620</v>
      </c>
      <c r="AY159" s="690">
        <f t="shared" si="137"/>
        <v>0</v>
      </c>
    </row>
    <row r="160" spans="1:51" hidden="1">
      <c r="Q160" s="553" t="s">
        <v>621</v>
      </c>
      <c r="S160" s="220">
        <v>1131.7059999999999</v>
      </c>
      <c r="T160" s="294">
        <f>RANK(S160,$S$160:$S$172,0)</f>
        <v>4</v>
      </c>
      <c r="U160" s="1727">
        <f>S160/$S$173</f>
        <v>0.10104789423358611</v>
      </c>
      <c r="V160" s="294">
        <v>1200</v>
      </c>
      <c r="W160" s="294">
        <f>RANK(V160,$V$160:$V$172,0)</f>
        <v>1</v>
      </c>
      <c r="Y160" s="710">
        <f>V160/$V$173</f>
        <v>0.20294266869609334</v>
      </c>
      <c r="Z160" s="711"/>
      <c r="AC160" s="694">
        <f t="shared" si="134"/>
        <v>0</v>
      </c>
      <c r="AD160" s="709"/>
      <c r="AE160" s="709"/>
      <c r="AF160" s="220">
        <v>1688547</v>
      </c>
      <c r="AH160" s="220">
        <f>RANK(AF160,$AF$160:$AF$172,0)</f>
        <v>4</v>
      </c>
      <c r="AI160" s="710">
        <f>AF160/$AF$173</f>
        <v>9.7752875336567943E-2</v>
      </c>
      <c r="AY160" s="690">
        <f t="shared" si="137"/>
        <v>8.8296337581580657E-9</v>
      </c>
    </row>
    <row r="161" spans="1:51" hidden="1">
      <c r="Q161" s="553" t="s">
        <v>622</v>
      </c>
      <c r="S161" s="220">
        <v>798.99099999999999</v>
      </c>
      <c r="T161" s="294">
        <f t="shared" ref="T161:T172" si="138">RANK(S161,$S$160:$S$172,0)</f>
        <v>7</v>
      </c>
      <c r="U161" s="1727">
        <f t="shared" ref="U161:U172" si="139">S161/$S$173</f>
        <v>7.1340399416091452E-2</v>
      </c>
      <c r="V161" s="294">
        <v>500</v>
      </c>
      <c r="W161" s="294">
        <f t="shared" ref="W161:W172" si="140">RANK(V161,$V$160:$V$172,0)</f>
        <v>5</v>
      </c>
      <c r="Y161" s="710">
        <f t="shared" ref="Y161:Y172" si="141">V161/$V$173</f>
        <v>8.4559445290038893E-2</v>
      </c>
      <c r="Z161" s="711"/>
      <c r="AA161" s="552"/>
      <c r="AB161" s="552"/>
      <c r="AC161" s="694">
        <f t="shared" si="134"/>
        <v>0</v>
      </c>
      <c r="AD161" s="709"/>
      <c r="AE161" s="709"/>
      <c r="AF161" s="220">
        <v>1764185</v>
      </c>
      <c r="AH161" s="220">
        <f t="shared" ref="AH161:AH172" si="142">RANK(AF161,$AF$160:$AF$172,0)</f>
        <v>2</v>
      </c>
      <c r="AI161" s="710">
        <f t="shared" ref="AI161:AI172" si="143">AF161/$AF$173</f>
        <v>0.10213168859122257</v>
      </c>
      <c r="AY161" s="690">
        <f t="shared" si="137"/>
        <v>9.2251547819729531E-9</v>
      </c>
    </row>
    <row r="162" spans="1:51" hidden="1">
      <c r="L162" s="220">
        <v>39781</v>
      </c>
      <c r="Q162" s="553" t="s">
        <v>623</v>
      </c>
      <c r="S162" s="220">
        <v>454.64800000000002</v>
      </c>
      <c r="T162" s="294">
        <f t="shared" si="138"/>
        <v>13</v>
      </c>
      <c r="U162" s="1727">
        <f t="shared" si="139"/>
        <v>4.0594662410123709E-2</v>
      </c>
      <c r="V162" s="294">
        <v>150</v>
      </c>
      <c r="W162" s="294">
        <f t="shared" si="140"/>
        <v>12</v>
      </c>
      <c r="Y162" s="710">
        <f t="shared" si="141"/>
        <v>2.5367833587011668E-2</v>
      </c>
      <c r="Z162" s="711"/>
      <c r="AC162" s="694">
        <f t="shared" si="134"/>
        <v>0</v>
      </c>
      <c r="AD162" s="709"/>
      <c r="AE162" s="709"/>
      <c r="AF162" s="220">
        <v>1288463</v>
      </c>
      <c r="AH162" s="220">
        <f t="shared" si="142"/>
        <v>6</v>
      </c>
      <c r="AI162" s="710">
        <f t="shared" si="143"/>
        <v>7.4591327937439902E-2</v>
      </c>
      <c r="AY162" s="690">
        <f t="shared" si="137"/>
        <v>6.7375420411380999E-9</v>
      </c>
    </row>
    <row r="163" spans="1:51" hidden="1">
      <c r="L163" s="220">
        <v>37123</v>
      </c>
      <c r="Q163" s="553" t="s">
        <v>624</v>
      </c>
      <c r="S163" s="220">
        <v>720.31399999999996</v>
      </c>
      <c r="T163" s="294">
        <f t="shared" si="138"/>
        <v>8</v>
      </c>
      <c r="U163" s="1727">
        <f t="shared" si="139"/>
        <v>6.4315478478484109E-2</v>
      </c>
      <c r="V163" s="294">
        <v>190</v>
      </c>
      <c r="W163" s="294">
        <f t="shared" si="140"/>
        <v>11</v>
      </c>
      <c r="Y163" s="710">
        <f t="shared" si="141"/>
        <v>3.2132589210214779E-2</v>
      </c>
      <c r="Z163" s="711"/>
      <c r="AC163" s="694">
        <f t="shared" si="134"/>
        <v>0</v>
      </c>
      <c r="AD163" s="709"/>
      <c r="AE163" s="709"/>
      <c r="AF163" s="220">
        <v>1009168</v>
      </c>
      <c r="AH163" s="220">
        <f t="shared" si="142"/>
        <v>11</v>
      </c>
      <c r="AI163" s="710">
        <f t="shared" si="143"/>
        <v>5.842246244709421E-2</v>
      </c>
      <c r="AY163" s="690">
        <f t="shared" si="137"/>
        <v>5.2770718496155914E-9</v>
      </c>
    </row>
    <row r="164" spans="1:51" hidden="1">
      <c r="L164" s="220">
        <f>+L162-L163</f>
        <v>2658</v>
      </c>
      <c r="Q164" s="553" t="s">
        <v>625</v>
      </c>
      <c r="S164" s="220">
        <v>572.27599999999995</v>
      </c>
      <c r="T164" s="294">
        <f t="shared" si="138"/>
        <v>10</v>
      </c>
      <c r="U164" s="1727">
        <f t="shared" si="139"/>
        <v>5.1097444672396998E-2</v>
      </c>
      <c r="V164" s="294">
        <v>400</v>
      </c>
      <c r="W164" s="294">
        <f t="shared" si="140"/>
        <v>6</v>
      </c>
      <c r="Y164" s="710">
        <f t="shared" si="141"/>
        <v>6.7647556232031114E-2</v>
      </c>
      <c r="Z164" s="711"/>
      <c r="AC164" s="694">
        <f t="shared" si="134"/>
        <v>0</v>
      </c>
      <c r="AD164" s="709"/>
      <c r="AE164" s="709"/>
      <c r="AF164" s="220">
        <v>1022791</v>
      </c>
      <c r="AH164" s="220">
        <f t="shared" si="142"/>
        <v>10</v>
      </c>
      <c r="AI164" s="710">
        <f t="shared" si="143"/>
        <v>5.9211121229295754E-2</v>
      </c>
      <c r="AY164" s="690">
        <f t="shared" si="137"/>
        <v>5.3483083036126592E-9</v>
      </c>
    </row>
    <row r="165" spans="1:51" hidden="1">
      <c r="A165" s="220"/>
      <c r="Q165" s="553" t="s">
        <v>626</v>
      </c>
      <c r="S165" s="220">
        <v>1464.8</v>
      </c>
      <c r="T165" s="294">
        <f t="shared" si="138"/>
        <v>1</v>
      </c>
      <c r="U165" s="1727">
        <f t="shared" si="139"/>
        <v>0.13078922924625028</v>
      </c>
      <c r="V165" s="294">
        <v>700</v>
      </c>
      <c r="W165" s="294">
        <f t="shared" si="140"/>
        <v>3</v>
      </c>
      <c r="Y165" s="710">
        <f t="shared" si="141"/>
        <v>0.11838322340605445</v>
      </c>
      <c r="Z165" s="711"/>
      <c r="AC165" s="694">
        <f t="shared" si="134"/>
        <v>0</v>
      </c>
      <c r="AD165" s="709"/>
      <c r="AE165" s="709"/>
      <c r="AF165" s="220">
        <v>1235171</v>
      </c>
      <c r="AH165" s="220">
        <f t="shared" si="142"/>
        <v>7</v>
      </c>
      <c r="AI165" s="710">
        <f t="shared" si="143"/>
        <v>7.1506162862119887E-2</v>
      </c>
      <c r="AY165" s="690">
        <f t="shared" si="137"/>
        <v>6.4588711825598311E-9</v>
      </c>
    </row>
    <row r="166" spans="1:51" hidden="1">
      <c r="Q166" s="553" t="s">
        <v>627</v>
      </c>
      <c r="S166" s="220">
        <v>571.46699999999998</v>
      </c>
      <c r="T166" s="294">
        <f t="shared" si="138"/>
        <v>11</v>
      </c>
      <c r="U166" s="1727">
        <f t="shared" si="139"/>
        <v>5.1025210588248847E-2</v>
      </c>
      <c r="V166" s="294">
        <v>200</v>
      </c>
      <c r="W166" s="294">
        <f t="shared" si="140"/>
        <v>9</v>
      </c>
      <c r="Y166" s="710">
        <f t="shared" si="141"/>
        <v>3.3823778116015557E-2</v>
      </c>
      <c r="Z166" s="711"/>
      <c r="AC166" s="694">
        <f t="shared" si="134"/>
        <v>0</v>
      </c>
      <c r="AD166" s="709"/>
      <c r="AE166" s="709"/>
      <c r="AF166" s="220">
        <v>733017</v>
      </c>
      <c r="AH166" s="220">
        <f t="shared" si="142"/>
        <v>13</v>
      </c>
      <c r="AI166" s="710">
        <f t="shared" si="143"/>
        <v>4.2435608496882243E-2</v>
      </c>
      <c r="AY166" s="690">
        <f t="shared" si="137"/>
        <v>3.8330420465072932E-9</v>
      </c>
    </row>
    <row r="167" spans="1:51" hidden="1">
      <c r="Q167" s="553" t="s">
        <v>628</v>
      </c>
      <c r="S167" s="220">
        <v>813.48599999999999</v>
      </c>
      <c r="T167" s="294">
        <f t="shared" si="138"/>
        <v>6</v>
      </c>
      <c r="U167" s="1727">
        <f t="shared" si="139"/>
        <v>7.2634630627126689E-2</v>
      </c>
      <c r="V167" s="294">
        <v>200</v>
      </c>
      <c r="W167" s="294">
        <f t="shared" si="140"/>
        <v>9</v>
      </c>
      <c r="Y167" s="710">
        <f t="shared" si="141"/>
        <v>3.3823778116015557E-2</v>
      </c>
      <c r="Z167" s="711"/>
      <c r="AC167" s="694">
        <f t="shared" si="134"/>
        <v>0</v>
      </c>
      <c r="AD167" s="709"/>
      <c r="AE167" s="709"/>
      <c r="AF167" s="220">
        <v>1199653</v>
      </c>
      <c r="AH167" s="220">
        <f t="shared" si="142"/>
        <v>8</v>
      </c>
      <c r="AI167" s="710">
        <f t="shared" si="143"/>
        <v>6.9449965062352265E-2</v>
      </c>
      <c r="AY167" s="690">
        <f t="shared" si="137"/>
        <v>6.2731429014860682E-9</v>
      </c>
    </row>
    <row r="168" spans="1:51" hidden="1">
      <c r="Q168" s="553" t="s">
        <v>629</v>
      </c>
      <c r="S168" s="220">
        <v>1300.9960000000001</v>
      </c>
      <c r="T168" s="294">
        <f t="shared" si="138"/>
        <v>2</v>
      </c>
      <c r="U168" s="1727">
        <f t="shared" si="139"/>
        <v>0.11616347903635627</v>
      </c>
      <c r="V168" s="294">
        <v>300</v>
      </c>
      <c r="W168" s="294">
        <f t="shared" si="140"/>
        <v>8</v>
      </c>
      <c r="Y168" s="710">
        <f t="shared" si="141"/>
        <v>5.0735667174023336E-2</v>
      </c>
      <c r="Z168" s="711"/>
      <c r="AC168" s="694">
        <f t="shared" si="134"/>
        <v>0</v>
      </c>
      <c r="AD168" s="709"/>
      <c r="AE168" s="709"/>
      <c r="AF168" s="220">
        <v>1908352</v>
      </c>
      <c r="AH168" s="220">
        <f t="shared" si="142"/>
        <v>1</v>
      </c>
      <c r="AI168" s="710">
        <f t="shared" si="143"/>
        <v>0.11047776292533763</v>
      </c>
      <c r="AY168" s="690">
        <f t="shared" si="137"/>
        <v>9.979022936079635E-9</v>
      </c>
    </row>
    <row r="169" spans="1:51" hidden="1">
      <c r="Q169" s="553" t="s">
        <v>630</v>
      </c>
      <c r="S169" s="220">
        <v>1067.085</v>
      </c>
      <c r="T169" s="294">
        <f t="shared" si="138"/>
        <v>5</v>
      </c>
      <c r="U169" s="1727">
        <f t="shared" si="139"/>
        <v>9.5278007025010242E-2</v>
      </c>
      <c r="V169" s="294">
        <v>573</v>
      </c>
      <c r="W169" s="294">
        <f t="shared" si="140"/>
        <v>4</v>
      </c>
      <c r="Y169" s="710">
        <f t="shared" si="141"/>
        <v>9.6905124302384571E-2</v>
      </c>
      <c r="Z169" s="711"/>
      <c r="AC169" s="694">
        <f t="shared" si="134"/>
        <v>0</v>
      </c>
      <c r="AD169" s="709"/>
      <c r="AE169" s="709"/>
      <c r="AF169" s="220">
        <v>1599504</v>
      </c>
      <c r="AH169" s="220">
        <f t="shared" si="142"/>
        <v>5</v>
      </c>
      <c r="AI169" s="710">
        <f t="shared" si="143"/>
        <v>9.2598023692761738E-2</v>
      </c>
      <c r="AY169" s="690">
        <f t="shared" si="137"/>
        <v>8.3640162309422573E-9</v>
      </c>
    </row>
    <row r="170" spans="1:51" hidden="1">
      <c r="Q170" s="553" t="s">
        <v>631</v>
      </c>
      <c r="S170" s="220">
        <v>1211.692</v>
      </c>
      <c r="T170" s="294">
        <f t="shared" si="138"/>
        <v>3</v>
      </c>
      <c r="U170" s="1727">
        <f t="shared" si="139"/>
        <v>0.1081896933122935</v>
      </c>
      <c r="V170" s="294">
        <v>1000</v>
      </c>
      <c r="W170" s="294">
        <f t="shared" si="140"/>
        <v>2</v>
      </c>
      <c r="Y170" s="710">
        <f t="shared" si="141"/>
        <v>0.16911889058007779</v>
      </c>
      <c r="Z170" s="711"/>
      <c r="AC170" s="694">
        <f t="shared" si="134"/>
        <v>0</v>
      </c>
      <c r="AD170" s="709"/>
      <c r="AE170" s="709"/>
      <c r="AF170" s="220">
        <v>1723067</v>
      </c>
      <c r="AH170" s="220">
        <f t="shared" si="142"/>
        <v>3</v>
      </c>
      <c r="AI170" s="710">
        <f t="shared" si="143"/>
        <v>9.9751297208519579E-2</v>
      </c>
      <c r="AY170" s="690">
        <f t="shared" si="137"/>
        <v>9.0101433663191745E-9</v>
      </c>
    </row>
    <row r="171" spans="1:51" hidden="1">
      <c r="Q171" s="553" t="s">
        <v>632</v>
      </c>
      <c r="S171" s="220">
        <v>456.42</v>
      </c>
      <c r="T171" s="294">
        <f t="shared" si="138"/>
        <v>12</v>
      </c>
      <c r="U171" s="1727">
        <f t="shared" si="139"/>
        <v>4.0752880947961194E-2</v>
      </c>
      <c r="V171" s="294">
        <v>140</v>
      </c>
      <c r="W171" s="294">
        <f t="shared" si="140"/>
        <v>13</v>
      </c>
      <c r="Y171" s="710">
        <f t="shared" si="141"/>
        <v>2.367664468121089E-2</v>
      </c>
      <c r="Z171" s="711"/>
      <c r="AC171" s="694">
        <f t="shared" si="134"/>
        <v>0</v>
      </c>
      <c r="AD171" s="709"/>
      <c r="AE171" s="709"/>
      <c r="AF171" s="220">
        <v>907236</v>
      </c>
      <c r="AH171" s="220">
        <f t="shared" si="142"/>
        <v>12</v>
      </c>
      <c r="AI171" s="710">
        <f t="shared" si="143"/>
        <v>5.2521444537135503E-2</v>
      </c>
      <c r="AY171" s="690">
        <f t="shared" si="137"/>
        <v>4.7440560506851684E-9</v>
      </c>
    </row>
    <row r="172" spans="1:51" hidden="1">
      <c r="Q172" s="553" t="s">
        <v>633</v>
      </c>
      <c r="S172" s="220">
        <v>635.81799999999998</v>
      </c>
      <c r="T172" s="294">
        <f t="shared" si="138"/>
        <v>9</v>
      </c>
      <c r="U172" s="1727">
        <f t="shared" si="139"/>
        <v>5.6770990006070707E-2</v>
      </c>
      <c r="V172" s="294">
        <v>360</v>
      </c>
      <c r="W172" s="294">
        <f t="shared" si="140"/>
        <v>7</v>
      </c>
      <c r="Y172" s="710">
        <f t="shared" si="141"/>
        <v>6.0882800608828003E-2</v>
      </c>
      <c r="Z172" s="711"/>
      <c r="AC172" s="694">
        <f t="shared" si="134"/>
        <v>0</v>
      </c>
      <c r="AD172" s="709"/>
      <c r="AE172" s="709"/>
      <c r="AF172" s="220">
        <v>1194476</v>
      </c>
      <c r="AH172" s="220">
        <f t="shared" si="142"/>
        <v>9</v>
      </c>
      <c r="AI172" s="710">
        <f t="shared" si="143"/>
        <v>6.9150259673270764E-2</v>
      </c>
      <c r="AY172" s="690">
        <f t="shared" si="137"/>
        <v>6.2460716893930777E-9</v>
      </c>
    </row>
    <row r="173" spans="1:51" hidden="1">
      <c r="S173" s="220">
        <f>SUM(S160:S172)</f>
        <v>11199.698999999999</v>
      </c>
      <c r="U173" s="1727">
        <f>SUM(U160:U172)</f>
        <v>1</v>
      </c>
      <c r="V173" s="294">
        <f>SUM(V160:V172)</f>
        <v>5913</v>
      </c>
      <c r="Y173" s="710">
        <f>SUM(Y160:Y172)</f>
        <v>1</v>
      </c>
      <c r="Z173" s="711"/>
      <c r="AC173" s="694">
        <f t="shared" si="134"/>
        <v>0</v>
      </c>
      <c r="AD173" s="709"/>
      <c r="AE173" s="709"/>
      <c r="AF173" s="220">
        <f>SUM(AF160:AF172)</f>
        <v>17273630</v>
      </c>
      <c r="AI173" s="710">
        <f>SUM(AI160:AI172)</f>
        <v>0.99999999999999978</v>
      </c>
      <c r="AY173" s="690">
        <f t="shared" si="137"/>
        <v>9.0326077138469862E-8</v>
      </c>
    </row>
    <row r="174" spans="1:51" hidden="1">
      <c r="AC174" s="694">
        <f t="shared" si="134"/>
        <v>0</v>
      </c>
      <c r="AD174" s="709"/>
      <c r="AE174" s="709"/>
      <c r="AY174" s="690">
        <f t="shared" si="137"/>
        <v>0</v>
      </c>
    </row>
    <row r="175" spans="1:51" ht="16.8" hidden="1">
      <c r="AA175" s="712">
        <v>61239</v>
      </c>
      <c r="AB175" s="712"/>
      <c r="AC175" s="694">
        <f t="shared" si="134"/>
        <v>0</v>
      </c>
      <c r="AD175" s="694"/>
      <c r="AE175" s="694"/>
      <c r="AF175" s="712">
        <v>65552</v>
      </c>
      <c r="AG175" s="713"/>
      <c r="AY175" s="690">
        <f t="shared" si="137"/>
        <v>0</v>
      </c>
    </row>
    <row r="176" spans="1:51" hidden="1">
      <c r="AC176" s="694">
        <f t="shared" si="134"/>
        <v>0</v>
      </c>
      <c r="AD176" s="709"/>
      <c r="AE176" s="709"/>
      <c r="AF176" s="710">
        <f>+AF175/AA175</f>
        <v>1.0704289749995917</v>
      </c>
      <c r="AG176" s="710"/>
      <c r="AY176" s="690">
        <f t="shared" si="137"/>
        <v>0</v>
      </c>
    </row>
    <row r="177" spans="9:51" hidden="1">
      <c r="I177" s="220">
        <f>I11/5</f>
        <v>1524698.2024611782</v>
      </c>
      <c r="Q177" s="553">
        <v>18916</v>
      </c>
      <c r="T177" s="294">
        <f>T11/5</f>
        <v>2695440.8457752001</v>
      </c>
      <c r="AC177" s="694">
        <f t="shared" si="134"/>
        <v>0</v>
      </c>
      <c r="AD177" s="709"/>
      <c r="AE177" s="709"/>
      <c r="AY177" s="690">
        <f t="shared" si="137"/>
        <v>0</v>
      </c>
    </row>
    <row r="178" spans="9:51" hidden="1">
      <c r="Q178" s="553">
        <v>37999</v>
      </c>
      <c r="T178" s="294">
        <f>T12/5</f>
        <v>856549.76500000001</v>
      </c>
      <c r="AC178" s="694">
        <f t="shared" si="134"/>
        <v>0</v>
      </c>
      <c r="AD178" s="709"/>
      <c r="AE178" s="709"/>
      <c r="AH178" s="220">
        <v>213</v>
      </c>
      <c r="AY178" s="690">
        <f t="shared" si="137"/>
        <v>0</v>
      </c>
    </row>
    <row r="179" spans="9:51" hidden="1">
      <c r="Q179" s="714">
        <f>+Q177/Q178</f>
        <v>0.49780257375194081</v>
      </c>
      <c r="R179" s="710"/>
      <c r="AC179" s="694">
        <f t="shared" si="134"/>
        <v>0</v>
      </c>
      <c r="AD179" s="709"/>
      <c r="AE179" s="709"/>
      <c r="AH179" s="220">
        <v>2300</v>
      </c>
      <c r="AY179" s="690">
        <f t="shared" si="137"/>
        <v>0</v>
      </c>
    </row>
    <row r="180" spans="9:51" hidden="1">
      <c r="AH180" s="715">
        <f>+AH178*AH179</f>
        <v>489900</v>
      </c>
    </row>
    <row r="181" spans="9:51" hidden="1"/>
    <row r="182" spans="9:51" hidden="1"/>
    <row r="183" spans="9:51" hidden="1">
      <c r="S183" s="230">
        <f>S8/Q8</f>
        <v>1.2001141901690502</v>
      </c>
      <c r="T183" s="413"/>
      <c r="U183" s="413"/>
      <c r="V183" s="413"/>
      <c r="W183" s="413"/>
      <c r="X183" s="230"/>
      <c r="Y183" s="230">
        <f>Y8/S8</f>
        <v>1.0139349177809787</v>
      </c>
      <c r="Z183" s="716"/>
      <c r="AA183" s="230">
        <f>AA8/Y8</f>
        <v>1.0927508274063042</v>
      </c>
      <c r="AH183" s="230">
        <f>AI8/Q8-1</f>
        <v>0.68824995650692466</v>
      </c>
      <c r="AI183" s="230">
        <f>AI8/AA8-1</f>
        <v>0.26964688889435817</v>
      </c>
    </row>
    <row r="184" spans="9:51" hidden="1">
      <c r="AA184" s="230">
        <f>(S183*Y183*AA183)^(1/3)-1</f>
        <v>9.9641862647380286E-2</v>
      </c>
      <c r="AI184" s="230">
        <f>AI11/AA11-1</f>
        <v>-0.12298608420598578</v>
      </c>
    </row>
    <row r="185" spans="9:51" hidden="1">
      <c r="S185" s="230">
        <f>S10/Q10</f>
        <v>1.1934243347544409</v>
      </c>
      <c r="T185" s="413"/>
      <c r="U185" s="413"/>
      <c r="V185" s="413"/>
      <c r="W185" s="413"/>
      <c r="X185" s="230"/>
      <c r="Y185" s="230">
        <f>Y10/S10</f>
        <v>1.0743296641469104</v>
      </c>
      <c r="Z185" s="716"/>
      <c r="AA185" s="230">
        <f>AA10/Y10</f>
        <v>1.0289867245370417</v>
      </c>
    </row>
    <row r="186" spans="9:51" hidden="1">
      <c r="AA186" s="230">
        <f>(S185*Y185*AA185)^(1/3)-1</f>
        <v>9.676624595173533E-2</v>
      </c>
    </row>
    <row r="187" spans="9:51" hidden="1">
      <c r="S187" s="230">
        <f>S139/Q139</f>
        <v>1.2558053714937949</v>
      </c>
      <c r="T187" s="413"/>
      <c r="U187" s="413"/>
      <c r="V187" s="413"/>
      <c r="W187" s="413"/>
      <c r="X187" s="230"/>
      <c r="Y187" s="230">
        <f>Y139/S139</f>
        <v>0.39984893652863229</v>
      </c>
      <c r="Z187" s="716"/>
      <c r="AA187" s="230">
        <f>AA139/Y139</f>
        <v>2.8716129053529302</v>
      </c>
    </row>
    <row r="188" spans="9:51" hidden="1">
      <c r="AA188" s="230">
        <f>AA13/Y13-1</f>
        <v>1.1438182708261428</v>
      </c>
    </row>
  </sheetData>
  <mergeCells count="50">
    <mergeCell ref="L4:L6"/>
    <mergeCell ref="M4:M6"/>
    <mergeCell ref="AB4:AB6"/>
    <mergeCell ref="AC4:AC6"/>
    <mergeCell ref="AF4:AG4"/>
    <mergeCell ref="X5:Y5"/>
    <mergeCell ref="Z5:AA5"/>
    <mergeCell ref="AF5:AG5"/>
    <mergeCell ref="N4:O4"/>
    <mergeCell ref="N5:O5"/>
    <mergeCell ref="A1:AX1"/>
    <mergeCell ref="A2:AX2"/>
    <mergeCell ref="A4:A6"/>
    <mergeCell ref="B4:B6"/>
    <mergeCell ref="C4:C6"/>
    <mergeCell ref="D4:D6"/>
    <mergeCell ref="E4:E6"/>
    <mergeCell ref="F4:F6"/>
    <mergeCell ref="G4:G6"/>
    <mergeCell ref="H4:H6"/>
    <mergeCell ref="I4:I6"/>
    <mergeCell ref="J4:J6"/>
    <mergeCell ref="K4:K6"/>
    <mergeCell ref="AX4:AX6"/>
    <mergeCell ref="P5:Q5"/>
    <mergeCell ref="R5:S5"/>
    <mergeCell ref="AI4:AI6"/>
    <mergeCell ref="AJ4:AJ6"/>
    <mergeCell ref="AK4:AK6"/>
    <mergeCell ref="AL4:AL6"/>
    <mergeCell ref="AO4:AO6"/>
    <mergeCell ref="AU4:AU6"/>
    <mergeCell ref="AV4:AV6"/>
    <mergeCell ref="AW4:AW6"/>
    <mergeCell ref="AM4:AM6"/>
    <mergeCell ref="AN4:AN6"/>
    <mergeCell ref="AT4:AT6"/>
    <mergeCell ref="AP4:AP6"/>
    <mergeCell ref="AQ4:AQ6"/>
    <mergeCell ref="AR4:AR6"/>
    <mergeCell ref="AS4:AS6"/>
    <mergeCell ref="AH4:AH6"/>
    <mergeCell ref="P4:Q4"/>
    <mergeCell ref="R4:S4"/>
    <mergeCell ref="T4:T6"/>
    <mergeCell ref="U4:U6"/>
    <mergeCell ref="V4:V6"/>
    <mergeCell ref="W4:W6"/>
    <mergeCell ref="X4:Y4"/>
    <mergeCell ref="Z4:AA4"/>
  </mergeCells>
  <hyperlinks>
    <hyperlink ref="A4:A6" location="'List danh mục'!A1" display="SỐ TT"/>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51"/>
  <sheetViews>
    <sheetView topLeftCell="A10" zoomScale="80" zoomScaleNormal="80" workbookViewId="0">
      <selection activeCell="Y35" sqref="Y35"/>
    </sheetView>
  </sheetViews>
  <sheetFormatPr defaultColWidth="9" defaultRowHeight="18"/>
  <cols>
    <col min="1" max="1" width="5.69921875" style="20" bestFit="1" customWidth="1"/>
    <col min="2" max="2" width="12.19921875" style="37" customWidth="1"/>
    <col min="3" max="3" width="9.09765625" style="37" customWidth="1"/>
    <col min="4" max="17" width="8.69921875" style="37" customWidth="1"/>
    <col min="18" max="16384" width="9" style="37"/>
  </cols>
  <sheetData>
    <row r="1" spans="1:25">
      <c r="A1" s="4299" t="s">
        <v>2373</v>
      </c>
      <c r="B1" s="4299"/>
      <c r="C1" s="4299"/>
      <c r="D1" s="4299"/>
      <c r="E1" s="4299"/>
      <c r="F1" s="4299"/>
      <c r="G1" s="4299"/>
      <c r="H1" s="4299"/>
      <c r="I1" s="4299"/>
      <c r="J1" s="4299"/>
      <c r="K1" s="4299"/>
      <c r="L1" s="4299"/>
      <c r="M1" s="4299"/>
      <c r="N1" s="4299"/>
      <c r="O1" s="4299"/>
      <c r="P1" s="4299"/>
      <c r="Q1" s="4299"/>
      <c r="R1" s="4299"/>
      <c r="S1" s="4299"/>
      <c r="T1" s="4299"/>
      <c r="U1" s="4299"/>
      <c r="V1" s="4299"/>
      <c r="W1" s="4299"/>
      <c r="X1" s="4299"/>
    </row>
    <row r="2" spans="1:25">
      <c r="A2" s="4441" t="str">
        <f>'Phụ lục số 6'!A2:O2</f>
        <v>(Kèm theo Báo cáo số         /BC-UBND ngày      tháng 10 năm 2023 của Ủy ban nhân dân tỉnh Đồng Tháp)</v>
      </c>
      <c r="B2" s="4300"/>
      <c r="C2" s="4300"/>
      <c r="D2" s="4300"/>
      <c r="E2" s="4300"/>
      <c r="F2" s="4300"/>
      <c r="G2" s="4300"/>
      <c r="H2" s="4300"/>
      <c r="I2" s="4300"/>
      <c r="J2" s="4300"/>
      <c r="K2" s="4300"/>
      <c r="L2" s="4300"/>
      <c r="M2" s="4300"/>
      <c r="N2" s="4300"/>
      <c r="O2" s="4300"/>
      <c r="P2" s="4300"/>
      <c r="Q2" s="4300"/>
      <c r="R2" s="4300"/>
      <c r="S2" s="4300"/>
      <c r="T2" s="4300"/>
      <c r="U2" s="4300"/>
      <c r="V2" s="4300"/>
      <c r="W2" s="4300"/>
      <c r="X2" s="4300"/>
      <c r="Y2" s="4300"/>
    </row>
    <row r="3" spans="1:25">
      <c r="A3" s="38"/>
      <c r="B3" s="38"/>
      <c r="C3" s="38"/>
      <c r="D3" s="38"/>
      <c r="E3" s="38"/>
      <c r="F3" s="38"/>
      <c r="G3" s="38"/>
      <c r="H3" s="38"/>
      <c r="I3" s="38"/>
      <c r="J3" s="38"/>
      <c r="K3" s="38"/>
      <c r="L3" s="38"/>
      <c r="M3" s="38"/>
      <c r="N3" s="38"/>
      <c r="O3" s="38"/>
      <c r="P3" s="38"/>
      <c r="Q3" s="38"/>
      <c r="R3" s="38"/>
      <c r="S3" s="38"/>
      <c r="T3" s="38"/>
      <c r="U3" s="38"/>
      <c r="V3" s="38"/>
      <c r="W3" s="38"/>
      <c r="X3" s="38"/>
    </row>
    <row r="4" spans="1:25" ht="17.25" customHeight="1" thickBot="1">
      <c r="V4" s="4541" t="s">
        <v>64</v>
      </c>
      <c r="W4" s="4541"/>
      <c r="X4" s="4541"/>
      <c r="Y4" s="4541"/>
    </row>
    <row r="5" spans="1:25" s="2" customFormat="1" ht="16.5" customHeight="1">
      <c r="A5" s="4658" t="s">
        <v>244</v>
      </c>
      <c r="B5" s="4317" t="s">
        <v>305</v>
      </c>
      <c r="C5" s="4317" t="s">
        <v>2427</v>
      </c>
      <c r="D5" s="4660" t="s">
        <v>306</v>
      </c>
      <c r="E5" s="4661"/>
      <c r="F5" s="4661"/>
      <c r="G5" s="4661"/>
      <c r="H5" s="4661"/>
      <c r="I5" s="4661"/>
      <c r="J5" s="4661"/>
      <c r="K5" s="4661"/>
      <c r="L5" s="4661"/>
      <c r="M5" s="4661"/>
      <c r="N5" s="4661"/>
      <c r="O5" s="4661"/>
      <c r="P5" s="4662"/>
      <c r="Q5" s="4317" t="s">
        <v>2378</v>
      </c>
      <c r="R5" s="4619" t="s">
        <v>2428</v>
      </c>
      <c r="S5" s="4619"/>
      <c r="T5" s="4619"/>
      <c r="U5" s="4619"/>
      <c r="V5" s="4619"/>
      <c r="W5" s="4619"/>
      <c r="X5" s="4619"/>
      <c r="Y5" s="4314" t="s">
        <v>302</v>
      </c>
    </row>
    <row r="6" spans="1:25" s="2" customFormat="1" ht="15.75" customHeight="1">
      <c r="A6" s="4659"/>
      <c r="B6" s="4318"/>
      <c r="C6" s="4318"/>
      <c r="D6" s="4360" t="s">
        <v>307</v>
      </c>
      <c r="E6" s="4318" t="s">
        <v>308</v>
      </c>
      <c r="F6" s="4360" t="s">
        <v>309</v>
      </c>
      <c r="G6" s="4360"/>
      <c r="H6" s="4318" t="s">
        <v>310</v>
      </c>
      <c r="I6" s="4556" t="s">
        <v>309</v>
      </c>
      <c r="J6" s="4557"/>
      <c r="K6" s="4557"/>
      <c r="L6" s="4557"/>
      <c r="M6" s="4557"/>
      <c r="N6" s="4557"/>
      <c r="O6" s="4558"/>
      <c r="P6" s="4360" t="s">
        <v>1702</v>
      </c>
      <c r="Q6" s="4318"/>
      <c r="R6" s="4362" t="s">
        <v>93</v>
      </c>
      <c r="S6" s="4362"/>
      <c r="T6" s="4362"/>
      <c r="U6" s="4362" t="s">
        <v>58</v>
      </c>
      <c r="V6" s="4362"/>
      <c r="W6" s="4362"/>
      <c r="X6" s="4318" t="s">
        <v>87</v>
      </c>
      <c r="Y6" s="4315"/>
    </row>
    <row r="7" spans="1:25" s="2" customFormat="1" ht="15.75" customHeight="1">
      <c r="A7" s="4659"/>
      <c r="B7" s="4318"/>
      <c r="C7" s="4318"/>
      <c r="D7" s="4546"/>
      <c r="E7" s="4318"/>
      <c r="F7" s="4361"/>
      <c r="G7" s="4361"/>
      <c r="H7" s="4318"/>
      <c r="I7" s="4318" t="s">
        <v>238</v>
      </c>
      <c r="J7" s="4318" t="s">
        <v>311</v>
      </c>
      <c r="K7" s="4318"/>
      <c r="L7" s="4318"/>
      <c r="M7" s="4318"/>
      <c r="N7" s="4318"/>
      <c r="O7" s="7"/>
      <c r="P7" s="4546"/>
      <c r="Q7" s="4318"/>
      <c r="R7" s="4318" t="s">
        <v>312</v>
      </c>
      <c r="S7" s="4318" t="s">
        <v>309</v>
      </c>
      <c r="T7" s="4318"/>
      <c r="U7" s="4318" t="s">
        <v>312</v>
      </c>
      <c r="V7" s="4362" t="s">
        <v>309</v>
      </c>
      <c r="W7" s="4362"/>
      <c r="X7" s="4318"/>
      <c r="Y7" s="4315"/>
    </row>
    <row r="8" spans="1:25" s="2" customFormat="1" ht="335.4" customHeight="1">
      <c r="A8" s="4659"/>
      <c r="B8" s="4318"/>
      <c r="C8" s="4318"/>
      <c r="D8" s="4361"/>
      <c r="E8" s="4318"/>
      <c r="F8" s="7" t="s">
        <v>313</v>
      </c>
      <c r="G8" s="7" t="s">
        <v>314</v>
      </c>
      <c r="H8" s="4318"/>
      <c r="I8" s="4318"/>
      <c r="J8" s="4318"/>
      <c r="K8" s="7" t="s">
        <v>315</v>
      </c>
      <c r="L8" s="7" t="s">
        <v>316</v>
      </c>
      <c r="M8" s="7" t="str">
        <f>'Phụ lục số 5'!B41</f>
        <v>Bổ sung nguồn thực hiện điều chỉnh tiền lương cơ sở tăng thêm đến 1,8 triệu đồng/tháng (12 tháng)</v>
      </c>
      <c r="N8" s="2544" t="str">
        <f>'Phụ lục số 5'!B42</f>
        <v>Bổ sung có mục tiêu thực hiện chính sách an sinh xã hội (ngoài chính sách tiền lương)</v>
      </c>
      <c r="O8" s="3214" t="str">
        <f>'Phụ lục số 5'!B43</f>
        <v>Bổ sung có mục tiêu kinh phí diễn tập khu vực phòng thủ cấp huyện năm 2024</v>
      </c>
      <c r="P8" s="4361"/>
      <c r="Q8" s="4318"/>
      <c r="R8" s="4318"/>
      <c r="S8" s="7" t="s">
        <v>1305</v>
      </c>
      <c r="T8" s="7" t="s">
        <v>391</v>
      </c>
      <c r="U8" s="4318"/>
      <c r="V8" s="7" t="s">
        <v>300</v>
      </c>
      <c r="W8" s="7" t="s">
        <v>301</v>
      </c>
      <c r="X8" s="4318"/>
      <c r="Y8" s="4315"/>
    </row>
    <row r="9" spans="1:25" s="2" customFormat="1" ht="17.399999999999999">
      <c r="A9" s="2546">
        <v>1</v>
      </c>
      <c r="B9" s="2302">
        <v>2</v>
      </c>
      <c r="C9" s="2302">
        <v>3</v>
      </c>
      <c r="D9" s="2302" t="s">
        <v>2374</v>
      </c>
      <c r="E9" s="2302" t="s">
        <v>317</v>
      </c>
      <c r="F9" s="2302">
        <v>6</v>
      </c>
      <c r="G9" s="2302">
        <v>7</v>
      </c>
      <c r="H9" s="2302" t="s">
        <v>318</v>
      </c>
      <c r="I9" s="2302">
        <v>9</v>
      </c>
      <c r="J9" s="2302" t="s">
        <v>2573</v>
      </c>
      <c r="K9" s="2302">
        <v>11</v>
      </c>
      <c r="L9" s="2302">
        <v>12</v>
      </c>
      <c r="M9" s="2302">
        <v>13</v>
      </c>
      <c r="N9" s="2302">
        <v>14</v>
      </c>
      <c r="O9" s="2302">
        <v>15</v>
      </c>
      <c r="P9" s="2302">
        <v>16</v>
      </c>
      <c r="Q9" s="2302" t="s">
        <v>2574</v>
      </c>
      <c r="R9" s="2302" t="s">
        <v>2376</v>
      </c>
      <c r="S9" s="2302">
        <v>19</v>
      </c>
      <c r="T9" s="2302">
        <v>20</v>
      </c>
      <c r="U9" s="2302" t="s">
        <v>2575</v>
      </c>
      <c r="V9" s="2302">
        <v>22</v>
      </c>
      <c r="W9" s="2302">
        <v>23</v>
      </c>
      <c r="X9" s="2302">
        <v>24</v>
      </c>
      <c r="Y9" s="2030">
        <v>25</v>
      </c>
    </row>
    <row r="10" spans="1:25" s="154" customFormat="1" ht="36" customHeight="1">
      <c r="A10" s="2547">
        <v>1</v>
      </c>
      <c r="B10" s="2300" t="s">
        <v>2362</v>
      </c>
      <c r="C10" s="2301">
        <f>'Phụ lục số 5'!F7</f>
        <v>189200</v>
      </c>
      <c r="D10" s="2301">
        <f>SUM(E10,H10,P10)</f>
        <v>664002</v>
      </c>
      <c r="E10" s="2301">
        <f>'Phụ lục số 5'!H7</f>
        <v>157900</v>
      </c>
      <c r="F10" s="2301">
        <f>E10-G10</f>
        <v>127400</v>
      </c>
      <c r="G10" s="2301">
        <f>'Phụ lục số 5'!H10+'Phụ lục số 5'!H11+'Phụ lục số 5'!H15</f>
        <v>30500</v>
      </c>
      <c r="H10" s="2301">
        <f>SUM(I10:J10)</f>
        <v>469609</v>
      </c>
      <c r="I10" s="3370">
        <f>'Phụ lục số 5'!H37</f>
        <v>413967</v>
      </c>
      <c r="J10" s="2301">
        <f>SUM(K10:O10)</f>
        <v>55642</v>
      </c>
      <c r="K10" s="2301">
        <f>'Phụ lục số 5'!H39</f>
        <v>9300</v>
      </c>
      <c r="L10" s="2301">
        <f>'Phụ lục số 5'!H40</f>
        <v>9500</v>
      </c>
      <c r="M10" s="2301">
        <f>'Phụ lục số 5'!H41</f>
        <v>33411</v>
      </c>
      <c r="N10" s="2301">
        <f>'Phụ lục số 5'!H42</f>
        <v>3431</v>
      </c>
      <c r="O10" s="2301">
        <f>'Phụ lục số 5'!H43</f>
        <v>0</v>
      </c>
      <c r="P10" s="2301">
        <f>'Phụ lục số 5'!H44</f>
        <v>36493</v>
      </c>
      <c r="Q10" s="3370">
        <f>R10+U10+X10+Y10</f>
        <v>664002</v>
      </c>
      <c r="R10" s="2301">
        <f>S10+T10</f>
        <v>117999.59453397225</v>
      </c>
      <c r="S10" s="2301">
        <f>'Phụ lục số 6'!D8</f>
        <v>27999.594533972257</v>
      </c>
      <c r="T10" s="2301">
        <f>'Phụ lục số 6'!D9</f>
        <v>90000</v>
      </c>
      <c r="U10" s="2301">
        <f>SUM(V10:W10)</f>
        <v>535564.81160976144</v>
      </c>
      <c r="V10" s="2301">
        <f>'Phụ lục số 6'!D12</f>
        <v>319042.11488564592</v>
      </c>
      <c r="W10" s="2301">
        <f>'Phụ lục số 6'!D13</f>
        <v>216522.69672411552</v>
      </c>
      <c r="X10" s="2301">
        <f>'Phụ lục số 6'!D14</f>
        <v>10437.59385626638</v>
      </c>
      <c r="Y10" s="3371">
        <f>'Phụ lục số 6'!D15</f>
        <v>0</v>
      </c>
    </row>
    <row r="11" spans="1:25" s="154" customFormat="1" ht="36" customHeight="1">
      <c r="A11" s="2548">
        <v>2</v>
      </c>
      <c r="B11" s="137" t="s">
        <v>290</v>
      </c>
      <c r="C11" s="2369">
        <f>'Phụ lục số 5'!I7</f>
        <v>430350</v>
      </c>
      <c r="D11" s="2369">
        <f t="shared" ref="D11:D21" si="0">SUM(E11,H11,P11)</f>
        <v>675185</v>
      </c>
      <c r="E11" s="2369">
        <f>'Phụ lục số 5'!K7</f>
        <v>384130</v>
      </c>
      <c r="F11" s="2369">
        <f t="shared" ref="F11:F21" si="1">E11-G11</f>
        <v>312450</v>
      </c>
      <c r="G11" s="2369">
        <f>'Phụ lục số 5'!K10+'Phụ lục số 5'!K11+'Phụ lục số 5'!K15</f>
        <v>71680</v>
      </c>
      <c r="H11" s="2369">
        <f t="shared" ref="H11:H21" si="2">SUM(I11:J11)</f>
        <v>291055</v>
      </c>
      <c r="I11" s="3372">
        <f>'Phụ lục số 5'!K37</f>
        <v>225665</v>
      </c>
      <c r="J11" s="2369">
        <f>SUM(K11:O11)</f>
        <v>65390</v>
      </c>
      <c r="K11" s="2369">
        <f>'Phụ lục số 5'!K39</f>
        <v>5800</v>
      </c>
      <c r="L11" s="2369">
        <f>'Phụ lục số 5'!K40</f>
        <v>7500</v>
      </c>
      <c r="M11" s="2369">
        <f>'Phụ lục số 5'!K41</f>
        <v>46035</v>
      </c>
      <c r="N11" s="2369">
        <f>'Phụ lục số 5'!K42</f>
        <v>4055</v>
      </c>
      <c r="O11" s="2369">
        <f>'Phụ lục số 5'!K43</f>
        <v>2000</v>
      </c>
      <c r="P11" s="2369">
        <f>'Phụ lục số 5'!K44</f>
        <v>0</v>
      </c>
      <c r="Q11" s="3372">
        <f>R11+U11+X11+Y11</f>
        <v>675185</v>
      </c>
      <c r="R11" s="2369">
        <f t="shared" ref="R11:R21" si="3">S11+T11</f>
        <v>298000.23934054258</v>
      </c>
      <c r="S11" s="2369">
        <f>'Phụ lục số 6'!E8</f>
        <v>28000.239340542557</v>
      </c>
      <c r="T11" s="2369">
        <f>'Phụ lục số 6'!E9</f>
        <v>270000</v>
      </c>
      <c r="U11" s="2369">
        <f t="shared" ref="U11:U21" si="4">SUM(V11:W11)</f>
        <v>365685.54508638143</v>
      </c>
      <c r="V11" s="2369">
        <f>'Phụ lục số 6'!E12</f>
        <v>186442.40845576092</v>
      </c>
      <c r="W11" s="2369">
        <f>'Phụ lục số 6'!E13</f>
        <v>179243.13663062052</v>
      </c>
      <c r="X11" s="2369">
        <f>'Phụ lục số 6'!E14</f>
        <v>11499.215573075984</v>
      </c>
      <c r="Y11" s="3373">
        <f>'Phụ lục số 6'!E15</f>
        <v>0</v>
      </c>
    </row>
    <row r="12" spans="1:25" s="154" customFormat="1" ht="36" customHeight="1">
      <c r="A12" s="2548">
        <v>3</v>
      </c>
      <c r="B12" s="137" t="s">
        <v>2363</v>
      </c>
      <c r="C12" s="2369">
        <f>'Phụ lục số 5'!L7</f>
        <v>101150</v>
      </c>
      <c r="D12" s="2369">
        <f t="shared" si="0"/>
        <v>573785.82400000002</v>
      </c>
      <c r="E12" s="2369">
        <f>'Phụ lục số 5'!N7</f>
        <v>96340</v>
      </c>
      <c r="F12" s="2369">
        <f t="shared" si="1"/>
        <v>51440</v>
      </c>
      <c r="G12" s="2369">
        <f>'Phụ lục số 5'!N10+'Phụ lục số 5'!N11+'Phụ lục số 5'!N15</f>
        <v>44900</v>
      </c>
      <c r="H12" s="2369">
        <f t="shared" si="2"/>
        <v>441196.82400000002</v>
      </c>
      <c r="I12" s="3372">
        <f>'Phụ lục số 5'!N37</f>
        <v>391207</v>
      </c>
      <c r="J12" s="2369">
        <f t="shared" ref="J12:J21" si="5">SUM(K12:O12)</f>
        <v>49989.824000000001</v>
      </c>
      <c r="K12" s="2369">
        <f>'Phụ lục số 5'!N39</f>
        <v>16100</v>
      </c>
      <c r="L12" s="2369">
        <f>'Phụ lục số 5'!N40</f>
        <v>18000</v>
      </c>
      <c r="M12" s="2369">
        <f>'Phụ lục số 5'!N41</f>
        <v>8966</v>
      </c>
      <c r="N12" s="2369">
        <f>'Phụ lục số 5'!N42</f>
        <v>6923.8239999999996</v>
      </c>
      <c r="O12" s="2369">
        <f>'Phụ lục số 5'!N43</f>
        <v>0</v>
      </c>
      <c r="P12" s="2369">
        <f>'Phụ lục số 5'!N44</f>
        <v>36249</v>
      </c>
      <c r="Q12" s="3372">
        <f t="shared" ref="Q12:Q21" si="6">R12+U12+X12+Y12</f>
        <v>573785.82400000002</v>
      </c>
      <c r="R12" s="2369">
        <f t="shared" si="3"/>
        <v>58999.51627905004</v>
      </c>
      <c r="S12" s="2369">
        <f>'Phụ lục số 6'!F8</f>
        <v>31999.51627905004</v>
      </c>
      <c r="T12" s="2369">
        <f>'Phụ lục số 6'!F9</f>
        <v>27000</v>
      </c>
      <c r="U12" s="2369">
        <f t="shared" si="4"/>
        <v>504249.08388374688</v>
      </c>
      <c r="V12" s="2369">
        <f>'Phụ lục số 6'!F12</f>
        <v>286155.85849218653</v>
      </c>
      <c r="W12" s="2369">
        <f>'Phụ lục số 6'!F13</f>
        <v>218093.22539156035</v>
      </c>
      <c r="X12" s="2369">
        <f>'Phụ lục số 6'!F14</f>
        <v>10537.223837203137</v>
      </c>
      <c r="Y12" s="3373">
        <f>'Phụ lục số 6'!F15</f>
        <v>0</v>
      </c>
    </row>
    <row r="13" spans="1:25" s="154" customFormat="1" ht="36" customHeight="1">
      <c r="A13" s="2548">
        <v>4</v>
      </c>
      <c r="B13" s="137" t="s">
        <v>2364</v>
      </c>
      <c r="C13" s="2369">
        <f>'Phụ lục số 5'!O7</f>
        <v>155300</v>
      </c>
      <c r="D13" s="2369">
        <f t="shared" si="0"/>
        <v>629617.76</v>
      </c>
      <c r="E13" s="2369">
        <f>'Phụ lục số 5'!Q7</f>
        <v>140940</v>
      </c>
      <c r="F13" s="2369">
        <f t="shared" si="1"/>
        <v>86640</v>
      </c>
      <c r="G13" s="2369">
        <f>'Phụ lục số 5'!Q10+'Phụ lục số 5'!Q11+'Phụ lục số 5'!Q15</f>
        <v>54300</v>
      </c>
      <c r="H13" s="2369">
        <f t="shared" si="2"/>
        <v>467064.76</v>
      </c>
      <c r="I13" s="3372">
        <f>'Phụ lục số 5'!Q37</f>
        <v>388772</v>
      </c>
      <c r="J13" s="2369">
        <f t="shared" si="5"/>
        <v>78292.759999999995</v>
      </c>
      <c r="K13" s="2369">
        <f>'Phụ lục số 5'!Q39</f>
        <v>18900</v>
      </c>
      <c r="L13" s="2369">
        <f>'Phụ lục số 5'!Q40</f>
        <v>27000</v>
      </c>
      <c r="M13" s="2369">
        <f>'Phụ lục số 5'!Q41</f>
        <v>30706</v>
      </c>
      <c r="N13" s="2369">
        <f>'Phụ lục số 5'!Q42</f>
        <v>1686.76</v>
      </c>
      <c r="O13" s="2369">
        <f>'Phụ lục số 5'!Q43</f>
        <v>0</v>
      </c>
      <c r="P13" s="2369">
        <f>'Phụ lục số 5'!Q44</f>
        <v>21613</v>
      </c>
      <c r="Q13" s="3372">
        <f t="shared" si="6"/>
        <v>629617.76</v>
      </c>
      <c r="R13" s="2369">
        <f t="shared" si="3"/>
        <v>83999.809682436709</v>
      </c>
      <c r="S13" s="2369">
        <f>'Phụ lục số 6'!G8</f>
        <v>29999.809682436709</v>
      </c>
      <c r="T13" s="2369">
        <f>'Phụ lục số 6'!G9</f>
        <v>54000</v>
      </c>
      <c r="U13" s="2369">
        <f t="shared" si="4"/>
        <v>534028.97233674373</v>
      </c>
      <c r="V13" s="2369">
        <f>'Phụ lục số 6'!G12</f>
        <v>267458.19947370357</v>
      </c>
      <c r="W13" s="2369">
        <f>'Phụ lục số 6'!G13</f>
        <v>266570.77286304015</v>
      </c>
      <c r="X13" s="2369">
        <f>'Phụ lục số 6'!G14</f>
        <v>11588.977980819584</v>
      </c>
      <c r="Y13" s="3373">
        <f>'Phụ lục số 6'!G15</f>
        <v>0</v>
      </c>
    </row>
    <row r="14" spans="1:25" s="154" customFormat="1" ht="36" customHeight="1">
      <c r="A14" s="2548">
        <v>5</v>
      </c>
      <c r="B14" s="137" t="s">
        <v>2365</v>
      </c>
      <c r="C14" s="2369">
        <f>'Phụ lục số 5'!R7</f>
        <v>260000</v>
      </c>
      <c r="D14" s="2369">
        <f t="shared" si="0"/>
        <v>767421.35199999996</v>
      </c>
      <c r="E14" s="2369">
        <f>'Phụ lục số 5'!T7</f>
        <v>241850</v>
      </c>
      <c r="F14" s="2369">
        <f t="shared" si="1"/>
        <v>121250</v>
      </c>
      <c r="G14" s="2369">
        <f>'Phụ lục số 5'!T10+'Phụ lục số 5'!T11+'Phụ lục số 5'!T15</f>
        <v>120600</v>
      </c>
      <c r="H14" s="2369">
        <f t="shared" si="2"/>
        <v>486100.35200000001</v>
      </c>
      <c r="I14" s="3372">
        <f>'Phụ lục số 5'!T37</f>
        <v>449761</v>
      </c>
      <c r="J14" s="2369">
        <f t="shared" si="5"/>
        <v>36339.351999999999</v>
      </c>
      <c r="K14" s="2369">
        <f>'Phụ lục số 5'!T39</f>
        <v>13200</v>
      </c>
      <c r="L14" s="2369">
        <f>'Phụ lục số 5'!T40</f>
        <v>19098</v>
      </c>
      <c r="M14" s="2369">
        <f>'Phụ lục số 5'!T41</f>
        <v>0</v>
      </c>
      <c r="N14" s="2369">
        <f>'Phụ lục số 5'!T42</f>
        <v>4041.3519999999999</v>
      </c>
      <c r="O14" s="2369">
        <f>'Phụ lục số 5'!T43</f>
        <v>0</v>
      </c>
      <c r="P14" s="2369">
        <f>'Phụ lục số 5'!T44</f>
        <v>39471</v>
      </c>
      <c r="Q14" s="3372">
        <f t="shared" si="6"/>
        <v>767421.35199999996</v>
      </c>
      <c r="R14" s="2369">
        <f t="shared" si="3"/>
        <v>106999.86288471894</v>
      </c>
      <c r="S14" s="2369">
        <f>'Phụ lục số 6'!H8</f>
        <v>43999.862884718939</v>
      </c>
      <c r="T14" s="2369">
        <f>'Phụ lục số 6'!H9</f>
        <v>63000</v>
      </c>
      <c r="U14" s="2369">
        <f t="shared" si="4"/>
        <v>645402.39632410579</v>
      </c>
      <c r="V14" s="2369">
        <f>'Phụ lục số 6'!H12</f>
        <v>358528.40219701076</v>
      </c>
      <c r="W14" s="2369">
        <f>'Phụ lục số 6'!H13</f>
        <v>286873.99412709504</v>
      </c>
      <c r="X14" s="2369">
        <f>'Phụ lục số 6'!H14</f>
        <v>15019.092791175266</v>
      </c>
      <c r="Y14" s="3373">
        <f>'Phụ lục số 6'!H15</f>
        <v>0</v>
      </c>
    </row>
    <row r="15" spans="1:25" s="154" customFormat="1" ht="36" customHeight="1">
      <c r="A15" s="2548">
        <v>6</v>
      </c>
      <c r="B15" s="137" t="s">
        <v>2366</v>
      </c>
      <c r="C15" s="2369">
        <f>'Phụ lục số 5'!U7</f>
        <v>1450250</v>
      </c>
      <c r="D15" s="2369">
        <f t="shared" si="0"/>
        <v>1598566.2</v>
      </c>
      <c r="E15" s="2369">
        <f>'Phụ lục số 5'!W7</f>
        <v>1146450</v>
      </c>
      <c r="F15" s="2369">
        <f t="shared" si="1"/>
        <v>375250</v>
      </c>
      <c r="G15" s="2369">
        <f>'Phụ lục số 5'!W10+'Phụ lục số 5'!W11+'Phụ lục số 5'!W15</f>
        <v>771200</v>
      </c>
      <c r="H15" s="2369">
        <f t="shared" si="2"/>
        <v>56513.2</v>
      </c>
      <c r="I15" s="3372">
        <f>'Phụ lục số 5'!W37</f>
        <v>37354</v>
      </c>
      <c r="J15" s="2369">
        <f t="shared" si="5"/>
        <v>19159.2</v>
      </c>
      <c r="K15" s="2369">
        <f>'Phụ lục số 5'!W39</f>
        <v>5000</v>
      </c>
      <c r="L15" s="2369">
        <f>'Phụ lục số 5'!W40</f>
        <v>3000</v>
      </c>
      <c r="M15" s="2369">
        <f>'Phụ lục số 5'!W41</f>
        <v>0</v>
      </c>
      <c r="N15" s="2369">
        <f>'Phụ lục số 5'!W42</f>
        <v>11159.2</v>
      </c>
      <c r="O15" s="2369">
        <f>'Phụ lục số 5'!W43</f>
        <v>0</v>
      </c>
      <c r="P15" s="2369">
        <f>'Phụ lục số 5'!W44</f>
        <v>395603</v>
      </c>
      <c r="Q15" s="3372">
        <f t="shared" si="6"/>
        <v>1598566.2</v>
      </c>
      <c r="R15" s="2369">
        <f t="shared" si="3"/>
        <v>284000.24258928356</v>
      </c>
      <c r="S15" s="2369">
        <f>'Phụ lục số 6'!I8</f>
        <v>140000.24258928356</v>
      </c>
      <c r="T15" s="2369">
        <f>'Phụ lục số 6'!I9</f>
        <v>144000</v>
      </c>
      <c r="U15" s="2369">
        <f t="shared" si="4"/>
        <v>824431.64142151806</v>
      </c>
      <c r="V15" s="2369">
        <f>'Phụ lục số 6'!I12</f>
        <v>390638.93133133231</v>
      </c>
      <c r="W15" s="2369">
        <f>'Phụ lục số 6'!I13</f>
        <v>433792.71009018575</v>
      </c>
      <c r="X15" s="2369">
        <f>'Phụ lục số 6'!I14</f>
        <v>24840.315989198371</v>
      </c>
      <c r="Y15" s="3373">
        <f>'Phụ lục số 6'!I15</f>
        <v>465294</v>
      </c>
    </row>
    <row r="16" spans="1:25" s="154" customFormat="1" ht="36" customHeight="1">
      <c r="A16" s="2548">
        <v>7</v>
      </c>
      <c r="B16" s="137" t="s">
        <v>294</v>
      </c>
      <c r="C16" s="2369">
        <f>'Phụ lục số 5'!X7</f>
        <v>280250</v>
      </c>
      <c r="D16" s="2369">
        <f t="shared" si="0"/>
        <v>960665.2</v>
      </c>
      <c r="E16" s="2369">
        <f>'Phụ lục số 5'!Z7</f>
        <v>259140</v>
      </c>
      <c r="F16" s="2369">
        <f t="shared" si="1"/>
        <v>131750</v>
      </c>
      <c r="G16" s="2369">
        <f>'Phụ lục số 5'!Z10+'Phụ lục số 5'!Z11+'Phụ lục số 5'!Z15</f>
        <v>127390</v>
      </c>
      <c r="H16" s="2369">
        <f t="shared" si="2"/>
        <v>642349.19999999995</v>
      </c>
      <c r="I16" s="3372">
        <f>'Phụ lục số 5'!Z37</f>
        <v>566422</v>
      </c>
      <c r="J16" s="2369">
        <f t="shared" si="5"/>
        <v>75927.199999999997</v>
      </c>
      <c r="K16" s="2369">
        <f>'Phụ lục số 5'!Z39</f>
        <v>21400</v>
      </c>
      <c r="L16" s="2369">
        <f>'Phụ lục số 5'!Z40</f>
        <v>26000</v>
      </c>
      <c r="M16" s="2369">
        <f>'Phụ lục số 5'!Z41</f>
        <v>10606</v>
      </c>
      <c r="N16" s="2369">
        <f>'Phụ lục số 5'!Z42</f>
        <v>17921.2</v>
      </c>
      <c r="O16" s="2369">
        <f>'Phụ lục số 5'!Z43</f>
        <v>0</v>
      </c>
      <c r="P16" s="2369">
        <f>'Phụ lục số 5'!Z44</f>
        <v>59176</v>
      </c>
      <c r="Q16" s="3372">
        <f t="shared" si="6"/>
        <v>960665.2</v>
      </c>
      <c r="R16" s="2369">
        <f t="shared" si="3"/>
        <v>101000.03850993092</v>
      </c>
      <c r="S16" s="2369">
        <f>'Phụ lục số 6'!J8</f>
        <v>47000.038509930921</v>
      </c>
      <c r="T16" s="2369">
        <f>'Phụ lục số 6'!J9</f>
        <v>54000</v>
      </c>
      <c r="U16" s="2369">
        <f t="shared" si="4"/>
        <v>841340.27048818825</v>
      </c>
      <c r="V16" s="2369">
        <f>'Phụ lục số 6'!J12</f>
        <v>446043.65421420382</v>
      </c>
      <c r="W16" s="2369">
        <f>'Phụ lục số 6'!J13</f>
        <v>395296.61627398443</v>
      </c>
      <c r="X16" s="2369">
        <f>'Phụ lục số 6'!J14</f>
        <v>18324.891001880766</v>
      </c>
      <c r="Y16" s="3373">
        <f>'Phụ lục số 6'!J15</f>
        <v>0</v>
      </c>
    </row>
    <row r="17" spans="1:25" s="154" customFormat="1" ht="36" customHeight="1">
      <c r="A17" s="2548">
        <v>8</v>
      </c>
      <c r="B17" s="137" t="s">
        <v>412</v>
      </c>
      <c r="C17" s="2369">
        <f>'Phụ lục số 5'!AA7</f>
        <v>275700</v>
      </c>
      <c r="D17" s="2369">
        <f t="shared" si="0"/>
        <v>825155.6</v>
      </c>
      <c r="E17" s="2369">
        <f>'Phụ lục số 5'!AC7</f>
        <v>257750</v>
      </c>
      <c r="F17" s="2369">
        <f t="shared" si="1"/>
        <v>149200</v>
      </c>
      <c r="G17" s="2369">
        <f>'Phụ lục số 5'!AC10+'Phụ lục số 5'!AC11+'Phụ lục số 5'!AC15</f>
        <v>108550</v>
      </c>
      <c r="H17" s="2369">
        <f t="shared" si="2"/>
        <v>540705.6</v>
      </c>
      <c r="I17" s="3372">
        <f>'Phụ lục số 5'!AC37</f>
        <v>441700</v>
      </c>
      <c r="J17" s="2369">
        <f t="shared" si="5"/>
        <v>99005.6</v>
      </c>
      <c r="K17" s="2369">
        <f>'Phụ lục số 5'!AC39</f>
        <v>28600</v>
      </c>
      <c r="L17" s="2369">
        <f>'Phụ lục số 5'!AC40</f>
        <v>33000</v>
      </c>
      <c r="M17" s="2369">
        <f>'Phụ lục số 5'!AC41</f>
        <v>34795</v>
      </c>
      <c r="N17" s="2369">
        <f>'Phụ lục số 5'!AC42</f>
        <v>2610.6</v>
      </c>
      <c r="O17" s="2369">
        <f>'Phụ lục số 5'!AC43</f>
        <v>0</v>
      </c>
      <c r="P17" s="2369">
        <f>'Phụ lục số 5'!AC44</f>
        <v>26700</v>
      </c>
      <c r="Q17" s="3372">
        <f t="shared" si="6"/>
        <v>825155.6</v>
      </c>
      <c r="R17" s="2369">
        <f t="shared" si="3"/>
        <v>130000.33494633662</v>
      </c>
      <c r="S17" s="2369">
        <f>'Phụ lục số 6'!K8</f>
        <v>40000.334946336618</v>
      </c>
      <c r="T17" s="2369">
        <f>'Phụ lục số 6'!K9</f>
        <v>90000</v>
      </c>
      <c r="U17" s="2369">
        <f t="shared" si="4"/>
        <v>679823.93388392578</v>
      </c>
      <c r="V17" s="2369">
        <f>'Phụ lục số 6'!K12</f>
        <v>372742.22567693546</v>
      </c>
      <c r="W17" s="2369">
        <f>'Phụ lục số 6'!K13</f>
        <v>307081.70820699033</v>
      </c>
      <c r="X17" s="2369">
        <f>'Phụ lục số 6'!K14</f>
        <v>15331.331169737576</v>
      </c>
      <c r="Y17" s="3373">
        <f>'Phụ lục số 6'!K15</f>
        <v>0</v>
      </c>
    </row>
    <row r="18" spans="1:25" s="154" customFormat="1" ht="36" customHeight="1">
      <c r="A18" s="2548">
        <v>9</v>
      </c>
      <c r="B18" s="137" t="s">
        <v>413</v>
      </c>
      <c r="C18" s="2369">
        <f>'Phụ lục số 5'!AD7</f>
        <v>284000</v>
      </c>
      <c r="D18" s="2369">
        <f t="shared" si="0"/>
        <v>829132.94799999997</v>
      </c>
      <c r="E18" s="2369">
        <f>'Phụ lục số 5'!AF7</f>
        <v>269200</v>
      </c>
      <c r="F18" s="2369">
        <f t="shared" si="1"/>
        <v>106600</v>
      </c>
      <c r="G18" s="2369">
        <f>'Phụ lục số 5'!AF10+'Phụ lục số 5'!AF11+'Phụ lục số 5'!AF15</f>
        <v>162600</v>
      </c>
      <c r="H18" s="2369">
        <f t="shared" si="2"/>
        <v>520654.94799999997</v>
      </c>
      <c r="I18" s="3372">
        <f>'Phụ lục số 5'!AF37</f>
        <v>470689</v>
      </c>
      <c r="J18" s="2369">
        <f t="shared" si="5"/>
        <v>49965.948000000004</v>
      </c>
      <c r="K18" s="2369">
        <f>'Phụ lục số 5'!AF39</f>
        <v>8900</v>
      </c>
      <c r="L18" s="2369">
        <f>'Phụ lục số 5'!AF40</f>
        <v>7000</v>
      </c>
      <c r="M18" s="2369">
        <f>'Phụ lục số 5'!AF41</f>
        <v>9628</v>
      </c>
      <c r="N18" s="2369">
        <f>'Phụ lục số 5'!AF42</f>
        <v>22437.948</v>
      </c>
      <c r="O18" s="2369">
        <f>'Phụ lục số 5'!AF43</f>
        <v>2000</v>
      </c>
      <c r="P18" s="2369">
        <f>'Phụ lục số 5'!AF44</f>
        <v>39278</v>
      </c>
      <c r="Q18" s="3372">
        <f t="shared" si="6"/>
        <v>829132.94799999997</v>
      </c>
      <c r="R18" s="2369">
        <f t="shared" si="3"/>
        <v>96000.351400568732</v>
      </c>
      <c r="S18" s="2369">
        <f>'Phụ lục số 6'!L8</f>
        <v>42000.351400568725</v>
      </c>
      <c r="T18" s="2369">
        <f>'Phụ lục số 6'!L9</f>
        <v>54000</v>
      </c>
      <c r="U18" s="2369">
        <f t="shared" si="4"/>
        <v>716878.32347413257</v>
      </c>
      <c r="V18" s="2369">
        <f>'Phụ lục số 6'!L12</f>
        <v>366671.59034785029</v>
      </c>
      <c r="W18" s="2369">
        <f>'Phụ lục số 6'!L13</f>
        <v>350206.73312628228</v>
      </c>
      <c r="X18" s="2369">
        <f>'Phụ lục số 6'!L14</f>
        <v>16254.273125298643</v>
      </c>
      <c r="Y18" s="3373">
        <f>'Phụ lục số 6'!L15</f>
        <v>0</v>
      </c>
    </row>
    <row r="19" spans="1:25" s="154" customFormat="1" ht="36" customHeight="1">
      <c r="A19" s="2548">
        <v>10</v>
      </c>
      <c r="B19" s="137" t="s">
        <v>2368</v>
      </c>
      <c r="C19" s="2369">
        <f>'Phụ lục số 5'!AG7</f>
        <v>195000</v>
      </c>
      <c r="D19" s="2369">
        <f t="shared" si="0"/>
        <v>717257.71200000006</v>
      </c>
      <c r="E19" s="2369">
        <f>'Phụ lục số 5'!AI7</f>
        <v>175430</v>
      </c>
      <c r="F19" s="2369">
        <f t="shared" si="1"/>
        <v>104230</v>
      </c>
      <c r="G19" s="2369">
        <f>'Phụ lục số 5'!AI10+'Phụ lục số 5'!AI11+'Phụ lục số 5'!AI15</f>
        <v>71200</v>
      </c>
      <c r="H19" s="2369">
        <f t="shared" si="2"/>
        <v>519057.712</v>
      </c>
      <c r="I19" s="3372">
        <f>'Phụ lục số 5'!AI37</f>
        <v>440874</v>
      </c>
      <c r="J19" s="2369">
        <f t="shared" si="5"/>
        <v>78183.712</v>
      </c>
      <c r="K19" s="2369">
        <f>'Phụ lục số 5'!AI39</f>
        <v>11300</v>
      </c>
      <c r="L19" s="2369">
        <f>'Phụ lục số 5'!AI40</f>
        <v>7000</v>
      </c>
      <c r="M19" s="2369">
        <f>'Phụ lục số 5'!AI41</f>
        <v>50621</v>
      </c>
      <c r="N19" s="2369">
        <f>'Phụ lục số 5'!AI42</f>
        <v>7262.7119999999995</v>
      </c>
      <c r="O19" s="2369">
        <f>'Phụ lục số 5'!AI43</f>
        <v>2000</v>
      </c>
      <c r="P19" s="2369">
        <f>'Phụ lục số 5'!AI44</f>
        <v>22770</v>
      </c>
      <c r="Q19" s="3372">
        <f t="shared" si="6"/>
        <v>717257.71200000006</v>
      </c>
      <c r="R19" s="2369">
        <f t="shared" si="3"/>
        <v>96999.720817696681</v>
      </c>
      <c r="S19" s="2369">
        <f>'Phụ lục số 6'!M8</f>
        <v>33999.720817696674</v>
      </c>
      <c r="T19" s="2369">
        <f>'Phụ lục số 6'!M9</f>
        <v>63000</v>
      </c>
      <c r="U19" s="2369">
        <f t="shared" si="4"/>
        <v>608806.9670957122</v>
      </c>
      <c r="V19" s="2369">
        <f>'Phụ lục số 6'!M12</f>
        <v>331706.50480976811</v>
      </c>
      <c r="W19" s="2369">
        <f>'Phụ lục số 6'!M13</f>
        <v>277100.46228594409</v>
      </c>
      <c r="X19" s="2369">
        <f>'Phụ lục số 6'!M14</f>
        <v>11451.024086591191</v>
      </c>
      <c r="Y19" s="3373">
        <f>'Phụ lục số 6'!M15</f>
        <v>0</v>
      </c>
    </row>
    <row r="20" spans="1:25" s="154" customFormat="1" ht="36" customHeight="1">
      <c r="A20" s="2548">
        <v>11</v>
      </c>
      <c r="B20" s="137" t="s">
        <v>2369</v>
      </c>
      <c r="C20" s="2369">
        <f>'Phụ lục số 5'!AJ7</f>
        <v>930100</v>
      </c>
      <c r="D20" s="2369">
        <f t="shared" si="0"/>
        <v>953865.92</v>
      </c>
      <c r="E20" s="2369">
        <f>'Phụ lục số 5'!AL7</f>
        <v>544440</v>
      </c>
      <c r="F20" s="2369">
        <f t="shared" si="1"/>
        <v>254240</v>
      </c>
      <c r="G20" s="2369">
        <f>'Phụ lục số 5'!AL10+'Phụ lục số 5'!AL11+'Phụ lục số 5'!AL15</f>
        <v>290200</v>
      </c>
      <c r="H20" s="2369">
        <f t="shared" si="2"/>
        <v>234459.92</v>
      </c>
      <c r="I20" s="3372">
        <f>'Phụ lục số 5'!AL37</f>
        <v>224584</v>
      </c>
      <c r="J20" s="2369">
        <f t="shared" si="5"/>
        <v>9875.92</v>
      </c>
      <c r="K20" s="2369">
        <f>'Phụ lục số 5'!AL39</f>
        <v>3000</v>
      </c>
      <c r="L20" s="2369">
        <f>'Phụ lục số 5'!AL40</f>
        <v>1500</v>
      </c>
      <c r="M20" s="2369">
        <f>'Phụ lục số 5'!AL41</f>
        <v>0</v>
      </c>
      <c r="N20" s="2369">
        <f>'Phụ lục số 5'!AL42</f>
        <v>5375.92</v>
      </c>
      <c r="O20" s="2369">
        <f>'Phụ lục số 5'!AL43</f>
        <v>0</v>
      </c>
      <c r="P20" s="2369">
        <f>'Phụ lục số 5'!AL44</f>
        <v>174966</v>
      </c>
      <c r="Q20" s="3372">
        <f t="shared" si="6"/>
        <v>953865.92</v>
      </c>
      <c r="R20" s="2369">
        <f t="shared" si="3"/>
        <v>227000.360400012</v>
      </c>
      <c r="S20" s="2369">
        <f>'Phụ lục số 6'!N8</f>
        <v>83000.360400011981</v>
      </c>
      <c r="T20" s="2369">
        <f>'Phụ lục số 6'!N9</f>
        <v>144000</v>
      </c>
      <c r="U20" s="2369">
        <f t="shared" si="4"/>
        <v>537382.28403784544</v>
      </c>
      <c r="V20" s="2369">
        <f>'Phụ lục số 6'!N12</f>
        <v>221835.73186322945</v>
      </c>
      <c r="W20" s="2369">
        <f>'Phụ lục số 6'!N13</f>
        <v>315546.55217461602</v>
      </c>
      <c r="X20" s="2369">
        <f>'Phụ lục số 6'!N14</f>
        <v>16517.275562142579</v>
      </c>
      <c r="Y20" s="3373">
        <f>'Phụ lục số 6'!N15</f>
        <v>172966</v>
      </c>
    </row>
    <row r="21" spans="1:25" s="154" customFormat="1" ht="36" customHeight="1">
      <c r="A21" s="2550">
        <v>12</v>
      </c>
      <c r="B21" s="2161" t="s">
        <v>416</v>
      </c>
      <c r="C21" s="2826">
        <f>'Phụ lục số 5'!AM7</f>
        <v>285000</v>
      </c>
      <c r="D21" s="2826">
        <f t="shared" si="0"/>
        <v>713747.83199999994</v>
      </c>
      <c r="E21" s="2826">
        <f>'Phụ lục số 5'!AO7</f>
        <v>265510</v>
      </c>
      <c r="F21" s="2826">
        <f t="shared" si="1"/>
        <v>166550</v>
      </c>
      <c r="G21" s="2826">
        <f>'Phụ lục số 5'!AO10+'Phụ lục số 5'!AO11+'Phụ lục số 5'!AO15</f>
        <v>98960</v>
      </c>
      <c r="H21" s="2826">
        <f t="shared" si="2"/>
        <v>414556.83199999999</v>
      </c>
      <c r="I21" s="3374">
        <f>'Phụ lục số 5'!AO37</f>
        <v>379928</v>
      </c>
      <c r="J21" s="2826">
        <f t="shared" si="5"/>
        <v>34628.832000000002</v>
      </c>
      <c r="K21" s="2826">
        <f>'Phụ lục số 5'!AO39</f>
        <v>7200</v>
      </c>
      <c r="L21" s="2826">
        <f>'Phụ lục số 5'!AO40</f>
        <v>10500</v>
      </c>
      <c r="M21" s="2826">
        <f>'Phụ lục số 5'!AO41</f>
        <v>8166</v>
      </c>
      <c r="N21" s="2826">
        <f>'Phụ lục số 5'!AO42</f>
        <v>6762.8320000000003</v>
      </c>
      <c r="O21" s="2826">
        <f>'Phụ lục số 5'!AO43</f>
        <v>2000</v>
      </c>
      <c r="P21" s="2826">
        <f>'Phụ lục số 5'!AO44</f>
        <v>33681</v>
      </c>
      <c r="Q21" s="3374">
        <f t="shared" si="6"/>
        <v>713747.83200000005</v>
      </c>
      <c r="R21" s="2826">
        <f t="shared" si="3"/>
        <v>123000.33758532717</v>
      </c>
      <c r="S21" s="2826">
        <f>'Phụ lục số 6'!O8</f>
        <v>33000.337585327172</v>
      </c>
      <c r="T21" s="2826">
        <f>'Phụ lục số 6'!O9</f>
        <v>90000</v>
      </c>
      <c r="U21" s="2826">
        <f t="shared" si="4"/>
        <v>576944.16506902024</v>
      </c>
      <c r="V21" s="2826">
        <f>'Phụ lục số 6'!O12</f>
        <v>294004.16143211746</v>
      </c>
      <c r="W21" s="2826">
        <f>'Phụ lục số 6'!O13</f>
        <v>282940.00363690278</v>
      </c>
      <c r="X21" s="2826">
        <f>'Phụ lục số 6'!O14</f>
        <v>13803.329345652623</v>
      </c>
      <c r="Y21" s="3375">
        <f>'Phụ lục số 6'!O15</f>
        <v>0</v>
      </c>
    </row>
    <row r="22" spans="1:25" s="1319" customFormat="1" ht="36" customHeight="1" thickBot="1">
      <c r="A22" s="4656" t="s">
        <v>325</v>
      </c>
      <c r="B22" s="4657"/>
      <c r="C22" s="2549">
        <f t="shared" ref="C22:O22" si="7">SUM(C10:C21)</f>
        <v>4836300</v>
      </c>
      <c r="D22" s="2549">
        <f t="shared" si="7"/>
        <v>9908403.3480000012</v>
      </c>
      <c r="E22" s="2549">
        <f t="shared" si="7"/>
        <v>3939080</v>
      </c>
      <c r="F22" s="2549">
        <f t="shared" si="7"/>
        <v>1987000</v>
      </c>
      <c r="G22" s="2549">
        <f t="shared" si="7"/>
        <v>1952080</v>
      </c>
      <c r="H22" s="2549">
        <f t="shared" si="7"/>
        <v>5083323.3480000002</v>
      </c>
      <c r="I22" s="2549">
        <f t="shared" si="7"/>
        <v>4430923</v>
      </c>
      <c r="J22" s="2549">
        <f t="shared" si="7"/>
        <v>652400.348</v>
      </c>
      <c r="K22" s="2549">
        <f t="shared" si="7"/>
        <v>148700</v>
      </c>
      <c r="L22" s="2549">
        <f t="shared" si="7"/>
        <v>169098</v>
      </c>
      <c r="M22" s="2549">
        <f t="shared" si="7"/>
        <v>232934</v>
      </c>
      <c r="N22" s="2549">
        <f t="shared" si="7"/>
        <v>93668.347999999998</v>
      </c>
      <c r="O22" s="2549">
        <f t="shared" si="7"/>
        <v>8000</v>
      </c>
      <c r="P22" s="2549">
        <f>SUM(P10:P21)</f>
        <v>886000</v>
      </c>
      <c r="Q22" s="2549">
        <f t="shared" ref="Q22:Y22" si="8">SUM(Q10:Q21)</f>
        <v>9908403.3480000012</v>
      </c>
      <c r="R22" s="2549">
        <f t="shared" si="8"/>
        <v>1724000.4089698766</v>
      </c>
      <c r="S22" s="2549">
        <f t="shared" si="8"/>
        <v>581000.40896987612</v>
      </c>
      <c r="T22" s="2549">
        <f t="shared" si="8"/>
        <v>1143000</v>
      </c>
      <c r="U22" s="2549">
        <f t="shared" si="8"/>
        <v>7370538.3947110819</v>
      </c>
      <c r="V22" s="2549">
        <f t="shared" si="8"/>
        <v>3841269.7831797441</v>
      </c>
      <c r="W22" s="2549">
        <f t="shared" si="8"/>
        <v>3529268.6115313373</v>
      </c>
      <c r="X22" s="2549">
        <f t="shared" si="8"/>
        <v>175604.54431904212</v>
      </c>
      <c r="Y22" s="3376">
        <f t="shared" si="8"/>
        <v>638260</v>
      </c>
    </row>
    <row r="23" spans="1:25">
      <c r="E23" s="35">
        <f>E22/C22</f>
        <v>0.81448214544176334</v>
      </c>
      <c r="Q23" s="2250"/>
    </row>
    <row r="46" hidden="1"/>
    <row r="50" hidden="1"/>
    <row r="51" hidden="1"/>
  </sheetData>
  <mergeCells count="27">
    <mergeCell ref="A1:X1"/>
    <mergeCell ref="A5:A8"/>
    <mergeCell ref="B5:B8"/>
    <mergeCell ref="C5:C8"/>
    <mergeCell ref="Q5:Q8"/>
    <mergeCell ref="R5:X5"/>
    <mergeCell ref="D6:D8"/>
    <mergeCell ref="E6:E8"/>
    <mergeCell ref="F6:G7"/>
    <mergeCell ref="X6:X8"/>
    <mergeCell ref="I7:I8"/>
    <mergeCell ref="J7:J8"/>
    <mergeCell ref="R7:R8"/>
    <mergeCell ref="S7:T7"/>
    <mergeCell ref="D5:P5"/>
    <mergeCell ref="I6:O6"/>
    <mergeCell ref="A22:B22"/>
    <mergeCell ref="H6:H8"/>
    <mergeCell ref="R6:T6"/>
    <mergeCell ref="U6:W6"/>
    <mergeCell ref="P6:P8"/>
    <mergeCell ref="K7:N7"/>
    <mergeCell ref="A2:Y2"/>
    <mergeCell ref="Y5:Y8"/>
    <mergeCell ref="V4:Y4"/>
    <mergeCell ref="U7:U8"/>
    <mergeCell ref="V7:W7"/>
  </mergeCells>
  <hyperlinks>
    <hyperlink ref="A5:A8" location="'List danh mục'!A1" display="STT"/>
  </hyperlinks>
  <printOptions horizontalCentered="1"/>
  <pageMargins left="0" right="0" top="0.19685039370078741" bottom="0" header="0.19685039370078741" footer="0"/>
  <pageSetup paperSize="9" scale="60" orientation="landscape" r:id="rId1"/>
  <headerFooter>
    <oddHeader>&amp;R&amp;A</oddHeader>
    <oddFooter>&amp;C&amp;P/&amp;N</oddFooter>
  </headerFooter>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I51"/>
  <sheetViews>
    <sheetView topLeftCell="A15" workbookViewId="0">
      <selection activeCell="M18" sqref="M18"/>
    </sheetView>
  </sheetViews>
  <sheetFormatPr defaultColWidth="9" defaultRowHeight="18"/>
  <cols>
    <col min="1" max="1" width="5.69921875" style="37" bestFit="1" customWidth="1"/>
    <col min="2" max="2" width="84.69921875" style="37" customWidth="1"/>
    <col min="3" max="5" width="12.69921875" style="37" customWidth="1"/>
    <col min="6" max="6" width="12.09765625" style="37" hidden="1" customWidth="1"/>
    <col min="7" max="7" width="14.3984375" style="37" hidden="1" customWidth="1"/>
    <col min="8" max="8" width="13.3984375" style="37" hidden="1" customWidth="1"/>
    <col min="9" max="9" width="19.3984375" style="37" hidden="1" customWidth="1"/>
    <col min="10" max="16384" width="9" style="37"/>
  </cols>
  <sheetData>
    <row r="1" spans="1:7">
      <c r="A1" s="4475" t="s">
        <v>2386</v>
      </c>
      <c r="B1" s="4514"/>
      <c r="C1" s="4514"/>
      <c r="D1" s="4514"/>
      <c r="E1" s="4514"/>
    </row>
    <row r="2" spans="1:7">
      <c r="A2" s="4626" t="str">
        <f>'Phụ lục số 7'!A2:Y2</f>
        <v>(Kèm theo Báo cáo số         /BC-UBND ngày      tháng 10 năm 2023 của Ủy ban nhân dân tỉnh Đồng Tháp)</v>
      </c>
      <c r="B2" s="4627"/>
      <c r="C2" s="4627"/>
      <c r="D2" s="4627"/>
      <c r="E2" s="4627"/>
    </row>
    <row r="3" spans="1:7">
      <c r="A3" s="70"/>
      <c r="B3" s="2207"/>
      <c r="C3" s="2207"/>
      <c r="D3" s="2207"/>
      <c r="E3" s="2207"/>
    </row>
    <row r="4" spans="1:7">
      <c r="E4" s="39" t="s">
        <v>64</v>
      </c>
    </row>
    <row r="5" spans="1:7" s="70" customFormat="1" ht="17.399999999999999">
      <c r="A5" s="4569" t="s">
        <v>244</v>
      </c>
      <c r="B5" s="4318" t="s">
        <v>326</v>
      </c>
      <c r="C5" s="4318" t="s">
        <v>1700</v>
      </c>
      <c r="D5" s="4318" t="s">
        <v>327</v>
      </c>
      <c r="E5" s="4318"/>
    </row>
    <row r="6" spans="1:7" s="70" customFormat="1" ht="52.2">
      <c r="A6" s="4569"/>
      <c r="B6" s="4318"/>
      <c r="C6" s="4318"/>
      <c r="D6" s="2304" t="s">
        <v>328</v>
      </c>
      <c r="E6" s="2304" t="s">
        <v>329</v>
      </c>
    </row>
    <row r="7" spans="1:7" ht="36" customHeight="1">
      <c r="A7" s="2322"/>
      <c r="B7" s="2339" t="s">
        <v>2758</v>
      </c>
      <c r="C7" s="2323">
        <f>SUM(D7:E7)</f>
        <v>1988976</v>
      </c>
      <c r="D7" s="2323">
        <f>D8</f>
        <v>1814491</v>
      </c>
      <c r="E7" s="2323">
        <f>E8</f>
        <v>174485</v>
      </c>
      <c r="G7" s="2792">
        <f>D7-D19-D9</f>
        <v>1596570</v>
      </c>
    </row>
    <row r="8" spans="1:7" ht="36" customHeight="1">
      <c r="A8" s="2324" t="s">
        <v>9</v>
      </c>
      <c r="B8" s="2325" t="s">
        <v>2380</v>
      </c>
      <c r="C8" s="2326">
        <f>C12+C9</f>
        <v>1988976</v>
      </c>
      <c r="D8" s="2326">
        <f>D12+D9</f>
        <v>1814491</v>
      </c>
      <c r="E8" s="2326">
        <f>E12+E9</f>
        <v>174485</v>
      </c>
      <c r="G8" s="2792">
        <v>1681570</v>
      </c>
    </row>
    <row r="9" spans="1:7" s="43" customFormat="1" ht="36" customHeight="1">
      <c r="A9" s="2324">
        <v>1</v>
      </c>
      <c r="B9" s="2325" t="s">
        <v>330</v>
      </c>
      <c r="C9" s="2326">
        <f>D9+E9</f>
        <v>85000</v>
      </c>
      <c r="D9" s="2326">
        <v>85000</v>
      </c>
      <c r="E9" s="2326"/>
      <c r="G9" s="50">
        <f>G7-G8</f>
        <v>-85000</v>
      </c>
    </row>
    <row r="10" spans="1:7" ht="36" hidden="1" customHeight="1">
      <c r="A10" s="2324"/>
      <c r="B10" s="2318" t="s">
        <v>718</v>
      </c>
      <c r="C10" s="2326"/>
      <c r="D10" s="2326"/>
      <c r="E10" s="2326"/>
    </row>
    <row r="11" spans="1:7" ht="36" hidden="1" customHeight="1">
      <c r="A11" s="2327"/>
      <c r="B11" s="2328" t="s">
        <v>2381</v>
      </c>
      <c r="C11" s="2326"/>
      <c r="D11" s="2326"/>
      <c r="E11" s="2326"/>
    </row>
    <row r="12" spans="1:7" s="43" customFormat="1" ht="36" customHeight="1">
      <c r="A12" s="2329">
        <v>2</v>
      </c>
      <c r="B12" s="2325" t="s">
        <v>331</v>
      </c>
      <c r="C12" s="2326">
        <f>C13+C19+C29</f>
        <v>1903976</v>
      </c>
      <c r="D12" s="2326">
        <f>D13+D19+D29</f>
        <v>1729491</v>
      </c>
      <c r="E12" s="2326">
        <f>E13+E19+E29</f>
        <v>174485</v>
      </c>
      <c r="F12" s="50">
        <f>D12-D19</f>
        <v>1596570</v>
      </c>
    </row>
    <row r="13" spans="1:7" s="48" customFormat="1" ht="36" customHeight="1">
      <c r="A13" s="2329" t="s">
        <v>236</v>
      </c>
      <c r="B13" s="2325" t="s">
        <v>2632</v>
      </c>
      <c r="C13" s="2326">
        <f>SUM(D13:E13)</f>
        <v>1596570</v>
      </c>
      <c r="D13" s="2326">
        <f>D15+D17+D18</f>
        <v>1596570</v>
      </c>
      <c r="E13" s="2326"/>
    </row>
    <row r="14" spans="1:7" ht="36" customHeight="1">
      <c r="A14" s="2315"/>
      <c r="B14" s="2316" t="s">
        <v>718</v>
      </c>
      <c r="C14" s="2326"/>
      <c r="D14" s="2326"/>
      <c r="E14" s="2326"/>
    </row>
    <row r="15" spans="1:7" ht="36" customHeight="1">
      <c r="A15" s="2315" t="s">
        <v>2634</v>
      </c>
      <c r="B15" s="2316" t="s">
        <v>2633</v>
      </c>
      <c r="C15" s="2330">
        <f>D15+E15</f>
        <v>558070</v>
      </c>
      <c r="D15" s="3891">
        <f>458070+100000</f>
        <v>558070</v>
      </c>
      <c r="E15" s="3552"/>
    </row>
    <row r="16" spans="1:7" ht="36" hidden="1" customHeight="1">
      <c r="A16" s="2327"/>
      <c r="B16" s="2328" t="s">
        <v>1533</v>
      </c>
      <c r="C16" s="2894">
        <f t="shared" ref="C16:C18" si="0">D16+E16</f>
        <v>0</v>
      </c>
      <c r="D16" s="3901"/>
      <c r="E16" s="3552"/>
    </row>
    <row r="17" spans="1:9" ht="36" customHeight="1">
      <c r="A17" s="2315" t="s">
        <v>2635</v>
      </c>
      <c r="B17" s="2316" t="s">
        <v>2636</v>
      </c>
      <c r="C17" s="2330">
        <f t="shared" si="0"/>
        <v>882000</v>
      </c>
      <c r="D17" s="3891">
        <f>982000-100000</f>
        <v>882000</v>
      </c>
      <c r="E17" s="2330"/>
    </row>
    <row r="18" spans="1:9" s="43" customFormat="1" ht="36" customHeight="1">
      <c r="A18" s="2315" t="s">
        <v>2637</v>
      </c>
      <c r="B18" s="2316" t="s">
        <v>2638</v>
      </c>
      <c r="C18" s="2330">
        <f t="shared" si="0"/>
        <v>156500</v>
      </c>
      <c r="D18" s="3891">
        <f>1596570-D15-D17</f>
        <v>156500</v>
      </c>
      <c r="E18" s="3552"/>
    </row>
    <row r="19" spans="1:9" ht="36" customHeight="1">
      <c r="A19" s="2329" t="s">
        <v>237</v>
      </c>
      <c r="B19" s="2325" t="s">
        <v>1420</v>
      </c>
      <c r="C19" s="2326">
        <f>C20+C26+C27</f>
        <v>234937</v>
      </c>
      <c r="D19" s="2326">
        <f>D20+D26+D27</f>
        <v>132921</v>
      </c>
      <c r="E19" s="2326">
        <f>E20+E26+E27</f>
        <v>102016</v>
      </c>
      <c r="G19" s="2913">
        <f>D19*1.2</f>
        <v>159505.19999999998</v>
      </c>
      <c r="I19" s="37">
        <f>D19*10%</f>
        <v>13292.1</v>
      </c>
    </row>
    <row r="20" spans="1:9" s="1239" customFormat="1" ht="36" customHeight="1">
      <c r="A20" s="2311" t="s">
        <v>1128</v>
      </c>
      <c r="B20" s="2312" t="s">
        <v>2383</v>
      </c>
      <c r="C20" s="2320">
        <f>SUM(D20:E20)</f>
        <v>70871</v>
      </c>
      <c r="D20" s="2320">
        <f>SUM(D21:D25)+5216</f>
        <v>5216</v>
      </c>
      <c r="E20" s="2320">
        <f>SUM(E21:E25)</f>
        <v>65655</v>
      </c>
      <c r="G20" s="3786">
        <f>E20*10%</f>
        <v>6565.5</v>
      </c>
      <c r="H20" s="3786">
        <f>D20*10%</f>
        <v>521.6</v>
      </c>
    </row>
    <row r="21" spans="1:9" s="1239" customFormat="1" ht="36" customHeight="1">
      <c r="A21" s="3892" t="s">
        <v>34</v>
      </c>
      <c r="B21" s="3893" t="s">
        <v>2817</v>
      </c>
      <c r="C21" s="3894">
        <f>SUM(D21:E21)</f>
        <v>25125</v>
      </c>
      <c r="D21" s="3894"/>
      <c r="E21" s="3894">
        <f>65655-E22-E23-E24-E25</f>
        <v>25125</v>
      </c>
      <c r="G21" s="3786"/>
      <c r="H21" s="3786"/>
    </row>
    <row r="22" spans="1:9" s="1239" customFormat="1" ht="36" customHeight="1">
      <c r="A22" s="3892" t="s">
        <v>35</v>
      </c>
      <c r="B22" s="3893" t="s">
        <v>2818</v>
      </c>
      <c r="C22" s="3894">
        <f t="shared" ref="C22:C27" si="1">SUM(D22:E22)</f>
        <v>14412</v>
      </c>
      <c r="D22" s="3894"/>
      <c r="E22" s="3894">
        <f>4025+10387</f>
        <v>14412</v>
      </c>
      <c r="G22" s="3786"/>
      <c r="H22" s="3786"/>
    </row>
    <row r="23" spans="1:9" s="1239" customFormat="1" ht="36" customHeight="1">
      <c r="A23" s="3892" t="s">
        <v>36</v>
      </c>
      <c r="B23" s="3893" t="s">
        <v>2819</v>
      </c>
      <c r="C23" s="3894">
        <f t="shared" si="1"/>
        <v>12178</v>
      </c>
      <c r="D23" s="3894"/>
      <c r="E23" s="3894">
        <f>2237+9941</f>
        <v>12178</v>
      </c>
      <c r="G23" s="3786"/>
      <c r="H23" s="3786"/>
    </row>
    <row r="24" spans="1:9" s="1239" customFormat="1" ht="36" customHeight="1">
      <c r="A24" s="3892" t="s">
        <v>37</v>
      </c>
      <c r="B24" s="3893" t="s">
        <v>2820</v>
      </c>
      <c r="C24" s="3894">
        <f t="shared" si="1"/>
        <v>6372</v>
      </c>
      <c r="D24" s="3895"/>
      <c r="E24" s="3895">
        <v>6372</v>
      </c>
      <c r="G24" s="3786"/>
      <c r="H24" s="3786"/>
    </row>
    <row r="25" spans="1:9" s="1817" customFormat="1" ht="36" customHeight="1">
      <c r="A25" s="3892" t="s">
        <v>1327</v>
      </c>
      <c r="B25" s="3893" t="s">
        <v>2821</v>
      </c>
      <c r="C25" s="3894">
        <f t="shared" si="1"/>
        <v>7568</v>
      </c>
      <c r="D25" s="3896"/>
      <c r="E25" s="3895">
        <f>7568</f>
        <v>7568</v>
      </c>
      <c r="G25" s="3787"/>
      <c r="H25" s="3787"/>
    </row>
    <row r="26" spans="1:9" s="1239" customFormat="1" ht="36" customHeight="1">
      <c r="A26" s="2311" t="s">
        <v>1130</v>
      </c>
      <c r="B26" s="2312" t="s">
        <v>2384</v>
      </c>
      <c r="C26" s="2320">
        <f t="shared" si="1"/>
        <v>164066</v>
      </c>
      <c r="D26" s="2313">
        <f>127830-125</f>
        <v>127705</v>
      </c>
      <c r="E26" s="2313">
        <f>36361</f>
        <v>36361</v>
      </c>
      <c r="F26" s="3788"/>
      <c r="G26" s="3786">
        <f>E26*1.5</f>
        <v>54541.5</v>
      </c>
      <c r="H26" s="3786">
        <f>D26*2</f>
        <v>255410</v>
      </c>
    </row>
    <row r="27" spans="1:9" ht="36" hidden="1" customHeight="1">
      <c r="A27" s="2315" t="s">
        <v>1132</v>
      </c>
      <c r="B27" s="2316" t="s">
        <v>2385</v>
      </c>
      <c r="C27" s="2330">
        <f t="shared" si="1"/>
        <v>0</v>
      </c>
      <c r="D27" s="2317">
        <v>0</v>
      </c>
      <c r="E27" s="2317">
        <v>0</v>
      </c>
      <c r="G27" s="2792">
        <f>G26+G20</f>
        <v>61107</v>
      </c>
      <c r="H27" s="2792">
        <f>H26+H20</f>
        <v>255931.6</v>
      </c>
      <c r="I27" s="58">
        <f>H27+G27</f>
        <v>317038.59999999998</v>
      </c>
    </row>
    <row r="28" spans="1:9" s="47" customFormat="1" ht="36" hidden="1" customHeight="1">
      <c r="A28" s="2332"/>
      <c r="B28" s="2328"/>
      <c r="C28" s="2331">
        <f>SUM(D28:E28)</f>
        <v>0</v>
      </c>
      <c r="D28" s="2331"/>
      <c r="E28" s="2331"/>
    </row>
    <row r="29" spans="1:9" s="154" customFormat="1" ht="36" customHeight="1">
      <c r="A29" s="2324" t="s">
        <v>20</v>
      </c>
      <c r="B29" s="2325" t="s">
        <v>2382</v>
      </c>
      <c r="C29" s="2326">
        <f>SUM(C30:C36)</f>
        <v>72469</v>
      </c>
      <c r="D29" s="2326">
        <f t="shared" ref="D29:E29" si="2">SUM(D30:D36)</f>
        <v>0</v>
      </c>
      <c r="E29" s="2326">
        <f t="shared" si="2"/>
        <v>72469</v>
      </c>
    </row>
    <row r="30" spans="1:9" s="1319" customFormat="1" ht="36" customHeight="1">
      <c r="A30" s="2333">
        <v>1</v>
      </c>
      <c r="B30" s="2316" t="s">
        <v>2643</v>
      </c>
      <c r="C30" s="2334">
        <f t="shared" ref="C30:C36" si="3">SUM(D30:E30)</f>
        <v>11626</v>
      </c>
      <c r="D30" s="2334"/>
      <c r="E30" s="2334">
        <v>11626</v>
      </c>
    </row>
    <row r="31" spans="1:9" s="154" customFormat="1" ht="36" hidden="1" customHeight="1">
      <c r="A31" s="2333"/>
      <c r="B31" s="2316"/>
      <c r="C31" s="2334">
        <f t="shared" si="3"/>
        <v>0</v>
      </c>
      <c r="D31" s="2334"/>
      <c r="E31" s="2334">
        <v>0</v>
      </c>
    </row>
    <row r="32" spans="1:9" s="2321" customFormat="1" ht="36" hidden="1" customHeight="1">
      <c r="A32" s="2333"/>
      <c r="B32" s="2316"/>
      <c r="C32" s="2334">
        <f t="shared" si="3"/>
        <v>0</v>
      </c>
      <c r="D32" s="2334"/>
      <c r="E32" s="2334">
        <v>0</v>
      </c>
    </row>
    <row r="33" spans="1:9" s="154" customFormat="1" ht="36" customHeight="1">
      <c r="A33" s="2333">
        <v>2</v>
      </c>
      <c r="B33" s="2316" t="s">
        <v>2647</v>
      </c>
      <c r="C33" s="2334">
        <f t="shared" si="3"/>
        <v>2000</v>
      </c>
      <c r="D33" s="2334"/>
      <c r="E33" s="2334">
        <v>2000</v>
      </c>
    </row>
    <row r="34" spans="1:9" s="154" customFormat="1" ht="36" customHeight="1">
      <c r="A34" s="2333">
        <v>3</v>
      </c>
      <c r="B34" s="2316" t="s">
        <v>2646</v>
      </c>
      <c r="C34" s="2334">
        <f t="shared" si="3"/>
        <v>479</v>
      </c>
      <c r="D34" s="2334"/>
      <c r="E34" s="2334">
        <v>479</v>
      </c>
    </row>
    <row r="35" spans="1:9" s="154" customFormat="1" ht="36" customHeight="1">
      <c r="A35" s="2333">
        <v>4</v>
      </c>
      <c r="B35" s="2316" t="s">
        <v>2645</v>
      </c>
      <c r="C35" s="2335">
        <f t="shared" si="3"/>
        <v>7106</v>
      </c>
      <c r="D35" s="2335"/>
      <c r="E35" s="2335">
        <f>72469-E30-E31-E32-E33-E34-E36</f>
        <v>7106</v>
      </c>
      <c r="I35" s="2913">
        <f>42392489257</f>
        <v>42392489257</v>
      </c>
    </row>
    <row r="36" spans="1:9" s="154" customFormat="1" ht="36" customHeight="1">
      <c r="A36" s="2336">
        <v>5</v>
      </c>
      <c r="B36" s="2337" t="s">
        <v>2644</v>
      </c>
      <c r="C36" s="2338">
        <f t="shared" si="3"/>
        <v>51258</v>
      </c>
      <c r="D36" s="2338"/>
      <c r="E36" s="2338">
        <v>51258</v>
      </c>
      <c r="I36" s="2913">
        <f>I35*21%</f>
        <v>8902422743.9699993</v>
      </c>
    </row>
    <row r="37" spans="1:9">
      <c r="C37" s="54"/>
      <c r="I37" s="58">
        <f>I35*16.8%</f>
        <v>7121938195.1760006</v>
      </c>
    </row>
    <row r="38" spans="1:9">
      <c r="I38" s="58">
        <f>I35*15%</f>
        <v>6358873388.5500002</v>
      </c>
    </row>
    <row r="39" spans="1:9">
      <c r="H39" s="1"/>
    </row>
    <row r="41" spans="1:9">
      <c r="E41" s="1"/>
    </row>
    <row r="46" spans="1:9" hidden="1"/>
    <row r="50" hidden="1"/>
    <row r="51" hidden="1"/>
  </sheetData>
  <mergeCells count="6">
    <mergeCell ref="A1:E1"/>
    <mergeCell ref="A5:A6"/>
    <mergeCell ref="B5:B6"/>
    <mergeCell ref="C5:C6"/>
    <mergeCell ref="D5:E5"/>
    <mergeCell ref="A2:E2"/>
  </mergeCells>
  <hyperlinks>
    <hyperlink ref="A5:A6" location="'List danh mục'!A1" display="STT"/>
  </hyperlinks>
  <printOptions horizontalCentered="1"/>
  <pageMargins left="0" right="0" top="0.39370078740157483" bottom="0" header="0.19685039370078741" footer="0.19685039370078741"/>
  <pageSetup paperSize="9" scale="70" orientation="portrait" r:id="rId1"/>
  <headerFooter>
    <oddHeader>&amp;R&amp;A</oddHeader>
    <oddFooter>&amp;C&amp;P/&amp;N</oddFooter>
  </headerFooter>
  <legacy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49"/>
  <sheetViews>
    <sheetView topLeftCell="A13" zoomScale="80" zoomScaleNormal="80" workbookViewId="0">
      <selection activeCell="O20" sqref="O20"/>
    </sheetView>
  </sheetViews>
  <sheetFormatPr defaultColWidth="9" defaultRowHeight="18"/>
  <cols>
    <col min="1" max="1" width="7.59765625" style="20" customWidth="1"/>
    <col min="2" max="2" width="24.19921875" style="37" customWidth="1"/>
    <col min="3" max="11" width="10.19921875" style="152" customWidth="1"/>
    <col min="12" max="12" width="44.69921875" style="37" customWidth="1"/>
    <col min="13" max="16384" width="9" style="37"/>
  </cols>
  <sheetData>
    <row r="1" spans="1:12">
      <c r="A1" s="4299" t="s">
        <v>2728</v>
      </c>
      <c r="B1" s="4299"/>
      <c r="C1" s="4299"/>
      <c r="D1" s="4299"/>
      <c r="E1" s="4299"/>
      <c r="F1" s="4299"/>
      <c r="G1" s="4299"/>
      <c r="H1" s="4299"/>
      <c r="I1" s="4299"/>
      <c r="J1" s="4299"/>
      <c r="K1" s="4299"/>
      <c r="L1" s="4299"/>
    </row>
    <row r="2" spans="1:12">
      <c r="A2" s="4441" t="str">
        <f>'Phụ lục số 6'!A2:O2</f>
        <v>(Kèm theo Báo cáo số         /BC-UBND ngày      tháng 10 năm 2023 của Ủy ban nhân dân tỉnh Đồng Tháp)</v>
      </c>
      <c r="B2" s="4441"/>
      <c r="C2" s="4441"/>
      <c r="D2" s="4441"/>
      <c r="E2" s="4441"/>
      <c r="F2" s="4441"/>
      <c r="G2" s="4441"/>
      <c r="H2" s="4441"/>
      <c r="I2" s="4441"/>
      <c r="J2" s="4441"/>
      <c r="K2" s="4441"/>
      <c r="L2" s="4441"/>
    </row>
    <row r="3" spans="1:12">
      <c r="A3" s="38"/>
      <c r="B3" s="38"/>
    </row>
    <row r="4" spans="1:12" ht="17.25" customHeight="1"/>
    <row r="5" spans="1:12" s="2" customFormat="1" ht="16.5" customHeight="1">
      <c r="A5" s="4663" t="s">
        <v>244</v>
      </c>
      <c r="B5" s="4318" t="s">
        <v>305</v>
      </c>
      <c r="C5" s="4318" t="s">
        <v>2724</v>
      </c>
      <c r="D5" s="4318"/>
      <c r="E5" s="4318"/>
      <c r="F5" s="4318" t="s">
        <v>2727</v>
      </c>
      <c r="G5" s="4318"/>
      <c r="H5" s="4318"/>
      <c r="I5" s="4480" t="s">
        <v>916</v>
      </c>
      <c r="J5" s="4480"/>
      <c r="K5" s="4480"/>
      <c r="L5" s="4360" t="s">
        <v>395</v>
      </c>
    </row>
    <row r="6" spans="1:12" s="1319" customFormat="1" ht="72.599999999999994" customHeight="1">
      <c r="A6" s="4663"/>
      <c r="B6" s="4318"/>
      <c r="C6" s="7" t="s">
        <v>339</v>
      </c>
      <c r="D6" s="7" t="s">
        <v>2725</v>
      </c>
      <c r="E6" s="7" t="s">
        <v>2726</v>
      </c>
      <c r="F6" s="7" t="s">
        <v>339</v>
      </c>
      <c r="G6" s="7" t="s">
        <v>2725</v>
      </c>
      <c r="H6" s="7" t="s">
        <v>2726</v>
      </c>
      <c r="I6" s="7" t="s">
        <v>339</v>
      </c>
      <c r="J6" s="7" t="s">
        <v>2725</v>
      </c>
      <c r="K6" s="7" t="s">
        <v>2726</v>
      </c>
      <c r="L6" s="4361"/>
    </row>
    <row r="7" spans="1:12" s="2" customFormat="1" ht="17.399999999999999">
      <c r="A7" s="2302">
        <v>1</v>
      </c>
      <c r="B7" s="2302">
        <v>2</v>
      </c>
      <c r="C7" s="2403">
        <v>3</v>
      </c>
      <c r="D7" s="2403">
        <v>4</v>
      </c>
      <c r="E7" s="2403">
        <v>5</v>
      </c>
      <c r="F7" s="2403">
        <v>6</v>
      </c>
      <c r="G7" s="2403">
        <v>7</v>
      </c>
      <c r="H7" s="2403">
        <v>8</v>
      </c>
      <c r="I7" s="2403" t="s">
        <v>2729</v>
      </c>
      <c r="J7" s="2403" t="s">
        <v>2730</v>
      </c>
      <c r="K7" s="2403" t="s">
        <v>2731</v>
      </c>
      <c r="L7" s="129">
        <v>12</v>
      </c>
    </row>
    <row r="8" spans="1:12" s="154" customFormat="1" ht="36" customHeight="1">
      <c r="A8" s="3491">
        <v>1</v>
      </c>
      <c r="B8" s="2151" t="s">
        <v>2362</v>
      </c>
      <c r="C8" s="3492">
        <v>70000</v>
      </c>
      <c r="D8" s="3492">
        <f>C8*10%</f>
        <v>7000</v>
      </c>
      <c r="E8" s="3492">
        <f>C8*90%</f>
        <v>63000</v>
      </c>
      <c r="F8" s="3492">
        <f>70000+30000</f>
        <v>100000</v>
      </c>
      <c r="G8" s="3492">
        <f>F8*10%</f>
        <v>10000</v>
      </c>
      <c r="H8" s="3492">
        <f>F8*90%</f>
        <v>90000</v>
      </c>
      <c r="I8" s="3493">
        <f>F8-C8</f>
        <v>30000</v>
      </c>
      <c r="J8" s="3493">
        <f>G8-D8</f>
        <v>3000</v>
      </c>
      <c r="K8" s="3493">
        <f>H8-E8</f>
        <v>27000</v>
      </c>
      <c r="L8" s="3494"/>
    </row>
    <row r="9" spans="1:12" s="154" customFormat="1" ht="36" customHeight="1">
      <c r="A9" s="136">
        <v>2</v>
      </c>
      <c r="B9" s="137" t="s">
        <v>290</v>
      </c>
      <c r="C9" s="3495">
        <v>260000</v>
      </c>
      <c r="D9" s="3495">
        <f t="shared" ref="D9:D19" si="0">C9*10%</f>
        <v>26000</v>
      </c>
      <c r="E9" s="3495">
        <f t="shared" ref="E9:E12" si="1">C9*90%</f>
        <v>234000</v>
      </c>
      <c r="F9" s="3495">
        <f>260000+40000</f>
        <v>300000</v>
      </c>
      <c r="G9" s="3495">
        <f t="shared" ref="G9:G19" si="2">F9*10%</f>
        <v>30000</v>
      </c>
      <c r="H9" s="3495">
        <f t="shared" ref="H9:H12" si="3">F9*90%</f>
        <v>270000</v>
      </c>
      <c r="I9" s="3496">
        <f t="shared" ref="I9:I19" si="4">F9-C9</f>
        <v>40000</v>
      </c>
      <c r="J9" s="3496">
        <f t="shared" ref="J9:J19" si="5">G9-D9</f>
        <v>4000</v>
      </c>
      <c r="K9" s="3496">
        <f t="shared" ref="K9:K19" si="6">H9-E9</f>
        <v>36000</v>
      </c>
      <c r="L9" s="2225"/>
    </row>
    <row r="10" spans="1:12" s="154" customFormat="1" ht="36" customHeight="1">
      <c r="A10" s="136">
        <v>3</v>
      </c>
      <c r="B10" s="137" t="s">
        <v>2363</v>
      </c>
      <c r="C10" s="3495">
        <v>25000</v>
      </c>
      <c r="D10" s="3495">
        <f t="shared" si="0"/>
        <v>2500</v>
      </c>
      <c r="E10" s="3495">
        <f t="shared" si="1"/>
        <v>22500</v>
      </c>
      <c r="F10" s="3495">
        <f>25000+5000</f>
        <v>30000</v>
      </c>
      <c r="G10" s="3495">
        <f t="shared" si="2"/>
        <v>3000</v>
      </c>
      <c r="H10" s="3495">
        <f t="shared" si="3"/>
        <v>27000</v>
      </c>
      <c r="I10" s="3496">
        <f t="shared" si="4"/>
        <v>5000</v>
      </c>
      <c r="J10" s="3496">
        <f t="shared" si="5"/>
        <v>500</v>
      </c>
      <c r="K10" s="3496">
        <f t="shared" si="6"/>
        <v>4500</v>
      </c>
      <c r="L10" s="2225"/>
    </row>
    <row r="11" spans="1:12" s="154" customFormat="1" ht="36" customHeight="1">
      <c r="A11" s="136">
        <v>4</v>
      </c>
      <c r="B11" s="137" t="s">
        <v>2364</v>
      </c>
      <c r="C11" s="3495">
        <v>55000</v>
      </c>
      <c r="D11" s="3495">
        <f t="shared" si="0"/>
        <v>5500</v>
      </c>
      <c r="E11" s="3495">
        <f t="shared" si="1"/>
        <v>49500</v>
      </c>
      <c r="F11" s="3495">
        <f>55000+5000</f>
        <v>60000</v>
      </c>
      <c r="G11" s="3495">
        <f t="shared" si="2"/>
        <v>6000</v>
      </c>
      <c r="H11" s="3495">
        <f t="shared" si="3"/>
        <v>54000</v>
      </c>
      <c r="I11" s="3496">
        <f t="shared" si="4"/>
        <v>5000</v>
      </c>
      <c r="J11" s="3496">
        <f t="shared" si="5"/>
        <v>500</v>
      </c>
      <c r="K11" s="3496">
        <f t="shared" si="6"/>
        <v>4500</v>
      </c>
      <c r="L11" s="2225"/>
    </row>
    <row r="12" spans="1:12" s="154" customFormat="1" ht="36" customHeight="1">
      <c r="A12" s="136">
        <v>5</v>
      </c>
      <c r="B12" s="137" t="s">
        <v>2365</v>
      </c>
      <c r="C12" s="3495">
        <v>60000</v>
      </c>
      <c r="D12" s="3495">
        <f t="shared" si="0"/>
        <v>6000</v>
      </c>
      <c r="E12" s="3495">
        <f t="shared" si="1"/>
        <v>54000</v>
      </c>
      <c r="F12" s="3495">
        <f>60000+10000</f>
        <v>70000</v>
      </c>
      <c r="G12" s="3495">
        <f t="shared" si="2"/>
        <v>7000</v>
      </c>
      <c r="H12" s="3495">
        <f t="shared" si="3"/>
        <v>63000</v>
      </c>
      <c r="I12" s="3496">
        <f t="shared" si="4"/>
        <v>10000</v>
      </c>
      <c r="J12" s="3496">
        <f t="shared" si="5"/>
        <v>1000</v>
      </c>
      <c r="K12" s="3496">
        <f t="shared" si="6"/>
        <v>9000</v>
      </c>
      <c r="L12" s="2225"/>
    </row>
    <row r="13" spans="1:12" s="154" customFormat="1" ht="36" customHeight="1">
      <c r="A13" s="136">
        <v>6</v>
      </c>
      <c r="B13" s="137" t="s">
        <v>2366</v>
      </c>
      <c r="C13" s="3495">
        <v>260000</v>
      </c>
      <c r="D13" s="3495">
        <f>C13-E13</f>
        <v>116000</v>
      </c>
      <c r="E13" s="3495">
        <f>160000*90%</f>
        <v>144000</v>
      </c>
      <c r="F13" s="3495">
        <f>260000+50000</f>
        <v>310000</v>
      </c>
      <c r="G13" s="3495">
        <f>F13-H13</f>
        <v>166000</v>
      </c>
      <c r="H13" s="3495">
        <f>160000*90%</f>
        <v>144000</v>
      </c>
      <c r="I13" s="3496">
        <f t="shared" si="4"/>
        <v>50000</v>
      </c>
      <c r="J13" s="3496">
        <f>G13-D13</f>
        <v>50000</v>
      </c>
      <c r="K13" s="3496">
        <f t="shared" si="6"/>
        <v>0</v>
      </c>
      <c r="L13" s="2225"/>
    </row>
    <row r="14" spans="1:12" s="154" customFormat="1" ht="36" customHeight="1">
      <c r="A14" s="136">
        <v>7</v>
      </c>
      <c r="B14" s="137" t="s">
        <v>294</v>
      </c>
      <c r="C14" s="3495">
        <v>45000</v>
      </c>
      <c r="D14" s="3495">
        <f t="shared" si="0"/>
        <v>4500</v>
      </c>
      <c r="E14" s="3495">
        <f t="shared" ref="E14" si="7">C14*90%</f>
        <v>40500</v>
      </c>
      <c r="F14" s="3495">
        <f>45000+15000</f>
        <v>60000</v>
      </c>
      <c r="G14" s="3495">
        <f t="shared" si="2"/>
        <v>6000</v>
      </c>
      <c r="H14" s="3495">
        <f t="shared" ref="H14:H19" si="8">F14*90%</f>
        <v>54000</v>
      </c>
      <c r="I14" s="3496">
        <f t="shared" si="4"/>
        <v>15000</v>
      </c>
      <c r="J14" s="3496">
        <f t="shared" si="5"/>
        <v>1500</v>
      </c>
      <c r="K14" s="3496">
        <f t="shared" si="6"/>
        <v>13500</v>
      </c>
      <c r="L14" s="2225"/>
    </row>
    <row r="15" spans="1:12" s="154" customFormat="1" ht="36" customHeight="1">
      <c r="A15" s="136">
        <v>8</v>
      </c>
      <c r="B15" s="137" t="s">
        <v>412</v>
      </c>
      <c r="C15" s="3495">
        <v>90000</v>
      </c>
      <c r="D15" s="3495">
        <f t="shared" si="0"/>
        <v>9000</v>
      </c>
      <c r="E15" s="3495">
        <f t="shared" ref="E15" si="9">C15*90%</f>
        <v>81000</v>
      </c>
      <c r="F15" s="3495">
        <f>90000+10000</f>
        <v>100000</v>
      </c>
      <c r="G15" s="3495">
        <f t="shared" si="2"/>
        <v>10000</v>
      </c>
      <c r="H15" s="3495">
        <f t="shared" si="8"/>
        <v>90000</v>
      </c>
      <c r="I15" s="3496">
        <f t="shared" si="4"/>
        <v>10000</v>
      </c>
      <c r="J15" s="3496">
        <f t="shared" si="5"/>
        <v>1000</v>
      </c>
      <c r="K15" s="3496">
        <f t="shared" si="6"/>
        <v>9000</v>
      </c>
      <c r="L15" s="2225"/>
    </row>
    <row r="16" spans="1:12" s="154" customFormat="1" ht="36" customHeight="1">
      <c r="A16" s="136">
        <v>9</v>
      </c>
      <c r="B16" s="137" t="s">
        <v>413</v>
      </c>
      <c r="C16" s="3495">
        <v>50000</v>
      </c>
      <c r="D16" s="3495">
        <f t="shared" si="0"/>
        <v>5000</v>
      </c>
      <c r="E16" s="3495">
        <f t="shared" ref="E16" si="10">C16*90%</f>
        <v>45000</v>
      </c>
      <c r="F16" s="3495">
        <f>50000+10000</f>
        <v>60000</v>
      </c>
      <c r="G16" s="3495">
        <f t="shared" si="2"/>
        <v>6000</v>
      </c>
      <c r="H16" s="3495">
        <f t="shared" si="8"/>
        <v>54000</v>
      </c>
      <c r="I16" s="3496">
        <f t="shared" si="4"/>
        <v>10000</v>
      </c>
      <c r="J16" s="3496">
        <f t="shared" si="5"/>
        <v>1000</v>
      </c>
      <c r="K16" s="3496">
        <f t="shared" si="6"/>
        <v>9000</v>
      </c>
      <c r="L16" s="2225"/>
    </row>
    <row r="17" spans="1:12" s="154" customFormat="1" ht="36" customHeight="1">
      <c r="A17" s="136">
        <v>10</v>
      </c>
      <c r="B17" s="137" t="s">
        <v>2368</v>
      </c>
      <c r="C17" s="3495">
        <v>55000</v>
      </c>
      <c r="D17" s="3495">
        <f t="shared" si="0"/>
        <v>5500</v>
      </c>
      <c r="E17" s="3495">
        <f t="shared" ref="E17" si="11">C17*90%</f>
        <v>49500</v>
      </c>
      <c r="F17" s="3495">
        <f>55000+15000</f>
        <v>70000</v>
      </c>
      <c r="G17" s="3495">
        <f t="shared" si="2"/>
        <v>7000</v>
      </c>
      <c r="H17" s="3495">
        <f t="shared" si="8"/>
        <v>63000</v>
      </c>
      <c r="I17" s="3496">
        <f t="shared" si="4"/>
        <v>15000</v>
      </c>
      <c r="J17" s="3496">
        <f t="shared" si="5"/>
        <v>1500</v>
      </c>
      <c r="K17" s="3496">
        <f t="shared" si="6"/>
        <v>13500</v>
      </c>
      <c r="L17" s="2225"/>
    </row>
    <row r="18" spans="1:12" s="154" customFormat="1" ht="36" customHeight="1">
      <c r="A18" s="136">
        <v>11</v>
      </c>
      <c r="B18" s="137" t="s">
        <v>2369</v>
      </c>
      <c r="C18" s="3495">
        <v>160000</v>
      </c>
      <c r="D18" s="3495">
        <f t="shared" si="0"/>
        <v>16000</v>
      </c>
      <c r="E18" s="3495">
        <f t="shared" ref="E18" si="12">C18*90%</f>
        <v>144000</v>
      </c>
      <c r="F18" s="3495">
        <f>160000+350000</f>
        <v>510000</v>
      </c>
      <c r="G18" s="3495">
        <f>F18-H18</f>
        <v>366000</v>
      </c>
      <c r="H18" s="3495">
        <f>160000*90%</f>
        <v>144000</v>
      </c>
      <c r="I18" s="3496">
        <f t="shared" si="4"/>
        <v>350000</v>
      </c>
      <c r="J18" s="3496">
        <f t="shared" si="5"/>
        <v>350000</v>
      </c>
      <c r="K18" s="3496">
        <f t="shared" si="6"/>
        <v>0</v>
      </c>
      <c r="L18" s="2225"/>
    </row>
    <row r="19" spans="1:12" s="154" customFormat="1" ht="36" customHeight="1">
      <c r="A19" s="2298">
        <v>12</v>
      </c>
      <c r="B19" s="2161" t="s">
        <v>416</v>
      </c>
      <c r="C19" s="3497">
        <v>70000</v>
      </c>
      <c r="D19" s="3497">
        <f t="shared" si="0"/>
        <v>7000</v>
      </c>
      <c r="E19" s="3497">
        <f t="shared" ref="E19" si="13">C19*90%</f>
        <v>63000</v>
      </c>
      <c r="F19" s="3497">
        <f>70000+30000</f>
        <v>100000</v>
      </c>
      <c r="G19" s="3497">
        <f t="shared" si="2"/>
        <v>10000</v>
      </c>
      <c r="H19" s="3497">
        <f t="shared" si="8"/>
        <v>90000</v>
      </c>
      <c r="I19" s="3498">
        <f t="shared" si="4"/>
        <v>30000</v>
      </c>
      <c r="J19" s="3498">
        <f t="shared" si="5"/>
        <v>3000</v>
      </c>
      <c r="K19" s="3498">
        <f t="shared" si="6"/>
        <v>27000</v>
      </c>
      <c r="L19" s="3499"/>
    </row>
    <row r="20" spans="1:12" s="1319" customFormat="1" ht="36" customHeight="1">
      <c r="A20" s="3489" t="s">
        <v>325</v>
      </c>
      <c r="B20" s="3489"/>
      <c r="C20" s="3490">
        <f>SUM(C8:C19)</f>
        <v>1200000</v>
      </c>
      <c r="D20" s="3490">
        <f t="shared" ref="D20:E20" si="14">SUM(D8:D19)</f>
        <v>210000</v>
      </c>
      <c r="E20" s="3490">
        <f t="shared" si="14"/>
        <v>990000</v>
      </c>
      <c r="F20" s="3490">
        <f>SUM(F8:F19)</f>
        <v>1770000</v>
      </c>
      <c r="G20" s="3490">
        <f t="shared" ref="G20" si="15">SUM(G8:G19)</f>
        <v>627000</v>
      </c>
      <c r="H20" s="3490">
        <f t="shared" ref="H20" si="16">SUM(H8:H19)</f>
        <v>1143000</v>
      </c>
      <c r="I20" s="3490">
        <f t="shared" ref="I20" si="17">SUM(I8:I19)</f>
        <v>570000</v>
      </c>
      <c r="J20" s="3490">
        <f t="shared" ref="J20" si="18">SUM(J8:J19)</f>
        <v>417000</v>
      </c>
      <c r="K20" s="3490">
        <f t="shared" ref="K20" si="19">SUM(K8:K19)</f>
        <v>153000</v>
      </c>
      <c r="L20" s="3488"/>
    </row>
    <row r="44" spans="2:25" s="20" customFormat="1" hidden="1">
      <c r="B44" s="37"/>
      <c r="C44" s="152"/>
      <c r="D44" s="152"/>
      <c r="E44" s="152"/>
      <c r="F44" s="152"/>
      <c r="G44" s="152"/>
      <c r="H44" s="152"/>
      <c r="I44" s="152"/>
      <c r="J44" s="152"/>
      <c r="K44" s="152"/>
      <c r="L44" s="37"/>
      <c r="M44" s="37"/>
      <c r="N44" s="37"/>
      <c r="O44" s="37"/>
      <c r="P44" s="37"/>
      <c r="Q44" s="37"/>
      <c r="R44" s="37"/>
      <c r="S44" s="37"/>
      <c r="T44" s="37"/>
      <c r="U44" s="37"/>
      <c r="V44" s="37"/>
      <c r="W44" s="37"/>
      <c r="X44" s="37"/>
      <c r="Y44" s="37"/>
    </row>
    <row r="48" spans="2:25" s="20" customFormat="1" hidden="1">
      <c r="B48" s="37"/>
      <c r="C48" s="152"/>
      <c r="D48" s="152"/>
      <c r="E48" s="152"/>
      <c r="F48" s="152"/>
      <c r="G48" s="152"/>
      <c r="H48" s="152"/>
      <c r="I48" s="152"/>
      <c r="J48" s="152"/>
      <c r="K48" s="152"/>
      <c r="L48" s="37"/>
      <c r="M48" s="37"/>
      <c r="N48" s="37"/>
      <c r="O48" s="37"/>
      <c r="P48" s="37"/>
      <c r="Q48" s="37"/>
      <c r="R48" s="37"/>
      <c r="S48" s="37"/>
      <c r="T48" s="37"/>
      <c r="U48" s="37"/>
      <c r="V48" s="37"/>
      <c r="W48" s="37"/>
      <c r="X48" s="37"/>
      <c r="Y48" s="37"/>
    </row>
    <row r="49" spans="2:25" s="20" customFormat="1" hidden="1">
      <c r="B49" s="37"/>
      <c r="C49" s="152"/>
      <c r="D49" s="152"/>
      <c r="E49" s="152"/>
      <c r="F49" s="152"/>
      <c r="G49" s="152"/>
      <c r="H49" s="152"/>
      <c r="I49" s="152"/>
      <c r="J49" s="152"/>
      <c r="K49" s="152"/>
      <c r="L49" s="37"/>
      <c r="M49" s="37"/>
      <c r="N49" s="37"/>
      <c r="O49" s="37"/>
      <c r="P49" s="37"/>
      <c r="Q49" s="37"/>
      <c r="R49" s="37"/>
      <c r="S49" s="37"/>
      <c r="T49" s="37"/>
      <c r="U49" s="37"/>
      <c r="V49" s="37"/>
      <c r="W49" s="37"/>
      <c r="X49" s="37"/>
      <c r="Y49" s="37"/>
    </row>
  </sheetData>
  <mergeCells count="8">
    <mergeCell ref="C5:E5"/>
    <mergeCell ref="F5:H5"/>
    <mergeCell ref="I5:K5"/>
    <mergeCell ref="A1:L1"/>
    <mergeCell ref="A2:L2"/>
    <mergeCell ref="L5:L6"/>
    <mergeCell ref="A5:A6"/>
    <mergeCell ref="B5:B6"/>
  </mergeCells>
  <hyperlinks>
    <hyperlink ref="A5:A6" location="'List danh mục'!A1" display="STT"/>
  </hyperlinks>
  <printOptions horizontalCentered="1"/>
  <pageMargins left="0" right="0" top="0.19685039370078741" bottom="0" header="0.19685039370078741" footer="0"/>
  <pageSetup paperSize="9" scale="60" orientation="landscape" r:id="rId1"/>
  <headerFooter>
    <oddHeader>&amp;R&amp;A</oddHeader>
    <oddFooter>&amp;C&amp;P/&amp;N</odd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FF71"/>
  <sheetViews>
    <sheetView zoomScale="60" zoomScaleNormal="60" workbookViewId="0">
      <pane xSplit="14" ySplit="9" topLeftCell="EM10" activePane="bottomRight" state="frozen"/>
      <selection activeCell="D51" sqref="D51"/>
      <selection pane="topRight" activeCell="D51" sqref="D51"/>
      <selection pane="bottomLeft" activeCell="D51" sqref="D51"/>
      <selection pane="bottomRight" activeCell="AL9" sqref="AL9"/>
    </sheetView>
  </sheetViews>
  <sheetFormatPr defaultRowHeight="18"/>
  <cols>
    <col min="1" max="1" width="4.69921875" style="20" customWidth="1"/>
    <col min="2" max="2" width="57.69921875" style="37" customWidth="1"/>
    <col min="3" max="10" width="8.69921875" style="37" customWidth="1"/>
    <col min="11" max="26" width="8.69921875" style="2575" customWidth="1"/>
    <col min="27" max="34" width="8.69921875" style="37" customWidth="1"/>
    <col min="35" max="38" width="8.69921875" style="2575" customWidth="1"/>
    <col min="39" max="158" width="8.69921875" style="37" customWidth="1"/>
    <col min="159" max="160" width="8.69921875" style="37"/>
    <col min="161" max="161" width="9.3984375" style="37" customWidth="1"/>
    <col min="162" max="162" width="8" style="37" customWidth="1"/>
    <col min="163" max="257" width="8.69921875" style="37"/>
    <col min="258" max="258" width="4.5" style="37" bestFit="1" customWidth="1"/>
    <col min="259" max="259" width="69.09765625" style="37" customWidth="1"/>
    <col min="260" max="260" width="9.19921875" style="37" customWidth="1"/>
    <col min="261" max="261" width="8.59765625" style="37" customWidth="1"/>
    <col min="262" max="262" width="9.3984375" style="37" customWidth="1"/>
    <col min="263" max="263" width="10.19921875" style="37" customWidth="1"/>
    <col min="264" max="264" width="10.59765625" style="37" customWidth="1"/>
    <col min="265" max="265" width="10" style="37" customWidth="1"/>
    <col min="266" max="267" width="8.5" style="37" customWidth="1"/>
    <col min="268" max="268" width="7.5" style="37" customWidth="1"/>
    <col min="269" max="269" width="7.09765625" style="37" customWidth="1"/>
    <col min="270" max="270" width="8.09765625" style="37" customWidth="1"/>
    <col min="271" max="272" width="7.5" style="37" customWidth="1"/>
    <col min="273" max="273" width="8.59765625" style="37" customWidth="1"/>
    <col min="274" max="276" width="7.5" style="37" customWidth="1"/>
    <col min="277" max="277" width="8.3984375" style="37" customWidth="1"/>
    <col min="278" max="278" width="7.5" style="37" customWidth="1"/>
    <col min="279" max="279" width="8.19921875" style="37" customWidth="1"/>
    <col min="280" max="282" width="7.5" style="37" customWidth="1"/>
    <col min="283" max="283" width="8.19921875" style="37" customWidth="1"/>
    <col min="284" max="284" width="8.09765625" style="37" customWidth="1"/>
    <col min="285" max="285" width="8.19921875" style="37" customWidth="1"/>
    <col min="286" max="286" width="8.69921875" style="37" customWidth="1"/>
    <col min="287" max="287" width="7.09765625" style="37" customWidth="1"/>
    <col min="288" max="288" width="9.5" style="37" customWidth="1"/>
    <col min="289" max="289" width="8.59765625" style="37" customWidth="1"/>
    <col min="290" max="290" width="8.8984375" style="37" customWidth="1"/>
    <col min="291" max="291" width="8.09765625" style="37" customWidth="1"/>
    <col min="292" max="294" width="7.59765625" style="37" customWidth="1"/>
    <col min="295" max="295" width="6.5" style="37" customWidth="1"/>
    <col min="296" max="304" width="8.5" style="37" customWidth="1"/>
    <col min="305" max="305" width="7.5" style="37" customWidth="1"/>
    <col min="306" max="306" width="7.19921875" style="37" customWidth="1"/>
    <col min="307" max="307" width="8.5" style="37" customWidth="1"/>
    <col min="308" max="308" width="9.3984375" style="37" customWidth="1"/>
    <col min="309" max="311" width="8.5" style="37" customWidth="1"/>
    <col min="312" max="312" width="9.19921875" style="37" customWidth="1"/>
    <col min="313" max="315" width="8.5" style="37" customWidth="1"/>
    <col min="316" max="316" width="7.8984375" style="37" customWidth="1"/>
    <col min="317" max="317" width="8.5" style="37" customWidth="1"/>
    <col min="318" max="318" width="7.3984375" style="37" customWidth="1"/>
    <col min="319" max="319" width="7.59765625" style="37" customWidth="1"/>
    <col min="320" max="320" width="9.8984375" style="37" customWidth="1"/>
    <col min="321" max="321" width="8.19921875" style="37" customWidth="1"/>
    <col min="322" max="324" width="8.8984375" style="37" customWidth="1"/>
    <col min="325" max="325" width="8.69921875" style="37" customWidth="1"/>
    <col min="326" max="326" width="8" style="37" customWidth="1"/>
    <col min="327" max="327" width="8.19921875" style="37" customWidth="1"/>
    <col min="328" max="328" width="7.3984375" style="37" customWidth="1"/>
    <col min="329" max="329" width="8.8984375" style="37" customWidth="1"/>
    <col min="330" max="330" width="7.3984375" style="37" customWidth="1"/>
    <col min="331" max="331" width="6.59765625" style="37" customWidth="1"/>
    <col min="332" max="332" width="9.5" style="37" customWidth="1"/>
    <col min="333" max="333" width="8" style="37" customWidth="1"/>
    <col min="334" max="334" width="8.3984375" style="37" customWidth="1"/>
    <col min="335" max="335" width="8.5" style="37" customWidth="1"/>
    <col min="336" max="336" width="8" style="37" customWidth="1"/>
    <col min="337" max="337" width="7.8984375" style="37" customWidth="1"/>
    <col min="338" max="338" width="8" style="37" customWidth="1"/>
    <col min="339" max="339" width="8.5" style="37" customWidth="1"/>
    <col min="340" max="342" width="8.09765625" style="37" customWidth="1"/>
    <col min="343" max="343" width="8" style="37" customWidth="1"/>
    <col min="344" max="347" width="8.69921875" style="37" customWidth="1"/>
    <col min="348" max="348" width="7.59765625" style="37" customWidth="1"/>
    <col min="349" max="350" width="8.69921875" style="37" customWidth="1"/>
    <col min="351" max="351" width="7.69921875" style="37" customWidth="1"/>
    <col min="352" max="354" width="8" style="37" customWidth="1"/>
    <col min="355" max="355" width="7.8984375" style="37" customWidth="1"/>
    <col min="356" max="357" width="8.69921875" style="37" customWidth="1"/>
    <col min="358" max="358" width="8.3984375" style="37" customWidth="1"/>
    <col min="359" max="359" width="8" style="37" customWidth="1"/>
    <col min="360" max="360" width="7.8984375" style="37" customWidth="1"/>
    <col min="361" max="363" width="8.19921875" style="37" customWidth="1"/>
    <col min="364" max="366" width="8.09765625" style="37" customWidth="1"/>
    <col min="367" max="367" width="7.8984375" style="37" customWidth="1"/>
    <col min="368" max="368" width="8.8984375" style="37" customWidth="1"/>
    <col min="369" max="369" width="8.3984375" style="37" customWidth="1"/>
    <col min="370" max="370" width="8.19921875" style="37" customWidth="1"/>
    <col min="371" max="371" width="8.8984375" style="37" customWidth="1"/>
    <col min="372" max="372" width="8.09765625" style="37" customWidth="1"/>
    <col min="373" max="373" width="8.19921875" style="37" customWidth="1"/>
    <col min="374" max="374" width="8.8984375" style="37" customWidth="1"/>
    <col min="375" max="375" width="8" style="37" customWidth="1"/>
    <col min="376" max="378" width="7.8984375" style="37" customWidth="1"/>
    <col min="379" max="379" width="7.69921875" style="37" customWidth="1"/>
    <col min="380" max="383" width="8.8984375" style="37" customWidth="1"/>
    <col min="384" max="384" width="8.69921875" style="37" customWidth="1"/>
    <col min="385" max="385" width="8.59765625" style="37" customWidth="1"/>
    <col min="386" max="387" width="8.19921875" style="37" customWidth="1"/>
    <col min="388" max="388" width="7.59765625" style="37" customWidth="1"/>
    <col min="389" max="389" width="8" style="37" customWidth="1"/>
    <col min="390" max="390" width="7.09765625" style="37" customWidth="1"/>
    <col min="391" max="391" width="7.59765625" style="37" customWidth="1"/>
    <col min="392" max="392" width="8.8984375" style="37" customWidth="1"/>
    <col min="393" max="393" width="8.09765625" style="37" customWidth="1"/>
    <col min="394" max="398" width="8.8984375" style="37" customWidth="1"/>
    <col min="399" max="399" width="8" style="37" customWidth="1"/>
    <col min="400" max="400" width="7.69921875" style="37" customWidth="1"/>
    <col min="401" max="401" width="7.8984375" style="37" customWidth="1"/>
    <col min="402" max="402" width="7.3984375" style="37" customWidth="1"/>
    <col min="403" max="403" width="7.8984375" style="37" customWidth="1"/>
    <col min="404" max="410" width="8.8984375" style="37" customWidth="1"/>
    <col min="411" max="411" width="7.5" style="37" customWidth="1"/>
    <col min="412" max="412" width="7.19921875" style="37" customWidth="1"/>
    <col min="413" max="413" width="8.3984375" style="37" customWidth="1"/>
    <col min="414" max="414" width="7.19921875" style="37" customWidth="1"/>
    <col min="415" max="415" width="7.59765625" style="37" customWidth="1"/>
    <col min="416" max="513" width="8.69921875" style="37"/>
    <col min="514" max="514" width="4.5" style="37" bestFit="1" customWidth="1"/>
    <col min="515" max="515" width="69.09765625" style="37" customWidth="1"/>
    <col min="516" max="516" width="9.19921875" style="37" customWidth="1"/>
    <col min="517" max="517" width="8.59765625" style="37" customWidth="1"/>
    <col min="518" max="518" width="9.3984375" style="37" customWidth="1"/>
    <col min="519" max="519" width="10.19921875" style="37" customWidth="1"/>
    <col min="520" max="520" width="10.59765625" style="37" customWidth="1"/>
    <col min="521" max="521" width="10" style="37" customWidth="1"/>
    <col min="522" max="523" width="8.5" style="37" customWidth="1"/>
    <col min="524" max="524" width="7.5" style="37" customWidth="1"/>
    <col min="525" max="525" width="7.09765625" style="37" customWidth="1"/>
    <col min="526" max="526" width="8.09765625" style="37" customWidth="1"/>
    <col min="527" max="528" width="7.5" style="37" customWidth="1"/>
    <col min="529" max="529" width="8.59765625" style="37" customWidth="1"/>
    <col min="530" max="532" width="7.5" style="37" customWidth="1"/>
    <col min="533" max="533" width="8.3984375" style="37" customWidth="1"/>
    <col min="534" max="534" width="7.5" style="37" customWidth="1"/>
    <col min="535" max="535" width="8.19921875" style="37" customWidth="1"/>
    <col min="536" max="538" width="7.5" style="37" customWidth="1"/>
    <col min="539" max="539" width="8.19921875" style="37" customWidth="1"/>
    <col min="540" max="540" width="8.09765625" style="37" customWidth="1"/>
    <col min="541" max="541" width="8.19921875" style="37" customWidth="1"/>
    <col min="542" max="542" width="8.69921875" style="37" customWidth="1"/>
    <col min="543" max="543" width="7.09765625" style="37" customWidth="1"/>
    <col min="544" max="544" width="9.5" style="37" customWidth="1"/>
    <col min="545" max="545" width="8.59765625" style="37" customWidth="1"/>
    <col min="546" max="546" width="8.8984375" style="37" customWidth="1"/>
    <col min="547" max="547" width="8.09765625" style="37" customWidth="1"/>
    <col min="548" max="550" width="7.59765625" style="37" customWidth="1"/>
    <col min="551" max="551" width="6.5" style="37" customWidth="1"/>
    <col min="552" max="560" width="8.5" style="37" customWidth="1"/>
    <col min="561" max="561" width="7.5" style="37" customWidth="1"/>
    <col min="562" max="562" width="7.19921875" style="37" customWidth="1"/>
    <col min="563" max="563" width="8.5" style="37" customWidth="1"/>
    <col min="564" max="564" width="9.3984375" style="37" customWidth="1"/>
    <col min="565" max="567" width="8.5" style="37" customWidth="1"/>
    <col min="568" max="568" width="9.19921875" style="37" customWidth="1"/>
    <col min="569" max="571" width="8.5" style="37" customWidth="1"/>
    <col min="572" max="572" width="7.8984375" style="37" customWidth="1"/>
    <col min="573" max="573" width="8.5" style="37" customWidth="1"/>
    <col min="574" max="574" width="7.3984375" style="37" customWidth="1"/>
    <col min="575" max="575" width="7.59765625" style="37" customWidth="1"/>
    <col min="576" max="576" width="9.8984375" style="37" customWidth="1"/>
    <col min="577" max="577" width="8.19921875" style="37" customWidth="1"/>
    <col min="578" max="580" width="8.8984375" style="37" customWidth="1"/>
    <col min="581" max="581" width="8.69921875" style="37" customWidth="1"/>
    <col min="582" max="582" width="8" style="37" customWidth="1"/>
    <col min="583" max="583" width="8.19921875" style="37" customWidth="1"/>
    <col min="584" max="584" width="7.3984375" style="37" customWidth="1"/>
    <col min="585" max="585" width="8.8984375" style="37" customWidth="1"/>
    <col min="586" max="586" width="7.3984375" style="37" customWidth="1"/>
    <col min="587" max="587" width="6.59765625" style="37" customWidth="1"/>
    <col min="588" max="588" width="9.5" style="37" customWidth="1"/>
    <col min="589" max="589" width="8" style="37" customWidth="1"/>
    <col min="590" max="590" width="8.3984375" style="37" customWidth="1"/>
    <col min="591" max="591" width="8.5" style="37" customWidth="1"/>
    <col min="592" max="592" width="8" style="37" customWidth="1"/>
    <col min="593" max="593" width="7.8984375" style="37" customWidth="1"/>
    <col min="594" max="594" width="8" style="37" customWidth="1"/>
    <col min="595" max="595" width="8.5" style="37" customWidth="1"/>
    <col min="596" max="598" width="8.09765625" style="37" customWidth="1"/>
    <col min="599" max="599" width="8" style="37" customWidth="1"/>
    <col min="600" max="603" width="8.69921875" style="37" customWidth="1"/>
    <col min="604" max="604" width="7.59765625" style="37" customWidth="1"/>
    <col min="605" max="606" width="8.69921875" style="37" customWidth="1"/>
    <col min="607" max="607" width="7.69921875" style="37" customWidth="1"/>
    <col min="608" max="610" width="8" style="37" customWidth="1"/>
    <col min="611" max="611" width="7.8984375" style="37" customWidth="1"/>
    <col min="612" max="613" width="8.69921875" style="37" customWidth="1"/>
    <col min="614" max="614" width="8.3984375" style="37" customWidth="1"/>
    <col min="615" max="615" width="8" style="37" customWidth="1"/>
    <col min="616" max="616" width="7.8984375" style="37" customWidth="1"/>
    <col min="617" max="619" width="8.19921875" style="37" customWidth="1"/>
    <col min="620" max="622" width="8.09765625" style="37" customWidth="1"/>
    <col min="623" max="623" width="7.8984375" style="37" customWidth="1"/>
    <col min="624" max="624" width="8.8984375" style="37" customWidth="1"/>
    <col min="625" max="625" width="8.3984375" style="37" customWidth="1"/>
    <col min="626" max="626" width="8.19921875" style="37" customWidth="1"/>
    <col min="627" max="627" width="8.8984375" style="37" customWidth="1"/>
    <col min="628" max="628" width="8.09765625" style="37" customWidth="1"/>
    <col min="629" max="629" width="8.19921875" style="37" customWidth="1"/>
    <col min="630" max="630" width="8.8984375" style="37" customWidth="1"/>
    <col min="631" max="631" width="8" style="37" customWidth="1"/>
    <col min="632" max="634" width="7.8984375" style="37" customWidth="1"/>
    <col min="635" max="635" width="7.69921875" style="37" customWidth="1"/>
    <col min="636" max="639" width="8.8984375" style="37" customWidth="1"/>
    <col min="640" max="640" width="8.69921875" style="37" customWidth="1"/>
    <col min="641" max="641" width="8.59765625" style="37" customWidth="1"/>
    <col min="642" max="643" width="8.19921875" style="37" customWidth="1"/>
    <col min="644" max="644" width="7.59765625" style="37" customWidth="1"/>
    <col min="645" max="645" width="8" style="37" customWidth="1"/>
    <col min="646" max="646" width="7.09765625" style="37" customWidth="1"/>
    <col min="647" max="647" width="7.59765625" style="37" customWidth="1"/>
    <col min="648" max="648" width="8.8984375" style="37" customWidth="1"/>
    <col min="649" max="649" width="8.09765625" style="37" customWidth="1"/>
    <col min="650" max="654" width="8.8984375" style="37" customWidth="1"/>
    <col min="655" max="655" width="8" style="37" customWidth="1"/>
    <col min="656" max="656" width="7.69921875" style="37" customWidth="1"/>
    <col min="657" max="657" width="7.8984375" style="37" customWidth="1"/>
    <col min="658" max="658" width="7.3984375" style="37" customWidth="1"/>
    <col min="659" max="659" width="7.8984375" style="37" customWidth="1"/>
    <col min="660" max="666" width="8.8984375" style="37" customWidth="1"/>
    <col min="667" max="667" width="7.5" style="37" customWidth="1"/>
    <col min="668" max="668" width="7.19921875" style="37" customWidth="1"/>
    <col min="669" max="669" width="8.3984375" style="37" customWidth="1"/>
    <col min="670" max="670" width="7.19921875" style="37" customWidth="1"/>
    <col min="671" max="671" width="7.59765625" style="37" customWidth="1"/>
    <col min="672" max="769" width="8.69921875" style="37"/>
    <col min="770" max="770" width="4.5" style="37" bestFit="1" customWidth="1"/>
    <col min="771" max="771" width="69.09765625" style="37" customWidth="1"/>
    <col min="772" max="772" width="9.19921875" style="37" customWidth="1"/>
    <col min="773" max="773" width="8.59765625" style="37" customWidth="1"/>
    <col min="774" max="774" width="9.3984375" style="37" customWidth="1"/>
    <col min="775" max="775" width="10.19921875" style="37" customWidth="1"/>
    <col min="776" max="776" width="10.59765625" style="37" customWidth="1"/>
    <col min="777" max="777" width="10" style="37" customWidth="1"/>
    <col min="778" max="779" width="8.5" style="37" customWidth="1"/>
    <col min="780" max="780" width="7.5" style="37" customWidth="1"/>
    <col min="781" max="781" width="7.09765625" style="37" customWidth="1"/>
    <col min="782" max="782" width="8.09765625" style="37" customWidth="1"/>
    <col min="783" max="784" width="7.5" style="37" customWidth="1"/>
    <col min="785" max="785" width="8.59765625" style="37" customWidth="1"/>
    <col min="786" max="788" width="7.5" style="37" customWidth="1"/>
    <col min="789" max="789" width="8.3984375" style="37" customWidth="1"/>
    <col min="790" max="790" width="7.5" style="37" customWidth="1"/>
    <col min="791" max="791" width="8.19921875" style="37" customWidth="1"/>
    <col min="792" max="794" width="7.5" style="37" customWidth="1"/>
    <col min="795" max="795" width="8.19921875" style="37" customWidth="1"/>
    <col min="796" max="796" width="8.09765625" style="37" customWidth="1"/>
    <col min="797" max="797" width="8.19921875" style="37" customWidth="1"/>
    <col min="798" max="798" width="8.69921875" style="37" customWidth="1"/>
    <col min="799" max="799" width="7.09765625" style="37" customWidth="1"/>
    <col min="800" max="800" width="9.5" style="37" customWidth="1"/>
    <col min="801" max="801" width="8.59765625" style="37" customWidth="1"/>
    <col min="802" max="802" width="8.8984375" style="37" customWidth="1"/>
    <col min="803" max="803" width="8.09765625" style="37" customWidth="1"/>
    <col min="804" max="806" width="7.59765625" style="37" customWidth="1"/>
    <col min="807" max="807" width="6.5" style="37" customWidth="1"/>
    <col min="808" max="816" width="8.5" style="37" customWidth="1"/>
    <col min="817" max="817" width="7.5" style="37" customWidth="1"/>
    <col min="818" max="818" width="7.19921875" style="37" customWidth="1"/>
    <col min="819" max="819" width="8.5" style="37" customWidth="1"/>
    <col min="820" max="820" width="9.3984375" style="37" customWidth="1"/>
    <col min="821" max="823" width="8.5" style="37" customWidth="1"/>
    <col min="824" max="824" width="9.19921875" style="37" customWidth="1"/>
    <col min="825" max="827" width="8.5" style="37" customWidth="1"/>
    <col min="828" max="828" width="7.8984375" style="37" customWidth="1"/>
    <col min="829" max="829" width="8.5" style="37" customWidth="1"/>
    <col min="830" max="830" width="7.3984375" style="37" customWidth="1"/>
    <col min="831" max="831" width="7.59765625" style="37" customWidth="1"/>
    <col min="832" max="832" width="9.8984375" style="37" customWidth="1"/>
    <col min="833" max="833" width="8.19921875" style="37" customWidth="1"/>
    <col min="834" max="836" width="8.8984375" style="37" customWidth="1"/>
    <col min="837" max="837" width="8.69921875" style="37" customWidth="1"/>
    <col min="838" max="838" width="8" style="37" customWidth="1"/>
    <col min="839" max="839" width="8.19921875" style="37" customWidth="1"/>
    <col min="840" max="840" width="7.3984375" style="37" customWidth="1"/>
    <col min="841" max="841" width="8.8984375" style="37" customWidth="1"/>
    <col min="842" max="842" width="7.3984375" style="37" customWidth="1"/>
    <col min="843" max="843" width="6.59765625" style="37" customWidth="1"/>
    <col min="844" max="844" width="9.5" style="37" customWidth="1"/>
    <col min="845" max="845" width="8" style="37" customWidth="1"/>
    <col min="846" max="846" width="8.3984375" style="37" customWidth="1"/>
    <col min="847" max="847" width="8.5" style="37" customWidth="1"/>
    <col min="848" max="848" width="8" style="37" customWidth="1"/>
    <col min="849" max="849" width="7.8984375" style="37" customWidth="1"/>
    <col min="850" max="850" width="8" style="37" customWidth="1"/>
    <col min="851" max="851" width="8.5" style="37" customWidth="1"/>
    <col min="852" max="854" width="8.09765625" style="37" customWidth="1"/>
    <col min="855" max="855" width="8" style="37" customWidth="1"/>
    <col min="856" max="859" width="8.69921875" style="37" customWidth="1"/>
    <col min="860" max="860" width="7.59765625" style="37" customWidth="1"/>
    <col min="861" max="862" width="8.69921875" style="37" customWidth="1"/>
    <col min="863" max="863" width="7.69921875" style="37" customWidth="1"/>
    <col min="864" max="866" width="8" style="37" customWidth="1"/>
    <col min="867" max="867" width="7.8984375" style="37" customWidth="1"/>
    <col min="868" max="869" width="8.69921875" style="37" customWidth="1"/>
    <col min="870" max="870" width="8.3984375" style="37" customWidth="1"/>
    <col min="871" max="871" width="8" style="37" customWidth="1"/>
    <col min="872" max="872" width="7.8984375" style="37" customWidth="1"/>
    <col min="873" max="875" width="8.19921875" style="37" customWidth="1"/>
    <col min="876" max="878" width="8.09765625" style="37" customWidth="1"/>
    <col min="879" max="879" width="7.8984375" style="37" customWidth="1"/>
    <col min="880" max="880" width="8.8984375" style="37" customWidth="1"/>
    <col min="881" max="881" width="8.3984375" style="37" customWidth="1"/>
    <col min="882" max="882" width="8.19921875" style="37" customWidth="1"/>
    <col min="883" max="883" width="8.8984375" style="37" customWidth="1"/>
    <col min="884" max="884" width="8.09765625" style="37" customWidth="1"/>
    <col min="885" max="885" width="8.19921875" style="37" customWidth="1"/>
    <col min="886" max="886" width="8.8984375" style="37" customWidth="1"/>
    <col min="887" max="887" width="8" style="37" customWidth="1"/>
    <col min="888" max="890" width="7.8984375" style="37" customWidth="1"/>
    <col min="891" max="891" width="7.69921875" style="37" customWidth="1"/>
    <col min="892" max="895" width="8.8984375" style="37" customWidth="1"/>
    <col min="896" max="896" width="8.69921875" style="37" customWidth="1"/>
    <col min="897" max="897" width="8.59765625" style="37" customWidth="1"/>
    <col min="898" max="899" width="8.19921875" style="37" customWidth="1"/>
    <col min="900" max="900" width="7.59765625" style="37" customWidth="1"/>
    <col min="901" max="901" width="8" style="37" customWidth="1"/>
    <col min="902" max="902" width="7.09765625" style="37" customWidth="1"/>
    <col min="903" max="903" width="7.59765625" style="37" customWidth="1"/>
    <col min="904" max="904" width="8.8984375" style="37" customWidth="1"/>
    <col min="905" max="905" width="8.09765625" style="37" customWidth="1"/>
    <col min="906" max="910" width="8.8984375" style="37" customWidth="1"/>
    <col min="911" max="911" width="8" style="37" customWidth="1"/>
    <col min="912" max="912" width="7.69921875" style="37" customWidth="1"/>
    <col min="913" max="913" width="7.8984375" style="37" customWidth="1"/>
    <col min="914" max="914" width="7.3984375" style="37" customWidth="1"/>
    <col min="915" max="915" width="7.8984375" style="37" customWidth="1"/>
    <col min="916" max="922" width="8.8984375" style="37" customWidth="1"/>
    <col min="923" max="923" width="7.5" style="37" customWidth="1"/>
    <col min="924" max="924" width="7.19921875" style="37" customWidth="1"/>
    <col min="925" max="925" width="8.3984375" style="37" customWidth="1"/>
    <col min="926" max="926" width="7.19921875" style="37" customWidth="1"/>
    <col min="927" max="927" width="7.59765625" style="37" customWidth="1"/>
    <col min="928" max="1025" width="8.69921875" style="37"/>
    <col min="1026" max="1026" width="4.5" style="37" bestFit="1" customWidth="1"/>
    <col min="1027" max="1027" width="69.09765625" style="37" customWidth="1"/>
    <col min="1028" max="1028" width="9.19921875" style="37" customWidth="1"/>
    <col min="1029" max="1029" width="8.59765625" style="37" customWidth="1"/>
    <col min="1030" max="1030" width="9.3984375" style="37" customWidth="1"/>
    <col min="1031" max="1031" width="10.19921875" style="37" customWidth="1"/>
    <col min="1032" max="1032" width="10.59765625" style="37" customWidth="1"/>
    <col min="1033" max="1033" width="10" style="37" customWidth="1"/>
    <col min="1034" max="1035" width="8.5" style="37" customWidth="1"/>
    <col min="1036" max="1036" width="7.5" style="37" customWidth="1"/>
    <col min="1037" max="1037" width="7.09765625" style="37" customWidth="1"/>
    <col min="1038" max="1038" width="8.09765625" style="37" customWidth="1"/>
    <col min="1039" max="1040" width="7.5" style="37" customWidth="1"/>
    <col min="1041" max="1041" width="8.59765625" style="37" customWidth="1"/>
    <col min="1042" max="1044" width="7.5" style="37" customWidth="1"/>
    <col min="1045" max="1045" width="8.3984375" style="37" customWidth="1"/>
    <col min="1046" max="1046" width="7.5" style="37" customWidth="1"/>
    <col min="1047" max="1047" width="8.19921875" style="37" customWidth="1"/>
    <col min="1048" max="1050" width="7.5" style="37" customWidth="1"/>
    <col min="1051" max="1051" width="8.19921875" style="37" customWidth="1"/>
    <col min="1052" max="1052" width="8.09765625" style="37" customWidth="1"/>
    <col min="1053" max="1053" width="8.19921875" style="37" customWidth="1"/>
    <col min="1054" max="1054" width="8.69921875" style="37" customWidth="1"/>
    <col min="1055" max="1055" width="7.09765625" style="37" customWidth="1"/>
    <col min="1056" max="1056" width="9.5" style="37" customWidth="1"/>
    <col min="1057" max="1057" width="8.59765625" style="37" customWidth="1"/>
    <col min="1058" max="1058" width="8.8984375" style="37" customWidth="1"/>
    <col min="1059" max="1059" width="8.09765625" style="37" customWidth="1"/>
    <col min="1060" max="1062" width="7.59765625" style="37" customWidth="1"/>
    <col min="1063" max="1063" width="6.5" style="37" customWidth="1"/>
    <col min="1064" max="1072" width="8.5" style="37" customWidth="1"/>
    <col min="1073" max="1073" width="7.5" style="37" customWidth="1"/>
    <col min="1074" max="1074" width="7.19921875" style="37" customWidth="1"/>
    <col min="1075" max="1075" width="8.5" style="37" customWidth="1"/>
    <col min="1076" max="1076" width="9.3984375" style="37" customWidth="1"/>
    <col min="1077" max="1079" width="8.5" style="37" customWidth="1"/>
    <col min="1080" max="1080" width="9.19921875" style="37" customWidth="1"/>
    <col min="1081" max="1083" width="8.5" style="37" customWidth="1"/>
    <col min="1084" max="1084" width="7.8984375" style="37" customWidth="1"/>
    <col min="1085" max="1085" width="8.5" style="37" customWidth="1"/>
    <col min="1086" max="1086" width="7.3984375" style="37" customWidth="1"/>
    <col min="1087" max="1087" width="7.59765625" style="37" customWidth="1"/>
    <col min="1088" max="1088" width="9.8984375" style="37" customWidth="1"/>
    <col min="1089" max="1089" width="8.19921875" style="37" customWidth="1"/>
    <col min="1090" max="1092" width="8.8984375" style="37" customWidth="1"/>
    <col min="1093" max="1093" width="8.69921875" style="37" customWidth="1"/>
    <col min="1094" max="1094" width="8" style="37" customWidth="1"/>
    <col min="1095" max="1095" width="8.19921875" style="37" customWidth="1"/>
    <col min="1096" max="1096" width="7.3984375" style="37" customWidth="1"/>
    <col min="1097" max="1097" width="8.8984375" style="37" customWidth="1"/>
    <col min="1098" max="1098" width="7.3984375" style="37" customWidth="1"/>
    <col min="1099" max="1099" width="6.59765625" style="37" customWidth="1"/>
    <col min="1100" max="1100" width="9.5" style="37" customWidth="1"/>
    <col min="1101" max="1101" width="8" style="37" customWidth="1"/>
    <col min="1102" max="1102" width="8.3984375" style="37" customWidth="1"/>
    <col min="1103" max="1103" width="8.5" style="37" customWidth="1"/>
    <col min="1104" max="1104" width="8" style="37" customWidth="1"/>
    <col min="1105" max="1105" width="7.8984375" style="37" customWidth="1"/>
    <col min="1106" max="1106" width="8" style="37" customWidth="1"/>
    <col min="1107" max="1107" width="8.5" style="37" customWidth="1"/>
    <col min="1108" max="1110" width="8.09765625" style="37" customWidth="1"/>
    <col min="1111" max="1111" width="8" style="37" customWidth="1"/>
    <col min="1112" max="1115" width="8.69921875" style="37" customWidth="1"/>
    <col min="1116" max="1116" width="7.59765625" style="37" customWidth="1"/>
    <col min="1117" max="1118" width="8.69921875" style="37" customWidth="1"/>
    <col min="1119" max="1119" width="7.69921875" style="37" customWidth="1"/>
    <col min="1120" max="1122" width="8" style="37" customWidth="1"/>
    <col min="1123" max="1123" width="7.8984375" style="37" customWidth="1"/>
    <col min="1124" max="1125" width="8.69921875" style="37" customWidth="1"/>
    <col min="1126" max="1126" width="8.3984375" style="37" customWidth="1"/>
    <col min="1127" max="1127" width="8" style="37" customWidth="1"/>
    <col min="1128" max="1128" width="7.8984375" style="37" customWidth="1"/>
    <col min="1129" max="1131" width="8.19921875" style="37" customWidth="1"/>
    <col min="1132" max="1134" width="8.09765625" style="37" customWidth="1"/>
    <col min="1135" max="1135" width="7.8984375" style="37" customWidth="1"/>
    <col min="1136" max="1136" width="8.8984375" style="37" customWidth="1"/>
    <col min="1137" max="1137" width="8.3984375" style="37" customWidth="1"/>
    <col min="1138" max="1138" width="8.19921875" style="37" customWidth="1"/>
    <col min="1139" max="1139" width="8.8984375" style="37" customWidth="1"/>
    <col min="1140" max="1140" width="8.09765625" style="37" customWidth="1"/>
    <col min="1141" max="1141" width="8.19921875" style="37" customWidth="1"/>
    <col min="1142" max="1142" width="8.8984375" style="37" customWidth="1"/>
    <col min="1143" max="1143" width="8" style="37" customWidth="1"/>
    <col min="1144" max="1146" width="7.8984375" style="37" customWidth="1"/>
    <col min="1147" max="1147" width="7.69921875" style="37" customWidth="1"/>
    <col min="1148" max="1151" width="8.8984375" style="37" customWidth="1"/>
    <col min="1152" max="1152" width="8.69921875" style="37" customWidth="1"/>
    <col min="1153" max="1153" width="8.59765625" style="37" customWidth="1"/>
    <col min="1154" max="1155" width="8.19921875" style="37" customWidth="1"/>
    <col min="1156" max="1156" width="7.59765625" style="37" customWidth="1"/>
    <col min="1157" max="1157" width="8" style="37" customWidth="1"/>
    <col min="1158" max="1158" width="7.09765625" style="37" customWidth="1"/>
    <col min="1159" max="1159" width="7.59765625" style="37" customWidth="1"/>
    <col min="1160" max="1160" width="8.8984375" style="37" customWidth="1"/>
    <col min="1161" max="1161" width="8.09765625" style="37" customWidth="1"/>
    <col min="1162" max="1166" width="8.8984375" style="37" customWidth="1"/>
    <col min="1167" max="1167" width="8" style="37" customWidth="1"/>
    <col min="1168" max="1168" width="7.69921875" style="37" customWidth="1"/>
    <col min="1169" max="1169" width="7.8984375" style="37" customWidth="1"/>
    <col min="1170" max="1170" width="7.3984375" style="37" customWidth="1"/>
    <col min="1171" max="1171" width="7.8984375" style="37" customWidth="1"/>
    <col min="1172" max="1178" width="8.8984375" style="37" customWidth="1"/>
    <col min="1179" max="1179" width="7.5" style="37" customWidth="1"/>
    <col min="1180" max="1180" width="7.19921875" style="37" customWidth="1"/>
    <col min="1181" max="1181" width="8.3984375" style="37" customWidth="1"/>
    <col min="1182" max="1182" width="7.19921875" style="37" customWidth="1"/>
    <col min="1183" max="1183" width="7.59765625" style="37" customWidth="1"/>
    <col min="1184" max="1281" width="8.69921875" style="37"/>
    <col min="1282" max="1282" width="4.5" style="37" bestFit="1" customWidth="1"/>
    <col min="1283" max="1283" width="69.09765625" style="37" customWidth="1"/>
    <col min="1284" max="1284" width="9.19921875" style="37" customWidth="1"/>
    <col min="1285" max="1285" width="8.59765625" style="37" customWidth="1"/>
    <col min="1286" max="1286" width="9.3984375" style="37" customWidth="1"/>
    <col min="1287" max="1287" width="10.19921875" style="37" customWidth="1"/>
    <col min="1288" max="1288" width="10.59765625" style="37" customWidth="1"/>
    <col min="1289" max="1289" width="10" style="37" customWidth="1"/>
    <col min="1290" max="1291" width="8.5" style="37" customWidth="1"/>
    <col min="1292" max="1292" width="7.5" style="37" customWidth="1"/>
    <col min="1293" max="1293" width="7.09765625" style="37" customWidth="1"/>
    <col min="1294" max="1294" width="8.09765625" style="37" customWidth="1"/>
    <col min="1295" max="1296" width="7.5" style="37" customWidth="1"/>
    <col min="1297" max="1297" width="8.59765625" style="37" customWidth="1"/>
    <col min="1298" max="1300" width="7.5" style="37" customWidth="1"/>
    <col min="1301" max="1301" width="8.3984375" style="37" customWidth="1"/>
    <col min="1302" max="1302" width="7.5" style="37" customWidth="1"/>
    <col min="1303" max="1303" width="8.19921875" style="37" customWidth="1"/>
    <col min="1304" max="1306" width="7.5" style="37" customWidth="1"/>
    <col min="1307" max="1307" width="8.19921875" style="37" customWidth="1"/>
    <col min="1308" max="1308" width="8.09765625" style="37" customWidth="1"/>
    <col min="1309" max="1309" width="8.19921875" style="37" customWidth="1"/>
    <col min="1310" max="1310" width="8.69921875" style="37" customWidth="1"/>
    <col min="1311" max="1311" width="7.09765625" style="37" customWidth="1"/>
    <col min="1312" max="1312" width="9.5" style="37" customWidth="1"/>
    <col min="1313" max="1313" width="8.59765625" style="37" customWidth="1"/>
    <col min="1314" max="1314" width="8.8984375" style="37" customWidth="1"/>
    <col min="1315" max="1315" width="8.09765625" style="37" customWidth="1"/>
    <col min="1316" max="1318" width="7.59765625" style="37" customWidth="1"/>
    <col min="1319" max="1319" width="6.5" style="37" customWidth="1"/>
    <col min="1320" max="1328" width="8.5" style="37" customWidth="1"/>
    <col min="1329" max="1329" width="7.5" style="37" customWidth="1"/>
    <col min="1330" max="1330" width="7.19921875" style="37" customWidth="1"/>
    <col min="1331" max="1331" width="8.5" style="37" customWidth="1"/>
    <col min="1332" max="1332" width="9.3984375" style="37" customWidth="1"/>
    <col min="1333" max="1335" width="8.5" style="37" customWidth="1"/>
    <col min="1336" max="1336" width="9.19921875" style="37" customWidth="1"/>
    <col min="1337" max="1339" width="8.5" style="37" customWidth="1"/>
    <col min="1340" max="1340" width="7.8984375" style="37" customWidth="1"/>
    <col min="1341" max="1341" width="8.5" style="37" customWidth="1"/>
    <col min="1342" max="1342" width="7.3984375" style="37" customWidth="1"/>
    <col min="1343" max="1343" width="7.59765625" style="37" customWidth="1"/>
    <col min="1344" max="1344" width="9.8984375" style="37" customWidth="1"/>
    <col min="1345" max="1345" width="8.19921875" style="37" customWidth="1"/>
    <col min="1346" max="1348" width="8.8984375" style="37" customWidth="1"/>
    <col min="1349" max="1349" width="8.69921875" style="37" customWidth="1"/>
    <col min="1350" max="1350" width="8" style="37" customWidth="1"/>
    <col min="1351" max="1351" width="8.19921875" style="37" customWidth="1"/>
    <col min="1352" max="1352" width="7.3984375" style="37" customWidth="1"/>
    <col min="1353" max="1353" width="8.8984375" style="37" customWidth="1"/>
    <col min="1354" max="1354" width="7.3984375" style="37" customWidth="1"/>
    <col min="1355" max="1355" width="6.59765625" style="37" customWidth="1"/>
    <col min="1356" max="1356" width="9.5" style="37" customWidth="1"/>
    <col min="1357" max="1357" width="8" style="37" customWidth="1"/>
    <col min="1358" max="1358" width="8.3984375" style="37" customWidth="1"/>
    <col min="1359" max="1359" width="8.5" style="37" customWidth="1"/>
    <col min="1360" max="1360" width="8" style="37" customWidth="1"/>
    <col min="1361" max="1361" width="7.8984375" style="37" customWidth="1"/>
    <col min="1362" max="1362" width="8" style="37" customWidth="1"/>
    <col min="1363" max="1363" width="8.5" style="37" customWidth="1"/>
    <col min="1364" max="1366" width="8.09765625" style="37" customWidth="1"/>
    <col min="1367" max="1367" width="8" style="37" customWidth="1"/>
    <col min="1368" max="1371" width="8.69921875" style="37" customWidth="1"/>
    <col min="1372" max="1372" width="7.59765625" style="37" customWidth="1"/>
    <col min="1373" max="1374" width="8.69921875" style="37" customWidth="1"/>
    <col min="1375" max="1375" width="7.69921875" style="37" customWidth="1"/>
    <col min="1376" max="1378" width="8" style="37" customWidth="1"/>
    <col min="1379" max="1379" width="7.8984375" style="37" customWidth="1"/>
    <col min="1380" max="1381" width="8.69921875" style="37" customWidth="1"/>
    <col min="1382" max="1382" width="8.3984375" style="37" customWidth="1"/>
    <col min="1383" max="1383" width="8" style="37" customWidth="1"/>
    <col min="1384" max="1384" width="7.8984375" style="37" customWidth="1"/>
    <col min="1385" max="1387" width="8.19921875" style="37" customWidth="1"/>
    <col min="1388" max="1390" width="8.09765625" style="37" customWidth="1"/>
    <col min="1391" max="1391" width="7.8984375" style="37" customWidth="1"/>
    <col min="1392" max="1392" width="8.8984375" style="37" customWidth="1"/>
    <col min="1393" max="1393" width="8.3984375" style="37" customWidth="1"/>
    <col min="1394" max="1394" width="8.19921875" style="37" customWidth="1"/>
    <col min="1395" max="1395" width="8.8984375" style="37" customWidth="1"/>
    <col min="1396" max="1396" width="8.09765625" style="37" customWidth="1"/>
    <col min="1397" max="1397" width="8.19921875" style="37" customWidth="1"/>
    <col min="1398" max="1398" width="8.8984375" style="37" customWidth="1"/>
    <col min="1399" max="1399" width="8" style="37" customWidth="1"/>
    <col min="1400" max="1402" width="7.8984375" style="37" customWidth="1"/>
    <col min="1403" max="1403" width="7.69921875" style="37" customWidth="1"/>
    <col min="1404" max="1407" width="8.8984375" style="37" customWidth="1"/>
    <col min="1408" max="1408" width="8.69921875" style="37" customWidth="1"/>
    <col min="1409" max="1409" width="8.59765625" style="37" customWidth="1"/>
    <col min="1410" max="1411" width="8.19921875" style="37" customWidth="1"/>
    <col min="1412" max="1412" width="7.59765625" style="37" customWidth="1"/>
    <col min="1413" max="1413" width="8" style="37" customWidth="1"/>
    <col min="1414" max="1414" width="7.09765625" style="37" customWidth="1"/>
    <col min="1415" max="1415" width="7.59765625" style="37" customWidth="1"/>
    <col min="1416" max="1416" width="8.8984375" style="37" customWidth="1"/>
    <col min="1417" max="1417" width="8.09765625" style="37" customWidth="1"/>
    <col min="1418" max="1422" width="8.8984375" style="37" customWidth="1"/>
    <col min="1423" max="1423" width="8" style="37" customWidth="1"/>
    <col min="1424" max="1424" width="7.69921875" style="37" customWidth="1"/>
    <col min="1425" max="1425" width="7.8984375" style="37" customWidth="1"/>
    <col min="1426" max="1426" width="7.3984375" style="37" customWidth="1"/>
    <col min="1427" max="1427" width="7.8984375" style="37" customWidth="1"/>
    <col min="1428" max="1434" width="8.8984375" style="37" customWidth="1"/>
    <col min="1435" max="1435" width="7.5" style="37" customWidth="1"/>
    <col min="1436" max="1436" width="7.19921875" style="37" customWidth="1"/>
    <col min="1437" max="1437" width="8.3984375" style="37" customWidth="1"/>
    <col min="1438" max="1438" width="7.19921875" style="37" customWidth="1"/>
    <col min="1439" max="1439" width="7.59765625" style="37" customWidth="1"/>
    <col min="1440" max="1537" width="8.69921875" style="37"/>
    <col min="1538" max="1538" width="4.5" style="37" bestFit="1" customWidth="1"/>
    <col min="1539" max="1539" width="69.09765625" style="37" customWidth="1"/>
    <col min="1540" max="1540" width="9.19921875" style="37" customWidth="1"/>
    <col min="1541" max="1541" width="8.59765625" style="37" customWidth="1"/>
    <col min="1542" max="1542" width="9.3984375" style="37" customWidth="1"/>
    <col min="1543" max="1543" width="10.19921875" style="37" customWidth="1"/>
    <col min="1544" max="1544" width="10.59765625" style="37" customWidth="1"/>
    <col min="1545" max="1545" width="10" style="37" customWidth="1"/>
    <col min="1546" max="1547" width="8.5" style="37" customWidth="1"/>
    <col min="1548" max="1548" width="7.5" style="37" customWidth="1"/>
    <col min="1549" max="1549" width="7.09765625" style="37" customWidth="1"/>
    <col min="1550" max="1550" width="8.09765625" style="37" customWidth="1"/>
    <col min="1551" max="1552" width="7.5" style="37" customWidth="1"/>
    <col min="1553" max="1553" width="8.59765625" style="37" customWidth="1"/>
    <col min="1554" max="1556" width="7.5" style="37" customWidth="1"/>
    <col min="1557" max="1557" width="8.3984375" style="37" customWidth="1"/>
    <col min="1558" max="1558" width="7.5" style="37" customWidth="1"/>
    <col min="1559" max="1559" width="8.19921875" style="37" customWidth="1"/>
    <col min="1560" max="1562" width="7.5" style="37" customWidth="1"/>
    <col min="1563" max="1563" width="8.19921875" style="37" customWidth="1"/>
    <col min="1564" max="1564" width="8.09765625" style="37" customWidth="1"/>
    <col min="1565" max="1565" width="8.19921875" style="37" customWidth="1"/>
    <col min="1566" max="1566" width="8.69921875" style="37" customWidth="1"/>
    <col min="1567" max="1567" width="7.09765625" style="37" customWidth="1"/>
    <col min="1568" max="1568" width="9.5" style="37" customWidth="1"/>
    <col min="1569" max="1569" width="8.59765625" style="37" customWidth="1"/>
    <col min="1570" max="1570" width="8.8984375" style="37" customWidth="1"/>
    <col min="1571" max="1571" width="8.09765625" style="37" customWidth="1"/>
    <col min="1572" max="1574" width="7.59765625" style="37" customWidth="1"/>
    <col min="1575" max="1575" width="6.5" style="37" customWidth="1"/>
    <col min="1576" max="1584" width="8.5" style="37" customWidth="1"/>
    <col min="1585" max="1585" width="7.5" style="37" customWidth="1"/>
    <col min="1586" max="1586" width="7.19921875" style="37" customWidth="1"/>
    <col min="1587" max="1587" width="8.5" style="37" customWidth="1"/>
    <col min="1588" max="1588" width="9.3984375" style="37" customWidth="1"/>
    <col min="1589" max="1591" width="8.5" style="37" customWidth="1"/>
    <col min="1592" max="1592" width="9.19921875" style="37" customWidth="1"/>
    <col min="1593" max="1595" width="8.5" style="37" customWidth="1"/>
    <col min="1596" max="1596" width="7.8984375" style="37" customWidth="1"/>
    <col min="1597" max="1597" width="8.5" style="37" customWidth="1"/>
    <col min="1598" max="1598" width="7.3984375" style="37" customWidth="1"/>
    <col min="1599" max="1599" width="7.59765625" style="37" customWidth="1"/>
    <col min="1600" max="1600" width="9.8984375" style="37" customWidth="1"/>
    <col min="1601" max="1601" width="8.19921875" style="37" customWidth="1"/>
    <col min="1602" max="1604" width="8.8984375" style="37" customWidth="1"/>
    <col min="1605" max="1605" width="8.69921875" style="37" customWidth="1"/>
    <col min="1606" max="1606" width="8" style="37" customWidth="1"/>
    <col min="1607" max="1607" width="8.19921875" style="37" customWidth="1"/>
    <col min="1608" max="1608" width="7.3984375" style="37" customWidth="1"/>
    <col min="1609" max="1609" width="8.8984375" style="37" customWidth="1"/>
    <col min="1610" max="1610" width="7.3984375" style="37" customWidth="1"/>
    <col min="1611" max="1611" width="6.59765625" style="37" customWidth="1"/>
    <col min="1612" max="1612" width="9.5" style="37" customWidth="1"/>
    <col min="1613" max="1613" width="8" style="37" customWidth="1"/>
    <col min="1614" max="1614" width="8.3984375" style="37" customWidth="1"/>
    <col min="1615" max="1615" width="8.5" style="37" customWidth="1"/>
    <col min="1616" max="1616" width="8" style="37" customWidth="1"/>
    <col min="1617" max="1617" width="7.8984375" style="37" customWidth="1"/>
    <col min="1618" max="1618" width="8" style="37" customWidth="1"/>
    <col min="1619" max="1619" width="8.5" style="37" customWidth="1"/>
    <col min="1620" max="1622" width="8.09765625" style="37" customWidth="1"/>
    <col min="1623" max="1623" width="8" style="37" customWidth="1"/>
    <col min="1624" max="1627" width="8.69921875" style="37" customWidth="1"/>
    <col min="1628" max="1628" width="7.59765625" style="37" customWidth="1"/>
    <col min="1629" max="1630" width="8.69921875" style="37" customWidth="1"/>
    <col min="1631" max="1631" width="7.69921875" style="37" customWidth="1"/>
    <col min="1632" max="1634" width="8" style="37" customWidth="1"/>
    <col min="1635" max="1635" width="7.8984375" style="37" customWidth="1"/>
    <col min="1636" max="1637" width="8.69921875" style="37" customWidth="1"/>
    <col min="1638" max="1638" width="8.3984375" style="37" customWidth="1"/>
    <col min="1639" max="1639" width="8" style="37" customWidth="1"/>
    <col min="1640" max="1640" width="7.8984375" style="37" customWidth="1"/>
    <col min="1641" max="1643" width="8.19921875" style="37" customWidth="1"/>
    <col min="1644" max="1646" width="8.09765625" style="37" customWidth="1"/>
    <col min="1647" max="1647" width="7.8984375" style="37" customWidth="1"/>
    <col min="1648" max="1648" width="8.8984375" style="37" customWidth="1"/>
    <col min="1649" max="1649" width="8.3984375" style="37" customWidth="1"/>
    <col min="1650" max="1650" width="8.19921875" style="37" customWidth="1"/>
    <col min="1651" max="1651" width="8.8984375" style="37" customWidth="1"/>
    <col min="1652" max="1652" width="8.09765625" style="37" customWidth="1"/>
    <col min="1653" max="1653" width="8.19921875" style="37" customWidth="1"/>
    <col min="1654" max="1654" width="8.8984375" style="37" customWidth="1"/>
    <col min="1655" max="1655" width="8" style="37" customWidth="1"/>
    <col min="1656" max="1658" width="7.8984375" style="37" customWidth="1"/>
    <col min="1659" max="1659" width="7.69921875" style="37" customWidth="1"/>
    <col min="1660" max="1663" width="8.8984375" style="37" customWidth="1"/>
    <col min="1664" max="1664" width="8.69921875" style="37" customWidth="1"/>
    <col min="1665" max="1665" width="8.59765625" style="37" customWidth="1"/>
    <col min="1666" max="1667" width="8.19921875" style="37" customWidth="1"/>
    <col min="1668" max="1668" width="7.59765625" style="37" customWidth="1"/>
    <col min="1669" max="1669" width="8" style="37" customWidth="1"/>
    <col min="1670" max="1670" width="7.09765625" style="37" customWidth="1"/>
    <col min="1671" max="1671" width="7.59765625" style="37" customWidth="1"/>
    <col min="1672" max="1672" width="8.8984375" style="37" customWidth="1"/>
    <col min="1673" max="1673" width="8.09765625" style="37" customWidth="1"/>
    <col min="1674" max="1678" width="8.8984375" style="37" customWidth="1"/>
    <col min="1679" max="1679" width="8" style="37" customWidth="1"/>
    <col min="1680" max="1680" width="7.69921875" style="37" customWidth="1"/>
    <col min="1681" max="1681" width="7.8984375" style="37" customWidth="1"/>
    <col min="1682" max="1682" width="7.3984375" style="37" customWidth="1"/>
    <col min="1683" max="1683" width="7.8984375" style="37" customWidth="1"/>
    <col min="1684" max="1690" width="8.8984375" style="37" customWidth="1"/>
    <col min="1691" max="1691" width="7.5" style="37" customWidth="1"/>
    <col min="1692" max="1692" width="7.19921875" style="37" customWidth="1"/>
    <col min="1693" max="1693" width="8.3984375" style="37" customWidth="1"/>
    <col min="1694" max="1694" width="7.19921875" style="37" customWidth="1"/>
    <col min="1695" max="1695" width="7.59765625" style="37" customWidth="1"/>
    <col min="1696" max="1793" width="8.69921875" style="37"/>
    <col min="1794" max="1794" width="4.5" style="37" bestFit="1" customWidth="1"/>
    <col min="1795" max="1795" width="69.09765625" style="37" customWidth="1"/>
    <col min="1796" max="1796" width="9.19921875" style="37" customWidth="1"/>
    <col min="1797" max="1797" width="8.59765625" style="37" customWidth="1"/>
    <col min="1798" max="1798" width="9.3984375" style="37" customWidth="1"/>
    <col min="1799" max="1799" width="10.19921875" style="37" customWidth="1"/>
    <col min="1800" max="1800" width="10.59765625" style="37" customWidth="1"/>
    <col min="1801" max="1801" width="10" style="37" customWidth="1"/>
    <col min="1802" max="1803" width="8.5" style="37" customWidth="1"/>
    <col min="1804" max="1804" width="7.5" style="37" customWidth="1"/>
    <col min="1805" max="1805" width="7.09765625" style="37" customWidth="1"/>
    <col min="1806" max="1806" width="8.09765625" style="37" customWidth="1"/>
    <col min="1807" max="1808" width="7.5" style="37" customWidth="1"/>
    <col min="1809" max="1809" width="8.59765625" style="37" customWidth="1"/>
    <col min="1810" max="1812" width="7.5" style="37" customWidth="1"/>
    <col min="1813" max="1813" width="8.3984375" style="37" customWidth="1"/>
    <col min="1814" max="1814" width="7.5" style="37" customWidth="1"/>
    <col min="1815" max="1815" width="8.19921875" style="37" customWidth="1"/>
    <col min="1816" max="1818" width="7.5" style="37" customWidth="1"/>
    <col min="1819" max="1819" width="8.19921875" style="37" customWidth="1"/>
    <col min="1820" max="1820" width="8.09765625" style="37" customWidth="1"/>
    <col min="1821" max="1821" width="8.19921875" style="37" customWidth="1"/>
    <col min="1822" max="1822" width="8.69921875" style="37" customWidth="1"/>
    <col min="1823" max="1823" width="7.09765625" style="37" customWidth="1"/>
    <col min="1824" max="1824" width="9.5" style="37" customWidth="1"/>
    <col min="1825" max="1825" width="8.59765625" style="37" customWidth="1"/>
    <col min="1826" max="1826" width="8.8984375" style="37" customWidth="1"/>
    <col min="1827" max="1827" width="8.09765625" style="37" customWidth="1"/>
    <col min="1828" max="1830" width="7.59765625" style="37" customWidth="1"/>
    <col min="1831" max="1831" width="6.5" style="37" customWidth="1"/>
    <col min="1832" max="1840" width="8.5" style="37" customWidth="1"/>
    <col min="1841" max="1841" width="7.5" style="37" customWidth="1"/>
    <col min="1842" max="1842" width="7.19921875" style="37" customWidth="1"/>
    <col min="1843" max="1843" width="8.5" style="37" customWidth="1"/>
    <col min="1844" max="1844" width="9.3984375" style="37" customWidth="1"/>
    <col min="1845" max="1847" width="8.5" style="37" customWidth="1"/>
    <col min="1848" max="1848" width="9.19921875" style="37" customWidth="1"/>
    <col min="1849" max="1851" width="8.5" style="37" customWidth="1"/>
    <col min="1852" max="1852" width="7.8984375" style="37" customWidth="1"/>
    <col min="1853" max="1853" width="8.5" style="37" customWidth="1"/>
    <col min="1854" max="1854" width="7.3984375" style="37" customWidth="1"/>
    <col min="1855" max="1855" width="7.59765625" style="37" customWidth="1"/>
    <col min="1856" max="1856" width="9.8984375" style="37" customWidth="1"/>
    <col min="1857" max="1857" width="8.19921875" style="37" customWidth="1"/>
    <col min="1858" max="1860" width="8.8984375" style="37" customWidth="1"/>
    <col min="1861" max="1861" width="8.69921875" style="37" customWidth="1"/>
    <col min="1862" max="1862" width="8" style="37" customWidth="1"/>
    <col min="1863" max="1863" width="8.19921875" style="37" customWidth="1"/>
    <col min="1864" max="1864" width="7.3984375" style="37" customWidth="1"/>
    <col min="1865" max="1865" width="8.8984375" style="37" customWidth="1"/>
    <col min="1866" max="1866" width="7.3984375" style="37" customWidth="1"/>
    <col min="1867" max="1867" width="6.59765625" style="37" customWidth="1"/>
    <col min="1868" max="1868" width="9.5" style="37" customWidth="1"/>
    <col min="1869" max="1869" width="8" style="37" customWidth="1"/>
    <col min="1870" max="1870" width="8.3984375" style="37" customWidth="1"/>
    <col min="1871" max="1871" width="8.5" style="37" customWidth="1"/>
    <col min="1872" max="1872" width="8" style="37" customWidth="1"/>
    <col min="1873" max="1873" width="7.8984375" style="37" customWidth="1"/>
    <col min="1874" max="1874" width="8" style="37" customWidth="1"/>
    <col min="1875" max="1875" width="8.5" style="37" customWidth="1"/>
    <col min="1876" max="1878" width="8.09765625" style="37" customWidth="1"/>
    <col min="1879" max="1879" width="8" style="37" customWidth="1"/>
    <col min="1880" max="1883" width="8.69921875" style="37" customWidth="1"/>
    <col min="1884" max="1884" width="7.59765625" style="37" customWidth="1"/>
    <col min="1885" max="1886" width="8.69921875" style="37" customWidth="1"/>
    <col min="1887" max="1887" width="7.69921875" style="37" customWidth="1"/>
    <col min="1888" max="1890" width="8" style="37" customWidth="1"/>
    <col min="1891" max="1891" width="7.8984375" style="37" customWidth="1"/>
    <col min="1892" max="1893" width="8.69921875" style="37" customWidth="1"/>
    <col min="1894" max="1894" width="8.3984375" style="37" customWidth="1"/>
    <col min="1895" max="1895" width="8" style="37" customWidth="1"/>
    <col min="1896" max="1896" width="7.8984375" style="37" customWidth="1"/>
    <col min="1897" max="1899" width="8.19921875" style="37" customWidth="1"/>
    <col min="1900" max="1902" width="8.09765625" style="37" customWidth="1"/>
    <col min="1903" max="1903" width="7.8984375" style="37" customWidth="1"/>
    <col min="1904" max="1904" width="8.8984375" style="37" customWidth="1"/>
    <col min="1905" max="1905" width="8.3984375" style="37" customWidth="1"/>
    <col min="1906" max="1906" width="8.19921875" style="37" customWidth="1"/>
    <col min="1907" max="1907" width="8.8984375" style="37" customWidth="1"/>
    <col min="1908" max="1908" width="8.09765625" style="37" customWidth="1"/>
    <col min="1909" max="1909" width="8.19921875" style="37" customWidth="1"/>
    <col min="1910" max="1910" width="8.8984375" style="37" customWidth="1"/>
    <col min="1911" max="1911" width="8" style="37" customWidth="1"/>
    <col min="1912" max="1914" width="7.8984375" style="37" customWidth="1"/>
    <col min="1915" max="1915" width="7.69921875" style="37" customWidth="1"/>
    <col min="1916" max="1919" width="8.8984375" style="37" customWidth="1"/>
    <col min="1920" max="1920" width="8.69921875" style="37" customWidth="1"/>
    <col min="1921" max="1921" width="8.59765625" style="37" customWidth="1"/>
    <col min="1922" max="1923" width="8.19921875" style="37" customWidth="1"/>
    <col min="1924" max="1924" width="7.59765625" style="37" customWidth="1"/>
    <col min="1925" max="1925" width="8" style="37" customWidth="1"/>
    <col min="1926" max="1926" width="7.09765625" style="37" customWidth="1"/>
    <col min="1927" max="1927" width="7.59765625" style="37" customWidth="1"/>
    <col min="1928" max="1928" width="8.8984375" style="37" customWidth="1"/>
    <col min="1929" max="1929" width="8.09765625" style="37" customWidth="1"/>
    <col min="1930" max="1934" width="8.8984375" style="37" customWidth="1"/>
    <col min="1935" max="1935" width="8" style="37" customWidth="1"/>
    <col min="1936" max="1936" width="7.69921875" style="37" customWidth="1"/>
    <col min="1937" max="1937" width="7.8984375" style="37" customWidth="1"/>
    <col min="1938" max="1938" width="7.3984375" style="37" customWidth="1"/>
    <col min="1939" max="1939" width="7.8984375" style="37" customWidth="1"/>
    <col min="1940" max="1946" width="8.8984375" style="37" customWidth="1"/>
    <col min="1947" max="1947" width="7.5" style="37" customWidth="1"/>
    <col min="1948" max="1948" width="7.19921875" style="37" customWidth="1"/>
    <col min="1949" max="1949" width="8.3984375" style="37" customWidth="1"/>
    <col min="1950" max="1950" width="7.19921875" style="37" customWidth="1"/>
    <col min="1951" max="1951" width="7.59765625" style="37" customWidth="1"/>
    <col min="1952" max="2049" width="8.69921875" style="37"/>
    <col min="2050" max="2050" width="4.5" style="37" bestFit="1" customWidth="1"/>
    <col min="2051" max="2051" width="69.09765625" style="37" customWidth="1"/>
    <col min="2052" max="2052" width="9.19921875" style="37" customWidth="1"/>
    <col min="2053" max="2053" width="8.59765625" style="37" customWidth="1"/>
    <col min="2054" max="2054" width="9.3984375" style="37" customWidth="1"/>
    <col min="2055" max="2055" width="10.19921875" style="37" customWidth="1"/>
    <col min="2056" max="2056" width="10.59765625" style="37" customWidth="1"/>
    <col min="2057" max="2057" width="10" style="37" customWidth="1"/>
    <col min="2058" max="2059" width="8.5" style="37" customWidth="1"/>
    <col min="2060" max="2060" width="7.5" style="37" customWidth="1"/>
    <col min="2061" max="2061" width="7.09765625" style="37" customWidth="1"/>
    <col min="2062" max="2062" width="8.09765625" style="37" customWidth="1"/>
    <col min="2063" max="2064" width="7.5" style="37" customWidth="1"/>
    <col min="2065" max="2065" width="8.59765625" style="37" customWidth="1"/>
    <col min="2066" max="2068" width="7.5" style="37" customWidth="1"/>
    <col min="2069" max="2069" width="8.3984375" style="37" customWidth="1"/>
    <col min="2070" max="2070" width="7.5" style="37" customWidth="1"/>
    <col min="2071" max="2071" width="8.19921875" style="37" customWidth="1"/>
    <col min="2072" max="2074" width="7.5" style="37" customWidth="1"/>
    <col min="2075" max="2075" width="8.19921875" style="37" customWidth="1"/>
    <col min="2076" max="2076" width="8.09765625" style="37" customWidth="1"/>
    <col min="2077" max="2077" width="8.19921875" style="37" customWidth="1"/>
    <col min="2078" max="2078" width="8.69921875" style="37" customWidth="1"/>
    <col min="2079" max="2079" width="7.09765625" style="37" customWidth="1"/>
    <col min="2080" max="2080" width="9.5" style="37" customWidth="1"/>
    <col min="2081" max="2081" width="8.59765625" style="37" customWidth="1"/>
    <col min="2082" max="2082" width="8.8984375" style="37" customWidth="1"/>
    <col min="2083" max="2083" width="8.09765625" style="37" customWidth="1"/>
    <col min="2084" max="2086" width="7.59765625" style="37" customWidth="1"/>
    <col min="2087" max="2087" width="6.5" style="37" customWidth="1"/>
    <col min="2088" max="2096" width="8.5" style="37" customWidth="1"/>
    <col min="2097" max="2097" width="7.5" style="37" customWidth="1"/>
    <col min="2098" max="2098" width="7.19921875" style="37" customWidth="1"/>
    <col min="2099" max="2099" width="8.5" style="37" customWidth="1"/>
    <col min="2100" max="2100" width="9.3984375" style="37" customWidth="1"/>
    <col min="2101" max="2103" width="8.5" style="37" customWidth="1"/>
    <col min="2104" max="2104" width="9.19921875" style="37" customWidth="1"/>
    <col min="2105" max="2107" width="8.5" style="37" customWidth="1"/>
    <col min="2108" max="2108" width="7.8984375" style="37" customWidth="1"/>
    <col min="2109" max="2109" width="8.5" style="37" customWidth="1"/>
    <col min="2110" max="2110" width="7.3984375" style="37" customWidth="1"/>
    <col min="2111" max="2111" width="7.59765625" style="37" customWidth="1"/>
    <col min="2112" max="2112" width="9.8984375" style="37" customWidth="1"/>
    <col min="2113" max="2113" width="8.19921875" style="37" customWidth="1"/>
    <col min="2114" max="2116" width="8.8984375" style="37" customWidth="1"/>
    <col min="2117" max="2117" width="8.69921875" style="37" customWidth="1"/>
    <col min="2118" max="2118" width="8" style="37" customWidth="1"/>
    <col min="2119" max="2119" width="8.19921875" style="37" customWidth="1"/>
    <col min="2120" max="2120" width="7.3984375" style="37" customWidth="1"/>
    <col min="2121" max="2121" width="8.8984375" style="37" customWidth="1"/>
    <col min="2122" max="2122" width="7.3984375" style="37" customWidth="1"/>
    <col min="2123" max="2123" width="6.59765625" style="37" customWidth="1"/>
    <col min="2124" max="2124" width="9.5" style="37" customWidth="1"/>
    <col min="2125" max="2125" width="8" style="37" customWidth="1"/>
    <col min="2126" max="2126" width="8.3984375" style="37" customWidth="1"/>
    <col min="2127" max="2127" width="8.5" style="37" customWidth="1"/>
    <col min="2128" max="2128" width="8" style="37" customWidth="1"/>
    <col min="2129" max="2129" width="7.8984375" style="37" customWidth="1"/>
    <col min="2130" max="2130" width="8" style="37" customWidth="1"/>
    <col min="2131" max="2131" width="8.5" style="37" customWidth="1"/>
    <col min="2132" max="2134" width="8.09765625" style="37" customWidth="1"/>
    <col min="2135" max="2135" width="8" style="37" customWidth="1"/>
    <col min="2136" max="2139" width="8.69921875" style="37" customWidth="1"/>
    <col min="2140" max="2140" width="7.59765625" style="37" customWidth="1"/>
    <col min="2141" max="2142" width="8.69921875" style="37" customWidth="1"/>
    <col min="2143" max="2143" width="7.69921875" style="37" customWidth="1"/>
    <col min="2144" max="2146" width="8" style="37" customWidth="1"/>
    <col min="2147" max="2147" width="7.8984375" style="37" customWidth="1"/>
    <col min="2148" max="2149" width="8.69921875" style="37" customWidth="1"/>
    <col min="2150" max="2150" width="8.3984375" style="37" customWidth="1"/>
    <col min="2151" max="2151" width="8" style="37" customWidth="1"/>
    <col min="2152" max="2152" width="7.8984375" style="37" customWidth="1"/>
    <col min="2153" max="2155" width="8.19921875" style="37" customWidth="1"/>
    <col min="2156" max="2158" width="8.09765625" style="37" customWidth="1"/>
    <col min="2159" max="2159" width="7.8984375" style="37" customWidth="1"/>
    <col min="2160" max="2160" width="8.8984375" style="37" customWidth="1"/>
    <col min="2161" max="2161" width="8.3984375" style="37" customWidth="1"/>
    <col min="2162" max="2162" width="8.19921875" style="37" customWidth="1"/>
    <col min="2163" max="2163" width="8.8984375" style="37" customWidth="1"/>
    <col min="2164" max="2164" width="8.09765625" style="37" customWidth="1"/>
    <col min="2165" max="2165" width="8.19921875" style="37" customWidth="1"/>
    <col min="2166" max="2166" width="8.8984375" style="37" customWidth="1"/>
    <col min="2167" max="2167" width="8" style="37" customWidth="1"/>
    <col min="2168" max="2170" width="7.8984375" style="37" customWidth="1"/>
    <col min="2171" max="2171" width="7.69921875" style="37" customWidth="1"/>
    <col min="2172" max="2175" width="8.8984375" style="37" customWidth="1"/>
    <col min="2176" max="2176" width="8.69921875" style="37" customWidth="1"/>
    <col min="2177" max="2177" width="8.59765625" style="37" customWidth="1"/>
    <col min="2178" max="2179" width="8.19921875" style="37" customWidth="1"/>
    <col min="2180" max="2180" width="7.59765625" style="37" customWidth="1"/>
    <col min="2181" max="2181" width="8" style="37" customWidth="1"/>
    <col min="2182" max="2182" width="7.09765625" style="37" customWidth="1"/>
    <col min="2183" max="2183" width="7.59765625" style="37" customWidth="1"/>
    <col min="2184" max="2184" width="8.8984375" style="37" customWidth="1"/>
    <col min="2185" max="2185" width="8.09765625" style="37" customWidth="1"/>
    <col min="2186" max="2190" width="8.8984375" style="37" customWidth="1"/>
    <col min="2191" max="2191" width="8" style="37" customWidth="1"/>
    <col min="2192" max="2192" width="7.69921875" style="37" customWidth="1"/>
    <col min="2193" max="2193" width="7.8984375" style="37" customWidth="1"/>
    <col min="2194" max="2194" width="7.3984375" style="37" customWidth="1"/>
    <col min="2195" max="2195" width="7.8984375" style="37" customWidth="1"/>
    <col min="2196" max="2202" width="8.8984375" style="37" customWidth="1"/>
    <col min="2203" max="2203" width="7.5" style="37" customWidth="1"/>
    <col min="2204" max="2204" width="7.19921875" style="37" customWidth="1"/>
    <col min="2205" max="2205" width="8.3984375" style="37" customWidth="1"/>
    <col min="2206" max="2206" width="7.19921875" style="37" customWidth="1"/>
    <col min="2207" max="2207" width="7.59765625" style="37" customWidth="1"/>
    <col min="2208" max="2305" width="8.69921875" style="37"/>
    <col min="2306" max="2306" width="4.5" style="37" bestFit="1" customWidth="1"/>
    <col min="2307" max="2307" width="69.09765625" style="37" customWidth="1"/>
    <col min="2308" max="2308" width="9.19921875" style="37" customWidth="1"/>
    <col min="2309" max="2309" width="8.59765625" style="37" customWidth="1"/>
    <col min="2310" max="2310" width="9.3984375" style="37" customWidth="1"/>
    <col min="2311" max="2311" width="10.19921875" style="37" customWidth="1"/>
    <col min="2312" max="2312" width="10.59765625" style="37" customWidth="1"/>
    <col min="2313" max="2313" width="10" style="37" customWidth="1"/>
    <col min="2314" max="2315" width="8.5" style="37" customWidth="1"/>
    <col min="2316" max="2316" width="7.5" style="37" customWidth="1"/>
    <col min="2317" max="2317" width="7.09765625" style="37" customWidth="1"/>
    <col min="2318" max="2318" width="8.09765625" style="37" customWidth="1"/>
    <col min="2319" max="2320" width="7.5" style="37" customWidth="1"/>
    <col min="2321" max="2321" width="8.59765625" style="37" customWidth="1"/>
    <col min="2322" max="2324" width="7.5" style="37" customWidth="1"/>
    <col min="2325" max="2325" width="8.3984375" style="37" customWidth="1"/>
    <col min="2326" max="2326" width="7.5" style="37" customWidth="1"/>
    <col min="2327" max="2327" width="8.19921875" style="37" customWidth="1"/>
    <col min="2328" max="2330" width="7.5" style="37" customWidth="1"/>
    <col min="2331" max="2331" width="8.19921875" style="37" customWidth="1"/>
    <col min="2332" max="2332" width="8.09765625" style="37" customWidth="1"/>
    <col min="2333" max="2333" width="8.19921875" style="37" customWidth="1"/>
    <col min="2334" max="2334" width="8.69921875" style="37" customWidth="1"/>
    <col min="2335" max="2335" width="7.09765625" style="37" customWidth="1"/>
    <col min="2336" max="2336" width="9.5" style="37" customWidth="1"/>
    <col min="2337" max="2337" width="8.59765625" style="37" customWidth="1"/>
    <col min="2338" max="2338" width="8.8984375" style="37" customWidth="1"/>
    <col min="2339" max="2339" width="8.09765625" style="37" customWidth="1"/>
    <col min="2340" max="2342" width="7.59765625" style="37" customWidth="1"/>
    <col min="2343" max="2343" width="6.5" style="37" customWidth="1"/>
    <col min="2344" max="2352" width="8.5" style="37" customWidth="1"/>
    <col min="2353" max="2353" width="7.5" style="37" customWidth="1"/>
    <col min="2354" max="2354" width="7.19921875" style="37" customWidth="1"/>
    <col min="2355" max="2355" width="8.5" style="37" customWidth="1"/>
    <col min="2356" max="2356" width="9.3984375" style="37" customWidth="1"/>
    <col min="2357" max="2359" width="8.5" style="37" customWidth="1"/>
    <col min="2360" max="2360" width="9.19921875" style="37" customWidth="1"/>
    <col min="2361" max="2363" width="8.5" style="37" customWidth="1"/>
    <col min="2364" max="2364" width="7.8984375" style="37" customWidth="1"/>
    <col min="2365" max="2365" width="8.5" style="37" customWidth="1"/>
    <col min="2366" max="2366" width="7.3984375" style="37" customWidth="1"/>
    <col min="2367" max="2367" width="7.59765625" style="37" customWidth="1"/>
    <col min="2368" max="2368" width="9.8984375" style="37" customWidth="1"/>
    <col min="2369" max="2369" width="8.19921875" style="37" customWidth="1"/>
    <col min="2370" max="2372" width="8.8984375" style="37" customWidth="1"/>
    <col min="2373" max="2373" width="8.69921875" style="37" customWidth="1"/>
    <col min="2374" max="2374" width="8" style="37" customWidth="1"/>
    <col min="2375" max="2375" width="8.19921875" style="37" customWidth="1"/>
    <col min="2376" max="2376" width="7.3984375" style="37" customWidth="1"/>
    <col min="2377" max="2377" width="8.8984375" style="37" customWidth="1"/>
    <col min="2378" max="2378" width="7.3984375" style="37" customWidth="1"/>
    <col min="2379" max="2379" width="6.59765625" style="37" customWidth="1"/>
    <col min="2380" max="2380" width="9.5" style="37" customWidth="1"/>
    <col min="2381" max="2381" width="8" style="37" customWidth="1"/>
    <col min="2382" max="2382" width="8.3984375" style="37" customWidth="1"/>
    <col min="2383" max="2383" width="8.5" style="37" customWidth="1"/>
    <col min="2384" max="2384" width="8" style="37" customWidth="1"/>
    <col min="2385" max="2385" width="7.8984375" style="37" customWidth="1"/>
    <col min="2386" max="2386" width="8" style="37" customWidth="1"/>
    <col min="2387" max="2387" width="8.5" style="37" customWidth="1"/>
    <col min="2388" max="2390" width="8.09765625" style="37" customWidth="1"/>
    <col min="2391" max="2391" width="8" style="37" customWidth="1"/>
    <col min="2392" max="2395" width="8.69921875" style="37" customWidth="1"/>
    <col min="2396" max="2396" width="7.59765625" style="37" customWidth="1"/>
    <col min="2397" max="2398" width="8.69921875" style="37" customWidth="1"/>
    <col min="2399" max="2399" width="7.69921875" style="37" customWidth="1"/>
    <col min="2400" max="2402" width="8" style="37" customWidth="1"/>
    <col min="2403" max="2403" width="7.8984375" style="37" customWidth="1"/>
    <col min="2404" max="2405" width="8.69921875" style="37" customWidth="1"/>
    <col min="2406" max="2406" width="8.3984375" style="37" customWidth="1"/>
    <col min="2407" max="2407" width="8" style="37" customWidth="1"/>
    <col min="2408" max="2408" width="7.8984375" style="37" customWidth="1"/>
    <col min="2409" max="2411" width="8.19921875" style="37" customWidth="1"/>
    <col min="2412" max="2414" width="8.09765625" style="37" customWidth="1"/>
    <col min="2415" max="2415" width="7.8984375" style="37" customWidth="1"/>
    <col min="2416" max="2416" width="8.8984375" style="37" customWidth="1"/>
    <col min="2417" max="2417" width="8.3984375" style="37" customWidth="1"/>
    <col min="2418" max="2418" width="8.19921875" style="37" customWidth="1"/>
    <col min="2419" max="2419" width="8.8984375" style="37" customWidth="1"/>
    <col min="2420" max="2420" width="8.09765625" style="37" customWidth="1"/>
    <col min="2421" max="2421" width="8.19921875" style="37" customWidth="1"/>
    <col min="2422" max="2422" width="8.8984375" style="37" customWidth="1"/>
    <col min="2423" max="2423" width="8" style="37" customWidth="1"/>
    <col min="2424" max="2426" width="7.8984375" style="37" customWidth="1"/>
    <col min="2427" max="2427" width="7.69921875" style="37" customWidth="1"/>
    <col min="2428" max="2431" width="8.8984375" style="37" customWidth="1"/>
    <col min="2432" max="2432" width="8.69921875" style="37" customWidth="1"/>
    <col min="2433" max="2433" width="8.59765625" style="37" customWidth="1"/>
    <col min="2434" max="2435" width="8.19921875" style="37" customWidth="1"/>
    <col min="2436" max="2436" width="7.59765625" style="37" customWidth="1"/>
    <col min="2437" max="2437" width="8" style="37" customWidth="1"/>
    <col min="2438" max="2438" width="7.09765625" style="37" customWidth="1"/>
    <col min="2439" max="2439" width="7.59765625" style="37" customWidth="1"/>
    <col min="2440" max="2440" width="8.8984375" style="37" customWidth="1"/>
    <col min="2441" max="2441" width="8.09765625" style="37" customWidth="1"/>
    <col min="2442" max="2446" width="8.8984375" style="37" customWidth="1"/>
    <col min="2447" max="2447" width="8" style="37" customWidth="1"/>
    <col min="2448" max="2448" width="7.69921875" style="37" customWidth="1"/>
    <col min="2449" max="2449" width="7.8984375" style="37" customWidth="1"/>
    <col min="2450" max="2450" width="7.3984375" style="37" customWidth="1"/>
    <col min="2451" max="2451" width="7.8984375" style="37" customWidth="1"/>
    <col min="2452" max="2458" width="8.8984375" style="37" customWidth="1"/>
    <col min="2459" max="2459" width="7.5" style="37" customWidth="1"/>
    <col min="2460" max="2460" width="7.19921875" style="37" customWidth="1"/>
    <col min="2461" max="2461" width="8.3984375" style="37" customWidth="1"/>
    <col min="2462" max="2462" width="7.19921875" style="37" customWidth="1"/>
    <col min="2463" max="2463" width="7.59765625" style="37" customWidth="1"/>
    <col min="2464" max="2561" width="8.69921875" style="37"/>
    <col min="2562" max="2562" width="4.5" style="37" bestFit="1" customWidth="1"/>
    <col min="2563" max="2563" width="69.09765625" style="37" customWidth="1"/>
    <col min="2564" max="2564" width="9.19921875" style="37" customWidth="1"/>
    <col min="2565" max="2565" width="8.59765625" style="37" customWidth="1"/>
    <col min="2566" max="2566" width="9.3984375" style="37" customWidth="1"/>
    <col min="2567" max="2567" width="10.19921875" style="37" customWidth="1"/>
    <col min="2568" max="2568" width="10.59765625" style="37" customWidth="1"/>
    <col min="2569" max="2569" width="10" style="37" customWidth="1"/>
    <col min="2570" max="2571" width="8.5" style="37" customWidth="1"/>
    <col min="2572" max="2572" width="7.5" style="37" customWidth="1"/>
    <col min="2573" max="2573" width="7.09765625" style="37" customWidth="1"/>
    <col min="2574" max="2574" width="8.09765625" style="37" customWidth="1"/>
    <col min="2575" max="2576" width="7.5" style="37" customWidth="1"/>
    <col min="2577" max="2577" width="8.59765625" style="37" customWidth="1"/>
    <col min="2578" max="2580" width="7.5" style="37" customWidth="1"/>
    <col min="2581" max="2581" width="8.3984375" style="37" customWidth="1"/>
    <col min="2582" max="2582" width="7.5" style="37" customWidth="1"/>
    <col min="2583" max="2583" width="8.19921875" style="37" customWidth="1"/>
    <col min="2584" max="2586" width="7.5" style="37" customWidth="1"/>
    <col min="2587" max="2587" width="8.19921875" style="37" customWidth="1"/>
    <col min="2588" max="2588" width="8.09765625" style="37" customWidth="1"/>
    <col min="2589" max="2589" width="8.19921875" style="37" customWidth="1"/>
    <col min="2590" max="2590" width="8.69921875" style="37" customWidth="1"/>
    <col min="2591" max="2591" width="7.09765625" style="37" customWidth="1"/>
    <col min="2592" max="2592" width="9.5" style="37" customWidth="1"/>
    <col min="2593" max="2593" width="8.59765625" style="37" customWidth="1"/>
    <col min="2594" max="2594" width="8.8984375" style="37" customWidth="1"/>
    <col min="2595" max="2595" width="8.09765625" style="37" customWidth="1"/>
    <col min="2596" max="2598" width="7.59765625" style="37" customWidth="1"/>
    <col min="2599" max="2599" width="6.5" style="37" customWidth="1"/>
    <col min="2600" max="2608" width="8.5" style="37" customWidth="1"/>
    <col min="2609" max="2609" width="7.5" style="37" customWidth="1"/>
    <col min="2610" max="2610" width="7.19921875" style="37" customWidth="1"/>
    <col min="2611" max="2611" width="8.5" style="37" customWidth="1"/>
    <col min="2612" max="2612" width="9.3984375" style="37" customWidth="1"/>
    <col min="2613" max="2615" width="8.5" style="37" customWidth="1"/>
    <col min="2616" max="2616" width="9.19921875" style="37" customWidth="1"/>
    <col min="2617" max="2619" width="8.5" style="37" customWidth="1"/>
    <col min="2620" max="2620" width="7.8984375" style="37" customWidth="1"/>
    <col min="2621" max="2621" width="8.5" style="37" customWidth="1"/>
    <col min="2622" max="2622" width="7.3984375" style="37" customWidth="1"/>
    <col min="2623" max="2623" width="7.59765625" style="37" customWidth="1"/>
    <col min="2624" max="2624" width="9.8984375" style="37" customWidth="1"/>
    <col min="2625" max="2625" width="8.19921875" style="37" customWidth="1"/>
    <col min="2626" max="2628" width="8.8984375" style="37" customWidth="1"/>
    <col min="2629" max="2629" width="8.69921875" style="37" customWidth="1"/>
    <col min="2630" max="2630" width="8" style="37" customWidth="1"/>
    <col min="2631" max="2631" width="8.19921875" style="37" customWidth="1"/>
    <col min="2632" max="2632" width="7.3984375" style="37" customWidth="1"/>
    <col min="2633" max="2633" width="8.8984375" style="37" customWidth="1"/>
    <col min="2634" max="2634" width="7.3984375" style="37" customWidth="1"/>
    <col min="2635" max="2635" width="6.59765625" style="37" customWidth="1"/>
    <col min="2636" max="2636" width="9.5" style="37" customWidth="1"/>
    <col min="2637" max="2637" width="8" style="37" customWidth="1"/>
    <col min="2638" max="2638" width="8.3984375" style="37" customWidth="1"/>
    <col min="2639" max="2639" width="8.5" style="37" customWidth="1"/>
    <col min="2640" max="2640" width="8" style="37" customWidth="1"/>
    <col min="2641" max="2641" width="7.8984375" style="37" customWidth="1"/>
    <col min="2642" max="2642" width="8" style="37" customWidth="1"/>
    <col min="2643" max="2643" width="8.5" style="37" customWidth="1"/>
    <col min="2644" max="2646" width="8.09765625" style="37" customWidth="1"/>
    <col min="2647" max="2647" width="8" style="37" customWidth="1"/>
    <col min="2648" max="2651" width="8.69921875" style="37" customWidth="1"/>
    <col min="2652" max="2652" width="7.59765625" style="37" customWidth="1"/>
    <col min="2653" max="2654" width="8.69921875" style="37" customWidth="1"/>
    <col min="2655" max="2655" width="7.69921875" style="37" customWidth="1"/>
    <col min="2656" max="2658" width="8" style="37" customWidth="1"/>
    <col min="2659" max="2659" width="7.8984375" style="37" customWidth="1"/>
    <col min="2660" max="2661" width="8.69921875" style="37" customWidth="1"/>
    <col min="2662" max="2662" width="8.3984375" style="37" customWidth="1"/>
    <col min="2663" max="2663" width="8" style="37" customWidth="1"/>
    <col min="2664" max="2664" width="7.8984375" style="37" customWidth="1"/>
    <col min="2665" max="2667" width="8.19921875" style="37" customWidth="1"/>
    <col min="2668" max="2670" width="8.09765625" style="37" customWidth="1"/>
    <col min="2671" max="2671" width="7.8984375" style="37" customWidth="1"/>
    <col min="2672" max="2672" width="8.8984375" style="37" customWidth="1"/>
    <col min="2673" max="2673" width="8.3984375" style="37" customWidth="1"/>
    <col min="2674" max="2674" width="8.19921875" style="37" customWidth="1"/>
    <col min="2675" max="2675" width="8.8984375" style="37" customWidth="1"/>
    <col min="2676" max="2676" width="8.09765625" style="37" customWidth="1"/>
    <col min="2677" max="2677" width="8.19921875" style="37" customWidth="1"/>
    <col min="2678" max="2678" width="8.8984375" style="37" customWidth="1"/>
    <col min="2679" max="2679" width="8" style="37" customWidth="1"/>
    <col min="2680" max="2682" width="7.8984375" style="37" customWidth="1"/>
    <col min="2683" max="2683" width="7.69921875" style="37" customWidth="1"/>
    <col min="2684" max="2687" width="8.8984375" style="37" customWidth="1"/>
    <col min="2688" max="2688" width="8.69921875" style="37" customWidth="1"/>
    <col min="2689" max="2689" width="8.59765625" style="37" customWidth="1"/>
    <col min="2690" max="2691" width="8.19921875" style="37" customWidth="1"/>
    <col min="2692" max="2692" width="7.59765625" style="37" customWidth="1"/>
    <col min="2693" max="2693" width="8" style="37" customWidth="1"/>
    <col min="2694" max="2694" width="7.09765625" style="37" customWidth="1"/>
    <col min="2695" max="2695" width="7.59765625" style="37" customWidth="1"/>
    <col min="2696" max="2696" width="8.8984375" style="37" customWidth="1"/>
    <col min="2697" max="2697" width="8.09765625" style="37" customWidth="1"/>
    <col min="2698" max="2702" width="8.8984375" style="37" customWidth="1"/>
    <col min="2703" max="2703" width="8" style="37" customWidth="1"/>
    <col min="2704" max="2704" width="7.69921875" style="37" customWidth="1"/>
    <col min="2705" max="2705" width="7.8984375" style="37" customWidth="1"/>
    <col min="2706" max="2706" width="7.3984375" style="37" customWidth="1"/>
    <col min="2707" max="2707" width="7.8984375" style="37" customWidth="1"/>
    <col min="2708" max="2714" width="8.8984375" style="37" customWidth="1"/>
    <col min="2715" max="2715" width="7.5" style="37" customWidth="1"/>
    <col min="2716" max="2716" width="7.19921875" style="37" customWidth="1"/>
    <col min="2717" max="2717" width="8.3984375" style="37" customWidth="1"/>
    <col min="2718" max="2718" width="7.19921875" style="37" customWidth="1"/>
    <col min="2719" max="2719" width="7.59765625" style="37" customWidth="1"/>
    <col min="2720" max="2817" width="8.69921875" style="37"/>
    <col min="2818" max="2818" width="4.5" style="37" bestFit="1" customWidth="1"/>
    <col min="2819" max="2819" width="69.09765625" style="37" customWidth="1"/>
    <col min="2820" max="2820" width="9.19921875" style="37" customWidth="1"/>
    <col min="2821" max="2821" width="8.59765625" style="37" customWidth="1"/>
    <col min="2822" max="2822" width="9.3984375" style="37" customWidth="1"/>
    <col min="2823" max="2823" width="10.19921875" style="37" customWidth="1"/>
    <col min="2824" max="2824" width="10.59765625" style="37" customWidth="1"/>
    <col min="2825" max="2825" width="10" style="37" customWidth="1"/>
    <col min="2826" max="2827" width="8.5" style="37" customWidth="1"/>
    <col min="2828" max="2828" width="7.5" style="37" customWidth="1"/>
    <col min="2829" max="2829" width="7.09765625" style="37" customWidth="1"/>
    <col min="2830" max="2830" width="8.09765625" style="37" customWidth="1"/>
    <col min="2831" max="2832" width="7.5" style="37" customWidth="1"/>
    <col min="2833" max="2833" width="8.59765625" style="37" customWidth="1"/>
    <col min="2834" max="2836" width="7.5" style="37" customWidth="1"/>
    <col min="2837" max="2837" width="8.3984375" style="37" customWidth="1"/>
    <col min="2838" max="2838" width="7.5" style="37" customWidth="1"/>
    <col min="2839" max="2839" width="8.19921875" style="37" customWidth="1"/>
    <col min="2840" max="2842" width="7.5" style="37" customWidth="1"/>
    <col min="2843" max="2843" width="8.19921875" style="37" customWidth="1"/>
    <col min="2844" max="2844" width="8.09765625" style="37" customWidth="1"/>
    <col min="2845" max="2845" width="8.19921875" style="37" customWidth="1"/>
    <col min="2846" max="2846" width="8.69921875" style="37" customWidth="1"/>
    <col min="2847" max="2847" width="7.09765625" style="37" customWidth="1"/>
    <col min="2848" max="2848" width="9.5" style="37" customWidth="1"/>
    <col min="2849" max="2849" width="8.59765625" style="37" customWidth="1"/>
    <col min="2850" max="2850" width="8.8984375" style="37" customWidth="1"/>
    <col min="2851" max="2851" width="8.09765625" style="37" customWidth="1"/>
    <col min="2852" max="2854" width="7.59765625" style="37" customWidth="1"/>
    <col min="2855" max="2855" width="6.5" style="37" customWidth="1"/>
    <col min="2856" max="2864" width="8.5" style="37" customWidth="1"/>
    <col min="2865" max="2865" width="7.5" style="37" customWidth="1"/>
    <col min="2866" max="2866" width="7.19921875" style="37" customWidth="1"/>
    <col min="2867" max="2867" width="8.5" style="37" customWidth="1"/>
    <col min="2868" max="2868" width="9.3984375" style="37" customWidth="1"/>
    <col min="2869" max="2871" width="8.5" style="37" customWidth="1"/>
    <col min="2872" max="2872" width="9.19921875" style="37" customWidth="1"/>
    <col min="2873" max="2875" width="8.5" style="37" customWidth="1"/>
    <col min="2876" max="2876" width="7.8984375" style="37" customWidth="1"/>
    <col min="2877" max="2877" width="8.5" style="37" customWidth="1"/>
    <col min="2878" max="2878" width="7.3984375" style="37" customWidth="1"/>
    <col min="2879" max="2879" width="7.59765625" style="37" customWidth="1"/>
    <col min="2880" max="2880" width="9.8984375" style="37" customWidth="1"/>
    <col min="2881" max="2881" width="8.19921875" style="37" customWidth="1"/>
    <col min="2882" max="2884" width="8.8984375" style="37" customWidth="1"/>
    <col min="2885" max="2885" width="8.69921875" style="37" customWidth="1"/>
    <col min="2886" max="2886" width="8" style="37" customWidth="1"/>
    <col min="2887" max="2887" width="8.19921875" style="37" customWidth="1"/>
    <col min="2888" max="2888" width="7.3984375" style="37" customWidth="1"/>
    <col min="2889" max="2889" width="8.8984375" style="37" customWidth="1"/>
    <col min="2890" max="2890" width="7.3984375" style="37" customWidth="1"/>
    <col min="2891" max="2891" width="6.59765625" style="37" customWidth="1"/>
    <col min="2892" max="2892" width="9.5" style="37" customWidth="1"/>
    <col min="2893" max="2893" width="8" style="37" customWidth="1"/>
    <col min="2894" max="2894" width="8.3984375" style="37" customWidth="1"/>
    <col min="2895" max="2895" width="8.5" style="37" customWidth="1"/>
    <col min="2896" max="2896" width="8" style="37" customWidth="1"/>
    <col min="2897" max="2897" width="7.8984375" style="37" customWidth="1"/>
    <col min="2898" max="2898" width="8" style="37" customWidth="1"/>
    <col min="2899" max="2899" width="8.5" style="37" customWidth="1"/>
    <col min="2900" max="2902" width="8.09765625" style="37" customWidth="1"/>
    <col min="2903" max="2903" width="8" style="37" customWidth="1"/>
    <col min="2904" max="2907" width="8.69921875" style="37" customWidth="1"/>
    <col min="2908" max="2908" width="7.59765625" style="37" customWidth="1"/>
    <col min="2909" max="2910" width="8.69921875" style="37" customWidth="1"/>
    <col min="2911" max="2911" width="7.69921875" style="37" customWidth="1"/>
    <col min="2912" max="2914" width="8" style="37" customWidth="1"/>
    <col min="2915" max="2915" width="7.8984375" style="37" customWidth="1"/>
    <col min="2916" max="2917" width="8.69921875" style="37" customWidth="1"/>
    <col min="2918" max="2918" width="8.3984375" style="37" customWidth="1"/>
    <col min="2919" max="2919" width="8" style="37" customWidth="1"/>
    <col min="2920" max="2920" width="7.8984375" style="37" customWidth="1"/>
    <col min="2921" max="2923" width="8.19921875" style="37" customWidth="1"/>
    <col min="2924" max="2926" width="8.09765625" style="37" customWidth="1"/>
    <col min="2927" max="2927" width="7.8984375" style="37" customWidth="1"/>
    <col min="2928" max="2928" width="8.8984375" style="37" customWidth="1"/>
    <col min="2929" max="2929" width="8.3984375" style="37" customWidth="1"/>
    <col min="2930" max="2930" width="8.19921875" style="37" customWidth="1"/>
    <col min="2931" max="2931" width="8.8984375" style="37" customWidth="1"/>
    <col min="2932" max="2932" width="8.09765625" style="37" customWidth="1"/>
    <col min="2933" max="2933" width="8.19921875" style="37" customWidth="1"/>
    <col min="2934" max="2934" width="8.8984375" style="37" customWidth="1"/>
    <col min="2935" max="2935" width="8" style="37" customWidth="1"/>
    <col min="2936" max="2938" width="7.8984375" style="37" customWidth="1"/>
    <col min="2939" max="2939" width="7.69921875" style="37" customWidth="1"/>
    <col min="2940" max="2943" width="8.8984375" style="37" customWidth="1"/>
    <col min="2944" max="2944" width="8.69921875" style="37" customWidth="1"/>
    <col min="2945" max="2945" width="8.59765625" style="37" customWidth="1"/>
    <col min="2946" max="2947" width="8.19921875" style="37" customWidth="1"/>
    <col min="2948" max="2948" width="7.59765625" style="37" customWidth="1"/>
    <col min="2949" max="2949" width="8" style="37" customWidth="1"/>
    <col min="2950" max="2950" width="7.09765625" style="37" customWidth="1"/>
    <col min="2951" max="2951" width="7.59765625" style="37" customWidth="1"/>
    <col min="2952" max="2952" width="8.8984375" style="37" customWidth="1"/>
    <col min="2953" max="2953" width="8.09765625" style="37" customWidth="1"/>
    <col min="2954" max="2958" width="8.8984375" style="37" customWidth="1"/>
    <col min="2959" max="2959" width="8" style="37" customWidth="1"/>
    <col min="2960" max="2960" width="7.69921875" style="37" customWidth="1"/>
    <col min="2961" max="2961" width="7.8984375" style="37" customWidth="1"/>
    <col min="2962" max="2962" width="7.3984375" style="37" customWidth="1"/>
    <col min="2963" max="2963" width="7.8984375" style="37" customWidth="1"/>
    <col min="2964" max="2970" width="8.8984375" style="37" customWidth="1"/>
    <col min="2971" max="2971" width="7.5" style="37" customWidth="1"/>
    <col min="2972" max="2972" width="7.19921875" style="37" customWidth="1"/>
    <col min="2973" max="2973" width="8.3984375" style="37" customWidth="1"/>
    <col min="2974" max="2974" width="7.19921875" style="37" customWidth="1"/>
    <col min="2975" max="2975" width="7.59765625" style="37" customWidth="1"/>
    <col min="2976" max="3073" width="8.69921875" style="37"/>
    <col min="3074" max="3074" width="4.5" style="37" bestFit="1" customWidth="1"/>
    <col min="3075" max="3075" width="69.09765625" style="37" customWidth="1"/>
    <col min="3076" max="3076" width="9.19921875" style="37" customWidth="1"/>
    <col min="3077" max="3077" width="8.59765625" style="37" customWidth="1"/>
    <col min="3078" max="3078" width="9.3984375" style="37" customWidth="1"/>
    <col min="3079" max="3079" width="10.19921875" style="37" customWidth="1"/>
    <col min="3080" max="3080" width="10.59765625" style="37" customWidth="1"/>
    <col min="3081" max="3081" width="10" style="37" customWidth="1"/>
    <col min="3082" max="3083" width="8.5" style="37" customWidth="1"/>
    <col min="3084" max="3084" width="7.5" style="37" customWidth="1"/>
    <col min="3085" max="3085" width="7.09765625" style="37" customWidth="1"/>
    <col min="3086" max="3086" width="8.09765625" style="37" customWidth="1"/>
    <col min="3087" max="3088" width="7.5" style="37" customWidth="1"/>
    <col min="3089" max="3089" width="8.59765625" style="37" customWidth="1"/>
    <col min="3090" max="3092" width="7.5" style="37" customWidth="1"/>
    <col min="3093" max="3093" width="8.3984375" style="37" customWidth="1"/>
    <col min="3094" max="3094" width="7.5" style="37" customWidth="1"/>
    <col min="3095" max="3095" width="8.19921875" style="37" customWidth="1"/>
    <col min="3096" max="3098" width="7.5" style="37" customWidth="1"/>
    <col min="3099" max="3099" width="8.19921875" style="37" customWidth="1"/>
    <col min="3100" max="3100" width="8.09765625" style="37" customWidth="1"/>
    <col min="3101" max="3101" width="8.19921875" style="37" customWidth="1"/>
    <col min="3102" max="3102" width="8.69921875" style="37" customWidth="1"/>
    <col min="3103" max="3103" width="7.09765625" style="37" customWidth="1"/>
    <col min="3104" max="3104" width="9.5" style="37" customWidth="1"/>
    <col min="3105" max="3105" width="8.59765625" style="37" customWidth="1"/>
    <col min="3106" max="3106" width="8.8984375" style="37" customWidth="1"/>
    <col min="3107" max="3107" width="8.09765625" style="37" customWidth="1"/>
    <col min="3108" max="3110" width="7.59765625" style="37" customWidth="1"/>
    <col min="3111" max="3111" width="6.5" style="37" customWidth="1"/>
    <col min="3112" max="3120" width="8.5" style="37" customWidth="1"/>
    <col min="3121" max="3121" width="7.5" style="37" customWidth="1"/>
    <col min="3122" max="3122" width="7.19921875" style="37" customWidth="1"/>
    <col min="3123" max="3123" width="8.5" style="37" customWidth="1"/>
    <col min="3124" max="3124" width="9.3984375" style="37" customWidth="1"/>
    <col min="3125" max="3127" width="8.5" style="37" customWidth="1"/>
    <col min="3128" max="3128" width="9.19921875" style="37" customWidth="1"/>
    <col min="3129" max="3131" width="8.5" style="37" customWidth="1"/>
    <col min="3132" max="3132" width="7.8984375" style="37" customWidth="1"/>
    <col min="3133" max="3133" width="8.5" style="37" customWidth="1"/>
    <col min="3134" max="3134" width="7.3984375" style="37" customWidth="1"/>
    <col min="3135" max="3135" width="7.59765625" style="37" customWidth="1"/>
    <col min="3136" max="3136" width="9.8984375" style="37" customWidth="1"/>
    <col min="3137" max="3137" width="8.19921875" style="37" customWidth="1"/>
    <col min="3138" max="3140" width="8.8984375" style="37" customWidth="1"/>
    <col min="3141" max="3141" width="8.69921875" style="37" customWidth="1"/>
    <col min="3142" max="3142" width="8" style="37" customWidth="1"/>
    <col min="3143" max="3143" width="8.19921875" style="37" customWidth="1"/>
    <col min="3144" max="3144" width="7.3984375" style="37" customWidth="1"/>
    <col min="3145" max="3145" width="8.8984375" style="37" customWidth="1"/>
    <col min="3146" max="3146" width="7.3984375" style="37" customWidth="1"/>
    <col min="3147" max="3147" width="6.59765625" style="37" customWidth="1"/>
    <col min="3148" max="3148" width="9.5" style="37" customWidth="1"/>
    <col min="3149" max="3149" width="8" style="37" customWidth="1"/>
    <col min="3150" max="3150" width="8.3984375" style="37" customWidth="1"/>
    <col min="3151" max="3151" width="8.5" style="37" customWidth="1"/>
    <col min="3152" max="3152" width="8" style="37" customWidth="1"/>
    <col min="3153" max="3153" width="7.8984375" style="37" customWidth="1"/>
    <col min="3154" max="3154" width="8" style="37" customWidth="1"/>
    <col min="3155" max="3155" width="8.5" style="37" customWidth="1"/>
    <col min="3156" max="3158" width="8.09765625" style="37" customWidth="1"/>
    <col min="3159" max="3159" width="8" style="37" customWidth="1"/>
    <col min="3160" max="3163" width="8.69921875" style="37" customWidth="1"/>
    <col min="3164" max="3164" width="7.59765625" style="37" customWidth="1"/>
    <col min="3165" max="3166" width="8.69921875" style="37" customWidth="1"/>
    <col min="3167" max="3167" width="7.69921875" style="37" customWidth="1"/>
    <col min="3168" max="3170" width="8" style="37" customWidth="1"/>
    <col min="3171" max="3171" width="7.8984375" style="37" customWidth="1"/>
    <col min="3172" max="3173" width="8.69921875" style="37" customWidth="1"/>
    <col min="3174" max="3174" width="8.3984375" style="37" customWidth="1"/>
    <col min="3175" max="3175" width="8" style="37" customWidth="1"/>
    <col min="3176" max="3176" width="7.8984375" style="37" customWidth="1"/>
    <col min="3177" max="3179" width="8.19921875" style="37" customWidth="1"/>
    <col min="3180" max="3182" width="8.09765625" style="37" customWidth="1"/>
    <col min="3183" max="3183" width="7.8984375" style="37" customWidth="1"/>
    <col min="3184" max="3184" width="8.8984375" style="37" customWidth="1"/>
    <col min="3185" max="3185" width="8.3984375" style="37" customWidth="1"/>
    <col min="3186" max="3186" width="8.19921875" style="37" customWidth="1"/>
    <col min="3187" max="3187" width="8.8984375" style="37" customWidth="1"/>
    <col min="3188" max="3188" width="8.09765625" style="37" customWidth="1"/>
    <col min="3189" max="3189" width="8.19921875" style="37" customWidth="1"/>
    <col min="3190" max="3190" width="8.8984375" style="37" customWidth="1"/>
    <col min="3191" max="3191" width="8" style="37" customWidth="1"/>
    <col min="3192" max="3194" width="7.8984375" style="37" customWidth="1"/>
    <col min="3195" max="3195" width="7.69921875" style="37" customWidth="1"/>
    <col min="3196" max="3199" width="8.8984375" style="37" customWidth="1"/>
    <col min="3200" max="3200" width="8.69921875" style="37" customWidth="1"/>
    <col min="3201" max="3201" width="8.59765625" style="37" customWidth="1"/>
    <col min="3202" max="3203" width="8.19921875" style="37" customWidth="1"/>
    <col min="3204" max="3204" width="7.59765625" style="37" customWidth="1"/>
    <col min="3205" max="3205" width="8" style="37" customWidth="1"/>
    <col min="3206" max="3206" width="7.09765625" style="37" customWidth="1"/>
    <col min="3207" max="3207" width="7.59765625" style="37" customWidth="1"/>
    <col min="3208" max="3208" width="8.8984375" style="37" customWidth="1"/>
    <col min="3209" max="3209" width="8.09765625" style="37" customWidth="1"/>
    <col min="3210" max="3214" width="8.8984375" style="37" customWidth="1"/>
    <col min="3215" max="3215" width="8" style="37" customWidth="1"/>
    <col min="3216" max="3216" width="7.69921875" style="37" customWidth="1"/>
    <col min="3217" max="3217" width="7.8984375" style="37" customWidth="1"/>
    <col min="3218" max="3218" width="7.3984375" style="37" customWidth="1"/>
    <col min="3219" max="3219" width="7.8984375" style="37" customWidth="1"/>
    <col min="3220" max="3226" width="8.8984375" style="37" customWidth="1"/>
    <col min="3227" max="3227" width="7.5" style="37" customWidth="1"/>
    <col min="3228" max="3228" width="7.19921875" style="37" customWidth="1"/>
    <col min="3229" max="3229" width="8.3984375" style="37" customWidth="1"/>
    <col min="3230" max="3230" width="7.19921875" style="37" customWidth="1"/>
    <col min="3231" max="3231" width="7.59765625" style="37" customWidth="1"/>
    <col min="3232" max="3329" width="8.69921875" style="37"/>
    <col min="3330" max="3330" width="4.5" style="37" bestFit="1" customWidth="1"/>
    <col min="3331" max="3331" width="69.09765625" style="37" customWidth="1"/>
    <col min="3332" max="3332" width="9.19921875" style="37" customWidth="1"/>
    <col min="3333" max="3333" width="8.59765625" style="37" customWidth="1"/>
    <col min="3334" max="3334" width="9.3984375" style="37" customWidth="1"/>
    <col min="3335" max="3335" width="10.19921875" style="37" customWidth="1"/>
    <col min="3336" max="3336" width="10.59765625" style="37" customWidth="1"/>
    <col min="3337" max="3337" width="10" style="37" customWidth="1"/>
    <col min="3338" max="3339" width="8.5" style="37" customWidth="1"/>
    <col min="3340" max="3340" width="7.5" style="37" customWidth="1"/>
    <col min="3341" max="3341" width="7.09765625" style="37" customWidth="1"/>
    <col min="3342" max="3342" width="8.09765625" style="37" customWidth="1"/>
    <col min="3343" max="3344" width="7.5" style="37" customWidth="1"/>
    <col min="3345" max="3345" width="8.59765625" style="37" customWidth="1"/>
    <col min="3346" max="3348" width="7.5" style="37" customWidth="1"/>
    <col min="3349" max="3349" width="8.3984375" style="37" customWidth="1"/>
    <col min="3350" max="3350" width="7.5" style="37" customWidth="1"/>
    <col min="3351" max="3351" width="8.19921875" style="37" customWidth="1"/>
    <col min="3352" max="3354" width="7.5" style="37" customWidth="1"/>
    <col min="3355" max="3355" width="8.19921875" style="37" customWidth="1"/>
    <col min="3356" max="3356" width="8.09765625" style="37" customWidth="1"/>
    <col min="3357" max="3357" width="8.19921875" style="37" customWidth="1"/>
    <col min="3358" max="3358" width="8.69921875" style="37" customWidth="1"/>
    <col min="3359" max="3359" width="7.09765625" style="37" customWidth="1"/>
    <col min="3360" max="3360" width="9.5" style="37" customWidth="1"/>
    <col min="3361" max="3361" width="8.59765625" style="37" customWidth="1"/>
    <col min="3362" max="3362" width="8.8984375" style="37" customWidth="1"/>
    <col min="3363" max="3363" width="8.09765625" style="37" customWidth="1"/>
    <col min="3364" max="3366" width="7.59765625" style="37" customWidth="1"/>
    <col min="3367" max="3367" width="6.5" style="37" customWidth="1"/>
    <col min="3368" max="3376" width="8.5" style="37" customWidth="1"/>
    <col min="3377" max="3377" width="7.5" style="37" customWidth="1"/>
    <col min="3378" max="3378" width="7.19921875" style="37" customWidth="1"/>
    <col min="3379" max="3379" width="8.5" style="37" customWidth="1"/>
    <col min="3380" max="3380" width="9.3984375" style="37" customWidth="1"/>
    <col min="3381" max="3383" width="8.5" style="37" customWidth="1"/>
    <col min="3384" max="3384" width="9.19921875" style="37" customWidth="1"/>
    <col min="3385" max="3387" width="8.5" style="37" customWidth="1"/>
    <col min="3388" max="3388" width="7.8984375" style="37" customWidth="1"/>
    <col min="3389" max="3389" width="8.5" style="37" customWidth="1"/>
    <col min="3390" max="3390" width="7.3984375" style="37" customWidth="1"/>
    <col min="3391" max="3391" width="7.59765625" style="37" customWidth="1"/>
    <col min="3392" max="3392" width="9.8984375" style="37" customWidth="1"/>
    <col min="3393" max="3393" width="8.19921875" style="37" customWidth="1"/>
    <col min="3394" max="3396" width="8.8984375" style="37" customWidth="1"/>
    <col min="3397" max="3397" width="8.69921875" style="37" customWidth="1"/>
    <col min="3398" max="3398" width="8" style="37" customWidth="1"/>
    <col min="3399" max="3399" width="8.19921875" style="37" customWidth="1"/>
    <col min="3400" max="3400" width="7.3984375" style="37" customWidth="1"/>
    <col min="3401" max="3401" width="8.8984375" style="37" customWidth="1"/>
    <col min="3402" max="3402" width="7.3984375" style="37" customWidth="1"/>
    <col min="3403" max="3403" width="6.59765625" style="37" customWidth="1"/>
    <col min="3404" max="3404" width="9.5" style="37" customWidth="1"/>
    <col min="3405" max="3405" width="8" style="37" customWidth="1"/>
    <col min="3406" max="3406" width="8.3984375" style="37" customWidth="1"/>
    <col min="3407" max="3407" width="8.5" style="37" customWidth="1"/>
    <col min="3408" max="3408" width="8" style="37" customWidth="1"/>
    <col min="3409" max="3409" width="7.8984375" style="37" customWidth="1"/>
    <col min="3410" max="3410" width="8" style="37" customWidth="1"/>
    <col min="3411" max="3411" width="8.5" style="37" customWidth="1"/>
    <col min="3412" max="3414" width="8.09765625" style="37" customWidth="1"/>
    <col min="3415" max="3415" width="8" style="37" customWidth="1"/>
    <col min="3416" max="3419" width="8.69921875" style="37" customWidth="1"/>
    <col min="3420" max="3420" width="7.59765625" style="37" customWidth="1"/>
    <col min="3421" max="3422" width="8.69921875" style="37" customWidth="1"/>
    <col min="3423" max="3423" width="7.69921875" style="37" customWidth="1"/>
    <col min="3424" max="3426" width="8" style="37" customWidth="1"/>
    <col min="3427" max="3427" width="7.8984375" style="37" customWidth="1"/>
    <col min="3428" max="3429" width="8.69921875" style="37" customWidth="1"/>
    <col min="3430" max="3430" width="8.3984375" style="37" customWidth="1"/>
    <col min="3431" max="3431" width="8" style="37" customWidth="1"/>
    <col min="3432" max="3432" width="7.8984375" style="37" customWidth="1"/>
    <col min="3433" max="3435" width="8.19921875" style="37" customWidth="1"/>
    <col min="3436" max="3438" width="8.09765625" style="37" customWidth="1"/>
    <col min="3439" max="3439" width="7.8984375" style="37" customWidth="1"/>
    <col min="3440" max="3440" width="8.8984375" style="37" customWidth="1"/>
    <col min="3441" max="3441" width="8.3984375" style="37" customWidth="1"/>
    <col min="3442" max="3442" width="8.19921875" style="37" customWidth="1"/>
    <col min="3443" max="3443" width="8.8984375" style="37" customWidth="1"/>
    <col min="3444" max="3444" width="8.09765625" style="37" customWidth="1"/>
    <col min="3445" max="3445" width="8.19921875" style="37" customWidth="1"/>
    <col min="3446" max="3446" width="8.8984375" style="37" customWidth="1"/>
    <col min="3447" max="3447" width="8" style="37" customWidth="1"/>
    <col min="3448" max="3450" width="7.8984375" style="37" customWidth="1"/>
    <col min="3451" max="3451" width="7.69921875" style="37" customWidth="1"/>
    <col min="3452" max="3455" width="8.8984375" style="37" customWidth="1"/>
    <col min="3456" max="3456" width="8.69921875" style="37" customWidth="1"/>
    <col min="3457" max="3457" width="8.59765625" style="37" customWidth="1"/>
    <col min="3458" max="3459" width="8.19921875" style="37" customWidth="1"/>
    <col min="3460" max="3460" width="7.59765625" style="37" customWidth="1"/>
    <col min="3461" max="3461" width="8" style="37" customWidth="1"/>
    <col min="3462" max="3462" width="7.09765625" style="37" customWidth="1"/>
    <col min="3463" max="3463" width="7.59765625" style="37" customWidth="1"/>
    <col min="3464" max="3464" width="8.8984375" style="37" customWidth="1"/>
    <col min="3465" max="3465" width="8.09765625" style="37" customWidth="1"/>
    <col min="3466" max="3470" width="8.8984375" style="37" customWidth="1"/>
    <col min="3471" max="3471" width="8" style="37" customWidth="1"/>
    <col min="3472" max="3472" width="7.69921875" style="37" customWidth="1"/>
    <col min="3473" max="3473" width="7.8984375" style="37" customWidth="1"/>
    <col min="3474" max="3474" width="7.3984375" style="37" customWidth="1"/>
    <col min="3475" max="3475" width="7.8984375" style="37" customWidth="1"/>
    <col min="3476" max="3482" width="8.8984375" style="37" customWidth="1"/>
    <col min="3483" max="3483" width="7.5" style="37" customWidth="1"/>
    <col min="3484" max="3484" width="7.19921875" style="37" customWidth="1"/>
    <col min="3485" max="3485" width="8.3984375" style="37" customWidth="1"/>
    <col min="3486" max="3486" width="7.19921875" style="37" customWidth="1"/>
    <col min="3487" max="3487" width="7.59765625" style="37" customWidth="1"/>
    <col min="3488" max="3585" width="8.69921875" style="37"/>
    <col min="3586" max="3586" width="4.5" style="37" bestFit="1" customWidth="1"/>
    <col min="3587" max="3587" width="69.09765625" style="37" customWidth="1"/>
    <col min="3588" max="3588" width="9.19921875" style="37" customWidth="1"/>
    <col min="3589" max="3589" width="8.59765625" style="37" customWidth="1"/>
    <col min="3590" max="3590" width="9.3984375" style="37" customWidth="1"/>
    <col min="3591" max="3591" width="10.19921875" style="37" customWidth="1"/>
    <col min="3592" max="3592" width="10.59765625" style="37" customWidth="1"/>
    <col min="3593" max="3593" width="10" style="37" customWidth="1"/>
    <col min="3594" max="3595" width="8.5" style="37" customWidth="1"/>
    <col min="3596" max="3596" width="7.5" style="37" customWidth="1"/>
    <col min="3597" max="3597" width="7.09765625" style="37" customWidth="1"/>
    <col min="3598" max="3598" width="8.09765625" style="37" customWidth="1"/>
    <col min="3599" max="3600" width="7.5" style="37" customWidth="1"/>
    <col min="3601" max="3601" width="8.59765625" style="37" customWidth="1"/>
    <col min="3602" max="3604" width="7.5" style="37" customWidth="1"/>
    <col min="3605" max="3605" width="8.3984375" style="37" customWidth="1"/>
    <col min="3606" max="3606" width="7.5" style="37" customWidth="1"/>
    <col min="3607" max="3607" width="8.19921875" style="37" customWidth="1"/>
    <col min="3608" max="3610" width="7.5" style="37" customWidth="1"/>
    <col min="3611" max="3611" width="8.19921875" style="37" customWidth="1"/>
    <col min="3612" max="3612" width="8.09765625" style="37" customWidth="1"/>
    <col min="3613" max="3613" width="8.19921875" style="37" customWidth="1"/>
    <col min="3614" max="3614" width="8.69921875" style="37" customWidth="1"/>
    <col min="3615" max="3615" width="7.09765625" style="37" customWidth="1"/>
    <col min="3616" max="3616" width="9.5" style="37" customWidth="1"/>
    <col min="3617" max="3617" width="8.59765625" style="37" customWidth="1"/>
    <col min="3618" max="3618" width="8.8984375" style="37" customWidth="1"/>
    <col min="3619" max="3619" width="8.09765625" style="37" customWidth="1"/>
    <col min="3620" max="3622" width="7.59765625" style="37" customWidth="1"/>
    <col min="3623" max="3623" width="6.5" style="37" customWidth="1"/>
    <col min="3624" max="3632" width="8.5" style="37" customWidth="1"/>
    <col min="3633" max="3633" width="7.5" style="37" customWidth="1"/>
    <col min="3634" max="3634" width="7.19921875" style="37" customWidth="1"/>
    <col min="3635" max="3635" width="8.5" style="37" customWidth="1"/>
    <col min="3636" max="3636" width="9.3984375" style="37" customWidth="1"/>
    <col min="3637" max="3639" width="8.5" style="37" customWidth="1"/>
    <col min="3640" max="3640" width="9.19921875" style="37" customWidth="1"/>
    <col min="3641" max="3643" width="8.5" style="37" customWidth="1"/>
    <col min="3644" max="3644" width="7.8984375" style="37" customWidth="1"/>
    <col min="3645" max="3645" width="8.5" style="37" customWidth="1"/>
    <col min="3646" max="3646" width="7.3984375" style="37" customWidth="1"/>
    <col min="3647" max="3647" width="7.59765625" style="37" customWidth="1"/>
    <col min="3648" max="3648" width="9.8984375" style="37" customWidth="1"/>
    <col min="3649" max="3649" width="8.19921875" style="37" customWidth="1"/>
    <col min="3650" max="3652" width="8.8984375" style="37" customWidth="1"/>
    <col min="3653" max="3653" width="8.69921875" style="37" customWidth="1"/>
    <col min="3654" max="3654" width="8" style="37" customWidth="1"/>
    <col min="3655" max="3655" width="8.19921875" style="37" customWidth="1"/>
    <col min="3656" max="3656" width="7.3984375" style="37" customWidth="1"/>
    <col min="3657" max="3657" width="8.8984375" style="37" customWidth="1"/>
    <col min="3658" max="3658" width="7.3984375" style="37" customWidth="1"/>
    <col min="3659" max="3659" width="6.59765625" style="37" customWidth="1"/>
    <col min="3660" max="3660" width="9.5" style="37" customWidth="1"/>
    <col min="3661" max="3661" width="8" style="37" customWidth="1"/>
    <col min="3662" max="3662" width="8.3984375" style="37" customWidth="1"/>
    <col min="3663" max="3663" width="8.5" style="37" customWidth="1"/>
    <col min="3664" max="3664" width="8" style="37" customWidth="1"/>
    <col min="3665" max="3665" width="7.8984375" style="37" customWidth="1"/>
    <col min="3666" max="3666" width="8" style="37" customWidth="1"/>
    <col min="3667" max="3667" width="8.5" style="37" customWidth="1"/>
    <col min="3668" max="3670" width="8.09765625" style="37" customWidth="1"/>
    <col min="3671" max="3671" width="8" style="37" customWidth="1"/>
    <col min="3672" max="3675" width="8.69921875" style="37" customWidth="1"/>
    <col min="3676" max="3676" width="7.59765625" style="37" customWidth="1"/>
    <col min="3677" max="3678" width="8.69921875" style="37" customWidth="1"/>
    <col min="3679" max="3679" width="7.69921875" style="37" customWidth="1"/>
    <col min="3680" max="3682" width="8" style="37" customWidth="1"/>
    <col min="3683" max="3683" width="7.8984375" style="37" customWidth="1"/>
    <col min="3684" max="3685" width="8.69921875" style="37" customWidth="1"/>
    <col min="3686" max="3686" width="8.3984375" style="37" customWidth="1"/>
    <col min="3687" max="3687" width="8" style="37" customWidth="1"/>
    <col min="3688" max="3688" width="7.8984375" style="37" customWidth="1"/>
    <col min="3689" max="3691" width="8.19921875" style="37" customWidth="1"/>
    <col min="3692" max="3694" width="8.09765625" style="37" customWidth="1"/>
    <col min="3695" max="3695" width="7.8984375" style="37" customWidth="1"/>
    <col min="3696" max="3696" width="8.8984375" style="37" customWidth="1"/>
    <col min="3697" max="3697" width="8.3984375" style="37" customWidth="1"/>
    <col min="3698" max="3698" width="8.19921875" style="37" customWidth="1"/>
    <col min="3699" max="3699" width="8.8984375" style="37" customWidth="1"/>
    <col min="3700" max="3700" width="8.09765625" style="37" customWidth="1"/>
    <col min="3701" max="3701" width="8.19921875" style="37" customWidth="1"/>
    <col min="3702" max="3702" width="8.8984375" style="37" customWidth="1"/>
    <col min="3703" max="3703" width="8" style="37" customWidth="1"/>
    <col min="3704" max="3706" width="7.8984375" style="37" customWidth="1"/>
    <col min="3707" max="3707" width="7.69921875" style="37" customWidth="1"/>
    <col min="3708" max="3711" width="8.8984375" style="37" customWidth="1"/>
    <col min="3712" max="3712" width="8.69921875" style="37" customWidth="1"/>
    <col min="3713" max="3713" width="8.59765625" style="37" customWidth="1"/>
    <col min="3714" max="3715" width="8.19921875" style="37" customWidth="1"/>
    <col min="3716" max="3716" width="7.59765625" style="37" customWidth="1"/>
    <col min="3717" max="3717" width="8" style="37" customWidth="1"/>
    <col min="3718" max="3718" width="7.09765625" style="37" customWidth="1"/>
    <col min="3719" max="3719" width="7.59765625" style="37" customWidth="1"/>
    <col min="3720" max="3720" width="8.8984375" style="37" customWidth="1"/>
    <col min="3721" max="3721" width="8.09765625" style="37" customWidth="1"/>
    <col min="3722" max="3726" width="8.8984375" style="37" customWidth="1"/>
    <col min="3727" max="3727" width="8" style="37" customWidth="1"/>
    <col min="3728" max="3728" width="7.69921875" style="37" customWidth="1"/>
    <col min="3729" max="3729" width="7.8984375" style="37" customWidth="1"/>
    <col min="3730" max="3730" width="7.3984375" style="37" customWidth="1"/>
    <col min="3731" max="3731" width="7.8984375" style="37" customWidth="1"/>
    <col min="3732" max="3738" width="8.8984375" style="37" customWidth="1"/>
    <col min="3739" max="3739" width="7.5" style="37" customWidth="1"/>
    <col min="3740" max="3740" width="7.19921875" style="37" customWidth="1"/>
    <col min="3741" max="3741" width="8.3984375" style="37" customWidth="1"/>
    <col min="3742" max="3742" width="7.19921875" style="37" customWidth="1"/>
    <col min="3743" max="3743" width="7.59765625" style="37" customWidth="1"/>
    <col min="3744" max="3841" width="8.69921875" style="37"/>
    <col min="3842" max="3842" width="4.5" style="37" bestFit="1" customWidth="1"/>
    <col min="3843" max="3843" width="69.09765625" style="37" customWidth="1"/>
    <col min="3844" max="3844" width="9.19921875" style="37" customWidth="1"/>
    <col min="3845" max="3845" width="8.59765625" style="37" customWidth="1"/>
    <col min="3846" max="3846" width="9.3984375" style="37" customWidth="1"/>
    <col min="3847" max="3847" width="10.19921875" style="37" customWidth="1"/>
    <col min="3848" max="3848" width="10.59765625" style="37" customWidth="1"/>
    <col min="3849" max="3849" width="10" style="37" customWidth="1"/>
    <col min="3850" max="3851" width="8.5" style="37" customWidth="1"/>
    <col min="3852" max="3852" width="7.5" style="37" customWidth="1"/>
    <col min="3853" max="3853" width="7.09765625" style="37" customWidth="1"/>
    <col min="3854" max="3854" width="8.09765625" style="37" customWidth="1"/>
    <col min="3855" max="3856" width="7.5" style="37" customWidth="1"/>
    <col min="3857" max="3857" width="8.59765625" style="37" customWidth="1"/>
    <col min="3858" max="3860" width="7.5" style="37" customWidth="1"/>
    <col min="3861" max="3861" width="8.3984375" style="37" customWidth="1"/>
    <col min="3862" max="3862" width="7.5" style="37" customWidth="1"/>
    <col min="3863" max="3863" width="8.19921875" style="37" customWidth="1"/>
    <col min="3864" max="3866" width="7.5" style="37" customWidth="1"/>
    <col min="3867" max="3867" width="8.19921875" style="37" customWidth="1"/>
    <col min="3868" max="3868" width="8.09765625" style="37" customWidth="1"/>
    <col min="3869" max="3869" width="8.19921875" style="37" customWidth="1"/>
    <col min="3870" max="3870" width="8.69921875" style="37" customWidth="1"/>
    <col min="3871" max="3871" width="7.09765625" style="37" customWidth="1"/>
    <col min="3872" max="3872" width="9.5" style="37" customWidth="1"/>
    <col min="3873" max="3873" width="8.59765625" style="37" customWidth="1"/>
    <col min="3874" max="3874" width="8.8984375" style="37" customWidth="1"/>
    <col min="3875" max="3875" width="8.09765625" style="37" customWidth="1"/>
    <col min="3876" max="3878" width="7.59765625" style="37" customWidth="1"/>
    <col min="3879" max="3879" width="6.5" style="37" customWidth="1"/>
    <col min="3880" max="3888" width="8.5" style="37" customWidth="1"/>
    <col min="3889" max="3889" width="7.5" style="37" customWidth="1"/>
    <col min="3890" max="3890" width="7.19921875" style="37" customWidth="1"/>
    <col min="3891" max="3891" width="8.5" style="37" customWidth="1"/>
    <col min="3892" max="3892" width="9.3984375" style="37" customWidth="1"/>
    <col min="3893" max="3895" width="8.5" style="37" customWidth="1"/>
    <col min="3896" max="3896" width="9.19921875" style="37" customWidth="1"/>
    <col min="3897" max="3899" width="8.5" style="37" customWidth="1"/>
    <col min="3900" max="3900" width="7.8984375" style="37" customWidth="1"/>
    <col min="3901" max="3901" width="8.5" style="37" customWidth="1"/>
    <col min="3902" max="3902" width="7.3984375" style="37" customWidth="1"/>
    <col min="3903" max="3903" width="7.59765625" style="37" customWidth="1"/>
    <col min="3904" max="3904" width="9.8984375" style="37" customWidth="1"/>
    <col min="3905" max="3905" width="8.19921875" style="37" customWidth="1"/>
    <col min="3906" max="3908" width="8.8984375" style="37" customWidth="1"/>
    <col min="3909" max="3909" width="8.69921875" style="37" customWidth="1"/>
    <col min="3910" max="3910" width="8" style="37" customWidth="1"/>
    <col min="3911" max="3911" width="8.19921875" style="37" customWidth="1"/>
    <col min="3912" max="3912" width="7.3984375" style="37" customWidth="1"/>
    <col min="3913" max="3913" width="8.8984375" style="37" customWidth="1"/>
    <col min="3914" max="3914" width="7.3984375" style="37" customWidth="1"/>
    <col min="3915" max="3915" width="6.59765625" style="37" customWidth="1"/>
    <col min="3916" max="3916" width="9.5" style="37" customWidth="1"/>
    <col min="3917" max="3917" width="8" style="37" customWidth="1"/>
    <col min="3918" max="3918" width="8.3984375" style="37" customWidth="1"/>
    <col min="3919" max="3919" width="8.5" style="37" customWidth="1"/>
    <col min="3920" max="3920" width="8" style="37" customWidth="1"/>
    <col min="3921" max="3921" width="7.8984375" style="37" customWidth="1"/>
    <col min="3922" max="3922" width="8" style="37" customWidth="1"/>
    <col min="3923" max="3923" width="8.5" style="37" customWidth="1"/>
    <col min="3924" max="3926" width="8.09765625" style="37" customWidth="1"/>
    <col min="3927" max="3927" width="8" style="37" customWidth="1"/>
    <col min="3928" max="3931" width="8.69921875" style="37" customWidth="1"/>
    <col min="3932" max="3932" width="7.59765625" style="37" customWidth="1"/>
    <col min="3933" max="3934" width="8.69921875" style="37" customWidth="1"/>
    <col min="3935" max="3935" width="7.69921875" style="37" customWidth="1"/>
    <col min="3936" max="3938" width="8" style="37" customWidth="1"/>
    <col min="3939" max="3939" width="7.8984375" style="37" customWidth="1"/>
    <col min="3940" max="3941" width="8.69921875" style="37" customWidth="1"/>
    <col min="3942" max="3942" width="8.3984375" style="37" customWidth="1"/>
    <col min="3943" max="3943" width="8" style="37" customWidth="1"/>
    <col min="3944" max="3944" width="7.8984375" style="37" customWidth="1"/>
    <col min="3945" max="3947" width="8.19921875" style="37" customWidth="1"/>
    <col min="3948" max="3950" width="8.09765625" style="37" customWidth="1"/>
    <col min="3951" max="3951" width="7.8984375" style="37" customWidth="1"/>
    <col min="3952" max="3952" width="8.8984375" style="37" customWidth="1"/>
    <col min="3953" max="3953" width="8.3984375" style="37" customWidth="1"/>
    <col min="3954" max="3954" width="8.19921875" style="37" customWidth="1"/>
    <col min="3955" max="3955" width="8.8984375" style="37" customWidth="1"/>
    <col min="3956" max="3956" width="8.09765625" style="37" customWidth="1"/>
    <col min="3957" max="3957" width="8.19921875" style="37" customWidth="1"/>
    <col min="3958" max="3958" width="8.8984375" style="37" customWidth="1"/>
    <col min="3959" max="3959" width="8" style="37" customWidth="1"/>
    <col min="3960" max="3962" width="7.8984375" style="37" customWidth="1"/>
    <col min="3963" max="3963" width="7.69921875" style="37" customWidth="1"/>
    <col min="3964" max="3967" width="8.8984375" style="37" customWidth="1"/>
    <col min="3968" max="3968" width="8.69921875" style="37" customWidth="1"/>
    <col min="3969" max="3969" width="8.59765625" style="37" customWidth="1"/>
    <col min="3970" max="3971" width="8.19921875" style="37" customWidth="1"/>
    <col min="3972" max="3972" width="7.59765625" style="37" customWidth="1"/>
    <col min="3973" max="3973" width="8" style="37" customWidth="1"/>
    <col min="3974" max="3974" width="7.09765625" style="37" customWidth="1"/>
    <col min="3975" max="3975" width="7.59765625" style="37" customWidth="1"/>
    <col min="3976" max="3976" width="8.8984375" style="37" customWidth="1"/>
    <col min="3977" max="3977" width="8.09765625" style="37" customWidth="1"/>
    <col min="3978" max="3982" width="8.8984375" style="37" customWidth="1"/>
    <col min="3983" max="3983" width="8" style="37" customWidth="1"/>
    <col min="3984" max="3984" width="7.69921875" style="37" customWidth="1"/>
    <col min="3985" max="3985" width="7.8984375" style="37" customWidth="1"/>
    <col min="3986" max="3986" width="7.3984375" style="37" customWidth="1"/>
    <col min="3987" max="3987" width="7.8984375" style="37" customWidth="1"/>
    <col min="3988" max="3994" width="8.8984375" style="37" customWidth="1"/>
    <col min="3995" max="3995" width="7.5" style="37" customWidth="1"/>
    <col min="3996" max="3996" width="7.19921875" style="37" customWidth="1"/>
    <col min="3997" max="3997" width="8.3984375" style="37" customWidth="1"/>
    <col min="3998" max="3998" width="7.19921875" style="37" customWidth="1"/>
    <col min="3999" max="3999" width="7.59765625" style="37" customWidth="1"/>
    <col min="4000" max="4097" width="8.69921875" style="37"/>
    <col min="4098" max="4098" width="4.5" style="37" bestFit="1" customWidth="1"/>
    <col min="4099" max="4099" width="69.09765625" style="37" customWidth="1"/>
    <col min="4100" max="4100" width="9.19921875" style="37" customWidth="1"/>
    <col min="4101" max="4101" width="8.59765625" style="37" customWidth="1"/>
    <col min="4102" max="4102" width="9.3984375" style="37" customWidth="1"/>
    <col min="4103" max="4103" width="10.19921875" style="37" customWidth="1"/>
    <col min="4104" max="4104" width="10.59765625" style="37" customWidth="1"/>
    <col min="4105" max="4105" width="10" style="37" customWidth="1"/>
    <col min="4106" max="4107" width="8.5" style="37" customWidth="1"/>
    <col min="4108" max="4108" width="7.5" style="37" customWidth="1"/>
    <col min="4109" max="4109" width="7.09765625" style="37" customWidth="1"/>
    <col min="4110" max="4110" width="8.09765625" style="37" customWidth="1"/>
    <col min="4111" max="4112" width="7.5" style="37" customWidth="1"/>
    <col min="4113" max="4113" width="8.59765625" style="37" customWidth="1"/>
    <col min="4114" max="4116" width="7.5" style="37" customWidth="1"/>
    <col min="4117" max="4117" width="8.3984375" style="37" customWidth="1"/>
    <col min="4118" max="4118" width="7.5" style="37" customWidth="1"/>
    <col min="4119" max="4119" width="8.19921875" style="37" customWidth="1"/>
    <col min="4120" max="4122" width="7.5" style="37" customWidth="1"/>
    <col min="4123" max="4123" width="8.19921875" style="37" customWidth="1"/>
    <col min="4124" max="4124" width="8.09765625" style="37" customWidth="1"/>
    <col min="4125" max="4125" width="8.19921875" style="37" customWidth="1"/>
    <col min="4126" max="4126" width="8.69921875" style="37" customWidth="1"/>
    <col min="4127" max="4127" width="7.09765625" style="37" customWidth="1"/>
    <col min="4128" max="4128" width="9.5" style="37" customWidth="1"/>
    <col min="4129" max="4129" width="8.59765625" style="37" customWidth="1"/>
    <col min="4130" max="4130" width="8.8984375" style="37" customWidth="1"/>
    <col min="4131" max="4131" width="8.09765625" style="37" customWidth="1"/>
    <col min="4132" max="4134" width="7.59765625" style="37" customWidth="1"/>
    <col min="4135" max="4135" width="6.5" style="37" customWidth="1"/>
    <col min="4136" max="4144" width="8.5" style="37" customWidth="1"/>
    <col min="4145" max="4145" width="7.5" style="37" customWidth="1"/>
    <col min="4146" max="4146" width="7.19921875" style="37" customWidth="1"/>
    <col min="4147" max="4147" width="8.5" style="37" customWidth="1"/>
    <col min="4148" max="4148" width="9.3984375" style="37" customWidth="1"/>
    <col min="4149" max="4151" width="8.5" style="37" customWidth="1"/>
    <col min="4152" max="4152" width="9.19921875" style="37" customWidth="1"/>
    <col min="4153" max="4155" width="8.5" style="37" customWidth="1"/>
    <col min="4156" max="4156" width="7.8984375" style="37" customWidth="1"/>
    <col min="4157" max="4157" width="8.5" style="37" customWidth="1"/>
    <col min="4158" max="4158" width="7.3984375" style="37" customWidth="1"/>
    <col min="4159" max="4159" width="7.59765625" style="37" customWidth="1"/>
    <col min="4160" max="4160" width="9.8984375" style="37" customWidth="1"/>
    <col min="4161" max="4161" width="8.19921875" style="37" customWidth="1"/>
    <col min="4162" max="4164" width="8.8984375" style="37" customWidth="1"/>
    <col min="4165" max="4165" width="8.69921875" style="37" customWidth="1"/>
    <col min="4166" max="4166" width="8" style="37" customWidth="1"/>
    <col min="4167" max="4167" width="8.19921875" style="37" customWidth="1"/>
    <col min="4168" max="4168" width="7.3984375" style="37" customWidth="1"/>
    <col min="4169" max="4169" width="8.8984375" style="37" customWidth="1"/>
    <col min="4170" max="4170" width="7.3984375" style="37" customWidth="1"/>
    <col min="4171" max="4171" width="6.59765625" style="37" customWidth="1"/>
    <col min="4172" max="4172" width="9.5" style="37" customWidth="1"/>
    <col min="4173" max="4173" width="8" style="37" customWidth="1"/>
    <col min="4174" max="4174" width="8.3984375" style="37" customWidth="1"/>
    <col min="4175" max="4175" width="8.5" style="37" customWidth="1"/>
    <col min="4176" max="4176" width="8" style="37" customWidth="1"/>
    <col min="4177" max="4177" width="7.8984375" style="37" customWidth="1"/>
    <col min="4178" max="4178" width="8" style="37" customWidth="1"/>
    <col min="4179" max="4179" width="8.5" style="37" customWidth="1"/>
    <col min="4180" max="4182" width="8.09765625" style="37" customWidth="1"/>
    <col min="4183" max="4183" width="8" style="37" customWidth="1"/>
    <col min="4184" max="4187" width="8.69921875" style="37" customWidth="1"/>
    <col min="4188" max="4188" width="7.59765625" style="37" customWidth="1"/>
    <col min="4189" max="4190" width="8.69921875" style="37" customWidth="1"/>
    <col min="4191" max="4191" width="7.69921875" style="37" customWidth="1"/>
    <col min="4192" max="4194" width="8" style="37" customWidth="1"/>
    <col min="4195" max="4195" width="7.8984375" style="37" customWidth="1"/>
    <col min="4196" max="4197" width="8.69921875" style="37" customWidth="1"/>
    <col min="4198" max="4198" width="8.3984375" style="37" customWidth="1"/>
    <col min="4199" max="4199" width="8" style="37" customWidth="1"/>
    <col min="4200" max="4200" width="7.8984375" style="37" customWidth="1"/>
    <col min="4201" max="4203" width="8.19921875" style="37" customWidth="1"/>
    <col min="4204" max="4206" width="8.09765625" style="37" customWidth="1"/>
    <col min="4207" max="4207" width="7.8984375" style="37" customWidth="1"/>
    <col min="4208" max="4208" width="8.8984375" style="37" customWidth="1"/>
    <col min="4209" max="4209" width="8.3984375" style="37" customWidth="1"/>
    <col min="4210" max="4210" width="8.19921875" style="37" customWidth="1"/>
    <col min="4211" max="4211" width="8.8984375" style="37" customWidth="1"/>
    <col min="4212" max="4212" width="8.09765625" style="37" customWidth="1"/>
    <col min="4213" max="4213" width="8.19921875" style="37" customWidth="1"/>
    <col min="4214" max="4214" width="8.8984375" style="37" customWidth="1"/>
    <col min="4215" max="4215" width="8" style="37" customWidth="1"/>
    <col min="4216" max="4218" width="7.8984375" style="37" customWidth="1"/>
    <col min="4219" max="4219" width="7.69921875" style="37" customWidth="1"/>
    <col min="4220" max="4223" width="8.8984375" style="37" customWidth="1"/>
    <col min="4224" max="4224" width="8.69921875" style="37" customWidth="1"/>
    <col min="4225" max="4225" width="8.59765625" style="37" customWidth="1"/>
    <col min="4226" max="4227" width="8.19921875" style="37" customWidth="1"/>
    <col min="4228" max="4228" width="7.59765625" style="37" customWidth="1"/>
    <col min="4229" max="4229" width="8" style="37" customWidth="1"/>
    <col min="4230" max="4230" width="7.09765625" style="37" customWidth="1"/>
    <col min="4231" max="4231" width="7.59765625" style="37" customWidth="1"/>
    <col min="4232" max="4232" width="8.8984375" style="37" customWidth="1"/>
    <col min="4233" max="4233" width="8.09765625" style="37" customWidth="1"/>
    <col min="4234" max="4238" width="8.8984375" style="37" customWidth="1"/>
    <col min="4239" max="4239" width="8" style="37" customWidth="1"/>
    <col min="4240" max="4240" width="7.69921875" style="37" customWidth="1"/>
    <col min="4241" max="4241" width="7.8984375" style="37" customWidth="1"/>
    <col min="4242" max="4242" width="7.3984375" style="37" customWidth="1"/>
    <col min="4243" max="4243" width="7.8984375" style="37" customWidth="1"/>
    <col min="4244" max="4250" width="8.8984375" style="37" customWidth="1"/>
    <col min="4251" max="4251" width="7.5" style="37" customWidth="1"/>
    <col min="4252" max="4252" width="7.19921875" style="37" customWidth="1"/>
    <col min="4253" max="4253" width="8.3984375" style="37" customWidth="1"/>
    <col min="4254" max="4254" width="7.19921875" style="37" customWidth="1"/>
    <col min="4255" max="4255" width="7.59765625" style="37" customWidth="1"/>
    <col min="4256" max="4353" width="8.69921875" style="37"/>
    <col min="4354" max="4354" width="4.5" style="37" bestFit="1" customWidth="1"/>
    <col min="4355" max="4355" width="69.09765625" style="37" customWidth="1"/>
    <col min="4356" max="4356" width="9.19921875" style="37" customWidth="1"/>
    <col min="4357" max="4357" width="8.59765625" style="37" customWidth="1"/>
    <col min="4358" max="4358" width="9.3984375" style="37" customWidth="1"/>
    <col min="4359" max="4359" width="10.19921875" style="37" customWidth="1"/>
    <col min="4360" max="4360" width="10.59765625" style="37" customWidth="1"/>
    <col min="4361" max="4361" width="10" style="37" customWidth="1"/>
    <col min="4362" max="4363" width="8.5" style="37" customWidth="1"/>
    <col min="4364" max="4364" width="7.5" style="37" customWidth="1"/>
    <col min="4365" max="4365" width="7.09765625" style="37" customWidth="1"/>
    <col min="4366" max="4366" width="8.09765625" style="37" customWidth="1"/>
    <col min="4367" max="4368" width="7.5" style="37" customWidth="1"/>
    <col min="4369" max="4369" width="8.59765625" style="37" customWidth="1"/>
    <col min="4370" max="4372" width="7.5" style="37" customWidth="1"/>
    <col min="4373" max="4373" width="8.3984375" style="37" customWidth="1"/>
    <col min="4374" max="4374" width="7.5" style="37" customWidth="1"/>
    <col min="4375" max="4375" width="8.19921875" style="37" customWidth="1"/>
    <col min="4376" max="4378" width="7.5" style="37" customWidth="1"/>
    <col min="4379" max="4379" width="8.19921875" style="37" customWidth="1"/>
    <col min="4380" max="4380" width="8.09765625" style="37" customWidth="1"/>
    <col min="4381" max="4381" width="8.19921875" style="37" customWidth="1"/>
    <col min="4382" max="4382" width="8.69921875" style="37" customWidth="1"/>
    <col min="4383" max="4383" width="7.09765625" style="37" customWidth="1"/>
    <col min="4384" max="4384" width="9.5" style="37" customWidth="1"/>
    <col min="4385" max="4385" width="8.59765625" style="37" customWidth="1"/>
    <col min="4386" max="4386" width="8.8984375" style="37" customWidth="1"/>
    <col min="4387" max="4387" width="8.09765625" style="37" customWidth="1"/>
    <col min="4388" max="4390" width="7.59765625" style="37" customWidth="1"/>
    <col min="4391" max="4391" width="6.5" style="37" customWidth="1"/>
    <col min="4392" max="4400" width="8.5" style="37" customWidth="1"/>
    <col min="4401" max="4401" width="7.5" style="37" customWidth="1"/>
    <col min="4402" max="4402" width="7.19921875" style="37" customWidth="1"/>
    <col min="4403" max="4403" width="8.5" style="37" customWidth="1"/>
    <col min="4404" max="4404" width="9.3984375" style="37" customWidth="1"/>
    <col min="4405" max="4407" width="8.5" style="37" customWidth="1"/>
    <col min="4408" max="4408" width="9.19921875" style="37" customWidth="1"/>
    <col min="4409" max="4411" width="8.5" style="37" customWidth="1"/>
    <col min="4412" max="4412" width="7.8984375" style="37" customWidth="1"/>
    <col min="4413" max="4413" width="8.5" style="37" customWidth="1"/>
    <col min="4414" max="4414" width="7.3984375" style="37" customWidth="1"/>
    <col min="4415" max="4415" width="7.59765625" style="37" customWidth="1"/>
    <col min="4416" max="4416" width="9.8984375" style="37" customWidth="1"/>
    <col min="4417" max="4417" width="8.19921875" style="37" customWidth="1"/>
    <col min="4418" max="4420" width="8.8984375" style="37" customWidth="1"/>
    <col min="4421" max="4421" width="8.69921875" style="37" customWidth="1"/>
    <col min="4422" max="4422" width="8" style="37" customWidth="1"/>
    <col min="4423" max="4423" width="8.19921875" style="37" customWidth="1"/>
    <col min="4424" max="4424" width="7.3984375" style="37" customWidth="1"/>
    <col min="4425" max="4425" width="8.8984375" style="37" customWidth="1"/>
    <col min="4426" max="4426" width="7.3984375" style="37" customWidth="1"/>
    <col min="4427" max="4427" width="6.59765625" style="37" customWidth="1"/>
    <col min="4428" max="4428" width="9.5" style="37" customWidth="1"/>
    <col min="4429" max="4429" width="8" style="37" customWidth="1"/>
    <col min="4430" max="4430" width="8.3984375" style="37" customWidth="1"/>
    <col min="4431" max="4431" width="8.5" style="37" customWidth="1"/>
    <col min="4432" max="4432" width="8" style="37" customWidth="1"/>
    <col min="4433" max="4433" width="7.8984375" style="37" customWidth="1"/>
    <col min="4434" max="4434" width="8" style="37" customWidth="1"/>
    <col min="4435" max="4435" width="8.5" style="37" customWidth="1"/>
    <col min="4436" max="4438" width="8.09765625" style="37" customWidth="1"/>
    <col min="4439" max="4439" width="8" style="37" customWidth="1"/>
    <col min="4440" max="4443" width="8.69921875" style="37" customWidth="1"/>
    <col min="4444" max="4444" width="7.59765625" style="37" customWidth="1"/>
    <col min="4445" max="4446" width="8.69921875" style="37" customWidth="1"/>
    <col min="4447" max="4447" width="7.69921875" style="37" customWidth="1"/>
    <col min="4448" max="4450" width="8" style="37" customWidth="1"/>
    <col min="4451" max="4451" width="7.8984375" style="37" customWidth="1"/>
    <col min="4452" max="4453" width="8.69921875" style="37" customWidth="1"/>
    <col min="4454" max="4454" width="8.3984375" style="37" customWidth="1"/>
    <col min="4455" max="4455" width="8" style="37" customWidth="1"/>
    <col min="4456" max="4456" width="7.8984375" style="37" customWidth="1"/>
    <col min="4457" max="4459" width="8.19921875" style="37" customWidth="1"/>
    <col min="4460" max="4462" width="8.09765625" style="37" customWidth="1"/>
    <col min="4463" max="4463" width="7.8984375" style="37" customWidth="1"/>
    <col min="4464" max="4464" width="8.8984375" style="37" customWidth="1"/>
    <col min="4465" max="4465" width="8.3984375" style="37" customWidth="1"/>
    <col min="4466" max="4466" width="8.19921875" style="37" customWidth="1"/>
    <col min="4467" max="4467" width="8.8984375" style="37" customWidth="1"/>
    <col min="4468" max="4468" width="8.09765625" style="37" customWidth="1"/>
    <col min="4469" max="4469" width="8.19921875" style="37" customWidth="1"/>
    <col min="4470" max="4470" width="8.8984375" style="37" customWidth="1"/>
    <col min="4471" max="4471" width="8" style="37" customWidth="1"/>
    <col min="4472" max="4474" width="7.8984375" style="37" customWidth="1"/>
    <col min="4475" max="4475" width="7.69921875" style="37" customWidth="1"/>
    <col min="4476" max="4479" width="8.8984375" style="37" customWidth="1"/>
    <col min="4480" max="4480" width="8.69921875" style="37" customWidth="1"/>
    <col min="4481" max="4481" width="8.59765625" style="37" customWidth="1"/>
    <col min="4482" max="4483" width="8.19921875" style="37" customWidth="1"/>
    <col min="4484" max="4484" width="7.59765625" style="37" customWidth="1"/>
    <col min="4485" max="4485" width="8" style="37" customWidth="1"/>
    <col min="4486" max="4486" width="7.09765625" style="37" customWidth="1"/>
    <col min="4487" max="4487" width="7.59765625" style="37" customWidth="1"/>
    <col min="4488" max="4488" width="8.8984375" style="37" customWidth="1"/>
    <col min="4489" max="4489" width="8.09765625" style="37" customWidth="1"/>
    <col min="4490" max="4494" width="8.8984375" style="37" customWidth="1"/>
    <col min="4495" max="4495" width="8" style="37" customWidth="1"/>
    <col min="4496" max="4496" width="7.69921875" style="37" customWidth="1"/>
    <col min="4497" max="4497" width="7.8984375" style="37" customWidth="1"/>
    <col min="4498" max="4498" width="7.3984375" style="37" customWidth="1"/>
    <col min="4499" max="4499" width="7.8984375" style="37" customWidth="1"/>
    <col min="4500" max="4506" width="8.8984375" style="37" customWidth="1"/>
    <col min="4507" max="4507" width="7.5" style="37" customWidth="1"/>
    <col min="4508" max="4508" width="7.19921875" style="37" customWidth="1"/>
    <col min="4509" max="4509" width="8.3984375" style="37" customWidth="1"/>
    <col min="4510" max="4510" width="7.19921875" style="37" customWidth="1"/>
    <col min="4511" max="4511" width="7.59765625" style="37" customWidth="1"/>
    <col min="4512" max="4609" width="8.69921875" style="37"/>
    <col min="4610" max="4610" width="4.5" style="37" bestFit="1" customWidth="1"/>
    <col min="4611" max="4611" width="69.09765625" style="37" customWidth="1"/>
    <col min="4612" max="4612" width="9.19921875" style="37" customWidth="1"/>
    <col min="4613" max="4613" width="8.59765625" style="37" customWidth="1"/>
    <col min="4614" max="4614" width="9.3984375" style="37" customWidth="1"/>
    <col min="4615" max="4615" width="10.19921875" style="37" customWidth="1"/>
    <col min="4616" max="4616" width="10.59765625" style="37" customWidth="1"/>
    <col min="4617" max="4617" width="10" style="37" customWidth="1"/>
    <col min="4618" max="4619" width="8.5" style="37" customWidth="1"/>
    <col min="4620" max="4620" width="7.5" style="37" customWidth="1"/>
    <col min="4621" max="4621" width="7.09765625" style="37" customWidth="1"/>
    <col min="4622" max="4622" width="8.09765625" style="37" customWidth="1"/>
    <col min="4623" max="4624" width="7.5" style="37" customWidth="1"/>
    <col min="4625" max="4625" width="8.59765625" style="37" customWidth="1"/>
    <col min="4626" max="4628" width="7.5" style="37" customWidth="1"/>
    <col min="4629" max="4629" width="8.3984375" style="37" customWidth="1"/>
    <col min="4630" max="4630" width="7.5" style="37" customWidth="1"/>
    <col min="4631" max="4631" width="8.19921875" style="37" customWidth="1"/>
    <col min="4632" max="4634" width="7.5" style="37" customWidth="1"/>
    <col min="4635" max="4635" width="8.19921875" style="37" customWidth="1"/>
    <col min="4636" max="4636" width="8.09765625" style="37" customWidth="1"/>
    <col min="4637" max="4637" width="8.19921875" style="37" customWidth="1"/>
    <col min="4638" max="4638" width="8.69921875" style="37" customWidth="1"/>
    <col min="4639" max="4639" width="7.09765625" style="37" customWidth="1"/>
    <col min="4640" max="4640" width="9.5" style="37" customWidth="1"/>
    <col min="4641" max="4641" width="8.59765625" style="37" customWidth="1"/>
    <col min="4642" max="4642" width="8.8984375" style="37" customWidth="1"/>
    <col min="4643" max="4643" width="8.09765625" style="37" customWidth="1"/>
    <col min="4644" max="4646" width="7.59765625" style="37" customWidth="1"/>
    <col min="4647" max="4647" width="6.5" style="37" customWidth="1"/>
    <col min="4648" max="4656" width="8.5" style="37" customWidth="1"/>
    <col min="4657" max="4657" width="7.5" style="37" customWidth="1"/>
    <col min="4658" max="4658" width="7.19921875" style="37" customWidth="1"/>
    <col min="4659" max="4659" width="8.5" style="37" customWidth="1"/>
    <col min="4660" max="4660" width="9.3984375" style="37" customWidth="1"/>
    <col min="4661" max="4663" width="8.5" style="37" customWidth="1"/>
    <col min="4664" max="4664" width="9.19921875" style="37" customWidth="1"/>
    <col min="4665" max="4667" width="8.5" style="37" customWidth="1"/>
    <col min="4668" max="4668" width="7.8984375" style="37" customWidth="1"/>
    <col min="4669" max="4669" width="8.5" style="37" customWidth="1"/>
    <col min="4670" max="4670" width="7.3984375" style="37" customWidth="1"/>
    <col min="4671" max="4671" width="7.59765625" style="37" customWidth="1"/>
    <col min="4672" max="4672" width="9.8984375" style="37" customWidth="1"/>
    <col min="4673" max="4673" width="8.19921875" style="37" customWidth="1"/>
    <col min="4674" max="4676" width="8.8984375" style="37" customWidth="1"/>
    <col min="4677" max="4677" width="8.69921875" style="37" customWidth="1"/>
    <col min="4678" max="4678" width="8" style="37" customWidth="1"/>
    <col min="4679" max="4679" width="8.19921875" style="37" customWidth="1"/>
    <col min="4680" max="4680" width="7.3984375" style="37" customWidth="1"/>
    <col min="4681" max="4681" width="8.8984375" style="37" customWidth="1"/>
    <col min="4682" max="4682" width="7.3984375" style="37" customWidth="1"/>
    <col min="4683" max="4683" width="6.59765625" style="37" customWidth="1"/>
    <col min="4684" max="4684" width="9.5" style="37" customWidth="1"/>
    <col min="4685" max="4685" width="8" style="37" customWidth="1"/>
    <col min="4686" max="4686" width="8.3984375" style="37" customWidth="1"/>
    <col min="4687" max="4687" width="8.5" style="37" customWidth="1"/>
    <col min="4688" max="4688" width="8" style="37" customWidth="1"/>
    <col min="4689" max="4689" width="7.8984375" style="37" customWidth="1"/>
    <col min="4690" max="4690" width="8" style="37" customWidth="1"/>
    <col min="4691" max="4691" width="8.5" style="37" customWidth="1"/>
    <col min="4692" max="4694" width="8.09765625" style="37" customWidth="1"/>
    <col min="4695" max="4695" width="8" style="37" customWidth="1"/>
    <col min="4696" max="4699" width="8.69921875" style="37" customWidth="1"/>
    <col min="4700" max="4700" width="7.59765625" style="37" customWidth="1"/>
    <col min="4701" max="4702" width="8.69921875" style="37" customWidth="1"/>
    <col min="4703" max="4703" width="7.69921875" style="37" customWidth="1"/>
    <col min="4704" max="4706" width="8" style="37" customWidth="1"/>
    <col min="4707" max="4707" width="7.8984375" style="37" customWidth="1"/>
    <col min="4708" max="4709" width="8.69921875" style="37" customWidth="1"/>
    <col min="4710" max="4710" width="8.3984375" style="37" customWidth="1"/>
    <col min="4711" max="4711" width="8" style="37" customWidth="1"/>
    <col min="4712" max="4712" width="7.8984375" style="37" customWidth="1"/>
    <col min="4713" max="4715" width="8.19921875" style="37" customWidth="1"/>
    <col min="4716" max="4718" width="8.09765625" style="37" customWidth="1"/>
    <col min="4719" max="4719" width="7.8984375" style="37" customWidth="1"/>
    <col min="4720" max="4720" width="8.8984375" style="37" customWidth="1"/>
    <col min="4721" max="4721" width="8.3984375" style="37" customWidth="1"/>
    <col min="4722" max="4722" width="8.19921875" style="37" customWidth="1"/>
    <col min="4723" max="4723" width="8.8984375" style="37" customWidth="1"/>
    <col min="4724" max="4724" width="8.09765625" style="37" customWidth="1"/>
    <col min="4725" max="4725" width="8.19921875" style="37" customWidth="1"/>
    <col min="4726" max="4726" width="8.8984375" style="37" customWidth="1"/>
    <col min="4727" max="4727" width="8" style="37" customWidth="1"/>
    <col min="4728" max="4730" width="7.8984375" style="37" customWidth="1"/>
    <col min="4731" max="4731" width="7.69921875" style="37" customWidth="1"/>
    <col min="4732" max="4735" width="8.8984375" style="37" customWidth="1"/>
    <col min="4736" max="4736" width="8.69921875" style="37" customWidth="1"/>
    <col min="4737" max="4737" width="8.59765625" style="37" customWidth="1"/>
    <col min="4738" max="4739" width="8.19921875" style="37" customWidth="1"/>
    <col min="4740" max="4740" width="7.59765625" style="37" customWidth="1"/>
    <col min="4741" max="4741" width="8" style="37" customWidth="1"/>
    <col min="4742" max="4742" width="7.09765625" style="37" customWidth="1"/>
    <col min="4743" max="4743" width="7.59765625" style="37" customWidth="1"/>
    <col min="4744" max="4744" width="8.8984375" style="37" customWidth="1"/>
    <col min="4745" max="4745" width="8.09765625" style="37" customWidth="1"/>
    <col min="4746" max="4750" width="8.8984375" style="37" customWidth="1"/>
    <col min="4751" max="4751" width="8" style="37" customWidth="1"/>
    <col min="4752" max="4752" width="7.69921875" style="37" customWidth="1"/>
    <col min="4753" max="4753" width="7.8984375" style="37" customWidth="1"/>
    <col min="4754" max="4754" width="7.3984375" style="37" customWidth="1"/>
    <col min="4755" max="4755" width="7.8984375" style="37" customWidth="1"/>
    <col min="4756" max="4762" width="8.8984375" style="37" customWidth="1"/>
    <col min="4763" max="4763" width="7.5" style="37" customWidth="1"/>
    <col min="4764" max="4764" width="7.19921875" style="37" customWidth="1"/>
    <col min="4765" max="4765" width="8.3984375" style="37" customWidth="1"/>
    <col min="4766" max="4766" width="7.19921875" style="37" customWidth="1"/>
    <col min="4767" max="4767" width="7.59765625" style="37" customWidth="1"/>
    <col min="4768" max="4865" width="8.69921875" style="37"/>
    <col min="4866" max="4866" width="4.5" style="37" bestFit="1" customWidth="1"/>
    <col min="4867" max="4867" width="69.09765625" style="37" customWidth="1"/>
    <col min="4868" max="4868" width="9.19921875" style="37" customWidth="1"/>
    <col min="4869" max="4869" width="8.59765625" style="37" customWidth="1"/>
    <col min="4870" max="4870" width="9.3984375" style="37" customWidth="1"/>
    <col min="4871" max="4871" width="10.19921875" style="37" customWidth="1"/>
    <col min="4872" max="4872" width="10.59765625" style="37" customWidth="1"/>
    <col min="4873" max="4873" width="10" style="37" customWidth="1"/>
    <col min="4874" max="4875" width="8.5" style="37" customWidth="1"/>
    <col min="4876" max="4876" width="7.5" style="37" customWidth="1"/>
    <col min="4877" max="4877" width="7.09765625" style="37" customWidth="1"/>
    <col min="4878" max="4878" width="8.09765625" style="37" customWidth="1"/>
    <col min="4879" max="4880" width="7.5" style="37" customWidth="1"/>
    <col min="4881" max="4881" width="8.59765625" style="37" customWidth="1"/>
    <col min="4882" max="4884" width="7.5" style="37" customWidth="1"/>
    <col min="4885" max="4885" width="8.3984375" style="37" customWidth="1"/>
    <col min="4886" max="4886" width="7.5" style="37" customWidth="1"/>
    <col min="4887" max="4887" width="8.19921875" style="37" customWidth="1"/>
    <col min="4888" max="4890" width="7.5" style="37" customWidth="1"/>
    <col min="4891" max="4891" width="8.19921875" style="37" customWidth="1"/>
    <col min="4892" max="4892" width="8.09765625" style="37" customWidth="1"/>
    <col min="4893" max="4893" width="8.19921875" style="37" customWidth="1"/>
    <col min="4894" max="4894" width="8.69921875" style="37" customWidth="1"/>
    <col min="4895" max="4895" width="7.09765625" style="37" customWidth="1"/>
    <col min="4896" max="4896" width="9.5" style="37" customWidth="1"/>
    <col min="4897" max="4897" width="8.59765625" style="37" customWidth="1"/>
    <col min="4898" max="4898" width="8.8984375" style="37" customWidth="1"/>
    <col min="4899" max="4899" width="8.09765625" style="37" customWidth="1"/>
    <col min="4900" max="4902" width="7.59765625" style="37" customWidth="1"/>
    <col min="4903" max="4903" width="6.5" style="37" customWidth="1"/>
    <col min="4904" max="4912" width="8.5" style="37" customWidth="1"/>
    <col min="4913" max="4913" width="7.5" style="37" customWidth="1"/>
    <col min="4914" max="4914" width="7.19921875" style="37" customWidth="1"/>
    <col min="4915" max="4915" width="8.5" style="37" customWidth="1"/>
    <col min="4916" max="4916" width="9.3984375" style="37" customWidth="1"/>
    <col min="4917" max="4919" width="8.5" style="37" customWidth="1"/>
    <col min="4920" max="4920" width="9.19921875" style="37" customWidth="1"/>
    <col min="4921" max="4923" width="8.5" style="37" customWidth="1"/>
    <col min="4924" max="4924" width="7.8984375" style="37" customWidth="1"/>
    <col min="4925" max="4925" width="8.5" style="37" customWidth="1"/>
    <col min="4926" max="4926" width="7.3984375" style="37" customWidth="1"/>
    <col min="4927" max="4927" width="7.59765625" style="37" customWidth="1"/>
    <col min="4928" max="4928" width="9.8984375" style="37" customWidth="1"/>
    <col min="4929" max="4929" width="8.19921875" style="37" customWidth="1"/>
    <col min="4930" max="4932" width="8.8984375" style="37" customWidth="1"/>
    <col min="4933" max="4933" width="8.69921875" style="37" customWidth="1"/>
    <col min="4934" max="4934" width="8" style="37" customWidth="1"/>
    <col min="4935" max="4935" width="8.19921875" style="37" customWidth="1"/>
    <col min="4936" max="4936" width="7.3984375" style="37" customWidth="1"/>
    <col min="4937" max="4937" width="8.8984375" style="37" customWidth="1"/>
    <col min="4938" max="4938" width="7.3984375" style="37" customWidth="1"/>
    <col min="4939" max="4939" width="6.59765625" style="37" customWidth="1"/>
    <col min="4940" max="4940" width="9.5" style="37" customWidth="1"/>
    <col min="4941" max="4941" width="8" style="37" customWidth="1"/>
    <col min="4942" max="4942" width="8.3984375" style="37" customWidth="1"/>
    <col min="4943" max="4943" width="8.5" style="37" customWidth="1"/>
    <col min="4944" max="4944" width="8" style="37" customWidth="1"/>
    <col min="4945" max="4945" width="7.8984375" style="37" customWidth="1"/>
    <col min="4946" max="4946" width="8" style="37" customWidth="1"/>
    <col min="4947" max="4947" width="8.5" style="37" customWidth="1"/>
    <col min="4948" max="4950" width="8.09765625" style="37" customWidth="1"/>
    <col min="4951" max="4951" width="8" style="37" customWidth="1"/>
    <col min="4952" max="4955" width="8.69921875" style="37" customWidth="1"/>
    <col min="4956" max="4956" width="7.59765625" style="37" customWidth="1"/>
    <col min="4957" max="4958" width="8.69921875" style="37" customWidth="1"/>
    <col min="4959" max="4959" width="7.69921875" style="37" customWidth="1"/>
    <col min="4960" max="4962" width="8" style="37" customWidth="1"/>
    <col min="4963" max="4963" width="7.8984375" style="37" customWidth="1"/>
    <col min="4964" max="4965" width="8.69921875" style="37" customWidth="1"/>
    <col min="4966" max="4966" width="8.3984375" style="37" customWidth="1"/>
    <col min="4967" max="4967" width="8" style="37" customWidth="1"/>
    <col min="4968" max="4968" width="7.8984375" style="37" customWidth="1"/>
    <col min="4969" max="4971" width="8.19921875" style="37" customWidth="1"/>
    <col min="4972" max="4974" width="8.09765625" style="37" customWidth="1"/>
    <col min="4975" max="4975" width="7.8984375" style="37" customWidth="1"/>
    <col min="4976" max="4976" width="8.8984375" style="37" customWidth="1"/>
    <col min="4977" max="4977" width="8.3984375" style="37" customWidth="1"/>
    <col min="4978" max="4978" width="8.19921875" style="37" customWidth="1"/>
    <col min="4979" max="4979" width="8.8984375" style="37" customWidth="1"/>
    <col min="4980" max="4980" width="8.09765625" style="37" customWidth="1"/>
    <col min="4981" max="4981" width="8.19921875" style="37" customWidth="1"/>
    <col min="4982" max="4982" width="8.8984375" style="37" customWidth="1"/>
    <col min="4983" max="4983" width="8" style="37" customWidth="1"/>
    <col min="4984" max="4986" width="7.8984375" style="37" customWidth="1"/>
    <col min="4987" max="4987" width="7.69921875" style="37" customWidth="1"/>
    <col min="4988" max="4991" width="8.8984375" style="37" customWidth="1"/>
    <col min="4992" max="4992" width="8.69921875" style="37" customWidth="1"/>
    <col min="4993" max="4993" width="8.59765625" style="37" customWidth="1"/>
    <col min="4994" max="4995" width="8.19921875" style="37" customWidth="1"/>
    <col min="4996" max="4996" width="7.59765625" style="37" customWidth="1"/>
    <col min="4997" max="4997" width="8" style="37" customWidth="1"/>
    <col min="4998" max="4998" width="7.09765625" style="37" customWidth="1"/>
    <col min="4999" max="4999" width="7.59765625" style="37" customWidth="1"/>
    <col min="5000" max="5000" width="8.8984375" style="37" customWidth="1"/>
    <col min="5001" max="5001" width="8.09765625" style="37" customWidth="1"/>
    <col min="5002" max="5006" width="8.8984375" style="37" customWidth="1"/>
    <col min="5007" max="5007" width="8" style="37" customWidth="1"/>
    <col min="5008" max="5008" width="7.69921875" style="37" customWidth="1"/>
    <col min="5009" max="5009" width="7.8984375" style="37" customWidth="1"/>
    <col min="5010" max="5010" width="7.3984375" style="37" customWidth="1"/>
    <col min="5011" max="5011" width="7.8984375" style="37" customWidth="1"/>
    <col min="5012" max="5018" width="8.8984375" style="37" customWidth="1"/>
    <col min="5019" max="5019" width="7.5" style="37" customWidth="1"/>
    <col min="5020" max="5020" width="7.19921875" style="37" customWidth="1"/>
    <col min="5021" max="5021" width="8.3984375" style="37" customWidth="1"/>
    <col min="5022" max="5022" width="7.19921875" style="37" customWidth="1"/>
    <col min="5023" max="5023" width="7.59765625" style="37" customWidth="1"/>
    <col min="5024" max="5121" width="8.69921875" style="37"/>
    <col min="5122" max="5122" width="4.5" style="37" bestFit="1" customWidth="1"/>
    <col min="5123" max="5123" width="69.09765625" style="37" customWidth="1"/>
    <col min="5124" max="5124" width="9.19921875" style="37" customWidth="1"/>
    <col min="5125" max="5125" width="8.59765625" style="37" customWidth="1"/>
    <col min="5126" max="5126" width="9.3984375" style="37" customWidth="1"/>
    <col min="5127" max="5127" width="10.19921875" style="37" customWidth="1"/>
    <col min="5128" max="5128" width="10.59765625" style="37" customWidth="1"/>
    <col min="5129" max="5129" width="10" style="37" customWidth="1"/>
    <col min="5130" max="5131" width="8.5" style="37" customWidth="1"/>
    <col min="5132" max="5132" width="7.5" style="37" customWidth="1"/>
    <col min="5133" max="5133" width="7.09765625" style="37" customWidth="1"/>
    <col min="5134" max="5134" width="8.09765625" style="37" customWidth="1"/>
    <col min="5135" max="5136" width="7.5" style="37" customWidth="1"/>
    <col min="5137" max="5137" width="8.59765625" style="37" customWidth="1"/>
    <col min="5138" max="5140" width="7.5" style="37" customWidth="1"/>
    <col min="5141" max="5141" width="8.3984375" style="37" customWidth="1"/>
    <col min="5142" max="5142" width="7.5" style="37" customWidth="1"/>
    <col min="5143" max="5143" width="8.19921875" style="37" customWidth="1"/>
    <col min="5144" max="5146" width="7.5" style="37" customWidth="1"/>
    <col min="5147" max="5147" width="8.19921875" style="37" customWidth="1"/>
    <col min="5148" max="5148" width="8.09765625" style="37" customWidth="1"/>
    <col min="5149" max="5149" width="8.19921875" style="37" customWidth="1"/>
    <col min="5150" max="5150" width="8.69921875" style="37" customWidth="1"/>
    <col min="5151" max="5151" width="7.09765625" style="37" customWidth="1"/>
    <col min="5152" max="5152" width="9.5" style="37" customWidth="1"/>
    <col min="5153" max="5153" width="8.59765625" style="37" customWidth="1"/>
    <col min="5154" max="5154" width="8.8984375" style="37" customWidth="1"/>
    <col min="5155" max="5155" width="8.09765625" style="37" customWidth="1"/>
    <col min="5156" max="5158" width="7.59765625" style="37" customWidth="1"/>
    <col min="5159" max="5159" width="6.5" style="37" customWidth="1"/>
    <col min="5160" max="5168" width="8.5" style="37" customWidth="1"/>
    <col min="5169" max="5169" width="7.5" style="37" customWidth="1"/>
    <col min="5170" max="5170" width="7.19921875" style="37" customWidth="1"/>
    <col min="5171" max="5171" width="8.5" style="37" customWidth="1"/>
    <col min="5172" max="5172" width="9.3984375" style="37" customWidth="1"/>
    <col min="5173" max="5175" width="8.5" style="37" customWidth="1"/>
    <col min="5176" max="5176" width="9.19921875" style="37" customWidth="1"/>
    <col min="5177" max="5179" width="8.5" style="37" customWidth="1"/>
    <col min="5180" max="5180" width="7.8984375" style="37" customWidth="1"/>
    <col min="5181" max="5181" width="8.5" style="37" customWidth="1"/>
    <col min="5182" max="5182" width="7.3984375" style="37" customWidth="1"/>
    <col min="5183" max="5183" width="7.59765625" style="37" customWidth="1"/>
    <col min="5184" max="5184" width="9.8984375" style="37" customWidth="1"/>
    <col min="5185" max="5185" width="8.19921875" style="37" customWidth="1"/>
    <col min="5186" max="5188" width="8.8984375" style="37" customWidth="1"/>
    <col min="5189" max="5189" width="8.69921875" style="37" customWidth="1"/>
    <col min="5190" max="5190" width="8" style="37" customWidth="1"/>
    <col min="5191" max="5191" width="8.19921875" style="37" customWidth="1"/>
    <col min="5192" max="5192" width="7.3984375" style="37" customWidth="1"/>
    <col min="5193" max="5193" width="8.8984375" style="37" customWidth="1"/>
    <col min="5194" max="5194" width="7.3984375" style="37" customWidth="1"/>
    <col min="5195" max="5195" width="6.59765625" style="37" customWidth="1"/>
    <col min="5196" max="5196" width="9.5" style="37" customWidth="1"/>
    <col min="5197" max="5197" width="8" style="37" customWidth="1"/>
    <col min="5198" max="5198" width="8.3984375" style="37" customWidth="1"/>
    <col min="5199" max="5199" width="8.5" style="37" customWidth="1"/>
    <col min="5200" max="5200" width="8" style="37" customWidth="1"/>
    <col min="5201" max="5201" width="7.8984375" style="37" customWidth="1"/>
    <col min="5202" max="5202" width="8" style="37" customWidth="1"/>
    <col min="5203" max="5203" width="8.5" style="37" customWidth="1"/>
    <col min="5204" max="5206" width="8.09765625" style="37" customWidth="1"/>
    <col min="5207" max="5207" width="8" style="37" customWidth="1"/>
    <col min="5208" max="5211" width="8.69921875" style="37" customWidth="1"/>
    <col min="5212" max="5212" width="7.59765625" style="37" customWidth="1"/>
    <col min="5213" max="5214" width="8.69921875" style="37" customWidth="1"/>
    <col min="5215" max="5215" width="7.69921875" style="37" customWidth="1"/>
    <col min="5216" max="5218" width="8" style="37" customWidth="1"/>
    <col min="5219" max="5219" width="7.8984375" style="37" customWidth="1"/>
    <col min="5220" max="5221" width="8.69921875" style="37" customWidth="1"/>
    <col min="5222" max="5222" width="8.3984375" style="37" customWidth="1"/>
    <col min="5223" max="5223" width="8" style="37" customWidth="1"/>
    <col min="5224" max="5224" width="7.8984375" style="37" customWidth="1"/>
    <col min="5225" max="5227" width="8.19921875" style="37" customWidth="1"/>
    <col min="5228" max="5230" width="8.09765625" style="37" customWidth="1"/>
    <col min="5231" max="5231" width="7.8984375" style="37" customWidth="1"/>
    <col min="5232" max="5232" width="8.8984375" style="37" customWidth="1"/>
    <col min="5233" max="5233" width="8.3984375" style="37" customWidth="1"/>
    <col min="5234" max="5234" width="8.19921875" style="37" customWidth="1"/>
    <col min="5235" max="5235" width="8.8984375" style="37" customWidth="1"/>
    <col min="5236" max="5236" width="8.09765625" style="37" customWidth="1"/>
    <col min="5237" max="5237" width="8.19921875" style="37" customWidth="1"/>
    <col min="5238" max="5238" width="8.8984375" style="37" customWidth="1"/>
    <col min="5239" max="5239" width="8" style="37" customWidth="1"/>
    <col min="5240" max="5242" width="7.8984375" style="37" customWidth="1"/>
    <col min="5243" max="5243" width="7.69921875" style="37" customWidth="1"/>
    <col min="5244" max="5247" width="8.8984375" style="37" customWidth="1"/>
    <col min="5248" max="5248" width="8.69921875" style="37" customWidth="1"/>
    <col min="5249" max="5249" width="8.59765625" style="37" customWidth="1"/>
    <col min="5250" max="5251" width="8.19921875" style="37" customWidth="1"/>
    <col min="5252" max="5252" width="7.59765625" style="37" customWidth="1"/>
    <col min="5253" max="5253" width="8" style="37" customWidth="1"/>
    <col min="5254" max="5254" width="7.09765625" style="37" customWidth="1"/>
    <col min="5255" max="5255" width="7.59765625" style="37" customWidth="1"/>
    <col min="5256" max="5256" width="8.8984375" style="37" customWidth="1"/>
    <col min="5257" max="5257" width="8.09765625" style="37" customWidth="1"/>
    <col min="5258" max="5262" width="8.8984375" style="37" customWidth="1"/>
    <col min="5263" max="5263" width="8" style="37" customWidth="1"/>
    <col min="5264" max="5264" width="7.69921875" style="37" customWidth="1"/>
    <col min="5265" max="5265" width="7.8984375" style="37" customWidth="1"/>
    <col min="5266" max="5266" width="7.3984375" style="37" customWidth="1"/>
    <col min="5267" max="5267" width="7.8984375" style="37" customWidth="1"/>
    <col min="5268" max="5274" width="8.8984375" style="37" customWidth="1"/>
    <col min="5275" max="5275" width="7.5" style="37" customWidth="1"/>
    <col min="5276" max="5276" width="7.19921875" style="37" customWidth="1"/>
    <col min="5277" max="5277" width="8.3984375" style="37" customWidth="1"/>
    <col min="5278" max="5278" width="7.19921875" style="37" customWidth="1"/>
    <col min="5279" max="5279" width="7.59765625" style="37" customWidth="1"/>
    <col min="5280" max="5377" width="8.69921875" style="37"/>
    <col min="5378" max="5378" width="4.5" style="37" bestFit="1" customWidth="1"/>
    <col min="5379" max="5379" width="69.09765625" style="37" customWidth="1"/>
    <col min="5380" max="5380" width="9.19921875" style="37" customWidth="1"/>
    <col min="5381" max="5381" width="8.59765625" style="37" customWidth="1"/>
    <col min="5382" max="5382" width="9.3984375" style="37" customWidth="1"/>
    <col min="5383" max="5383" width="10.19921875" style="37" customWidth="1"/>
    <col min="5384" max="5384" width="10.59765625" style="37" customWidth="1"/>
    <col min="5385" max="5385" width="10" style="37" customWidth="1"/>
    <col min="5386" max="5387" width="8.5" style="37" customWidth="1"/>
    <col min="5388" max="5388" width="7.5" style="37" customWidth="1"/>
    <col min="5389" max="5389" width="7.09765625" style="37" customWidth="1"/>
    <col min="5390" max="5390" width="8.09765625" style="37" customWidth="1"/>
    <col min="5391" max="5392" width="7.5" style="37" customWidth="1"/>
    <col min="5393" max="5393" width="8.59765625" style="37" customWidth="1"/>
    <col min="5394" max="5396" width="7.5" style="37" customWidth="1"/>
    <col min="5397" max="5397" width="8.3984375" style="37" customWidth="1"/>
    <col min="5398" max="5398" width="7.5" style="37" customWidth="1"/>
    <col min="5399" max="5399" width="8.19921875" style="37" customWidth="1"/>
    <col min="5400" max="5402" width="7.5" style="37" customWidth="1"/>
    <col min="5403" max="5403" width="8.19921875" style="37" customWidth="1"/>
    <col min="5404" max="5404" width="8.09765625" style="37" customWidth="1"/>
    <col min="5405" max="5405" width="8.19921875" style="37" customWidth="1"/>
    <col min="5406" max="5406" width="8.69921875" style="37" customWidth="1"/>
    <col min="5407" max="5407" width="7.09765625" style="37" customWidth="1"/>
    <col min="5408" max="5408" width="9.5" style="37" customWidth="1"/>
    <col min="5409" max="5409" width="8.59765625" style="37" customWidth="1"/>
    <col min="5410" max="5410" width="8.8984375" style="37" customWidth="1"/>
    <col min="5411" max="5411" width="8.09765625" style="37" customWidth="1"/>
    <col min="5412" max="5414" width="7.59765625" style="37" customWidth="1"/>
    <col min="5415" max="5415" width="6.5" style="37" customWidth="1"/>
    <col min="5416" max="5424" width="8.5" style="37" customWidth="1"/>
    <col min="5425" max="5425" width="7.5" style="37" customWidth="1"/>
    <col min="5426" max="5426" width="7.19921875" style="37" customWidth="1"/>
    <col min="5427" max="5427" width="8.5" style="37" customWidth="1"/>
    <col min="5428" max="5428" width="9.3984375" style="37" customWidth="1"/>
    <col min="5429" max="5431" width="8.5" style="37" customWidth="1"/>
    <col min="5432" max="5432" width="9.19921875" style="37" customWidth="1"/>
    <col min="5433" max="5435" width="8.5" style="37" customWidth="1"/>
    <col min="5436" max="5436" width="7.8984375" style="37" customWidth="1"/>
    <col min="5437" max="5437" width="8.5" style="37" customWidth="1"/>
    <col min="5438" max="5438" width="7.3984375" style="37" customWidth="1"/>
    <col min="5439" max="5439" width="7.59765625" style="37" customWidth="1"/>
    <col min="5440" max="5440" width="9.8984375" style="37" customWidth="1"/>
    <col min="5441" max="5441" width="8.19921875" style="37" customWidth="1"/>
    <col min="5442" max="5444" width="8.8984375" style="37" customWidth="1"/>
    <col min="5445" max="5445" width="8.69921875" style="37" customWidth="1"/>
    <col min="5446" max="5446" width="8" style="37" customWidth="1"/>
    <col min="5447" max="5447" width="8.19921875" style="37" customWidth="1"/>
    <col min="5448" max="5448" width="7.3984375" style="37" customWidth="1"/>
    <col min="5449" max="5449" width="8.8984375" style="37" customWidth="1"/>
    <col min="5450" max="5450" width="7.3984375" style="37" customWidth="1"/>
    <col min="5451" max="5451" width="6.59765625" style="37" customWidth="1"/>
    <col min="5452" max="5452" width="9.5" style="37" customWidth="1"/>
    <col min="5453" max="5453" width="8" style="37" customWidth="1"/>
    <col min="5454" max="5454" width="8.3984375" style="37" customWidth="1"/>
    <col min="5455" max="5455" width="8.5" style="37" customWidth="1"/>
    <col min="5456" max="5456" width="8" style="37" customWidth="1"/>
    <col min="5457" max="5457" width="7.8984375" style="37" customWidth="1"/>
    <col min="5458" max="5458" width="8" style="37" customWidth="1"/>
    <col min="5459" max="5459" width="8.5" style="37" customWidth="1"/>
    <col min="5460" max="5462" width="8.09765625" style="37" customWidth="1"/>
    <col min="5463" max="5463" width="8" style="37" customWidth="1"/>
    <col min="5464" max="5467" width="8.69921875" style="37" customWidth="1"/>
    <col min="5468" max="5468" width="7.59765625" style="37" customWidth="1"/>
    <col min="5469" max="5470" width="8.69921875" style="37" customWidth="1"/>
    <col min="5471" max="5471" width="7.69921875" style="37" customWidth="1"/>
    <col min="5472" max="5474" width="8" style="37" customWidth="1"/>
    <col min="5475" max="5475" width="7.8984375" style="37" customWidth="1"/>
    <col min="5476" max="5477" width="8.69921875" style="37" customWidth="1"/>
    <col min="5478" max="5478" width="8.3984375" style="37" customWidth="1"/>
    <col min="5479" max="5479" width="8" style="37" customWidth="1"/>
    <col min="5480" max="5480" width="7.8984375" style="37" customWidth="1"/>
    <col min="5481" max="5483" width="8.19921875" style="37" customWidth="1"/>
    <col min="5484" max="5486" width="8.09765625" style="37" customWidth="1"/>
    <col min="5487" max="5487" width="7.8984375" style="37" customWidth="1"/>
    <col min="5488" max="5488" width="8.8984375" style="37" customWidth="1"/>
    <col min="5489" max="5489" width="8.3984375" style="37" customWidth="1"/>
    <col min="5490" max="5490" width="8.19921875" style="37" customWidth="1"/>
    <col min="5491" max="5491" width="8.8984375" style="37" customWidth="1"/>
    <col min="5492" max="5492" width="8.09765625" style="37" customWidth="1"/>
    <col min="5493" max="5493" width="8.19921875" style="37" customWidth="1"/>
    <col min="5494" max="5494" width="8.8984375" style="37" customWidth="1"/>
    <col min="5495" max="5495" width="8" style="37" customWidth="1"/>
    <col min="5496" max="5498" width="7.8984375" style="37" customWidth="1"/>
    <col min="5499" max="5499" width="7.69921875" style="37" customWidth="1"/>
    <col min="5500" max="5503" width="8.8984375" style="37" customWidth="1"/>
    <col min="5504" max="5504" width="8.69921875" style="37" customWidth="1"/>
    <col min="5505" max="5505" width="8.59765625" style="37" customWidth="1"/>
    <col min="5506" max="5507" width="8.19921875" style="37" customWidth="1"/>
    <col min="5508" max="5508" width="7.59765625" style="37" customWidth="1"/>
    <col min="5509" max="5509" width="8" style="37" customWidth="1"/>
    <col min="5510" max="5510" width="7.09765625" style="37" customWidth="1"/>
    <col min="5511" max="5511" width="7.59765625" style="37" customWidth="1"/>
    <col min="5512" max="5512" width="8.8984375" style="37" customWidth="1"/>
    <col min="5513" max="5513" width="8.09765625" style="37" customWidth="1"/>
    <col min="5514" max="5518" width="8.8984375" style="37" customWidth="1"/>
    <col min="5519" max="5519" width="8" style="37" customWidth="1"/>
    <col min="5520" max="5520" width="7.69921875" style="37" customWidth="1"/>
    <col min="5521" max="5521" width="7.8984375" style="37" customWidth="1"/>
    <col min="5522" max="5522" width="7.3984375" style="37" customWidth="1"/>
    <col min="5523" max="5523" width="7.8984375" style="37" customWidth="1"/>
    <col min="5524" max="5530" width="8.8984375" style="37" customWidth="1"/>
    <col min="5531" max="5531" width="7.5" style="37" customWidth="1"/>
    <col min="5532" max="5532" width="7.19921875" style="37" customWidth="1"/>
    <col min="5533" max="5533" width="8.3984375" style="37" customWidth="1"/>
    <col min="5534" max="5534" width="7.19921875" style="37" customWidth="1"/>
    <col min="5535" max="5535" width="7.59765625" style="37" customWidth="1"/>
    <col min="5536" max="5633" width="8.69921875" style="37"/>
    <col min="5634" max="5634" width="4.5" style="37" bestFit="1" customWidth="1"/>
    <col min="5635" max="5635" width="69.09765625" style="37" customWidth="1"/>
    <col min="5636" max="5636" width="9.19921875" style="37" customWidth="1"/>
    <col min="5637" max="5637" width="8.59765625" style="37" customWidth="1"/>
    <col min="5638" max="5638" width="9.3984375" style="37" customWidth="1"/>
    <col min="5639" max="5639" width="10.19921875" style="37" customWidth="1"/>
    <col min="5640" max="5640" width="10.59765625" style="37" customWidth="1"/>
    <col min="5641" max="5641" width="10" style="37" customWidth="1"/>
    <col min="5642" max="5643" width="8.5" style="37" customWidth="1"/>
    <col min="5644" max="5644" width="7.5" style="37" customWidth="1"/>
    <col min="5645" max="5645" width="7.09765625" style="37" customWidth="1"/>
    <col min="5646" max="5646" width="8.09765625" style="37" customWidth="1"/>
    <col min="5647" max="5648" width="7.5" style="37" customWidth="1"/>
    <col min="5649" max="5649" width="8.59765625" style="37" customWidth="1"/>
    <col min="5650" max="5652" width="7.5" style="37" customWidth="1"/>
    <col min="5653" max="5653" width="8.3984375" style="37" customWidth="1"/>
    <col min="5654" max="5654" width="7.5" style="37" customWidth="1"/>
    <col min="5655" max="5655" width="8.19921875" style="37" customWidth="1"/>
    <col min="5656" max="5658" width="7.5" style="37" customWidth="1"/>
    <col min="5659" max="5659" width="8.19921875" style="37" customWidth="1"/>
    <col min="5660" max="5660" width="8.09765625" style="37" customWidth="1"/>
    <col min="5661" max="5661" width="8.19921875" style="37" customWidth="1"/>
    <col min="5662" max="5662" width="8.69921875" style="37" customWidth="1"/>
    <col min="5663" max="5663" width="7.09765625" style="37" customWidth="1"/>
    <col min="5664" max="5664" width="9.5" style="37" customWidth="1"/>
    <col min="5665" max="5665" width="8.59765625" style="37" customWidth="1"/>
    <col min="5666" max="5666" width="8.8984375" style="37" customWidth="1"/>
    <col min="5667" max="5667" width="8.09765625" style="37" customWidth="1"/>
    <col min="5668" max="5670" width="7.59765625" style="37" customWidth="1"/>
    <col min="5671" max="5671" width="6.5" style="37" customWidth="1"/>
    <col min="5672" max="5680" width="8.5" style="37" customWidth="1"/>
    <col min="5681" max="5681" width="7.5" style="37" customWidth="1"/>
    <col min="5682" max="5682" width="7.19921875" style="37" customWidth="1"/>
    <col min="5683" max="5683" width="8.5" style="37" customWidth="1"/>
    <col min="5684" max="5684" width="9.3984375" style="37" customWidth="1"/>
    <col min="5685" max="5687" width="8.5" style="37" customWidth="1"/>
    <col min="5688" max="5688" width="9.19921875" style="37" customWidth="1"/>
    <col min="5689" max="5691" width="8.5" style="37" customWidth="1"/>
    <col min="5692" max="5692" width="7.8984375" style="37" customWidth="1"/>
    <col min="5693" max="5693" width="8.5" style="37" customWidth="1"/>
    <col min="5694" max="5694" width="7.3984375" style="37" customWidth="1"/>
    <col min="5695" max="5695" width="7.59765625" style="37" customWidth="1"/>
    <col min="5696" max="5696" width="9.8984375" style="37" customWidth="1"/>
    <col min="5697" max="5697" width="8.19921875" style="37" customWidth="1"/>
    <col min="5698" max="5700" width="8.8984375" style="37" customWidth="1"/>
    <col min="5701" max="5701" width="8.69921875" style="37" customWidth="1"/>
    <col min="5702" max="5702" width="8" style="37" customWidth="1"/>
    <col min="5703" max="5703" width="8.19921875" style="37" customWidth="1"/>
    <col min="5704" max="5704" width="7.3984375" style="37" customWidth="1"/>
    <col min="5705" max="5705" width="8.8984375" style="37" customWidth="1"/>
    <col min="5706" max="5706" width="7.3984375" style="37" customWidth="1"/>
    <col min="5707" max="5707" width="6.59765625" style="37" customWidth="1"/>
    <col min="5708" max="5708" width="9.5" style="37" customWidth="1"/>
    <col min="5709" max="5709" width="8" style="37" customWidth="1"/>
    <col min="5710" max="5710" width="8.3984375" style="37" customWidth="1"/>
    <col min="5711" max="5711" width="8.5" style="37" customWidth="1"/>
    <col min="5712" max="5712" width="8" style="37" customWidth="1"/>
    <col min="5713" max="5713" width="7.8984375" style="37" customWidth="1"/>
    <col min="5714" max="5714" width="8" style="37" customWidth="1"/>
    <col min="5715" max="5715" width="8.5" style="37" customWidth="1"/>
    <col min="5716" max="5718" width="8.09765625" style="37" customWidth="1"/>
    <col min="5719" max="5719" width="8" style="37" customWidth="1"/>
    <col min="5720" max="5723" width="8.69921875" style="37" customWidth="1"/>
    <col min="5724" max="5724" width="7.59765625" style="37" customWidth="1"/>
    <col min="5725" max="5726" width="8.69921875" style="37" customWidth="1"/>
    <col min="5727" max="5727" width="7.69921875" style="37" customWidth="1"/>
    <col min="5728" max="5730" width="8" style="37" customWidth="1"/>
    <col min="5731" max="5731" width="7.8984375" style="37" customWidth="1"/>
    <col min="5732" max="5733" width="8.69921875" style="37" customWidth="1"/>
    <col min="5734" max="5734" width="8.3984375" style="37" customWidth="1"/>
    <col min="5735" max="5735" width="8" style="37" customWidth="1"/>
    <col min="5736" max="5736" width="7.8984375" style="37" customWidth="1"/>
    <col min="5737" max="5739" width="8.19921875" style="37" customWidth="1"/>
    <col min="5740" max="5742" width="8.09765625" style="37" customWidth="1"/>
    <col min="5743" max="5743" width="7.8984375" style="37" customWidth="1"/>
    <col min="5744" max="5744" width="8.8984375" style="37" customWidth="1"/>
    <col min="5745" max="5745" width="8.3984375" style="37" customWidth="1"/>
    <col min="5746" max="5746" width="8.19921875" style="37" customWidth="1"/>
    <col min="5747" max="5747" width="8.8984375" style="37" customWidth="1"/>
    <col min="5748" max="5748" width="8.09765625" style="37" customWidth="1"/>
    <col min="5749" max="5749" width="8.19921875" style="37" customWidth="1"/>
    <col min="5750" max="5750" width="8.8984375" style="37" customWidth="1"/>
    <col min="5751" max="5751" width="8" style="37" customWidth="1"/>
    <col min="5752" max="5754" width="7.8984375" style="37" customWidth="1"/>
    <col min="5755" max="5755" width="7.69921875" style="37" customWidth="1"/>
    <col min="5756" max="5759" width="8.8984375" style="37" customWidth="1"/>
    <col min="5760" max="5760" width="8.69921875" style="37" customWidth="1"/>
    <col min="5761" max="5761" width="8.59765625" style="37" customWidth="1"/>
    <col min="5762" max="5763" width="8.19921875" style="37" customWidth="1"/>
    <col min="5764" max="5764" width="7.59765625" style="37" customWidth="1"/>
    <col min="5765" max="5765" width="8" style="37" customWidth="1"/>
    <col min="5766" max="5766" width="7.09765625" style="37" customWidth="1"/>
    <col min="5767" max="5767" width="7.59765625" style="37" customWidth="1"/>
    <col min="5768" max="5768" width="8.8984375" style="37" customWidth="1"/>
    <col min="5769" max="5769" width="8.09765625" style="37" customWidth="1"/>
    <col min="5770" max="5774" width="8.8984375" style="37" customWidth="1"/>
    <col min="5775" max="5775" width="8" style="37" customWidth="1"/>
    <col min="5776" max="5776" width="7.69921875" style="37" customWidth="1"/>
    <col min="5777" max="5777" width="7.8984375" style="37" customWidth="1"/>
    <col min="5778" max="5778" width="7.3984375" style="37" customWidth="1"/>
    <col min="5779" max="5779" width="7.8984375" style="37" customWidth="1"/>
    <col min="5780" max="5786" width="8.8984375" style="37" customWidth="1"/>
    <col min="5787" max="5787" width="7.5" style="37" customWidth="1"/>
    <col min="5788" max="5788" width="7.19921875" style="37" customWidth="1"/>
    <col min="5789" max="5789" width="8.3984375" style="37" customWidth="1"/>
    <col min="5790" max="5790" width="7.19921875" style="37" customWidth="1"/>
    <col min="5791" max="5791" width="7.59765625" style="37" customWidth="1"/>
    <col min="5792" max="5889" width="8.69921875" style="37"/>
    <col min="5890" max="5890" width="4.5" style="37" bestFit="1" customWidth="1"/>
    <col min="5891" max="5891" width="69.09765625" style="37" customWidth="1"/>
    <col min="5892" max="5892" width="9.19921875" style="37" customWidth="1"/>
    <col min="5893" max="5893" width="8.59765625" style="37" customWidth="1"/>
    <col min="5894" max="5894" width="9.3984375" style="37" customWidth="1"/>
    <col min="5895" max="5895" width="10.19921875" style="37" customWidth="1"/>
    <col min="5896" max="5896" width="10.59765625" style="37" customWidth="1"/>
    <col min="5897" max="5897" width="10" style="37" customWidth="1"/>
    <col min="5898" max="5899" width="8.5" style="37" customWidth="1"/>
    <col min="5900" max="5900" width="7.5" style="37" customWidth="1"/>
    <col min="5901" max="5901" width="7.09765625" style="37" customWidth="1"/>
    <col min="5902" max="5902" width="8.09765625" style="37" customWidth="1"/>
    <col min="5903" max="5904" width="7.5" style="37" customWidth="1"/>
    <col min="5905" max="5905" width="8.59765625" style="37" customWidth="1"/>
    <col min="5906" max="5908" width="7.5" style="37" customWidth="1"/>
    <col min="5909" max="5909" width="8.3984375" style="37" customWidth="1"/>
    <col min="5910" max="5910" width="7.5" style="37" customWidth="1"/>
    <col min="5911" max="5911" width="8.19921875" style="37" customWidth="1"/>
    <col min="5912" max="5914" width="7.5" style="37" customWidth="1"/>
    <col min="5915" max="5915" width="8.19921875" style="37" customWidth="1"/>
    <col min="5916" max="5916" width="8.09765625" style="37" customWidth="1"/>
    <col min="5917" max="5917" width="8.19921875" style="37" customWidth="1"/>
    <col min="5918" max="5918" width="8.69921875" style="37" customWidth="1"/>
    <col min="5919" max="5919" width="7.09765625" style="37" customWidth="1"/>
    <col min="5920" max="5920" width="9.5" style="37" customWidth="1"/>
    <col min="5921" max="5921" width="8.59765625" style="37" customWidth="1"/>
    <col min="5922" max="5922" width="8.8984375" style="37" customWidth="1"/>
    <col min="5923" max="5923" width="8.09765625" style="37" customWidth="1"/>
    <col min="5924" max="5926" width="7.59765625" style="37" customWidth="1"/>
    <col min="5927" max="5927" width="6.5" style="37" customWidth="1"/>
    <col min="5928" max="5936" width="8.5" style="37" customWidth="1"/>
    <col min="5937" max="5937" width="7.5" style="37" customWidth="1"/>
    <col min="5938" max="5938" width="7.19921875" style="37" customWidth="1"/>
    <col min="5939" max="5939" width="8.5" style="37" customWidth="1"/>
    <col min="5940" max="5940" width="9.3984375" style="37" customWidth="1"/>
    <col min="5941" max="5943" width="8.5" style="37" customWidth="1"/>
    <col min="5944" max="5944" width="9.19921875" style="37" customWidth="1"/>
    <col min="5945" max="5947" width="8.5" style="37" customWidth="1"/>
    <col min="5948" max="5948" width="7.8984375" style="37" customWidth="1"/>
    <col min="5949" max="5949" width="8.5" style="37" customWidth="1"/>
    <col min="5950" max="5950" width="7.3984375" style="37" customWidth="1"/>
    <col min="5951" max="5951" width="7.59765625" style="37" customWidth="1"/>
    <col min="5952" max="5952" width="9.8984375" style="37" customWidth="1"/>
    <col min="5953" max="5953" width="8.19921875" style="37" customWidth="1"/>
    <col min="5954" max="5956" width="8.8984375" style="37" customWidth="1"/>
    <col min="5957" max="5957" width="8.69921875" style="37" customWidth="1"/>
    <col min="5958" max="5958" width="8" style="37" customWidth="1"/>
    <col min="5959" max="5959" width="8.19921875" style="37" customWidth="1"/>
    <col min="5960" max="5960" width="7.3984375" style="37" customWidth="1"/>
    <col min="5961" max="5961" width="8.8984375" style="37" customWidth="1"/>
    <col min="5962" max="5962" width="7.3984375" style="37" customWidth="1"/>
    <col min="5963" max="5963" width="6.59765625" style="37" customWidth="1"/>
    <col min="5964" max="5964" width="9.5" style="37" customWidth="1"/>
    <col min="5965" max="5965" width="8" style="37" customWidth="1"/>
    <col min="5966" max="5966" width="8.3984375" style="37" customWidth="1"/>
    <col min="5967" max="5967" width="8.5" style="37" customWidth="1"/>
    <col min="5968" max="5968" width="8" style="37" customWidth="1"/>
    <col min="5969" max="5969" width="7.8984375" style="37" customWidth="1"/>
    <col min="5970" max="5970" width="8" style="37" customWidth="1"/>
    <col min="5971" max="5971" width="8.5" style="37" customWidth="1"/>
    <col min="5972" max="5974" width="8.09765625" style="37" customWidth="1"/>
    <col min="5975" max="5975" width="8" style="37" customWidth="1"/>
    <col min="5976" max="5979" width="8.69921875" style="37" customWidth="1"/>
    <col min="5980" max="5980" width="7.59765625" style="37" customWidth="1"/>
    <col min="5981" max="5982" width="8.69921875" style="37" customWidth="1"/>
    <col min="5983" max="5983" width="7.69921875" style="37" customWidth="1"/>
    <col min="5984" max="5986" width="8" style="37" customWidth="1"/>
    <col min="5987" max="5987" width="7.8984375" style="37" customWidth="1"/>
    <col min="5988" max="5989" width="8.69921875" style="37" customWidth="1"/>
    <col min="5990" max="5990" width="8.3984375" style="37" customWidth="1"/>
    <col min="5991" max="5991" width="8" style="37" customWidth="1"/>
    <col min="5992" max="5992" width="7.8984375" style="37" customWidth="1"/>
    <col min="5993" max="5995" width="8.19921875" style="37" customWidth="1"/>
    <col min="5996" max="5998" width="8.09765625" style="37" customWidth="1"/>
    <col min="5999" max="5999" width="7.8984375" style="37" customWidth="1"/>
    <col min="6000" max="6000" width="8.8984375" style="37" customWidth="1"/>
    <col min="6001" max="6001" width="8.3984375" style="37" customWidth="1"/>
    <col min="6002" max="6002" width="8.19921875" style="37" customWidth="1"/>
    <col min="6003" max="6003" width="8.8984375" style="37" customWidth="1"/>
    <col min="6004" max="6004" width="8.09765625" style="37" customWidth="1"/>
    <col min="6005" max="6005" width="8.19921875" style="37" customWidth="1"/>
    <col min="6006" max="6006" width="8.8984375" style="37" customWidth="1"/>
    <col min="6007" max="6007" width="8" style="37" customWidth="1"/>
    <col min="6008" max="6010" width="7.8984375" style="37" customWidth="1"/>
    <col min="6011" max="6011" width="7.69921875" style="37" customWidth="1"/>
    <col min="6012" max="6015" width="8.8984375" style="37" customWidth="1"/>
    <col min="6016" max="6016" width="8.69921875" style="37" customWidth="1"/>
    <col min="6017" max="6017" width="8.59765625" style="37" customWidth="1"/>
    <col min="6018" max="6019" width="8.19921875" style="37" customWidth="1"/>
    <col min="6020" max="6020" width="7.59765625" style="37" customWidth="1"/>
    <col min="6021" max="6021" width="8" style="37" customWidth="1"/>
    <col min="6022" max="6022" width="7.09765625" style="37" customWidth="1"/>
    <col min="6023" max="6023" width="7.59765625" style="37" customWidth="1"/>
    <col min="6024" max="6024" width="8.8984375" style="37" customWidth="1"/>
    <col min="6025" max="6025" width="8.09765625" style="37" customWidth="1"/>
    <col min="6026" max="6030" width="8.8984375" style="37" customWidth="1"/>
    <col min="6031" max="6031" width="8" style="37" customWidth="1"/>
    <col min="6032" max="6032" width="7.69921875" style="37" customWidth="1"/>
    <col min="6033" max="6033" width="7.8984375" style="37" customWidth="1"/>
    <col min="6034" max="6034" width="7.3984375" style="37" customWidth="1"/>
    <col min="6035" max="6035" width="7.8984375" style="37" customWidth="1"/>
    <col min="6036" max="6042" width="8.8984375" style="37" customWidth="1"/>
    <col min="6043" max="6043" width="7.5" style="37" customWidth="1"/>
    <col min="6044" max="6044" width="7.19921875" style="37" customWidth="1"/>
    <col min="6045" max="6045" width="8.3984375" style="37" customWidth="1"/>
    <col min="6046" max="6046" width="7.19921875" style="37" customWidth="1"/>
    <col min="6047" max="6047" width="7.59765625" style="37" customWidth="1"/>
    <col min="6048" max="6145" width="8.69921875" style="37"/>
    <col min="6146" max="6146" width="4.5" style="37" bestFit="1" customWidth="1"/>
    <col min="6147" max="6147" width="69.09765625" style="37" customWidth="1"/>
    <col min="6148" max="6148" width="9.19921875" style="37" customWidth="1"/>
    <col min="6149" max="6149" width="8.59765625" style="37" customWidth="1"/>
    <col min="6150" max="6150" width="9.3984375" style="37" customWidth="1"/>
    <col min="6151" max="6151" width="10.19921875" style="37" customWidth="1"/>
    <col min="6152" max="6152" width="10.59765625" style="37" customWidth="1"/>
    <col min="6153" max="6153" width="10" style="37" customWidth="1"/>
    <col min="6154" max="6155" width="8.5" style="37" customWidth="1"/>
    <col min="6156" max="6156" width="7.5" style="37" customWidth="1"/>
    <col min="6157" max="6157" width="7.09765625" style="37" customWidth="1"/>
    <col min="6158" max="6158" width="8.09765625" style="37" customWidth="1"/>
    <col min="6159" max="6160" width="7.5" style="37" customWidth="1"/>
    <col min="6161" max="6161" width="8.59765625" style="37" customWidth="1"/>
    <col min="6162" max="6164" width="7.5" style="37" customWidth="1"/>
    <col min="6165" max="6165" width="8.3984375" style="37" customWidth="1"/>
    <col min="6166" max="6166" width="7.5" style="37" customWidth="1"/>
    <col min="6167" max="6167" width="8.19921875" style="37" customWidth="1"/>
    <col min="6168" max="6170" width="7.5" style="37" customWidth="1"/>
    <col min="6171" max="6171" width="8.19921875" style="37" customWidth="1"/>
    <col min="6172" max="6172" width="8.09765625" style="37" customWidth="1"/>
    <col min="6173" max="6173" width="8.19921875" style="37" customWidth="1"/>
    <col min="6174" max="6174" width="8.69921875" style="37" customWidth="1"/>
    <col min="6175" max="6175" width="7.09765625" style="37" customWidth="1"/>
    <col min="6176" max="6176" width="9.5" style="37" customWidth="1"/>
    <col min="6177" max="6177" width="8.59765625" style="37" customWidth="1"/>
    <col min="6178" max="6178" width="8.8984375" style="37" customWidth="1"/>
    <col min="6179" max="6179" width="8.09765625" style="37" customWidth="1"/>
    <col min="6180" max="6182" width="7.59765625" style="37" customWidth="1"/>
    <col min="6183" max="6183" width="6.5" style="37" customWidth="1"/>
    <col min="6184" max="6192" width="8.5" style="37" customWidth="1"/>
    <col min="6193" max="6193" width="7.5" style="37" customWidth="1"/>
    <col min="6194" max="6194" width="7.19921875" style="37" customWidth="1"/>
    <col min="6195" max="6195" width="8.5" style="37" customWidth="1"/>
    <col min="6196" max="6196" width="9.3984375" style="37" customWidth="1"/>
    <col min="6197" max="6199" width="8.5" style="37" customWidth="1"/>
    <col min="6200" max="6200" width="9.19921875" style="37" customWidth="1"/>
    <col min="6201" max="6203" width="8.5" style="37" customWidth="1"/>
    <col min="6204" max="6204" width="7.8984375" style="37" customWidth="1"/>
    <col min="6205" max="6205" width="8.5" style="37" customWidth="1"/>
    <col min="6206" max="6206" width="7.3984375" style="37" customWidth="1"/>
    <col min="6207" max="6207" width="7.59765625" style="37" customWidth="1"/>
    <col min="6208" max="6208" width="9.8984375" style="37" customWidth="1"/>
    <col min="6209" max="6209" width="8.19921875" style="37" customWidth="1"/>
    <col min="6210" max="6212" width="8.8984375" style="37" customWidth="1"/>
    <col min="6213" max="6213" width="8.69921875" style="37" customWidth="1"/>
    <col min="6214" max="6214" width="8" style="37" customWidth="1"/>
    <col min="6215" max="6215" width="8.19921875" style="37" customWidth="1"/>
    <col min="6216" max="6216" width="7.3984375" style="37" customWidth="1"/>
    <col min="6217" max="6217" width="8.8984375" style="37" customWidth="1"/>
    <col min="6218" max="6218" width="7.3984375" style="37" customWidth="1"/>
    <col min="6219" max="6219" width="6.59765625" style="37" customWidth="1"/>
    <col min="6220" max="6220" width="9.5" style="37" customWidth="1"/>
    <col min="6221" max="6221" width="8" style="37" customWidth="1"/>
    <col min="6222" max="6222" width="8.3984375" style="37" customWidth="1"/>
    <col min="6223" max="6223" width="8.5" style="37" customWidth="1"/>
    <col min="6224" max="6224" width="8" style="37" customWidth="1"/>
    <col min="6225" max="6225" width="7.8984375" style="37" customWidth="1"/>
    <col min="6226" max="6226" width="8" style="37" customWidth="1"/>
    <col min="6227" max="6227" width="8.5" style="37" customWidth="1"/>
    <col min="6228" max="6230" width="8.09765625" style="37" customWidth="1"/>
    <col min="6231" max="6231" width="8" style="37" customWidth="1"/>
    <col min="6232" max="6235" width="8.69921875" style="37" customWidth="1"/>
    <col min="6236" max="6236" width="7.59765625" style="37" customWidth="1"/>
    <col min="6237" max="6238" width="8.69921875" style="37" customWidth="1"/>
    <col min="6239" max="6239" width="7.69921875" style="37" customWidth="1"/>
    <col min="6240" max="6242" width="8" style="37" customWidth="1"/>
    <col min="6243" max="6243" width="7.8984375" style="37" customWidth="1"/>
    <col min="6244" max="6245" width="8.69921875" style="37" customWidth="1"/>
    <col min="6246" max="6246" width="8.3984375" style="37" customWidth="1"/>
    <col min="6247" max="6247" width="8" style="37" customWidth="1"/>
    <col min="6248" max="6248" width="7.8984375" style="37" customWidth="1"/>
    <col min="6249" max="6251" width="8.19921875" style="37" customWidth="1"/>
    <col min="6252" max="6254" width="8.09765625" style="37" customWidth="1"/>
    <col min="6255" max="6255" width="7.8984375" style="37" customWidth="1"/>
    <col min="6256" max="6256" width="8.8984375" style="37" customWidth="1"/>
    <col min="6257" max="6257" width="8.3984375" style="37" customWidth="1"/>
    <col min="6258" max="6258" width="8.19921875" style="37" customWidth="1"/>
    <col min="6259" max="6259" width="8.8984375" style="37" customWidth="1"/>
    <col min="6260" max="6260" width="8.09765625" style="37" customWidth="1"/>
    <col min="6261" max="6261" width="8.19921875" style="37" customWidth="1"/>
    <col min="6262" max="6262" width="8.8984375" style="37" customWidth="1"/>
    <col min="6263" max="6263" width="8" style="37" customWidth="1"/>
    <col min="6264" max="6266" width="7.8984375" style="37" customWidth="1"/>
    <col min="6267" max="6267" width="7.69921875" style="37" customWidth="1"/>
    <col min="6268" max="6271" width="8.8984375" style="37" customWidth="1"/>
    <col min="6272" max="6272" width="8.69921875" style="37" customWidth="1"/>
    <col min="6273" max="6273" width="8.59765625" style="37" customWidth="1"/>
    <col min="6274" max="6275" width="8.19921875" style="37" customWidth="1"/>
    <col min="6276" max="6276" width="7.59765625" style="37" customWidth="1"/>
    <col min="6277" max="6277" width="8" style="37" customWidth="1"/>
    <col min="6278" max="6278" width="7.09765625" style="37" customWidth="1"/>
    <col min="6279" max="6279" width="7.59765625" style="37" customWidth="1"/>
    <col min="6280" max="6280" width="8.8984375" style="37" customWidth="1"/>
    <col min="6281" max="6281" width="8.09765625" style="37" customWidth="1"/>
    <col min="6282" max="6286" width="8.8984375" style="37" customWidth="1"/>
    <col min="6287" max="6287" width="8" style="37" customWidth="1"/>
    <col min="6288" max="6288" width="7.69921875" style="37" customWidth="1"/>
    <col min="6289" max="6289" width="7.8984375" style="37" customWidth="1"/>
    <col min="6290" max="6290" width="7.3984375" style="37" customWidth="1"/>
    <col min="6291" max="6291" width="7.8984375" style="37" customWidth="1"/>
    <col min="6292" max="6298" width="8.8984375" style="37" customWidth="1"/>
    <col min="6299" max="6299" width="7.5" style="37" customWidth="1"/>
    <col min="6300" max="6300" width="7.19921875" style="37" customWidth="1"/>
    <col min="6301" max="6301" width="8.3984375" style="37" customWidth="1"/>
    <col min="6302" max="6302" width="7.19921875" style="37" customWidth="1"/>
    <col min="6303" max="6303" width="7.59765625" style="37" customWidth="1"/>
    <col min="6304" max="6401" width="8.69921875" style="37"/>
    <col min="6402" max="6402" width="4.5" style="37" bestFit="1" customWidth="1"/>
    <col min="6403" max="6403" width="69.09765625" style="37" customWidth="1"/>
    <col min="6404" max="6404" width="9.19921875" style="37" customWidth="1"/>
    <col min="6405" max="6405" width="8.59765625" style="37" customWidth="1"/>
    <col min="6406" max="6406" width="9.3984375" style="37" customWidth="1"/>
    <col min="6407" max="6407" width="10.19921875" style="37" customWidth="1"/>
    <col min="6408" max="6408" width="10.59765625" style="37" customWidth="1"/>
    <col min="6409" max="6409" width="10" style="37" customWidth="1"/>
    <col min="6410" max="6411" width="8.5" style="37" customWidth="1"/>
    <col min="6412" max="6412" width="7.5" style="37" customWidth="1"/>
    <col min="6413" max="6413" width="7.09765625" style="37" customWidth="1"/>
    <col min="6414" max="6414" width="8.09765625" style="37" customWidth="1"/>
    <col min="6415" max="6416" width="7.5" style="37" customWidth="1"/>
    <col min="6417" max="6417" width="8.59765625" style="37" customWidth="1"/>
    <col min="6418" max="6420" width="7.5" style="37" customWidth="1"/>
    <col min="6421" max="6421" width="8.3984375" style="37" customWidth="1"/>
    <col min="6422" max="6422" width="7.5" style="37" customWidth="1"/>
    <col min="6423" max="6423" width="8.19921875" style="37" customWidth="1"/>
    <col min="6424" max="6426" width="7.5" style="37" customWidth="1"/>
    <col min="6427" max="6427" width="8.19921875" style="37" customWidth="1"/>
    <col min="6428" max="6428" width="8.09765625" style="37" customWidth="1"/>
    <col min="6429" max="6429" width="8.19921875" style="37" customWidth="1"/>
    <col min="6430" max="6430" width="8.69921875" style="37" customWidth="1"/>
    <col min="6431" max="6431" width="7.09765625" style="37" customWidth="1"/>
    <col min="6432" max="6432" width="9.5" style="37" customWidth="1"/>
    <col min="6433" max="6433" width="8.59765625" style="37" customWidth="1"/>
    <col min="6434" max="6434" width="8.8984375" style="37" customWidth="1"/>
    <col min="6435" max="6435" width="8.09765625" style="37" customWidth="1"/>
    <col min="6436" max="6438" width="7.59765625" style="37" customWidth="1"/>
    <col min="6439" max="6439" width="6.5" style="37" customWidth="1"/>
    <col min="6440" max="6448" width="8.5" style="37" customWidth="1"/>
    <col min="6449" max="6449" width="7.5" style="37" customWidth="1"/>
    <col min="6450" max="6450" width="7.19921875" style="37" customWidth="1"/>
    <col min="6451" max="6451" width="8.5" style="37" customWidth="1"/>
    <col min="6452" max="6452" width="9.3984375" style="37" customWidth="1"/>
    <col min="6453" max="6455" width="8.5" style="37" customWidth="1"/>
    <col min="6456" max="6456" width="9.19921875" style="37" customWidth="1"/>
    <col min="6457" max="6459" width="8.5" style="37" customWidth="1"/>
    <col min="6460" max="6460" width="7.8984375" style="37" customWidth="1"/>
    <col min="6461" max="6461" width="8.5" style="37" customWidth="1"/>
    <col min="6462" max="6462" width="7.3984375" style="37" customWidth="1"/>
    <col min="6463" max="6463" width="7.59765625" style="37" customWidth="1"/>
    <col min="6464" max="6464" width="9.8984375" style="37" customWidth="1"/>
    <col min="6465" max="6465" width="8.19921875" style="37" customWidth="1"/>
    <col min="6466" max="6468" width="8.8984375" style="37" customWidth="1"/>
    <col min="6469" max="6469" width="8.69921875" style="37" customWidth="1"/>
    <col min="6470" max="6470" width="8" style="37" customWidth="1"/>
    <col min="6471" max="6471" width="8.19921875" style="37" customWidth="1"/>
    <col min="6472" max="6472" width="7.3984375" style="37" customWidth="1"/>
    <col min="6473" max="6473" width="8.8984375" style="37" customWidth="1"/>
    <col min="6474" max="6474" width="7.3984375" style="37" customWidth="1"/>
    <col min="6475" max="6475" width="6.59765625" style="37" customWidth="1"/>
    <col min="6476" max="6476" width="9.5" style="37" customWidth="1"/>
    <col min="6477" max="6477" width="8" style="37" customWidth="1"/>
    <col min="6478" max="6478" width="8.3984375" style="37" customWidth="1"/>
    <col min="6479" max="6479" width="8.5" style="37" customWidth="1"/>
    <col min="6480" max="6480" width="8" style="37" customWidth="1"/>
    <col min="6481" max="6481" width="7.8984375" style="37" customWidth="1"/>
    <col min="6482" max="6482" width="8" style="37" customWidth="1"/>
    <col min="6483" max="6483" width="8.5" style="37" customWidth="1"/>
    <col min="6484" max="6486" width="8.09765625" style="37" customWidth="1"/>
    <col min="6487" max="6487" width="8" style="37" customWidth="1"/>
    <col min="6488" max="6491" width="8.69921875" style="37" customWidth="1"/>
    <col min="6492" max="6492" width="7.59765625" style="37" customWidth="1"/>
    <col min="6493" max="6494" width="8.69921875" style="37" customWidth="1"/>
    <col min="6495" max="6495" width="7.69921875" style="37" customWidth="1"/>
    <col min="6496" max="6498" width="8" style="37" customWidth="1"/>
    <col min="6499" max="6499" width="7.8984375" style="37" customWidth="1"/>
    <col min="6500" max="6501" width="8.69921875" style="37" customWidth="1"/>
    <col min="6502" max="6502" width="8.3984375" style="37" customWidth="1"/>
    <col min="6503" max="6503" width="8" style="37" customWidth="1"/>
    <col min="6504" max="6504" width="7.8984375" style="37" customWidth="1"/>
    <col min="6505" max="6507" width="8.19921875" style="37" customWidth="1"/>
    <col min="6508" max="6510" width="8.09765625" style="37" customWidth="1"/>
    <col min="6511" max="6511" width="7.8984375" style="37" customWidth="1"/>
    <col min="6512" max="6512" width="8.8984375" style="37" customWidth="1"/>
    <col min="6513" max="6513" width="8.3984375" style="37" customWidth="1"/>
    <col min="6514" max="6514" width="8.19921875" style="37" customWidth="1"/>
    <col min="6515" max="6515" width="8.8984375" style="37" customWidth="1"/>
    <col min="6516" max="6516" width="8.09765625" style="37" customWidth="1"/>
    <col min="6517" max="6517" width="8.19921875" style="37" customWidth="1"/>
    <col min="6518" max="6518" width="8.8984375" style="37" customWidth="1"/>
    <col min="6519" max="6519" width="8" style="37" customWidth="1"/>
    <col min="6520" max="6522" width="7.8984375" style="37" customWidth="1"/>
    <col min="6523" max="6523" width="7.69921875" style="37" customWidth="1"/>
    <col min="6524" max="6527" width="8.8984375" style="37" customWidth="1"/>
    <col min="6528" max="6528" width="8.69921875" style="37" customWidth="1"/>
    <col min="6529" max="6529" width="8.59765625" style="37" customWidth="1"/>
    <col min="6530" max="6531" width="8.19921875" style="37" customWidth="1"/>
    <col min="6532" max="6532" width="7.59765625" style="37" customWidth="1"/>
    <col min="6533" max="6533" width="8" style="37" customWidth="1"/>
    <col min="6534" max="6534" width="7.09765625" style="37" customWidth="1"/>
    <col min="6535" max="6535" width="7.59765625" style="37" customWidth="1"/>
    <col min="6536" max="6536" width="8.8984375" style="37" customWidth="1"/>
    <col min="6537" max="6537" width="8.09765625" style="37" customWidth="1"/>
    <col min="6538" max="6542" width="8.8984375" style="37" customWidth="1"/>
    <col min="6543" max="6543" width="8" style="37" customWidth="1"/>
    <col min="6544" max="6544" width="7.69921875" style="37" customWidth="1"/>
    <col min="6545" max="6545" width="7.8984375" style="37" customWidth="1"/>
    <col min="6546" max="6546" width="7.3984375" style="37" customWidth="1"/>
    <col min="6547" max="6547" width="7.8984375" style="37" customWidth="1"/>
    <col min="6548" max="6554" width="8.8984375" style="37" customWidth="1"/>
    <col min="6555" max="6555" width="7.5" style="37" customWidth="1"/>
    <col min="6556" max="6556" width="7.19921875" style="37" customWidth="1"/>
    <col min="6557" max="6557" width="8.3984375" style="37" customWidth="1"/>
    <col min="6558" max="6558" width="7.19921875" style="37" customWidth="1"/>
    <col min="6559" max="6559" width="7.59765625" style="37" customWidth="1"/>
    <col min="6560" max="6657" width="8.69921875" style="37"/>
    <col min="6658" max="6658" width="4.5" style="37" bestFit="1" customWidth="1"/>
    <col min="6659" max="6659" width="69.09765625" style="37" customWidth="1"/>
    <col min="6660" max="6660" width="9.19921875" style="37" customWidth="1"/>
    <col min="6661" max="6661" width="8.59765625" style="37" customWidth="1"/>
    <col min="6662" max="6662" width="9.3984375" style="37" customWidth="1"/>
    <col min="6663" max="6663" width="10.19921875" style="37" customWidth="1"/>
    <col min="6664" max="6664" width="10.59765625" style="37" customWidth="1"/>
    <col min="6665" max="6665" width="10" style="37" customWidth="1"/>
    <col min="6666" max="6667" width="8.5" style="37" customWidth="1"/>
    <col min="6668" max="6668" width="7.5" style="37" customWidth="1"/>
    <col min="6669" max="6669" width="7.09765625" style="37" customWidth="1"/>
    <col min="6670" max="6670" width="8.09765625" style="37" customWidth="1"/>
    <col min="6671" max="6672" width="7.5" style="37" customWidth="1"/>
    <col min="6673" max="6673" width="8.59765625" style="37" customWidth="1"/>
    <col min="6674" max="6676" width="7.5" style="37" customWidth="1"/>
    <col min="6677" max="6677" width="8.3984375" style="37" customWidth="1"/>
    <col min="6678" max="6678" width="7.5" style="37" customWidth="1"/>
    <col min="6679" max="6679" width="8.19921875" style="37" customWidth="1"/>
    <col min="6680" max="6682" width="7.5" style="37" customWidth="1"/>
    <col min="6683" max="6683" width="8.19921875" style="37" customWidth="1"/>
    <col min="6684" max="6684" width="8.09765625" style="37" customWidth="1"/>
    <col min="6685" max="6685" width="8.19921875" style="37" customWidth="1"/>
    <col min="6686" max="6686" width="8.69921875" style="37" customWidth="1"/>
    <col min="6687" max="6687" width="7.09765625" style="37" customWidth="1"/>
    <col min="6688" max="6688" width="9.5" style="37" customWidth="1"/>
    <col min="6689" max="6689" width="8.59765625" style="37" customWidth="1"/>
    <col min="6690" max="6690" width="8.8984375" style="37" customWidth="1"/>
    <col min="6691" max="6691" width="8.09765625" style="37" customWidth="1"/>
    <col min="6692" max="6694" width="7.59765625" style="37" customWidth="1"/>
    <col min="6695" max="6695" width="6.5" style="37" customWidth="1"/>
    <col min="6696" max="6704" width="8.5" style="37" customWidth="1"/>
    <col min="6705" max="6705" width="7.5" style="37" customWidth="1"/>
    <col min="6706" max="6706" width="7.19921875" style="37" customWidth="1"/>
    <col min="6707" max="6707" width="8.5" style="37" customWidth="1"/>
    <col min="6708" max="6708" width="9.3984375" style="37" customWidth="1"/>
    <col min="6709" max="6711" width="8.5" style="37" customWidth="1"/>
    <col min="6712" max="6712" width="9.19921875" style="37" customWidth="1"/>
    <col min="6713" max="6715" width="8.5" style="37" customWidth="1"/>
    <col min="6716" max="6716" width="7.8984375" style="37" customWidth="1"/>
    <col min="6717" max="6717" width="8.5" style="37" customWidth="1"/>
    <col min="6718" max="6718" width="7.3984375" style="37" customWidth="1"/>
    <col min="6719" max="6719" width="7.59765625" style="37" customWidth="1"/>
    <col min="6720" max="6720" width="9.8984375" style="37" customWidth="1"/>
    <col min="6721" max="6721" width="8.19921875" style="37" customWidth="1"/>
    <col min="6722" max="6724" width="8.8984375" style="37" customWidth="1"/>
    <col min="6725" max="6725" width="8.69921875" style="37" customWidth="1"/>
    <col min="6726" max="6726" width="8" style="37" customWidth="1"/>
    <col min="6727" max="6727" width="8.19921875" style="37" customWidth="1"/>
    <col min="6728" max="6728" width="7.3984375" style="37" customWidth="1"/>
    <col min="6729" max="6729" width="8.8984375" style="37" customWidth="1"/>
    <col min="6730" max="6730" width="7.3984375" style="37" customWidth="1"/>
    <col min="6731" max="6731" width="6.59765625" style="37" customWidth="1"/>
    <col min="6732" max="6732" width="9.5" style="37" customWidth="1"/>
    <col min="6733" max="6733" width="8" style="37" customWidth="1"/>
    <col min="6734" max="6734" width="8.3984375" style="37" customWidth="1"/>
    <col min="6735" max="6735" width="8.5" style="37" customWidth="1"/>
    <col min="6736" max="6736" width="8" style="37" customWidth="1"/>
    <col min="6737" max="6737" width="7.8984375" style="37" customWidth="1"/>
    <col min="6738" max="6738" width="8" style="37" customWidth="1"/>
    <col min="6739" max="6739" width="8.5" style="37" customWidth="1"/>
    <col min="6740" max="6742" width="8.09765625" style="37" customWidth="1"/>
    <col min="6743" max="6743" width="8" style="37" customWidth="1"/>
    <col min="6744" max="6747" width="8.69921875" style="37" customWidth="1"/>
    <col min="6748" max="6748" width="7.59765625" style="37" customWidth="1"/>
    <col min="6749" max="6750" width="8.69921875" style="37" customWidth="1"/>
    <col min="6751" max="6751" width="7.69921875" style="37" customWidth="1"/>
    <col min="6752" max="6754" width="8" style="37" customWidth="1"/>
    <col min="6755" max="6755" width="7.8984375" style="37" customWidth="1"/>
    <col min="6756" max="6757" width="8.69921875" style="37" customWidth="1"/>
    <col min="6758" max="6758" width="8.3984375" style="37" customWidth="1"/>
    <col min="6759" max="6759" width="8" style="37" customWidth="1"/>
    <col min="6760" max="6760" width="7.8984375" style="37" customWidth="1"/>
    <col min="6761" max="6763" width="8.19921875" style="37" customWidth="1"/>
    <col min="6764" max="6766" width="8.09765625" style="37" customWidth="1"/>
    <col min="6767" max="6767" width="7.8984375" style="37" customWidth="1"/>
    <col min="6768" max="6768" width="8.8984375" style="37" customWidth="1"/>
    <col min="6769" max="6769" width="8.3984375" style="37" customWidth="1"/>
    <col min="6770" max="6770" width="8.19921875" style="37" customWidth="1"/>
    <col min="6771" max="6771" width="8.8984375" style="37" customWidth="1"/>
    <col min="6772" max="6772" width="8.09765625" style="37" customWidth="1"/>
    <col min="6773" max="6773" width="8.19921875" style="37" customWidth="1"/>
    <col min="6774" max="6774" width="8.8984375" style="37" customWidth="1"/>
    <col min="6775" max="6775" width="8" style="37" customWidth="1"/>
    <col min="6776" max="6778" width="7.8984375" style="37" customWidth="1"/>
    <col min="6779" max="6779" width="7.69921875" style="37" customWidth="1"/>
    <col min="6780" max="6783" width="8.8984375" style="37" customWidth="1"/>
    <col min="6784" max="6784" width="8.69921875" style="37" customWidth="1"/>
    <col min="6785" max="6785" width="8.59765625" style="37" customWidth="1"/>
    <col min="6786" max="6787" width="8.19921875" style="37" customWidth="1"/>
    <col min="6788" max="6788" width="7.59765625" style="37" customWidth="1"/>
    <col min="6789" max="6789" width="8" style="37" customWidth="1"/>
    <col min="6790" max="6790" width="7.09765625" style="37" customWidth="1"/>
    <col min="6791" max="6791" width="7.59765625" style="37" customWidth="1"/>
    <col min="6792" max="6792" width="8.8984375" style="37" customWidth="1"/>
    <col min="6793" max="6793" width="8.09765625" style="37" customWidth="1"/>
    <col min="6794" max="6798" width="8.8984375" style="37" customWidth="1"/>
    <col min="6799" max="6799" width="8" style="37" customWidth="1"/>
    <col min="6800" max="6800" width="7.69921875" style="37" customWidth="1"/>
    <col min="6801" max="6801" width="7.8984375" style="37" customWidth="1"/>
    <col min="6802" max="6802" width="7.3984375" style="37" customWidth="1"/>
    <col min="6803" max="6803" width="7.8984375" style="37" customWidth="1"/>
    <col min="6804" max="6810" width="8.8984375" style="37" customWidth="1"/>
    <col min="6811" max="6811" width="7.5" style="37" customWidth="1"/>
    <col min="6812" max="6812" width="7.19921875" style="37" customWidth="1"/>
    <col min="6813" max="6813" width="8.3984375" style="37" customWidth="1"/>
    <col min="6814" max="6814" width="7.19921875" style="37" customWidth="1"/>
    <col min="6815" max="6815" width="7.59765625" style="37" customWidth="1"/>
    <col min="6816" max="6913" width="8.69921875" style="37"/>
    <col min="6914" max="6914" width="4.5" style="37" bestFit="1" customWidth="1"/>
    <col min="6915" max="6915" width="69.09765625" style="37" customWidth="1"/>
    <col min="6916" max="6916" width="9.19921875" style="37" customWidth="1"/>
    <col min="6917" max="6917" width="8.59765625" style="37" customWidth="1"/>
    <col min="6918" max="6918" width="9.3984375" style="37" customWidth="1"/>
    <col min="6919" max="6919" width="10.19921875" style="37" customWidth="1"/>
    <col min="6920" max="6920" width="10.59765625" style="37" customWidth="1"/>
    <col min="6921" max="6921" width="10" style="37" customWidth="1"/>
    <col min="6922" max="6923" width="8.5" style="37" customWidth="1"/>
    <col min="6924" max="6924" width="7.5" style="37" customWidth="1"/>
    <col min="6925" max="6925" width="7.09765625" style="37" customWidth="1"/>
    <col min="6926" max="6926" width="8.09765625" style="37" customWidth="1"/>
    <col min="6927" max="6928" width="7.5" style="37" customWidth="1"/>
    <col min="6929" max="6929" width="8.59765625" style="37" customWidth="1"/>
    <col min="6930" max="6932" width="7.5" style="37" customWidth="1"/>
    <col min="6933" max="6933" width="8.3984375" style="37" customWidth="1"/>
    <col min="6934" max="6934" width="7.5" style="37" customWidth="1"/>
    <col min="6935" max="6935" width="8.19921875" style="37" customWidth="1"/>
    <col min="6936" max="6938" width="7.5" style="37" customWidth="1"/>
    <col min="6939" max="6939" width="8.19921875" style="37" customWidth="1"/>
    <col min="6940" max="6940" width="8.09765625" style="37" customWidth="1"/>
    <col min="6941" max="6941" width="8.19921875" style="37" customWidth="1"/>
    <col min="6942" max="6942" width="8.69921875" style="37" customWidth="1"/>
    <col min="6943" max="6943" width="7.09765625" style="37" customWidth="1"/>
    <col min="6944" max="6944" width="9.5" style="37" customWidth="1"/>
    <col min="6945" max="6945" width="8.59765625" style="37" customWidth="1"/>
    <col min="6946" max="6946" width="8.8984375" style="37" customWidth="1"/>
    <col min="6947" max="6947" width="8.09765625" style="37" customWidth="1"/>
    <col min="6948" max="6950" width="7.59765625" style="37" customWidth="1"/>
    <col min="6951" max="6951" width="6.5" style="37" customWidth="1"/>
    <col min="6952" max="6960" width="8.5" style="37" customWidth="1"/>
    <col min="6961" max="6961" width="7.5" style="37" customWidth="1"/>
    <col min="6962" max="6962" width="7.19921875" style="37" customWidth="1"/>
    <col min="6963" max="6963" width="8.5" style="37" customWidth="1"/>
    <col min="6964" max="6964" width="9.3984375" style="37" customWidth="1"/>
    <col min="6965" max="6967" width="8.5" style="37" customWidth="1"/>
    <col min="6968" max="6968" width="9.19921875" style="37" customWidth="1"/>
    <col min="6969" max="6971" width="8.5" style="37" customWidth="1"/>
    <col min="6972" max="6972" width="7.8984375" style="37" customWidth="1"/>
    <col min="6973" max="6973" width="8.5" style="37" customWidth="1"/>
    <col min="6974" max="6974" width="7.3984375" style="37" customWidth="1"/>
    <col min="6975" max="6975" width="7.59765625" style="37" customWidth="1"/>
    <col min="6976" max="6976" width="9.8984375" style="37" customWidth="1"/>
    <col min="6977" max="6977" width="8.19921875" style="37" customWidth="1"/>
    <col min="6978" max="6980" width="8.8984375" style="37" customWidth="1"/>
    <col min="6981" max="6981" width="8.69921875" style="37" customWidth="1"/>
    <col min="6982" max="6982" width="8" style="37" customWidth="1"/>
    <col min="6983" max="6983" width="8.19921875" style="37" customWidth="1"/>
    <col min="6984" max="6984" width="7.3984375" style="37" customWidth="1"/>
    <col min="6985" max="6985" width="8.8984375" style="37" customWidth="1"/>
    <col min="6986" max="6986" width="7.3984375" style="37" customWidth="1"/>
    <col min="6987" max="6987" width="6.59765625" style="37" customWidth="1"/>
    <col min="6988" max="6988" width="9.5" style="37" customWidth="1"/>
    <col min="6989" max="6989" width="8" style="37" customWidth="1"/>
    <col min="6990" max="6990" width="8.3984375" style="37" customWidth="1"/>
    <col min="6991" max="6991" width="8.5" style="37" customWidth="1"/>
    <col min="6992" max="6992" width="8" style="37" customWidth="1"/>
    <col min="6993" max="6993" width="7.8984375" style="37" customWidth="1"/>
    <col min="6994" max="6994" width="8" style="37" customWidth="1"/>
    <col min="6995" max="6995" width="8.5" style="37" customWidth="1"/>
    <col min="6996" max="6998" width="8.09765625" style="37" customWidth="1"/>
    <col min="6999" max="6999" width="8" style="37" customWidth="1"/>
    <col min="7000" max="7003" width="8.69921875" style="37" customWidth="1"/>
    <col min="7004" max="7004" width="7.59765625" style="37" customWidth="1"/>
    <col min="7005" max="7006" width="8.69921875" style="37" customWidth="1"/>
    <col min="7007" max="7007" width="7.69921875" style="37" customWidth="1"/>
    <col min="7008" max="7010" width="8" style="37" customWidth="1"/>
    <col min="7011" max="7011" width="7.8984375" style="37" customWidth="1"/>
    <col min="7012" max="7013" width="8.69921875" style="37" customWidth="1"/>
    <col min="7014" max="7014" width="8.3984375" style="37" customWidth="1"/>
    <col min="7015" max="7015" width="8" style="37" customWidth="1"/>
    <col min="7016" max="7016" width="7.8984375" style="37" customWidth="1"/>
    <col min="7017" max="7019" width="8.19921875" style="37" customWidth="1"/>
    <col min="7020" max="7022" width="8.09765625" style="37" customWidth="1"/>
    <col min="7023" max="7023" width="7.8984375" style="37" customWidth="1"/>
    <col min="7024" max="7024" width="8.8984375" style="37" customWidth="1"/>
    <col min="7025" max="7025" width="8.3984375" style="37" customWidth="1"/>
    <col min="7026" max="7026" width="8.19921875" style="37" customWidth="1"/>
    <col min="7027" max="7027" width="8.8984375" style="37" customWidth="1"/>
    <col min="7028" max="7028" width="8.09765625" style="37" customWidth="1"/>
    <col min="7029" max="7029" width="8.19921875" style="37" customWidth="1"/>
    <col min="7030" max="7030" width="8.8984375" style="37" customWidth="1"/>
    <col min="7031" max="7031" width="8" style="37" customWidth="1"/>
    <col min="7032" max="7034" width="7.8984375" style="37" customWidth="1"/>
    <col min="7035" max="7035" width="7.69921875" style="37" customWidth="1"/>
    <col min="7036" max="7039" width="8.8984375" style="37" customWidth="1"/>
    <col min="7040" max="7040" width="8.69921875" style="37" customWidth="1"/>
    <col min="7041" max="7041" width="8.59765625" style="37" customWidth="1"/>
    <col min="7042" max="7043" width="8.19921875" style="37" customWidth="1"/>
    <col min="7044" max="7044" width="7.59765625" style="37" customWidth="1"/>
    <col min="7045" max="7045" width="8" style="37" customWidth="1"/>
    <col min="7046" max="7046" width="7.09765625" style="37" customWidth="1"/>
    <col min="7047" max="7047" width="7.59765625" style="37" customWidth="1"/>
    <col min="7048" max="7048" width="8.8984375" style="37" customWidth="1"/>
    <col min="7049" max="7049" width="8.09765625" style="37" customWidth="1"/>
    <col min="7050" max="7054" width="8.8984375" style="37" customWidth="1"/>
    <col min="7055" max="7055" width="8" style="37" customWidth="1"/>
    <col min="7056" max="7056" width="7.69921875" style="37" customWidth="1"/>
    <col min="7057" max="7057" width="7.8984375" style="37" customWidth="1"/>
    <col min="7058" max="7058" width="7.3984375" style="37" customWidth="1"/>
    <col min="7059" max="7059" width="7.8984375" style="37" customWidth="1"/>
    <col min="7060" max="7066" width="8.8984375" style="37" customWidth="1"/>
    <col min="7067" max="7067" width="7.5" style="37" customWidth="1"/>
    <col min="7068" max="7068" width="7.19921875" style="37" customWidth="1"/>
    <col min="7069" max="7069" width="8.3984375" style="37" customWidth="1"/>
    <col min="7070" max="7070" width="7.19921875" style="37" customWidth="1"/>
    <col min="7071" max="7071" width="7.59765625" style="37" customWidth="1"/>
    <col min="7072" max="7169" width="8.69921875" style="37"/>
    <col min="7170" max="7170" width="4.5" style="37" bestFit="1" customWidth="1"/>
    <col min="7171" max="7171" width="69.09765625" style="37" customWidth="1"/>
    <col min="7172" max="7172" width="9.19921875" style="37" customWidth="1"/>
    <col min="7173" max="7173" width="8.59765625" style="37" customWidth="1"/>
    <col min="7174" max="7174" width="9.3984375" style="37" customWidth="1"/>
    <col min="7175" max="7175" width="10.19921875" style="37" customWidth="1"/>
    <col min="7176" max="7176" width="10.59765625" style="37" customWidth="1"/>
    <col min="7177" max="7177" width="10" style="37" customWidth="1"/>
    <col min="7178" max="7179" width="8.5" style="37" customWidth="1"/>
    <col min="7180" max="7180" width="7.5" style="37" customWidth="1"/>
    <col min="7181" max="7181" width="7.09765625" style="37" customWidth="1"/>
    <col min="7182" max="7182" width="8.09765625" style="37" customWidth="1"/>
    <col min="7183" max="7184" width="7.5" style="37" customWidth="1"/>
    <col min="7185" max="7185" width="8.59765625" style="37" customWidth="1"/>
    <col min="7186" max="7188" width="7.5" style="37" customWidth="1"/>
    <col min="7189" max="7189" width="8.3984375" style="37" customWidth="1"/>
    <col min="7190" max="7190" width="7.5" style="37" customWidth="1"/>
    <col min="7191" max="7191" width="8.19921875" style="37" customWidth="1"/>
    <col min="7192" max="7194" width="7.5" style="37" customWidth="1"/>
    <col min="7195" max="7195" width="8.19921875" style="37" customWidth="1"/>
    <col min="7196" max="7196" width="8.09765625" style="37" customWidth="1"/>
    <col min="7197" max="7197" width="8.19921875" style="37" customWidth="1"/>
    <col min="7198" max="7198" width="8.69921875" style="37" customWidth="1"/>
    <col min="7199" max="7199" width="7.09765625" style="37" customWidth="1"/>
    <col min="7200" max="7200" width="9.5" style="37" customWidth="1"/>
    <col min="7201" max="7201" width="8.59765625" style="37" customWidth="1"/>
    <col min="7202" max="7202" width="8.8984375" style="37" customWidth="1"/>
    <col min="7203" max="7203" width="8.09765625" style="37" customWidth="1"/>
    <col min="7204" max="7206" width="7.59765625" style="37" customWidth="1"/>
    <col min="7207" max="7207" width="6.5" style="37" customWidth="1"/>
    <col min="7208" max="7216" width="8.5" style="37" customWidth="1"/>
    <col min="7217" max="7217" width="7.5" style="37" customWidth="1"/>
    <col min="7218" max="7218" width="7.19921875" style="37" customWidth="1"/>
    <col min="7219" max="7219" width="8.5" style="37" customWidth="1"/>
    <col min="7220" max="7220" width="9.3984375" style="37" customWidth="1"/>
    <col min="7221" max="7223" width="8.5" style="37" customWidth="1"/>
    <col min="7224" max="7224" width="9.19921875" style="37" customWidth="1"/>
    <col min="7225" max="7227" width="8.5" style="37" customWidth="1"/>
    <col min="7228" max="7228" width="7.8984375" style="37" customWidth="1"/>
    <col min="7229" max="7229" width="8.5" style="37" customWidth="1"/>
    <col min="7230" max="7230" width="7.3984375" style="37" customWidth="1"/>
    <col min="7231" max="7231" width="7.59765625" style="37" customWidth="1"/>
    <col min="7232" max="7232" width="9.8984375" style="37" customWidth="1"/>
    <col min="7233" max="7233" width="8.19921875" style="37" customWidth="1"/>
    <col min="7234" max="7236" width="8.8984375" style="37" customWidth="1"/>
    <col min="7237" max="7237" width="8.69921875" style="37" customWidth="1"/>
    <col min="7238" max="7238" width="8" style="37" customWidth="1"/>
    <col min="7239" max="7239" width="8.19921875" style="37" customWidth="1"/>
    <col min="7240" max="7240" width="7.3984375" style="37" customWidth="1"/>
    <col min="7241" max="7241" width="8.8984375" style="37" customWidth="1"/>
    <col min="7242" max="7242" width="7.3984375" style="37" customWidth="1"/>
    <col min="7243" max="7243" width="6.59765625" style="37" customWidth="1"/>
    <col min="7244" max="7244" width="9.5" style="37" customWidth="1"/>
    <col min="7245" max="7245" width="8" style="37" customWidth="1"/>
    <col min="7246" max="7246" width="8.3984375" style="37" customWidth="1"/>
    <col min="7247" max="7247" width="8.5" style="37" customWidth="1"/>
    <col min="7248" max="7248" width="8" style="37" customWidth="1"/>
    <col min="7249" max="7249" width="7.8984375" style="37" customWidth="1"/>
    <col min="7250" max="7250" width="8" style="37" customWidth="1"/>
    <col min="7251" max="7251" width="8.5" style="37" customWidth="1"/>
    <col min="7252" max="7254" width="8.09765625" style="37" customWidth="1"/>
    <col min="7255" max="7255" width="8" style="37" customWidth="1"/>
    <col min="7256" max="7259" width="8.69921875" style="37" customWidth="1"/>
    <col min="7260" max="7260" width="7.59765625" style="37" customWidth="1"/>
    <col min="7261" max="7262" width="8.69921875" style="37" customWidth="1"/>
    <col min="7263" max="7263" width="7.69921875" style="37" customWidth="1"/>
    <col min="7264" max="7266" width="8" style="37" customWidth="1"/>
    <col min="7267" max="7267" width="7.8984375" style="37" customWidth="1"/>
    <col min="7268" max="7269" width="8.69921875" style="37" customWidth="1"/>
    <col min="7270" max="7270" width="8.3984375" style="37" customWidth="1"/>
    <col min="7271" max="7271" width="8" style="37" customWidth="1"/>
    <col min="7272" max="7272" width="7.8984375" style="37" customWidth="1"/>
    <col min="7273" max="7275" width="8.19921875" style="37" customWidth="1"/>
    <col min="7276" max="7278" width="8.09765625" style="37" customWidth="1"/>
    <col min="7279" max="7279" width="7.8984375" style="37" customWidth="1"/>
    <col min="7280" max="7280" width="8.8984375" style="37" customWidth="1"/>
    <col min="7281" max="7281" width="8.3984375" style="37" customWidth="1"/>
    <col min="7282" max="7282" width="8.19921875" style="37" customWidth="1"/>
    <col min="7283" max="7283" width="8.8984375" style="37" customWidth="1"/>
    <col min="7284" max="7284" width="8.09765625" style="37" customWidth="1"/>
    <col min="7285" max="7285" width="8.19921875" style="37" customWidth="1"/>
    <col min="7286" max="7286" width="8.8984375" style="37" customWidth="1"/>
    <col min="7287" max="7287" width="8" style="37" customWidth="1"/>
    <col min="7288" max="7290" width="7.8984375" style="37" customWidth="1"/>
    <col min="7291" max="7291" width="7.69921875" style="37" customWidth="1"/>
    <col min="7292" max="7295" width="8.8984375" style="37" customWidth="1"/>
    <col min="7296" max="7296" width="8.69921875" style="37" customWidth="1"/>
    <col min="7297" max="7297" width="8.59765625" style="37" customWidth="1"/>
    <col min="7298" max="7299" width="8.19921875" style="37" customWidth="1"/>
    <col min="7300" max="7300" width="7.59765625" style="37" customWidth="1"/>
    <col min="7301" max="7301" width="8" style="37" customWidth="1"/>
    <col min="7302" max="7302" width="7.09765625" style="37" customWidth="1"/>
    <col min="7303" max="7303" width="7.59765625" style="37" customWidth="1"/>
    <col min="7304" max="7304" width="8.8984375" style="37" customWidth="1"/>
    <col min="7305" max="7305" width="8.09765625" style="37" customWidth="1"/>
    <col min="7306" max="7310" width="8.8984375" style="37" customWidth="1"/>
    <col min="7311" max="7311" width="8" style="37" customWidth="1"/>
    <col min="7312" max="7312" width="7.69921875" style="37" customWidth="1"/>
    <col min="7313" max="7313" width="7.8984375" style="37" customWidth="1"/>
    <col min="7314" max="7314" width="7.3984375" style="37" customWidth="1"/>
    <col min="7315" max="7315" width="7.8984375" style="37" customWidth="1"/>
    <col min="7316" max="7322" width="8.8984375" style="37" customWidth="1"/>
    <col min="7323" max="7323" width="7.5" style="37" customWidth="1"/>
    <col min="7324" max="7324" width="7.19921875" style="37" customWidth="1"/>
    <col min="7325" max="7325" width="8.3984375" style="37" customWidth="1"/>
    <col min="7326" max="7326" width="7.19921875" style="37" customWidth="1"/>
    <col min="7327" max="7327" width="7.59765625" style="37" customWidth="1"/>
    <col min="7328" max="7425" width="8.69921875" style="37"/>
    <col min="7426" max="7426" width="4.5" style="37" bestFit="1" customWidth="1"/>
    <col min="7427" max="7427" width="69.09765625" style="37" customWidth="1"/>
    <col min="7428" max="7428" width="9.19921875" style="37" customWidth="1"/>
    <col min="7429" max="7429" width="8.59765625" style="37" customWidth="1"/>
    <col min="7430" max="7430" width="9.3984375" style="37" customWidth="1"/>
    <col min="7431" max="7431" width="10.19921875" style="37" customWidth="1"/>
    <col min="7432" max="7432" width="10.59765625" style="37" customWidth="1"/>
    <col min="7433" max="7433" width="10" style="37" customWidth="1"/>
    <col min="7434" max="7435" width="8.5" style="37" customWidth="1"/>
    <col min="7436" max="7436" width="7.5" style="37" customWidth="1"/>
    <col min="7437" max="7437" width="7.09765625" style="37" customWidth="1"/>
    <col min="7438" max="7438" width="8.09765625" style="37" customWidth="1"/>
    <col min="7439" max="7440" width="7.5" style="37" customWidth="1"/>
    <col min="7441" max="7441" width="8.59765625" style="37" customWidth="1"/>
    <col min="7442" max="7444" width="7.5" style="37" customWidth="1"/>
    <col min="7445" max="7445" width="8.3984375" style="37" customWidth="1"/>
    <col min="7446" max="7446" width="7.5" style="37" customWidth="1"/>
    <col min="7447" max="7447" width="8.19921875" style="37" customWidth="1"/>
    <col min="7448" max="7450" width="7.5" style="37" customWidth="1"/>
    <col min="7451" max="7451" width="8.19921875" style="37" customWidth="1"/>
    <col min="7452" max="7452" width="8.09765625" style="37" customWidth="1"/>
    <col min="7453" max="7453" width="8.19921875" style="37" customWidth="1"/>
    <col min="7454" max="7454" width="8.69921875" style="37" customWidth="1"/>
    <col min="7455" max="7455" width="7.09765625" style="37" customWidth="1"/>
    <col min="7456" max="7456" width="9.5" style="37" customWidth="1"/>
    <col min="7457" max="7457" width="8.59765625" style="37" customWidth="1"/>
    <col min="7458" max="7458" width="8.8984375" style="37" customWidth="1"/>
    <col min="7459" max="7459" width="8.09765625" style="37" customWidth="1"/>
    <col min="7460" max="7462" width="7.59765625" style="37" customWidth="1"/>
    <col min="7463" max="7463" width="6.5" style="37" customWidth="1"/>
    <col min="7464" max="7472" width="8.5" style="37" customWidth="1"/>
    <col min="7473" max="7473" width="7.5" style="37" customWidth="1"/>
    <col min="7474" max="7474" width="7.19921875" style="37" customWidth="1"/>
    <col min="7475" max="7475" width="8.5" style="37" customWidth="1"/>
    <col min="7476" max="7476" width="9.3984375" style="37" customWidth="1"/>
    <col min="7477" max="7479" width="8.5" style="37" customWidth="1"/>
    <col min="7480" max="7480" width="9.19921875" style="37" customWidth="1"/>
    <col min="7481" max="7483" width="8.5" style="37" customWidth="1"/>
    <col min="7484" max="7484" width="7.8984375" style="37" customWidth="1"/>
    <col min="7485" max="7485" width="8.5" style="37" customWidth="1"/>
    <col min="7486" max="7486" width="7.3984375" style="37" customWidth="1"/>
    <col min="7487" max="7487" width="7.59765625" style="37" customWidth="1"/>
    <col min="7488" max="7488" width="9.8984375" style="37" customWidth="1"/>
    <col min="7489" max="7489" width="8.19921875" style="37" customWidth="1"/>
    <col min="7490" max="7492" width="8.8984375" style="37" customWidth="1"/>
    <col min="7493" max="7493" width="8.69921875" style="37" customWidth="1"/>
    <col min="7494" max="7494" width="8" style="37" customWidth="1"/>
    <col min="7495" max="7495" width="8.19921875" style="37" customWidth="1"/>
    <col min="7496" max="7496" width="7.3984375" style="37" customWidth="1"/>
    <col min="7497" max="7497" width="8.8984375" style="37" customWidth="1"/>
    <col min="7498" max="7498" width="7.3984375" style="37" customWidth="1"/>
    <col min="7499" max="7499" width="6.59765625" style="37" customWidth="1"/>
    <col min="7500" max="7500" width="9.5" style="37" customWidth="1"/>
    <col min="7501" max="7501" width="8" style="37" customWidth="1"/>
    <col min="7502" max="7502" width="8.3984375" style="37" customWidth="1"/>
    <col min="7503" max="7503" width="8.5" style="37" customWidth="1"/>
    <col min="7504" max="7504" width="8" style="37" customWidth="1"/>
    <col min="7505" max="7505" width="7.8984375" style="37" customWidth="1"/>
    <col min="7506" max="7506" width="8" style="37" customWidth="1"/>
    <col min="7507" max="7507" width="8.5" style="37" customWidth="1"/>
    <col min="7508" max="7510" width="8.09765625" style="37" customWidth="1"/>
    <col min="7511" max="7511" width="8" style="37" customWidth="1"/>
    <col min="7512" max="7515" width="8.69921875" style="37" customWidth="1"/>
    <col min="7516" max="7516" width="7.59765625" style="37" customWidth="1"/>
    <col min="7517" max="7518" width="8.69921875" style="37" customWidth="1"/>
    <col min="7519" max="7519" width="7.69921875" style="37" customWidth="1"/>
    <col min="7520" max="7522" width="8" style="37" customWidth="1"/>
    <col min="7523" max="7523" width="7.8984375" style="37" customWidth="1"/>
    <col min="7524" max="7525" width="8.69921875" style="37" customWidth="1"/>
    <col min="7526" max="7526" width="8.3984375" style="37" customWidth="1"/>
    <col min="7527" max="7527" width="8" style="37" customWidth="1"/>
    <col min="7528" max="7528" width="7.8984375" style="37" customWidth="1"/>
    <col min="7529" max="7531" width="8.19921875" style="37" customWidth="1"/>
    <col min="7532" max="7534" width="8.09765625" style="37" customWidth="1"/>
    <col min="7535" max="7535" width="7.8984375" style="37" customWidth="1"/>
    <col min="7536" max="7536" width="8.8984375" style="37" customWidth="1"/>
    <col min="7537" max="7537" width="8.3984375" style="37" customWidth="1"/>
    <col min="7538" max="7538" width="8.19921875" style="37" customWidth="1"/>
    <col min="7539" max="7539" width="8.8984375" style="37" customWidth="1"/>
    <col min="7540" max="7540" width="8.09765625" style="37" customWidth="1"/>
    <col min="7541" max="7541" width="8.19921875" style="37" customWidth="1"/>
    <col min="7542" max="7542" width="8.8984375" style="37" customWidth="1"/>
    <col min="7543" max="7543" width="8" style="37" customWidth="1"/>
    <col min="7544" max="7546" width="7.8984375" style="37" customWidth="1"/>
    <col min="7547" max="7547" width="7.69921875" style="37" customWidth="1"/>
    <col min="7548" max="7551" width="8.8984375" style="37" customWidth="1"/>
    <col min="7552" max="7552" width="8.69921875" style="37" customWidth="1"/>
    <col min="7553" max="7553" width="8.59765625" style="37" customWidth="1"/>
    <col min="7554" max="7555" width="8.19921875" style="37" customWidth="1"/>
    <col min="7556" max="7556" width="7.59765625" style="37" customWidth="1"/>
    <col min="7557" max="7557" width="8" style="37" customWidth="1"/>
    <col min="7558" max="7558" width="7.09765625" style="37" customWidth="1"/>
    <col min="7559" max="7559" width="7.59765625" style="37" customWidth="1"/>
    <col min="7560" max="7560" width="8.8984375" style="37" customWidth="1"/>
    <col min="7561" max="7561" width="8.09765625" style="37" customWidth="1"/>
    <col min="7562" max="7566" width="8.8984375" style="37" customWidth="1"/>
    <col min="7567" max="7567" width="8" style="37" customWidth="1"/>
    <col min="7568" max="7568" width="7.69921875" style="37" customWidth="1"/>
    <col min="7569" max="7569" width="7.8984375" style="37" customWidth="1"/>
    <col min="7570" max="7570" width="7.3984375" style="37" customWidth="1"/>
    <col min="7571" max="7571" width="7.8984375" style="37" customWidth="1"/>
    <col min="7572" max="7578" width="8.8984375" style="37" customWidth="1"/>
    <col min="7579" max="7579" width="7.5" style="37" customWidth="1"/>
    <col min="7580" max="7580" width="7.19921875" style="37" customWidth="1"/>
    <col min="7581" max="7581" width="8.3984375" style="37" customWidth="1"/>
    <col min="7582" max="7582" width="7.19921875" style="37" customWidth="1"/>
    <col min="7583" max="7583" width="7.59765625" style="37" customWidth="1"/>
    <col min="7584" max="7681" width="8.69921875" style="37"/>
    <col min="7682" max="7682" width="4.5" style="37" bestFit="1" customWidth="1"/>
    <col min="7683" max="7683" width="69.09765625" style="37" customWidth="1"/>
    <col min="7684" max="7684" width="9.19921875" style="37" customWidth="1"/>
    <col min="7685" max="7685" width="8.59765625" style="37" customWidth="1"/>
    <col min="7686" max="7686" width="9.3984375" style="37" customWidth="1"/>
    <col min="7687" max="7687" width="10.19921875" style="37" customWidth="1"/>
    <col min="7688" max="7688" width="10.59765625" style="37" customWidth="1"/>
    <col min="7689" max="7689" width="10" style="37" customWidth="1"/>
    <col min="7690" max="7691" width="8.5" style="37" customWidth="1"/>
    <col min="7692" max="7692" width="7.5" style="37" customWidth="1"/>
    <col min="7693" max="7693" width="7.09765625" style="37" customWidth="1"/>
    <col min="7694" max="7694" width="8.09765625" style="37" customWidth="1"/>
    <col min="7695" max="7696" width="7.5" style="37" customWidth="1"/>
    <col min="7697" max="7697" width="8.59765625" style="37" customWidth="1"/>
    <col min="7698" max="7700" width="7.5" style="37" customWidth="1"/>
    <col min="7701" max="7701" width="8.3984375" style="37" customWidth="1"/>
    <col min="7702" max="7702" width="7.5" style="37" customWidth="1"/>
    <col min="7703" max="7703" width="8.19921875" style="37" customWidth="1"/>
    <col min="7704" max="7706" width="7.5" style="37" customWidth="1"/>
    <col min="7707" max="7707" width="8.19921875" style="37" customWidth="1"/>
    <col min="7708" max="7708" width="8.09765625" style="37" customWidth="1"/>
    <col min="7709" max="7709" width="8.19921875" style="37" customWidth="1"/>
    <col min="7710" max="7710" width="8.69921875" style="37" customWidth="1"/>
    <col min="7711" max="7711" width="7.09765625" style="37" customWidth="1"/>
    <col min="7712" max="7712" width="9.5" style="37" customWidth="1"/>
    <col min="7713" max="7713" width="8.59765625" style="37" customWidth="1"/>
    <col min="7714" max="7714" width="8.8984375" style="37" customWidth="1"/>
    <col min="7715" max="7715" width="8.09765625" style="37" customWidth="1"/>
    <col min="7716" max="7718" width="7.59765625" style="37" customWidth="1"/>
    <col min="7719" max="7719" width="6.5" style="37" customWidth="1"/>
    <col min="7720" max="7728" width="8.5" style="37" customWidth="1"/>
    <col min="7729" max="7729" width="7.5" style="37" customWidth="1"/>
    <col min="7730" max="7730" width="7.19921875" style="37" customWidth="1"/>
    <col min="7731" max="7731" width="8.5" style="37" customWidth="1"/>
    <col min="7732" max="7732" width="9.3984375" style="37" customWidth="1"/>
    <col min="7733" max="7735" width="8.5" style="37" customWidth="1"/>
    <col min="7736" max="7736" width="9.19921875" style="37" customWidth="1"/>
    <col min="7737" max="7739" width="8.5" style="37" customWidth="1"/>
    <col min="7740" max="7740" width="7.8984375" style="37" customWidth="1"/>
    <col min="7741" max="7741" width="8.5" style="37" customWidth="1"/>
    <col min="7742" max="7742" width="7.3984375" style="37" customWidth="1"/>
    <col min="7743" max="7743" width="7.59765625" style="37" customWidth="1"/>
    <col min="7744" max="7744" width="9.8984375" style="37" customWidth="1"/>
    <col min="7745" max="7745" width="8.19921875" style="37" customWidth="1"/>
    <col min="7746" max="7748" width="8.8984375" style="37" customWidth="1"/>
    <col min="7749" max="7749" width="8.69921875" style="37" customWidth="1"/>
    <col min="7750" max="7750" width="8" style="37" customWidth="1"/>
    <col min="7751" max="7751" width="8.19921875" style="37" customWidth="1"/>
    <col min="7752" max="7752" width="7.3984375" style="37" customWidth="1"/>
    <col min="7753" max="7753" width="8.8984375" style="37" customWidth="1"/>
    <col min="7754" max="7754" width="7.3984375" style="37" customWidth="1"/>
    <col min="7755" max="7755" width="6.59765625" style="37" customWidth="1"/>
    <col min="7756" max="7756" width="9.5" style="37" customWidth="1"/>
    <col min="7757" max="7757" width="8" style="37" customWidth="1"/>
    <col min="7758" max="7758" width="8.3984375" style="37" customWidth="1"/>
    <col min="7759" max="7759" width="8.5" style="37" customWidth="1"/>
    <col min="7760" max="7760" width="8" style="37" customWidth="1"/>
    <col min="7761" max="7761" width="7.8984375" style="37" customWidth="1"/>
    <col min="7762" max="7762" width="8" style="37" customWidth="1"/>
    <col min="7763" max="7763" width="8.5" style="37" customWidth="1"/>
    <col min="7764" max="7766" width="8.09765625" style="37" customWidth="1"/>
    <col min="7767" max="7767" width="8" style="37" customWidth="1"/>
    <col min="7768" max="7771" width="8.69921875" style="37" customWidth="1"/>
    <col min="7772" max="7772" width="7.59765625" style="37" customWidth="1"/>
    <col min="7773" max="7774" width="8.69921875" style="37" customWidth="1"/>
    <col min="7775" max="7775" width="7.69921875" style="37" customWidth="1"/>
    <col min="7776" max="7778" width="8" style="37" customWidth="1"/>
    <col min="7779" max="7779" width="7.8984375" style="37" customWidth="1"/>
    <col min="7780" max="7781" width="8.69921875" style="37" customWidth="1"/>
    <col min="7782" max="7782" width="8.3984375" style="37" customWidth="1"/>
    <col min="7783" max="7783" width="8" style="37" customWidth="1"/>
    <col min="7784" max="7784" width="7.8984375" style="37" customWidth="1"/>
    <col min="7785" max="7787" width="8.19921875" style="37" customWidth="1"/>
    <col min="7788" max="7790" width="8.09765625" style="37" customWidth="1"/>
    <col min="7791" max="7791" width="7.8984375" style="37" customWidth="1"/>
    <col min="7792" max="7792" width="8.8984375" style="37" customWidth="1"/>
    <col min="7793" max="7793" width="8.3984375" style="37" customWidth="1"/>
    <col min="7794" max="7794" width="8.19921875" style="37" customWidth="1"/>
    <col min="7795" max="7795" width="8.8984375" style="37" customWidth="1"/>
    <col min="7796" max="7796" width="8.09765625" style="37" customWidth="1"/>
    <col min="7797" max="7797" width="8.19921875" style="37" customWidth="1"/>
    <col min="7798" max="7798" width="8.8984375" style="37" customWidth="1"/>
    <col min="7799" max="7799" width="8" style="37" customWidth="1"/>
    <col min="7800" max="7802" width="7.8984375" style="37" customWidth="1"/>
    <col min="7803" max="7803" width="7.69921875" style="37" customWidth="1"/>
    <col min="7804" max="7807" width="8.8984375" style="37" customWidth="1"/>
    <col min="7808" max="7808" width="8.69921875" style="37" customWidth="1"/>
    <col min="7809" max="7809" width="8.59765625" style="37" customWidth="1"/>
    <col min="7810" max="7811" width="8.19921875" style="37" customWidth="1"/>
    <col min="7812" max="7812" width="7.59765625" style="37" customWidth="1"/>
    <col min="7813" max="7813" width="8" style="37" customWidth="1"/>
    <col min="7814" max="7814" width="7.09765625" style="37" customWidth="1"/>
    <col min="7815" max="7815" width="7.59765625" style="37" customWidth="1"/>
    <col min="7816" max="7816" width="8.8984375" style="37" customWidth="1"/>
    <col min="7817" max="7817" width="8.09765625" style="37" customWidth="1"/>
    <col min="7818" max="7822" width="8.8984375" style="37" customWidth="1"/>
    <col min="7823" max="7823" width="8" style="37" customWidth="1"/>
    <col min="7824" max="7824" width="7.69921875" style="37" customWidth="1"/>
    <col min="7825" max="7825" width="7.8984375" style="37" customWidth="1"/>
    <col min="7826" max="7826" width="7.3984375" style="37" customWidth="1"/>
    <col min="7827" max="7827" width="7.8984375" style="37" customWidth="1"/>
    <col min="7828" max="7834" width="8.8984375" style="37" customWidth="1"/>
    <col min="7835" max="7835" width="7.5" style="37" customWidth="1"/>
    <col min="7836" max="7836" width="7.19921875" style="37" customWidth="1"/>
    <col min="7837" max="7837" width="8.3984375" style="37" customWidth="1"/>
    <col min="7838" max="7838" width="7.19921875" style="37" customWidth="1"/>
    <col min="7839" max="7839" width="7.59765625" style="37" customWidth="1"/>
    <col min="7840" max="7937" width="8.69921875" style="37"/>
    <col min="7938" max="7938" width="4.5" style="37" bestFit="1" customWidth="1"/>
    <col min="7939" max="7939" width="69.09765625" style="37" customWidth="1"/>
    <col min="7940" max="7940" width="9.19921875" style="37" customWidth="1"/>
    <col min="7941" max="7941" width="8.59765625" style="37" customWidth="1"/>
    <col min="7942" max="7942" width="9.3984375" style="37" customWidth="1"/>
    <col min="7943" max="7943" width="10.19921875" style="37" customWidth="1"/>
    <col min="7944" max="7944" width="10.59765625" style="37" customWidth="1"/>
    <col min="7945" max="7945" width="10" style="37" customWidth="1"/>
    <col min="7946" max="7947" width="8.5" style="37" customWidth="1"/>
    <col min="7948" max="7948" width="7.5" style="37" customWidth="1"/>
    <col min="7949" max="7949" width="7.09765625" style="37" customWidth="1"/>
    <col min="7950" max="7950" width="8.09765625" style="37" customWidth="1"/>
    <col min="7951" max="7952" width="7.5" style="37" customWidth="1"/>
    <col min="7953" max="7953" width="8.59765625" style="37" customWidth="1"/>
    <col min="7954" max="7956" width="7.5" style="37" customWidth="1"/>
    <col min="7957" max="7957" width="8.3984375" style="37" customWidth="1"/>
    <col min="7958" max="7958" width="7.5" style="37" customWidth="1"/>
    <col min="7959" max="7959" width="8.19921875" style="37" customWidth="1"/>
    <col min="7960" max="7962" width="7.5" style="37" customWidth="1"/>
    <col min="7963" max="7963" width="8.19921875" style="37" customWidth="1"/>
    <col min="7964" max="7964" width="8.09765625" style="37" customWidth="1"/>
    <col min="7965" max="7965" width="8.19921875" style="37" customWidth="1"/>
    <col min="7966" max="7966" width="8.69921875" style="37" customWidth="1"/>
    <col min="7967" max="7967" width="7.09765625" style="37" customWidth="1"/>
    <col min="7968" max="7968" width="9.5" style="37" customWidth="1"/>
    <col min="7969" max="7969" width="8.59765625" style="37" customWidth="1"/>
    <col min="7970" max="7970" width="8.8984375" style="37" customWidth="1"/>
    <col min="7971" max="7971" width="8.09765625" style="37" customWidth="1"/>
    <col min="7972" max="7974" width="7.59765625" style="37" customWidth="1"/>
    <col min="7975" max="7975" width="6.5" style="37" customWidth="1"/>
    <col min="7976" max="7984" width="8.5" style="37" customWidth="1"/>
    <col min="7985" max="7985" width="7.5" style="37" customWidth="1"/>
    <col min="7986" max="7986" width="7.19921875" style="37" customWidth="1"/>
    <col min="7987" max="7987" width="8.5" style="37" customWidth="1"/>
    <col min="7988" max="7988" width="9.3984375" style="37" customWidth="1"/>
    <col min="7989" max="7991" width="8.5" style="37" customWidth="1"/>
    <col min="7992" max="7992" width="9.19921875" style="37" customWidth="1"/>
    <col min="7993" max="7995" width="8.5" style="37" customWidth="1"/>
    <col min="7996" max="7996" width="7.8984375" style="37" customWidth="1"/>
    <col min="7997" max="7997" width="8.5" style="37" customWidth="1"/>
    <col min="7998" max="7998" width="7.3984375" style="37" customWidth="1"/>
    <col min="7999" max="7999" width="7.59765625" style="37" customWidth="1"/>
    <col min="8000" max="8000" width="9.8984375" style="37" customWidth="1"/>
    <col min="8001" max="8001" width="8.19921875" style="37" customWidth="1"/>
    <col min="8002" max="8004" width="8.8984375" style="37" customWidth="1"/>
    <col min="8005" max="8005" width="8.69921875" style="37" customWidth="1"/>
    <col min="8006" max="8006" width="8" style="37" customWidth="1"/>
    <col min="8007" max="8007" width="8.19921875" style="37" customWidth="1"/>
    <col min="8008" max="8008" width="7.3984375" style="37" customWidth="1"/>
    <col min="8009" max="8009" width="8.8984375" style="37" customWidth="1"/>
    <col min="8010" max="8010" width="7.3984375" style="37" customWidth="1"/>
    <col min="8011" max="8011" width="6.59765625" style="37" customWidth="1"/>
    <col min="8012" max="8012" width="9.5" style="37" customWidth="1"/>
    <col min="8013" max="8013" width="8" style="37" customWidth="1"/>
    <col min="8014" max="8014" width="8.3984375" style="37" customWidth="1"/>
    <col min="8015" max="8015" width="8.5" style="37" customWidth="1"/>
    <col min="8016" max="8016" width="8" style="37" customWidth="1"/>
    <col min="8017" max="8017" width="7.8984375" style="37" customWidth="1"/>
    <col min="8018" max="8018" width="8" style="37" customWidth="1"/>
    <col min="8019" max="8019" width="8.5" style="37" customWidth="1"/>
    <col min="8020" max="8022" width="8.09765625" style="37" customWidth="1"/>
    <col min="8023" max="8023" width="8" style="37" customWidth="1"/>
    <col min="8024" max="8027" width="8.69921875" style="37" customWidth="1"/>
    <col min="8028" max="8028" width="7.59765625" style="37" customWidth="1"/>
    <col min="8029" max="8030" width="8.69921875" style="37" customWidth="1"/>
    <col min="8031" max="8031" width="7.69921875" style="37" customWidth="1"/>
    <col min="8032" max="8034" width="8" style="37" customWidth="1"/>
    <col min="8035" max="8035" width="7.8984375" style="37" customWidth="1"/>
    <col min="8036" max="8037" width="8.69921875" style="37" customWidth="1"/>
    <col min="8038" max="8038" width="8.3984375" style="37" customWidth="1"/>
    <col min="8039" max="8039" width="8" style="37" customWidth="1"/>
    <col min="8040" max="8040" width="7.8984375" style="37" customWidth="1"/>
    <col min="8041" max="8043" width="8.19921875" style="37" customWidth="1"/>
    <col min="8044" max="8046" width="8.09765625" style="37" customWidth="1"/>
    <col min="8047" max="8047" width="7.8984375" style="37" customWidth="1"/>
    <col min="8048" max="8048" width="8.8984375" style="37" customWidth="1"/>
    <col min="8049" max="8049" width="8.3984375" style="37" customWidth="1"/>
    <col min="8050" max="8050" width="8.19921875" style="37" customWidth="1"/>
    <col min="8051" max="8051" width="8.8984375" style="37" customWidth="1"/>
    <col min="8052" max="8052" width="8.09765625" style="37" customWidth="1"/>
    <col min="8053" max="8053" width="8.19921875" style="37" customWidth="1"/>
    <col min="8054" max="8054" width="8.8984375" style="37" customWidth="1"/>
    <col min="8055" max="8055" width="8" style="37" customWidth="1"/>
    <col min="8056" max="8058" width="7.8984375" style="37" customWidth="1"/>
    <col min="8059" max="8059" width="7.69921875" style="37" customWidth="1"/>
    <col min="8060" max="8063" width="8.8984375" style="37" customWidth="1"/>
    <col min="8064" max="8064" width="8.69921875" style="37" customWidth="1"/>
    <col min="8065" max="8065" width="8.59765625" style="37" customWidth="1"/>
    <col min="8066" max="8067" width="8.19921875" style="37" customWidth="1"/>
    <col min="8068" max="8068" width="7.59765625" style="37" customWidth="1"/>
    <col min="8069" max="8069" width="8" style="37" customWidth="1"/>
    <col min="8070" max="8070" width="7.09765625" style="37" customWidth="1"/>
    <col min="8071" max="8071" width="7.59765625" style="37" customWidth="1"/>
    <col min="8072" max="8072" width="8.8984375" style="37" customWidth="1"/>
    <col min="8073" max="8073" width="8.09765625" style="37" customWidth="1"/>
    <col min="8074" max="8078" width="8.8984375" style="37" customWidth="1"/>
    <col min="8079" max="8079" width="8" style="37" customWidth="1"/>
    <col min="8080" max="8080" width="7.69921875" style="37" customWidth="1"/>
    <col min="8081" max="8081" width="7.8984375" style="37" customWidth="1"/>
    <col min="8082" max="8082" width="7.3984375" style="37" customWidth="1"/>
    <col min="8083" max="8083" width="7.8984375" style="37" customWidth="1"/>
    <col min="8084" max="8090" width="8.8984375" style="37" customWidth="1"/>
    <col min="8091" max="8091" width="7.5" style="37" customWidth="1"/>
    <col min="8092" max="8092" width="7.19921875" style="37" customWidth="1"/>
    <col min="8093" max="8093" width="8.3984375" style="37" customWidth="1"/>
    <col min="8094" max="8094" width="7.19921875" style="37" customWidth="1"/>
    <col min="8095" max="8095" width="7.59765625" style="37" customWidth="1"/>
    <col min="8096" max="8193" width="8.69921875" style="37"/>
    <col min="8194" max="8194" width="4.5" style="37" bestFit="1" customWidth="1"/>
    <col min="8195" max="8195" width="69.09765625" style="37" customWidth="1"/>
    <col min="8196" max="8196" width="9.19921875" style="37" customWidth="1"/>
    <col min="8197" max="8197" width="8.59765625" style="37" customWidth="1"/>
    <col min="8198" max="8198" width="9.3984375" style="37" customWidth="1"/>
    <col min="8199" max="8199" width="10.19921875" style="37" customWidth="1"/>
    <col min="8200" max="8200" width="10.59765625" style="37" customWidth="1"/>
    <col min="8201" max="8201" width="10" style="37" customWidth="1"/>
    <col min="8202" max="8203" width="8.5" style="37" customWidth="1"/>
    <col min="8204" max="8204" width="7.5" style="37" customWidth="1"/>
    <col min="8205" max="8205" width="7.09765625" style="37" customWidth="1"/>
    <col min="8206" max="8206" width="8.09765625" style="37" customWidth="1"/>
    <col min="8207" max="8208" width="7.5" style="37" customWidth="1"/>
    <col min="8209" max="8209" width="8.59765625" style="37" customWidth="1"/>
    <col min="8210" max="8212" width="7.5" style="37" customWidth="1"/>
    <col min="8213" max="8213" width="8.3984375" style="37" customWidth="1"/>
    <col min="8214" max="8214" width="7.5" style="37" customWidth="1"/>
    <col min="8215" max="8215" width="8.19921875" style="37" customWidth="1"/>
    <col min="8216" max="8218" width="7.5" style="37" customWidth="1"/>
    <col min="8219" max="8219" width="8.19921875" style="37" customWidth="1"/>
    <col min="8220" max="8220" width="8.09765625" style="37" customWidth="1"/>
    <col min="8221" max="8221" width="8.19921875" style="37" customWidth="1"/>
    <col min="8222" max="8222" width="8.69921875" style="37" customWidth="1"/>
    <col min="8223" max="8223" width="7.09765625" style="37" customWidth="1"/>
    <col min="8224" max="8224" width="9.5" style="37" customWidth="1"/>
    <col min="8225" max="8225" width="8.59765625" style="37" customWidth="1"/>
    <col min="8226" max="8226" width="8.8984375" style="37" customWidth="1"/>
    <col min="8227" max="8227" width="8.09765625" style="37" customWidth="1"/>
    <col min="8228" max="8230" width="7.59765625" style="37" customWidth="1"/>
    <col min="8231" max="8231" width="6.5" style="37" customWidth="1"/>
    <col min="8232" max="8240" width="8.5" style="37" customWidth="1"/>
    <col min="8241" max="8241" width="7.5" style="37" customWidth="1"/>
    <col min="8242" max="8242" width="7.19921875" style="37" customWidth="1"/>
    <col min="8243" max="8243" width="8.5" style="37" customWidth="1"/>
    <col min="8244" max="8244" width="9.3984375" style="37" customWidth="1"/>
    <col min="8245" max="8247" width="8.5" style="37" customWidth="1"/>
    <col min="8248" max="8248" width="9.19921875" style="37" customWidth="1"/>
    <col min="8249" max="8251" width="8.5" style="37" customWidth="1"/>
    <col min="8252" max="8252" width="7.8984375" style="37" customWidth="1"/>
    <col min="8253" max="8253" width="8.5" style="37" customWidth="1"/>
    <col min="8254" max="8254" width="7.3984375" style="37" customWidth="1"/>
    <col min="8255" max="8255" width="7.59765625" style="37" customWidth="1"/>
    <col min="8256" max="8256" width="9.8984375" style="37" customWidth="1"/>
    <col min="8257" max="8257" width="8.19921875" style="37" customWidth="1"/>
    <col min="8258" max="8260" width="8.8984375" style="37" customWidth="1"/>
    <col min="8261" max="8261" width="8.69921875" style="37" customWidth="1"/>
    <col min="8262" max="8262" width="8" style="37" customWidth="1"/>
    <col min="8263" max="8263" width="8.19921875" style="37" customWidth="1"/>
    <col min="8264" max="8264" width="7.3984375" style="37" customWidth="1"/>
    <col min="8265" max="8265" width="8.8984375" style="37" customWidth="1"/>
    <col min="8266" max="8266" width="7.3984375" style="37" customWidth="1"/>
    <col min="8267" max="8267" width="6.59765625" style="37" customWidth="1"/>
    <col min="8268" max="8268" width="9.5" style="37" customWidth="1"/>
    <col min="8269" max="8269" width="8" style="37" customWidth="1"/>
    <col min="8270" max="8270" width="8.3984375" style="37" customWidth="1"/>
    <col min="8271" max="8271" width="8.5" style="37" customWidth="1"/>
    <col min="8272" max="8272" width="8" style="37" customWidth="1"/>
    <col min="8273" max="8273" width="7.8984375" style="37" customWidth="1"/>
    <col min="8274" max="8274" width="8" style="37" customWidth="1"/>
    <col min="8275" max="8275" width="8.5" style="37" customWidth="1"/>
    <col min="8276" max="8278" width="8.09765625" style="37" customWidth="1"/>
    <col min="8279" max="8279" width="8" style="37" customWidth="1"/>
    <col min="8280" max="8283" width="8.69921875" style="37" customWidth="1"/>
    <col min="8284" max="8284" width="7.59765625" style="37" customWidth="1"/>
    <col min="8285" max="8286" width="8.69921875" style="37" customWidth="1"/>
    <col min="8287" max="8287" width="7.69921875" style="37" customWidth="1"/>
    <col min="8288" max="8290" width="8" style="37" customWidth="1"/>
    <col min="8291" max="8291" width="7.8984375" style="37" customWidth="1"/>
    <col min="8292" max="8293" width="8.69921875" style="37" customWidth="1"/>
    <col min="8294" max="8294" width="8.3984375" style="37" customWidth="1"/>
    <col min="8295" max="8295" width="8" style="37" customWidth="1"/>
    <col min="8296" max="8296" width="7.8984375" style="37" customWidth="1"/>
    <col min="8297" max="8299" width="8.19921875" style="37" customWidth="1"/>
    <col min="8300" max="8302" width="8.09765625" style="37" customWidth="1"/>
    <col min="8303" max="8303" width="7.8984375" style="37" customWidth="1"/>
    <col min="8304" max="8304" width="8.8984375" style="37" customWidth="1"/>
    <col min="8305" max="8305" width="8.3984375" style="37" customWidth="1"/>
    <col min="8306" max="8306" width="8.19921875" style="37" customWidth="1"/>
    <col min="8307" max="8307" width="8.8984375" style="37" customWidth="1"/>
    <col min="8308" max="8308" width="8.09765625" style="37" customWidth="1"/>
    <col min="8309" max="8309" width="8.19921875" style="37" customWidth="1"/>
    <col min="8310" max="8310" width="8.8984375" style="37" customWidth="1"/>
    <col min="8311" max="8311" width="8" style="37" customWidth="1"/>
    <col min="8312" max="8314" width="7.8984375" style="37" customWidth="1"/>
    <col min="8315" max="8315" width="7.69921875" style="37" customWidth="1"/>
    <col min="8316" max="8319" width="8.8984375" style="37" customWidth="1"/>
    <col min="8320" max="8320" width="8.69921875" style="37" customWidth="1"/>
    <col min="8321" max="8321" width="8.59765625" style="37" customWidth="1"/>
    <col min="8322" max="8323" width="8.19921875" style="37" customWidth="1"/>
    <col min="8324" max="8324" width="7.59765625" style="37" customWidth="1"/>
    <col min="8325" max="8325" width="8" style="37" customWidth="1"/>
    <col min="8326" max="8326" width="7.09765625" style="37" customWidth="1"/>
    <col min="8327" max="8327" width="7.59765625" style="37" customWidth="1"/>
    <col min="8328" max="8328" width="8.8984375" style="37" customWidth="1"/>
    <col min="8329" max="8329" width="8.09765625" style="37" customWidth="1"/>
    <col min="8330" max="8334" width="8.8984375" style="37" customWidth="1"/>
    <col min="8335" max="8335" width="8" style="37" customWidth="1"/>
    <col min="8336" max="8336" width="7.69921875" style="37" customWidth="1"/>
    <col min="8337" max="8337" width="7.8984375" style="37" customWidth="1"/>
    <col min="8338" max="8338" width="7.3984375" style="37" customWidth="1"/>
    <col min="8339" max="8339" width="7.8984375" style="37" customWidth="1"/>
    <col min="8340" max="8346" width="8.8984375" style="37" customWidth="1"/>
    <col min="8347" max="8347" width="7.5" style="37" customWidth="1"/>
    <col min="8348" max="8348" width="7.19921875" style="37" customWidth="1"/>
    <col min="8349" max="8349" width="8.3984375" style="37" customWidth="1"/>
    <col min="8350" max="8350" width="7.19921875" style="37" customWidth="1"/>
    <col min="8351" max="8351" width="7.59765625" style="37" customWidth="1"/>
    <col min="8352" max="8449" width="8.69921875" style="37"/>
    <col min="8450" max="8450" width="4.5" style="37" bestFit="1" customWidth="1"/>
    <col min="8451" max="8451" width="69.09765625" style="37" customWidth="1"/>
    <col min="8452" max="8452" width="9.19921875" style="37" customWidth="1"/>
    <col min="8453" max="8453" width="8.59765625" style="37" customWidth="1"/>
    <col min="8454" max="8454" width="9.3984375" style="37" customWidth="1"/>
    <col min="8455" max="8455" width="10.19921875" style="37" customWidth="1"/>
    <col min="8456" max="8456" width="10.59765625" style="37" customWidth="1"/>
    <col min="8457" max="8457" width="10" style="37" customWidth="1"/>
    <col min="8458" max="8459" width="8.5" style="37" customWidth="1"/>
    <col min="8460" max="8460" width="7.5" style="37" customWidth="1"/>
    <col min="8461" max="8461" width="7.09765625" style="37" customWidth="1"/>
    <col min="8462" max="8462" width="8.09765625" style="37" customWidth="1"/>
    <col min="8463" max="8464" width="7.5" style="37" customWidth="1"/>
    <col min="8465" max="8465" width="8.59765625" style="37" customWidth="1"/>
    <col min="8466" max="8468" width="7.5" style="37" customWidth="1"/>
    <col min="8469" max="8469" width="8.3984375" style="37" customWidth="1"/>
    <col min="8470" max="8470" width="7.5" style="37" customWidth="1"/>
    <col min="8471" max="8471" width="8.19921875" style="37" customWidth="1"/>
    <col min="8472" max="8474" width="7.5" style="37" customWidth="1"/>
    <col min="8475" max="8475" width="8.19921875" style="37" customWidth="1"/>
    <col min="8476" max="8476" width="8.09765625" style="37" customWidth="1"/>
    <col min="8477" max="8477" width="8.19921875" style="37" customWidth="1"/>
    <col min="8478" max="8478" width="8.69921875" style="37" customWidth="1"/>
    <col min="8479" max="8479" width="7.09765625" style="37" customWidth="1"/>
    <col min="8480" max="8480" width="9.5" style="37" customWidth="1"/>
    <col min="8481" max="8481" width="8.59765625" style="37" customWidth="1"/>
    <col min="8482" max="8482" width="8.8984375" style="37" customWidth="1"/>
    <col min="8483" max="8483" width="8.09765625" style="37" customWidth="1"/>
    <col min="8484" max="8486" width="7.59765625" style="37" customWidth="1"/>
    <col min="8487" max="8487" width="6.5" style="37" customWidth="1"/>
    <col min="8488" max="8496" width="8.5" style="37" customWidth="1"/>
    <col min="8497" max="8497" width="7.5" style="37" customWidth="1"/>
    <col min="8498" max="8498" width="7.19921875" style="37" customWidth="1"/>
    <col min="8499" max="8499" width="8.5" style="37" customWidth="1"/>
    <col min="8500" max="8500" width="9.3984375" style="37" customWidth="1"/>
    <col min="8501" max="8503" width="8.5" style="37" customWidth="1"/>
    <col min="8504" max="8504" width="9.19921875" style="37" customWidth="1"/>
    <col min="8505" max="8507" width="8.5" style="37" customWidth="1"/>
    <col min="8508" max="8508" width="7.8984375" style="37" customWidth="1"/>
    <col min="8509" max="8509" width="8.5" style="37" customWidth="1"/>
    <col min="8510" max="8510" width="7.3984375" style="37" customWidth="1"/>
    <col min="8511" max="8511" width="7.59765625" style="37" customWidth="1"/>
    <col min="8512" max="8512" width="9.8984375" style="37" customWidth="1"/>
    <col min="8513" max="8513" width="8.19921875" style="37" customWidth="1"/>
    <col min="8514" max="8516" width="8.8984375" style="37" customWidth="1"/>
    <col min="8517" max="8517" width="8.69921875" style="37" customWidth="1"/>
    <col min="8518" max="8518" width="8" style="37" customWidth="1"/>
    <col min="8519" max="8519" width="8.19921875" style="37" customWidth="1"/>
    <col min="8520" max="8520" width="7.3984375" style="37" customWidth="1"/>
    <col min="8521" max="8521" width="8.8984375" style="37" customWidth="1"/>
    <col min="8522" max="8522" width="7.3984375" style="37" customWidth="1"/>
    <col min="8523" max="8523" width="6.59765625" style="37" customWidth="1"/>
    <col min="8524" max="8524" width="9.5" style="37" customWidth="1"/>
    <col min="8525" max="8525" width="8" style="37" customWidth="1"/>
    <col min="8526" max="8526" width="8.3984375" style="37" customWidth="1"/>
    <col min="8527" max="8527" width="8.5" style="37" customWidth="1"/>
    <col min="8528" max="8528" width="8" style="37" customWidth="1"/>
    <col min="8529" max="8529" width="7.8984375" style="37" customWidth="1"/>
    <col min="8530" max="8530" width="8" style="37" customWidth="1"/>
    <col min="8531" max="8531" width="8.5" style="37" customWidth="1"/>
    <col min="8532" max="8534" width="8.09765625" style="37" customWidth="1"/>
    <col min="8535" max="8535" width="8" style="37" customWidth="1"/>
    <col min="8536" max="8539" width="8.69921875" style="37" customWidth="1"/>
    <col min="8540" max="8540" width="7.59765625" style="37" customWidth="1"/>
    <col min="8541" max="8542" width="8.69921875" style="37" customWidth="1"/>
    <col min="8543" max="8543" width="7.69921875" style="37" customWidth="1"/>
    <col min="8544" max="8546" width="8" style="37" customWidth="1"/>
    <col min="8547" max="8547" width="7.8984375" style="37" customWidth="1"/>
    <col min="8548" max="8549" width="8.69921875" style="37" customWidth="1"/>
    <col min="8550" max="8550" width="8.3984375" style="37" customWidth="1"/>
    <col min="8551" max="8551" width="8" style="37" customWidth="1"/>
    <col min="8552" max="8552" width="7.8984375" style="37" customWidth="1"/>
    <col min="8553" max="8555" width="8.19921875" style="37" customWidth="1"/>
    <col min="8556" max="8558" width="8.09765625" style="37" customWidth="1"/>
    <col min="8559" max="8559" width="7.8984375" style="37" customWidth="1"/>
    <col min="8560" max="8560" width="8.8984375" style="37" customWidth="1"/>
    <col min="8561" max="8561" width="8.3984375" style="37" customWidth="1"/>
    <col min="8562" max="8562" width="8.19921875" style="37" customWidth="1"/>
    <col min="8563" max="8563" width="8.8984375" style="37" customWidth="1"/>
    <col min="8564" max="8564" width="8.09765625" style="37" customWidth="1"/>
    <col min="8565" max="8565" width="8.19921875" style="37" customWidth="1"/>
    <col min="8566" max="8566" width="8.8984375" style="37" customWidth="1"/>
    <col min="8567" max="8567" width="8" style="37" customWidth="1"/>
    <col min="8568" max="8570" width="7.8984375" style="37" customWidth="1"/>
    <col min="8571" max="8571" width="7.69921875" style="37" customWidth="1"/>
    <col min="8572" max="8575" width="8.8984375" style="37" customWidth="1"/>
    <col min="8576" max="8576" width="8.69921875" style="37" customWidth="1"/>
    <col min="8577" max="8577" width="8.59765625" style="37" customWidth="1"/>
    <col min="8578" max="8579" width="8.19921875" style="37" customWidth="1"/>
    <col min="8580" max="8580" width="7.59765625" style="37" customWidth="1"/>
    <col min="8581" max="8581" width="8" style="37" customWidth="1"/>
    <col min="8582" max="8582" width="7.09765625" style="37" customWidth="1"/>
    <col min="8583" max="8583" width="7.59765625" style="37" customWidth="1"/>
    <col min="8584" max="8584" width="8.8984375" style="37" customWidth="1"/>
    <col min="8585" max="8585" width="8.09765625" style="37" customWidth="1"/>
    <col min="8586" max="8590" width="8.8984375" style="37" customWidth="1"/>
    <col min="8591" max="8591" width="8" style="37" customWidth="1"/>
    <col min="8592" max="8592" width="7.69921875" style="37" customWidth="1"/>
    <col min="8593" max="8593" width="7.8984375" style="37" customWidth="1"/>
    <col min="8594" max="8594" width="7.3984375" style="37" customWidth="1"/>
    <col min="8595" max="8595" width="7.8984375" style="37" customWidth="1"/>
    <col min="8596" max="8602" width="8.8984375" style="37" customWidth="1"/>
    <col min="8603" max="8603" width="7.5" style="37" customWidth="1"/>
    <col min="8604" max="8604" width="7.19921875" style="37" customWidth="1"/>
    <col min="8605" max="8605" width="8.3984375" style="37" customWidth="1"/>
    <col min="8606" max="8606" width="7.19921875" style="37" customWidth="1"/>
    <col min="8607" max="8607" width="7.59765625" style="37" customWidth="1"/>
    <col min="8608" max="8705" width="8.69921875" style="37"/>
    <col min="8706" max="8706" width="4.5" style="37" bestFit="1" customWidth="1"/>
    <col min="8707" max="8707" width="69.09765625" style="37" customWidth="1"/>
    <col min="8708" max="8708" width="9.19921875" style="37" customWidth="1"/>
    <col min="8709" max="8709" width="8.59765625" style="37" customWidth="1"/>
    <col min="8710" max="8710" width="9.3984375" style="37" customWidth="1"/>
    <col min="8711" max="8711" width="10.19921875" style="37" customWidth="1"/>
    <col min="8712" max="8712" width="10.59765625" style="37" customWidth="1"/>
    <col min="8713" max="8713" width="10" style="37" customWidth="1"/>
    <col min="8714" max="8715" width="8.5" style="37" customWidth="1"/>
    <col min="8716" max="8716" width="7.5" style="37" customWidth="1"/>
    <col min="8717" max="8717" width="7.09765625" style="37" customWidth="1"/>
    <col min="8718" max="8718" width="8.09765625" style="37" customWidth="1"/>
    <col min="8719" max="8720" width="7.5" style="37" customWidth="1"/>
    <col min="8721" max="8721" width="8.59765625" style="37" customWidth="1"/>
    <col min="8722" max="8724" width="7.5" style="37" customWidth="1"/>
    <col min="8725" max="8725" width="8.3984375" style="37" customWidth="1"/>
    <col min="8726" max="8726" width="7.5" style="37" customWidth="1"/>
    <col min="8727" max="8727" width="8.19921875" style="37" customWidth="1"/>
    <col min="8728" max="8730" width="7.5" style="37" customWidth="1"/>
    <col min="8731" max="8731" width="8.19921875" style="37" customWidth="1"/>
    <col min="8732" max="8732" width="8.09765625" style="37" customWidth="1"/>
    <col min="8733" max="8733" width="8.19921875" style="37" customWidth="1"/>
    <col min="8734" max="8734" width="8.69921875" style="37" customWidth="1"/>
    <col min="8735" max="8735" width="7.09765625" style="37" customWidth="1"/>
    <col min="8736" max="8736" width="9.5" style="37" customWidth="1"/>
    <col min="8737" max="8737" width="8.59765625" style="37" customWidth="1"/>
    <col min="8738" max="8738" width="8.8984375" style="37" customWidth="1"/>
    <col min="8739" max="8739" width="8.09765625" style="37" customWidth="1"/>
    <col min="8740" max="8742" width="7.59765625" style="37" customWidth="1"/>
    <col min="8743" max="8743" width="6.5" style="37" customWidth="1"/>
    <col min="8744" max="8752" width="8.5" style="37" customWidth="1"/>
    <col min="8753" max="8753" width="7.5" style="37" customWidth="1"/>
    <col min="8754" max="8754" width="7.19921875" style="37" customWidth="1"/>
    <col min="8755" max="8755" width="8.5" style="37" customWidth="1"/>
    <col min="8756" max="8756" width="9.3984375" style="37" customWidth="1"/>
    <col min="8757" max="8759" width="8.5" style="37" customWidth="1"/>
    <col min="8760" max="8760" width="9.19921875" style="37" customWidth="1"/>
    <col min="8761" max="8763" width="8.5" style="37" customWidth="1"/>
    <col min="8764" max="8764" width="7.8984375" style="37" customWidth="1"/>
    <col min="8765" max="8765" width="8.5" style="37" customWidth="1"/>
    <col min="8766" max="8766" width="7.3984375" style="37" customWidth="1"/>
    <col min="8767" max="8767" width="7.59765625" style="37" customWidth="1"/>
    <col min="8768" max="8768" width="9.8984375" style="37" customWidth="1"/>
    <col min="8769" max="8769" width="8.19921875" style="37" customWidth="1"/>
    <col min="8770" max="8772" width="8.8984375" style="37" customWidth="1"/>
    <col min="8773" max="8773" width="8.69921875" style="37" customWidth="1"/>
    <col min="8774" max="8774" width="8" style="37" customWidth="1"/>
    <col min="8775" max="8775" width="8.19921875" style="37" customWidth="1"/>
    <col min="8776" max="8776" width="7.3984375" style="37" customWidth="1"/>
    <col min="8777" max="8777" width="8.8984375" style="37" customWidth="1"/>
    <col min="8778" max="8778" width="7.3984375" style="37" customWidth="1"/>
    <col min="8779" max="8779" width="6.59765625" style="37" customWidth="1"/>
    <col min="8780" max="8780" width="9.5" style="37" customWidth="1"/>
    <col min="8781" max="8781" width="8" style="37" customWidth="1"/>
    <col min="8782" max="8782" width="8.3984375" style="37" customWidth="1"/>
    <col min="8783" max="8783" width="8.5" style="37" customWidth="1"/>
    <col min="8784" max="8784" width="8" style="37" customWidth="1"/>
    <col min="8785" max="8785" width="7.8984375" style="37" customWidth="1"/>
    <col min="8786" max="8786" width="8" style="37" customWidth="1"/>
    <col min="8787" max="8787" width="8.5" style="37" customWidth="1"/>
    <col min="8788" max="8790" width="8.09765625" style="37" customWidth="1"/>
    <col min="8791" max="8791" width="8" style="37" customWidth="1"/>
    <col min="8792" max="8795" width="8.69921875" style="37" customWidth="1"/>
    <col min="8796" max="8796" width="7.59765625" style="37" customWidth="1"/>
    <col min="8797" max="8798" width="8.69921875" style="37" customWidth="1"/>
    <col min="8799" max="8799" width="7.69921875" style="37" customWidth="1"/>
    <col min="8800" max="8802" width="8" style="37" customWidth="1"/>
    <col min="8803" max="8803" width="7.8984375" style="37" customWidth="1"/>
    <col min="8804" max="8805" width="8.69921875" style="37" customWidth="1"/>
    <col min="8806" max="8806" width="8.3984375" style="37" customWidth="1"/>
    <col min="8807" max="8807" width="8" style="37" customWidth="1"/>
    <col min="8808" max="8808" width="7.8984375" style="37" customWidth="1"/>
    <col min="8809" max="8811" width="8.19921875" style="37" customWidth="1"/>
    <col min="8812" max="8814" width="8.09765625" style="37" customWidth="1"/>
    <col min="8815" max="8815" width="7.8984375" style="37" customWidth="1"/>
    <col min="8816" max="8816" width="8.8984375" style="37" customWidth="1"/>
    <col min="8817" max="8817" width="8.3984375" style="37" customWidth="1"/>
    <col min="8818" max="8818" width="8.19921875" style="37" customWidth="1"/>
    <col min="8819" max="8819" width="8.8984375" style="37" customWidth="1"/>
    <col min="8820" max="8820" width="8.09765625" style="37" customWidth="1"/>
    <col min="8821" max="8821" width="8.19921875" style="37" customWidth="1"/>
    <col min="8822" max="8822" width="8.8984375" style="37" customWidth="1"/>
    <col min="8823" max="8823" width="8" style="37" customWidth="1"/>
    <col min="8824" max="8826" width="7.8984375" style="37" customWidth="1"/>
    <col min="8827" max="8827" width="7.69921875" style="37" customWidth="1"/>
    <col min="8828" max="8831" width="8.8984375" style="37" customWidth="1"/>
    <col min="8832" max="8832" width="8.69921875" style="37" customWidth="1"/>
    <col min="8833" max="8833" width="8.59765625" style="37" customWidth="1"/>
    <col min="8834" max="8835" width="8.19921875" style="37" customWidth="1"/>
    <col min="8836" max="8836" width="7.59765625" style="37" customWidth="1"/>
    <col min="8837" max="8837" width="8" style="37" customWidth="1"/>
    <col min="8838" max="8838" width="7.09765625" style="37" customWidth="1"/>
    <col min="8839" max="8839" width="7.59765625" style="37" customWidth="1"/>
    <col min="8840" max="8840" width="8.8984375" style="37" customWidth="1"/>
    <col min="8841" max="8841" width="8.09765625" style="37" customWidth="1"/>
    <col min="8842" max="8846" width="8.8984375" style="37" customWidth="1"/>
    <col min="8847" max="8847" width="8" style="37" customWidth="1"/>
    <col min="8848" max="8848" width="7.69921875" style="37" customWidth="1"/>
    <col min="8849" max="8849" width="7.8984375" style="37" customWidth="1"/>
    <col min="8850" max="8850" width="7.3984375" style="37" customWidth="1"/>
    <col min="8851" max="8851" width="7.8984375" style="37" customWidth="1"/>
    <col min="8852" max="8858" width="8.8984375" style="37" customWidth="1"/>
    <col min="8859" max="8859" width="7.5" style="37" customWidth="1"/>
    <col min="8860" max="8860" width="7.19921875" style="37" customWidth="1"/>
    <col min="8861" max="8861" width="8.3984375" style="37" customWidth="1"/>
    <col min="8862" max="8862" width="7.19921875" style="37" customWidth="1"/>
    <col min="8863" max="8863" width="7.59765625" style="37" customWidth="1"/>
    <col min="8864" max="8961" width="8.69921875" style="37"/>
    <col min="8962" max="8962" width="4.5" style="37" bestFit="1" customWidth="1"/>
    <col min="8963" max="8963" width="69.09765625" style="37" customWidth="1"/>
    <col min="8964" max="8964" width="9.19921875" style="37" customWidth="1"/>
    <col min="8965" max="8965" width="8.59765625" style="37" customWidth="1"/>
    <col min="8966" max="8966" width="9.3984375" style="37" customWidth="1"/>
    <col min="8967" max="8967" width="10.19921875" style="37" customWidth="1"/>
    <col min="8968" max="8968" width="10.59765625" style="37" customWidth="1"/>
    <col min="8969" max="8969" width="10" style="37" customWidth="1"/>
    <col min="8970" max="8971" width="8.5" style="37" customWidth="1"/>
    <col min="8972" max="8972" width="7.5" style="37" customWidth="1"/>
    <col min="8973" max="8973" width="7.09765625" style="37" customWidth="1"/>
    <col min="8974" max="8974" width="8.09765625" style="37" customWidth="1"/>
    <col min="8975" max="8976" width="7.5" style="37" customWidth="1"/>
    <col min="8977" max="8977" width="8.59765625" style="37" customWidth="1"/>
    <col min="8978" max="8980" width="7.5" style="37" customWidth="1"/>
    <col min="8981" max="8981" width="8.3984375" style="37" customWidth="1"/>
    <col min="8982" max="8982" width="7.5" style="37" customWidth="1"/>
    <col min="8983" max="8983" width="8.19921875" style="37" customWidth="1"/>
    <col min="8984" max="8986" width="7.5" style="37" customWidth="1"/>
    <col min="8987" max="8987" width="8.19921875" style="37" customWidth="1"/>
    <col min="8988" max="8988" width="8.09765625" style="37" customWidth="1"/>
    <col min="8989" max="8989" width="8.19921875" style="37" customWidth="1"/>
    <col min="8990" max="8990" width="8.69921875" style="37" customWidth="1"/>
    <col min="8991" max="8991" width="7.09765625" style="37" customWidth="1"/>
    <col min="8992" max="8992" width="9.5" style="37" customWidth="1"/>
    <col min="8993" max="8993" width="8.59765625" style="37" customWidth="1"/>
    <col min="8994" max="8994" width="8.8984375" style="37" customWidth="1"/>
    <col min="8995" max="8995" width="8.09765625" style="37" customWidth="1"/>
    <col min="8996" max="8998" width="7.59765625" style="37" customWidth="1"/>
    <col min="8999" max="8999" width="6.5" style="37" customWidth="1"/>
    <col min="9000" max="9008" width="8.5" style="37" customWidth="1"/>
    <col min="9009" max="9009" width="7.5" style="37" customWidth="1"/>
    <col min="9010" max="9010" width="7.19921875" style="37" customWidth="1"/>
    <col min="9011" max="9011" width="8.5" style="37" customWidth="1"/>
    <col min="9012" max="9012" width="9.3984375" style="37" customWidth="1"/>
    <col min="9013" max="9015" width="8.5" style="37" customWidth="1"/>
    <col min="9016" max="9016" width="9.19921875" style="37" customWidth="1"/>
    <col min="9017" max="9019" width="8.5" style="37" customWidth="1"/>
    <col min="9020" max="9020" width="7.8984375" style="37" customWidth="1"/>
    <col min="9021" max="9021" width="8.5" style="37" customWidth="1"/>
    <col min="9022" max="9022" width="7.3984375" style="37" customWidth="1"/>
    <col min="9023" max="9023" width="7.59765625" style="37" customWidth="1"/>
    <col min="9024" max="9024" width="9.8984375" style="37" customWidth="1"/>
    <col min="9025" max="9025" width="8.19921875" style="37" customWidth="1"/>
    <col min="9026" max="9028" width="8.8984375" style="37" customWidth="1"/>
    <col min="9029" max="9029" width="8.69921875" style="37" customWidth="1"/>
    <col min="9030" max="9030" width="8" style="37" customWidth="1"/>
    <col min="9031" max="9031" width="8.19921875" style="37" customWidth="1"/>
    <col min="9032" max="9032" width="7.3984375" style="37" customWidth="1"/>
    <col min="9033" max="9033" width="8.8984375" style="37" customWidth="1"/>
    <col min="9034" max="9034" width="7.3984375" style="37" customWidth="1"/>
    <col min="9035" max="9035" width="6.59765625" style="37" customWidth="1"/>
    <col min="9036" max="9036" width="9.5" style="37" customWidth="1"/>
    <col min="9037" max="9037" width="8" style="37" customWidth="1"/>
    <col min="9038" max="9038" width="8.3984375" style="37" customWidth="1"/>
    <col min="9039" max="9039" width="8.5" style="37" customWidth="1"/>
    <col min="9040" max="9040" width="8" style="37" customWidth="1"/>
    <col min="9041" max="9041" width="7.8984375" style="37" customWidth="1"/>
    <col min="9042" max="9042" width="8" style="37" customWidth="1"/>
    <col min="9043" max="9043" width="8.5" style="37" customWidth="1"/>
    <col min="9044" max="9046" width="8.09765625" style="37" customWidth="1"/>
    <col min="9047" max="9047" width="8" style="37" customWidth="1"/>
    <col min="9048" max="9051" width="8.69921875" style="37" customWidth="1"/>
    <col min="9052" max="9052" width="7.59765625" style="37" customWidth="1"/>
    <col min="9053" max="9054" width="8.69921875" style="37" customWidth="1"/>
    <col min="9055" max="9055" width="7.69921875" style="37" customWidth="1"/>
    <col min="9056" max="9058" width="8" style="37" customWidth="1"/>
    <col min="9059" max="9059" width="7.8984375" style="37" customWidth="1"/>
    <col min="9060" max="9061" width="8.69921875" style="37" customWidth="1"/>
    <col min="9062" max="9062" width="8.3984375" style="37" customWidth="1"/>
    <col min="9063" max="9063" width="8" style="37" customWidth="1"/>
    <col min="9064" max="9064" width="7.8984375" style="37" customWidth="1"/>
    <col min="9065" max="9067" width="8.19921875" style="37" customWidth="1"/>
    <col min="9068" max="9070" width="8.09765625" style="37" customWidth="1"/>
    <col min="9071" max="9071" width="7.8984375" style="37" customWidth="1"/>
    <col min="9072" max="9072" width="8.8984375" style="37" customWidth="1"/>
    <col min="9073" max="9073" width="8.3984375" style="37" customWidth="1"/>
    <col min="9074" max="9074" width="8.19921875" style="37" customWidth="1"/>
    <col min="9075" max="9075" width="8.8984375" style="37" customWidth="1"/>
    <col min="9076" max="9076" width="8.09765625" style="37" customWidth="1"/>
    <col min="9077" max="9077" width="8.19921875" style="37" customWidth="1"/>
    <col min="9078" max="9078" width="8.8984375" style="37" customWidth="1"/>
    <col min="9079" max="9079" width="8" style="37" customWidth="1"/>
    <col min="9080" max="9082" width="7.8984375" style="37" customWidth="1"/>
    <col min="9083" max="9083" width="7.69921875" style="37" customWidth="1"/>
    <col min="9084" max="9087" width="8.8984375" style="37" customWidth="1"/>
    <col min="9088" max="9088" width="8.69921875" style="37" customWidth="1"/>
    <col min="9089" max="9089" width="8.59765625" style="37" customWidth="1"/>
    <col min="9090" max="9091" width="8.19921875" style="37" customWidth="1"/>
    <col min="9092" max="9092" width="7.59765625" style="37" customWidth="1"/>
    <col min="9093" max="9093" width="8" style="37" customWidth="1"/>
    <col min="9094" max="9094" width="7.09765625" style="37" customWidth="1"/>
    <col min="9095" max="9095" width="7.59765625" style="37" customWidth="1"/>
    <col min="9096" max="9096" width="8.8984375" style="37" customWidth="1"/>
    <col min="9097" max="9097" width="8.09765625" style="37" customWidth="1"/>
    <col min="9098" max="9102" width="8.8984375" style="37" customWidth="1"/>
    <col min="9103" max="9103" width="8" style="37" customWidth="1"/>
    <col min="9104" max="9104" width="7.69921875" style="37" customWidth="1"/>
    <col min="9105" max="9105" width="7.8984375" style="37" customWidth="1"/>
    <col min="9106" max="9106" width="7.3984375" style="37" customWidth="1"/>
    <col min="9107" max="9107" width="7.8984375" style="37" customWidth="1"/>
    <col min="9108" max="9114" width="8.8984375" style="37" customWidth="1"/>
    <col min="9115" max="9115" width="7.5" style="37" customWidth="1"/>
    <col min="9116" max="9116" width="7.19921875" style="37" customWidth="1"/>
    <col min="9117" max="9117" width="8.3984375" style="37" customWidth="1"/>
    <col min="9118" max="9118" width="7.19921875" style="37" customWidth="1"/>
    <col min="9119" max="9119" width="7.59765625" style="37" customWidth="1"/>
    <col min="9120" max="9217" width="8.69921875" style="37"/>
    <col min="9218" max="9218" width="4.5" style="37" bestFit="1" customWidth="1"/>
    <col min="9219" max="9219" width="69.09765625" style="37" customWidth="1"/>
    <col min="9220" max="9220" width="9.19921875" style="37" customWidth="1"/>
    <col min="9221" max="9221" width="8.59765625" style="37" customWidth="1"/>
    <col min="9222" max="9222" width="9.3984375" style="37" customWidth="1"/>
    <col min="9223" max="9223" width="10.19921875" style="37" customWidth="1"/>
    <col min="9224" max="9224" width="10.59765625" style="37" customWidth="1"/>
    <col min="9225" max="9225" width="10" style="37" customWidth="1"/>
    <col min="9226" max="9227" width="8.5" style="37" customWidth="1"/>
    <col min="9228" max="9228" width="7.5" style="37" customWidth="1"/>
    <col min="9229" max="9229" width="7.09765625" style="37" customWidth="1"/>
    <col min="9230" max="9230" width="8.09765625" style="37" customWidth="1"/>
    <col min="9231" max="9232" width="7.5" style="37" customWidth="1"/>
    <col min="9233" max="9233" width="8.59765625" style="37" customWidth="1"/>
    <col min="9234" max="9236" width="7.5" style="37" customWidth="1"/>
    <col min="9237" max="9237" width="8.3984375" style="37" customWidth="1"/>
    <col min="9238" max="9238" width="7.5" style="37" customWidth="1"/>
    <col min="9239" max="9239" width="8.19921875" style="37" customWidth="1"/>
    <col min="9240" max="9242" width="7.5" style="37" customWidth="1"/>
    <col min="9243" max="9243" width="8.19921875" style="37" customWidth="1"/>
    <col min="9244" max="9244" width="8.09765625" style="37" customWidth="1"/>
    <col min="9245" max="9245" width="8.19921875" style="37" customWidth="1"/>
    <col min="9246" max="9246" width="8.69921875" style="37" customWidth="1"/>
    <col min="9247" max="9247" width="7.09765625" style="37" customWidth="1"/>
    <col min="9248" max="9248" width="9.5" style="37" customWidth="1"/>
    <col min="9249" max="9249" width="8.59765625" style="37" customWidth="1"/>
    <col min="9250" max="9250" width="8.8984375" style="37" customWidth="1"/>
    <col min="9251" max="9251" width="8.09765625" style="37" customWidth="1"/>
    <col min="9252" max="9254" width="7.59765625" style="37" customWidth="1"/>
    <col min="9255" max="9255" width="6.5" style="37" customWidth="1"/>
    <col min="9256" max="9264" width="8.5" style="37" customWidth="1"/>
    <col min="9265" max="9265" width="7.5" style="37" customWidth="1"/>
    <col min="9266" max="9266" width="7.19921875" style="37" customWidth="1"/>
    <col min="9267" max="9267" width="8.5" style="37" customWidth="1"/>
    <col min="9268" max="9268" width="9.3984375" style="37" customWidth="1"/>
    <col min="9269" max="9271" width="8.5" style="37" customWidth="1"/>
    <col min="9272" max="9272" width="9.19921875" style="37" customWidth="1"/>
    <col min="9273" max="9275" width="8.5" style="37" customWidth="1"/>
    <col min="9276" max="9276" width="7.8984375" style="37" customWidth="1"/>
    <col min="9277" max="9277" width="8.5" style="37" customWidth="1"/>
    <col min="9278" max="9278" width="7.3984375" style="37" customWidth="1"/>
    <col min="9279" max="9279" width="7.59765625" style="37" customWidth="1"/>
    <col min="9280" max="9280" width="9.8984375" style="37" customWidth="1"/>
    <col min="9281" max="9281" width="8.19921875" style="37" customWidth="1"/>
    <col min="9282" max="9284" width="8.8984375" style="37" customWidth="1"/>
    <col min="9285" max="9285" width="8.69921875" style="37" customWidth="1"/>
    <col min="9286" max="9286" width="8" style="37" customWidth="1"/>
    <col min="9287" max="9287" width="8.19921875" style="37" customWidth="1"/>
    <col min="9288" max="9288" width="7.3984375" style="37" customWidth="1"/>
    <col min="9289" max="9289" width="8.8984375" style="37" customWidth="1"/>
    <col min="9290" max="9290" width="7.3984375" style="37" customWidth="1"/>
    <col min="9291" max="9291" width="6.59765625" style="37" customWidth="1"/>
    <col min="9292" max="9292" width="9.5" style="37" customWidth="1"/>
    <col min="9293" max="9293" width="8" style="37" customWidth="1"/>
    <col min="9294" max="9294" width="8.3984375" style="37" customWidth="1"/>
    <col min="9295" max="9295" width="8.5" style="37" customWidth="1"/>
    <col min="9296" max="9296" width="8" style="37" customWidth="1"/>
    <col min="9297" max="9297" width="7.8984375" style="37" customWidth="1"/>
    <col min="9298" max="9298" width="8" style="37" customWidth="1"/>
    <col min="9299" max="9299" width="8.5" style="37" customWidth="1"/>
    <col min="9300" max="9302" width="8.09765625" style="37" customWidth="1"/>
    <col min="9303" max="9303" width="8" style="37" customWidth="1"/>
    <col min="9304" max="9307" width="8.69921875" style="37" customWidth="1"/>
    <col min="9308" max="9308" width="7.59765625" style="37" customWidth="1"/>
    <col min="9309" max="9310" width="8.69921875" style="37" customWidth="1"/>
    <col min="9311" max="9311" width="7.69921875" style="37" customWidth="1"/>
    <col min="9312" max="9314" width="8" style="37" customWidth="1"/>
    <col min="9315" max="9315" width="7.8984375" style="37" customWidth="1"/>
    <col min="9316" max="9317" width="8.69921875" style="37" customWidth="1"/>
    <col min="9318" max="9318" width="8.3984375" style="37" customWidth="1"/>
    <col min="9319" max="9319" width="8" style="37" customWidth="1"/>
    <col min="9320" max="9320" width="7.8984375" style="37" customWidth="1"/>
    <col min="9321" max="9323" width="8.19921875" style="37" customWidth="1"/>
    <col min="9324" max="9326" width="8.09765625" style="37" customWidth="1"/>
    <col min="9327" max="9327" width="7.8984375" style="37" customWidth="1"/>
    <col min="9328" max="9328" width="8.8984375" style="37" customWidth="1"/>
    <col min="9329" max="9329" width="8.3984375" style="37" customWidth="1"/>
    <col min="9330" max="9330" width="8.19921875" style="37" customWidth="1"/>
    <col min="9331" max="9331" width="8.8984375" style="37" customWidth="1"/>
    <col min="9332" max="9332" width="8.09765625" style="37" customWidth="1"/>
    <col min="9333" max="9333" width="8.19921875" style="37" customWidth="1"/>
    <col min="9334" max="9334" width="8.8984375" style="37" customWidth="1"/>
    <col min="9335" max="9335" width="8" style="37" customWidth="1"/>
    <col min="9336" max="9338" width="7.8984375" style="37" customWidth="1"/>
    <col min="9339" max="9339" width="7.69921875" style="37" customWidth="1"/>
    <col min="9340" max="9343" width="8.8984375" style="37" customWidth="1"/>
    <col min="9344" max="9344" width="8.69921875" style="37" customWidth="1"/>
    <col min="9345" max="9345" width="8.59765625" style="37" customWidth="1"/>
    <col min="9346" max="9347" width="8.19921875" style="37" customWidth="1"/>
    <col min="9348" max="9348" width="7.59765625" style="37" customWidth="1"/>
    <col min="9349" max="9349" width="8" style="37" customWidth="1"/>
    <col min="9350" max="9350" width="7.09765625" style="37" customWidth="1"/>
    <col min="9351" max="9351" width="7.59765625" style="37" customWidth="1"/>
    <col min="9352" max="9352" width="8.8984375" style="37" customWidth="1"/>
    <col min="9353" max="9353" width="8.09765625" style="37" customWidth="1"/>
    <col min="9354" max="9358" width="8.8984375" style="37" customWidth="1"/>
    <col min="9359" max="9359" width="8" style="37" customWidth="1"/>
    <col min="9360" max="9360" width="7.69921875" style="37" customWidth="1"/>
    <col min="9361" max="9361" width="7.8984375" style="37" customWidth="1"/>
    <col min="9362" max="9362" width="7.3984375" style="37" customWidth="1"/>
    <col min="9363" max="9363" width="7.8984375" style="37" customWidth="1"/>
    <col min="9364" max="9370" width="8.8984375" style="37" customWidth="1"/>
    <col min="9371" max="9371" width="7.5" style="37" customWidth="1"/>
    <col min="9372" max="9372" width="7.19921875" style="37" customWidth="1"/>
    <col min="9373" max="9373" width="8.3984375" style="37" customWidth="1"/>
    <col min="9374" max="9374" width="7.19921875" style="37" customWidth="1"/>
    <col min="9375" max="9375" width="7.59765625" style="37" customWidth="1"/>
    <col min="9376" max="9473" width="8.69921875" style="37"/>
    <col min="9474" max="9474" width="4.5" style="37" bestFit="1" customWidth="1"/>
    <col min="9475" max="9475" width="69.09765625" style="37" customWidth="1"/>
    <col min="9476" max="9476" width="9.19921875" style="37" customWidth="1"/>
    <col min="9477" max="9477" width="8.59765625" style="37" customWidth="1"/>
    <col min="9478" max="9478" width="9.3984375" style="37" customWidth="1"/>
    <col min="9479" max="9479" width="10.19921875" style="37" customWidth="1"/>
    <col min="9480" max="9480" width="10.59765625" style="37" customWidth="1"/>
    <col min="9481" max="9481" width="10" style="37" customWidth="1"/>
    <col min="9482" max="9483" width="8.5" style="37" customWidth="1"/>
    <col min="9484" max="9484" width="7.5" style="37" customWidth="1"/>
    <col min="9485" max="9485" width="7.09765625" style="37" customWidth="1"/>
    <col min="9486" max="9486" width="8.09765625" style="37" customWidth="1"/>
    <col min="9487" max="9488" width="7.5" style="37" customWidth="1"/>
    <col min="9489" max="9489" width="8.59765625" style="37" customWidth="1"/>
    <col min="9490" max="9492" width="7.5" style="37" customWidth="1"/>
    <col min="9493" max="9493" width="8.3984375" style="37" customWidth="1"/>
    <col min="9494" max="9494" width="7.5" style="37" customWidth="1"/>
    <col min="9495" max="9495" width="8.19921875" style="37" customWidth="1"/>
    <col min="9496" max="9498" width="7.5" style="37" customWidth="1"/>
    <col min="9499" max="9499" width="8.19921875" style="37" customWidth="1"/>
    <col min="9500" max="9500" width="8.09765625" style="37" customWidth="1"/>
    <col min="9501" max="9501" width="8.19921875" style="37" customWidth="1"/>
    <col min="9502" max="9502" width="8.69921875" style="37" customWidth="1"/>
    <col min="9503" max="9503" width="7.09765625" style="37" customWidth="1"/>
    <col min="9504" max="9504" width="9.5" style="37" customWidth="1"/>
    <col min="9505" max="9505" width="8.59765625" style="37" customWidth="1"/>
    <col min="9506" max="9506" width="8.8984375" style="37" customWidth="1"/>
    <col min="9507" max="9507" width="8.09765625" style="37" customWidth="1"/>
    <col min="9508" max="9510" width="7.59765625" style="37" customWidth="1"/>
    <col min="9511" max="9511" width="6.5" style="37" customWidth="1"/>
    <col min="9512" max="9520" width="8.5" style="37" customWidth="1"/>
    <col min="9521" max="9521" width="7.5" style="37" customWidth="1"/>
    <col min="9522" max="9522" width="7.19921875" style="37" customWidth="1"/>
    <col min="9523" max="9523" width="8.5" style="37" customWidth="1"/>
    <col min="9524" max="9524" width="9.3984375" style="37" customWidth="1"/>
    <col min="9525" max="9527" width="8.5" style="37" customWidth="1"/>
    <col min="9528" max="9528" width="9.19921875" style="37" customWidth="1"/>
    <col min="9529" max="9531" width="8.5" style="37" customWidth="1"/>
    <col min="9532" max="9532" width="7.8984375" style="37" customWidth="1"/>
    <col min="9533" max="9533" width="8.5" style="37" customWidth="1"/>
    <col min="9534" max="9534" width="7.3984375" style="37" customWidth="1"/>
    <col min="9535" max="9535" width="7.59765625" style="37" customWidth="1"/>
    <col min="9536" max="9536" width="9.8984375" style="37" customWidth="1"/>
    <col min="9537" max="9537" width="8.19921875" style="37" customWidth="1"/>
    <col min="9538" max="9540" width="8.8984375" style="37" customWidth="1"/>
    <col min="9541" max="9541" width="8.69921875" style="37" customWidth="1"/>
    <col min="9542" max="9542" width="8" style="37" customWidth="1"/>
    <col min="9543" max="9543" width="8.19921875" style="37" customWidth="1"/>
    <col min="9544" max="9544" width="7.3984375" style="37" customWidth="1"/>
    <col min="9545" max="9545" width="8.8984375" style="37" customWidth="1"/>
    <col min="9546" max="9546" width="7.3984375" style="37" customWidth="1"/>
    <col min="9547" max="9547" width="6.59765625" style="37" customWidth="1"/>
    <col min="9548" max="9548" width="9.5" style="37" customWidth="1"/>
    <col min="9549" max="9549" width="8" style="37" customWidth="1"/>
    <col min="9550" max="9550" width="8.3984375" style="37" customWidth="1"/>
    <col min="9551" max="9551" width="8.5" style="37" customWidth="1"/>
    <col min="9552" max="9552" width="8" style="37" customWidth="1"/>
    <col min="9553" max="9553" width="7.8984375" style="37" customWidth="1"/>
    <col min="9554" max="9554" width="8" style="37" customWidth="1"/>
    <col min="9555" max="9555" width="8.5" style="37" customWidth="1"/>
    <col min="9556" max="9558" width="8.09765625" style="37" customWidth="1"/>
    <col min="9559" max="9559" width="8" style="37" customWidth="1"/>
    <col min="9560" max="9563" width="8.69921875" style="37" customWidth="1"/>
    <col min="9564" max="9564" width="7.59765625" style="37" customWidth="1"/>
    <col min="9565" max="9566" width="8.69921875" style="37" customWidth="1"/>
    <col min="9567" max="9567" width="7.69921875" style="37" customWidth="1"/>
    <col min="9568" max="9570" width="8" style="37" customWidth="1"/>
    <col min="9571" max="9571" width="7.8984375" style="37" customWidth="1"/>
    <col min="9572" max="9573" width="8.69921875" style="37" customWidth="1"/>
    <col min="9574" max="9574" width="8.3984375" style="37" customWidth="1"/>
    <col min="9575" max="9575" width="8" style="37" customWidth="1"/>
    <col min="9576" max="9576" width="7.8984375" style="37" customWidth="1"/>
    <col min="9577" max="9579" width="8.19921875" style="37" customWidth="1"/>
    <col min="9580" max="9582" width="8.09765625" style="37" customWidth="1"/>
    <col min="9583" max="9583" width="7.8984375" style="37" customWidth="1"/>
    <col min="9584" max="9584" width="8.8984375" style="37" customWidth="1"/>
    <col min="9585" max="9585" width="8.3984375" style="37" customWidth="1"/>
    <col min="9586" max="9586" width="8.19921875" style="37" customWidth="1"/>
    <col min="9587" max="9587" width="8.8984375" style="37" customWidth="1"/>
    <col min="9588" max="9588" width="8.09765625" style="37" customWidth="1"/>
    <col min="9589" max="9589" width="8.19921875" style="37" customWidth="1"/>
    <col min="9590" max="9590" width="8.8984375" style="37" customWidth="1"/>
    <col min="9591" max="9591" width="8" style="37" customWidth="1"/>
    <col min="9592" max="9594" width="7.8984375" style="37" customWidth="1"/>
    <col min="9595" max="9595" width="7.69921875" style="37" customWidth="1"/>
    <col min="9596" max="9599" width="8.8984375" style="37" customWidth="1"/>
    <col min="9600" max="9600" width="8.69921875" style="37" customWidth="1"/>
    <col min="9601" max="9601" width="8.59765625" style="37" customWidth="1"/>
    <col min="9602" max="9603" width="8.19921875" style="37" customWidth="1"/>
    <col min="9604" max="9604" width="7.59765625" style="37" customWidth="1"/>
    <col min="9605" max="9605" width="8" style="37" customWidth="1"/>
    <col min="9606" max="9606" width="7.09765625" style="37" customWidth="1"/>
    <col min="9607" max="9607" width="7.59765625" style="37" customWidth="1"/>
    <col min="9608" max="9608" width="8.8984375" style="37" customWidth="1"/>
    <col min="9609" max="9609" width="8.09765625" style="37" customWidth="1"/>
    <col min="9610" max="9614" width="8.8984375" style="37" customWidth="1"/>
    <col min="9615" max="9615" width="8" style="37" customWidth="1"/>
    <col min="9616" max="9616" width="7.69921875" style="37" customWidth="1"/>
    <col min="9617" max="9617" width="7.8984375" style="37" customWidth="1"/>
    <col min="9618" max="9618" width="7.3984375" style="37" customWidth="1"/>
    <col min="9619" max="9619" width="7.8984375" style="37" customWidth="1"/>
    <col min="9620" max="9626" width="8.8984375" style="37" customWidth="1"/>
    <col min="9627" max="9627" width="7.5" style="37" customWidth="1"/>
    <col min="9628" max="9628" width="7.19921875" style="37" customWidth="1"/>
    <col min="9629" max="9629" width="8.3984375" style="37" customWidth="1"/>
    <col min="9630" max="9630" width="7.19921875" style="37" customWidth="1"/>
    <col min="9631" max="9631" width="7.59765625" style="37" customWidth="1"/>
    <col min="9632" max="9729" width="8.69921875" style="37"/>
    <col min="9730" max="9730" width="4.5" style="37" bestFit="1" customWidth="1"/>
    <col min="9731" max="9731" width="69.09765625" style="37" customWidth="1"/>
    <col min="9732" max="9732" width="9.19921875" style="37" customWidth="1"/>
    <col min="9733" max="9733" width="8.59765625" style="37" customWidth="1"/>
    <col min="9734" max="9734" width="9.3984375" style="37" customWidth="1"/>
    <col min="9735" max="9735" width="10.19921875" style="37" customWidth="1"/>
    <col min="9736" max="9736" width="10.59765625" style="37" customWidth="1"/>
    <col min="9737" max="9737" width="10" style="37" customWidth="1"/>
    <col min="9738" max="9739" width="8.5" style="37" customWidth="1"/>
    <col min="9740" max="9740" width="7.5" style="37" customWidth="1"/>
    <col min="9741" max="9741" width="7.09765625" style="37" customWidth="1"/>
    <col min="9742" max="9742" width="8.09765625" style="37" customWidth="1"/>
    <col min="9743" max="9744" width="7.5" style="37" customWidth="1"/>
    <col min="9745" max="9745" width="8.59765625" style="37" customWidth="1"/>
    <col min="9746" max="9748" width="7.5" style="37" customWidth="1"/>
    <col min="9749" max="9749" width="8.3984375" style="37" customWidth="1"/>
    <col min="9750" max="9750" width="7.5" style="37" customWidth="1"/>
    <col min="9751" max="9751" width="8.19921875" style="37" customWidth="1"/>
    <col min="9752" max="9754" width="7.5" style="37" customWidth="1"/>
    <col min="9755" max="9755" width="8.19921875" style="37" customWidth="1"/>
    <col min="9756" max="9756" width="8.09765625" style="37" customWidth="1"/>
    <col min="9757" max="9757" width="8.19921875" style="37" customWidth="1"/>
    <col min="9758" max="9758" width="8.69921875" style="37" customWidth="1"/>
    <col min="9759" max="9759" width="7.09765625" style="37" customWidth="1"/>
    <col min="9760" max="9760" width="9.5" style="37" customWidth="1"/>
    <col min="9761" max="9761" width="8.59765625" style="37" customWidth="1"/>
    <col min="9762" max="9762" width="8.8984375" style="37" customWidth="1"/>
    <col min="9763" max="9763" width="8.09765625" style="37" customWidth="1"/>
    <col min="9764" max="9766" width="7.59765625" style="37" customWidth="1"/>
    <col min="9767" max="9767" width="6.5" style="37" customWidth="1"/>
    <col min="9768" max="9776" width="8.5" style="37" customWidth="1"/>
    <col min="9777" max="9777" width="7.5" style="37" customWidth="1"/>
    <col min="9778" max="9778" width="7.19921875" style="37" customWidth="1"/>
    <col min="9779" max="9779" width="8.5" style="37" customWidth="1"/>
    <col min="9780" max="9780" width="9.3984375" style="37" customWidth="1"/>
    <col min="9781" max="9783" width="8.5" style="37" customWidth="1"/>
    <col min="9784" max="9784" width="9.19921875" style="37" customWidth="1"/>
    <col min="9785" max="9787" width="8.5" style="37" customWidth="1"/>
    <col min="9788" max="9788" width="7.8984375" style="37" customWidth="1"/>
    <col min="9789" max="9789" width="8.5" style="37" customWidth="1"/>
    <col min="9790" max="9790" width="7.3984375" style="37" customWidth="1"/>
    <col min="9791" max="9791" width="7.59765625" style="37" customWidth="1"/>
    <col min="9792" max="9792" width="9.8984375" style="37" customWidth="1"/>
    <col min="9793" max="9793" width="8.19921875" style="37" customWidth="1"/>
    <col min="9794" max="9796" width="8.8984375" style="37" customWidth="1"/>
    <col min="9797" max="9797" width="8.69921875" style="37" customWidth="1"/>
    <col min="9798" max="9798" width="8" style="37" customWidth="1"/>
    <col min="9799" max="9799" width="8.19921875" style="37" customWidth="1"/>
    <col min="9800" max="9800" width="7.3984375" style="37" customWidth="1"/>
    <col min="9801" max="9801" width="8.8984375" style="37" customWidth="1"/>
    <col min="9802" max="9802" width="7.3984375" style="37" customWidth="1"/>
    <col min="9803" max="9803" width="6.59765625" style="37" customWidth="1"/>
    <col min="9804" max="9804" width="9.5" style="37" customWidth="1"/>
    <col min="9805" max="9805" width="8" style="37" customWidth="1"/>
    <col min="9806" max="9806" width="8.3984375" style="37" customWidth="1"/>
    <col min="9807" max="9807" width="8.5" style="37" customWidth="1"/>
    <col min="9808" max="9808" width="8" style="37" customWidth="1"/>
    <col min="9809" max="9809" width="7.8984375" style="37" customWidth="1"/>
    <col min="9810" max="9810" width="8" style="37" customWidth="1"/>
    <col min="9811" max="9811" width="8.5" style="37" customWidth="1"/>
    <col min="9812" max="9814" width="8.09765625" style="37" customWidth="1"/>
    <col min="9815" max="9815" width="8" style="37" customWidth="1"/>
    <col min="9816" max="9819" width="8.69921875" style="37" customWidth="1"/>
    <col min="9820" max="9820" width="7.59765625" style="37" customWidth="1"/>
    <col min="9821" max="9822" width="8.69921875" style="37" customWidth="1"/>
    <col min="9823" max="9823" width="7.69921875" style="37" customWidth="1"/>
    <col min="9824" max="9826" width="8" style="37" customWidth="1"/>
    <col min="9827" max="9827" width="7.8984375" style="37" customWidth="1"/>
    <col min="9828" max="9829" width="8.69921875" style="37" customWidth="1"/>
    <col min="9830" max="9830" width="8.3984375" style="37" customWidth="1"/>
    <col min="9831" max="9831" width="8" style="37" customWidth="1"/>
    <col min="9832" max="9832" width="7.8984375" style="37" customWidth="1"/>
    <col min="9833" max="9835" width="8.19921875" style="37" customWidth="1"/>
    <col min="9836" max="9838" width="8.09765625" style="37" customWidth="1"/>
    <col min="9839" max="9839" width="7.8984375" style="37" customWidth="1"/>
    <col min="9840" max="9840" width="8.8984375" style="37" customWidth="1"/>
    <col min="9841" max="9841" width="8.3984375" style="37" customWidth="1"/>
    <col min="9842" max="9842" width="8.19921875" style="37" customWidth="1"/>
    <col min="9843" max="9843" width="8.8984375" style="37" customWidth="1"/>
    <col min="9844" max="9844" width="8.09765625" style="37" customWidth="1"/>
    <col min="9845" max="9845" width="8.19921875" style="37" customWidth="1"/>
    <col min="9846" max="9846" width="8.8984375" style="37" customWidth="1"/>
    <col min="9847" max="9847" width="8" style="37" customWidth="1"/>
    <col min="9848" max="9850" width="7.8984375" style="37" customWidth="1"/>
    <col min="9851" max="9851" width="7.69921875" style="37" customWidth="1"/>
    <col min="9852" max="9855" width="8.8984375" style="37" customWidth="1"/>
    <col min="9856" max="9856" width="8.69921875" style="37" customWidth="1"/>
    <col min="9857" max="9857" width="8.59765625" style="37" customWidth="1"/>
    <col min="9858" max="9859" width="8.19921875" style="37" customWidth="1"/>
    <col min="9860" max="9860" width="7.59765625" style="37" customWidth="1"/>
    <col min="9861" max="9861" width="8" style="37" customWidth="1"/>
    <col min="9862" max="9862" width="7.09765625" style="37" customWidth="1"/>
    <col min="9863" max="9863" width="7.59765625" style="37" customWidth="1"/>
    <col min="9864" max="9864" width="8.8984375" style="37" customWidth="1"/>
    <col min="9865" max="9865" width="8.09765625" style="37" customWidth="1"/>
    <col min="9866" max="9870" width="8.8984375" style="37" customWidth="1"/>
    <col min="9871" max="9871" width="8" style="37" customWidth="1"/>
    <col min="9872" max="9872" width="7.69921875" style="37" customWidth="1"/>
    <col min="9873" max="9873" width="7.8984375" style="37" customWidth="1"/>
    <col min="9874" max="9874" width="7.3984375" style="37" customWidth="1"/>
    <col min="9875" max="9875" width="7.8984375" style="37" customWidth="1"/>
    <col min="9876" max="9882" width="8.8984375" style="37" customWidth="1"/>
    <col min="9883" max="9883" width="7.5" style="37" customWidth="1"/>
    <col min="9884" max="9884" width="7.19921875" style="37" customWidth="1"/>
    <col min="9885" max="9885" width="8.3984375" style="37" customWidth="1"/>
    <col min="9886" max="9886" width="7.19921875" style="37" customWidth="1"/>
    <col min="9887" max="9887" width="7.59765625" style="37" customWidth="1"/>
    <col min="9888" max="9985" width="8.69921875" style="37"/>
    <col min="9986" max="9986" width="4.5" style="37" bestFit="1" customWidth="1"/>
    <col min="9987" max="9987" width="69.09765625" style="37" customWidth="1"/>
    <col min="9988" max="9988" width="9.19921875" style="37" customWidth="1"/>
    <col min="9989" max="9989" width="8.59765625" style="37" customWidth="1"/>
    <col min="9990" max="9990" width="9.3984375" style="37" customWidth="1"/>
    <col min="9991" max="9991" width="10.19921875" style="37" customWidth="1"/>
    <col min="9992" max="9992" width="10.59765625" style="37" customWidth="1"/>
    <col min="9993" max="9993" width="10" style="37" customWidth="1"/>
    <col min="9994" max="9995" width="8.5" style="37" customWidth="1"/>
    <col min="9996" max="9996" width="7.5" style="37" customWidth="1"/>
    <col min="9997" max="9997" width="7.09765625" style="37" customWidth="1"/>
    <col min="9998" max="9998" width="8.09765625" style="37" customWidth="1"/>
    <col min="9999" max="10000" width="7.5" style="37" customWidth="1"/>
    <col min="10001" max="10001" width="8.59765625" style="37" customWidth="1"/>
    <col min="10002" max="10004" width="7.5" style="37" customWidth="1"/>
    <col min="10005" max="10005" width="8.3984375" style="37" customWidth="1"/>
    <col min="10006" max="10006" width="7.5" style="37" customWidth="1"/>
    <col min="10007" max="10007" width="8.19921875" style="37" customWidth="1"/>
    <col min="10008" max="10010" width="7.5" style="37" customWidth="1"/>
    <col min="10011" max="10011" width="8.19921875" style="37" customWidth="1"/>
    <col min="10012" max="10012" width="8.09765625" style="37" customWidth="1"/>
    <col min="10013" max="10013" width="8.19921875" style="37" customWidth="1"/>
    <col min="10014" max="10014" width="8.69921875" style="37" customWidth="1"/>
    <col min="10015" max="10015" width="7.09765625" style="37" customWidth="1"/>
    <col min="10016" max="10016" width="9.5" style="37" customWidth="1"/>
    <col min="10017" max="10017" width="8.59765625" style="37" customWidth="1"/>
    <col min="10018" max="10018" width="8.8984375" style="37" customWidth="1"/>
    <col min="10019" max="10019" width="8.09765625" style="37" customWidth="1"/>
    <col min="10020" max="10022" width="7.59765625" style="37" customWidth="1"/>
    <col min="10023" max="10023" width="6.5" style="37" customWidth="1"/>
    <col min="10024" max="10032" width="8.5" style="37" customWidth="1"/>
    <col min="10033" max="10033" width="7.5" style="37" customWidth="1"/>
    <col min="10034" max="10034" width="7.19921875" style="37" customWidth="1"/>
    <col min="10035" max="10035" width="8.5" style="37" customWidth="1"/>
    <col min="10036" max="10036" width="9.3984375" style="37" customWidth="1"/>
    <col min="10037" max="10039" width="8.5" style="37" customWidth="1"/>
    <col min="10040" max="10040" width="9.19921875" style="37" customWidth="1"/>
    <col min="10041" max="10043" width="8.5" style="37" customWidth="1"/>
    <col min="10044" max="10044" width="7.8984375" style="37" customWidth="1"/>
    <col min="10045" max="10045" width="8.5" style="37" customWidth="1"/>
    <col min="10046" max="10046" width="7.3984375" style="37" customWidth="1"/>
    <col min="10047" max="10047" width="7.59765625" style="37" customWidth="1"/>
    <col min="10048" max="10048" width="9.8984375" style="37" customWidth="1"/>
    <col min="10049" max="10049" width="8.19921875" style="37" customWidth="1"/>
    <col min="10050" max="10052" width="8.8984375" style="37" customWidth="1"/>
    <col min="10053" max="10053" width="8.69921875" style="37" customWidth="1"/>
    <col min="10054" max="10054" width="8" style="37" customWidth="1"/>
    <col min="10055" max="10055" width="8.19921875" style="37" customWidth="1"/>
    <col min="10056" max="10056" width="7.3984375" style="37" customWidth="1"/>
    <col min="10057" max="10057" width="8.8984375" style="37" customWidth="1"/>
    <col min="10058" max="10058" width="7.3984375" style="37" customWidth="1"/>
    <col min="10059" max="10059" width="6.59765625" style="37" customWidth="1"/>
    <col min="10060" max="10060" width="9.5" style="37" customWidth="1"/>
    <col min="10061" max="10061" width="8" style="37" customWidth="1"/>
    <col min="10062" max="10062" width="8.3984375" style="37" customWidth="1"/>
    <col min="10063" max="10063" width="8.5" style="37" customWidth="1"/>
    <col min="10064" max="10064" width="8" style="37" customWidth="1"/>
    <col min="10065" max="10065" width="7.8984375" style="37" customWidth="1"/>
    <col min="10066" max="10066" width="8" style="37" customWidth="1"/>
    <col min="10067" max="10067" width="8.5" style="37" customWidth="1"/>
    <col min="10068" max="10070" width="8.09765625" style="37" customWidth="1"/>
    <col min="10071" max="10071" width="8" style="37" customWidth="1"/>
    <col min="10072" max="10075" width="8.69921875" style="37" customWidth="1"/>
    <col min="10076" max="10076" width="7.59765625" style="37" customWidth="1"/>
    <col min="10077" max="10078" width="8.69921875" style="37" customWidth="1"/>
    <col min="10079" max="10079" width="7.69921875" style="37" customWidth="1"/>
    <col min="10080" max="10082" width="8" style="37" customWidth="1"/>
    <col min="10083" max="10083" width="7.8984375" style="37" customWidth="1"/>
    <col min="10084" max="10085" width="8.69921875" style="37" customWidth="1"/>
    <col min="10086" max="10086" width="8.3984375" style="37" customWidth="1"/>
    <col min="10087" max="10087" width="8" style="37" customWidth="1"/>
    <col min="10088" max="10088" width="7.8984375" style="37" customWidth="1"/>
    <col min="10089" max="10091" width="8.19921875" style="37" customWidth="1"/>
    <col min="10092" max="10094" width="8.09765625" style="37" customWidth="1"/>
    <col min="10095" max="10095" width="7.8984375" style="37" customWidth="1"/>
    <col min="10096" max="10096" width="8.8984375" style="37" customWidth="1"/>
    <col min="10097" max="10097" width="8.3984375" style="37" customWidth="1"/>
    <col min="10098" max="10098" width="8.19921875" style="37" customWidth="1"/>
    <col min="10099" max="10099" width="8.8984375" style="37" customWidth="1"/>
    <col min="10100" max="10100" width="8.09765625" style="37" customWidth="1"/>
    <col min="10101" max="10101" width="8.19921875" style="37" customWidth="1"/>
    <col min="10102" max="10102" width="8.8984375" style="37" customWidth="1"/>
    <col min="10103" max="10103" width="8" style="37" customWidth="1"/>
    <col min="10104" max="10106" width="7.8984375" style="37" customWidth="1"/>
    <col min="10107" max="10107" width="7.69921875" style="37" customWidth="1"/>
    <col min="10108" max="10111" width="8.8984375" style="37" customWidth="1"/>
    <col min="10112" max="10112" width="8.69921875" style="37" customWidth="1"/>
    <col min="10113" max="10113" width="8.59765625" style="37" customWidth="1"/>
    <col min="10114" max="10115" width="8.19921875" style="37" customWidth="1"/>
    <col min="10116" max="10116" width="7.59765625" style="37" customWidth="1"/>
    <col min="10117" max="10117" width="8" style="37" customWidth="1"/>
    <col min="10118" max="10118" width="7.09765625" style="37" customWidth="1"/>
    <col min="10119" max="10119" width="7.59765625" style="37" customWidth="1"/>
    <col min="10120" max="10120" width="8.8984375" style="37" customWidth="1"/>
    <col min="10121" max="10121" width="8.09765625" style="37" customWidth="1"/>
    <col min="10122" max="10126" width="8.8984375" style="37" customWidth="1"/>
    <col min="10127" max="10127" width="8" style="37" customWidth="1"/>
    <col min="10128" max="10128" width="7.69921875" style="37" customWidth="1"/>
    <col min="10129" max="10129" width="7.8984375" style="37" customWidth="1"/>
    <col min="10130" max="10130" width="7.3984375" style="37" customWidth="1"/>
    <col min="10131" max="10131" width="7.8984375" style="37" customWidth="1"/>
    <col min="10132" max="10138" width="8.8984375" style="37" customWidth="1"/>
    <col min="10139" max="10139" width="7.5" style="37" customWidth="1"/>
    <col min="10140" max="10140" width="7.19921875" style="37" customWidth="1"/>
    <col min="10141" max="10141" width="8.3984375" style="37" customWidth="1"/>
    <col min="10142" max="10142" width="7.19921875" style="37" customWidth="1"/>
    <col min="10143" max="10143" width="7.59765625" style="37" customWidth="1"/>
    <col min="10144" max="10241" width="8.69921875" style="37"/>
    <col min="10242" max="10242" width="4.5" style="37" bestFit="1" customWidth="1"/>
    <col min="10243" max="10243" width="69.09765625" style="37" customWidth="1"/>
    <col min="10244" max="10244" width="9.19921875" style="37" customWidth="1"/>
    <col min="10245" max="10245" width="8.59765625" style="37" customWidth="1"/>
    <col min="10246" max="10246" width="9.3984375" style="37" customWidth="1"/>
    <col min="10247" max="10247" width="10.19921875" style="37" customWidth="1"/>
    <col min="10248" max="10248" width="10.59765625" style="37" customWidth="1"/>
    <col min="10249" max="10249" width="10" style="37" customWidth="1"/>
    <col min="10250" max="10251" width="8.5" style="37" customWidth="1"/>
    <col min="10252" max="10252" width="7.5" style="37" customWidth="1"/>
    <col min="10253" max="10253" width="7.09765625" style="37" customWidth="1"/>
    <col min="10254" max="10254" width="8.09765625" style="37" customWidth="1"/>
    <col min="10255" max="10256" width="7.5" style="37" customWidth="1"/>
    <col min="10257" max="10257" width="8.59765625" style="37" customWidth="1"/>
    <col min="10258" max="10260" width="7.5" style="37" customWidth="1"/>
    <col min="10261" max="10261" width="8.3984375" style="37" customWidth="1"/>
    <col min="10262" max="10262" width="7.5" style="37" customWidth="1"/>
    <col min="10263" max="10263" width="8.19921875" style="37" customWidth="1"/>
    <col min="10264" max="10266" width="7.5" style="37" customWidth="1"/>
    <col min="10267" max="10267" width="8.19921875" style="37" customWidth="1"/>
    <col min="10268" max="10268" width="8.09765625" style="37" customWidth="1"/>
    <col min="10269" max="10269" width="8.19921875" style="37" customWidth="1"/>
    <col min="10270" max="10270" width="8.69921875" style="37" customWidth="1"/>
    <col min="10271" max="10271" width="7.09765625" style="37" customWidth="1"/>
    <col min="10272" max="10272" width="9.5" style="37" customWidth="1"/>
    <col min="10273" max="10273" width="8.59765625" style="37" customWidth="1"/>
    <col min="10274" max="10274" width="8.8984375" style="37" customWidth="1"/>
    <col min="10275" max="10275" width="8.09765625" style="37" customWidth="1"/>
    <col min="10276" max="10278" width="7.59765625" style="37" customWidth="1"/>
    <col min="10279" max="10279" width="6.5" style="37" customWidth="1"/>
    <col min="10280" max="10288" width="8.5" style="37" customWidth="1"/>
    <col min="10289" max="10289" width="7.5" style="37" customWidth="1"/>
    <col min="10290" max="10290" width="7.19921875" style="37" customWidth="1"/>
    <col min="10291" max="10291" width="8.5" style="37" customWidth="1"/>
    <col min="10292" max="10292" width="9.3984375" style="37" customWidth="1"/>
    <col min="10293" max="10295" width="8.5" style="37" customWidth="1"/>
    <col min="10296" max="10296" width="9.19921875" style="37" customWidth="1"/>
    <col min="10297" max="10299" width="8.5" style="37" customWidth="1"/>
    <col min="10300" max="10300" width="7.8984375" style="37" customWidth="1"/>
    <col min="10301" max="10301" width="8.5" style="37" customWidth="1"/>
    <col min="10302" max="10302" width="7.3984375" style="37" customWidth="1"/>
    <col min="10303" max="10303" width="7.59765625" style="37" customWidth="1"/>
    <col min="10304" max="10304" width="9.8984375" style="37" customWidth="1"/>
    <col min="10305" max="10305" width="8.19921875" style="37" customWidth="1"/>
    <col min="10306" max="10308" width="8.8984375" style="37" customWidth="1"/>
    <col min="10309" max="10309" width="8.69921875" style="37" customWidth="1"/>
    <col min="10310" max="10310" width="8" style="37" customWidth="1"/>
    <col min="10311" max="10311" width="8.19921875" style="37" customWidth="1"/>
    <col min="10312" max="10312" width="7.3984375" style="37" customWidth="1"/>
    <col min="10313" max="10313" width="8.8984375" style="37" customWidth="1"/>
    <col min="10314" max="10314" width="7.3984375" style="37" customWidth="1"/>
    <col min="10315" max="10315" width="6.59765625" style="37" customWidth="1"/>
    <col min="10316" max="10316" width="9.5" style="37" customWidth="1"/>
    <col min="10317" max="10317" width="8" style="37" customWidth="1"/>
    <col min="10318" max="10318" width="8.3984375" style="37" customWidth="1"/>
    <col min="10319" max="10319" width="8.5" style="37" customWidth="1"/>
    <col min="10320" max="10320" width="8" style="37" customWidth="1"/>
    <col min="10321" max="10321" width="7.8984375" style="37" customWidth="1"/>
    <col min="10322" max="10322" width="8" style="37" customWidth="1"/>
    <col min="10323" max="10323" width="8.5" style="37" customWidth="1"/>
    <col min="10324" max="10326" width="8.09765625" style="37" customWidth="1"/>
    <col min="10327" max="10327" width="8" style="37" customWidth="1"/>
    <col min="10328" max="10331" width="8.69921875" style="37" customWidth="1"/>
    <col min="10332" max="10332" width="7.59765625" style="37" customWidth="1"/>
    <col min="10333" max="10334" width="8.69921875" style="37" customWidth="1"/>
    <col min="10335" max="10335" width="7.69921875" style="37" customWidth="1"/>
    <col min="10336" max="10338" width="8" style="37" customWidth="1"/>
    <col min="10339" max="10339" width="7.8984375" style="37" customWidth="1"/>
    <col min="10340" max="10341" width="8.69921875" style="37" customWidth="1"/>
    <col min="10342" max="10342" width="8.3984375" style="37" customWidth="1"/>
    <col min="10343" max="10343" width="8" style="37" customWidth="1"/>
    <col min="10344" max="10344" width="7.8984375" style="37" customWidth="1"/>
    <col min="10345" max="10347" width="8.19921875" style="37" customWidth="1"/>
    <col min="10348" max="10350" width="8.09765625" style="37" customWidth="1"/>
    <col min="10351" max="10351" width="7.8984375" style="37" customWidth="1"/>
    <col min="10352" max="10352" width="8.8984375" style="37" customWidth="1"/>
    <col min="10353" max="10353" width="8.3984375" style="37" customWidth="1"/>
    <col min="10354" max="10354" width="8.19921875" style="37" customWidth="1"/>
    <col min="10355" max="10355" width="8.8984375" style="37" customWidth="1"/>
    <col min="10356" max="10356" width="8.09765625" style="37" customWidth="1"/>
    <col min="10357" max="10357" width="8.19921875" style="37" customWidth="1"/>
    <col min="10358" max="10358" width="8.8984375" style="37" customWidth="1"/>
    <col min="10359" max="10359" width="8" style="37" customWidth="1"/>
    <col min="10360" max="10362" width="7.8984375" style="37" customWidth="1"/>
    <col min="10363" max="10363" width="7.69921875" style="37" customWidth="1"/>
    <col min="10364" max="10367" width="8.8984375" style="37" customWidth="1"/>
    <col min="10368" max="10368" width="8.69921875" style="37" customWidth="1"/>
    <col min="10369" max="10369" width="8.59765625" style="37" customWidth="1"/>
    <col min="10370" max="10371" width="8.19921875" style="37" customWidth="1"/>
    <col min="10372" max="10372" width="7.59765625" style="37" customWidth="1"/>
    <col min="10373" max="10373" width="8" style="37" customWidth="1"/>
    <col min="10374" max="10374" width="7.09765625" style="37" customWidth="1"/>
    <col min="10375" max="10375" width="7.59765625" style="37" customWidth="1"/>
    <col min="10376" max="10376" width="8.8984375" style="37" customWidth="1"/>
    <col min="10377" max="10377" width="8.09765625" style="37" customWidth="1"/>
    <col min="10378" max="10382" width="8.8984375" style="37" customWidth="1"/>
    <col min="10383" max="10383" width="8" style="37" customWidth="1"/>
    <col min="10384" max="10384" width="7.69921875" style="37" customWidth="1"/>
    <col min="10385" max="10385" width="7.8984375" style="37" customWidth="1"/>
    <col min="10386" max="10386" width="7.3984375" style="37" customWidth="1"/>
    <col min="10387" max="10387" width="7.8984375" style="37" customWidth="1"/>
    <col min="10388" max="10394" width="8.8984375" style="37" customWidth="1"/>
    <col min="10395" max="10395" width="7.5" style="37" customWidth="1"/>
    <col min="10396" max="10396" width="7.19921875" style="37" customWidth="1"/>
    <col min="10397" max="10397" width="8.3984375" style="37" customWidth="1"/>
    <col min="10398" max="10398" width="7.19921875" style="37" customWidth="1"/>
    <col min="10399" max="10399" width="7.59765625" style="37" customWidth="1"/>
    <col min="10400" max="10497" width="8.69921875" style="37"/>
    <col min="10498" max="10498" width="4.5" style="37" bestFit="1" customWidth="1"/>
    <col min="10499" max="10499" width="69.09765625" style="37" customWidth="1"/>
    <col min="10500" max="10500" width="9.19921875" style="37" customWidth="1"/>
    <col min="10501" max="10501" width="8.59765625" style="37" customWidth="1"/>
    <col min="10502" max="10502" width="9.3984375" style="37" customWidth="1"/>
    <col min="10503" max="10503" width="10.19921875" style="37" customWidth="1"/>
    <col min="10504" max="10504" width="10.59765625" style="37" customWidth="1"/>
    <col min="10505" max="10505" width="10" style="37" customWidth="1"/>
    <col min="10506" max="10507" width="8.5" style="37" customWidth="1"/>
    <col min="10508" max="10508" width="7.5" style="37" customWidth="1"/>
    <col min="10509" max="10509" width="7.09765625" style="37" customWidth="1"/>
    <col min="10510" max="10510" width="8.09765625" style="37" customWidth="1"/>
    <col min="10511" max="10512" width="7.5" style="37" customWidth="1"/>
    <col min="10513" max="10513" width="8.59765625" style="37" customWidth="1"/>
    <col min="10514" max="10516" width="7.5" style="37" customWidth="1"/>
    <col min="10517" max="10517" width="8.3984375" style="37" customWidth="1"/>
    <col min="10518" max="10518" width="7.5" style="37" customWidth="1"/>
    <col min="10519" max="10519" width="8.19921875" style="37" customWidth="1"/>
    <col min="10520" max="10522" width="7.5" style="37" customWidth="1"/>
    <col min="10523" max="10523" width="8.19921875" style="37" customWidth="1"/>
    <col min="10524" max="10524" width="8.09765625" style="37" customWidth="1"/>
    <col min="10525" max="10525" width="8.19921875" style="37" customWidth="1"/>
    <col min="10526" max="10526" width="8.69921875" style="37" customWidth="1"/>
    <col min="10527" max="10527" width="7.09765625" style="37" customWidth="1"/>
    <col min="10528" max="10528" width="9.5" style="37" customWidth="1"/>
    <col min="10529" max="10529" width="8.59765625" style="37" customWidth="1"/>
    <col min="10530" max="10530" width="8.8984375" style="37" customWidth="1"/>
    <col min="10531" max="10531" width="8.09765625" style="37" customWidth="1"/>
    <col min="10532" max="10534" width="7.59765625" style="37" customWidth="1"/>
    <col min="10535" max="10535" width="6.5" style="37" customWidth="1"/>
    <col min="10536" max="10544" width="8.5" style="37" customWidth="1"/>
    <col min="10545" max="10545" width="7.5" style="37" customWidth="1"/>
    <col min="10546" max="10546" width="7.19921875" style="37" customWidth="1"/>
    <col min="10547" max="10547" width="8.5" style="37" customWidth="1"/>
    <col min="10548" max="10548" width="9.3984375" style="37" customWidth="1"/>
    <col min="10549" max="10551" width="8.5" style="37" customWidth="1"/>
    <col min="10552" max="10552" width="9.19921875" style="37" customWidth="1"/>
    <col min="10553" max="10555" width="8.5" style="37" customWidth="1"/>
    <col min="10556" max="10556" width="7.8984375" style="37" customWidth="1"/>
    <col min="10557" max="10557" width="8.5" style="37" customWidth="1"/>
    <col min="10558" max="10558" width="7.3984375" style="37" customWidth="1"/>
    <col min="10559" max="10559" width="7.59765625" style="37" customWidth="1"/>
    <col min="10560" max="10560" width="9.8984375" style="37" customWidth="1"/>
    <col min="10561" max="10561" width="8.19921875" style="37" customWidth="1"/>
    <col min="10562" max="10564" width="8.8984375" style="37" customWidth="1"/>
    <col min="10565" max="10565" width="8.69921875" style="37" customWidth="1"/>
    <col min="10566" max="10566" width="8" style="37" customWidth="1"/>
    <col min="10567" max="10567" width="8.19921875" style="37" customWidth="1"/>
    <col min="10568" max="10568" width="7.3984375" style="37" customWidth="1"/>
    <col min="10569" max="10569" width="8.8984375" style="37" customWidth="1"/>
    <col min="10570" max="10570" width="7.3984375" style="37" customWidth="1"/>
    <col min="10571" max="10571" width="6.59765625" style="37" customWidth="1"/>
    <col min="10572" max="10572" width="9.5" style="37" customWidth="1"/>
    <col min="10573" max="10573" width="8" style="37" customWidth="1"/>
    <col min="10574" max="10574" width="8.3984375" style="37" customWidth="1"/>
    <col min="10575" max="10575" width="8.5" style="37" customWidth="1"/>
    <col min="10576" max="10576" width="8" style="37" customWidth="1"/>
    <col min="10577" max="10577" width="7.8984375" style="37" customWidth="1"/>
    <col min="10578" max="10578" width="8" style="37" customWidth="1"/>
    <col min="10579" max="10579" width="8.5" style="37" customWidth="1"/>
    <col min="10580" max="10582" width="8.09765625" style="37" customWidth="1"/>
    <col min="10583" max="10583" width="8" style="37" customWidth="1"/>
    <col min="10584" max="10587" width="8.69921875" style="37" customWidth="1"/>
    <col min="10588" max="10588" width="7.59765625" style="37" customWidth="1"/>
    <col min="10589" max="10590" width="8.69921875" style="37" customWidth="1"/>
    <col min="10591" max="10591" width="7.69921875" style="37" customWidth="1"/>
    <col min="10592" max="10594" width="8" style="37" customWidth="1"/>
    <col min="10595" max="10595" width="7.8984375" style="37" customWidth="1"/>
    <col min="10596" max="10597" width="8.69921875" style="37" customWidth="1"/>
    <col min="10598" max="10598" width="8.3984375" style="37" customWidth="1"/>
    <col min="10599" max="10599" width="8" style="37" customWidth="1"/>
    <col min="10600" max="10600" width="7.8984375" style="37" customWidth="1"/>
    <col min="10601" max="10603" width="8.19921875" style="37" customWidth="1"/>
    <col min="10604" max="10606" width="8.09765625" style="37" customWidth="1"/>
    <col min="10607" max="10607" width="7.8984375" style="37" customWidth="1"/>
    <col min="10608" max="10608" width="8.8984375" style="37" customWidth="1"/>
    <col min="10609" max="10609" width="8.3984375" style="37" customWidth="1"/>
    <col min="10610" max="10610" width="8.19921875" style="37" customWidth="1"/>
    <col min="10611" max="10611" width="8.8984375" style="37" customWidth="1"/>
    <col min="10612" max="10612" width="8.09765625" style="37" customWidth="1"/>
    <col min="10613" max="10613" width="8.19921875" style="37" customWidth="1"/>
    <col min="10614" max="10614" width="8.8984375" style="37" customWidth="1"/>
    <col min="10615" max="10615" width="8" style="37" customWidth="1"/>
    <col min="10616" max="10618" width="7.8984375" style="37" customWidth="1"/>
    <col min="10619" max="10619" width="7.69921875" style="37" customWidth="1"/>
    <col min="10620" max="10623" width="8.8984375" style="37" customWidth="1"/>
    <col min="10624" max="10624" width="8.69921875" style="37" customWidth="1"/>
    <col min="10625" max="10625" width="8.59765625" style="37" customWidth="1"/>
    <col min="10626" max="10627" width="8.19921875" style="37" customWidth="1"/>
    <col min="10628" max="10628" width="7.59765625" style="37" customWidth="1"/>
    <col min="10629" max="10629" width="8" style="37" customWidth="1"/>
    <col min="10630" max="10630" width="7.09765625" style="37" customWidth="1"/>
    <col min="10631" max="10631" width="7.59765625" style="37" customWidth="1"/>
    <col min="10632" max="10632" width="8.8984375" style="37" customWidth="1"/>
    <col min="10633" max="10633" width="8.09765625" style="37" customWidth="1"/>
    <col min="10634" max="10638" width="8.8984375" style="37" customWidth="1"/>
    <col min="10639" max="10639" width="8" style="37" customWidth="1"/>
    <col min="10640" max="10640" width="7.69921875" style="37" customWidth="1"/>
    <col min="10641" max="10641" width="7.8984375" style="37" customWidth="1"/>
    <col min="10642" max="10642" width="7.3984375" style="37" customWidth="1"/>
    <col min="10643" max="10643" width="7.8984375" style="37" customWidth="1"/>
    <col min="10644" max="10650" width="8.8984375" style="37" customWidth="1"/>
    <col min="10651" max="10651" width="7.5" style="37" customWidth="1"/>
    <col min="10652" max="10652" width="7.19921875" style="37" customWidth="1"/>
    <col min="10653" max="10653" width="8.3984375" style="37" customWidth="1"/>
    <col min="10654" max="10654" width="7.19921875" style="37" customWidth="1"/>
    <col min="10655" max="10655" width="7.59765625" style="37" customWidth="1"/>
    <col min="10656" max="10753" width="8.69921875" style="37"/>
    <col min="10754" max="10754" width="4.5" style="37" bestFit="1" customWidth="1"/>
    <col min="10755" max="10755" width="69.09765625" style="37" customWidth="1"/>
    <col min="10756" max="10756" width="9.19921875" style="37" customWidth="1"/>
    <col min="10757" max="10757" width="8.59765625" style="37" customWidth="1"/>
    <col min="10758" max="10758" width="9.3984375" style="37" customWidth="1"/>
    <col min="10759" max="10759" width="10.19921875" style="37" customWidth="1"/>
    <col min="10760" max="10760" width="10.59765625" style="37" customWidth="1"/>
    <col min="10761" max="10761" width="10" style="37" customWidth="1"/>
    <col min="10762" max="10763" width="8.5" style="37" customWidth="1"/>
    <col min="10764" max="10764" width="7.5" style="37" customWidth="1"/>
    <col min="10765" max="10765" width="7.09765625" style="37" customWidth="1"/>
    <col min="10766" max="10766" width="8.09765625" style="37" customWidth="1"/>
    <col min="10767" max="10768" width="7.5" style="37" customWidth="1"/>
    <col min="10769" max="10769" width="8.59765625" style="37" customWidth="1"/>
    <col min="10770" max="10772" width="7.5" style="37" customWidth="1"/>
    <col min="10773" max="10773" width="8.3984375" style="37" customWidth="1"/>
    <col min="10774" max="10774" width="7.5" style="37" customWidth="1"/>
    <col min="10775" max="10775" width="8.19921875" style="37" customWidth="1"/>
    <col min="10776" max="10778" width="7.5" style="37" customWidth="1"/>
    <col min="10779" max="10779" width="8.19921875" style="37" customWidth="1"/>
    <col min="10780" max="10780" width="8.09765625" style="37" customWidth="1"/>
    <col min="10781" max="10781" width="8.19921875" style="37" customWidth="1"/>
    <col min="10782" max="10782" width="8.69921875" style="37" customWidth="1"/>
    <col min="10783" max="10783" width="7.09765625" style="37" customWidth="1"/>
    <col min="10784" max="10784" width="9.5" style="37" customWidth="1"/>
    <col min="10785" max="10785" width="8.59765625" style="37" customWidth="1"/>
    <col min="10786" max="10786" width="8.8984375" style="37" customWidth="1"/>
    <col min="10787" max="10787" width="8.09765625" style="37" customWidth="1"/>
    <col min="10788" max="10790" width="7.59765625" style="37" customWidth="1"/>
    <col min="10791" max="10791" width="6.5" style="37" customWidth="1"/>
    <col min="10792" max="10800" width="8.5" style="37" customWidth="1"/>
    <col min="10801" max="10801" width="7.5" style="37" customWidth="1"/>
    <col min="10802" max="10802" width="7.19921875" style="37" customWidth="1"/>
    <col min="10803" max="10803" width="8.5" style="37" customWidth="1"/>
    <col min="10804" max="10804" width="9.3984375" style="37" customWidth="1"/>
    <col min="10805" max="10807" width="8.5" style="37" customWidth="1"/>
    <col min="10808" max="10808" width="9.19921875" style="37" customWidth="1"/>
    <col min="10809" max="10811" width="8.5" style="37" customWidth="1"/>
    <col min="10812" max="10812" width="7.8984375" style="37" customWidth="1"/>
    <col min="10813" max="10813" width="8.5" style="37" customWidth="1"/>
    <col min="10814" max="10814" width="7.3984375" style="37" customWidth="1"/>
    <col min="10815" max="10815" width="7.59765625" style="37" customWidth="1"/>
    <col min="10816" max="10816" width="9.8984375" style="37" customWidth="1"/>
    <col min="10817" max="10817" width="8.19921875" style="37" customWidth="1"/>
    <col min="10818" max="10820" width="8.8984375" style="37" customWidth="1"/>
    <col min="10821" max="10821" width="8.69921875" style="37" customWidth="1"/>
    <col min="10822" max="10822" width="8" style="37" customWidth="1"/>
    <col min="10823" max="10823" width="8.19921875" style="37" customWidth="1"/>
    <col min="10824" max="10824" width="7.3984375" style="37" customWidth="1"/>
    <col min="10825" max="10825" width="8.8984375" style="37" customWidth="1"/>
    <col min="10826" max="10826" width="7.3984375" style="37" customWidth="1"/>
    <col min="10827" max="10827" width="6.59765625" style="37" customWidth="1"/>
    <col min="10828" max="10828" width="9.5" style="37" customWidth="1"/>
    <col min="10829" max="10829" width="8" style="37" customWidth="1"/>
    <col min="10830" max="10830" width="8.3984375" style="37" customWidth="1"/>
    <col min="10831" max="10831" width="8.5" style="37" customWidth="1"/>
    <col min="10832" max="10832" width="8" style="37" customWidth="1"/>
    <col min="10833" max="10833" width="7.8984375" style="37" customWidth="1"/>
    <col min="10834" max="10834" width="8" style="37" customWidth="1"/>
    <col min="10835" max="10835" width="8.5" style="37" customWidth="1"/>
    <col min="10836" max="10838" width="8.09765625" style="37" customWidth="1"/>
    <col min="10839" max="10839" width="8" style="37" customWidth="1"/>
    <col min="10840" max="10843" width="8.69921875" style="37" customWidth="1"/>
    <col min="10844" max="10844" width="7.59765625" style="37" customWidth="1"/>
    <col min="10845" max="10846" width="8.69921875" style="37" customWidth="1"/>
    <col min="10847" max="10847" width="7.69921875" style="37" customWidth="1"/>
    <col min="10848" max="10850" width="8" style="37" customWidth="1"/>
    <col min="10851" max="10851" width="7.8984375" style="37" customWidth="1"/>
    <col min="10852" max="10853" width="8.69921875" style="37" customWidth="1"/>
    <col min="10854" max="10854" width="8.3984375" style="37" customWidth="1"/>
    <col min="10855" max="10855" width="8" style="37" customWidth="1"/>
    <col min="10856" max="10856" width="7.8984375" style="37" customWidth="1"/>
    <col min="10857" max="10859" width="8.19921875" style="37" customWidth="1"/>
    <col min="10860" max="10862" width="8.09765625" style="37" customWidth="1"/>
    <col min="10863" max="10863" width="7.8984375" style="37" customWidth="1"/>
    <col min="10864" max="10864" width="8.8984375" style="37" customWidth="1"/>
    <col min="10865" max="10865" width="8.3984375" style="37" customWidth="1"/>
    <col min="10866" max="10866" width="8.19921875" style="37" customWidth="1"/>
    <col min="10867" max="10867" width="8.8984375" style="37" customWidth="1"/>
    <col min="10868" max="10868" width="8.09765625" style="37" customWidth="1"/>
    <col min="10869" max="10869" width="8.19921875" style="37" customWidth="1"/>
    <col min="10870" max="10870" width="8.8984375" style="37" customWidth="1"/>
    <col min="10871" max="10871" width="8" style="37" customWidth="1"/>
    <col min="10872" max="10874" width="7.8984375" style="37" customWidth="1"/>
    <col min="10875" max="10875" width="7.69921875" style="37" customWidth="1"/>
    <col min="10876" max="10879" width="8.8984375" style="37" customWidth="1"/>
    <col min="10880" max="10880" width="8.69921875" style="37" customWidth="1"/>
    <col min="10881" max="10881" width="8.59765625" style="37" customWidth="1"/>
    <col min="10882" max="10883" width="8.19921875" style="37" customWidth="1"/>
    <col min="10884" max="10884" width="7.59765625" style="37" customWidth="1"/>
    <col min="10885" max="10885" width="8" style="37" customWidth="1"/>
    <col min="10886" max="10886" width="7.09765625" style="37" customWidth="1"/>
    <col min="10887" max="10887" width="7.59765625" style="37" customWidth="1"/>
    <col min="10888" max="10888" width="8.8984375" style="37" customWidth="1"/>
    <col min="10889" max="10889" width="8.09765625" style="37" customWidth="1"/>
    <col min="10890" max="10894" width="8.8984375" style="37" customWidth="1"/>
    <col min="10895" max="10895" width="8" style="37" customWidth="1"/>
    <col min="10896" max="10896" width="7.69921875" style="37" customWidth="1"/>
    <col min="10897" max="10897" width="7.8984375" style="37" customWidth="1"/>
    <col min="10898" max="10898" width="7.3984375" style="37" customWidth="1"/>
    <col min="10899" max="10899" width="7.8984375" style="37" customWidth="1"/>
    <col min="10900" max="10906" width="8.8984375" style="37" customWidth="1"/>
    <col min="10907" max="10907" width="7.5" style="37" customWidth="1"/>
    <col min="10908" max="10908" width="7.19921875" style="37" customWidth="1"/>
    <col min="10909" max="10909" width="8.3984375" style="37" customWidth="1"/>
    <col min="10910" max="10910" width="7.19921875" style="37" customWidth="1"/>
    <col min="10911" max="10911" width="7.59765625" style="37" customWidth="1"/>
    <col min="10912" max="11009" width="8.69921875" style="37"/>
    <col min="11010" max="11010" width="4.5" style="37" bestFit="1" customWidth="1"/>
    <col min="11011" max="11011" width="69.09765625" style="37" customWidth="1"/>
    <col min="11012" max="11012" width="9.19921875" style="37" customWidth="1"/>
    <col min="11013" max="11013" width="8.59765625" style="37" customWidth="1"/>
    <col min="11014" max="11014" width="9.3984375" style="37" customWidth="1"/>
    <col min="11015" max="11015" width="10.19921875" style="37" customWidth="1"/>
    <col min="11016" max="11016" width="10.59765625" style="37" customWidth="1"/>
    <col min="11017" max="11017" width="10" style="37" customWidth="1"/>
    <col min="11018" max="11019" width="8.5" style="37" customWidth="1"/>
    <col min="11020" max="11020" width="7.5" style="37" customWidth="1"/>
    <col min="11021" max="11021" width="7.09765625" style="37" customWidth="1"/>
    <col min="11022" max="11022" width="8.09765625" style="37" customWidth="1"/>
    <col min="11023" max="11024" width="7.5" style="37" customWidth="1"/>
    <col min="11025" max="11025" width="8.59765625" style="37" customWidth="1"/>
    <col min="11026" max="11028" width="7.5" style="37" customWidth="1"/>
    <col min="11029" max="11029" width="8.3984375" style="37" customWidth="1"/>
    <col min="11030" max="11030" width="7.5" style="37" customWidth="1"/>
    <col min="11031" max="11031" width="8.19921875" style="37" customWidth="1"/>
    <col min="11032" max="11034" width="7.5" style="37" customWidth="1"/>
    <col min="11035" max="11035" width="8.19921875" style="37" customWidth="1"/>
    <col min="11036" max="11036" width="8.09765625" style="37" customWidth="1"/>
    <col min="11037" max="11037" width="8.19921875" style="37" customWidth="1"/>
    <col min="11038" max="11038" width="8.69921875" style="37" customWidth="1"/>
    <col min="11039" max="11039" width="7.09765625" style="37" customWidth="1"/>
    <col min="11040" max="11040" width="9.5" style="37" customWidth="1"/>
    <col min="11041" max="11041" width="8.59765625" style="37" customWidth="1"/>
    <col min="11042" max="11042" width="8.8984375" style="37" customWidth="1"/>
    <col min="11043" max="11043" width="8.09765625" style="37" customWidth="1"/>
    <col min="11044" max="11046" width="7.59765625" style="37" customWidth="1"/>
    <col min="11047" max="11047" width="6.5" style="37" customWidth="1"/>
    <col min="11048" max="11056" width="8.5" style="37" customWidth="1"/>
    <col min="11057" max="11057" width="7.5" style="37" customWidth="1"/>
    <col min="11058" max="11058" width="7.19921875" style="37" customWidth="1"/>
    <col min="11059" max="11059" width="8.5" style="37" customWidth="1"/>
    <col min="11060" max="11060" width="9.3984375" style="37" customWidth="1"/>
    <col min="11061" max="11063" width="8.5" style="37" customWidth="1"/>
    <col min="11064" max="11064" width="9.19921875" style="37" customWidth="1"/>
    <col min="11065" max="11067" width="8.5" style="37" customWidth="1"/>
    <col min="11068" max="11068" width="7.8984375" style="37" customWidth="1"/>
    <col min="11069" max="11069" width="8.5" style="37" customWidth="1"/>
    <col min="11070" max="11070" width="7.3984375" style="37" customWidth="1"/>
    <col min="11071" max="11071" width="7.59765625" style="37" customWidth="1"/>
    <col min="11072" max="11072" width="9.8984375" style="37" customWidth="1"/>
    <col min="11073" max="11073" width="8.19921875" style="37" customWidth="1"/>
    <col min="11074" max="11076" width="8.8984375" style="37" customWidth="1"/>
    <col min="11077" max="11077" width="8.69921875" style="37" customWidth="1"/>
    <col min="11078" max="11078" width="8" style="37" customWidth="1"/>
    <col min="11079" max="11079" width="8.19921875" style="37" customWidth="1"/>
    <col min="11080" max="11080" width="7.3984375" style="37" customWidth="1"/>
    <col min="11081" max="11081" width="8.8984375" style="37" customWidth="1"/>
    <col min="11082" max="11082" width="7.3984375" style="37" customWidth="1"/>
    <col min="11083" max="11083" width="6.59765625" style="37" customWidth="1"/>
    <col min="11084" max="11084" width="9.5" style="37" customWidth="1"/>
    <col min="11085" max="11085" width="8" style="37" customWidth="1"/>
    <col min="11086" max="11086" width="8.3984375" style="37" customWidth="1"/>
    <col min="11087" max="11087" width="8.5" style="37" customWidth="1"/>
    <col min="11088" max="11088" width="8" style="37" customWidth="1"/>
    <col min="11089" max="11089" width="7.8984375" style="37" customWidth="1"/>
    <col min="11090" max="11090" width="8" style="37" customWidth="1"/>
    <col min="11091" max="11091" width="8.5" style="37" customWidth="1"/>
    <col min="11092" max="11094" width="8.09765625" style="37" customWidth="1"/>
    <col min="11095" max="11095" width="8" style="37" customWidth="1"/>
    <col min="11096" max="11099" width="8.69921875" style="37" customWidth="1"/>
    <col min="11100" max="11100" width="7.59765625" style="37" customWidth="1"/>
    <col min="11101" max="11102" width="8.69921875" style="37" customWidth="1"/>
    <col min="11103" max="11103" width="7.69921875" style="37" customWidth="1"/>
    <col min="11104" max="11106" width="8" style="37" customWidth="1"/>
    <col min="11107" max="11107" width="7.8984375" style="37" customWidth="1"/>
    <col min="11108" max="11109" width="8.69921875" style="37" customWidth="1"/>
    <col min="11110" max="11110" width="8.3984375" style="37" customWidth="1"/>
    <col min="11111" max="11111" width="8" style="37" customWidth="1"/>
    <col min="11112" max="11112" width="7.8984375" style="37" customWidth="1"/>
    <col min="11113" max="11115" width="8.19921875" style="37" customWidth="1"/>
    <col min="11116" max="11118" width="8.09765625" style="37" customWidth="1"/>
    <col min="11119" max="11119" width="7.8984375" style="37" customWidth="1"/>
    <col min="11120" max="11120" width="8.8984375" style="37" customWidth="1"/>
    <col min="11121" max="11121" width="8.3984375" style="37" customWidth="1"/>
    <col min="11122" max="11122" width="8.19921875" style="37" customWidth="1"/>
    <col min="11123" max="11123" width="8.8984375" style="37" customWidth="1"/>
    <col min="11124" max="11124" width="8.09765625" style="37" customWidth="1"/>
    <col min="11125" max="11125" width="8.19921875" style="37" customWidth="1"/>
    <col min="11126" max="11126" width="8.8984375" style="37" customWidth="1"/>
    <col min="11127" max="11127" width="8" style="37" customWidth="1"/>
    <col min="11128" max="11130" width="7.8984375" style="37" customWidth="1"/>
    <col min="11131" max="11131" width="7.69921875" style="37" customWidth="1"/>
    <col min="11132" max="11135" width="8.8984375" style="37" customWidth="1"/>
    <col min="11136" max="11136" width="8.69921875" style="37" customWidth="1"/>
    <col min="11137" max="11137" width="8.59765625" style="37" customWidth="1"/>
    <col min="11138" max="11139" width="8.19921875" style="37" customWidth="1"/>
    <col min="11140" max="11140" width="7.59765625" style="37" customWidth="1"/>
    <col min="11141" max="11141" width="8" style="37" customWidth="1"/>
    <col min="11142" max="11142" width="7.09765625" style="37" customWidth="1"/>
    <col min="11143" max="11143" width="7.59765625" style="37" customWidth="1"/>
    <col min="11144" max="11144" width="8.8984375" style="37" customWidth="1"/>
    <col min="11145" max="11145" width="8.09765625" style="37" customWidth="1"/>
    <col min="11146" max="11150" width="8.8984375" style="37" customWidth="1"/>
    <col min="11151" max="11151" width="8" style="37" customWidth="1"/>
    <col min="11152" max="11152" width="7.69921875" style="37" customWidth="1"/>
    <col min="11153" max="11153" width="7.8984375" style="37" customWidth="1"/>
    <col min="11154" max="11154" width="7.3984375" style="37" customWidth="1"/>
    <col min="11155" max="11155" width="7.8984375" style="37" customWidth="1"/>
    <col min="11156" max="11162" width="8.8984375" style="37" customWidth="1"/>
    <col min="11163" max="11163" width="7.5" style="37" customWidth="1"/>
    <col min="11164" max="11164" width="7.19921875" style="37" customWidth="1"/>
    <col min="11165" max="11165" width="8.3984375" style="37" customWidth="1"/>
    <col min="11166" max="11166" width="7.19921875" style="37" customWidth="1"/>
    <col min="11167" max="11167" width="7.59765625" style="37" customWidth="1"/>
    <col min="11168" max="11265" width="8.69921875" style="37"/>
    <col min="11266" max="11266" width="4.5" style="37" bestFit="1" customWidth="1"/>
    <col min="11267" max="11267" width="69.09765625" style="37" customWidth="1"/>
    <col min="11268" max="11268" width="9.19921875" style="37" customWidth="1"/>
    <col min="11269" max="11269" width="8.59765625" style="37" customWidth="1"/>
    <col min="11270" max="11270" width="9.3984375" style="37" customWidth="1"/>
    <col min="11271" max="11271" width="10.19921875" style="37" customWidth="1"/>
    <col min="11272" max="11272" width="10.59765625" style="37" customWidth="1"/>
    <col min="11273" max="11273" width="10" style="37" customWidth="1"/>
    <col min="11274" max="11275" width="8.5" style="37" customWidth="1"/>
    <col min="11276" max="11276" width="7.5" style="37" customWidth="1"/>
    <col min="11277" max="11277" width="7.09765625" style="37" customWidth="1"/>
    <col min="11278" max="11278" width="8.09765625" style="37" customWidth="1"/>
    <col min="11279" max="11280" width="7.5" style="37" customWidth="1"/>
    <col min="11281" max="11281" width="8.59765625" style="37" customWidth="1"/>
    <col min="11282" max="11284" width="7.5" style="37" customWidth="1"/>
    <col min="11285" max="11285" width="8.3984375" style="37" customWidth="1"/>
    <col min="11286" max="11286" width="7.5" style="37" customWidth="1"/>
    <col min="11287" max="11287" width="8.19921875" style="37" customWidth="1"/>
    <col min="11288" max="11290" width="7.5" style="37" customWidth="1"/>
    <col min="11291" max="11291" width="8.19921875" style="37" customWidth="1"/>
    <col min="11292" max="11292" width="8.09765625" style="37" customWidth="1"/>
    <col min="11293" max="11293" width="8.19921875" style="37" customWidth="1"/>
    <col min="11294" max="11294" width="8.69921875" style="37" customWidth="1"/>
    <col min="11295" max="11295" width="7.09765625" style="37" customWidth="1"/>
    <col min="11296" max="11296" width="9.5" style="37" customWidth="1"/>
    <col min="11297" max="11297" width="8.59765625" style="37" customWidth="1"/>
    <col min="11298" max="11298" width="8.8984375" style="37" customWidth="1"/>
    <col min="11299" max="11299" width="8.09765625" style="37" customWidth="1"/>
    <col min="11300" max="11302" width="7.59765625" style="37" customWidth="1"/>
    <col min="11303" max="11303" width="6.5" style="37" customWidth="1"/>
    <col min="11304" max="11312" width="8.5" style="37" customWidth="1"/>
    <col min="11313" max="11313" width="7.5" style="37" customWidth="1"/>
    <col min="11314" max="11314" width="7.19921875" style="37" customWidth="1"/>
    <col min="11315" max="11315" width="8.5" style="37" customWidth="1"/>
    <col min="11316" max="11316" width="9.3984375" style="37" customWidth="1"/>
    <col min="11317" max="11319" width="8.5" style="37" customWidth="1"/>
    <col min="11320" max="11320" width="9.19921875" style="37" customWidth="1"/>
    <col min="11321" max="11323" width="8.5" style="37" customWidth="1"/>
    <col min="11324" max="11324" width="7.8984375" style="37" customWidth="1"/>
    <col min="11325" max="11325" width="8.5" style="37" customWidth="1"/>
    <col min="11326" max="11326" width="7.3984375" style="37" customWidth="1"/>
    <col min="11327" max="11327" width="7.59765625" style="37" customWidth="1"/>
    <col min="11328" max="11328" width="9.8984375" style="37" customWidth="1"/>
    <col min="11329" max="11329" width="8.19921875" style="37" customWidth="1"/>
    <col min="11330" max="11332" width="8.8984375" style="37" customWidth="1"/>
    <col min="11333" max="11333" width="8.69921875" style="37" customWidth="1"/>
    <col min="11334" max="11334" width="8" style="37" customWidth="1"/>
    <col min="11335" max="11335" width="8.19921875" style="37" customWidth="1"/>
    <col min="11336" max="11336" width="7.3984375" style="37" customWidth="1"/>
    <col min="11337" max="11337" width="8.8984375" style="37" customWidth="1"/>
    <col min="11338" max="11338" width="7.3984375" style="37" customWidth="1"/>
    <col min="11339" max="11339" width="6.59765625" style="37" customWidth="1"/>
    <col min="11340" max="11340" width="9.5" style="37" customWidth="1"/>
    <col min="11341" max="11341" width="8" style="37" customWidth="1"/>
    <col min="11342" max="11342" width="8.3984375" style="37" customWidth="1"/>
    <col min="11343" max="11343" width="8.5" style="37" customWidth="1"/>
    <col min="11344" max="11344" width="8" style="37" customWidth="1"/>
    <col min="11345" max="11345" width="7.8984375" style="37" customWidth="1"/>
    <col min="11346" max="11346" width="8" style="37" customWidth="1"/>
    <col min="11347" max="11347" width="8.5" style="37" customWidth="1"/>
    <col min="11348" max="11350" width="8.09765625" style="37" customWidth="1"/>
    <col min="11351" max="11351" width="8" style="37" customWidth="1"/>
    <col min="11352" max="11355" width="8.69921875" style="37" customWidth="1"/>
    <col min="11356" max="11356" width="7.59765625" style="37" customWidth="1"/>
    <col min="11357" max="11358" width="8.69921875" style="37" customWidth="1"/>
    <col min="11359" max="11359" width="7.69921875" style="37" customWidth="1"/>
    <col min="11360" max="11362" width="8" style="37" customWidth="1"/>
    <col min="11363" max="11363" width="7.8984375" style="37" customWidth="1"/>
    <col min="11364" max="11365" width="8.69921875" style="37" customWidth="1"/>
    <col min="11366" max="11366" width="8.3984375" style="37" customWidth="1"/>
    <col min="11367" max="11367" width="8" style="37" customWidth="1"/>
    <col min="11368" max="11368" width="7.8984375" style="37" customWidth="1"/>
    <col min="11369" max="11371" width="8.19921875" style="37" customWidth="1"/>
    <col min="11372" max="11374" width="8.09765625" style="37" customWidth="1"/>
    <col min="11375" max="11375" width="7.8984375" style="37" customWidth="1"/>
    <col min="11376" max="11376" width="8.8984375" style="37" customWidth="1"/>
    <col min="11377" max="11377" width="8.3984375" style="37" customWidth="1"/>
    <col min="11378" max="11378" width="8.19921875" style="37" customWidth="1"/>
    <col min="11379" max="11379" width="8.8984375" style="37" customWidth="1"/>
    <col min="11380" max="11380" width="8.09765625" style="37" customWidth="1"/>
    <col min="11381" max="11381" width="8.19921875" style="37" customWidth="1"/>
    <col min="11382" max="11382" width="8.8984375" style="37" customWidth="1"/>
    <col min="11383" max="11383" width="8" style="37" customWidth="1"/>
    <col min="11384" max="11386" width="7.8984375" style="37" customWidth="1"/>
    <col min="11387" max="11387" width="7.69921875" style="37" customWidth="1"/>
    <col min="11388" max="11391" width="8.8984375" style="37" customWidth="1"/>
    <col min="11392" max="11392" width="8.69921875" style="37" customWidth="1"/>
    <col min="11393" max="11393" width="8.59765625" style="37" customWidth="1"/>
    <col min="11394" max="11395" width="8.19921875" style="37" customWidth="1"/>
    <col min="11396" max="11396" width="7.59765625" style="37" customWidth="1"/>
    <col min="11397" max="11397" width="8" style="37" customWidth="1"/>
    <col min="11398" max="11398" width="7.09765625" style="37" customWidth="1"/>
    <col min="11399" max="11399" width="7.59765625" style="37" customWidth="1"/>
    <col min="11400" max="11400" width="8.8984375" style="37" customWidth="1"/>
    <col min="11401" max="11401" width="8.09765625" style="37" customWidth="1"/>
    <col min="11402" max="11406" width="8.8984375" style="37" customWidth="1"/>
    <col min="11407" max="11407" width="8" style="37" customWidth="1"/>
    <col min="11408" max="11408" width="7.69921875" style="37" customWidth="1"/>
    <col min="11409" max="11409" width="7.8984375" style="37" customWidth="1"/>
    <col min="11410" max="11410" width="7.3984375" style="37" customWidth="1"/>
    <col min="11411" max="11411" width="7.8984375" style="37" customWidth="1"/>
    <col min="11412" max="11418" width="8.8984375" style="37" customWidth="1"/>
    <col min="11419" max="11419" width="7.5" style="37" customWidth="1"/>
    <col min="11420" max="11420" width="7.19921875" style="37" customWidth="1"/>
    <col min="11421" max="11421" width="8.3984375" style="37" customWidth="1"/>
    <col min="11422" max="11422" width="7.19921875" style="37" customWidth="1"/>
    <col min="11423" max="11423" width="7.59765625" style="37" customWidth="1"/>
    <col min="11424" max="11521" width="8.69921875" style="37"/>
    <col min="11522" max="11522" width="4.5" style="37" bestFit="1" customWidth="1"/>
    <col min="11523" max="11523" width="69.09765625" style="37" customWidth="1"/>
    <col min="11524" max="11524" width="9.19921875" style="37" customWidth="1"/>
    <col min="11525" max="11525" width="8.59765625" style="37" customWidth="1"/>
    <col min="11526" max="11526" width="9.3984375" style="37" customWidth="1"/>
    <col min="11527" max="11527" width="10.19921875" style="37" customWidth="1"/>
    <col min="11528" max="11528" width="10.59765625" style="37" customWidth="1"/>
    <col min="11529" max="11529" width="10" style="37" customWidth="1"/>
    <col min="11530" max="11531" width="8.5" style="37" customWidth="1"/>
    <col min="11532" max="11532" width="7.5" style="37" customWidth="1"/>
    <col min="11533" max="11533" width="7.09765625" style="37" customWidth="1"/>
    <col min="11534" max="11534" width="8.09765625" style="37" customWidth="1"/>
    <col min="11535" max="11536" width="7.5" style="37" customWidth="1"/>
    <col min="11537" max="11537" width="8.59765625" style="37" customWidth="1"/>
    <col min="11538" max="11540" width="7.5" style="37" customWidth="1"/>
    <col min="11541" max="11541" width="8.3984375" style="37" customWidth="1"/>
    <col min="11542" max="11542" width="7.5" style="37" customWidth="1"/>
    <col min="11543" max="11543" width="8.19921875" style="37" customWidth="1"/>
    <col min="11544" max="11546" width="7.5" style="37" customWidth="1"/>
    <col min="11547" max="11547" width="8.19921875" style="37" customWidth="1"/>
    <col min="11548" max="11548" width="8.09765625" style="37" customWidth="1"/>
    <col min="11549" max="11549" width="8.19921875" style="37" customWidth="1"/>
    <col min="11550" max="11550" width="8.69921875" style="37" customWidth="1"/>
    <col min="11551" max="11551" width="7.09765625" style="37" customWidth="1"/>
    <col min="11552" max="11552" width="9.5" style="37" customWidth="1"/>
    <col min="11553" max="11553" width="8.59765625" style="37" customWidth="1"/>
    <col min="11554" max="11554" width="8.8984375" style="37" customWidth="1"/>
    <col min="11555" max="11555" width="8.09765625" style="37" customWidth="1"/>
    <col min="11556" max="11558" width="7.59765625" style="37" customWidth="1"/>
    <col min="11559" max="11559" width="6.5" style="37" customWidth="1"/>
    <col min="11560" max="11568" width="8.5" style="37" customWidth="1"/>
    <col min="11569" max="11569" width="7.5" style="37" customWidth="1"/>
    <col min="11570" max="11570" width="7.19921875" style="37" customWidth="1"/>
    <col min="11571" max="11571" width="8.5" style="37" customWidth="1"/>
    <col min="11572" max="11572" width="9.3984375" style="37" customWidth="1"/>
    <col min="11573" max="11575" width="8.5" style="37" customWidth="1"/>
    <col min="11576" max="11576" width="9.19921875" style="37" customWidth="1"/>
    <col min="11577" max="11579" width="8.5" style="37" customWidth="1"/>
    <col min="11580" max="11580" width="7.8984375" style="37" customWidth="1"/>
    <col min="11581" max="11581" width="8.5" style="37" customWidth="1"/>
    <col min="11582" max="11582" width="7.3984375" style="37" customWidth="1"/>
    <col min="11583" max="11583" width="7.59765625" style="37" customWidth="1"/>
    <col min="11584" max="11584" width="9.8984375" style="37" customWidth="1"/>
    <col min="11585" max="11585" width="8.19921875" style="37" customWidth="1"/>
    <col min="11586" max="11588" width="8.8984375" style="37" customWidth="1"/>
    <col min="11589" max="11589" width="8.69921875" style="37" customWidth="1"/>
    <col min="11590" max="11590" width="8" style="37" customWidth="1"/>
    <col min="11591" max="11591" width="8.19921875" style="37" customWidth="1"/>
    <col min="11592" max="11592" width="7.3984375" style="37" customWidth="1"/>
    <col min="11593" max="11593" width="8.8984375" style="37" customWidth="1"/>
    <col min="11594" max="11594" width="7.3984375" style="37" customWidth="1"/>
    <col min="11595" max="11595" width="6.59765625" style="37" customWidth="1"/>
    <col min="11596" max="11596" width="9.5" style="37" customWidth="1"/>
    <col min="11597" max="11597" width="8" style="37" customWidth="1"/>
    <col min="11598" max="11598" width="8.3984375" style="37" customWidth="1"/>
    <col min="11599" max="11599" width="8.5" style="37" customWidth="1"/>
    <col min="11600" max="11600" width="8" style="37" customWidth="1"/>
    <col min="11601" max="11601" width="7.8984375" style="37" customWidth="1"/>
    <col min="11602" max="11602" width="8" style="37" customWidth="1"/>
    <col min="11603" max="11603" width="8.5" style="37" customWidth="1"/>
    <col min="11604" max="11606" width="8.09765625" style="37" customWidth="1"/>
    <col min="11607" max="11607" width="8" style="37" customWidth="1"/>
    <col min="11608" max="11611" width="8.69921875" style="37" customWidth="1"/>
    <col min="11612" max="11612" width="7.59765625" style="37" customWidth="1"/>
    <col min="11613" max="11614" width="8.69921875" style="37" customWidth="1"/>
    <col min="11615" max="11615" width="7.69921875" style="37" customWidth="1"/>
    <col min="11616" max="11618" width="8" style="37" customWidth="1"/>
    <col min="11619" max="11619" width="7.8984375" style="37" customWidth="1"/>
    <col min="11620" max="11621" width="8.69921875" style="37" customWidth="1"/>
    <col min="11622" max="11622" width="8.3984375" style="37" customWidth="1"/>
    <col min="11623" max="11623" width="8" style="37" customWidth="1"/>
    <col min="11624" max="11624" width="7.8984375" style="37" customWidth="1"/>
    <col min="11625" max="11627" width="8.19921875" style="37" customWidth="1"/>
    <col min="11628" max="11630" width="8.09765625" style="37" customWidth="1"/>
    <col min="11631" max="11631" width="7.8984375" style="37" customWidth="1"/>
    <col min="11632" max="11632" width="8.8984375" style="37" customWidth="1"/>
    <col min="11633" max="11633" width="8.3984375" style="37" customWidth="1"/>
    <col min="11634" max="11634" width="8.19921875" style="37" customWidth="1"/>
    <col min="11635" max="11635" width="8.8984375" style="37" customWidth="1"/>
    <col min="11636" max="11636" width="8.09765625" style="37" customWidth="1"/>
    <col min="11637" max="11637" width="8.19921875" style="37" customWidth="1"/>
    <col min="11638" max="11638" width="8.8984375" style="37" customWidth="1"/>
    <col min="11639" max="11639" width="8" style="37" customWidth="1"/>
    <col min="11640" max="11642" width="7.8984375" style="37" customWidth="1"/>
    <col min="11643" max="11643" width="7.69921875" style="37" customWidth="1"/>
    <col min="11644" max="11647" width="8.8984375" style="37" customWidth="1"/>
    <col min="11648" max="11648" width="8.69921875" style="37" customWidth="1"/>
    <col min="11649" max="11649" width="8.59765625" style="37" customWidth="1"/>
    <col min="11650" max="11651" width="8.19921875" style="37" customWidth="1"/>
    <col min="11652" max="11652" width="7.59765625" style="37" customWidth="1"/>
    <col min="11653" max="11653" width="8" style="37" customWidth="1"/>
    <col min="11654" max="11654" width="7.09765625" style="37" customWidth="1"/>
    <col min="11655" max="11655" width="7.59765625" style="37" customWidth="1"/>
    <col min="11656" max="11656" width="8.8984375" style="37" customWidth="1"/>
    <col min="11657" max="11657" width="8.09765625" style="37" customWidth="1"/>
    <col min="11658" max="11662" width="8.8984375" style="37" customWidth="1"/>
    <col min="11663" max="11663" width="8" style="37" customWidth="1"/>
    <col min="11664" max="11664" width="7.69921875" style="37" customWidth="1"/>
    <col min="11665" max="11665" width="7.8984375" style="37" customWidth="1"/>
    <col min="11666" max="11666" width="7.3984375" style="37" customWidth="1"/>
    <col min="11667" max="11667" width="7.8984375" style="37" customWidth="1"/>
    <col min="11668" max="11674" width="8.8984375" style="37" customWidth="1"/>
    <col min="11675" max="11675" width="7.5" style="37" customWidth="1"/>
    <col min="11676" max="11676" width="7.19921875" style="37" customWidth="1"/>
    <col min="11677" max="11677" width="8.3984375" style="37" customWidth="1"/>
    <col min="11678" max="11678" width="7.19921875" style="37" customWidth="1"/>
    <col min="11679" max="11679" width="7.59765625" style="37" customWidth="1"/>
    <col min="11680" max="11777" width="8.69921875" style="37"/>
    <col min="11778" max="11778" width="4.5" style="37" bestFit="1" customWidth="1"/>
    <col min="11779" max="11779" width="69.09765625" style="37" customWidth="1"/>
    <col min="11780" max="11780" width="9.19921875" style="37" customWidth="1"/>
    <col min="11781" max="11781" width="8.59765625" style="37" customWidth="1"/>
    <col min="11782" max="11782" width="9.3984375" style="37" customWidth="1"/>
    <col min="11783" max="11783" width="10.19921875" style="37" customWidth="1"/>
    <col min="11784" max="11784" width="10.59765625" style="37" customWidth="1"/>
    <col min="11785" max="11785" width="10" style="37" customWidth="1"/>
    <col min="11786" max="11787" width="8.5" style="37" customWidth="1"/>
    <col min="11788" max="11788" width="7.5" style="37" customWidth="1"/>
    <col min="11789" max="11789" width="7.09765625" style="37" customWidth="1"/>
    <col min="11790" max="11790" width="8.09765625" style="37" customWidth="1"/>
    <col min="11791" max="11792" width="7.5" style="37" customWidth="1"/>
    <col min="11793" max="11793" width="8.59765625" style="37" customWidth="1"/>
    <col min="11794" max="11796" width="7.5" style="37" customWidth="1"/>
    <col min="11797" max="11797" width="8.3984375" style="37" customWidth="1"/>
    <col min="11798" max="11798" width="7.5" style="37" customWidth="1"/>
    <col min="11799" max="11799" width="8.19921875" style="37" customWidth="1"/>
    <col min="11800" max="11802" width="7.5" style="37" customWidth="1"/>
    <col min="11803" max="11803" width="8.19921875" style="37" customWidth="1"/>
    <col min="11804" max="11804" width="8.09765625" style="37" customWidth="1"/>
    <col min="11805" max="11805" width="8.19921875" style="37" customWidth="1"/>
    <col min="11806" max="11806" width="8.69921875" style="37" customWidth="1"/>
    <col min="11807" max="11807" width="7.09765625" style="37" customWidth="1"/>
    <col min="11808" max="11808" width="9.5" style="37" customWidth="1"/>
    <col min="11809" max="11809" width="8.59765625" style="37" customWidth="1"/>
    <col min="11810" max="11810" width="8.8984375" style="37" customWidth="1"/>
    <col min="11811" max="11811" width="8.09765625" style="37" customWidth="1"/>
    <col min="11812" max="11814" width="7.59765625" style="37" customWidth="1"/>
    <col min="11815" max="11815" width="6.5" style="37" customWidth="1"/>
    <col min="11816" max="11824" width="8.5" style="37" customWidth="1"/>
    <col min="11825" max="11825" width="7.5" style="37" customWidth="1"/>
    <col min="11826" max="11826" width="7.19921875" style="37" customWidth="1"/>
    <col min="11827" max="11827" width="8.5" style="37" customWidth="1"/>
    <col min="11828" max="11828" width="9.3984375" style="37" customWidth="1"/>
    <col min="11829" max="11831" width="8.5" style="37" customWidth="1"/>
    <col min="11832" max="11832" width="9.19921875" style="37" customWidth="1"/>
    <col min="11833" max="11835" width="8.5" style="37" customWidth="1"/>
    <col min="11836" max="11836" width="7.8984375" style="37" customWidth="1"/>
    <col min="11837" max="11837" width="8.5" style="37" customWidth="1"/>
    <col min="11838" max="11838" width="7.3984375" style="37" customWidth="1"/>
    <col min="11839" max="11839" width="7.59765625" style="37" customWidth="1"/>
    <col min="11840" max="11840" width="9.8984375" style="37" customWidth="1"/>
    <col min="11841" max="11841" width="8.19921875" style="37" customWidth="1"/>
    <col min="11842" max="11844" width="8.8984375" style="37" customWidth="1"/>
    <col min="11845" max="11845" width="8.69921875" style="37" customWidth="1"/>
    <col min="11846" max="11846" width="8" style="37" customWidth="1"/>
    <col min="11847" max="11847" width="8.19921875" style="37" customWidth="1"/>
    <col min="11848" max="11848" width="7.3984375" style="37" customWidth="1"/>
    <col min="11849" max="11849" width="8.8984375" style="37" customWidth="1"/>
    <col min="11850" max="11850" width="7.3984375" style="37" customWidth="1"/>
    <col min="11851" max="11851" width="6.59765625" style="37" customWidth="1"/>
    <col min="11852" max="11852" width="9.5" style="37" customWidth="1"/>
    <col min="11853" max="11853" width="8" style="37" customWidth="1"/>
    <col min="11854" max="11854" width="8.3984375" style="37" customWidth="1"/>
    <col min="11855" max="11855" width="8.5" style="37" customWidth="1"/>
    <col min="11856" max="11856" width="8" style="37" customWidth="1"/>
    <col min="11857" max="11857" width="7.8984375" style="37" customWidth="1"/>
    <col min="11858" max="11858" width="8" style="37" customWidth="1"/>
    <col min="11859" max="11859" width="8.5" style="37" customWidth="1"/>
    <col min="11860" max="11862" width="8.09765625" style="37" customWidth="1"/>
    <col min="11863" max="11863" width="8" style="37" customWidth="1"/>
    <col min="11864" max="11867" width="8.69921875" style="37" customWidth="1"/>
    <col min="11868" max="11868" width="7.59765625" style="37" customWidth="1"/>
    <col min="11869" max="11870" width="8.69921875" style="37" customWidth="1"/>
    <col min="11871" max="11871" width="7.69921875" style="37" customWidth="1"/>
    <col min="11872" max="11874" width="8" style="37" customWidth="1"/>
    <col min="11875" max="11875" width="7.8984375" style="37" customWidth="1"/>
    <col min="11876" max="11877" width="8.69921875" style="37" customWidth="1"/>
    <col min="11878" max="11878" width="8.3984375" style="37" customWidth="1"/>
    <col min="11879" max="11879" width="8" style="37" customWidth="1"/>
    <col min="11880" max="11880" width="7.8984375" style="37" customWidth="1"/>
    <col min="11881" max="11883" width="8.19921875" style="37" customWidth="1"/>
    <col min="11884" max="11886" width="8.09765625" style="37" customWidth="1"/>
    <col min="11887" max="11887" width="7.8984375" style="37" customWidth="1"/>
    <col min="11888" max="11888" width="8.8984375" style="37" customWidth="1"/>
    <col min="11889" max="11889" width="8.3984375" style="37" customWidth="1"/>
    <col min="11890" max="11890" width="8.19921875" style="37" customWidth="1"/>
    <col min="11891" max="11891" width="8.8984375" style="37" customWidth="1"/>
    <col min="11892" max="11892" width="8.09765625" style="37" customWidth="1"/>
    <col min="11893" max="11893" width="8.19921875" style="37" customWidth="1"/>
    <col min="11894" max="11894" width="8.8984375" style="37" customWidth="1"/>
    <col min="11895" max="11895" width="8" style="37" customWidth="1"/>
    <col min="11896" max="11898" width="7.8984375" style="37" customWidth="1"/>
    <col min="11899" max="11899" width="7.69921875" style="37" customWidth="1"/>
    <col min="11900" max="11903" width="8.8984375" style="37" customWidth="1"/>
    <col min="11904" max="11904" width="8.69921875" style="37" customWidth="1"/>
    <col min="11905" max="11905" width="8.59765625" style="37" customWidth="1"/>
    <col min="11906" max="11907" width="8.19921875" style="37" customWidth="1"/>
    <col min="11908" max="11908" width="7.59765625" style="37" customWidth="1"/>
    <col min="11909" max="11909" width="8" style="37" customWidth="1"/>
    <col min="11910" max="11910" width="7.09765625" style="37" customWidth="1"/>
    <col min="11911" max="11911" width="7.59765625" style="37" customWidth="1"/>
    <col min="11912" max="11912" width="8.8984375" style="37" customWidth="1"/>
    <col min="11913" max="11913" width="8.09765625" style="37" customWidth="1"/>
    <col min="11914" max="11918" width="8.8984375" style="37" customWidth="1"/>
    <col min="11919" max="11919" width="8" style="37" customWidth="1"/>
    <col min="11920" max="11920" width="7.69921875" style="37" customWidth="1"/>
    <col min="11921" max="11921" width="7.8984375" style="37" customWidth="1"/>
    <col min="11922" max="11922" width="7.3984375" style="37" customWidth="1"/>
    <col min="11923" max="11923" width="7.8984375" style="37" customWidth="1"/>
    <col min="11924" max="11930" width="8.8984375" style="37" customWidth="1"/>
    <col min="11931" max="11931" width="7.5" style="37" customWidth="1"/>
    <col min="11932" max="11932" width="7.19921875" style="37" customWidth="1"/>
    <col min="11933" max="11933" width="8.3984375" style="37" customWidth="1"/>
    <col min="11934" max="11934" width="7.19921875" style="37" customWidth="1"/>
    <col min="11935" max="11935" width="7.59765625" style="37" customWidth="1"/>
    <col min="11936" max="12033" width="8.69921875" style="37"/>
    <col min="12034" max="12034" width="4.5" style="37" bestFit="1" customWidth="1"/>
    <col min="12035" max="12035" width="69.09765625" style="37" customWidth="1"/>
    <col min="12036" max="12036" width="9.19921875" style="37" customWidth="1"/>
    <col min="12037" max="12037" width="8.59765625" style="37" customWidth="1"/>
    <col min="12038" max="12038" width="9.3984375" style="37" customWidth="1"/>
    <col min="12039" max="12039" width="10.19921875" style="37" customWidth="1"/>
    <col min="12040" max="12040" width="10.59765625" style="37" customWidth="1"/>
    <col min="12041" max="12041" width="10" style="37" customWidth="1"/>
    <col min="12042" max="12043" width="8.5" style="37" customWidth="1"/>
    <col min="12044" max="12044" width="7.5" style="37" customWidth="1"/>
    <col min="12045" max="12045" width="7.09765625" style="37" customWidth="1"/>
    <col min="12046" max="12046" width="8.09765625" style="37" customWidth="1"/>
    <col min="12047" max="12048" width="7.5" style="37" customWidth="1"/>
    <col min="12049" max="12049" width="8.59765625" style="37" customWidth="1"/>
    <col min="12050" max="12052" width="7.5" style="37" customWidth="1"/>
    <col min="12053" max="12053" width="8.3984375" style="37" customWidth="1"/>
    <col min="12054" max="12054" width="7.5" style="37" customWidth="1"/>
    <col min="12055" max="12055" width="8.19921875" style="37" customWidth="1"/>
    <col min="12056" max="12058" width="7.5" style="37" customWidth="1"/>
    <col min="12059" max="12059" width="8.19921875" style="37" customWidth="1"/>
    <col min="12060" max="12060" width="8.09765625" style="37" customWidth="1"/>
    <col min="12061" max="12061" width="8.19921875" style="37" customWidth="1"/>
    <col min="12062" max="12062" width="8.69921875" style="37" customWidth="1"/>
    <col min="12063" max="12063" width="7.09765625" style="37" customWidth="1"/>
    <col min="12064" max="12064" width="9.5" style="37" customWidth="1"/>
    <col min="12065" max="12065" width="8.59765625" style="37" customWidth="1"/>
    <col min="12066" max="12066" width="8.8984375" style="37" customWidth="1"/>
    <col min="12067" max="12067" width="8.09765625" style="37" customWidth="1"/>
    <col min="12068" max="12070" width="7.59765625" style="37" customWidth="1"/>
    <col min="12071" max="12071" width="6.5" style="37" customWidth="1"/>
    <col min="12072" max="12080" width="8.5" style="37" customWidth="1"/>
    <col min="12081" max="12081" width="7.5" style="37" customWidth="1"/>
    <col min="12082" max="12082" width="7.19921875" style="37" customWidth="1"/>
    <col min="12083" max="12083" width="8.5" style="37" customWidth="1"/>
    <col min="12084" max="12084" width="9.3984375" style="37" customWidth="1"/>
    <col min="12085" max="12087" width="8.5" style="37" customWidth="1"/>
    <col min="12088" max="12088" width="9.19921875" style="37" customWidth="1"/>
    <col min="12089" max="12091" width="8.5" style="37" customWidth="1"/>
    <col min="12092" max="12092" width="7.8984375" style="37" customWidth="1"/>
    <col min="12093" max="12093" width="8.5" style="37" customWidth="1"/>
    <col min="12094" max="12094" width="7.3984375" style="37" customWidth="1"/>
    <col min="12095" max="12095" width="7.59765625" style="37" customWidth="1"/>
    <col min="12096" max="12096" width="9.8984375" style="37" customWidth="1"/>
    <col min="12097" max="12097" width="8.19921875" style="37" customWidth="1"/>
    <col min="12098" max="12100" width="8.8984375" style="37" customWidth="1"/>
    <col min="12101" max="12101" width="8.69921875" style="37" customWidth="1"/>
    <col min="12102" max="12102" width="8" style="37" customWidth="1"/>
    <col min="12103" max="12103" width="8.19921875" style="37" customWidth="1"/>
    <col min="12104" max="12104" width="7.3984375" style="37" customWidth="1"/>
    <col min="12105" max="12105" width="8.8984375" style="37" customWidth="1"/>
    <col min="12106" max="12106" width="7.3984375" style="37" customWidth="1"/>
    <col min="12107" max="12107" width="6.59765625" style="37" customWidth="1"/>
    <col min="12108" max="12108" width="9.5" style="37" customWidth="1"/>
    <col min="12109" max="12109" width="8" style="37" customWidth="1"/>
    <col min="12110" max="12110" width="8.3984375" style="37" customWidth="1"/>
    <col min="12111" max="12111" width="8.5" style="37" customWidth="1"/>
    <col min="12112" max="12112" width="8" style="37" customWidth="1"/>
    <col min="12113" max="12113" width="7.8984375" style="37" customWidth="1"/>
    <col min="12114" max="12114" width="8" style="37" customWidth="1"/>
    <col min="12115" max="12115" width="8.5" style="37" customWidth="1"/>
    <col min="12116" max="12118" width="8.09765625" style="37" customWidth="1"/>
    <col min="12119" max="12119" width="8" style="37" customWidth="1"/>
    <col min="12120" max="12123" width="8.69921875" style="37" customWidth="1"/>
    <col min="12124" max="12124" width="7.59765625" style="37" customWidth="1"/>
    <col min="12125" max="12126" width="8.69921875" style="37" customWidth="1"/>
    <col min="12127" max="12127" width="7.69921875" style="37" customWidth="1"/>
    <col min="12128" max="12130" width="8" style="37" customWidth="1"/>
    <col min="12131" max="12131" width="7.8984375" style="37" customWidth="1"/>
    <col min="12132" max="12133" width="8.69921875" style="37" customWidth="1"/>
    <col min="12134" max="12134" width="8.3984375" style="37" customWidth="1"/>
    <col min="12135" max="12135" width="8" style="37" customWidth="1"/>
    <col min="12136" max="12136" width="7.8984375" style="37" customWidth="1"/>
    <col min="12137" max="12139" width="8.19921875" style="37" customWidth="1"/>
    <col min="12140" max="12142" width="8.09765625" style="37" customWidth="1"/>
    <col min="12143" max="12143" width="7.8984375" style="37" customWidth="1"/>
    <col min="12144" max="12144" width="8.8984375" style="37" customWidth="1"/>
    <col min="12145" max="12145" width="8.3984375" style="37" customWidth="1"/>
    <col min="12146" max="12146" width="8.19921875" style="37" customWidth="1"/>
    <col min="12147" max="12147" width="8.8984375" style="37" customWidth="1"/>
    <col min="12148" max="12148" width="8.09765625" style="37" customWidth="1"/>
    <col min="12149" max="12149" width="8.19921875" style="37" customWidth="1"/>
    <col min="12150" max="12150" width="8.8984375" style="37" customWidth="1"/>
    <col min="12151" max="12151" width="8" style="37" customWidth="1"/>
    <col min="12152" max="12154" width="7.8984375" style="37" customWidth="1"/>
    <col min="12155" max="12155" width="7.69921875" style="37" customWidth="1"/>
    <col min="12156" max="12159" width="8.8984375" style="37" customWidth="1"/>
    <col min="12160" max="12160" width="8.69921875" style="37" customWidth="1"/>
    <col min="12161" max="12161" width="8.59765625" style="37" customWidth="1"/>
    <col min="12162" max="12163" width="8.19921875" style="37" customWidth="1"/>
    <col min="12164" max="12164" width="7.59765625" style="37" customWidth="1"/>
    <col min="12165" max="12165" width="8" style="37" customWidth="1"/>
    <col min="12166" max="12166" width="7.09765625" style="37" customWidth="1"/>
    <col min="12167" max="12167" width="7.59765625" style="37" customWidth="1"/>
    <col min="12168" max="12168" width="8.8984375" style="37" customWidth="1"/>
    <col min="12169" max="12169" width="8.09765625" style="37" customWidth="1"/>
    <col min="12170" max="12174" width="8.8984375" style="37" customWidth="1"/>
    <col min="12175" max="12175" width="8" style="37" customWidth="1"/>
    <col min="12176" max="12176" width="7.69921875" style="37" customWidth="1"/>
    <col min="12177" max="12177" width="7.8984375" style="37" customWidth="1"/>
    <col min="12178" max="12178" width="7.3984375" style="37" customWidth="1"/>
    <col min="12179" max="12179" width="7.8984375" style="37" customWidth="1"/>
    <col min="12180" max="12186" width="8.8984375" style="37" customWidth="1"/>
    <col min="12187" max="12187" width="7.5" style="37" customWidth="1"/>
    <col min="12188" max="12188" width="7.19921875" style="37" customWidth="1"/>
    <col min="12189" max="12189" width="8.3984375" style="37" customWidth="1"/>
    <col min="12190" max="12190" width="7.19921875" style="37" customWidth="1"/>
    <col min="12191" max="12191" width="7.59765625" style="37" customWidth="1"/>
    <col min="12192" max="12289" width="8.69921875" style="37"/>
    <col min="12290" max="12290" width="4.5" style="37" bestFit="1" customWidth="1"/>
    <col min="12291" max="12291" width="69.09765625" style="37" customWidth="1"/>
    <col min="12292" max="12292" width="9.19921875" style="37" customWidth="1"/>
    <col min="12293" max="12293" width="8.59765625" style="37" customWidth="1"/>
    <col min="12294" max="12294" width="9.3984375" style="37" customWidth="1"/>
    <col min="12295" max="12295" width="10.19921875" style="37" customWidth="1"/>
    <col min="12296" max="12296" width="10.59765625" style="37" customWidth="1"/>
    <col min="12297" max="12297" width="10" style="37" customWidth="1"/>
    <col min="12298" max="12299" width="8.5" style="37" customWidth="1"/>
    <col min="12300" max="12300" width="7.5" style="37" customWidth="1"/>
    <col min="12301" max="12301" width="7.09765625" style="37" customWidth="1"/>
    <col min="12302" max="12302" width="8.09765625" style="37" customWidth="1"/>
    <col min="12303" max="12304" width="7.5" style="37" customWidth="1"/>
    <col min="12305" max="12305" width="8.59765625" style="37" customWidth="1"/>
    <col min="12306" max="12308" width="7.5" style="37" customWidth="1"/>
    <col min="12309" max="12309" width="8.3984375" style="37" customWidth="1"/>
    <col min="12310" max="12310" width="7.5" style="37" customWidth="1"/>
    <col min="12311" max="12311" width="8.19921875" style="37" customWidth="1"/>
    <col min="12312" max="12314" width="7.5" style="37" customWidth="1"/>
    <col min="12315" max="12315" width="8.19921875" style="37" customWidth="1"/>
    <col min="12316" max="12316" width="8.09765625" style="37" customWidth="1"/>
    <col min="12317" max="12317" width="8.19921875" style="37" customWidth="1"/>
    <col min="12318" max="12318" width="8.69921875" style="37" customWidth="1"/>
    <col min="12319" max="12319" width="7.09765625" style="37" customWidth="1"/>
    <col min="12320" max="12320" width="9.5" style="37" customWidth="1"/>
    <col min="12321" max="12321" width="8.59765625" style="37" customWidth="1"/>
    <col min="12322" max="12322" width="8.8984375" style="37" customWidth="1"/>
    <col min="12323" max="12323" width="8.09765625" style="37" customWidth="1"/>
    <col min="12324" max="12326" width="7.59765625" style="37" customWidth="1"/>
    <col min="12327" max="12327" width="6.5" style="37" customWidth="1"/>
    <col min="12328" max="12336" width="8.5" style="37" customWidth="1"/>
    <col min="12337" max="12337" width="7.5" style="37" customWidth="1"/>
    <col min="12338" max="12338" width="7.19921875" style="37" customWidth="1"/>
    <col min="12339" max="12339" width="8.5" style="37" customWidth="1"/>
    <col min="12340" max="12340" width="9.3984375" style="37" customWidth="1"/>
    <col min="12341" max="12343" width="8.5" style="37" customWidth="1"/>
    <col min="12344" max="12344" width="9.19921875" style="37" customWidth="1"/>
    <col min="12345" max="12347" width="8.5" style="37" customWidth="1"/>
    <col min="12348" max="12348" width="7.8984375" style="37" customWidth="1"/>
    <col min="12349" max="12349" width="8.5" style="37" customWidth="1"/>
    <col min="12350" max="12350" width="7.3984375" style="37" customWidth="1"/>
    <col min="12351" max="12351" width="7.59765625" style="37" customWidth="1"/>
    <col min="12352" max="12352" width="9.8984375" style="37" customWidth="1"/>
    <col min="12353" max="12353" width="8.19921875" style="37" customWidth="1"/>
    <col min="12354" max="12356" width="8.8984375" style="37" customWidth="1"/>
    <col min="12357" max="12357" width="8.69921875" style="37" customWidth="1"/>
    <col min="12358" max="12358" width="8" style="37" customWidth="1"/>
    <col min="12359" max="12359" width="8.19921875" style="37" customWidth="1"/>
    <col min="12360" max="12360" width="7.3984375" style="37" customWidth="1"/>
    <col min="12361" max="12361" width="8.8984375" style="37" customWidth="1"/>
    <col min="12362" max="12362" width="7.3984375" style="37" customWidth="1"/>
    <col min="12363" max="12363" width="6.59765625" style="37" customWidth="1"/>
    <col min="12364" max="12364" width="9.5" style="37" customWidth="1"/>
    <col min="12365" max="12365" width="8" style="37" customWidth="1"/>
    <col min="12366" max="12366" width="8.3984375" style="37" customWidth="1"/>
    <col min="12367" max="12367" width="8.5" style="37" customWidth="1"/>
    <col min="12368" max="12368" width="8" style="37" customWidth="1"/>
    <col min="12369" max="12369" width="7.8984375" style="37" customWidth="1"/>
    <col min="12370" max="12370" width="8" style="37" customWidth="1"/>
    <col min="12371" max="12371" width="8.5" style="37" customWidth="1"/>
    <col min="12372" max="12374" width="8.09765625" style="37" customWidth="1"/>
    <col min="12375" max="12375" width="8" style="37" customWidth="1"/>
    <col min="12376" max="12379" width="8.69921875" style="37" customWidth="1"/>
    <col min="12380" max="12380" width="7.59765625" style="37" customWidth="1"/>
    <col min="12381" max="12382" width="8.69921875" style="37" customWidth="1"/>
    <col min="12383" max="12383" width="7.69921875" style="37" customWidth="1"/>
    <col min="12384" max="12386" width="8" style="37" customWidth="1"/>
    <col min="12387" max="12387" width="7.8984375" style="37" customWidth="1"/>
    <col min="12388" max="12389" width="8.69921875" style="37" customWidth="1"/>
    <col min="12390" max="12390" width="8.3984375" style="37" customWidth="1"/>
    <col min="12391" max="12391" width="8" style="37" customWidth="1"/>
    <col min="12392" max="12392" width="7.8984375" style="37" customWidth="1"/>
    <col min="12393" max="12395" width="8.19921875" style="37" customWidth="1"/>
    <col min="12396" max="12398" width="8.09765625" style="37" customWidth="1"/>
    <col min="12399" max="12399" width="7.8984375" style="37" customWidth="1"/>
    <col min="12400" max="12400" width="8.8984375" style="37" customWidth="1"/>
    <col min="12401" max="12401" width="8.3984375" style="37" customWidth="1"/>
    <col min="12402" max="12402" width="8.19921875" style="37" customWidth="1"/>
    <col min="12403" max="12403" width="8.8984375" style="37" customWidth="1"/>
    <col min="12404" max="12404" width="8.09765625" style="37" customWidth="1"/>
    <col min="12405" max="12405" width="8.19921875" style="37" customWidth="1"/>
    <col min="12406" max="12406" width="8.8984375" style="37" customWidth="1"/>
    <col min="12407" max="12407" width="8" style="37" customWidth="1"/>
    <col min="12408" max="12410" width="7.8984375" style="37" customWidth="1"/>
    <col min="12411" max="12411" width="7.69921875" style="37" customWidth="1"/>
    <col min="12412" max="12415" width="8.8984375" style="37" customWidth="1"/>
    <col min="12416" max="12416" width="8.69921875" style="37" customWidth="1"/>
    <col min="12417" max="12417" width="8.59765625" style="37" customWidth="1"/>
    <col min="12418" max="12419" width="8.19921875" style="37" customWidth="1"/>
    <col min="12420" max="12420" width="7.59765625" style="37" customWidth="1"/>
    <col min="12421" max="12421" width="8" style="37" customWidth="1"/>
    <col min="12422" max="12422" width="7.09765625" style="37" customWidth="1"/>
    <col min="12423" max="12423" width="7.59765625" style="37" customWidth="1"/>
    <col min="12424" max="12424" width="8.8984375" style="37" customWidth="1"/>
    <col min="12425" max="12425" width="8.09765625" style="37" customWidth="1"/>
    <col min="12426" max="12430" width="8.8984375" style="37" customWidth="1"/>
    <col min="12431" max="12431" width="8" style="37" customWidth="1"/>
    <col min="12432" max="12432" width="7.69921875" style="37" customWidth="1"/>
    <col min="12433" max="12433" width="7.8984375" style="37" customWidth="1"/>
    <col min="12434" max="12434" width="7.3984375" style="37" customWidth="1"/>
    <col min="12435" max="12435" width="7.8984375" style="37" customWidth="1"/>
    <col min="12436" max="12442" width="8.8984375" style="37" customWidth="1"/>
    <col min="12443" max="12443" width="7.5" style="37" customWidth="1"/>
    <col min="12444" max="12444" width="7.19921875" style="37" customWidth="1"/>
    <col min="12445" max="12445" width="8.3984375" style="37" customWidth="1"/>
    <col min="12446" max="12446" width="7.19921875" style="37" customWidth="1"/>
    <col min="12447" max="12447" width="7.59765625" style="37" customWidth="1"/>
    <col min="12448" max="12545" width="8.69921875" style="37"/>
    <col min="12546" max="12546" width="4.5" style="37" bestFit="1" customWidth="1"/>
    <col min="12547" max="12547" width="69.09765625" style="37" customWidth="1"/>
    <col min="12548" max="12548" width="9.19921875" style="37" customWidth="1"/>
    <col min="12549" max="12549" width="8.59765625" style="37" customWidth="1"/>
    <col min="12550" max="12550" width="9.3984375" style="37" customWidth="1"/>
    <col min="12551" max="12551" width="10.19921875" style="37" customWidth="1"/>
    <col min="12552" max="12552" width="10.59765625" style="37" customWidth="1"/>
    <col min="12553" max="12553" width="10" style="37" customWidth="1"/>
    <col min="12554" max="12555" width="8.5" style="37" customWidth="1"/>
    <col min="12556" max="12556" width="7.5" style="37" customWidth="1"/>
    <col min="12557" max="12557" width="7.09765625" style="37" customWidth="1"/>
    <col min="12558" max="12558" width="8.09765625" style="37" customWidth="1"/>
    <col min="12559" max="12560" width="7.5" style="37" customWidth="1"/>
    <col min="12561" max="12561" width="8.59765625" style="37" customWidth="1"/>
    <col min="12562" max="12564" width="7.5" style="37" customWidth="1"/>
    <col min="12565" max="12565" width="8.3984375" style="37" customWidth="1"/>
    <col min="12566" max="12566" width="7.5" style="37" customWidth="1"/>
    <col min="12567" max="12567" width="8.19921875" style="37" customWidth="1"/>
    <col min="12568" max="12570" width="7.5" style="37" customWidth="1"/>
    <col min="12571" max="12571" width="8.19921875" style="37" customWidth="1"/>
    <col min="12572" max="12572" width="8.09765625" style="37" customWidth="1"/>
    <col min="12573" max="12573" width="8.19921875" style="37" customWidth="1"/>
    <col min="12574" max="12574" width="8.69921875" style="37" customWidth="1"/>
    <col min="12575" max="12575" width="7.09765625" style="37" customWidth="1"/>
    <col min="12576" max="12576" width="9.5" style="37" customWidth="1"/>
    <col min="12577" max="12577" width="8.59765625" style="37" customWidth="1"/>
    <col min="12578" max="12578" width="8.8984375" style="37" customWidth="1"/>
    <col min="12579" max="12579" width="8.09765625" style="37" customWidth="1"/>
    <col min="12580" max="12582" width="7.59765625" style="37" customWidth="1"/>
    <col min="12583" max="12583" width="6.5" style="37" customWidth="1"/>
    <col min="12584" max="12592" width="8.5" style="37" customWidth="1"/>
    <col min="12593" max="12593" width="7.5" style="37" customWidth="1"/>
    <col min="12594" max="12594" width="7.19921875" style="37" customWidth="1"/>
    <col min="12595" max="12595" width="8.5" style="37" customWidth="1"/>
    <col min="12596" max="12596" width="9.3984375" style="37" customWidth="1"/>
    <col min="12597" max="12599" width="8.5" style="37" customWidth="1"/>
    <col min="12600" max="12600" width="9.19921875" style="37" customWidth="1"/>
    <col min="12601" max="12603" width="8.5" style="37" customWidth="1"/>
    <col min="12604" max="12604" width="7.8984375" style="37" customWidth="1"/>
    <col min="12605" max="12605" width="8.5" style="37" customWidth="1"/>
    <col min="12606" max="12606" width="7.3984375" style="37" customWidth="1"/>
    <col min="12607" max="12607" width="7.59765625" style="37" customWidth="1"/>
    <col min="12608" max="12608" width="9.8984375" style="37" customWidth="1"/>
    <col min="12609" max="12609" width="8.19921875" style="37" customWidth="1"/>
    <col min="12610" max="12612" width="8.8984375" style="37" customWidth="1"/>
    <col min="12613" max="12613" width="8.69921875" style="37" customWidth="1"/>
    <col min="12614" max="12614" width="8" style="37" customWidth="1"/>
    <col min="12615" max="12615" width="8.19921875" style="37" customWidth="1"/>
    <col min="12616" max="12616" width="7.3984375" style="37" customWidth="1"/>
    <col min="12617" max="12617" width="8.8984375" style="37" customWidth="1"/>
    <col min="12618" max="12618" width="7.3984375" style="37" customWidth="1"/>
    <col min="12619" max="12619" width="6.59765625" style="37" customWidth="1"/>
    <col min="12620" max="12620" width="9.5" style="37" customWidth="1"/>
    <col min="12621" max="12621" width="8" style="37" customWidth="1"/>
    <col min="12622" max="12622" width="8.3984375" style="37" customWidth="1"/>
    <col min="12623" max="12623" width="8.5" style="37" customWidth="1"/>
    <col min="12624" max="12624" width="8" style="37" customWidth="1"/>
    <col min="12625" max="12625" width="7.8984375" style="37" customWidth="1"/>
    <col min="12626" max="12626" width="8" style="37" customWidth="1"/>
    <col min="12627" max="12627" width="8.5" style="37" customWidth="1"/>
    <col min="12628" max="12630" width="8.09765625" style="37" customWidth="1"/>
    <col min="12631" max="12631" width="8" style="37" customWidth="1"/>
    <col min="12632" max="12635" width="8.69921875" style="37" customWidth="1"/>
    <col min="12636" max="12636" width="7.59765625" style="37" customWidth="1"/>
    <col min="12637" max="12638" width="8.69921875" style="37" customWidth="1"/>
    <col min="12639" max="12639" width="7.69921875" style="37" customWidth="1"/>
    <col min="12640" max="12642" width="8" style="37" customWidth="1"/>
    <col min="12643" max="12643" width="7.8984375" style="37" customWidth="1"/>
    <col min="12644" max="12645" width="8.69921875" style="37" customWidth="1"/>
    <col min="12646" max="12646" width="8.3984375" style="37" customWidth="1"/>
    <col min="12647" max="12647" width="8" style="37" customWidth="1"/>
    <col min="12648" max="12648" width="7.8984375" style="37" customWidth="1"/>
    <col min="12649" max="12651" width="8.19921875" style="37" customWidth="1"/>
    <col min="12652" max="12654" width="8.09765625" style="37" customWidth="1"/>
    <col min="12655" max="12655" width="7.8984375" style="37" customWidth="1"/>
    <col min="12656" max="12656" width="8.8984375" style="37" customWidth="1"/>
    <col min="12657" max="12657" width="8.3984375" style="37" customWidth="1"/>
    <col min="12658" max="12658" width="8.19921875" style="37" customWidth="1"/>
    <col min="12659" max="12659" width="8.8984375" style="37" customWidth="1"/>
    <col min="12660" max="12660" width="8.09765625" style="37" customWidth="1"/>
    <col min="12661" max="12661" width="8.19921875" style="37" customWidth="1"/>
    <col min="12662" max="12662" width="8.8984375" style="37" customWidth="1"/>
    <col min="12663" max="12663" width="8" style="37" customWidth="1"/>
    <col min="12664" max="12666" width="7.8984375" style="37" customWidth="1"/>
    <col min="12667" max="12667" width="7.69921875" style="37" customWidth="1"/>
    <col min="12668" max="12671" width="8.8984375" style="37" customWidth="1"/>
    <col min="12672" max="12672" width="8.69921875" style="37" customWidth="1"/>
    <col min="12673" max="12673" width="8.59765625" style="37" customWidth="1"/>
    <col min="12674" max="12675" width="8.19921875" style="37" customWidth="1"/>
    <col min="12676" max="12676" width="7.59765625" style="37" customWidth="1"/>
    <col min="12677" max="12677" width="8" style="37" customWidth="1"/>
    <col min="12678" max="12678" width="7.09765625" style="37" customWidth="1"/>
    <col min="12679" max="12679" width="7.59765625" style="37" customWidth="1"/>
    <col min="12680" max="12680" width="8.8984375" style="37" customWidth="1"/>
    <col min="12681" max="12681" width="8.09765625" style="37" customWidth="1"/>
    <col min="12682" max="12686" width="8.8984375" style="37" customWidth="1"/>
    <col min="12687" max="12687" width="8" style="37" customWidth="1"/>
    <col min="12688" max="12688" width="7.69921875" style="37" customWidth="1"/>
    <col min="12689" max="12689" width="7.8984375" style="37" customWidth="1"/>
    <col min="12690" max="12690" width="7.3984375" style="37" customWidth="1"/>
    <col min="12691" max="12691" width="7.8984375" style="37" customWidth="1"/>
    <col min="12692" max="12698" width="8.8984375" style="37" customWidth="1"/>
    <col min="12699" max="12699" width="7.5" style="37" customWidth="1"/>
    <col min="12700" max="12700" width="7.19921875" style="37" customWidth="1"/>
    <col min="12701" max="12701" width="8.3984375" style="37" customWidth="1"/>
    <col min="12702" max="12702" width="7.19921875" style="37" customWidth="1"/>
    <col min="12703" max="12703" width="7.59765625" style="37" customWidth="1"/>
    <col min="12704" max="12801" width="8.69921875" style="37"/>
    <col min="12802" max="12802" width="4.5" style="37" bestFit="1" customWidth="1"/>
    <col min="12803" max="12803" width="69.09765625" style="37" customWidth="1"/>
    <col min="12804" max="12804" width="9.19921875" style="37" customWidth="1"/>
    <col min="12805" max="12805" width="8.59765625" style="37" customWidth="1"/>
    <col min="12806" max="12806" width="9.3984375" style="37" customWidth="1"/>
    <col min="12807" max="12807" width="10.19921875" style="37" customWidth="1"/>
    <col min="12808" max="12808" width="10.59765625" style="37" customWidth="1"/>
    <col min="12809" max="12809" width="10" style="37" customWidth="1"/>
    <col min="12810" max="12811" width="8.5" style="37" customWidth="1"/>
    <col min="12812" max="12812" width="7.5" style="37" customWidth="1"/>
    <col min="12813" max="12813" width="7.09765625" style="37" customWidth="1"/>
    <col min="12814" max="12814" width="8.09765625" style="37" customWidth="1"/>
    <col min="12815" max="12816" width="7.5" style="37" customWidth="1"/>
    <col min="12817" max="12817" width="8.59765625" style="37" customWidth="1"/>
    <col min="12818" max="12820" width="7.5" style="37" customWidth="1"/>
    <col min="12821" max="12821" width="8.3984375" style="37" customWidth="1"/>
    <col min="12822" max="12822" width="7.5" style="37" customWidth="1"/>
    <col min="12823" max="12823" width="8.19921875" style="37" customWidth="1"/>
    <col min="12824" max="12826" width="7.5" style="37" customWidth="1"/>
    <col min="12827" max="12827" width="8.19921875" style="37" customWidth="1"/>
    <col min="12828" max="12828" width="8.09765625" style="37" customWidth="1"/>
    <col min="12829" max="12829" width="8.19921875" style="37" customWidth="1"/>
    <col min="12830" max="12830" width="8.69921875" style="37" customWidth="1"/>
    <col min="12831" max="12831" width="7.09765625" style="37" customWidth="1"/>
    <col min="12832" max="12832" width="9.5" style="37" customWidth="1"/>
    <col min="12833" max="12833" width="8.59765625" style="37" customWidth="1"/>
    <col min="12834" max="12834" width="8.8984375" style="37" customWidth="1"/>
    <col min="12835" max="12835" width="8.09765625" style="37" customWidth="1"/>
    <col min="12836" max="12838" width="7.59765625" style="37" customWidth="1"/>
    <col min="12839" max="12839" width="6.5" style="37" customWidth="1"/>
    <col min="12840" max="12848" width="8.5" style="37" customWidth="1"/>
    <col min="12849" max="12849" width="7.5" style="37" customWidth="1"/>
    <col min="12850" max="12850" width="7.19921875" style="37" customWidth="1"/>
    <col min="12851" max="12851" width="8.5" style="37" customWidth="1"/>
    <col min="12852" max="12852" width="9.3984375" style="37" customWidth="1"/>
    <col min="12853" max="12855" width="8.5" style="37" customWidth="1"/>
    <col min="12856" max="12856" width="9.19921875" style="37" customWidth="1"/>
    <col min="12857" max="12859" width="8.5" style="37" customWidth="1"/>
    <col min="12860" max="12860" width="7.8984375" style="37" customWidth="1"/>
    <col min="12861" max="12861" width="8.5" style="37" customWidth="1"/>
    <col min="12862" max="12862" width="7.3984375" style="37" customWidth="1"/>
    <col min="12863" max="12863" width="7.59765625" style="37" customWidth="1"/>
    <col min="12864" max="12864" width="9.8984375" style="37" customWidth="1"/>
    <col min="12865" max="12865" width="8.19921875" style="37" customWidth="1"/>
    <col min="12866" max="12868" width="8.8984375" style="37" customWidth="1"/>
    <col min="12869" max="12869" width="8.69921875" style="37" customWidth="1"/>
    <col min="12870" max="12870" width="8" style="37" customWidth="1"/>
    <col min="12871" max="12871" width="8.19921875" style="37" customWidth="1"/>
    <col min="12872" max="12872" width="7.3984375" style="37" customWidth="1"/>
    <col min="12873" max="12873" width="8.8984375" style="37" customWidth="1"/>
    <col min="12874" max="12874" width="7.3984375" style="37" customWidth="1"/>
    <col min="12875" max="12875" width="6.59765625" style="37" customWidth="1"/>
    <col min="12876" max="12876" width="9.5" style="37" customWidth="1"/>
    <col min="12877" max="12877" width="8" style="37" customWidth="1"/>
    <col min="12878" max="12878" width="8.3984375" style="37" customWidth="1"/>
    <col min="12879" max="12879" width="8.5" style="37" customWidth="1"/>
    <col min="12880" max="12880" width="8" style="37" customWidth="1"/>
    <col min="12881" max="12881" width="7.8984375" style="37" customWidth="1"/>
    <col min="12882" max="12882" width="8" style="37" customWidth="1"/>
    <col min="12883" max="12883" width="8.5" style="37" customWidth="1"/>
    <col min="12884" max="12886" width="8.09765625" style="37" customWidth="1"/>
    <col min="12887" max="12887" width="8" style="37" customWidth="1"/>
    <col min="12888" max="12891" width="8.69921875" style="37" customWidth="1"/>
    <col min="12892" max="12892" width="7.59765625" style="37" customWidth="1"/>
    <col min="12893" max="12894" width="8.69921875" style="37" customWidth="1"/>
    <col min="12895" max="12895" width="7.69921875" style="37" customWidth="1"/>
    <col min="12896" max="12898" width="8" style="37" customWidth="1"/>
    <col min="12899" max="12899" width="7.8984375" style="37" customWidth="1"/>
    <col min="12900" max="12901" width="8.69921875" style="37" customWidth="1"/>
    <col min="12902" max="12902" width="8.3984375" style="37" customWidth="1"/>
    <col min="12903" max="12903" width="8" style="37" customWidth="1"/>
    <col min="12904" max="12904" width="7.8984375" style="37" customWidth="1"/>
    <col min="12905" max="12907" width="8.19921875" style="37" customWidth="1"/>
    <col min="12908" max="12910" width="8.09765625" style="37" customWidth="1"/>
    <col min="12911" max="12911" width="7.8984375" style="37" customWidth="1"/>
    <col min="12912" max="12912" width="8.8984375" style="37" customWidth="1"/>
    <col min="12913" max="12913" width="8.3984375" style="37" customWidth="1"/>
    <col min="12914" max="12914" width="8.19921875" style="37" customWidth="1"/>
    <col min="12915" max="12915" width="8.8984375" style="37" customWidth="1"/>
    <col min="12916" max="12916" width="8.09765625" style="37" customWidth="1"/>
    <col min="12917" max="12917" width="8.19921875" style="37" customWidth="1"/>
    <col min="12918" max="12918" width="8.8984375" style="37" customWidth="1"/>
    <col min="12919" max="12919" width="8" style="37" customWidth="1"/>
    <col min="12920" max="12922" width="7.8984375" style="37" customWidth="1"/>
    <col min="12923" max="12923" width="7.69921875" style="37" customWidth="1"/>
    <col min="12924" max="12927" width="8.8984375" style="37" customWidth="1"/>
    <col min="12928" max="12928" width="8.69921875" style="37" customWidth="1"/>
    <col min="12929" max="12929" width="8.59765625" style="37" customWidth="1"/>
    <col min="12930" max="12931" width="8.19921875" style="37" customWidth="1"/>
    <col min="12932" max="12932" width="7.59765625" style="37" customWidth="1"/>
    <col min="12933" max="12933" width="8" style="37" customWidth="1"/>
    <col min="12934" max="12934" width="7.09765625" style="37" customWidth="1"/>
    <col min="12935" max="12935" width="7.59765625" style="37" customWidth="1"/>
    <col min="12936" max="12936" width="8.8984375" style="37" customWidth="1"/>
    <col min="12937" max="12937" width="8.09765625" style="37" customWidth="1"/>
    <col min="12938" max="12942" width="8.8984375" style="37" customWidth="1"/>
    <col min="12943" max="12943" width="8" style="37" customWidth="1"/>
    <col min="12944" max="12944" width="7.69921875" style="37" customWidth="1"/>
    <col min="12945" max="12945" width="7.8984375" style="37" customWidth="1"/>
    <col min="12946" max="12946" width="7.3984375" style="37" customWidth="1"/>
    <col min="12947" max="12947" width="7.8984375" style="37" customWidth="1"/>
    <col min="12948" max="12954" width="8.8984375" style="37" customWidth="1"/>
    <col min="12955" max="12955" width="7.5" style="37" customWidth="1"/>
    <col min="12956" max="12956" width="7.19921875" style="37" customWidth="1"/>
    <col min="12957" max="12957" width="8.3984375" style="37" customWidth="1"/>
    <col min="12958" max="12958" width="7.19921875" style="37" customWidth="1"/>
    <col min="12959" max="12959" width="7.59765625" style="37" customWidth="1"/>
    <col min="12960" max="13057" width="8.69921875" style="37"/>
    <col min="13058" max="13058" width="4.5" style="37" bestFit="1" customWidth="1"/>
    <col min="13059" max="13059" width="69.09765625" style="37" customWidth="1"/>
    <col min="13060" max="13060" width="9.19921875" style="37" customWidth="1"/>
    <col min="13061" max="13061" width="8.59765625" style="37" customWidth="1"/>
    <col min="13062" max="13062" width="9.3984375" style="37" customWidth="1"/>
    <col min="13063" max="13063" width="10.19921875" style="37" customWidth="1"/>
    <col min="13064" max="13064" width="10.59765625" style="37" customWidth="1"/>
    <col min="13065" max="13065" width="10" style="37" customWidth="1"/>
    <col min="13066" max="13067" width="8.5" style="37" customWidth="1"/>
    <col min="13068" max="13068" width="7.5" style="37" customWidth="1"/>
    <col min="13069" max="13069" width="7.09765625" style="37" customWidth="1"/>
    <col min="13070" max="13070" width="8.09765625" style="37" customWidth="1"/>
    <col min="13071" max="13072" width="7.5" style="37" customWidth="1"/>
    <col min="13073" max="13073" width="8.59765625" style="37" customWidth="1"/>
    <col min="13074" max="13076" width="7.5" style="37" customWidth="1"/>
    <col min="13077" max="13077" width="8.3984375" style="37" customWidth="1"/>
    <col min="13078" max="13078" width="7.5" style="37" customWidth="1"/>
    <col min="13079" max="13079" width="8.19921875" style="37" customWidth="1"/>
    <col min="13080" max="13082" width="7.5" style="37" customWidth="1"/>
    <col min="13083" max="13083" width="8.19921875" style="37" customWidth="1"/>
    <col min="13084" max="13084" width="8.09765625" style="37" customWidth="1"/>
    <col min="13085" max="13085" width="8.19921875" style="37" customWidth="1"/>
    <col min="13086" max="13086" width="8.69921875" style="37" customWidth="1"/>
    <col min="13087" max="13087" width="7.09765625" style="37" customWidth="1"/>
    <col min="13088" max="13088" width="9.5" style="37" customWidth="1"/>
    <col min="13089" max="13089" width="8.59765625" style="37" customWidth="1"/>
    <col min="13090" max="13090" width="8.8984375" style="37" customWidth="1"/>
    <col min="13091" max="13091" width="8.09765625" style="37" customWidth="1"/>
    <col min="13092" max="13094" width="7.59765625" style="37" customWidth="1"/>
    <col min="13095" max="13095" width="6.5" style="37" customWidth="1"/>
    <col min="13096" max="13104" width="8.5" style="37" customWidth="1"/>
    <col min="13105" max="13105" width="7.5" style="37" customWidth="1"/>
    <col min="13106" max="13106" width="7.19921875" style="37" customWidth="1"/>
    <col min="13107" max="13107" width="8.5" style="37" customWidth="1"/>
    <col min="13108" max="13108" width="9.3984375" style="37" customWidth="1"/>
    <col min="13109" max="13111" width="8.5" style="37" customWidth="1"/>
    <col min="13112" max="13112" width="9.19921875" style="37" customWidth="1"/>
    <col min="13113" max="13115" width="8.5" style="37" customWidth="1"/>
    <col min="13116" max="13116" width="7.8984375" style="37" customWidth="1"/>
    <col min="13117" max="13117" width="8.5" style="37" customWidth="1"/>
    <col min="13118" max="13118" width="7.3984375" style="37" customWidth="1"/>
    <col min="13119" max="13119" width="7.59765625" style="37" customWidth="1"/>
    <col min="13120" max="13120" width="9.8984375" style="37" customWidth="1"/>
    <col min="13121" max="13121" width="8.19921875" style="37" customWidth="1"/>
    <col min="13122" max="13124" width="8.8984375" style="37" customWidth="1"/>
    <col min="13125" max="13125" width="8.69921875" style="37" customWidth="1"/>
    <col min="13126" max="13126" width="8" style="37" customWidth="1"/>
    <col min="13127" max="13127" width="8.19921875" style="37" customWidth="1"/>
    <col min="13128" max="13128" width="7.3984375" style="37" customWidth="1"/>
    <col min="13129" max="13129" width="8.8984375" style="37" customWidth="1"/>
    <col min="13130" max="13130" width="7.3984375" style="37" customWidth="1"/>
    <col min="13131" max="13131" width="6.59765625" style="37" customWidth="1"/>
    <col min="13132" max="13132" width="9.5" style="37" customWidth="1"/>
    <col min="13133" max="13133" width="8" style="37" customWidth="1"/>
    <col min="13134" max="13134" width="8.3984375" style="37" customWidth="1"/>
    <col min="13135" max="13135" width="8.5" style="37" customWidth="1"/>
    <col min="13136" max="13136" width="8" style="37" customWidth="1"/>
    <col min="13137" max="13137" width="7.8984375" style="37" customWidth="1"/>
    <col min="13138" max="13138" width="8" style="37" customWidth="1"/>
    <col min="13139" max="13139" width="8.5" style="37" customWidth="1"/>
    <col min="13140" max="13142" width="8.09765625" style="37" customWidth="1"/>
    <col min="13143" max="13143" width="8" style="37" customWidth="1"/>
    <col min="13144" max="13147" width="8.69921875" style="37" customWidth="1"/>
    <col min="13148" max="13148" width="7.59765625" style="37" customWidth="1"/>
    <col min="13149" max="13150" width="8.69921875" style="37" customWidth="1"/>
    <col min="13151" max="13151" width="7.69921875" style="37" customWidth="1"/>
    <col min="13152" max="13154" width="8" style="37" customWidth="1"/>
    <col min="13155" max="13155" width="7.8984375" style="37" customWidth="1"/>
    <col min="13156" max="13157" width="8.69921875" style="37" customWidth="1"/>
    <col min="13158" max="13158" width="8.3984375" style="37" customWidth="1"/>
    <col min="13159" max="13159" width="8" style="37" customWidth="1"/>
    <col min="13160" max="13160" width="7.8984375" style="37" customWidth="1"/>
    <col min="13161" max="13163" width="8.19921875" style="37" customWidth="1"/>
    <col min="13164" max="13166" width="8.09765625" style="37" customWidth="1"/>
    <col min="13167" max="13167" width="7.8984375" style="37" customWidth="1"/>
    <col min="13168" max="13168" width="8.8984375" style="37" customWidth="1"/>
    <col min="13169" max="13169" width="8.3984375" style="37" customWidth="1"/>
    <col min="13170" max="13170" width="8.19921875" style="37" customWidth="1"/>
    <col min="13171" max="13171" width="8.8984375" style="37" customWidth="1"/>
    <col min="13172" max="13172" width="8.09765625" style="37" customWidth="1"/>
    <col min="13173" max="13173" width="8.19921875" style="37" customWidth="1"/>
    <col min="13174" max="13174" width="8.8984375" style="37" customWidth="1"/>
    <col min="13175" max="13175" width="8" style="37" customWidth="1"/>
    <col min="13176" max="13178" width="7.8984375" style="37" customWidth="1"/>
    <col min="13179" max="13179" width="7.69921875" style="37" customWidth="1"/>
    <col min="13180" max="13183" width="8.8984375" style="37" customWidth="1"/>
    <col min="13184" max="13184" width="8.69921875" style="37" customWidth="1"/>
    <col min="13185" max="13185" width="8.59765625" style="37" customWidth="1"/>
    <col min="13186" max="13187" width="8.19921875" style="37" customWidth="1"/>
    <col min="13188" max="13188" width="7.59765625" style="37" customWidth="1"/>
    <col min="13189" max="13189" width="8" style="37" customWidth="1"/>
    <col min="13190" max="13190" width="7.09765625" style="37" customWidth="1"/>
    <col min="13191" max="13191" width="7.59765625" style="37" customWidth="1"/>
    <col min="13192" max="13192" width="8.8984375" style="37" customWidth="1"/>
    <col min="13193" max="13193" width="8.09765625" style="37" customWidth="1"/>
    <col min="13194" max="13198" width="8.8984375" style="37" customWidth="1"/>
    <col min="13199" max="13199" width="8" style="37" customWidth="1"/>
    <col min="13200" max="13200" width="7.69921875" style="37" customWidth="1"/>
    <col min="13201" max="13201" width="7.8984375" style="37" customWidth="1"/>
    <col min="13202" max="13202" width="7.3984375" style="37" customWidth="1"/>
    <col min="13203" max="13203" width="7.8984375" style="37" customWidth="1"/>
    <col min="13204" max="13210" width="8.8984375" style="37" customWidth="1"/>
    <col min="13211" max="13211" width="7.5" style="37" customWidth="1"/>
    <col min="13212" max="13212" width="7.19921875" style="37" customWidth="1"/>
    <col min="13213" max="13213" width="8.3984375" style="37" customWidth="1"/>
    <col min="13214" max="13214" width="7.19921875" style="37" customWidth="1"/>
    <col min="13215" max="13215" width="7.59765625" style="37" customWidth="1"/>
    <col min="13216" max="13313" width="8.69921875" style="37"/>
    <col min="13314" max="13314" width="4.5" style="37" bestFit="1" customWidth="1"/>
    <col min="13315" max="13315" width="69.09765625" style="37" customWidth="1"/>
    <col min="13316" max="13316" width="9.19921875" style="37" customWidth="1"/>
    <col min="13317" max="13317" width="8.59765625" style="37" customWidth="1"/>
    <col min="13318" max="13318" width="9.3984375" style="37" customWidth="1"/>
    <col min="13319" max="13319" width="10.19921875" style="37" customWidth="1"/>
    <col min="13320" max="13320" width="10.59765625" style="37" customWidth="1"/>
    <col min="13321" max="13321" width="10" style="37" customWidth="1"/>
    <col min="13322" max="13323" width="8.5" style="37" customWidth="1"/>
    <col min="13324" max="13324" width="7.5" style="37" customWidth="1"/>
    <col min="13325" max="13325" width="7.09765625" style="37" customWidth="1"/>
    <col min="13326" max="13326" width="8.09765625" style="37" customWidth="1"/>
    <col min="13327" max="13328" width="7.5" style="37" customWidth="1"/>
    <col min="13329" max="13329" width="8.59765625" style="37" customWidth="1"/>
    <col min="13330" max="13332" width="7.5" style="37" customWidth="1"/>
    <col min="13333" max="13333" width="8.3984375" style="37" customWidth="1"/>
    <col min="13334" max="13334" width="7.5" style="37" customWidth="1"/>
    <col min="13335" max="13335" width="8.19921875" style="37" customWidth="1"/>
    <col min="13336" max="13338" width="7.5" style="37" customWidth="1"/>
    <col min="13339" max="13339" width="8.19921875" style="37" customWidth="1"/>
    <col min="13340" max="13340" width="8.09765625" style="37" customWidth="1"/>
    <col min="13341" max="13341" width="8.19921875" style="37" customWidth="1"/>
    <col min="13342" max="13342" width="8.69921875" style="37" customWidth="1"/>
    <col min="13343" max="13343" width="7.09765625" style="37" customWidth="1"/>
    <col min="13344" max="13344" width="9.5" style="37" customWidth="1"/>
    <col min="13345" max="13345" width="8.59765625" style="37" customWidth="1"/>
    <col min="13346" max="13346" width="8.8984375" style="37" customWidth="1"/>
    <col min="13347" max="13347" width="8.09765625" style="37" customWidth="1"/>
    <col min="13348" max="13350" width="7.59765625" style="37" customWidth="1"/>
    <col min="13351" max="13351" width="6.5" style="37" customWidth="1"/>
    <col min="13352" max="13360" width="8.5" style="37" customWidth="1"/>
    <col min="13361" max="13361" width="7.5" style="37" customWidth="1"/>
    <col min="13362" max="13362" width="7.19921875" style="37" customWidth="1"/>
    <col min="13363" max="13363" width="8.5" style="37" customWidth="1"/>
    <col min="13364" max="13364" width="9.3984375" style="37" customWidth="1"/>
    <col min="13365" max="13367" width="8.5" style="37" customWidth="1"/>
    <col min="13368" max="13368" width="9.19921875" style="37" customWidth="1"/>
    <col min="13369" max="13371" width="8.5" style="37" customWidth="1"/>
    <col min="13372" max="13372" width="7.8984375" style="37" customWidth="1"/>
    <col min="13373" max="13373" width="8.5" style="37" customWidth="1"/>
    <col min="13374" max="13374" width="7.3984375" style="37" customWidth="1"/>
    <col min="13375" max="13375" width="7.59765625" style="37" customWidth="1"/>
    <col min="13376" max="13376" width="9.8984375" style="37" customWidth="1"/>
    <col min="13377" max="13377" width="8.19921875" style="37" customWidth="1"/>
    <col min="13378" max="13380" width="8.8984375" style="37" customWidth="1"/>
    <col min="13381" max="13381" width="8.69921875" style="37" customWidth="1"/>
    <col min="13382" max="13382" width="8" style="37" customWidth="1"/>
    <col min="13383" max="13383" width="8.19921875" style="37" customWidth="1"/>
    <col min="13384" max="13384" width="7.3984375" style="37" customWidth="1"/>
    <col min="13385" max="13385" width="8.8984375" style="37" customWidth="1"/>
    <col min="13386" max="13386" width="7.3984375" style="37" customWidth="1"/>
    <col min="13387" max="13387" width="6.59765625" style="37" customWidth="1"/>
    <col min="13388" max="13388" width="9.5" style="37" customWidth="1"/>
    <col min="13389" max="13389" width="8" style="37" customWidth="1"/>
    <col min="13390" max="13390" width="8.3984375" style="37" customWidth="1"/>
    <col min="13391" max="13391" width="8.5" style="37" customWidth="1"/>
    <col min="13392" max="13392" width="8" style="37" customWidth="1"/>
    <col min="13393" max="13393" width="7.8984375" style="37" customWidth="1"/>
    <col min="13394" max="13394" width="8" style="37" customWidth="1"/>
    <col min="13395" max="13395" width="8.5" style="37" customWidth="1"/>
    <col min="13396" max="13398" width="8.09765625" style="37" customWidth="1"/>
    <col min="13399" max="13399" width="8" style="37" customWidth="1"/>
    <col min="13400" max="13403" width="8.69921875" style="37" customWidth="1"/>
    <col min="13404" max="13404" width="7.59765625" style="37" customWidth="1"/>
    <col min="13405" max="13406" width="8.69921875" style="37" customWidth="1"/>
    <col min="13407" max="13407" width="7.69921875" style="37" customWidth="1"/>
    <col min="13408" max="13410" width="8" style="37" customWidth="1"/>
    <col min="13411" max="13411" width="7.8984375" style="37" customWidth="1"/>
    <col min="13412" max="13413" width="8.69921875" style="37" customWidth="1"/>
    <col min="13414" max="13414" width="8.3984375" style="37" customWidth="1"/>
    <col min="13415" max="13415" width="8" style="37" customWidth="1"/>
    <col min="13416" max="13416" width="7.8984375" style="37" customWidth="1"/>
    <col min="13417" max="13419" width="8.19921875" style="37" customWidth="1"/>
    <col min="13420" max="13422" width="8.09765625" style="37" customWidth="1"/>
    <col min="13423" max="13423" width="7.8984375" style="37" customWidth="1"/>
    <col min="13424" max="13424" width="8.8984375" style="37" customWidth="1"/>
    <col min="13425" max="13425" width="8.3984375" style="37" customWidth="1"/>
    <col min="13426" max="13426" width="8.19921875" style="37" customWidth="1"/>
    <col min="13427" max="13427" width="8.8984375" style="37" customWidth="1"/>
    <col min="13428" max="13428" width="8.09765625" style="37" customWidth="1"/>
    <col min="13429" max="13429" width="8.19921875" style="37" customWidth="1"/>
    <col min="13430" max="13430" width="8.8984375" style="37" customWidth="1"/>
    <col min="13431" max="13431" width="8" style="37" customWidth="1"/>
    <col min="13432" max="13434" width="7.8984375" style="37" customWidth="1"/>
    <col min="13435" max="13435" width="7.69921875" style="37" customWidth="1"/>
    <col min="13436" max="13439" width="8.8984375" style="37" customWidth="1"/>
    <col min="13440" max="13440" width="8.69921875" style="37" customWidth="1"/>
    <col min="13441" max="13441" width="8.59765625" style="37" customWidth="1"/>
    <col min="13442" max="13443" width="8.19921875" style="37" customWidth="1"/>
    <col min="13444" max="13444" width="7.59765625" style="37" customWidth="1"/>
    <col min="13445" max="13445" width="8" style="37" customWidth="1"/>
    <col min="13446" max="13446" width="7.09765625" style="37" customWidth="1"/>
    <col min="13447" max="13447" width="7.59765625" style="37" customWidth="1"/>
    <col min="13448" max="13448" width="8.8984375" style="37" customWidth="1"/>
    <col min="13449" max="13449" width="8.09765625" style="37" customWidth="1"/>
    <col min="13450" max="13454" width="8.8984375" style="37" customWidth="1"/>
    <col min="13455" max="13455" width="8" style="37" customWidth="1"/>
    <col min="13456" max="13456" width="7.69921875" style="37" customWidth="1"/>
    <col min="13457" max="13457" width="7.8984375" style="37" customWidth="1"/>
    <col min="13458" max="13458" width="7.3984375" style="37" customWidth="1"/>
    <col min="13459" max="13459" width="7.8984375" style="37" customWidth="1"/>
    <col min="13460" max="13466" width="8.8984375" style="37" customWidth="1"/>
    <col min="13467" max="13467" width="7.5" style="37" customWidth="1"/>
    <col min="13468" max="13468" width="7.19921875" style="37" customWidth="1"/>
    <col min="13469" max="13469" width="8.3984375" style="37" customWidth="1"/>
    <col min="13470" max="13470" width="7.19921875" style="37" customWidth="1"/>
    <col min="13471" max="13471" width="7.59765625" style="37" customWidth="1"/>
    <col min="13472" max="13569" width="8.69921875" style="37"/>
    <col min="13570" max="13570" width="4.5" style="37" bestFit="1" customWidth="1"/>
    <col min="13571" max="13571" width="69.09765625" style="37" customWidth="1"/>
    <col min="13572" max="13572" width="9.19921875" style="37" customWidth="1"/>
    <col min="13573" max="13573" width="8.59765625" style="37" customWidth="1"/>
    <col min="13574" max="13574" width="9.3984375" style="37" customWidth="1"/>
    <col min="13575" max="13575" width="10.19921875" style="37" customWidth="1"/>
    <col min="13576" max="13576" width="10.59765625" style="37" customWidth="1"/>
    <col min="13577" max="13577" width="10" style="37" customWidth="1"/>
    <col min="13578" max="13579" width="8.5" style="37" customWidth="1"/>
    <col min="13580" max="13580" width="7.5" style="37" customWidth="1"/>
    <col min="13581" max="13581" width="7.09765625" style="37" customWidth="1"/>
    <col min="13582" max="13582" width="8.09765625" style="37" customWidth="1"/>
    <col min="13583" max="13584" width="7.5" style="37" customWidth="1"/>
    <col min="13585" max="13585" width="8.59765625" style="37" customWidth="1"/>
    <col min="13586" max="13588" width="7.5" style="37" customWidth="1"/>
    <col min="13589" max="13589" width="8.3984375" style="37" customWidth="1"/>
    <col min="13590" max="13590" width="7.5" style="37" customWidth="1"/>
    <col min="13591" max="13591" width="8.19921875" style="37" customWidth="1"/>
    <col min="13592" max="13594" width="7.5" style="37" customWidth="1"/>
    <col min="13595" max="13595" width="8.19921875" style="37" customWidth="1"/>
    <col min="13596" max="13596" width="8.09765625" style="37" customWidth="1"/>
    <col min="13597" max="13597" width="8.19921875" style="37" customWidth="1"/>
    <col min="13598" max="13598" width="8.69921875" style="37" customWidth="1"/>
    <col min="13599" max="13599" width="7.09765625" style="37" customWidth="1"/>
    <col min="13600" max="13600" width="9.5" style="37" customWidth="1"/>
    <col min="13601" max="13601" width="8.59765625" style="37" customWidth="1"/>
    <col min="13602" max="13602" width="8.8984375" style="37" customWidth="1"/>
    <col min="13603" max="13603" width="8.09765625" style="37" customWidth="1"/>
    <col min="13604" max="13606" width="7.59765625" style="37" customWidth="1"/>
    <col min="13607" max="13607" width="6.5" style="37" customWidth="1"/>
    <col min="13608" max="13616" width="8.5" style="37" customWidth="1"/>
    <col min="13617" max="13617" width="7.5" style="37" customWidth="1"/>
    <col min="13618" max="13618" width="7.19921875" style="37" customWidth="1"/>
    <col min="13619" max="13619" width="8.5" style="37" customWidth="1"/>
    <col min="13620" max="13620" width="9.3984375" style="37" customWidth="1"/>
    <col min="13621" max="13623" width="8.5" style="37" customWidth="1"/>
    <col min="13624" max="13624" width="9.19921875" style="37" customWidth="1"/>
    <col min="13625" max="13627" width="8.5" style="37" customWidth="1"/>
    <col min="13628" max="13628" width="7.8984375" style="37" customWidth="1"/>
    <col min="13629" max="13629" width="8.5" style="37" customWidth="1"/>
    <col min="13630" max="13630" width="7.3984375" style="37" customWidth="1"/>
    <col min="13631" max="13631" width="7.59765625" style="37" customWidth="1"/>
    <col min="13632" max="13632" width="9.8984375" style="37" customWidth="1"/>
    <col min="13633" max="13633" width="8.19921875" style="37" customWidth="1"/>
    <col min="13634" max="13636" width="8.8984375" style="37" customWidth="1"/>
    <col min="13637" max="13637" width="8.69921875" style="37" customWidth="1"/>
    <col min="13638" max="13638" width="8" style="37" customWidth="1"/>
    <col min="13639" max="13639" width="8.19921875" style="37" customWidth="1"/>
    <col min="13640" max="13640" width="7.3984375" style="37" customWidth="1"/>
    <col min="13641" max="13641" width="8.8984375" style="37" customWidth="1"/>
    <col min="13642" max="13642" width="7.3984375" style="37" customWidth="1"/>
    <col min="13643" max="13643" width="6.59765625" style="37" customWidth="1"/>
    <col min="13644" max="13644" width="9.5" style="37" customWidth="1"/>
    <col min="13645" max="13645" width="8" style="37" customWidth="1"/>
    <col min="13646" max="13646" width="8.3984375" style="37" customWidth="1"/>
    <col min="13647" max="13647" width="8.5" style="37" customWidth="1"/>
    <col min="13648" max="13648" width="8" style="37" customWidth="1"/>
    <col min="13649" max="13649" width="7.8984375" style="37" customWidth="1"/>
    <col min="13650" max="13650" width="8" style="37" customWidth="1"/>
    <col min="13651" max="13651" width="8.5" style="37" customWidth="1"/>
    <col min="13652" max="13654" width="8.09765625" style="37" customWidth="1"/>
    <col min="13655" max="13655" width="8" style="37" customWidth="1"/>
    <col min="13656" max="13659" width="8.69921875" style="37" customWidth="1"/>
    <col min="13660" max="13660" width="7.59765625" style="37" customWidth="1"/>
    <col min="13661" max="13662" width="8.69921875" style="37" customWidth="1"/>
    <col min="13663" max="13663" width="7.69921875" style="37" customWidth="1"/>
    <col min="13664" max="13666" width="8" style="37" customWidth="1"/>
    <col min="13667" max="13667" width="7.8984375" style="37" customWidth="1"/>
    <col min="13668" max="13669" width="8.69921875" style="37" customWidth="1"/>
    <col min="13670" max="13670" width="8.3984375" style="37" customWidth="1"/>
    <col min="13671" max="13671" width="8" style="37" customWidth="1"/>
    <col min="13672" max="13672" width="7.8984375" style="37" customWidth="1"/>
    <col min="13673" max="13675" width="8.19921875" style="37" customWidth="1"/>
    <col min="13676" max="13678" width="8.09765625" style="37" customWidth="1"/>
    <col min="13679" max="13679" width="7.8984375" style="37" customWidth="1"/>
    <col min="13680" max="13680" width="8.8984375" style="37" customWidth="1"/>
    <col min="13681" max="13681" width="8.3984375" style="37" customWidth="1"/>
    <col min="13682" max="13682" width="8.19921875" style="37" customWidth="1"/>
    <col min="13683" max="13683" width="8.8984375" style="37" customWidth="1"/>
    <col min="13684" max="13684" width="8.09765625" style="37" customWidth="1"/>
    <col min="13685" max="13685" width="8.19921875" style="37" customWidth="1"/>
    <col min="13686" max="13686" width="8.8984375" style="37" customWidth="1"/>
    <col min="13687" max="13687" width="8" style="37" customWidth="1"/>
    <col min="13688" max="13690" width="7.8984375" style="37" customWidth="1"/>
    <col min="13691" max="13691" width="7.69921875" style="37" customWidth="1"/>
    <col min="13692" max="13695" width="8.8984375" style="37" customWidth="1"/>
    <col min="13696" max="13696" width="8.69921875" style="37" customWidth="1"/>
    <col min="13697" max="13697" width="8.59765625" style="37" customWidth="1"/>
    <col min="13698" max="13699" width="8.19921875" style="37" customWidth="1"/>
    <col min="13700" max="13700" width="7.59765625" style="37" customWidth="1"/>
    <col min="13701" max="13701" width="8" style="37" customWidth="1"/>
    <col min="13702" max="13702" width="7.09765625" style="37" customWidth="1"/>
    <col min="13703" max="13703" width="7.59765625" style="37" customWidth="1"/>
    <col min="13704" max="13704" width="8.8984375" style="37" customWidth="1"/>
    <col min="13705" max="13705" width="8.09765625" style="37" customWidth="1"/>
    <col min="13706" max="13710" width="8.8984375" style="37" customWidth="1"/>
    <col min="13711" max="13711" width="8" style="37" customWidth="1"/>
    <col min="13712" max="13712" width="7.69921875" style="37" customWidth="1"/>
    <col min="13713" max="13713" width="7.8984375" style="37" customWidth="1"/>
    <col min="13714" max="13714" width="7.3984375" style="37" customWidth="1"/>
    <col min="13715" max="13715" width="7.8984375" style="37" customWidth="1"/>
    <col min="13716" max="13722" width="8.8984375" style="37" customWidth="1"/>
    <col min="13723" max="13723" width="7.5" style="37" customWidth="1"/>
    <col min="13724" max="13724" width="7.19921875" style="37" customWidth="1"/>
    <col min="13725" max="13725" width="8.3984375" style="37" customWidth="1"/>
    <col min="13726" max="13726" width="7.19921875" style="37" customWidth="1"/>
    <col min="13727" max="13727" width="7.59765625" style="37" customWidth="1"/>
    <col min="13728" max="13825" width="8.69921875" style="37"/>
    <col min="13826" max="13826" width="4.5" style="37" bestFit="1" customWidth="1"/>
    <col min="13827" max="13827" width="69.09765625" style="37" customWidth="1"/>
    <col min="13828" max="13828" width="9.19921875" style="37" customWidth="1"/>
    <col min="13829" max="13829" width="8.59765625" style="37" customWidth="1"/>
    <col min="13830" max="13830" width="9.3984375" style="37" customWidth="1"/>
    <col min="13831" max="13831" width="10.19921875" style="37" customWidth="1"/>
    <col min="13832" max="13832" width="10.59765625" style="37" customWidth="1"/>
    <col min="13833" max="13833" width="10" style="37" customWidth="1"/>
    <col min="13834" max="13835" width="8.5" style="37" customWidth="1"/>
    <col min="13836" max="13836" width="7.5" style="37" customWidth="1"/>
    <col min="13837" max="13837" width="7.09765625" style="37" customWidth="1"/>
    <col min="13838" max="13838" width="8.09765625" style="37" customWidth="1"/>
    <col min="13839" max="13840" width="7.5" style="37" customWidth="1"/>
    <col min="13841" max="13841" width="8.59765625" style="37" customWidth="1"/>
    <col min="13842" max="13844" width="7.5" style="37" customWidth="1"/>
    <col min="13845" max="13845" width="8.3984375" style="37" customWidth="1"/>
    <col min="13846" max="13846" width="7.5" style="37" customWidth="1"/>
    <col min="13847" max="13847" width="8.19921875" style="37" customWidth="1"/>
    <col min="13848" max="13850" width="7.5" style="37" customWidth="1"/>
    <col min="13851" max="13851" width="8.19921875" style="37" customWidth="1"/>
    <col min="13852" max="13852" width="8.09765625" style="37" customWidth="1"/>
    <col min="13853" max="13853" width="8.19921875" style="37" customWidth="1"/>
    <col min="13854" max="13854" width="8.69921875" style="37" customWidth="1"/>
    <col min="13855" max="13855" width="7.09765625" style="37" customWidth="1"/>
    <col min="13856" max="13856" width="9.5" style="37" customWidth="1"/>
    <col min="13857" max="13857" width="8.59765625" style="37" customWidth="1"/>
    <col min="13858" max="13858" width="8.8984375" style="37" customWidth="1"/>
    <col min="13859" max="13859" width="8.09765625" style="37" customWidth="1"/>
    <col min="13860" max="13862" width="7.59765625" style="37" customWidth="1"/>
    <col min="13863" max="13863" width="6.5" style="37" customWidth="1"/>
    <col min="13864" max="13872" width="8.5" style="37" customWidth="1"/>
    <col min="13873" max="13873" width="7.5" style="37" customWidth="1"/>
    <col min="13874" max="13874" width="7.19921875" style="37" customWidth="1"/>
    <col min="13875" max="13875" width="8.5" style="37" customWidth="1"/>
    <col min="13876" max="13876" width="9.3984375" style="37" customWidth="1"/>
    <col min="13877" max="13879" width="8.5" style="37" customWidth="1"/>
    <col min="13880" max="13880" width="9.19921875" style="37" customWidth="1"/>
    <col min="13881" max="13883" width="8.5" style="37" customWidth="1"/>
    <col min="13884" max="13884" width="7.8984375" style="37" customWidth="1"/>
    <col min="13885" max="13885" width="8.5" style="37" customWidth="1"/>
    <col min="13886" max="13886" width="7.3984375" style="37" customWidth="1"/>
    <col min="13887" max="13887" width="7.59765625" style="37" customWidth="1"/>
    <col min="13888" max="13888" width="9.8984375" style="37" customWidth="1"/>
    <col min="13889" max="13889" width="8.19921875" style="37" customWidth="1"/>
    <col min="13890" max="13892" width="8.8984375" style="37" customWidth="1"/>
    <col min="13893" max="13893" width="8.69921875" style="37" customWidth="1"/>
    <col min="13894" max="13894" width="8" style="37" customWidth="1"/>
    <col min="13895" max="13895" width="8.19921875" style="37" customWidth="1"/>
    <col min="13896" max="13896" width="7.3984375" style="37" customWidth="1"/>
    <col min="13897" max="13897" width="8.8984375" style="37" customWidth="1"/>
    <col min="13898" max="13898" width="7.3984375" style="37" customWidth="1"/>
    <col min="13899" max="13899" width="6.59765625" style="37" customWidth="1"/>
    <col min="13900" max="13900" width="9.5" style="37" customWidth="1"/>
    <col min="13901" max="13901" width="8" style="37" customWidth="1"/>
    <col min="13902" max="13902" width="8.3984375" style="37" customWidth="1"/>
    <col min="13903" max="13903" width="8.5" style="37" customWidth="1"/>
    <col min="13904" max="13904" width="8" style="37" customWidth="1"/>
    <col min="13905" max="13905" width="7.8984375" style="37" customWidth="1"/>
    <col min="13906" max="13906" width="8" style="37" customWidth="1"/>
    <col min="13907" max="13907" width="8.5" style="37" customWidth="1"/>
    <col min="13908" max="13910" width="8.09765625" style="37" customWidth="1"/>
    <col min="13911" max="13911" width="8" style="37" customWidth="1"/>
    <col min="13912" max="13915" width="8.69921875" style="37" customWidth="1"/>
    <col min="13916" max="13916" width="7.59765625" style="37" customWidth="1"/>
    <col min="13917" max="13918" width="8.69921875" style="37" customWidth="1"/>
    <col min="13919" max="13919" width="7.69921875" style="37" customWidth="1"/>
    <col min="13920" max="13922" width="8" style="37" customWidth="1"/>
    <col min="13923" max="13923" width="7.8984375" style="37" customWidth="1"/>
    <col min="13924" max="13925" width="8.69921875" style="37" customWidth="1"/>
    <col min="13926" max="13926" width="8.3984375" style="37" customWidth="1"/>
    <col min="13927" max="13927" width="8" style="37" customWidth="1"/>
    <col min="13928" max="13928" width="7.8984375" style="37" customWidth="1"/>
    <col min="13929" max="13931" width="8.19921875" style="37" customWidth="1"/>
    <col min="13932" max="13934" width="8.09765625" style="37" customWidth="1"/>
    <col min="13935" max="13935" width="7.8984375" style="37" customWidth="1"/>
    <col min="13936" max="13936" width="8.8984375" style="37" customWidth="1"/>
    <col min="13937" max="13937" width="8.3984375" style="37" customWidth="1"/>
    <col min="13938" max="13938" width="8.19921875" style="37" customWidth="1"/>
    <col min="13939" max="13939" width="8.8984375" style="37" customWidth="1"/>
    <col min="13940" max="13940" width="8.09765625" style="37" customWidth="1"/>
    <col min="13941" max="13941" width="8.19921875" style="37" customWidth="1"/>
    <col min="13942" max="13942" width="8.8984375" style="37" customWidth="1"/>
    <col min="13943" max="13943" width="8" style="37" customWidth="1"/>
    <col min="13944" max="13946" width="7.8984375" style="37" customWidth="1"/>
    <col min="13947" max="13947" width="7.69921875" style="37" customWidth="1"/>
    <col min="13948" max="13951" width="8.8984375" style="37" customWidth="1"/>
    <col min="13952" max="13952" width="8.69921875" style="37" customWidth="1"/>
    <col min="13953" max="13953" width="8.59765625" style="37" customWidth="1"/>
    <col min="13954" max="13955" width="8.19921875" style="37" customWidth="1"/>
    <col min="13956" max="13956" width="7.59765625" style="37" customWidth="1"/>
    <col min="13957" max="13957" width="8" style="37" customWidth="1"/>
    <col min="13958" max="13958" width="7.09765625" style="37" customWidth="1"/>
    <col min="13959" max="13959" width="7.59765625" style="37" customWidth="1"/>
    <col min="13960" max="13960" width="8.8984375" style="37" customWidth="1"/>
    <col min="13961" max="13961" width="8.09765625" style="37" customWidth="1"/>
    <col min="13962" max="13966" width="8.8984375" style="37" customWidth="1"/>
    <col min="13967" max="13967" width="8" style="37" customWidth="1"/>
    <col min="13968" max="13968" width="7.69921875" style="37" customWidth="1"/>
    <col min="13969" max="13969" width="7.8984375" style="37" customWidth="1"/>
    <col min="13970" max="13970" width="7.3984375" style="37" customWidth="1"/>
    <col min="13971" max="13971" width="7.8984375" style="37" customWidth="1"/>
    <col min="13972" max="13978" width="8.8984375" style="37" customWidth="1"/>
    <col min="13979" max="13979" width="7.5" style="37" customWidth="1"/>
    <col min="13980" max="13980" width="7.19921875" style="37" customWidth="1"/>
    <col min="13981" max="13981" width="8.3984375" style="37" customWidth="1"/>
    <col min="13982" max="13982" width="7.19921875" style="37" customWidth="1"/>
    <col min="13983" max="13983" width="7.59765625" style="37" customWidth="1"/>
    <col min="13984" max="14081" width="8.69921875" style="37"/>
    <col min="14082" max="14082" width="4.5" style="37" bestFit="1" customWidth="1"/>
    <col min="14083" max="14083" width="69.09765625" style="37" customWidth="1"/>
    <col min="14084" max="14084" width="9.19921875" style="37" customWidth="1"/>
    <col min="14085" max="14085" width="8.59765625" style="37" customWidth="1"/>
    <col min="14086" max="14086" width="9.3984375" style="37" customWidth="1"/>
    <col min="14087" max="14087" width="10.19921875" style="37" customWidth="1"/>
    <col min="14088" max="14088" width="10.59765625" style="37" customWidth="1"/>
    <col min="14089" max="14089" width="10" style="37" customWidth="1"/>
    <col min="14090" max="14091" width="8.5" style="37" customWidth="1"/>
    <col min="14092" max="14092" width="7.5" style="37" customWidth="1"/>
    <col min="14093" max="14093" width="7.09765625" style="37" customWidth="1"/>
    <col min="14094" max="14094" width="8.09765625" style="37" customWidth="1"/>
    <col min="14095" max="14096" width="7.5" style="37" customWidth="1"/>
    <col min="14097" max="14097" width="8.59765625" style="37" customWidth="1"/>
    <col min="14098" max="14100" width="7.5" style="37" customWidth="1"/>
    <col min="14101" max="14101" width="8.3984375" style="37" customWidth="1"/>
    <col min="14102" max="14102" width="7.5" style="37" customWidth="1"/>
    <col min="14103" max="14103" width="8.19921875" style="37" customWidth="1"/>
    <col min="14104" max="14106" width="7.5" style="37" customWidth="1"/>
    <col min="14107" max="14107" width="8.19921875" style="37" customWidth="1"/>
    <col min="14108" max="14108" width="8.09765625" style="37" customWidth="1"/>
    <col min="14109" max="14109" width="8.19921875" style="37" customWidth="1"/>
    <col min="14110" max="14110" width="8.69921875" style="37" customWidth="1"/>
    <col min="14111" max="14111" width="7.09765625" style="37" customWidth="1"/>
    <col min="14112" max="14112" width="9.5" style="37" customWidth="1"/>
    <col min="14113" max="14113" width="8.59765625" style="37" customWidth="1"/>
    <col min="14114" max="14114" width="8.8984375" style="37" customWidth="1"/>
    <col min="14115" max="14115" width="8.09765625" style="37" customWidth="1"/>
    <col min="14116" max="14118" width="7.59765625" style="37" customWidth="1"/>
    <col min="14119" max="14119" width="6.5" style="37" customWidth="1"/>
    <col min="14120" max="14128" width="8.5" style="37" customWidth="1"/>
    <col min="14129" max="14129" width="7.5" style="37" customWidth="1"/>
    <col min="14130" max="14130" width="7.19921875" style="37" customWidth="1"/>
    <col min="14131" max="14131" width="8.5" style="37" customWidth="1"/>
    <col min="14132" max="14132" width="9.3984375" style="37" customWidth="1"/>
    <col min="14133" max="14135" width="8.5" style="37" customWidth="1"/>
    <col min="14136" max="14136" width="9.19921875" style="37" customWidth="1"/>
    <col min="14137" max="14139" width="8.5" style="37" customWidth="1"/>
    <col min="14140" max="14140" width="7.8984375" style="37" customWidth="1"/>
    <col min="14141" max="14141" width="8.5" style="37" customWidth="1"/>
    <col min="14142" max="14142" width="7.3984375" style="37" customWidth="1"/>
    <col min="14143" max="14143" width="7.59765625" style="37" customWidth="1"/>
    <col min="14144" max="14144" width="9.8984375" style="37" customWidth="1"/>
    <col min="14145" max="14145" width="8.19921875" style="37" customWidth="1"/>
    <col min="14146" max="14148" width="8.8984375" style="37" customWidth="1"/>
    <col min="14149" max="14149" width="8.69921875" style="37" customWidth="1"/>
    <col min="14150" max="14150" width="8" style="37" customWidth="1"/>
    <col min="14151" max="14151" width="8.19921875" style="37" customWidth="1"/>
    <col min="14152" max="14152" width="7.3984375" style="37" customWidth="1"/>
    <col min="14153" max="14153" width="8.8984375" style="37" customWidth="1"/>
    <col min="14154" max="14154" width="7.3984375" style="37" customWidth="1"/>
    <col min="14155" max="14155" width="6.59765625" style="37" customWidth="1"/>
    <col min="14156" max="14156" width="9.5" style="37" customWidth="1"/>
    <col min="14157" max="14157" width="8" style="37" customWidth="1"/>
    <col min="14158" max="14158" width="8.3984375" style="37" customWidth="1"/>
    <col min="14159" max="14159" width="8.5" style="37" customWidth="1"/>
    <col min="14160" max="14160" width="8" style="37" customWidth="1"/>
    <col min="14161" max="14161" width="7.8984375" style="37" customWidth="1"/>
    <col min="14162" max="14162" width="8" style="37" customWidth="1"/>
    <col min="14163" max="14163" width="8.5" style="37" customWidth="1"/>
    <col min="14164" max="14166" width="8.09765625" style="37" customWidth="1"/>
    <col min="14167" max="14167" width="8" style="37" customWidth="1"/>
    <col min="14168" max="14171" width="8.69921875" style="37" customWidth="1"/>
    <col min="14172" max="14172" width="7.59765625" style="37" customWidth="1"/>
    <col min="14173" max="14174" width="8.69921875" style="37" customWidth="1"/>
    <col min="14175" max="14175" width="7.69921875" style="37" customWidth="1"/>
    <col min="14176" max="14178" width="8" style="37" customWidth="1"/>
    <col min="14179" max="14179" width="7.8984375" style="37" customWidth="1"/>
    <col min="14180" max="14181" width="8.69921875" style="37" customWidth="1"/>
    <col min="14182" max="14182" width="8.3984375" style="37" customWidth="1"/>
    <col min="14183" max="14183" width="8" style="37" customWidth="1"/>
    <col min="14184" max="14184" width="7.8984375" style="37" customWidth="1"/>
    <col min="14185" max="14187" width="8.19921875" style="37" customWidth="1"/>
    <col min="14188" max="14190" width="8.09765625" style="37" customWidth="1"/>
    <col min="14191" max="14191" width="7.8984375" style="37" customWidth="1"/>
    <col min="14192" max="14192" width="8.8984375" style="37" customWidth="1"/>
    <col min="14193" max="14193" width="8.3984375" style="37" customWidth="1"/>
    <col min="14194" max="14194" width="8.19921875" style="37" customWidth="1"/>
    <col min="14195" max="14195" width="8.8984375" style="37" customWidth="1"/>
    <col min="14196" max="14196" width="8.09765625" style="37" customWidth="1"/>
    <col min="14197" max="14197" width="8.19921875" style="37" customWidth="1"/>
    <col min="14198" max="14198" width="8.8984375" style="37" customWidth="1"/>
    <col min="14199" max="14199" width="8" style="37" customWidth="1"/>
    <col min="14200" max="14202" width="7.8984375" style="37" customWidth="1"/>
    <col min="14203" max="14203" width="7.69921875" style="37" customWidth="1"/>
    <col min="14204" max="14207" width="8.8984375" style="37" customWidth="1"/>
    <col min="14208" max="14208" width="8.69921875" style="37" customWidth="1"/>
    <col min="14209" max="14209" width="8.59765625" style="37" customWidth="1"/>
    <col min="14210" max="14211" width="8.19921875" style="37" customWidth="1"/>
    <col min="14212" max="14212" width="7.59765625" style="37" customWidth="1"/>
    <col min="14213" max="14213" width="8" style="37" customWidth="1"/>
    <col min="14214" max="14214" width="7.09765625" style="37" customWidth="1"/>
    <col min="14215" max="14215" width="7.59765625" style="37" customWidth="1"/>
    <col min="14216" max="14216" width="8.8984375" style="37" customWidth="1"/>
    <col min="14217" max="14217" width="8.09765625" style="37" customWidth="1"/>
    <col min="14218" max="14222" width="8.8984375" style="37" customWidth="1"/>
    <col min="14223" max="14223" width="8" style="37" customWidth="1"/>
    <col min="14224" max="14224" width="7.69921875" style="37" customWidth="1"/>
    <col min="14225" max="14225" width="7.8984375" style="37" customWidth="1"/>
    <col min="14226" max="14226" width="7.3984375" style="37" customWidth="1"/>
    <col min="14227" max="14227" width="7.8984375" style="37" customWidth="1"/>
    <col min="14228" max="14234" width="8.8984375" style="37" customWidth="1"/>
    <col min="14235" max="14235" width="7.5" style="37" customWidth="1"/>
    <col min="14236" max="14236" width="7.19921875" style="37" customWidth="1"/>
    <col min="14237" max="14237" width="8.3984375" style="37" customWidth="1"/>
    <col min="14238" max="14238" width="7.19921875" style="37" customWidth="1"/>
    <col min="14239" max="14239" width="7.59765625" style="37" customWidth="1"/>
    <col min="14240" max="14337" width="8.69921875" style="37"/>
    <col min="14338" max="14338" width="4.5" style="37" bestFit="1" customWidth="1"/>
    <col min="14339" max="14339" width="69.09765625" style="37" customWidth="1"/>
    <col min="14340" max="14340" width="9.19921875" style="37" customWidth="1"/>
    <col min="14341" max="14341" width="8.59765625" style="37" customWidth="1"/>
    <col min="14342" max="14342" width="9.3984375" style="37" customWidth="1"/>
    <col min="14343" max="14343" width="10.19921875" style="37" customWidth="1"/>
    <col min="14344" max="14344" width="10.59765625" style="37" customWidth="1"/>
    <col min="14345" max="14345" width="10" style="37" customWidth="1"/>
    <col min="14346" max="14347" width="8.5" style="37" customWidth="1"/>
    <col min="14348" max="14348" width="7.5" style="37" customWidth="1"/>
    <col min="14349" max="14349" width="7.09765625" style="37" customWidth="1"/>
    <col min="14350" max="14350" width="8.09765625" style="37" customWidth="1"/>
    <col min="14351" max="14352" width="7.5" style="37" customWidth="1"/>
    <col min="14353" max="14353" width="8.59765625" style="37" customWidth="1"/>
    <col min="14354" max="14356" width="7.5" style="37" customWidth="1"/>
    <col min="14357" max="14357" width="8.3984375" style="37" customWidth="1"/>
    <col min="14358" max="14358" width="7.5" style="37" customWidth="1"/>
    <col min="14359" max="14359" width="8.19921875" style="37" customWidth="1"/>
    <col min="14360" max="14362" width="7.5" style="37" customWidth="1"/>
    <col min="14363" max="14363" width="8.19921875" style="37" customWidth="1"/>
    <col min="14364" max="14364" width="8.09765625" style="37" customWidth="1"/>
    <col min="14365" max="14365" width="8.19921875" style="37" customWidth="1"/>
    <col min="14366" max="14366" width="8.69921875" style="37" customWidth="1"/>
    <col min="14367" max="14367" width="7.09765625" style="37" customWidth="1"/>
    <col min="14368" max="14368" width="9.5" style="37" customWidth="1"/>
    <col min="14369" max="14369" width="8.59765625" style="37" customWidth="1"/>
    <col min="14370" max="14370" width="8.8984375" style="37" customWidth="1"/>
    <col min="14371" max="14371" width="8.09765625" style="37" customWidth="1"/>
    <col min="14372" max="14374" width="7.59765625" style="37" customWidth="1"/>
    <col min="14375" max="14375" width="6.5" style="37" customWidth="1"/>
    <col min="14376" max="14384" width="8.5" style="37" customWidth="1"/>
    <col min="14385" max="14385" width="7.5" style="37" customWidth="1"/>
    <col min="14386" max="14386" width="7.19921875" style="37" customWidth="1"/>
    <col min="14387" max="14387" width="8.5" style="37" customWidth="1"/>
    <col min="14388" max="14388" width="9.3984375" style="37" customWidth="1"/>
    <col min="14389" max="14391" width="8.5" style="37" customWidth="1"/>
    <col min="14392" max="14392" width="9.19921875" style="37" customWidth="1"/>
    <col min="14393" max="14395" width="8.5" style="37" customWidth="1"/>
    <col min="14396" max="14396" width="7.8984375" style="37" customWidth="1"/>
    <col min="14397" max="14397" width="8.5" style="37" customWidth="1"/>
    <col min="14398" max="14398" width="7.3984375" style="37" customWidth="1"/>
    <col min="14399" max="14399" width="7.59765625" style="37" customWidth="1"/>
    <col min="14400" max="14400" width="9.8984375" style="37" customWidth="1"/>
    <col min="14401" max="14401" width="8.19921875" style="37" customWidth="1"/>
    <col min="14402" max="14404" width="8.8984375" style="37" customWidth="1"/>
    <col min="14405" max="14405" width="8.69921875" style="37" customWidth="1"/>
    <col min="14406" max="14406" width="8" style="37" customWidth="1"/>
    <col min="14407" max="14407" width="8.19921875" style="37" customWidth="1"/>
    <col min="14408" max="14408" width="7.3984375" style="37" customWidth="1"/>
    <col min="14409" max="14409" width="8.8984375" style="37" customWidth="1"/>
    <col min="14410" max="14410" width="7.3984375" style="37" customWidth="1"/>
    <col min="14411" max="14411" width="6.59765625" style="37" customWidth="1"/>
    <col min="14412" max="14412" width="9.5" style="37" customWidth="1"/>
    <col min="14413" max="14413" width="8" style="37" customWidth="1"/>
    <col min="14414" max="14414" width="8.3984375" style="37" customWidth="1"/>
    <col min="14415" max="14415" width="8.5" style="37" customWidth="1"/>
    <col min="14416" max="14416" width="8" style="37" customWidth="1"/>
    <col min="14417" max="14417" width="7.8984375" style="37" customWidth="1"/>
    <col min="14418" max="14418" width="8" style="37" customWidth="1"/>
    <col min="14419" max="14419" width="8.5" style="37" customWidth="1"/>
    <col min="14420" max="14422" width="8.09765625" style="37" customWidth="1"/>
    <col min="14423" max="14423" width="8" style="37" customWidth="1"/>
    <col min="14424" max="14427" width="8.69921875" style="37" customWidth="1"/>
    <col min="14428" max="14428" width="7.59765625" style="37" customWidth="1"/>
    <col min="14429" max="14430" width="8.69921875" style="37" customWidth="1"/>
    <col min="14431" max="14431" width="7.69921875" style="37" customWidth="1"/>
    <col min="14432" max="14434" width="8" style="37" customWidth="1"/>
    <col min="14435" max="14435" width="7.8984375" style="37" customWidth="1"/>
    <col min="14436" max="14437" width="8.69921875" style="37" customWidth="1"/>
    <col min="14438" max="14438" width="8.3984375" style="37" customWidth="1"/>
    <col min="14439" max="14439" width="8" style="37" customWidth="1"/>
    <col min="14440" max="14440" width="7.8984375" style="37" customWidth="1"/>
    <col min="14441" max="14443" width="8.19921875" style="37" customWidth="1"/>
    <col min="14444" max="14446" width="8.09765625" style="37" customWidth="1"/>
    <col min="14447" max="14447" width="7.8984375" style="37" customWidth="1"/>
    <col min="14448" max="14448" width="8.8984375" style="37" customWidth="1"/>
    <col min="14449" max="14449" width="8.3984375" style="37" customWidth="1"/>
    <col min="14450" max="14450" width="8.19921875" style="37" customWidth="1"/>
    <col min="14451" max="14451" width="8.8984375" style="37" customWidth="1"/>
    <col min="14452" max="14452" width="8.09765625" style="37" customWidth="1"/>
    <col min="14453" max="14453" width="8.19921875" style="37" customWidth="1"/>
    <col min="14454" max="14454" width="8.8984375" style="37" customWidth="1"/>
    <col min="14455" max="14455" width="8" style="37" customWidth="1"/>
    <col min="14456" max="14458" width="7.8984375" style="37" customWidth="1"/>
    <col min="14459" max="14459" width="7.69921875" style="37" customWidth="1"/>
    <col min="14460" max="14463" width="8.8984375" style="37" customWidth="1"/>
    <col min="14464" max="14464" width="8.69921875" style="37" customWidth="1"/>
    <col min="14465" max="14465" width="8.59765625" style="37" customWidth="1"/>
    <col min="14466" max="14467" width="8.19921875" style="37" customWidth="1"/>
    <col min="14468" max="14468" width="7.59765625" style="37" customWidth="1"/>
    <col min="14469" max="14469" width="8" style="37" customWidth="1"/>
    <col min="14470" max="14470" width="7.09765625" style="37" customWidth="1"/>
    <col min="14471" max="14471" width="7.59765625" style="37" customWidth="1"/>
    <col min="14472" max="14472" width="8.8984375" style="37" customWidth="1"/>
    <col min="14473" max="14473" width="8.09765625" style="37" customWidth="1"/>
    <col min="14474" max="14478" width="8.8984375" style="37" customWidth="1"/>
    <col min="14479" max="14479" width="8" style="37" customWidth="1"/>
    <col min="14480" max="14480" width="7.69921875" style="37" customWidth="1"/>
    <col min="14481" max="14481" width="7.8984375" style="37" customWidth="1"/>
    <col min="14482" max="14482" width="7.3984375" style="37" customWidth="1"/>
    <col min="14483" max="14483" width="7.8984375" style="37" customWidth="1"/>
    <col min="14484" max="14490" width="8.8984375" style="37" customWidth="1"/>
    <col min="14491" max="14491" width="7.5" style="37" customWidth="1"/>
    <col min="14492" max="14492" width="7.19921875" style="37" customWidth="1"/>
    <col min="14493" max="14493" width="8.3984375" style="37" customWidth="1"/>
    <col min="14494" max="14494" width="7.19921875" style="37" customWidth="1"/>
    <col min="14495" max="14495" width="7.59765625" style="37" customWidth="1"/>
    <col min="14496" max="14593" width="8.69921875" style="37"/>
    <col min="14594" max="14594" width="4.5" style="37" bestFit="1" customWidth="1"/>
    <col min="14595" max="14595" width="69.09765625" style="37" customWidth="1"/>
    <col min="14596" max="14596" width="9.19921875" style="37" customWidth="1"/>
    <col min="14597" max="14597" width="8.59765625" style="37" customWidth="1"/>
    <col min="14598" max="14598" width="9.3984375" style="37" customWidth="1"/>
    <col min="14599" max="14599" width="10.19921875" style="37" customWidth="1"/>
    <col min="14600" max="14600" width="10.59765625" style="37" customWidth="1"/>
    <col min="14601" max="14601" width="10" style="37" customWidth="1"/>
    <col min="14602" max="14603" width="8.5" style="37" customWidth="1"/>
    <col min="14604" max="14604" width="7.5" style="37" customWidth="1"/>
    <col min="14605" max="14605" width="7.09765625" style="37" customWidth="1"/>
    <col min="14606" max="14606" width="8.09765625" style="37" customWidth="1"/>
    <col min="14607" max="14608" width="7.5" style="37" customWidth="1"/>
    <col min="14609" max="14609" width="8.59765625" style="37" customWidth="1"/>
    <col min="14610" max="14612" width="7.5" style="37" customWidth="1"/>
    <col min="14613" max="14613" width="8.3984375" style="37" customWidth="1"/>
    <col min="14614" max="14614" width="7.5" style="37" customWidth="1"/>
    <col min="14615" max="14615" width="8.19921875" style="37" customWidth="1"/>
    <col min="14616" max="14618" width="7.5" style="37" customWidth="1"/>
    <col min="14619" max="14619" width="8.19921875" style="37" customWidth="1"/>
    <col min="14620" max="14620" width="8.09765625" style="37" customWidth="1"/>
    <col min="14621" max="14621" width="8.19921875" style="37" customWidth="1"/>
    <col min="14622" max="14622" width="8.69921875" style="37" customWidth="1"/>
    <col min="14623" max="14623" width="7.09765625" style="37" customWidth="1"/>
    <col min="14624" max="14624" width="9.5" style="37" customWidth="1"/>
    <col min="14625" max="14625" width="8.59765625" style="37" customWidth="1"/>
    <col min="14626" max="14626" width="8.8984375" style="37" customWidth="1"/>
    <col min="14627" max="14627" width="8.09765625" style="37" customWidth="1"/>
    <col min="14628" max="14630" width="7.59765625" style="37" customWidth="1"/>
    <col min="14631" max="14631" width="6.5" style="37" customWidth="1"/>
    <col min="14632" max="14640" width="8.5" style="37" customWidth="1"/>
    <col min="14641" max="14641" width="7.5" style="37" customWidth="1"/>
    <col min="14642" max="14642" width="7.19921875" style="37" customWidth="1"/>
    <col min="14643" max="14643" width="8.5" style="37" customWidth="1"/>
    <col min="14644" max="14644" width="9.3984375" style="37" customWidth="1"/>
    <col min="14645" max="14647" width="8.5" style="37" customWidth="1"/>
    <col min="14648" max="14648" width="9.19921875" style="37" customWidth="1"/>
    <col min="14649" max="14651" width="8.5" style="37" customWidth="1"/>
    <col min="14652" max="14652" width="7.8984375" style="37" customWidth="1"/>
    <col min="14653" max="14653" width="8.5" style="37" customWidth="1"/>
    <col min="14654" max="14654" width="7.3984375" style="37" customWidth="1"/>
    <col min="14655" max="14655" width="7.59765625" style="37" customWidth="1"/>
    <col min="14656" max="14656" width="9.8984375" style="37" customWidth="1"/>
    <col min="14657" max="14657" width="8.19921875" style="37" customWidth="1"/>
    <col min="14658" max="14660" width="8.8984375" style="37" customWidth="1"/>
    <col min="14661" max="14661" width="8.69921875" style="37" customWidth="1"/>
    <col min="14662" max="14662" width="8" style="37" customWidth="1"/>
    <col min="14663" max="14663" width="8.19921875" style="37" customWidth="1"/>
    <col min="14664" max="14664" width="7.3984375" style="37" customWidth="1"/>
    <col min="14665" max="14665" width="8.8984375" style="37" customWidth="1"/>
    <col min="14666" max="14666" width="7.3984375" style="37" customWidth="1"/>
    <col min="14667" max="14667" width="6.59765625" style="37" customWidth="1"/>
    <col min="14668" max="14668" width="9.5" style="37" customWidth="1"/>
    <col min="14669" max="14669" width="8" style="37" customWidth="1"/>
    <col min="14670" max="14670" width="8.3984375" style="37" customWidth="1"/>
    <col min="14671" max="14671" width="8.5" style="37" customWidth="1"/>
    <col min="14672" max="14672" width="8" style="37" customWidth="1"/>
    <col min="14673" max="14673" width="7.8984375" style="37" customWidth="1"/>
    <col min="14674" max="14674" width="8" style="37" customWidth="1"/>
    <col min="14675" max="14675" width="8.5" style="37" customWidth="1"/>
    <col min="14676" max="14678" width="8.09765625" style="37" customWidth="1"/>
    <col min="14679" max="14679" width="8" style="37" customWidth="1"/>
    <col min="14680" max="14683" width="8.69921875" style="37" customWidth="1"/>
    <col min="14684" max="14684" width="7.59765625" style="37" customWidth="1"/>
    <col min="14685" max="14686" width="8.69921875" style="37" customWidth="1"/>
    <col min="14687" max="14687" width="7.69921875" style="37" customWidth="1"/>
    <col min="14688" max="14690" width="8" style="37" customWidth="1"/>
    <col min="14691" max="14691" width="7.8984375" style="37" customWidth="1"/>
    <col min="14692" max="14693" width="8.69921875" style="37" customWidth="1"/>
    <col min="14694" max="14694" width="8.3984375" style="37" customWidth="1"/>
    <col min="14695" max="14695" width="8" style="37" customWidth="1"/>
    <col min="14696" max="14696" width="7.8984375" style="37" customWidth="1"/>
    <col min="14697" max="14699" width="8.19921875" style="37" customWidth="1"/>
    <col min="14700" max="14702" width="8.09765625" style="37" customWidth="1"/>
    <col min="14703" max="14703" width="7.8984375" style="37" customWidth="1"/>
    <col min="14704" max="14704" width="8.8984375" style="37" customWidth="1"/>
    <col min="14705" max="14705" width="8.3984375" style="37" customWidth="1"/>
    <col min="14706" max="14706" width="8.19921875" style="37" customWidth="1"/>
    <col min="14707" max="14707" width="8.8984375" style="37" customWidth="1"/>
    <col min="14708" max="14708" width="8.09765625" style="37" customWidth="1"/>
    <col min="14709" max="14709" width="8.19921875" style="37" customWidth="1"/>
    <col min="14710" max="14710" width="8.8984375" style="37" customWidth="1"/>
    <col min="14711" max="14711" width="8" style="37" customWidth="1"/>
    <col min="14712" max="14714" width="7.8984375" style="37" customWidth="1"/>
    <col min="14715" max="14715" width="7.69921875" style="37" customWidth="1"/>
    <col min="14716" max="14719" width="8.8984375" style="37" customWidth="1"/>
    <col min="14720" max="14720" width="8.69921875" style="37" customWidth="1"/>
    <col min="14721" max="14721" width="8.59765625" style="37" customWidth="1"/>
    <col min="14722" max="14723" width="8.19921875" style="37" customWidth="1"/>
    <col min="14724" max="14724" width="7.59765625" style="37" customWidth="1"/>
    <col min="14725" max="14725" width="8" style="37" customWidth="1"/>
    <col min="14726" max="14726" width="7.09765625" style="37" customWidth="1"/>
    <col min="14727" max="14727" width="7.59765625" style="37" customWidth="1"/>
    <col min="14728" max="14728" width="8.8984375" style="37" customWidth="1"/>
    <col min="14729" max="14729" width="8.09765625" style="37" customWidth="1"/>
    <col min="14730" max="14734" width="8.8984375" style="37" customWidth="1"/>
    <col min="14735" max="14735" width="8" style="37" customWidth="1"/>
    <col min="14736" max="14736" width="7.69921875" style="37" customWidth="1"/>
    <col min="14737" max="14737" width="7.8984375" style="37" customWidth="1"/>
    <col min="14738" max="14738" width="7.3984375" style="37" customWidth="1"/>
    <col min="14739" max="14739" width="7.8984375" style="37" customWidth="1"/>
    <col min="14740" max="14746" width="8.8984375" style="37" customWidth="1"/>
    <col min="14747" max="14747" width="7.5" style="37" customWidth="1"/>
    <col min="14748" max="14748" width="7.19921875" style="37" customWidth="1"/>
    <col min="14749" max="14749" width="8.3984375" style="37" customWidth="1"/>
    <col min="14750" max="14750" width="7.19921875" style="37" customWidth="1"/>
    <col min="14751" max="14751" width="7.59765625" style="37" customWidth="1"/>
    <col min="14752" max="14849" width="8.69921875" style="37"/>
    <col min="14850" max="14850" width="4.5" style="37" bestFit="1" customWidth="1"/>
    <col min="14851" max="14851" width="69.09765625" style="37" customWidth="1"/>
    <col min="14852" max="14852" width="9.19921875" style="37" customWidth="1"/>
    <col min="14853" max="14853" width="8.59765625" style="37" customWidth="1"/>
    <col min="14854" max="14854" width="9.3984375" style="37" customWidth="1"/>
    <col min="14855" max="14855" width="10.19921875" style="37" customWidth="1"/>
    <col min="14856" max="14856" width="10.59765625" style="37" customWidth="1"/>
    <col min="14857" max="14857" width="10" style="37" customWidth="1"/>
    <col min="14858" max="14859" width="8.5" style="37" customWidth="1"/>
    <col min="14860" max="14860" width="7.5" style="37" customWidth="1"/>
    <col min="14861" max="14861" width="7.09765625" style="37" customWidth="1"/>
    <col min="14862" max="14862" width="8.09765625" style="37" customWidth="1"/>
    <col min="14863" max="14864" width="7.5" style="37" customWidth="1"/>
    <col min="14865" max="14865" width="8.59765625" style="37" customWidth="1"/>
    <col min="14866" max="14868" width="7.5" style="37" customWidth="1"/>
    <col min="14869" max="14869" width="8.3984375" style="37" customWidth="1"/>
    <col min="14870" max="14870" width="7.5" style="37" customWidth="1"/>
    <col min="14871" max="14871" width="8.19921875" style="37" customWidth="1"/>
    <col min="14872" max="14874" width="7.5" style="37" customWidth="1"/>
    <col min="14875" max="14875" width="8.19921875" style="37" customWidth="1"/>
    <col min="14876" max="14876" width="8.09765625" style="37" customWidth="1"/>
    <col min="14877" max="14877" width="8.19921875" style="37" customWidth="1"/>
    <col min="14878" max="14878" width="8.69921875" style="37" customWidth="1"/>
    <col min="14879" max="14879" width="7.09765625" style="37" customWidth="1"/>
    <col min="14880" max="14880" width="9.5" style="37" customWidth="1"/>
    <col min="14881" max="14881" width="8.59765625" style="37" customWidth="1"/>
    <col min="14882" max="14882" width="8.8984375" style="37" customWidth="1"/>
    <col min="14883" max="14883" width="8.09765625" style="37" customWidth="1"/>
    <col min="14884" max="14886" width="7.59765625" style="37" customWidth="1"/>
    <col min="14887" max="14887" width="6.5" style="37" customWidth="1"/>
    <col min="14888" max="14896" width="8.5" style="37" customWidth="1"/>
    <col min="14897" max="14897" width="7.5" style="37" customWidth="1"/>
    <col min="14898" max="14898" width="7.19921875" style="37" customWidth="1"/>
    <col min="14899" max="14899" width="8.5" style="37" customWidth="1"/>
    <col min="14900" max="14900" width="9.3984375" style="37" customWidth="1"/>
    <col min="14901" max="14903" width="8.5" style="37" customWidth="1"/>
    <col min="14904" max="14904" width="9.19921875" style="37" customWidth="1"/>
    <col min="14905" max="14907" width="8.5" style="37" customWidth="1"/>
    <col min="14908" max="14908" width="7.8984375" style="37" customWidth="1"/>
    <col min="14909" max="14909" width="8.5" style="37" customWidth="1"/>
    <col min="14910" max="14910" width="7.3984375" style="37" customWidth="1"/>
    <col min="14911" max="14911" width="7.59765625" style="37" customWidth="1"/>
    <col min="14912" max="14912" width="9.8984375" style="37" customWidth="1"/>
    <col min="14913" max="14913" width="8.19921875" style="37" customWidth="1"/>
    <col min="14914" max="14916" width="8.8984375" style="37" customWidth="1"/>
    <col min="14917" max="14917" width="8.69921875" style="37" customWidth="1"/>
    <col min="14918" max="14918" width="8" style="37" customWidth="1"/>
    <col min="14919" max="14919" width="8.19921875" style="37" customWidth="1"/>
    <col min="14920" max="14920" width="7.3984375" style="37" customWidth="1"/>
    <col min="14921" max="14921" width="8.8984375" style="37" customWidth="1"/>
    <col min="14922" max="14922" width="7.3984375" style="37" customWidth="1"/>
    <col min="14923" max="14923" width="6.59765625" style="37" customWidth="1"/>
    <col min="14924" max="14924" width="9.5" style="37" customWidth="1"/>
    <col min="14925" max="14925" width="8" style="37" customWidth="1"/>
    <col min="14926" max="14926" width="8.3984375" style="37" customWidth="1"/>
    <col min="14927" max="14927" width="8.5" style="37" customWidth="1"/>
    <col min="14928" max="14928" width="8" style="37" customWidth="1"/>
    <col min="14929" max="14929" width="7.8984375" style="37" customWidth="1"/>
    <col min="14930" max="14930" width="8" style="37" customWidth="1"/>
    <col min="14931" max="14931" width="8.5" style="37" customWidth="1"/>
    <col min="14932" max="14934" width="8.09765625" style="37" customWidth="1"/>
    <col min="14935" max="14935" width="8" style="37" customWidth="1"/>
    <col min="14936" max="14939" width="8.69921875" style="37" customWidth="1"/>
    <col min="14940" max="14940" width="7.59765625" style="37" customWidth="1"/>
    <col min="14941" max="14942" width="8.69921875" style="37" customWidth="1"/>
    <col min="14943" max="14943" width="7.69921875" style="37" customWidth="1"/>
    <col min="14944" max="14946" width="8" style="37" customWidth="1"/>
    <col min="14947" max="14947" width="7.8984375" style="37" customWidth="1"/>
    <col min="14948" max="14949" width="8.69921875" style="37" customWidth="1"/>
    <col min="14950" max="14950" width="8.3984375" style="37" customWidth="1"/>
    <col min="14951" max="14951" width="8" style="37" customWidth="1"/>
    <col min="14952" max="14952" width="7.8984375" style="37" customWidth="1"/>
    <col min="14953" max="14955" width="8.19921875" style="37" customWidth="1"/>
    <col min="14956" max="14958" width="8.09765625" style="37" customWidth="1"/>
    <col min="14959" max="14959" width="7.8984375" style="37" customWidth="1"/>
    <col min="14960" max="14960" width="8.8984375" style="37" customWidth="1"/>
    <col min="14961" max="14961" width="8.3984375" style="37" customWidth="1"/>
    <col min="14962" max="14962" width="8.19921875" style="37" customWidth="1"/>
    <col min="14963" max="14963" width="8.8984375" style="37" customWidth="1"/>
    <col min="14964" max="14964" width="8.09765625" style="37" customWidth="1"/>
    <col min="14965" max="14965" width="8.19921875" style="37" customWidth="1"/>
    <col min="14966" max="14966" width="8.8984375" style="37" customWidth="1"/>
    <col min="14967" max="14967" width="8" style="37" customWidth="1"/>
    <col min="14968" max="14970" width="7.8984375" style="37" customWidth="1"/>
    <col min="14971" max="14971" width="7.69921875" style="37" customWidth="1"/>
    <col min="14972" max="14975" width="8.8984375" style="37" customWidth="1"/>
    <col min="14976" max="14976" width="8.69921875" style="37" customWidth="1"/>
    <col min="14977" max="14977" width="8.59765625" style="37" customWidth="1"/>
    <col min="14978" max="14979" width="8.19921875" style="37" customWidth="1"/>
    <col min="14980" max="14980" width="7.59765625" style="37" customWidth="1"/>
    <col min="14981" max="14981" width="8" style="37" customWidth="1"/>
    <col min="14982" max="14982" width="7.09765625" style="37" customWidth="1"/>
    <col min="14983" max="14983" width="7.59765625" style="37" customWidth="1"/>
    <col min="14984" max="14984" width="8.8984375" style="37" customWidth="1"/>
    <col min="14985" max="14985" width="8.09765625" style="37" customWidth="1"/>
    <col min="14986" max="14990" width="8.8984375" style="37" customWidth="1"/>
    <col min="14991" max="14991" width="8" style="37" customWidth="1"/>
    <col min="14992" max="14992" width="7.69921875" style="37" customWidth="1"/>
    <col min="14993" max="14993" width="7.8984375" style="37" customWidth="1"/>
    <col min="14994" max="14994" width="7.3984375" style="37" customWidth="1"/>
    <col min="14995" max="14995" width="7.8984375" style="37" customWidth="1"/>
    <col min="14996" max="15002" width="8.8984375" style="37" customWidth="1"/>
    <col min="15003" max="15003" width="7.5" style="37" customWidth="1"/>
    <col min="15004" max="15004" width="7.19921875" style="37" customWidth="1"/>
    <col min="15005" max="15005" width="8.3984375" style="37" customWidth="1"/>
    <col min="15006" max="15006" width="7.19921875" style="37" customWidth="1"/>
    <col min="15007" max="15007" width="7.59765625" style="37" customWidth="1"/>
    <col min="15008" max="15105" width="8.69921875" style="37"/>
    <col min="15106" max="15106" width="4.5" style="37" bestFit="1" customWidth="1"/>
    <col min="15107" max="15107" width="69.09765625" style="37" customWidth="1"/>
    <col min="15108" max="15108" width="9.19921875" style="37" customWidth="1"/>
    <col min="15109" max="15109" width="8.59765625" style="37" customWidth="1"/>
    <col min="15110" max="15110" width="9.3984375" style="37" customWidth="1"/>
    <col min="15111" max="15111" width="10.19921875" style="37" customWidth="1"/>
    <col min="15112" max="15112" width="10.59765625" style="37" customWidth="1"/>
    <col min="15113" max="15113" width="10" style="37" customWidth="1"/>
    <col min="15114" max="15115" width="8.5" style="37" customWidth="1"/>
    <col min="15116" max="15116" width="7.5" style="37" customWidth="1"/>
    <col min="15117" max="15117" width="7.09765625" style="37" customWidth="1"/>
    <col min="15118" max="15118" width="8.09765625" style="37" customWidth="1"/>
    <col min="15119" max="15120" width="7.5" style="37" customWidth="1"/>
    <col min="15121" max="15121" width="8.59765625" style="37" customWidth="1"/>
    <col min="15122" max="15124" width="7.5" style="37" customWidth="1"/>
    <col min="15125" max="15125" width="8.3984375" style="37" customWidth="1"/>
    <col min="15126" max="15126" width="7.5" style="37" customWidth="1"/>
    <col min="15127" max="15127" width="8.19921875" style="37" customWidth="1"/>
    <col min="15128" max="15130" width="7.5" style="37" customWidth="1"/>
    <col min="15131" max="15131" width="8.19921875" style="37" customWidth="1"/>
    <col min="15132" max="15132" width="8.09765625" style="37" customWidth="1"/>
    <col min="15133" max="15133" width="8.19921875" style="37" customWidth="1"/>
    <col min="15134" max="15134" width="8.69921875" style="37" customWidth="1"/>
    <col min="15135" max="15135" width="7.09765625" style="37" customWidth="1"/>
    <col min="15136" max="15136" width="9.5" style="37" customWidth="1"/>
    <col min="15137" max="15137" width="8.59765625" style="37" customWidth="1"/>
    <col min="15138" max="15138" width="8.8984375" style="37" customWidth="1"/>
    <col min="15139" max="15139" width="8.09765625" style="37" customWidth="1"/>
    <col min="15140" max="15142" width="7.59765625" style="37" customWidth="1"/>
    <col min="15143" max="15143" width="6.5" style="37" customWidth="1"/>
    <col min="15144" max="15152" width="8.5" style="37" customWidth="1"/>
    <col min="15153" max="15153" width="7.5" style="37" customWidth="1"/>
    <col min="15154" max="15154" width="7.19921875" style="37" customWidth="1"/>
    <col min="15155" max="15155" width="8.5" style="37" customWidth="1"/>
    <col min="15156" max="15156" width="9.3984375" style="37" customWidth="1"/>
    <col min="15157" max="15159" width="8.5" style="37" customWidth="1"/>
    <col min="15160" max="15160" width="9.19921875" style="37" customWidth="1"/>
    <col min="15161" max="15163" width="8.5" style="37" customWidth="1"/>
    <col min="15164" max="15164" width="7.8984375" style="37" customWidth="1"/>
    <col min="15165" max="15165" width="8.5" style="37" customWidth="1"/>
    <col min="15166" max="15166" width="7.3984375" style="37" customWidth="1"/>
    <col min="15167" max="15167" width="7.59765625" style="37" customWidth="1"/>
    <col min="15168" max="15168" width="9.8984375" style="37" customWidth="1"/>
    <col min="15169" max="15169" width="8.19921875" style="37" customWidth="1"/>
    <col min="15170" max="15172" width="8.8984375" style="37" customWidth="1"/>
    <col min="15173" max="15173" width="8.69921875" style="37" customWidth="1"/>
    <col min="15174" max="15174" width="8" style="37" customWidth="1"/>
    <col min="15175" max="15175" width="8.19921875" style="37" customWidth="1"/>
    <col min="15176" max="15176" width="7.3984375" style="37" customWidth="1"/>
    <col min="15177" max="15177" width="8.8984375" style="37" customWidth="1"/>
    <col min="15178" max="15178" width="7.3984375" style="37" customWidth="1"/>
    <col min="15179" max="15179" width="6.59765625" style="37" customWidth="1"/>
    <col min="15180" max="15180" width="9.5" style="37" customWidth="1"/>
    <col min="15181" max="15181" width="8" style="37" customWidth="1"/>
    <col min="15182" max="15182" width="8.3984375" style="37" customWidth="1"/>
    <col min="15183" max="15183" width="8.5" style="37" customWidth="1"/>
    <col min="15184" max="15184" width="8" style="37" customWidth="1"/>
    <col min="15185" max="15185" width="7.8984375" style="37" customWidth="1"/>
    <col min="15186" max="15186" width="8" style="37" customWidth="1"/>
    <col min="15187" max="15187" width="8.5" style="37" customWidth="1"/>
    <col min="15188" max="15190" width="8.09765625" style="37" customWidth="1"/>
    <col min="15191" max="15191" width="8" style="37" customWidth="1"/>
    <col min="15192" max="15195" width="8.69921875" style="37" customWidth="1"/>
    <col min="15196" max="15196" width="7.59765625" style="37" customWidth="1"/>
    <col min="15197" max="15198" width="8.69921875" style="37" customWidth="1"/>
    <col min="15199" max="15199" width="7.69921875" style="37" customWidth="1"/>
    <col min="15200" max="15202" width="8" style="37" customWidth="1"/>
    <col min="15203" max="15203" width="7.8984375" style="37" customWidth="1"/>
    <col min="15204" max="15205" width="8.69921875" style="37" customWidth="1"/>
    <col min="15206" max="15206" width="8.3984375" style="37" customWidth="1"/>
    <col min="15207" max="15207" width="8" style="37" customWidth="1"/>
    <col min="15208" max="15208" width="7.8984375" style="37" customWidth="1"/>
    <col min="15209" max="15211" width="8.19921875" style="37" customWidth="1"/>
    <col min="15212" max="15214" width="8.09765625" style="37" customWidth="1"/>
    <col min="15215" max="15215" width="7.8984375" style="37" customWidth="1"/>
    <col min="15216" max="15216" width="8.8984375" style="37" customWidth="1"/>
    <col min="15217" max="15217" width="8.3984375" style="37" customWidth="1"/>
    <col min="15218" max="15218" width="8.19921875" style="37" customWidth="1"/>
    <col min="15219" max="15219" width="8.8984375" style="37" customWidth="1"/>
    <col min="15220" max="15220" width="8.09765625" style="37" customWidth="1"/>
    <col min="15221" max="15221" width="8.19921875" style="37" customWidth="1"/>
    <col min="15222" max="15222" width="8.8984375" style="37" customWidth="1"/>
    <col min="15223" max="15223" width="8" style="37" customWidth="1"/>
    <col min="15224" max="15226" width="7.8984375" style="37" customWidth="1"/>
    <col min="15227" max="15227" width="7.69921875" style="37" customWidth="1"/>
    <col min="15228" max="15231" width="8.8984375" style="37" customWidth="1"/>
    <col min="15232" max="15232" width="8.69921875" style="37" customWidth="1"/>
    <col min="15233" max="15233" width="8.59765625" style="37" customWidth="1"/>
    <col min="15234" max="15235" width="8.19921875" style="37" customWidth="1"/>
    <col min="15236" max="15236" width="7.59765625" style="37" customWidth="1"/>
    <col min="15237" max="15237" width="8" style="37" customWidth="1"/>
    <col min="15238" max="15238" width="7.09765625" style="37" customWidth="1"/>
    <col min="15239" max="15239" width="7.59765625" style="37" customWidth="1"/>
    <col min="15240" max="15240" width="8.8984375" style="37" customWidth="1"/>
    <col min="15241" max="15241" width="8.09765625" style="37" customWidth="1"/>
    <col min="15242" max="15246" width="8.8984375" style="37" customWidth="1"/>
    <col min="15247" max="15247" width="8" style="37" customWidth="1"/>
    <col min="15248" max="15248" width="7.69921875" style="37" customWidth="1"/>
    <col min="15249" max="15249" width="7.8984375" style="37" customWidth="1"/>
    <col min="15250" max="15250" width="7.3984375" style="37" customWidth="1"/>
    <col min="15251" max="15251" width="7.8984375" style="37" customWidth="1"/>
    <col min="15252" max="15258" width="8.8984375" style="37" customWidth="1"/>
    <col min="15259" max="15259" width="7.5" style="37" customWidth="1"/>
    <col min="15260" max="15260" width="7.19921875" style="37" customWidth="1"/>
    <col min="15261" max="15261" width="8.3984375" style="37" customWidth="1"/>
    <col min="15262" max="15262" width="7.19921875" style="37" customWidth="1"/>
    <col min="15263" max="15263" width="7.59765625" style="37" customWidth="1"/>
    <col min="15264" max="15361" width="8.69921875" style="37"/>
    <col min="15362" max="15362" width="4.5" style="37" bestFit="1" customWidth="1"/>
    <col min="15363" max="15363" width="69.09765625" style="37" customWidth="1"/>
    <col min="15364" max="15364" width="9.19921875" style="37" customWidth="1"/>
    <col min="15365" max="15365" width="8.59765625" style="37" customWidth="1"/>
    <col min="15366" max="15366" width="9.3984375" style="37" customWidth="1"/>
    <col min="15367" max="15367" width="10.19921875" style="37" customWidth="1"/>
    <col min="15368" max="15368" width="10.59765625" style="37" customWidth="1"/>
    <col min="15369" max="15369" width="10" style="37" customWidth="1"/>
    <col min="15370" max="15371" width="8.5" style="37" customWidth="1"/>
    <col min="15372" max="15372" width="7.5" style="37" customWidth="1"/>
    <col min="15373" max="15373" width="7.09765625" style="37" customWidth="1"/>
    <col min="15374" max="15374" width="8.09765625" style="37" customWidth="1"/>
    <col min="15375" max="15376" width="7.5" style="37" customWidth="1"/>
    <col min="15377" max="15377" width="8.59765625" style="37" customWidth="1"/>
    <col min="15378" max="15380" width="7.5" style="37" customWidth="1"/>
    <col min="15381" max="15381" width="8.3984375" style="37" customWidth="1"/>
    <col min="15382" max="15382" width="7.5" style="37" customWidth="1"/>
    <col min="15383" max="15383" width="8.19921875" style="37" customWidth="1"/>
    <col min="15384" max="15386" width="7.5" style="37" customWidth="1"/>
    <col min="15387" max="15387" width="8.19921875" style="37" customWidth="1"/>
    <col min="15388" max="15388" width="8.09765625" style="37" customWidth="1"/>
    <col min="15389" max="15389" width="8.19921875" style="37" customWidth="1"/>
    <col min="15390" max="15390" width="8.69921875" style="37" customWidth="1"/>
    <col min="15391" max="15391" width="7.09765625" style="37" customWidth="1"/>
    <col min="15392" max="15392" width="9.5" style="37" customWidth="1"/>
    <col min="15393" max="15393" width="8.59765625" style="37" customWidth="1"/>
    <col min="15394" max="15394" width="8.8984375" style="37" customWidth="1"/>
    <col min="15395" max="15395" width="8.09765625" style="37" customWidth="1"/>
    <col min="15396" max="15398" width="7.59765625" style="37" customWidth="1"/>
    <col min="15399" max="15399" width="6.5" style="37" customWidth="1"/>
    <col min="15400" max="15408" width="8.5" style="37" customWidth="1"/>
    <col min="15409" max="15409" width="7.5" style="37" customWidth="1"/>
    <col min="15410" max="15410" width="7.19921875" style="37" customWidth="1"/>
    <col min="15411" max="15411" width="8.5" style="37" customWidth="1"/>
    <col min="15412" max="15412" width="9.3984375" style="37" customWidth="1"/>
    <col min="15413" max="15415" width="8.5" style="37" customWidth="1"/>
    <col min="15416" max="15416" width="9.19921875" style="37" customWidth="1"/>
    <col min="15417" max="15419" width="8.5" style="37" customWidth="1"/>
    <col min="15420" max="15420" width="7.8984375" style="37" customWidth="1"/>
    <col min="15421" max="15421" width="8.5" style="37" customWidth="1"/>
    <col min="15422" max="15422" width="7.3984375" style="37" customWidth="1"/>
    <col min="15423" max="15423" width="7.59765625" style="37" customWidth="1"/>
    <col min="15424" max="15424" width="9.8984375" style="37" customWidth="1"/>
    <col min="15425" max="15425" width="8.19921875" style="37" customWidth="1"/>
    <col min="15426" max="15428" width="8.8984375" style="37" customWidth="1"/>
    <col min="15429" max="15429" width="8.69921875" style="37" customWidth="1"/>
    <col min="15430" max="15430" width="8" style="37" customWidth="1"/>
    <col min="15431" max="15431" width="8.19921875" style="37" customWidth="1"/>
    <col min="15432" max="15432" width="7.3984375" style="37" customWidth="1"/>
    <col min="15433" max="15433" width="8.8984375" style="37" customWidth="1"/>
    <col min="15434" max="15434" width="7.3984375" style="37" customWidth="1"/>
    <col min="15435" max="15435" width="6.59765625" style="37" customWidth="1"/>
    <col min="15436" max="15436" width="9.5" style="37" customWidth="1"/>
    <col min="15437" max="15437" width="8" style="37" customWidth="1"/>
    <col min="15438" max="15438" width="8.3984375" style="37" customWidth="1"/>
    <col min="15439" max="15439" width="8.5" style="37" customWidth="1"/>
    <col min="15440" max="15440" width="8" style="37" customWidth="1"/>
    <col min="15441" max="15441" width="7.8984375" style="37" customWidth="1"/>
    <col min="15442" max="15442" width="8" style="37" customWidth="1"/>
    <col min="15443" max="15443" width="8.5" style="37" customWidth="1"/>
    <col min="15444" max="15446" width="8.09765625" style="37" customWidth="1"/>
    <col min="15447" max="15447" width="8" style="37" customWidth="1"/>
    <col min="15448" max="15451" width="8.69921875" style="37" customWidth="1"/>
    <col min="15452" max="15452" width="7.59765625" style="37" customWidth="1"/>
    <col min="15453" max="15454" width="8.69921875" style="37" customWidth="1"/>
    <col min="15455" max="15455" width="7.69921875" style="37" customWidth="1"/>
    <col min="15456" max="15458" width="8" style="37" customWidth="1"/>
    <col min="15459" max="15459" width="7.8984375" style="37" customWidth="1"/>
    <col min="15460" max="15461" width="8.69921875" style="37" customWidth="1"/>
    <col min="15462" max="15462" width="8.3984375" style="37" customWidth="1"/>
    <col min="15463" max="15463" width="8" style="37" customWidth="1"/>
    <col min="15464" max="15464" width="7.8984375" style="37" customWidth="1"/>
    <col min="15465" max="15467" width="8.19921875" style="37" customWidth="1"/>
    <col min="15468" max="15470" width="8.09765625" style="37" customWidth="1"/>
    <col min="15471" max="15471" width="7.8984375" style="37" customWidth="1"/>
    <col min="15472" max="15472" width="8.8984375" style="37" customWidth="1"/>
    <col min="15473" max="15473" width="8.3984375" style="37" customWidth="1"/>
    <col min="15474" max="15474" width="8.19921875" style="37" customWidth="1"/>
    <col min="15475" max="15475" width="8.8984375" style="37" customWidth="1"/>
    <col min="15476" max="15476" width="8.09765625" style="37" customWidth="1"/>
    <col min="15477" max="15477" width="8.19921875" style="37" customWidth="1"/>
    <col min="15478" max="15478" width="8.8984375" style="37" customWidth="1"/>
    <col min="15479" max="15479" width="8" style="37" customWidth="1"/>
    <col min="15480" max="15482" width="7.8984375" style="37" customWidth="1"/>
    <col min="15483" max="15483" width="7.69921875" style="37" customWidth="1"/>
    <col min="15484" max="15487" width="8.8984375" style="37" customWidth="1"/>
    <col min="15488" max="15488" width="8.69921875" style="37" customWidth="1"/>
    <col min="15489" max="15489" width="8.59765625" style="37" customWidth="1"/>
    <col min="15490" max="15491" width="8.19921875" style="37" customWidth="1"/>
    <col min="15492" max="15492" width="7.59765625" style="37" customWidth="1"/>
    <col min="15493" max="15493" width="8" style="37" customWidth="1"/>
    <col min="15494" max="15494" width="7.09765625" style="37" customWidth="1"/>
    <col min="15495" max="15495" width="7.59765625" style="37" customWidth="1"/>
    <col min="15496" max="15496" width="8.8984375" style="37" customWidth="1"/>
    <col min="15497" max="15497" width="8.09765625" style="37" customWidth="1"/>
    <col min="15498" max="15502" width="8.8984375" style="37" customWidth="1"/>
    <col min="15503" max="15503" width="8" style="37" customWidth="1"/>
    <col min="15504" max="15504" width="7.69921875" style="37" customWidth="1"/>
    <col min="15505" max="15505" width="7.8984375" style="37" customWidth="1"/>
    <col min="15506" max="15506" width="7.3984375" style="37" customWidth="1"/>
    <col min="15507" max="15507" width="7.8984375" style="37" customWidth="1"/>
    <col min="15508" max="15514" width="8.8984375" style="37" customWidth="1"/>
    <col min="15515" max="15515" width="7.5" style="37" customWidth="1"/>
    <col min="15516" max="15516" width="7.19921875" style="37" customWidth="1"/>
    <col min="15517" max="15517" width="8.3984375" style="37" customWidth="1"/>
    <col min="15518" max="15518" width="7.19921875" style="37" customWidth="1"/>
    <col min="15519" max="15519" width="7.59765625" style="37" customWidth="1"/>
    <col min="15520" max="15617" width="8.69921875" style="37"/>
    <col min="15618" max="15618" width="4.5" style="37" bestFit="1" customWidth="1"/>
    <col min="15619" max="15619" width="69.09765625" style="37" customWidth="1"/>
    <col min="15620" max="15620" width="9.19921875" style="37" customWidth="1"/>
    <col min="15621" max="15621" width="8.59765625" style="37" customWidth="1"/>
    <col min="15622" max="15622" width="9.3984375" style="37" customWidth="1"/>
    <col min="15623" max="15623" width="10.19921875" style="37" customWidth="1"/>
    <col min="15624" max="15624" width="10.59765625" style="37" customWidth="1"/>
    <col min="15625" max="15625" width="10" style="37" customWidth="1"/>
    <col min="15626" max="15627" width="8.5" style="37" customWidth="1"/>
    <col min="15628" max="15628" width="7.5" style="37" customWidth="1"/>
    <col min="15629" max="15629" width="7.09765625" style="37" customWidth="1"/>
    <col min="15630" max="15630" width="8.09765625" style="37" customWidth="1"/>
    <col min="15631" max="15632" width="7.5" style="37" customWidth="1"/>
    <col min="15633" max="15633" width="8.59765625" style="37" customWidth="1"/>
    <col min="15634" max="15636" width="7.5" style="37" customWidth="1"/>
    <col min="15637" max="15637" width="8.3984375" style="37" customWidth="1"/>
    <col min="15638" max="15638" width="7.5" style="37" customWidth="1"/>
    <col min="15639" max="15639" width="8.19921875" style="37" customWidth="1"/>
    <col min="15640" max="15642" width="7.5" style="37" customWidth="1"/>
    <col min="15643" max="15643" width="8.19921875" style="37" customWidth="1"/>
    <col min="15644" max="15644" width="8.09765625" style="37" customWidth="1"/>
    <col min="15645" max="15645" width="8.19921875" style="37" customWidth="1"/>
    <col min="15646" max="15646" width="8.69921875" style="37" customWidth="1"/>
    <col min="15647" max="15647" width="7.09765625" style="37" customWidth="1"/>
    <col min="15648" max="15648" width="9.5" style="37" customWidth="1"/>
    <col min="15649" max="15649" width="8.59765625" style="37" customWidth="1"/>
    <col min="15650" max="15650" width="8.8984375" style="37" customWidth="1"/>
    <col min="15651" max="15651" width="8.09765625" style="37" customWidth="1"/>
    <col min="15652" max="15654" width="7.59765625" style="37" customWidth="1"/>
    <col min="15655" max="15655" width="6.5" style="37" customWidth="1"/>
    <col min="15656" max="15664" width="8.5" style="37" customWidth="1"/>
    <col min="15665" max="15665" width="7.5" style="37" customWidth="1"/>
    <col min="15666" max="15666" width="7.19921875" style="37" customWidth="1"/>
    <col min="15667" max="15667" width="8.5" style="37" customWidth="1"/>
    <col min="15668" max="15668" width="9.3984375" style="37" customWidth="1"/>
    <col min="15669" max="15671" width="8.5" style="37" customWidth="1"/>
    <col min="15672" max="15672" width="9.19921875" style="37" customWidth="1"/>
    <col min="15673" max="15675" width="8.5" style="37" customWidth="1"/>
    <col min="15676" max="15676" width="7.8984375" style="37" customWidth="1"/>
    <col min="15677" max="15677" width="8.5" style="37" customWidth="1"/>
    <col min="15678" max="15678" width="7.3984375" style="37" customWidth="1"/>
    <col min="15679" max="15679" width="7.59765625" style="37" customWidth="1"/>
    <col min="15680" max="15680" width="9.8984375" style="37" customWidth="1"/>
    <col min="15681" max="15681" width="8.19921875" style="37" customWidth="1"/>
    <col min="15682" max="15684" width="8.8984375" style="37" customWidth="1"/>
    <col min="15685" max="15685" width="8.69921875" style="37" customWidth="1"/>
    <col min="15686" max="15686" width="8" style="37" customWidth="1"/>
    <col min="15687" max="15687" width="8.19921875" style="37" customWidth="1"/>
    <col min="15688" max="15688" width="7.3984375" style="37" customWidth="1"/>
    <col min="15689" max="15689" width="8.8984375" style="37" customWidth="1"/>
    <col min="15690" max="15690" width="7.3984375" style="37" customWidth="1"/>
    <col min="15691" max="15691" width="6.59765625" style="37" customWidth="1"/>
    <col min="15692" max="15692" width="9.5" style="37" customWidth="1"/>
    <col min="15693" max="15693" width="8" style="37" customWidth="1"/>
    <col min="15694" max="15694" width="8.3984375" style="37" customWidth="1"/>
    <col min="15695" max="15695" width="8.5" style="37" customWidth="1"/>
    <col min="15696" max="15696" width="8" style="37" customWidth="1"/>
    <col min="15697" max="15697" width="7.8984375" style="37" customWidth="1"/>
    <col min="15698" max="15698" width="8" style="37" customWidth="1"/>
    <col min="15699" max="15699" width="8.5" style="37" customWidth="1"/>
    <col min="15700" max="15702" width="8.09765625" style="37" customWidth="1"/>
    <col min="15703" max="15703" width="8" style="37" customWidth="1"/>
    <col min="15704" max="15707" width="8.69921875" style="37" customWidth="1"/>
    <col min="15708" max="15708" width="7.59765625" style="37" customWidth="1"/>
    <col min="15709" max="15710" width="8.69921875" style="37" customWidth="1"/>
    <col min="15711" max="15711" width="7.69921875" style="37" customWidth="1"/>
    <col min="15712" max="15714" width="8" style="37" customWidth="1"/>
    <col min="15715" max="15715" width="7.8984375" style="37" customWidth="1"/>
    <col min="15716" max="15717" width="8.69921875" style="37" customWidth="1"/>
    <col min="15718" max="15718" width="8.3984375" style="37" customWidth="1"/>
    <col min="15719" max="15719" width="8" style="37" customWidth="1"/>
    <col min="15720" max="15720" width="7.8984375" style="37" customWidth="1"/>
    <col min="15721" max="15723" width="8.19921875" style="37" customWidth="1"/>
    <col min="15724" max="15726" width="8.09765625" style="37" customWidth="1"/>
    <col min="15727" max="15727" width="7.8984375" style="37" customWidth="1"/>
    <col min="15728" max="15728" width="8.8984375" style="37" customWidth="1"/>
    <col min="15729" max="15729" width="8.3984375" style="37" customWidth="1"/>
    <col min="15730" max="15730" width="8.19921875" style="37" customWidth="1"/>
    <col min="15731" max="15731" width="8.8984375" style="37" customWidth="1"/>
    <col min="15732" max="15732" width="8.09765625" style="37" customWidth="1"/>
    <col min="15733" max="15733" width="8.19921875" style="37" customWidth="1"/>
    <col min="15734" max="15734" width="8.8984375" style="37" customWidth="1"/>
    <col min="15735" max="15735" width="8" style="37" customWidth="1"/>
    <col min="15736" max="15738" width="7.8984375" style="37" customWidth="1"/>
    <col min="15739" max="15739" width="7.69921875" style="37" customWidth="1"/>
    <col min="15740" max="15743" width="8.8984375" style="37" customWidth="1"/>
    <col min="15744" max="15744" width="8.69921875" style="37" customWidth="1"/>
    <col min="15745" max="15745" width="8.59765625" style="37" customWidth="1"/>
    <col min="15746" max="15747" width="8.19921875" style="37" customWidth="1"/>
    <col min="15748" max="15748" width="7.59765625" style="37" customWidth="1"/>
    <col min="15749" max="15749" width="8" style="37" customWidth="1"/>
    <col min="15750" max="15750" width="7.09765625" style="37" customWidth="1"/>
    <col min="15751" max="15751" width="7.59765625" style="37" customWidth="1"/>
    <col min="15752" max="15752" width="8.8984375" style="37" customWidth="1"/>
    <col min="15753" max="15753" width="8.09765625" style="37" customWidth="1"/>
    <col min="15754" max="15758" width="8.8984375" style="37" customWidth="1"/>
    <col min="15759" max="15759" width="8" style="37" customWidth="1"/>
    <col min="15760" max="15760" width="7.69921875" style="37" customWidth="1"/>
    <col min="15761" max="15761" width="7.8984375" style="37" customWidth="1"/>
    <col min="15762" max="15762" width="7.3984375" style="37" customWidth="1"/>
    <col min="15763" max="15763" width="7.8984375" style="37" customWidth="1"/>
    <col min="15764" max="15770" width="8.8984375" style="37" customWidth="1"/>
    <col min="15771" max="15771" width="7.5" style="37" customWidth="1"/>
    <col min="15772" max="15772" width="7.19921875" style="37" customWidth="1"/>
    <col min="15773" max="15773" width="8.3984375" style="37" customWidth="1"/>
    <col min="15774" max="15774" width="7.19921875" style="37" customWidth="1"/>
    <col min="15775" max="15775" width="7.59765625" style="37" customWidth="1"/>
    <col min="15776" max="15873" width="8.69921875" style="37"/>
    <col min="15874" max="15874" width="4.5" style="37" bestFit="1" customWidth="1"/>
    <col min="15875" max="15875" width="69.09765625" style="37" customWidth="1"/>
    <col min="15876" max="15876" width="9.19921875" style="37" customWidth="1"/>
    <col min="15877" max="15877" width="8.59765625" style="37" customWidth="1"/>
    <col min="15878" max="15878" width="9.3984375" style="37" customWidth="1"/>
    <col min="15879" max="15879" width="10.19921875" style="37" customWidth="1"/>
    <col min="15880" max="15880" width="10.59765625" style="37" customWidth="1"/>
    <col min="15881" max="15881" width="10" style="37" customWidth="1"/>
    <col min="15882" max="15883" width="8.5" style="37" customWidth="1"/>
    <col min="15884" max="15884" width="7.5" style="37" customWidth="1"/>
    <col min="15885" max="15885" width="7.09765625" style="37" customWidth="1"/>
    <col min="15886" max="15886" width="8.09765625" style="37" customWidth="1"/>
    <col min="15887" max="15888" width="7.5" style="37" customWidth="1"/>
    <col min="15889" max="15889" width="8.59765625" style="37" customWidth="1"/>
    <col min="15890" max="15892" width="7.5" style="37" customWidth="1"/>
    <col min="15893" max="15893" width="8.3984375" style="37" customWidth="1"/>
    <col min="15894" max="15894" width="7.5" style="37" customWidth="1"/>
    <col min="15895" max="15895" width="8.19921875" style="37" customWidth="1"/>
    <col min="15896" max="15898" width="7.5" style="37" customWidth="1"/>
    <col min="15899" max="15899" width="8.19921875" style="37" customWidth="1"/>
    <col min="15900" max="15900" width="8.09765625" style="37" customWidth="1"/>
    <col min="15901" max="15901" width="8.19921875" style="37" customWidth="1"/>
    <col min="15902" max="15902" width="8.69921875" style="37" customWidth="1"/>
    <col min="15903" max="15903" width="7.09765625" style="37" customWidth="1"/>
    <col min="15904" max="15904" width="9.5" style="37" customWidth="1"/>
    <col min="15905" max="15905" width="8.59765625" style="37" customWidth="1"/>
    <col min="15906" max="15906" width="8.8984375" style="37" customWidth="1"/>
    <col min="15907" max="15907" width="8.09765625" style="37" customWidth="1"/>
    <col min="15908" max="15910" width="7.59765625" style="37" customWidth="1"/>
    <col min="15911" max="15911" width="6.5" style="37" customWidth="1"/>
    <col min="15912" max="15920" width="8.5" style="37" customWidth="1"/>
    <col min="15921" max="15921" width="7.5" style="37" customWidth="1"/>
    <col min="15922" max="15922" width="7.19921875" style="37" customWidth="1"/>
    <col min="15923" max="15923" width="8.5" style="37" customWidth="1"/>
    <col min="15924" max="15924" width="9.3984375" style="37" customWidth="1"/>
    <col min="15925" max="15927" width="8.5" style="37" customWidth="1"/>
    <col min="15928" max="15928" width="9.19921875" style="37" customWidth="1"/>
    <col min="15929" max="15931" width="8.5" style="37" customWidth="1"/>
    <col min="15932" max="15932" width="7.8984375" style="37" customWidth="1"/>
    <col min="15933" max="15933" width="8.5" style="37" customWidth="1"/>
    <col min="15934" max="15934" width="7.3984375" style="37" customWidth="1"/>
    <col min="15935" max="15935" width="7.59765625" style="37" customWidth="1"/>
    <col min="15936" max="15936" width="9.8984375" style="37" customWidth="1"/>
    <col min="15937" max="15937" width="8.19921875" style="37" customWidth="1"/>
    <col min="15938" max="15940" width="8.8984375" style="37" customWidth="1"/>
    <col min="15941" max="15941" width="8.69921875" style="37" customWidth="1"/>
    <col min="15942" max="15942" width="8" style="37" customWidth="1"/>
    <col min="15943" max="15943" width="8.19921875" style="37" customWidth="1"/>
    <col min="15944" max="15944" width="7.3984375" style="37" customWidth="1"/>
    <col min="15945" max="15945" width="8.8984375" style="37" customWidth="1"/>
    <col min="15946" max="15946" width="7.3984375" style="37" customWidth="1"/>
    <col min="15947" max="15947" width="6.59765625" style="37" customWidth="1"/>
    <col min="15948" max="15948" width="9.5" style="37" customWidth="1"/>
    <col min="15949" max="15949" width="8" style="37" customWidth="1"/>
    <col min="15950" max="15950" width="8.3984375" style="37" customWidth="1"/>
    <col min="15951" max="15951" width="8.5" style="37" customWidth="1"/>
    <col min="15952" max="15952" width="8" style="37" customWidth="1"/>
    <col min="15953" max="15953" width="7.8984375" style="37" customWidth="1"/>
    <col min="15954" max="15954" width="8" style="37" customWidth="1"/>
    <col min="15955" max="15955" width="8.5" style="37" customWidth="1"/>
    <col min="15956" max="15958" width="8.09765625" style="37" customWidth="1"/>
    <col min="15959" max="15959" width="8" style="37" customWidth="1"/>
    <col min="15960" max="15963" width="8.69921875" style="37" customWidth="1"/>
    <col min="15964" max="15964" width="7.59765625" style="37" customWidth="1"/>
    <col min="15965" max="15966" width="8.69921875" style="37" customWidth="1"/>
    <col min="15967" max="15967" width="7.69921875" style="37" customWidth="1"/>
    <col min="15968" max="15970" width="8" style="37" customWidth="1"/>
    <col min="15971" max="15971" width="7.8984375" style="37" customWidth="1"/>
    <col min="15972" max="15973" width="8.69921875" style="37" customWidth="1"/>
    <col min="15974" max="15974" width="8.3984375" style="37" customWidth="1"/>
    <col min="15975" max="15975" width="8" style="37" customWidth="1"/>
    <col min="15976" max="15976" width="7.8984375" style="37" customWidth="1"/>
    <col min="15977" max="15979" width="8.19921875" style="37" customWidth="1"/>
    <col min="15980" max="15982" width="8.09765625" style="37" customWidth="1"/>
    <col min="15983" max="15983" width="7.8984375" style="37" customWidth="1"/>
    <col min="15984" max="15984" width="8.8984375" style="37" customWidth="1"/>
    <col min="15985" max="15985" width="8.3984375" style="37" customWidth="1"/>
    <col min="15986" max="15986" width="8.19921875" style="37" customWidth="1"/>
    <col min="15987" max="15987" width="8.8984375" style="37" customWidth="1"/>
    <col min="15988" max="15988" width="8.09765625" style="37" customWidth="1"/>
    <col min="15989" max="15989" width="8.19921875" style="37" customWidth="1"/>
    <col min="15990" max="15990" width="8.8984375" style="37" customWidth="1"/>
    <col min="15991" max="15991" width="8" style="37" customWidth="1"/>
    <col min="15992" max="15994" width="7.8984375" style="37" customWidth="1"/>
    <col min="15995" max="15995" width="7.69921875" style="37" customWidth="1"/>
    <col min="15996" max="15999" width="8.8984375" style="37" customWidth="1"/>
    <col min="16000" max="16000" width="8.69921875" style="37" customWidth="1"/>
    <col min="16001" max="16001" width="8.59765625" style="37" customWidth="1"/>
    <col min="16002" max="16003" width="8.19921875" style="37" customWidth="1"/>
    <col min="16004" max="16004" width="7.59765625" style="37" customWidth="1"/>
    <col min="16005" max="16005" width="8" style="37" customWidth="1"/>
    <col min="16006" max="16006" width="7.09765625" style="37" customWidth="1"/>
    <col min="16007" max="16007" width="7.59765625" style="37" customWidth="1"/>
    <col min="16008" max="16008" width="8.8984375" style="37" customWidth="1"/>
    <col min="16009" max="16009" width="8.09765625" style="37" customWidth="1"/>
    <col min="16010" max="16014" width="8.8984375" style="37" customWidth="1"/>
    <col min="16015" max="16015" width="8" style="37" customWidth="1"/>
    <col min="16016" max="16016" width="7.69921875" style="37" customWidth="1"/>
    <col min="16017" max="16017" width="7.8984375" style="37" customWidth="1"/>
    <col min="16018" max="16018" width="7.3984375" style="37" customWidth="1"/>
    <col min="16019" max="16019" width="7.8984375" style="37" customWidth="1"/>
    <col min="16020" max="16026" width="8.8984375" style="37" customWidth="1"/>
    <col min="16027" max="16027" width="7.5" style="37" customWidth="1"/>
    <col min="16028" max="16028" width="7.19921875" style="37" customWidth="1"/>
    <col min="16029" max="16029" width="8.3984375" style="37" customWidth="1"/>
    <col min="16030" max="16030" width="7.19921875" style="37" customWidth="1"/>
    <col min="16031" max="16031" width="7.59765625" style="37" customWidth="1"/>
    <col min="16032" max="16129" width="8.69921875" style="37"/>
    <col min="16130" max="16130" width="4.5" style="37" bestFit="1" customWidth="1"/>
    <col min="16131" max="16131" width="69.09765625" style="37" customWidth="1"/>
    <col min="16132" max="16132" width="9.19921875" style="37" customWidth="1"/>
    <col min="16133" max="16133" width="8.59765625" style="37" customWidth="1"/>
    <col min="16134" max="16134" width="9.3984375" style="37" customWidth="1"/>
    <col min="16135" max="16135" width="10.19921875" style="37" customWidth="1"/>
    <col min="16136" max="16136" width="10.59765625" style="37" customWidth="1"/>
    <col min="16137" max="16137" width="10" style="37" customWidth="1"/>
    <col min="16138" max="16139" width="8.5" style="37" customWidth="1"/>
    <col min="16140" max="16140" width="7.5" style="37" customWidth="1"/>
    <col min="16141" max="16141" width="7.09765625" style="37" customWidth="1"/>
    <col min="16142" max="16142" width="8.09765625" style="37" customWidth="1"/>
    <col min="16143" max="16144" width="7.5" style="37" customWidth="1"/>
    <col min="16145" max="16145" width="8.59765625" style="37" customWidth="1"/>
    <col min="16146" max="16148" width="7.5" style="37" customWidth="1"/>
    <col min="16149" max="16149" width="8.3984375" style="37" customWidth="1"/>
    <col min="16150" max="16150" width="7.5" style="37" customWidth="1"/>
    <col min="16151" max="16151" width="8.19921875" style="37" customWidth="1"/>
    <col min="16152" max="16154" width="7.5" style="37" customWidth="1"/>
    <col min="16155" max="16155" width="8.19921875" style="37" customWidth="1"/>
    <col min="16156" max="16156" width="8.09765625" style="37" customWidth="1"/>
    <col min="16157" max="16157" width="8.19921875" style="37" customWidth="1"/>
    <col min="16158" max="16158" width="8.69921875" style="37" customWidth="1"/>
    <col min="16159" max="16159" width="7.09765625" style="37" customWidth="1"/>
    <col min="16160" max="16160" width="9.5" style="37" customWidth="1"/>
    <col min="16161" max="16161" width="8.59765625" style="37" customWidth="1"/>
    <col min="16162" max="16162" width="8.8984375" style="37" customWidth="1"/>
    <col min="16163" max="16163" width="8.09765625" style="37" customWidth="1"/>
    <col min="16164" max="16166" width="7.59765625" style="37" customWidth="1"/>
    <col min="16167" max="16167" width="6.5" style="37" customWidth="1"/>
    <col min="16168" max="16176" width="8.5" style="37" customWidth="1"/>
    <col min="16177" max="16177" width="7.5" style="37" customWidth="1"/>
    <col min="16178" max="16178" width="7.19921875" style="37" customWidth="1"/>
    <col min="16179" max="16179" width="8.5" style="37" customWidth="1"/>
    <col min="16180" max="16180" width="9.3984375" style="37" customWidth="1"/>
    <col min="16181" max="16183" width="8.5" style="37" customWidth="1"/>
    <col min="16184" max="16184" width="9.19921875" style="37" customWidth="1"/>
    <col min="16185" max="16187" width="8.5" style="37" customWidth="1"/>
    <col min="16188" max="16188" width="7.8984375" style="37" customWidth="1"/>
    <col min="16189" max="16189" width="8.5" style="37" customWidth="1"/>
    <col min="16190" max="16190" width="7.3984375" style="37" customWidth="1"/>
    <col min="16191" max="16191" width="7.59765625" style="37" customWidth="1"/>
    <col min="16192" max="16192" width="9.8984375" style="37" customWidth="1"/>
    <col min="16193" max="16193" width="8.19921875" style="37" customWidth="1"/>
    <col min="16194" max="16196" width="8.8984375" style="37" customWidth="1"/>
    <col min="16197" max="16197" width="8.69921875" style="37" customWidth="1"/>
    <col min="16198" max="16198" width="8" style="37" customWidth="1"/>
    <col min="16199" max="16199" width="8.19921875" style="37" customWidth="1"/>
    <col min="16200" max="16200" width="7.3984375" style="37" customWidth="1"/>
    <col min="16201" max="16201" width="8.8984375" style="37" customWidth="1"/>
    <col min="16202" max="16202" width="7.3984375" style="37" customWidth="1"/>
    <col min="16203" max="16203" width="6.59765625" style="37" customWidth="1"/>
    <col min="16204" max="16204" width="9.5" style="37" customWidth="1"/>
    <col min="16205" max="16205" width="8" style="37" customWidth="1"/>
    <col min="16206" max="16206" width="8.3984375" style="37" customWidth="1"/>
    <col min="16207" max="16207" width="8.5" style="37" customWidth="1"/>
    <col min="16208" max="16208" width="8" style="37" customWidth="1"/>
    <col min="16209" max="16209" width="7.8984375" style="37" customWidth="1"/>
    <col min="16210" max="16210" width="8" style="37" customWidth="1"/>
    <col min="16211" max="16211" width="8.5" style="37" customWidth="1"/>
    <col min="16212" max="16214" width="8.09765625" style="37" customWidth="1"/>
    <col min="16215" max="16215" width="8" style="37" customWidth="1"/>
    <col min="16216" max="16219" width="8.69921875" style="37" customWidth="1"/>
    <col min="16220" max="16220" width="7.59765625" style="37" customWidth="1"/>
    <col min="16221" max="16222" width="8.69921875" style="37" customWidth="1"/>
    <col min="16223" max="16223" width="7.69921875" style="37" customWidth="1"/>
    <col min="16224" max="16226" width="8" style="37" customWidth="1"/>
    <col min="16227" max="16227" width="7.8984375" style="37" customWidth="1"/>
    <col min="16228" max="16229" width="8.69921875" style="37" customWidth="1"/>
    <col min="16230" max="16230" width="8.3984375" style="37" customWidth="1"/>
    <col min="16231" max="16231" width="8" style="37" customWidth="1"/>
    <col min="16232" max="16232" width="7.8984375" style="37" customWidth="1"/>
    <col min="16233" max="16235" width="8.19921875" style="37" customWidth="1"/>
    <col min="16236" max="16238" width="8.09765625" style="37" customWidth="1"/>
    <col min="16239" max="16239" width="7.8984375" style="37" customWidth="1"/>
    <col min="16240" max="16240" width="8.8984375" style="37" customWidth="1"/>
    <col min="16241" max="16241" width="8.3984375" style="37" customWidth="1"/>
    <col min="16242" max="16242" width="8.19921875" style="37" customWidth="1"/>
    <col min="16243" max="16243" width="8.8984375" style="37" customWidth="1"/>
    <col min="16244" max="16244" width="8.09765625" style="37" customWidth="1"/>
    <col min="16245" max="16245" width="8.19921875" style="37" customWidth="1"/>
    <col min="16246" max="16246" width="8.8984375" style="37" customWidth="1"/>
    <col min="16247" max="16247" width="8" style="37" customWidth="1"/>
    <col min="16248" max="16250" width="7.8984375" style="37" customWidth="1"/>
    <col min="16251" max="16251" width="7.69921875" style="37" customWidth="1"/>
    <col min="16252" max="16255" width="8.8984375" style="37" customWidth="1"/>
    <col min="16256" max="16256" width="8.69921875" style="37" customWidth="1"/>
    <col min="16257" max="16257" width="8.59765625" style="37" customWidth="1"/>
    <col min="16258" max="16259" width="8.19921875" style="37" customWidth="1"/>
    <col min="16260" max="16260" width="7.59765625" style="37" customWidth="1"/>
    <col min="16261" max="16261" width="8" style="37" customWidth="1"/>
    <col min="16262" max="16262" width="7.09765625" style="37" customWidth="1"/>
    <col min="16263" max="16263" width="7.59765625" style="37" customWidth="1"/>
    <col min="16264" max="16264" width="8.8984375" style="37" customWidth="1"/>
    <col min="16265" max="16265" width="8.09765625" style="37" customWidth="1"/>
    <col min="16266" max="16270" width="8.8984375" style="37" customWidth="1"/>
    <col min="16271" max="16271" width="8" style="37" customWidth="1"/>
    <col min="16272" max="16272" width="7.69921875" style="37" customWidth="1"/>
    <col min="16273" max="16273" width="7.8984375" style="37" customWidth="1"/>
    <col min="16274" max="16274" width="7.3984375" style="37" customWidth="1"/>
    <col min="16275" max="16275" width="7.8984375" style="37" customWidth="1"/>
    <col min="16276" max="16282" width="8.8984375" style="37" customWidth="1"/>
    <col min="16283" max="16283" width="7.5" style="37" customWidth="1"/>
    <col min="16284" max="16284" width="7.19921875" style="37" customWidth="1"/>
    <col min="16285" max="16285" width="8.3984375" style="37" customWidth="1"/>
    <col min="16286" max="16286" width="7.19921875" style="37" customWidth="1"/>
    <col min="16287" max="16287" width="7.59765625" style="37" customWidth="1"/>
    <col min="16288" max="16384" width="8.69921875" style="37"/>
  </cols>
  <sheetData>
    <row r="1" spans="1:162" ht="43.5" customHeight="1">
      <c r="A1" s="2757" t="s">
        <v>2552</v>
      </c>
      <c r="C1" s="4475" t="s">
        <v>1861</v>
      </c>
      <c r="D1" s="4475"/>
      <c r="E1" s="4475"/>
      <c r="F1" s="4475"/>
      <c r="G1" s="4475"/>
      <c r="H1" s="4475"/>
      <c r="I1" s="4475"/>
      <c r="J1" s="4475"/>
      <c r="K1" s="4475"/>
      <c r="L1" s="4475"/>
      <c r="M1" s="4475"/>
      <c r="N1" s="4475"/>
      <c r="O1" s="4475" t="s">
        <v>1861</v>
      </c>
      <c r="P1" s="4475"/>
      <c r="Q1" s="4475"/>
      <c r="R1" s="4475"/>
      <c r="S1" s="4475"/>
      <c r="T1" s="4475"/>
      <c r="U1" s="4475"/>
      <c r="V1" s="4475"/>
      <c r="W1" s="4475"/>
      <c r="X1" s="4475"/>
      <c r="Y1" s="4475"/>
      <c r="Z1" s="4475"/>
      <c r="AA1" s="4475" t="s">
        <v>1861</v>
      </c>
      <c r="AB1" s="4475"/>
      <c r="AC1" s="4475"/>
      <c r="AD1" s="4475"/>
      <c r="AE1" s="4475"/>
      <c r="AF1" s="4475"/>
      <c r="AG1" s="4475"/>
      <c r="AH1" s="4475"/>
      <c r="AI1" s="4475"/>
      <c r="AJ1" s="4475"/>
      <c r="AK1" s="4475"/>
      <c r="AL1" s="4475"/>
      <c r="AM1" s="4475" t="s">
        <v>1861</v>
      </c>
      <c r="AN1" s="4475"/>
      <c r="AO1" s="4475"/>
      <c r="AP1" s="4475"/>
      <c r="AQ1" s="4475"/>
      <c r="AR1" s="4475"/>
      <c r="AS1" s="4475"/>
      <c r="AT1" s="4475"/>
      <c r="AU1" s="4475"/>
      <c r="AV1" s="4475"/>
      <c r="AW1" s="4475"/>
      <c r="AX1" s="4475"/>
      <c r="AY1" s="4475" t="s">
        <v>1861</v>
      </c>
      <c r="AZ1" s="4475"/>
      <c r="BA1" s="4475"/>
      <c r="BB1" s="4475"/>
      <c r="BC1" s="4475"/>
      <c r="BD1" s="4475"/>
      <c r="BE1" s="4475"/>
      <c r="BF1" s="4475"/>
      <c r="BG1" s="4475"/>
      <c r="BH1" s="4475"/>
      <c r="BI1" s="4475"/>
      <c r="BJ1" s="4475"/>
      <c r="BK1" s="4475" t="s">
        <v>1861</v>
      </c>
      <c r="BL1" s="4475"/>
      <c r="BM1" s="4475"/>
      <c r="BN1" s="4475"/>
      <c r="BO1" s="4475"/>
      <c r="BP1" s="4475"/>
      <c r="BQ1" s="4475"/>
      <c r="BR1" s="4475"/>
      <c r="BS1" s="4475"/>
      <c r="BT1" s="4475"/>
      <c r="BU1" s="4475"/>
      <c r="BV1" s="4475"/>
      <c r="BW1" s="4475" t="s">
        <v>1861</v>
      </c>
      <c r="BX1" s="4475"/>
      <c r="BY1" s="4475"/>
      <c r="BZ1" s="4475"/>
      <c r="CA1" s="4475"/>
      <c r="CB1" s="4475"/>
      <c r="CC1" s="4475"/>
      <c r="CD1" s="4475"/>
      <c r="CE1" s="4475"/>
      <c r="CF1" s="4475"/>
      <c r="CG1" s="4475"/>
      <c r="CH1" s="4475"/>
      <c r="CI1" s="4475" t="s">
        <v>1861</v>
      </c>
      <c r="CJ1" s="4475"/>
      <c r="CK1" s="4475"/>
      <c r="CL1" s="4475"/>
      <c r="CM1" s="4475"/>
      <c r="CN1" s="4475"/>
      <c r="CO1" s="4475"/>
      <c r="CP1" s="4475"/>
      <c r="CQ1" s="4475"/>
      <c r="CR1" s="4475"/>
      <c r="CS1" s="4475"/>
      <c r="CT1" s="4475"/>
      <c r="CU1" s="4475" t="s">
        <v>1861</v>
      </c>
      <c r="CV1" s="4475"/>
      <c r="CW1" s="4475"/>
      <c r="CX1" s="4475"/>
      <c r="CY1" s="4475"/>
      <c r="CZ1" s="4475"/>
      <c r="DA1" s="4475"/>
      <c r="DB1" s="4475"/>
      <c r="DC1" s="4475"/>
      <c r="DD1" s="4475"/>
      <c r="DE1" s="4475"/>
      <c r="DF1" s="4475"/>
      <c r="DG1" s="4475" t="s">
        <v>1861</v>
      </c>
      <c r="DH1" s="4475"/>
      <c r="DI1" s="4475"/>
      <c r="DJ1" s="4475"/>
      <c r="DK1" s="4475"/>
      <c r="DL1" s="4475"/>
      <c r="DM1" s="4475"/>
      <c r="DN1" s="4475"/>
      <c r="DO1" s="4475"/>
      <c r="DP1" s="4475"/>
      <c r="DQ1" s="4475"/>
      <c r="DR1" s="4475"/>
      <c r="DS1" s="4475" t="s">
        <v>1861</v>
      </c>
      <c r="DT1" s="4475"/>
      <c r="DU1" s="4475"/>
      <c r="DV1" s="4475"/>
      <c r="DW1" s="4475"/>
      <c r="DX1" s="4475"/>
      <c r="DY1" s="4475"/>
      <c r="DZ1" s="4475"/>
      <c r="EA1" s="4475"/>
      <c r="EB1" s="4475"/>
      <c r="EC1" s="4475"/>
      <c r="ED1" s="4475"/>
      <c r="EE1" s="4475" t="s">
        <v>1861</v>
      </c>
      <c r="EF1" s="4475"/>
      <c r="EG1" s="4475"/>
      <c r="EH1" s="4475"/>
      <c r="EI1" s="4475"/>
      <c r="EJ1" s="4475"/>
      <c r="EK1" s="4475"/>
      <c r="EL1" s="4475"/>
      <c r="EM1" s="4475"/>
      <c r="EN1" s="4475"/>
      <c r="EO1" s="4475"/>
      <c r="EP1" s="4475"/>
      <c r="EQ1" s="4475" t="s">
        <v>1861</v>
      </c>
      <c r="ER1" s="4475"/>
      <c r="ES1" s="4475"/>
      <c r="ET1" s="4475"/>
      <c r="EU1" s="4475"/>
      <c r="EV1" s="4475"/>
      <c r="EW1" s="4475"/>
      <c r="EX1" s="4475"/>
      <c r="EY1" s="4475"/>
      <c r="EZ1" s="4475"/>
      <c r="FA1" s="4475"/>
      <c r="FB1" s="4475"/>
    </row>
    <row r="2" spans="1:162">
      <c r="A2" s="2757"/>
      <c r="C2" s="70"/>
      <c r="D2" s="70"/>
      <c r="E2" s="70"/>
      <c r="F2" s="70"/>
      <c r="G2" s="70"/>
      <c r="H2" s="70"/>
      <c r="I2" s="70"/>
      <c r="J2" s="70"/>
      <c r="K2" s="70"/>
      <c r="L2" s="70"/>
      <c r="M2" s="70"/>
      <c r="N2" s="70"/>
      <c r="O2" s="70"/>
      <c r="P2" s="70"/>
      <c r="Q2" s="70"/>
      <c r="R2" s="70"/>
      <c r="S2" s="70"/>
      <c r="T2" s="70"/>
      <c r="U2" s="70"/>
      <c r="V2" s="70"/>
      <c r="W2" s="70"/>
      <c r="X2" s="70"/>
      <c r="Y2" s="70"/>
      <c r="Z2" s="70"/>
      <c r="AA2" s="70"/>
      <c r="AB2" s="70"/>
      <c r="AC2" s="70"/>
      <c r="AD2" s="70"/>
      <c r="AE2" s="70"/>
      <c r="AF2" s="70"/>
      <c r="AG2" s="70"/>
      <c r="AH2" s="70"/>
      <c r="AI2" s="70"/>
      <c r="AJ2" s="70"/>
      <c r="AK2" s="70"/>
      <c r="AL2" s="70"/>
      <c r="AM2" s="70"/>
      <c r="AN2" s="70"/>
      <c r="AO2" s="70"/>
      <c r="AP2" s="70"/>
      <c r="AQ2" s="70"/>
      <c r="AR2" s="70"/>
      <c r="AS2" s="70"/>
      <c r="AT2" s="70"/>
      <c r="AU2" s="70"/>
      <c r="AV2" s="70"/>
      <c r="AW2" s="70"/>
      <c r="AX2" s="70"/>
      <c r="AY2" s="70"/>
      <c r="AZ2" s="70"/>
      <c r="BA2" s="70"/>
      <c r="BB2" s="70"/>
      <c r="BC2" s="70"/>
      <c r="BD2" s="70"/>
      <c r="BE2" s="70"/>
      <c r="BF2" s="70"/>
      <c r="BG2" s="70"/>
      <c r="BH2" s="70"/>
      <c r="BI2" s="70"/>
      <c r="BJ2" s="70"/>
      <c r="BK2" s="70"/>
      <c r="BL2" s="70"/>
      <c r="BM2" s="70"/>
      <c r="BN2" s="70"/>
      <c r="BO2" s="70"/>
      <c r="BP2" s="70"/>
      <c r="BQ2" s="70"/>
      <c r="BR2" s="70"/>
      <c r="BS2" s="70"/>
      <c r="BT2" s="70"/>
      <c r="BU2" s="70"/>
      <c r="BV2" s="70"/>
      <c r="BW2" s="70"/>
      <c r="BX2" s="70"/>
      <c r="BY2" s="70"/>
      <c r="BZ2" s="70"/>
      <c r="CA2" s="70"/>
      <c r="CB2" s="70"/>
      <c r="CC2" s="70"/>
      <c r="CD2" s="70"/>
      <c r="CE2" s="70"/>
      <c r="CF2" s="70"/>
      <c r="CG2" s="70"/>
      <c r="CH2" s="70"/>
      <c r="CI2" s="70"/>
      <c r="CJ2" s="70"/>
      <c r="CK2" s="70"/>
      <c r="CL2" s="70"/>
      <c r="CM2" s="70"/>
      <c r="CN2" s="70"/>
      <c r="CO2" s="70"/>
      <c r="CP2" s="70"/>
      <c r="CQ2" s="70"/>
      <c r="CR2" s="70"/>
      <c r="CS2" s="70"/>
      <c r="CT2" s="70"/>
      <c r="CU2" s="70"/>
      <c r="CV2" s="70"/>
      <c r="CW2" s="70"/>
      <c r="CX2" s="70"/>
      <c r="CY2" s="70"/>
      <c r="CZ2" s="70"/>
      <c r="DA2" s="70"/>
      <c r="DB2" s="70"/>
      <c r="DC2" s="70"/>
      <c r="DD2" s="70"/>
      <c r="DE2" s="70"/>
      <c r="DF2" s="70"/>
      <c r="DG2" s="70"/>
      <c r="DH2" s="70"/>
      <c r="DI2" s="70"/>
      <c r="DJ2" s="70"/>
      <c r="DK2" s="70"/>
      <c r="DL2" s="70"/>
      <c r="DM2" s="70"/>
      <c r="DN2" s="70"/>
      <c r="DO2" s="70"/>
      <c r="DP2" s="70"/>
      <c r="DQ2" s="70"/>
      <c r="DR2" s="70"/>
      <c r="DS2" s="70"/>
      <c r="DT2" s="70"/>
      <c r="DU2" s="70"/>
      <c r="DV2" s="70"/>
      <c r="DW2" s="70"/>
      <c r="DX2" s="70"/>
      <c r="DY2" s="70"/>
      <c r="DZ2" s="70"/>
      <c r="EA2" s="70"/>
      <c r="EB2" s="70"/>
      <c r="EC2" s="70"/>
      <c r="ED2" s="70"/>
      <c r="EE2" s="70"/>
      <c r="EF2" s="70"/>
      <c r="EG2" s="70"/>
      <c r="EH2" s="70"/>
      <c r="EI2" s="70"/>
      <c r="EJ2" s="70"/>
      <c r="EK2" s="70"/>
      <c r="EL2" s="70"/>
      <c r="EM2" s="70"/>
      <c r="EN2" s="70"/>
      <c r="EO2" s="70"/>
      <c r="EP2" s="70"/>
      <c r="EQ2" s="70"/>
      <c r="ER2" s="70"/>
      <c r="ES2" s="70"/>
      <c r="ET2" s="70"/>
      <c r="EU2" s="70"/>
      <c r="EV2" s="70"/>
      <c r="EW2" s="70"/>
      <c r="EX2" s="70"/>
      <c r="EY2" s="70"/>
      <c r="EZ2" s="70"/>
      <c r="FA2" s="70"/>
      <c r="FB2" s="70"/>
    </row>
    <row r="3" spans="1:162" ht="18" customHeight="1">
      <c r="B3" s="2723"/>
      <c r="C3" s="2723"/>
      <c r="D3" s="2723"/>
      <c r="E3" s="2723"/>
      <c r="F3" s="2723"/>
      <c r="G3" s="2723"/>
      <c r="H3" s="2723"/>
      <c r="I3" s="2863"/>
      <c r="J3" s="2723"/>
      <c r="K3" s="2723"/>
      <c r="L3" s="2723"/>
      <c r="M3" s="2723"/>
      <c r="N3" s="2340" t="s">
        <v>64</v>
      </c>
      <c r="O3" s="2340"/>
      <c r="P3" s="2340"/>
      <c r="Q3" s="2340"/>
      <c r="R3" s="2340"/>
      <c r="S3" s="2340"/>
      <c r="T3" s="2340"/>
      <c r="U3" s="2340"/>
      <c r="V3" s="2724">
        <v>0.9</v>
      </c>
      <c r="W3" s="2340"/>
      <c r="X3" s="2723"/>
      <c r="Y3" s="2723"/>
      <c r="Z3" s="2340" t="s">
        <v>64</v>
      </c>
      <c r="AA3" s="2723"/>
      <c r="AB3" s="2723"/>
      <c r="AC3" s="2723"/>
      <c r="AD3" s="2723"/>
      <c r="AE3" s="2723"/>
      <c r="AF3" s="2723"/>
      <c r="AG3" s="2723"/>
      <c r="AH3" s="2724">
        <f>V3</f>
        <v>0.9</v>
      </c>
      <c r="AI3" s="2723"/>
      <c r="AJ3" s="2723"/>
      <c r="AK3" s="2723"/>
      <c r="AL3" s="2340" t="s">
        <v>64</v>
      </c>
      <c r="AM3" s="2723"/>
      <c r="AN3" s="2723"/>
      <c r="AO3" s="2723"/>
      <c r="AP3" s="2723"/>
      <c r="AQ3" s="2723"/>
      <c r="AR3" s="2723"/>
      <c r="AS3" s="2723"/>
      <c r="AT3" s="2724">
        <f>AH3</f>
        <v>0.9</v>
      </c>
      <c r="AU3" s="2723"/>
      <c r="AV3" s="2723"/>
      <c r="AW3" s="2723"/>
      <c r="AX3" s="2340" t="s">
        <v>64</v>
      </c>
      <c r="BA3" s="1"/>
      <c r="BB3" s="1"/>
      <c r="BC3" s="1"/>
      <c r="BD3" s="1"/>
      <c r="BE3" s="1"/>
      <c r="BF3" s="2724">
        <f>AT3</f>
        <v>0.9</v>
      </c>
      <c r="BJ3" s="2340" t="s">
        <v>64</v>
      </c>
      <c r="BM3" s="1"/>
      <c r="BN3" s="1"/>
      <c r="BO3" s="1"/>
      <c r="BP3" s="1"/>
      <c r="BQ3" s="1"/>
      <c r="BR3" s="1342">
        <f>BF3</f>
        <v>0.9</v>
      </c>
      <c r="BS3" s="1"/>
      <c r="BT3" s="1"/>
      <c r="BU3" s="1"/>
      <c r="BV3" s="2340" t="s">
        <v>64</v>
      </c>
      <c r="BY3" s="1"/>
      <c r="CC3" s="1347"/>
      <c r="CD3" s="1347">
        <f>BR3</f>
        <v>0.9</v>
      </c>
      <c r="CH3" s="2340" t="s">
        <v>64</v>
      </c>
      <c r="CK3" s="1"/>
      <c r="CL3" s="1"/>
      <c r="CM3" s="1"/>
      <c r="CN3" s="1"/>
      <c r="CO3" s="1"/>
      <c r="CP3" s="1342">
        <f>CD3</f>
        <v>0.9</v>
      </c>
      <c r="CT3" s="2340" t="s">
        <v>64</v>
      </c>
      <c r="CW3" s="1"/>
      <c r="CX3" s="1"/>
      <c r="CY3" s="1"/>
      <c r="CZ3" s="1"/>
      <c r="DA3" s="1"/>
      <c r="DB3" s="1342">
        <f>CP3</f>
        <v>0.9</v>
      </c>
      <c r="DF3" s="2340" t="s">
        <v>64</v>
      </c>
      <c r="DI3" s="1"/>
      <c r="DJ3" s="1"/>
      <c r="DK3" s="1"/>
      <c r="DL3" s="1"/>
      <c r="DM3" s="1"/>
      <c r="DN3" s="1342">
        <f>DB3</f>
        <v>0.9</v>
      </c>
      <c r="DR3" s="2340" t="s">
        <v>64</v>
      </c>
      <c r="DU3" s="1"/>
      <c r="DV3" s="1"/>
      <c r="DW3" s="1"/>
      <c r="DX3" s="1"/>
      <c r="DY3" s="1"/>
      <c r="DZ3" s="1342">
        <f>DN3</f>
        <v>0.9</v>
      </c>
      <c r="ED3" s="2340" t="s">
        <v>64</v>
      </c>
      <c r="EF3" s="1"/>
      <c r="EG3" s="1"/>
      <c r="EH3" s="1"/>
      <c r="EI3" s="1"/>
      <c r="EJ3" s="1"/>
      <c r="EK3" s="1"/>
      <c r="EL3" s="1342">
        <f>DZ3</f>
        <v>0.9</v>
      </c>
      <c r="EM3" s="1"/>
      <c r="EN3" s="1"/>
      <c r="EO3" s="1"/>
      <c r="EP3" s="2340" t="s">
        <v>64</v>
      </c>
      <c r="ES3" s="1"/>
      <c r="ET3" s="1"/>
      <c r="EU3" s="1"/>
      <c r="EV3" s="1"/>
      <c r="EW3" s="1"/>
      <c r="EX3" s="1342">
        <f>EL3</f>
        <v>0.9</v>
      </c>
      <c r="FB3" s="2340" t="s">
        <v>64</v>
      </c>
    </row>
    <row r="4" spans="1:162" s="210" customFormat="1" ht="17.399999999999999">
      <c r="A4" s="4570" t="s">
        <v>244</v>
      </c>
      <c r="B4" s="4480" t="s">
        <v>326</v>
      </c>
      <c r="C4" s="4328" t="s">
        <v>332</v>
      </c>
      <c r="D4" s="4328"/>
      <c r="E4" s="4328"/>
      <c r="F4" s="4328"/>
      <c r="G4" s="4328"/>
      <c r="H4" s="4328"/>
      <c r="I4" s="4328"/>
      <c r="J4" s="4328"/>
      <c r="K4" s="4328"/>
      <c r="L4" s="4328"/>
      <c r="M4" s="4328"/>
      <c r="N4" s="4328"/>
      <c r="O4" s="4480" t="s">
        <v>1850</v>
      </c>
      <c r="P4" s="4480"/>
      <c r="Q4" s="4480"/>
      <c r="R4" s="4480"/>
      <c r="S4" s="4480"/>
      <c r="T4" s="4480"/>
      <c r="U4" s="4480"/>
      <c r="V4" s="4480"/>
      <c r="W4" s="4480"/>
      <c r="X4" s="4480"/>
      <c r="Y4" s="4480"/>
      <c r="Z4" s="4480"/>
      <c r="AA4" s="4480" t="s">
        <v>333</v>
      </c>
      <c r="AB4" s="4480"/>
      <c r="AC4" s="4480"/>
      <c r="AD4" s="4480"/>
      <c r="AE4" s="4480"/>
      <c r="AF4" s="4480"/>
      <c r="AG4" s="4480"/>
      <c r="AH4" s="4480"/>
      <c r="AI4" s="4480"/>
      <c r="AJ4" s="4480"/>
      <c r="AK4" s="4480"/>
      <c r="AL4" s="4480"/>
      <c r="AM4" s="4480" t="s">
        <v>1853</v>
      </c>
      <c r="AN4" s="4480"/>
      <c r="AO4" s="4480"/>
      <c r="AP4" s="4480"/>
      <c r="AQ4" s="4480"/>
      <c r="AR4" s="4480"/>
      <c r="AS4" s="4480"/>
      <c r="AT4" s="4480"/>
      <c r="AU4" s="4480"/>
      <c r="AV4" s="4480"/>
      <c r="AW4" s="4480"/>
      <c r="AX4" s="4480"/>
      <c r="AY4" s="4480" t="s">
        <v>1854</v>
      </c>
      <c r="AZ4" s="4480"/>
      <c r="BA4" s="4480"/>
      <c r="BB4" s="4480"/>
      <c r="BC4" s="4480"/>
      <c r="BD4" s="4480"/>
      <c r="BE4" s="4480"/>
      <c r="BF4" s="4480"/>
      <c r="BG4" s="4480"/>
      <c r="BH4" s="4480"/>
      <c r="BI4" s="4480"/>
      <c r="BJ4" s="4480"/>
      <c r="BK4" s="4480" t="s">
        <v>1855</v>
      </c>
      <c r="BL4" s="4480"/>
      <c r="BM4" s="4480"/>
      <c r="BN4" s="4480"/>
      <c r="BO4" s="4480"/>
      <c r="BP4" s="4480"/>
      <c r="BQ4" s="4480"/>
      <c r="BR4" s="4480"/>
      <c r="BS4" s="4480"/>
      <c r="BT4" s="4480"/>
      <c r="BU4" s="4480"/>
      <c r="BV4" s="4480"/>
      <c r="BW4" s="4480" t="s">
        <v>334</v>
      </c>
      <c r="BX4" s="4480"/>
      <c r="BY4" s="4480"/>
      <c r="BZ4" s="4480"/>
      <c r="CA4" s="4480"/>
      <c r="CB4" s="4480"/>
      <c r="CC4" s="4480"/>
      <c r="CD4" s="4480"/>
      <c r="CE4" s="4480"/>
      <c r="CF4" s="4480"/>
      <c r="CG4" s="4480"/>
      <c r="CH4" s="4480"/>
      <c r="CI4" s="4480" t="s">
        <v>1856</v>
      </c>
      <c r="CJ4" s="4480"/>
      <c r="CK4" s="4480"/>
      <c r="CL4" s="4480"/>
      <c r="CM4" s="4480"/>
      <c r="CN4" s="4480"/>
      <c r="CO4" s="4480"/>
      <c r="CP4" s="4480"/>
      <c r="CQ4" s="4480"/>
      <c r="CR4" s="4480"/>
      <c r="CS4" s="4480"/>
      <c r="CT4" s="4480"/>
      <c r="CU4" s="4667" t="s">
        <v>1857</v>
      </c>
      <c r="CV4" s="4667"/>
      <c r="CW4" s="4667"/>
      <c r="CX4" s="4667"/>
      <c r="CY4" s="4667"/>
      <c r="CZ4" s="4667"/>
      <c r="DA4" s="4667"/>
      <c r="DB4" s="4667"/>
      <c r="DC4" s="4667"/>
      <c r="DD4" s="4667"/>
      <c r="DE4" s="4667"/>
      <c r="DF4" s="4667"/>
      <c r="DG4" s="4667" t="s">
        <v>1858</v>
      </c>
      <c r="DH4" s="4667"/>
      <c r="DI4" s="4667"/>
      <c r="DJ4" s="4667"/>
      <c r="DK4" s="4667"/>
      <c r="DL4" s="4667"/>
      <c r="DM4" s="4667"/>
      <c r="DN4" s="4667"/>
      <c r="DO4" s="4667"/>
      <c r="DP4" s="4667"/>
      <c r="DQ4" s="4667"/>
      <c r="DR4" s="4667"/>
      <c r="DS4" s="4667" t="s">
        <v>1859</v>
      </c>
      <c r="DT4" s="4667"/>
      <c r="DU4" s="4667"/>
      <c r="DV4" s="4667"/>
      <c r="DW4" s="4667"/>
      <c r="DX4" s="4667"/>
      <c r="DY4" s="4667"/>
      <c r="DZ4" s="4667"/>
      <c r="EA4" s="4667"/>
      <c r="EB4" s="4667"/>
      <c r="EC4" s="4667"/>
      <c r="ED4" s="4667"/>
      <c r="EE4" s="4480" t="s">
        <v>335</v>
      </c>
      <c r="EF4" s="4480"/>
      <c r="EG4" s="4480"/>
      <c r="EH4" s="4480"/>
      <c r="EI4" s="4480"/>
      <c r="EJ4" s="4480"/>
      <c r="EK4" s="4480"/>
      <c r="EL4" s="4480"/>
      <c r="EM4" s="4480"/>
      <c r="EN4" s="4480"/>
      <c r="EO4" s="4480"/>
      <c r="EP4" s="4480"/>
      <c r="EQ4" s="4670" t="s">
        <v>1860</v>
      </c>
      <c r="ER4" s="4670"/>
      <c r="ES4" s="4670"/>
      <c r="ET4" s="4670"/>
      <c r="EU4" s="4670"/>
      <c r="EV4" s="4670"/>
      <c r="EW4" s="4670"/>
      <c r="EX4" s="4670"/>
      <c r="EY4" s="4670"/>
      <c r="EZ4" s="4670"/>
      <c r="FA4" s="4670"/>
      <c r="FB4" s="4670"/>
    </row>
    <row r="5" spans="1:162" s="210" customFormat="1" ht="25.5" customHeight="1">
      <c r="A5" s="4570"/>
      <c r="B5" s="4480"/>
      <c r="C5" s="4328" t="s">
        <v>184</v>
      </c>
      <c r="D5" s="4328"/>
      <c r="E5" s="4328" t="s">
        <v>2557</v>
      </c>
      <c r="F5" s="4328"/>
      <c r="G5" s="4328" t="s">
        <v>1849</v>
      </c>
      <c r="H5" s="4328"/>
      <c r="I5" s="4328" t="s">
        <v>209</v>
      </c>
      <c r="J5" s="4328"/>
      <c r="K5" s="4671" t="s">
        <v>337</v>
      </c>
      <c r="L5" s="4671"/>
      <c r="M5" s="4671"/>
      <c r="N5" s="4671"/>
      <c r="O5" s="4480" t="str">
        <f>C5</f>
        <v>Dự toán 2023</v>
      </c>
      <c r="P5" s="4480"/>
      <c r="Q5" s="4667" t="str">
        <f>E5</f>
        <v xml:space="preserve">TH 8 tháng </v>
      </c>
      <c r="R5" s="4667"/>
      <c r="S5" s="4328" t="str">
        <f>G5</f>
        <v>ƯTH năm 2023</v>
      </c>
      <c r="T5" s="4328"/>
      <c r="U5" s="4480" t="str">
        <f>I5</f>
        <v>Dự toán 2024</v>
      </c>
      <c r="V5" s="4480"/>
      <c r="W5" s="4668" t="s">
        <v>337</v>
      </c>
      <c r="X5" s="4668"/>
      <c r="Y5" s="4668"/>
      <c r="Z5" s="4668"/>
      <c r="AA5" s="4480" t="str">
        <f>O5</f>
        <v>Dự toán 2023</v>
      </c>
      <c r="AB5" s="4480"/>
      <c r="AC5" s="4667" t="str">
        <f>Q5</f>
        <v xml:space="preserve">TH 8 tháng </v>
      </c>
      <c r="AD5" s="4667"/>
      <c r="AE5" s="4328" t="str">
        <f>S5</f>
        <v>ƯTH năm 2023</v>
      </c>
      <c r="AF5" s="4328"/>
      <c r="AG5" s="4480" t="str">
        <f>U5</f>
        <v>Dự toán 2024</v>
      </c>
      <c r="AH5" s="4480"/>
      <c r="AI5" s="4668" t="s">
        <v>337</v>
      </c>
      <c r="AJ5" s="4668"/>
      <c r="AK5" s="4668"/>
      <c r="AL5" s="4668"/>
      <c r="AM5" s="4480" t="str">
        <f>AA5</f>
        <v>Dự toán 2023</v>
      </c>
      <c r="AN5" s="4480"/>
      <c r="AO5" s="4667" t="str">
        <f>AC5</f>
        <v xml:space="preserve">TH 8 tháng </v>
      </c>
      <c r="AP5" s="4667"/>
      <c r="AQ5" s="4328" t="str">
        <f>AE5</f>
        <v>ƯTH năm 2023</v>
      </c>
      <c r="AR5" s="4328"/>
      <c r="AS5" s="4480" t="str">
        <f>AG5</f>
        <v>Dự toán 2024</v>
      </c>
      <c r="AT5" s="4480"/>
      <c r="AU5" s="4668" t="s">
        <v>337</v>
      </c>
      <c r="AV5" s="4668"/>
      <c r="AW5" s="4668"/>
      <c r="AX5" s="4668"/>
      <c r="AY5" s="4480" t="str">
        <f>AM5</f>
        <v>Dự toán 2023</v>
      </c>
      <c r="AZ5" s="4480"/>
      <c r="BA5" s="4667" t="str">
        <f>AO5</f>
        <v xml:space="preserve">TH 8 tháng </v>
      </c>
      <c r="BB5" s="4667"/>
      <c r="BC5" s="4480" t="str">
        <f>AQ5</f>
        <v>ƯTH năm 2023</v>
      </c>
      <c r="BD5" s="4480"/>
      <c r="BE5" s="4480" t="str">
        <f>AS5</f>
        <v>Dự toán 2024</v>
      </c>
      <c r="BF5" s="4480"/>
      <c r="BG5" s="4668" t="s">
        <v>337</v>
      </c>
      <c r="BH5" s="4668"/>
      <c r="BI5" s="4668"/>
      <c r="BJ5" s="4668"/>
      <c r="BK5" s="4480" t="str">
        <f>AY5</f>
        <v>Dự toán 2023</v>
      </c>
      <c r="BL5" s="4480"/>
      <c r="BM5" s="4667" t="str">
        <f>BA5</f>
        <v xml:space="preserve">TH 8 tháng </v>
      </c>
      <c r="BN5" s="4667"/>
      <c r="BO5" s="4328" t="str">
        <f>BC5</f>
        <v>ƯTH năm 2023</v>
      </c>
      <c r="BP5" s="4328"/>
      <c r="BQ5" s="4480" t="str">
        <f>BE5</f>
        <v>Dự toán 2024</v>
      </c>
      <c r="BR5" s="4480"/>
      <c r="BS5" s="4668" t="s">
        <v>337</v>
      </c>
      <c r="BT5" s="4668"/>
      <c r="BU5" s="4668"/>
      <c r="BV5" s="4668"/>
      <c r="BW5" s="4480" t="str">
        <f>BK5</f>
        <v>Dự toán 2023</v>
      </c>
      <c r="BX5" s="4480"/>
      <c r="BY5" s="4667" t="str">
        <f>BM5</f>
        <v xml:space="preserve">TH 8 tháng </v>
      </c>
      <c r="BZ5" s="4667"/>
      <c r="CA5" s="4328" t="str">
        <f>BO5</f>
        <v>ƯTH năm 2023</v>
      </c>
      <c r="CB5" s="4328"/>
      <c r="CC5" s="4480" t="str">
        <f>BQ5</f>
        <v>Dự toán 2024</v>
      </c>
      <c r="CD5" s="4480"/>
      <c r="CE5" s="4668" t="s">
        <v>337</v>
      </c>
      <c r="CF5" s="4668"/>
      <c r="CG5" s="4668"/>
      <c r="CH5" s="4668"/>
      <c r="CI5" s="4480" t="str">
        <f>BW5</f>
        <v>Dự toán 2023</v>
      </c>
      <c r="CJ5" s="4480"/>
      <c r="CK5" s="4667" t="str">
        <f>BY5</f>
        <v xml:space="preserve">TH 8 tháng </v>
      </c>
      <c r="CL5" s="4667"/>
      <c r="CM5" s="4328" t="str">
        <f>CA5</f>
        <v>ƯTH năm 2023</v>
      </c>
      <c r="CN5" s="4328"/>
      <c r="CO5" s="4480" t="str">
        <f>CC5</f>
        <v>Dự toán 2024</v>
      </c>
      <c r="CP5" s="4480"/>
      <c r="CQ5" s="4668" t="s">
        <v>337</v>
      </c>
      <c r="CR5" s="4668"/>
      <c r="CS5" s="4668"/>
      <c r="CT5" s="4668"/>
      <c r="CU5" s="4480" t="str">
        <f>CI5</f>
        <v>Dự toán 2023</v>
      </c>
      <c r="CV5" s="4480"/>
      <c r="CW5" s="4667" t="str">
        <f>CK5</f>
        <v xml:space="preserve">TH 8 tháng </v>
      </c>
      <c r="CX5" s="4667"/>
      <c r="CY5" s="4480" t="str">
        <f>CM5</f>
        <v>ƯTH năm 2023</v>
      </c>
      <c r="CZ5" s="4480"/>
      <c r="DA5" s="4480" t="str">
        <f>CO5</f>
        <v>Dự toán 2024</v>
      </c>
      <c r="DB5" s="4480"/>
      <c r="DC5" s="4668" t="s">
        <v>337</v>
      </c>
      <c r="DD5" s="4668"/>
      <c r="DE5" s="4668"/>
      <c r="DF5" s="4668"/>
      <c r="DG5" s="4667" t="str">
        <f>CU5</f>
        <v>Dự toán 2023</v>
      </c>
      <c r="DH5" s="4667"/>
      <c r="DI5" s="4667" t="str">
        <f>CW5</f>
        <v xml:space="preserve">TH 8 tháng </v>
      </c>
      <c r="DJ5" s="4667"/>
      <c r="DK5" s="4667" t="str">
        <f>CY5</f>
        <v>ƯTH năm 2023</v>
      </c>
      <c r="DL5" s="4667"/>
      <c r="DM5" s="4667" t="str">
        <f>DA5</f>
        <v>Dự toán 2024</v>
      </c>
      <c r="DN5" s="4667"/>
      <c r="DO5" s="4669" t="s">
        <v>337</v>
      </c>
      <c r="DP5" s="4669"/>
      <c r="DQ5" s="4669"/>
      <c r="DR5" s="4669"/>
      <c r="DS5" s="4667" t="str">
        <f>DG5</f>
        <v>Dự toán 2023</v>
      </c>
      <c r="DT5" s="4667"/>
      <c r="DU5" s="4667" t="str">
        <f>DI5</f>
        <v xml:space="preserve">TH 8 tháng </v>
      </c>
      <c r="DV5" s="4667"/>
      <c r="DW5" s="4328" t="str">
        <f>DK5</f>
        <v>ƯTH năm 2023</v>
      </c>
      <c r="DX5" s="4328"/>
      <c r="DY5" s="4667" t="str">
        <f>DM5</f>
        <v>Dự toán 2024</v>
      </c>
      <c r="DZ5" s="4667"/>
      <c r="EA5" s="4669" t="s">
        <v>337</v>
      </c>
      <c r="EB5" s="4669"/>
      <c r="EC5" s="4669"/>
      <c r="ED5" s="4669"/>
      <c r="EE5" s="4480" t="str">
        <f>DS5</f>
        <v>Dự toán 2023</v>
      </c>
      <c r="EF5" s="4480"/>
      <c r="EG5" s="4667" t="str">
        <f>DU5</f>
        <v xml:space="preserve">TH 8 tháng </v>
      </c>
      <c r="EH5" s="4667"/>
      <c r="EI5" s="4480" t="str">
        <f>DW5</f>
        <v>ƯTH năm 2023</v>
      </c>
      <c r="EJ5" s="4480"/>
      <c r="EK5" s="4480" t="str">
        <f>DY5</f>
        <v>Dự toán 2024</v>
      </c>
      <c r="EL5" s="4480"/>
      <c r="EM5" s="4668" t="s">
        <v>337</v>
      </c>
      <c r="EN5" s="4668"/>
      <c r="EO5" s="4668"/>
      <c r="EP5" s="4668"/>
      <c r="EQ5" s="4480" t="str">
        <f>EE5</f>
        <v>Dự toán 2023</v>
      </c>
      <c r="ER5" s="4480"/>
      <c r="ES5" s="4667" t="str">
        <f>EG5</f>
        <v xml:space="preserve">TH 8 tháng </v>
      </c>
      <c r="ET5" s="4667"/>
      <c r="EU5" s="4480" t="str">
        <f>EI5</f>
        <v>ƯTH năm 2023</v>
      </c>
      <c r="EV5" s="4480"/>
      <c r="EW5" s="4480" t="str">
        <f>EK5</f>
        <v>Dự toán 2024</v>
      </c>
      <c r="EX5" s="4480"/>
      <c r="EY5" s="4668" t="s">
        <v>337</v>
      </c>
      <c r="EZ5" s="4668"/>
      <c r="FA5" s="4668"/>
      <c r="FB5" s="4668"/>
      <c r="FC5" s="4480" t="s">
        <v>338</v>
      </c>
      <c r="FD5" s="4480"/>
      <c r="FE5" s="4480"/>
      <c r="FF5" s="4480"/>
    </row>
    <row r="6" spans="1:162" s="210" customFormat="1" ht="43.5" customHeight="1">
      <c r="A6" s="4570"/>
      <c r="B6" s="4480"/>
      <c r="C6" s="4328" t="s">
        <v>339</v>
      </c>
      <c r="D6" s="4330" t="s">
        <v>340</v>
      </c>
      <c r="E6" s="4328" t="s">
        <v>339</v>
      </c>
      <c r="F6" s="4330" t="s">
        <v>340</v>
      </c>
      <c r="G6" s="4328" t="s">
        <v>339</v>
      </c>
      <c r="H6" s="4330" t="s">
        <v>340</v>
      </c>
      <c r="I6" s="4328" t="s">
        <v>339</v>
      </c>
      <c r="J6" s="4330" t="s">
        <v>340</v>
      </c>
      <c r="K6" s="4330" t="s">
        <v>1851</v>
      </c>
      <c r="L6" s="4330"/>
      <c r="M6" s="4330" t="s">
        <v>1852</v>
      </c>
      <c r="N6" s="4330"/>
      <c r="O6" s="4480" t="s">
        <v>339</v>
      </c>
      <c r="P6" s="4318" t="s">
        <v>340</v>
      </c>
      <c r="Q6" s="4667" t="s">
        <v>339</v>
      </c>
      <c r="R6" s="4666" t="s">
        <v>340</v>
      </c>
      <c r="S6" s="4328" t="s">
        <v>339</v>
      </c>
      <c r="T6" s="4330" t="s">
        <v>340</v>
      </c>
      <c r="U6" s="4480" t="s">
        <v>339</v>
      </c>
      <c r="V6" s="4318" t="s">
        <v>340</v>
      </c>
      <c r="W6" s="4318" t="str">
        <f>K6</f>
        <v>DT24/ UTH23</v>
      </c>
      <c r="X6" s="4318"/>
      <c r="Y6" s="4318" t="str">
        <f>M6</f>
        <v>UTH23/ DT23</v>
      </c>
      <c r="Z6" s="4318"/>
      <c r="AA6" s="4480" t="s">
        <v>339</v>
      </c>
      <c r="AB6" s="4318" t="s">
        <v>340</v>
      </c>
      <c r="AC6" s="4667" t="s">
        <v>339</v>
      </c>
      <c r="AD6" s="4666" t="s">
        <v>340</v>
      </c>
      <c r="AE6" s="4328" t="s">
        <v>339</v>
      </c>
      <c r="AF6" s="4330" t="s">
        <v>340</v>
      </c>
      <c r="AG6" s="4480" t="s">
        <v>339</v>
      </c>
      <c r="AH6" s="4318" t="s">
        <v>340</v>
      </c>
      <c r="AI6" s="4318" t="str">
        <f>W6</f>
        <v>DT24/ UTH23</v>
      </c>
      <c r="AJ6" s="4318"/>
      <c r="AK6" s="4318" t="str">
        <f>Y6</f>
        <v>UTH23/ DT23</v>
      </c>
      <c r="AL6" s="4318"/>
      <c r="AM6" s="4480" t="s">
        <v>339</v>
      </c>
      <c r="AN6" s="4318" t="s">
        <v>340</v>
      </c>
      <c r="AO6" s="4480" t="s">
        <v>339</v>
      </c>
      <c r="AP6" s="4318" t="s">
        <v>340</v>
      </c>
      <c r="AQ6" s="4480" t="s">
        <v>339</v>
      </c>
      <c r="AR6" s="4318" t="s">
        <v>340</v>
      </c>
      <c r="AS6" s="4480" t="s">
        <v>339</v>
      </c>
      <c r="AT6" s="4318" t="s">
        <v>340</v>
      </c>
      <c r="AU6" s="4318" t="str">
        <f>AI6</f>
        <v>DT24/ UTH23</v>
      </c>
      <c r="AV6" s="4318"/>
      <c r="AW6" s="4318" t="str">
        <f>AK6</f>
        <v>UTH23/ DT23</v>
      </c>
      <c r="AX6" s="4318"/>
      <c r="AY6" s="4480" t="s">
        <v>339</v>
      </c>
      <c r="AZ6" s="4318" t="s">
        <v>340</v>
      </c>
      <c r="BA6" s="4667" t="s">
        <v>339</v>
      </c>
      <c r="BB6" s="4666" t="s">
        <v>340</v>
      </c>
      <c r="BC6" s="4480" t="s">
        <v>339</v>
      </c>
      <c r="BD6" s="4318" t="s">
        <v>340</v>
      </c>
      <c r="BE6" s="4480" t="s">
        <v>339</v>
      </c>
      <c r="BF6" s="4318" t="s">
        <v>340</v>
      </c>
      <c r="BG6" s="4318" t="str">
        <f>AU6</f>
        <v>DT24/ UTH23</v>
      </c>
      <c r="BH6" s="4318"/>
      <c r="BI6" s="4318" t="str">
        <f>AW6</f>
        <v>UTH23/ DT23</v>
      </c>
      <c r="BJ6" s="4318"/>
      <c r="BK6" s="4480" t="s">
        <v>339</v>
      </c>
      <c r="BL6" s="4318" t="s">
        <v>340</v>
      </c>
      <c r="BM6" s="4480" t="s">
        <v>339</v>
      </c>
      <c r="BN6" s="4318" t="s">
        <v>340</v>
      </c>
      <c r="BO6" s="4480" t="s">
        <v>339</v>
      </c>
      <c r="BP6" s="4318" t="s">
        <v>340</v>
      </c>
      <c r="BQ6" s="4480" t="s">
        <v>339</v>
      </c>
      <c r="BR6" s="4318" t="s">
        <v>340</v>
      </c>
      <c r="BS6" s="4318" t="str">
        <f>BG6</f>
        <v>DT24/ UTH23</v>
      </c>
      <c r="BT6" s="4318"/>
      <c r="BU6" s="4318" t="str">
        <f>BI6</f>
        <v>UTH23/ DT23</v>
      </c>
      <c r="BV6" s="4318"/>
      <c r="BW6" s="4480" t="s">
        <v>339</v>
      </c>
      <c r="BX6" s="4318" t="s">
        <v>340</v>
      </c>
      <c r="BY6" s="4667" t="s">
        <v>339</v>
      </c>
      <c r="BZ6" s="4666" t="s">
        <v>340</v>
      </c>
      <c r="CA6" s="4328" t="s">
        <v>339</v>
      </c>
      <c r="CB6" s="4330" t="s">
        <v>340</v>
      </c>
      <c r="CC6" s="4480" t="s">
        <v>339</v>
      </c>
      <c r="CD6" s="4318" t="s">
        <v>340</v>
      </c>
      <c r="CE6" s="4318" t="str">
        <f>BS6</f>
        <v>DT24/ UTH23</v>
      </c>
      <c r="CF6" s="4318"/>
      <c r="CG6" s="4318" t="str">
        <f>BU6</f>
        <v>UTH23/ DT23</v>
      </c>
      <c r="CH6" s="4318"/>
      <c r="CI6" s="4480" t="s">
        <v>339</v>
      </c>
      <c r="CJ6" s="4318" t="s">
        <v>340</v>
      </c>
      <c r="CK6" s="4480" t="s">
        <v>339</v>
      </c>
      <c r="CL6" s="4318" t="s">
        <v>340</v>
      </c>
      <c r="CM6" s="4480" t="s">
        <v>339</v>
      </c>
      <c r="CN6" s="4318" t="s">
        <v>340</v>
      </c>
      <c r="CO6" s="4480" t="s">
        <v>339</v>
      </c>
      <c r="CP6" s="4318" t="s">
        <v>340</v>
      </c>
      <c r="CQ6" s="4318" t="str">
        <f>CE6</f>
        <v>DT24/ UTH23</v>
      </c>
      <c r="CR6" s="4318"/>
      <c r="CS6" s="4318" t="str">
        <f>CG6</f>
        <v>UTH23/ DT23</v>
      </c>
      <c r="CT6" s="4318"/>
      <c r="CU6" s="4480" t="s">
        <v>339</v>
      </c>
      <c r="CV6" s="4318" t="s">
        <v>340</v>
      </c>
      <c r="CW6" s="4480" t="s">
        <v>339</v>
      </c>
      <c r="CX6" s="4318" t="s">
        <v>340</v>
      </c>
      <c r="CY6" s="4480" t="s">
        <v>339</v>
      </c>
      <c r="CZ6" s="4318" t="s">
        <v>340</v>
      </c>
      <c r="DA6" s="4480" t="s">
        <v>339</v>
      </c>
      <c r="DB6" s="4318" t="s">
        <v>340</v>
      </c>
      <c r="DC6" s="4318" t="str">
        <f>CQ6</f>
        <v>DT24/ UTH23</v>
      </c>
      <c r="DD6" s="4318"/>
      <c r="DE6" s="4318" t="str">
        <f>CS6</f>
        <v>UTH23/ DT23</v>
      </c>
      <c r="DF6" s="4318"/>
      <c r="DG6" s="4480" t="s">
        <v>339</v>
      </c>
      <c r="DH6" s="4318" t="s">
        <v>340</v>
      </c>
      <c r="DI6" s="4667" t="s">
        <v>339</v>
      </c>
      <c r="DJ6" s="4666" t="s">
        <v>340</v>
      </c>
      <c r="DK6" s="4667" t="s">
        <v>339</v>
      </c>
      <c r="DL6" s="4666" t="s">
        <v>340</v>
      </c>
      <c r="DM6" s="4667" t="s">
        <v>339</v>
      </c>
      <c r="DN6" s="4666" t="s">
        <v>340</v>
      </c>
      <c r="DO6" s="4318" t="str">
        <f>DC6</f>
        <v>DT24/ UTH23</v>
      </c>
      <c r="DP6" s="4318"/>
      <c r="DQ6" s="4318" t="str">
        <f>DE6</f>
        <v>UTH23/ DT23</v>
      </c>
      <c r="DR6" s="4318"/>
      <c r="DS6" s="4480" t="s">
        <v>339</v>
      </c>
      <c r="DT6" s="4318" t="s">
        <v>340</v>
      </c>
      <c r="DU6" s="4667" t="s">
        <v>339</v>
      </c>
      <c r="DV6" s="4666" t="s">
        <v>340</v>
      </c>
      <c r="DW6" s="4328" t="s">
        <v>339</v>
      </c>
      <c r="DX6" s="4330" t="s">
        <v>340</v>
      </c>
      <c r="DY6" s="4480" t="s">
        <v>339</v>
      </c>
      <c r="DZ6" s="4318" t="s">
        <v>340</v>
      </c>
      <c r="EA6" s="4318" t="str">
        <f>DO6</f>
        <v>DT24/ UTH23</v>
      </c>
      <c r="EB6" s="4318"/>
      <c r="EC6" s="4318" t="str">
        <f>DQ6</f>
        <v>UTH23/ DT23</v>
      </c>
      <c r="ED6" s="4318"/>
      <c r="EE6" s="4480" t="s">
        <v>339</v>
      </c>
      <c r="EF6" s="4318" t="s">
        <v>340</v>
      </c>
      <c r="EG6" s="4667" t="s">
        <v>339</v>
      </c>
      <c r="EH6" s="4666" t="s">
        <v>340</v>
      </c>
      <c r="EI6" s="4480" t="s">
        <v>339</v>
      </c>
      <c r="EJ6" s="4318" t="s">
        <v>340</v>
      </c>
      <c r="EK6" s="4328" t="s">
        <v>339</v>
      </c>
      <c r="EL6" s="4330" t="s">
        <v>340</v>
      </c>
      <c r="EM6" s="4318" t="str">
        <f>EA6</f>
        <v>DT24/ UTH23</v>
      </c>
      <c r="EN6" s="4318"/>
      <c r="EO6" s="4318" t="str">
        <f>EC6</f>
        <v>UTH23/ DT23</v>
      </c>
      <c r="EP6" s="4318"/>
      <c r="EQ6" s="4480" t="s">
        <v>339</v>
      </c>
      <c r="ER6" s="4318" t="s">
        <v>340</v>
      </c>
      <c r="ES6" s="4667" t="s">
        <v>339</v>
      </c>
      <c r="ET6" s="4666" t="s">
        <v>340</v>
      </c>
      <c r="EU6" s="4480" t="s">
        <v>339</v>
      </c>
      <c r="EV6" s="4318" t="s">
        <v>340</v>
      </c>
      <c r="EW6" s="4480" t="s">
        <v>339</v>
      </c>
      <c r="EX6" s="4318" t="s">
        <v>340</v>
      </c>
      <c r="EY6" s="4318" t="str">
        <f>EM6</f>
        <v>DT24/ UTH23</v>
      </c>
      <c r="EZ6" s="4318"/>
      <c r="FA6" s="4318" t="str">
        <f>EO6</f>
        <v>UTH23/ DT23</v>
      </c>
      <c r="FB6" s="4318"/>
      <c r="FC6" s="4318" t="s">
        <v>341</v>
      </c>
      <c r="FD6" s="4318" t="s">
        <v>342</v>
      </c>
      <c r="FE6" s="4664" t="s">
        <v>343</v>
      </c>
      <c r="FF6" s="4664" t="s">
        <v>344</v>
      </c>
    </row>
    <row r="7" spans="1:162" s="210" customFormat="1" ht="54.75" customHeight="1">
      <c r="A7" s="4570"/>
      <c r="B7" s="4480"/>
      <c r="C7" s="4328"/>
      <c r="D7" s="4330"/>
      <c r="E7" s="4328"/>
      <c r="F7" s="4330"/>
      <c r="G7" s="4328"/>
      <c r="H7" s="4330"/>
      <c r="I7" s="4328"/>
      <c r="J7" s="4330"/>
      <c r="K7" s="1396" t="s">
        <v>345</v>
      </c>
      <c r="L7" s="1396" t="s">
        <v>346</v>
      </c>
      <c r="M7" s="1396" t="s">
        <v>345</v>
      </c>
      <c r="N7" s="1396" t="s">
        <v>346</v>
      </c>
      <c r="O7" s="4480"/>
      <c r="P7" s="4318"/>
      <c r="Q7" s="4667"/>
      <c r="R7" s="4666"/>
      <c r="S7" s="4328"/>
      <c r="T7" s="4330"/>
      <c r="U7" s="4480"/>
      <c r="V7" s="4318"/>
      <c r="W7" s="7" t="s">
        <v>345</v>
      </c>
      <c r="X7" s="7" t="s">
        <v>346</v>
      </c>
      <c r="Y7" s="7" t="s">
        <v>345</v>
      </c>
      <c r="Z7" s="7" t="s">
        <v>346</v>
      </c>
      <c r="AA7" s="4480"/>
      <c r="AB7" s="4318"/>
      <c r="AC7" s="4667"/>
      <c r="AD7" s="4666"/>
      <c r="AE7" s="4328"/>
      <c r="AF7" s="4330"/>
      <c r="AG7" s="4480"/>
      <c r="AH7" s="4318"/>
      <c r="AI7" s="7" t="s">
        <v>345</v>
      </c>
      <c r="AJ7" s="7" t="s">
        <v>346</v>
      </c>
      <c r="AK7" s="7" t="s">
        <v>345</v>
      </c>
      <c r="AL7" s="7" t="s">
        <v>346</v>
      </c>
      <c r="AM7" s="4480"/>
      <c r="AN7" s="4318"/>
      <c r="AO7" s="4480"/>
      <c r="AP7" s="4318"/>
      <c r="AQ7" s="4480"/>
      <c r="AR7" s="4318"/>
      <c r="AS7" s="4480"/>
      <c r="AT7" s="4318"/>
      <c r="AU7" s="7" t="s">
        <v>345</v>
      </c>
      <c r="AV7" s="7" t="s">
        <v>346</v>
      </c>
      <c r="AW7" s="7" t="s">
        <v>345</v>
      </c>
      <c r="AX7" s="7" t="s">
        <v>346</v>
      </c>
      <c r="AY7" s="4480"/>
      <c r="AZ7" s="4318"/>
      <c r="BA7" s="4667"/>
      <c r="BB7" s="4666"/>
      <c r="BC7" s="4480"/>
      <c r="BD7" s="4318"/>
      <c r="BE7" s="4480"/>
      <c r="BF7" s="4318"/>
      <c r="BG7" s="7" t="s">
        <v>345</v>
      </c>
      <c r="BH7" s="7" t="s">
        <v>346</v>
      </c>
      <c r="BI7" s="7" t="s">
        <v>345</v>
      </c>
      <c r="BJ7" s="7" t="s">
        <v>346</v>
      </c>
      <c r="BK7" s="4480"/>
      <c r="BL7" s="4318"/>
      <c r="BM7" s="4480"/>
      <c r="BN7" s="4318"/>
      <c r="BO7" s="4480"/>
      <c r="BP7" s="4318"/>
      <c r="BQ7" s="4480"/>
      <c r="BR7" s="4318"/>
      <c r="BS7" s="7" t="s">
        <v>345</v>
      </c>
      <c r="BT7" s="7" t="s">
        <v>346</v>
      </c>
      <c r="BU7" s="7" t="s">
        <v>345</v>
      </c>
      <c r="BV7" s="7" t="s">
        <v>346</v>
      </c>
      <c r="BW7" s="4480"/>
      <c r="BX7" s="4318"/>
      <c r="BY7" s="4667"/>
      <c r="BZ7" s="4666"/>
      <c r="CA7" s="4328"/>
      <c r="CB7" s="4330"/>
      <c r="CC7" s="4480"/>
      <c r="CD7" s="4318"/>
      <c r="CE7" s="7" t="s">
        <v>345</v>
      </c>
      <c r="CF7" s="7" t="s">
        <v>346</v>
      </c>
      <c r="CG7" s="7" t="s">
        <v>345</v>
      </c>
      <c r="CH7" s="7" t="s">
        <v>346</v>
      </c>
      <c r="CI7" s="4480"/>
      <c r="CJ7" s="4318"/>
      <c r="CK7" s="4480"/>
      <c r="CL7" s="4318"/>
      <c r="CM7" s="4480"/>
      <c r="CN7" s="4318"/>
      <c r="CO7" s="4480"/>
      <c r="CP7" s="4318"/>
      <c r="CQ7" s="7" t="s">
        <v>345</v>
      </c>
      <c r="CR7" s="7" t="s">
        <v>346</v>
      </c>
      <c r="CS7" s="7" t="s">
        <v>345</v>
      </c>
      <c r="CT7" s="7" t="s">
        <v>346</v>
      </c>
      <c r="CU7" s="4480"/>
      <c r="CV7" s="4318"/>
      <c r="CW7" s="4480"/>
      <c r="CX7" s="4318"/>
      <c r="CY7" s="4480"/>
      <c r="CZ7" s="4318"/>
      <c r="DA7" s="4480"/>
      <c r="DB7" s="4318"/>
      <c r="DC7" s="7" t="s">
        <v>345</v>
      </c>
      <c r="DD7" s="7" t="s">
        <v>346</v>
      </c>
      <c r="DE7" s="7" t="s">
        <v>345</v>
      </c>
      <c r="DF7" s="7" t="s">
        <v>346</v>
      </c>
      <c r="DG7" s="4480"/>
      <c r="DH7" s="4318"/>
      <c r="DI7" s="4667"/>
      <c r="DJ7" s="4666"/>
      <c r="DK7" s="4667"/>
      <c r="DL7" s="4666"/>
      <c r="DM7" s="4667"/>
      <c r="DN7" s="4666"/>
      <c r="DO7" s="7" t="s">
        <v>345</v>
      </c>
      <c r="DP7" s="7" t="s">
        <v>346</v>
      </c>
      <c r="DQ7" s="7" t="s">
        <v>345</v>
      </c>
      <c r="DR7" s="7" t="s">
        <v>346</v>
      </c>
      <c r="DS7" s="4480"/>
      <c r="DT7" s="4318"/>
      <c r="DU7" s="4667"/>
      <c r="DV7" s="4666"/>
      <c r="DW7" s="4328"/>
      <c r="DX7" s="4330"/>
      <c r="DY7" s="4480"/>
      <c r="DZ7" s="4318"/>
      <c r="EA7" s="7" t="s">
        <v>345</v>
      </c>
      <c r="EB7" s="7" t="s">
        <v>346</v>
      </c>
      <c r="EC7" s="7" t="s">
        <v>345</v>
      </c>
      <c r="ED7" s="7" t="s">
        <v>346</v>
      </c>
      <c r="EE7" s="4480"/>
      <c r="EF7" s="4318"/>
      <c r="EG7" s="4667"/>
      <c r="EH7" s="4666"/>
      <c r="EI7" s="4480"/>
      <c r="EJ7" s="4318"/>
      <c r="EK7" s="4328"/>
      <c r="EL7" s="4330"/>
      <c r="EM7" s="7" t="s">
        <v>345</v>
      </c>
      <c r="EN7" s="7" t="s">
        <v>346</v>
      </c>
      <c r="EO7" s="7" t="s">
        <v>345</v>
      </c>
      <c r="EP7" s="7" t="s">
        <v>346</v>
      </c>
      <c r="EQ7" s="4480"/>
      <c r="ER7" s="4318"/>
      <c r="ES7" s="4667"/>
      <c r="ET7" s="4666"/>
      <c r="EU7" s="4480"/>
      <c r="EV7" s="4318"/>
      <c r="EW7" s="4480"/>
      <c r="EX7" s="4318"/>
      <c r="EY7" s="7" t="s">
        <v>345</v>
      </c>
      <c r="EZ7" s="7" t="s">
        <v>346</v>
      </c>
      <c r="FA7" s="7" t="s">
        <v>345</v>
      </c>
      <c r="FB7" s="7" t="s">
        <v>346</v>
      </c>
      <c r="FC7" s="4480"/>
      <c r="FD7" s="4318"/>
      <c r="FE7" s="4665"/>
      <c r="FF7" s="4664"/>
    </row>
    <row r="8" spans="1:162" s="210" customFormat="1" ht="25.2" customHeight="1">
      <c r="A8" s="2403" t="s">
        <v>7</v>
      </c>
      <c r="B8" s="2403" t="s">
        <v>22</v>
      </c>
      <c r="C8" s="2403">
        <v>1</v>
      </c>
      <c r="D8" s="2403">
        <v>2</v>
      </c>
      <c r="E8" s="2403">
        <v>3</v>
      </c>
      <c r="F8" s="2403">
        <v>4</v>
      </c>
      <c r="G8" s="2403">
        <v>3</v>
      </c>
      <c r="H8" s="2403">
        <v>4</v>
      </c>
      <c r="I8" s="2403">
        <v>5</v>
      </c>
      <c r="J8" s="2403">
        <v>6</v>
      </c>
      <c r="K8" s="2302" t="s">
        <v>347</v>
      </c>
      <c r="L8" s="2302" t="s">
        <v>348</v>
      </c>
      <c r="M8" s="2302" t="s">
        <v>349</v>
      </c>
      <c r="N8" s="2302" t="s">
        <v>350</v>
      </c>
      <c r="O8" s="2403">
        <v>1</v>
      </c>
      <c r="P8" s="2403">
        <v>2</v>
      </c>
      <c r="Q8" s="2403">
        <v>3</v>
      </c>
      <c r="R8" s="2403">
        <v>4</v>
      </c>
      <c r="S8" s="1829">
        <v>3</v>
      </c>
      <c r="T8" s="1829">
        <v>4</v>
      </c>
      <c r="U8" s="2403">
        <v>5</v>
      </c>
      <c r="V8" s="2403">
        <v>6</v>
      </c>
      <c r="W8" s="2302" t="s">
        <v>347</v>
      </c>
      <c r="X8" s="2302" t="s">
        <v>348</v>
      </c>
      <c r="Y8" s="2302" t="s">
        <v>349</v>
      </c>
      <c r="Z8" s="2302" t="s">
        <v>350</v>
      </c>
      <c r="AA8" s="2403">
        <v>1</v>
      </c>
      <c r="AB8" s="2403">
        <v>2</v>
      </c>
      <c r="AC8" s="2403">
        <v>3</v>
      </c>
      <c r="AD8" s="2403">
        <v>4</v>
      </c>
      <c r="AE8" s="1829">
        <v>3</v>
      </c>
      <c r="AF8" s="1829">
        <v>4</v>
      </c>
      <c r="AG8" s="2403">
        <v>5</v>
      </c>
      <c r="AH8" s="2403">
        <v>6</v>
      </c>
      <c r="AI8" s="2302" t="s">
        <v>347</v>
      </c>
      <c r="AJ8" s="2302" t="s">
        <v>348</v>
      </c>
      <c r="AK8" s="2302" t="s">
        <v>349</v>
      </c>
      <c r="AL8" s="2302" t="s">
        <v>350</v>
      </c>
      <c r="AM8" s="2403">
        <v>1</v>
      </c>
      <c r="AN8" s="2403">
        <v>2</v>
      </c>
      <c r="AO8" s="2403">
        <v>3</v>
      </c>
      <c r="AP8" s="2403">
        <v>4</v>
      </c>
      <c r="AQ8" s="2403">
        <v>3</v>
      </c>
      <c r="AR8" s="2403">
        <v>4</v>
      </c>
      <c r="AS8" s="2403">
        <v>5</v>
      </c>
      <c r="AT8" s="2403">
        <v>6</v>
      </c>
      <c r="AU8" s="2302" t="s">
        <v>347</v>
      </c>
      <c r="AV8" s="2302" t="s">
        <v>348</v>
      </c>
      <c r="AW8" s="2302" t="s">
        <v>349</v>
      </c>
      <c r="AX8" s="2302" t="s">
        <v>350</v>
      </c>
      <c r="AY8" s="2403">
        <v>1</v>
      </c>
      <c r="AZ8" s="2403">
        <v>2</v>
      </c>
      <c r="BA8" s="2403">
        <v>3</v>
      </c>
      <c r="BB8" s="2403">
        <v>4</v>
      </c>
      <c r="BC8" s="2403">
        <v>3</v>
      </c>
      <c r="BD8" s="2403">
        <v>4</v>
      </c>
      <c r="BE8" s="2403">
        <v>5</v>
      </c>
      <c r="BF8" s="2403">
        <v>6</v>
      </c>
      <c r="BG8" s="2302" t="s">
        <v>347</v>
      </c>
      <c r="BH8" s="2302" t="s">
        <v>348</v>
      </c>
      <c r="BI8" s="2302" t="s">
        <v>349</v>
      </c>
      <c r="BJ8" s="2302" t="s">
        <v>350</v>
      </c>
      <c r="BK8" s="2403">
        <v>1</v>
      </c>
      <c r="BL8" s="2403">
        <v>2</v>
      </c>
      <c r="BM8" s="2403">
        <v>3</v>
      </c>
      <c r="BN8" s="2403">
        <v>4</v>
      </c>
      <c r="BO8" s="2403">
        <v>3</v>
      </c>
      <c r="BP8" s="2403">
        <v>4</v>
      </c>
      <c r="BQ8" s="2403">
        <v>5</v>
      </c>
      <c r="BR8" s="2403">
        <v>6</v>
      </c>
      <c r="BS8" s="2302" t="s">
        <v>347</v>
      </c>
      <c r="BT8" s="2302" t="s">
        <v>348</v>
      </c>
      <c r="BU8" s="2302" t="s">
        <v>349</v>
      </c>
      <c r="BV8" s="2302" t="s">
        <v>350</v>
      </c>
      <c r="BW8" s="2403">
        <v>1</v>
      </c>
      <c r="BX8" s="2403">
        <v>2</v>
      </c>
      <c r="BY8" s="2725">
        <v>3</v>
      </c>
      <c r="BZ8" s="2725">
        <v>4</v>
      </c>
      <c r="CA8" s="1829">
        <v>3</v>
      </c>
      <c r="CB8" s="1829">
        <v>4</v>
      </c>
      <c r="CC8" s="2403">
        <v>5</v>
      </c>
      <c r="CD8" s="2403">
        <v>6</v>
      </c>
      <c r="CE8" s="2302" t="s">
        <v>347</v>
      </c>
      <c r="CF8" s="2302" t="s">
        <v>348</v>
      </c>
      <c r="CG8" s="2302" t="s">
        <v>349</v>
      </c>
      <c r="CH8" s="2302" t="s">
        <v>350</v>
      </c>
      <c r="CI8" s="2403">
        <v>1</v>
      </c>
      <c r="CJ8" s="2403">
        <v>2</v>
      </c>
      <c r="CK8" s="2403">
        <v>3</v>
      </c>
      <c r="CL8" s="2403">
        <v>4</v>
      </c>
      <c r="CM8" s="2403">
        <v>3</v>
      </c>
      <c r="CN8" s="2403">
        <v>4</v>
      </c>
      <c r="CO8" s="2403">
        <v>5</v>
      </c>
      <c r="CP8" s="2403">
        <v>6</v>
      </c>
      <c r="CQ8" s="2302" t="s">
        <v>347</v>
      </c>
      <c r="CR8" s="2302" t="s">
        <v>348</v>
      </c>
      <c r="CS8" s="2302" t="s">
        <v>349</v>
      </c>
      <c r="CT8" s="2302" t="s">
        <v>350</v>
      </c>
      <c r="CU8" s="2403">
        <v>1</v>
      </c>
      <c r="CV8" s="2403">
        <v>2</v>
      </c>
      <c r="CW8" s="2403">
        <v>3</v>
      </c>
      <c r="CX8" s="2403">
        <v>4</v>
      </c>
      <c r="CY8" s="2403">
        <v>3</v>
      </c>
      <c r="CZ8" s="2403">
        <v>4</v>
      </c>
      <c r="DA8" s="2403">
        <v>5</v>
      </c>
      <c r="DB8" s="2403">
        <v>6</v>
      </c>
      <c r="DC8" s="2302" t="s">
        <v>347</v>
      </c>
      <c r="DD8" s="2302" t="s">
        <v>348</v>
      </c>
      <c r="DE8" s="2302" t="s">
        <v>349</v>
      </c>
      <c r="DF8" s="2302" t="s">
        <v>350</v>
      </c>
      <c r="DG8" s="2403">
        <v>1</v>
      </c>
      <c r="DH8" s="2403">
        <v>2</v>
      </c>
      <c r="DI8" s="2725">
        <v>3</v>
      </c>
      <c r="DJ8" s="2725">
        <v>4</v>
      </c>
      <c r="DK8" s="2725">
        <v>3</v>
      </c>
      <c r="DL8" s="2725">
        <v>4</v>
      </c>
      <c r="DM8" s="2725">
        <v>5</v>
      </c>
      <c r="DN8" s="2725">
        <v>6</v>
      </c>
      <c r="DO8" s="2302" t="s">
        <v>347</v>
      </c>
      <c r="DP8" s="2302" t="s">
        <v>348</v>
      </c>
      <c r="DQ8" s="2302" t="s">
        <v>349</v>
      </c>
      <c r="DR8" s="2302" t="s">
        <v>350</v>
      </c>
      <c r="DS8" s="2403">
        <v>1</v>
      </c>
      <c r="DT8" s="2403">
        <v>2</v>
      </c>
      <c r="DU8" s="2725">
        <v>3</v>
      </c>
      <c r="DV8" s="2725">
        <v>4</v>
      </c>
      <c r="DW8" s="1829">
        <v>3</v>
      </c>
      <c r="DX8" s="1829">
        <v>4</v>
      </c>
      <c r="DY8" s="1829">
        <v>5</v>
      </c>
      <c r="DZ8" s="1829">
        <v>6</v>
      </c>
      <c r="EA8" s="2302" t="s">
        <v>347</v>
      </c>
      <c r="EB8" s="2302" t="s">
        <v>348</v>
      </c>
      <c r="EC8" s="2302" t="s">
        <v>349</v>
      </c>
      <c r="ED8" s="2302" t="s">
        <v>350</v>
      </c>
      <c r="EE8" s="2403">
        <v>1</v>
      </c>
      <c r="EF8" s="2403">
        <v>2</v>
      </c>
      <c r="EG8" s="2725">
        <v>3</v>
      </c>
      <c r="EH8" s="2725">
        <v>4</v>
      </c>
      <c r="EI8" s="2403">
        <v>3</v>
      </c>
      <c r="EJ8" s="2403">
        <v>4</v>
      </c>
      <c r="EK8" s="1829">
        <v>5</v>
      </c>
      <c r="EL8" s="1829">
        <v>6</v>
      </c>
      <c r="EM8" s="2302" t="s">
        <v>347</v>
      </c>
      <c r="EN8" s="2302" t="s">
        <v>348</v>
      </c>
      <c r="EO8" s="2302" t="s">
        <v>349</v>
      </c>
      <c r="EP8" s="2302" t="s">
        <v>350</v>
      </c>
      <c r="EQ8" s="2403">
        <v>1</v>
      </c>
      <c r="ER8" s="2403">
        <v>2</v>
      </c>
      <c r="ES8" s="2725">
        <v>3</v>
      </c>
      <c r="ET8" s="2725">
        <v>4</v>
      </c>
      <c r="EU8" s="2403">
        <v>3</v>
      </c>
      <c r="EV8" s="2403">
        <v>4</v>
      </c>
      <c r="EW8" s="2403">
        <v>5</v>
      </c>
      <c r="EX8" s="2403">
        <v>6</v>
      </c>
      <c r="EY8" s="2302" t="s">
        <v>347</v>
      </c>
      <c r="EZ8" s="2302" t="s">
        <v>348</v>
      </c>
      <c r="FA8" s="2302" t="s">
        <v>349</v>
      </c>
      <c r="FB8" s="2302" t="s">
        <v>350</v>
      </c>
      <c r="FC8" s="2403"/>
      <c r="FD8" s="2403"/>
      <c r="FE8" s="2403"/>
      <c r="FF8" s="2403"/>
    </row>
    <row r="9" spans="1:162" s="2758" customFormat="1" ht="25.2" customHeight="1">
      <c r="A9" s="2726" t="s">
        <v>9</v>
      </c>
      <c r="B9" s="2727" t="s">
        <v>351</v>
      </c>
      <c r="C9" s="109">
        <f t="shared" ref="C9:H9" si="0">SUM(C11,C17,C20,C21,C22,C23,C27,C30,C33,C37)</f>
        <v>3208800</v>
      </c>
      <c r="D9" s="109">
        <f t="shared" si="0"/>
        <v>2897350</v>
      </c>
      <c r="E9" s="109">
        <f t="shared" si="0"/>
        <v>2584883</v>
      </c>
      <c r="F9" s="109">
        <f t="shared" si="0"/>
        <v>2290412</v>
      </c>
      <c r="G9" s="109">
        <f t="shared" si="0"/>
        <v>3611824</v>
      </c>
      <c r="H9" s="109">
        <f t="shared" si="0"/>
        <v>3365638.333333333</v>
      </c>
      <c r="I9" s="109">
        <f>SUM(I11,I17,I20,I21,I22,I23,I27,I30,I33,I37)</f>
        <v>4836300</v>
      </c>
      <c r="J9" s="109">
        <f>SUM(J11,J17,J20,J21,J22,J23,J27,J30,J33,J37)</f>
        <v>3939080</v>
      </c>
      <c r="K9" s="109">
        <f>+I9-G9</f>
        <v>1224476</v>
      </c>
      <c r="L9" s="109">
        <f>+I9/G9*100</f>
        <v>133.90187340246922</v>
      </c>
      <c r="M9" s="109">
        <f>+G9-C9</f>
        <v>403024</v>
      </c>
      <c r="N9" s="109">
        <f t="shared" ref="N9:N20" si="1">+G9/C9*100</f>
        <v>112.55996010969834</v>
      </c>
      <c r="O9" s="109">
        <f t="shared" ref="O9:U9" si="2">SUM(O11,O17,O20,O21,O22,O23,O27,O30,O33,O37)</f>
        <v>136750</v>
      </c>
      <c r="P9" s="109">
        <f t="shared" si="2"/>
        <v>131450</v>
      </c>
      <c r="Q9" s="109">
        <f t="shared" si="2"/>
        <v>103734</v>
      </c>
      <c r="R9" s="109">
        <f t="shared" si="2"/>
        <v>94487</v>
      </c>
      <c r="S9" s="177">
        <f t="shared" si="2"/>
        <v>145300</v>
      </c>
      <c r="T9" s="177">
        <f t="shared" si="2"/>
        <v>132690</v>
      </c>
      <c r="U9" s="109">
        <f t="shared" si="2"/>
        <v>189200</v>
      </c>
      <c r="V9" s="109">
        <f>SUM(V11,V17,V20,V21,V22,V23,V27,V30,V33,V37)</f>
        <v>157900</v>
      </c>
      <c r="W9" s="109">
        <f>+U9-S9</f>
        <v>43900</v>
      </c>
      <c r="X9" s="109">
        <f>+U9/S9*100</f>
        <v>130.21335168616653</v>
      </c>
      <c r="Y9" s="109">
        <f>+S9-O9</f>
        <v>8550</v>
      </c>
      <c r="Z9" s="109">
        <f>+S9/O9*100</f>
        <v>106.25228519195613</v>
      </c>
      <c r="AA9" s="109">
        <f t="shared" ref="AA9:AH9" si="3">SUM(AA11,AA17,AA20,AA21,AA22,AA23,AA27,AA30,AA33,AA37)</f>
        <v>281400</v>
      </c>
      <c r="AB9" s="109">
        <f t="shared" si="3"/>
        <v>269200</v>
      </c>
      <c r="AC9" s="109">
        <f t="shared" si="3"/>
        <v>144989</v>
      </c>
      <c r="AD9" s="109">
        <f t="shared" si="3"/>
        <v>131753</v>
      </c>
      <c r="AE9" s="177">
        <f t="shared" si="3"/>
        <v>280750</v>
      </c>
      <c r="AF9" s="177">
        <f t="shared" si="3"/>
        <v>267539.5</v>
      </c>
      <c r="AG9" s="109">
        <f t="shared" si="3"/>
        <v>430350</v>
      </c>
      <c r="AH9" s="109">
        <f t="shared" si="3"/>
        <v>384130</v>
      </c>
      <c r="AI9" s="109">
        <f>+AG9-AE9</f>
        <v>149600</v>
      </c>
      <c r="AJ9" s="109">
        <f>+AG9/AE9*100</f>
        <v>153.28584149599288</v>
      </c>
      <c r="AK9" s="109">
        <f>+AE9-AA9</f>
        <v>-650</v>
      </c>
      <c r="AL9" s="109">
        <f>+AE9/AA9*100</f>
        <v>99.769012082444917</v>
      </c>
      <c r="AM9" s="109">
        <f t="shared" ref="AM9:AT9" si="4">SUM(AM11,AM17,AM20,AM21,AM22,AM23,AM27,AM30,AM33,AM37)</f>
        <v>62850</v>
      </c>
      <c r="AN9" s="109">
        <f t="shared" si="4"/>
        <v>61250</v>
      </c>
      <c r="AO9" s="109">
        <f t="shared" si="4"/>
        <v>84342</v>
      </c>
      <c r="AP9" s="109">
        <f t="shared" si="4"/>
        <v>71976</v>
      </c>
      <c r="AQ9" s="109">
        <f t="shared" si="4"/>
        <v>112400</v>
      </c>
      <c r="AR9" s="109">
        <f t="shared" si="4"/>
        <v>95701</v>
      </c>
      <c r="AS9" s="109">
        <f t="shared" si="4"/>
        <v>101150</v>
      </c>
      <c r="AT9" s="109">
        <f t="shared" si="4"/>
        <v>96340</v>
      </c>
      <c r="AU9" s="109">
        <f>+AS9-AQ9</f>
        <v>-11250</v>
      </c>
      <c r="AV9" s="109">
        <f>+AS9/AQ9*100</f>
        <v>89.991103202846972</v>
      </c>
      <c r="AW9" s="109">
        <f>+AQ9-AM9</f>
        <v>49550</v>
      </c>
      <c r="AX9" s="109">
        <f>+AQ9/AM9*100</f>
        <v>178.83850437549722</v>
      </c>
      <c r="AY9" s="109">
        <f t="shared" ref="AY9:BE9" si="5">SUM(AY11,AY17,AY20,AY21,AY22,AY23,AY27,AY30,AY33,AY37)</f>
        <v>103600</v>
      </c>
      <c r="AZ9" s="109">
        <f t="shared" si="5"/>
        <v>97100</v>
      </c>
      <c r="BA9" s="109">
        <f t="shared" si="5"/>
        <v>99455</v>
      </c>
      <c r="BB9" s="109">
        <f t="shared" si="5"/>
        <v>91724</v>
      </c>
      <c r="BC9" s="109">
        <f t="shared" si="5"/>
        <v>128685</v>
      </c>
      <c r="BD9" s="109">
        <f t="shared" si="5"/>
        <v>121821</v>
      </c>
      <c r="BE9" s="109">
        <f t="shared" si="5"/>
        <v>155300</v>
      </c>
      <c r="BF9" s="109">
        <f>SUM(BF11,BF17,BF20,BF21,BF22,BF23,BF27,BF30,BF33,BF37)</f>
        <v>140940</v>
      </c>
      <c r="BG9" s="109">
        <f>+BE9-BC9</f>
        <v>26615</v>
      </c>
      <c r="BH9" s="109">
        <f>+BE9/BC9*100</f>
        <v>120.68228620274313</v>
      </c>
      <c r="BI9" s="109">
        <f>+BC9-AY9</f>
        <v>25085</v>
      </c>
      <c r="BJ9" s="109">
        <f>+BC9/AY9*100</f>
        <v>124.21332046332046</v>
      </c>
      <c r="BK9" s="109">
        <f t="shared" ref="BK9:BQ9" si="6">SUM(BK11,BK17,BK20,BK21,BK22,BK23,BK27,BK30,BK33,BK37)</f>
        <v>174000</v>
      </c>
      <c r="BL9" s="109">
        <f t="shared" si="6"/>
        <v>166650</v>
      </c>
      <c r="BM9" s="109">
        <f t="shared" si="6"/>
        <v>191413</v>
      </c>
      <c r="BN9" s="109">
        <f t="shared" si="6"/>
        <v>180074</v>
      </c>
      <c r="BO9" s="109">
        <f t="shared" si="6"/>
        <v>237500</v>
      </c>
      <c r="BP9" s="109">
        <f t="shared" si="6"/>
        <v>230256.66666666666</v>
      </c>
      <c r="BQ9" s="109">
        <f t="shared" si="6"/>
        <v>260000</v>
      </c>
      <c r="BR9" s="109">
        <f>SUM(BR11,BR17,BR20,BR21,BR22,BR23,BR27,BR30,BR33,BR37)</f>
        <v>241850</v>
      </c>
      <c r="BS9" s="109">
        <f>+BQ9-BO9</f>
        <v>22500</v>
      </c>
      <c r="BT9" s="109">
        <f>+BQ9/BO9*100</f>
        <v>109.47368421052633</v>
      </c>
      <c r="BU9" s="109">
        <f>+BO9-BK9</f>
        <v>63500</v>
      </c>
      <c r="BV9" s="109">
        <f>+BO9/BK9*100</f>
        <v>136.49425287356323</v>
      </c>
      <c r="BW9" s="109">
        <f t="shared" ref="BW9:CD9" si="7">SUM(BW11,BW17,BW20,BW21,BW22,BW23,BW27,BW30,BW33,BW37)</f>
        <v>1029200</v>
      </c>
      <c r="BX9" s="109">
        <f t="shared" si="7"/>
        <v>801200</v>
      </c>
      <c r="BY9" s="2728">
        <f t="shared" si="7"/>
        <v>849955</v>
      </c>
      <c r="BZ9" s="2728">
        <f t="shared" si="7"/>
        <v>710651</v>
      </c>
      <c r="CA9" s="177">
        <f t="shared" si="7"/>
        <v>1102500</v>
      </c>
      <c r="CB9" s="177">
        <f t="shared" si="7"/>
        <v>985011</v>
      </c>
      <c r="CC9" s="109">
        <f t="shared" si="7"/>
        <v>1450250</v>
      </c>
      <c r="CD9" s="109">
        <f t="shared" si="7"/>
        <v>1146450</v>
      </c>
      <c r="CE9" s="109">
        <f>+CC9-CA9</f>
        <v>347750</v>
      </c>
      <c r="CF9" s="109">
        <f>+CC9/CA9*100</f>
        <v>131.54195011337868</v>
      </c>
      <c r="CG9" s="28">
        <f>+CA9-BW9</f>
        <v>73300</v>
      </c>
      <c r="CH9" s="109">
        <f>+CA9/BW9*100</f>
        <v>107.12203653322969</v>
      </c>
      <c r="CI9" s="109">
        <f t="shared" ref="CI9:CP9" si="8">SUM(CI11,CI17,CI20,CI21,CI22,CI23,CI27,CI30,CI33,CI37)</f>
        <v>195950</v>
      </c>
      <c r="CJ9" s="109">
        <f t="shared" si="8"/>
        <v>185760</v>
      </c>
      <c r="CK9" s="109">
        <f t="shared" si="8"/>
        <v>199009</v>
      </c>
      <c r="CL9" s="109">
        <f t="shared" si="8"/>
        <v>183637</v>
      </c>
      <c r="CM9" s="109">
        <f t="shared" si="8"/>
        <v>286180</v>
      </c>
      <c r="CN9" s="109">
        <f t="shared" si="8"/>
        <v>270987</v>
      </c>
      <c r="CO9" s="109">
        <f>SUM(CO11,CO17,CO20,CO21,CO22,CO23,CO27,CO30,CO33,CO37)</f>
        <v>280250</v>
      </c>
      <c r="CP9" s="109">
        <f t="shared" si="8"/>
        <v>259140</v>
      </c>
      <c r="CQ9" s="109">
        <f>+CO9-CM9</f>
        <v>-5930</v>
      </c>
      <c r="CR9" s="109">
        <f>+CO9/CM9*100</f>
        <v>97.927877559577894</v>
      </c>
      <c r="CS9" s="109">
        <f>+CM9-CI9</f>
        <v>90230</v>
      </c>
      <c r="CT9" s="109">
        <f>+CM9/CI9*100</f>
        <v>146.04746108701198</v>
      </c>
      <c r="CU9" s="109">
        <f t="shared" ref="CU9:DB9" si="9">SUM(CU11,CU17,CU20,CU21,CU22,CU23,CU27,CU30,CU33,CU37)</f>
        <v>218200</v>
      </c>
      <c r="CV9" s="109">
        <f t="shared" si="9"/>
        <v>211460</v>
      </c>
      <c r="CW9" s="109">
        <f t="shared" si="9"/>
        <v>185109</v>
      </c>
      <c r="CX9" s="109">
        <f t="shared" si="9"/>
        <v>174461</v>
      </c>
      <c r="CY9" s="109">
        <f t="shared" si="9"/>
        <v>240800</v>
      </c>
      <c r="CZ9" s="109">
        <f t="shared" si="9"/>
        <v>230542.5</v>
      </c>
      <c r="DA9" s="109">
        <f t="shared" si="9"/>
        <v>275700</v>
      </c>
      <c r="DB9" s="109">
        <f t="shared" si="9"/>
        <v>257750</v>
      </c>
      <c r="DC9" s="109">
        <f>+DA9-CY9</f>
        <v>34900</v>
      </c>
      <c r="DD9" s="109">
        <f>+DA9/CY9*100</f>
        <v>114.49335548172756</v>
      </c>
      <c r="DE9" s="109">
        <f>+CY9-CU9</f>
        <v>22600</v>
      </c>
      <c r="DF9" s="109">
        <f>+CY9/CU9*100</f>
        <v>110.35747021081576</v>
      </c>
      <c r="DG9" s="109">
        <f t="shared" ref="DG9:DN9" si="10">SUM(DG11,DG17,DG20,DG21,DG22,DG23,DG27,DG30,DG33,DG37)</f>
        <v>192100</v>
      </c>
      <c r="DH9" s="109">
        <f t="shared" si="10"/>
        <v>185900</v>
      </c>
      <c r="DI9" s="2728">
        <f t="shared" si="10"/>
        <v>213656</v>
      </c>
      <c r="DJ9" s="2728">
        <f t="shared" si="10"/>
        <v>192941</v>
      </c>
      <c r="DK9" s="2728">
        <f t="shared" si="10"/>
        <v>250450</v>
      </c>
      <c r="DL9" s="2728">
        <f t="shared" si="10"/>
        <v>240115.5</v>
      </c>
      <c r="DM9" s="2728">
        <f t="shared" si="10"/>
        <v>284000</v>
      </c>
      <c r="DN9" s="2728">
        <f t="shared" si="10"/>
        <v>269200</v>
      </c>
      <c r="DO9" s="109">
        <f>+DM9-DK9</f>
        <v>33550</v>
      </c>
      <c r="DP9" s="109">
        <f>+DM9/DK9*100</f>
        <v>113.39588740267519</v>
      </c>
      <c r="DQ9" s="109">
        <f>+DK9-DG9</f>
        <v>58350</v>
      </c>
      <c r="DR9" s="109">
        <f>+DK9/DG9*100</f>
        <v>130.37480478917232</v>
      </c>
      <c r="DS9" s="109">
        <f t="shared" ref="DS9:DZ9" si="11">SUM(DS11,DS17,DS20,DS21,DS22,DS23,DS27,DS30,DS33,DS37)</f>
        <v>151700</v>
      </c>
      <c r="DT9" s="109">
        <f t="shared" si="11"/>
        <v>141600</v>
      </c>
      <c r="DU9" s="2728">
        <f t="shared" si="11"/>
        <v>110880</v>
      </c>
      <c r="DV9" s="2728">
        <f t="shared" si="11"/>
        <v>95923</v>
      </c>
      <c r="DW9" s="177">
        <f t="shared" si="11"/>
        <v>204000</v>
      </c>
      <c r="DX9" s="177">
        <f t="shared" si="11"/>
        <v>192522.66666666669</v>
      </c>
      <c r="DY9" s="177">
        <f t="shared" si="11"/>
        <v>195000</v>
      </c>
      <c r="DZ9" s="177">
        <f t="shared" si="11"/>
        <v>175430</v>
      </c>
      <c r="EA9" s="109">
        <f>+DY9-DW9</f>
        <v>-9000</v>
      </c>
      <c r="EB9" s="109">
        <f>+DY9/DW9*100</f>
        <v>95.588235294117652</v>
      </c>
      <c r="EC9" s="109">
        <f>+DW9-DS9</f>
        <v>52300</v>
      </c>
      <c r="ED9" s="109">
        <f>+DW9/DS9*100</f>
        <v>134.47593935398814</v>
      </c>
      <c r="EE9" s="109">
        <f t="shared" ref="EE9:EL9" si="12">SUM(EE11,EE17,EE20,EE21,EE22,EE23,EE27,EE30,EE33,EE37)</f>
        <v>483400</v>
      </c>
      <c r="EF9" s="109">
        <f t="shared" si="12"/>
        <v>471300</v>
      </c>
      <c r="EG9" s="2728">
        <f t="shared" si="12"/>
        <v>301670</v>
      </c>
      <c r="EH9" s="2728">
        <f t="shared" si="12"/>
        <v>271670</v>
      </c>
      <c r="EI9" s="109">
        <f t="shared" si="12"/>
        <v>438930</v>
      </c>
      <c r="EJ9" s="109">
        <f t="shared" si="12"/>
        <v>422230.5</v>
      </c>
      <c r="EK9" s="177">
        <f t="shared" si="12"/>
        <v>930100</v>
      </c>
      <c r="EL9" s="177">
        <f t="shared" si="12"/>
        <v>544440</v>
      </c>
      <c r="EM9" s="109">
        <f>+EK9-EI9</f>
        <v>491170</v>
      </c>
      <c r="EN9" s="109">
        <f>+EK9/EI9*100</f>
        <v>211.90166997015473</v>
      </c>
      <c r="EO9" s="109">
        <f>+EI9-EE9</f>
        <v>-44470</v>
      </c>
      <c r="EP9" s="109">
        <f>+EI9/EE9*100</f>
        <v>90.800579230450978</v>
      </c>
      <c r="EQ9" s="109">
        <f t="shared" ref="EQ9:EX9" si="13">SUM(EQ11,EQ17,EQ20,EQ21,EQ22,EQ23,EQ27,EQ30,EQ33,EQ37)</f>
        <v>179650</v>
      </c>
      <c r="ER9" s="109">
        <f t="shared" si="13"/>
        <v>174480</v>
      </c>
      <c r="ES9" s="2728">
        <f t="shared" si="13"/>
        <v>100671</v>
      </c>
      <c r="ET9" s="2728">
        <f t="shared" si="13"/>
        <v>91115</v>
      </c>
      <c r="EU9" s="109">
        <f t="shared" si="13"/>
        <v>184329</v>
      </c>
      <c r="EV9" s="109">
        <f t="shared" si="13"/>
        <v>176221</v>
      </c>
      <c r="EW9" s="109">
        <f t="shared" si="13"/>
        <v>285000</v>
      </c>
      <c r="EX9" s="109">
        <f t="shared" si="13"/>
        <v>265510</v>
      </c>
      <c r="EY9" s="109">
        <f>+EW9-EU9</f>
        <v>100671</v>
      </c>
      <c r="EZ9" s="109">
        <f>+EW9/EU9*100</f>
        <v>154.61484628029228</v>
      </c>
      <c r="FA9" s="109">
        <f>+EU9-EQ9</f>
        <v>4679</v>
      </c>
      <c r="FB9" s="109">
        <f>+EU9/EQ9*100</f>
        <v>102.60450876704704</v>
      </c>
      <c r="FC9" s="2729">
        <f t="shared" ref="FC9:FD11" si="14">E9/C9</f>
        <v>0.80556064572425834</v>
      </c>
      <c r="FD9" s="2729">
        <f t="shared" si="14"/>
        <v>0.79051961274958149</v>
      </c>
      <c r="FE9" s="2730">
        <f t="shared" ref="FE9:FF11" si="15">E9-C9</f>
        <v>-623917</v>
      </c>
      <c r="FF9" s="2730">
        <f t="shared" si="15"/>
        <v>-606938</v>
      </c>
    </row>
    <row r="10" spans="1:162" s="2758" customFormat="1" ht="25.2" customHeight="1">
      <c r="A10" s="2731"/>
      <c r="B10" s="2732" t="s">
        <v>264</v>
      </c>
      <c r="C10" s="109">
        <f t="shared" ref="C10:J10" si="16">C9-C30</f>
        <v>2308800</v>
      </c>
      <c r="D10" s="109">
        <f t="shared" si="16"/>
        <v>2097350</v>
      </c>
      <c r="E10" s="109">
        <f t="shared" si="16"/>
        <v>1949163</v>
      </c>
      <c r="F10" s="109">
        <f t="shared" si="16"/>
        <v>1654818</v>
      </c>
      <c r="G10" s="109">
        <f t="shared" si="16"/>
        <v>2615324</v>
      </c>
      <c r="H10" s="109">
        <f t="shared" si="16"/>
        <v>2369138.333333333</v>
      </c>
      <c r="I10" s="109">
        <f>I9-I30</f>
        <v>3066300</v>
      </c>
      <c r="J10" s="109">
        <f t="shared" si="16"/>
        <v>2796080</v>
      </c>
      <c r="K10" s="2733">
        <f>I10-G10</f>
        <v>450976</v>
      </c>
      <c r="L10" s="2733">
        <f>I10/G10*100</f>
        <v>117.24359964578002</v>
      </c>
      <c r="M10" s="2733">
        <f>G10-C10</f>
        <v>306524</v>
      </c>
      <c r="N10" s="2733">
        <f>G10/C10*100</f>
        <v>113.27633402633404</v>
      </c>
      <c r="O10" s="109">
        <f>O9-O30</f>
        <v>72750</v>
      </c>
      <c r="P10" s="109">
        <f>P9-P30</f>
        <v>67450</v>
      </c>
      <c r="Q10" s="109">
        <f t="shared" ref="Q10:V10" si="17">Q9-Q30</f>
        <v>64478</v>
      </c>
      <c r="R10" s="109">
        <f t="shared" si="17"/>
        <v>55231</v>
      </c>
      <c r="S10" s="177">
        <f t="shared" si="17"/>
        <v>81300</v>
      </c>
      <c r="T10" s="177">
        <f t="shared" si="17"/>
        <v>68690</v>
      </c>
      <c r="U10" s="109">
        <f t="shared" si="17"/>
        <v>89200</v>
      </c>
      <c r="V10" s="109">
        <f t="shared" si="17"/>
        <v>67900</v>
      </c>
      <c r="W10" s="2733">
        <f>U10-S10</f>
        <v>7900</v>
      </c>
      <c r="X10" s="2733">
        <f>U10/S10*100</f>
        <v>109.71709717097171</v>
      </c>
      <c r="Y10" s="2733">
        <f>S10-O10</f>
        <v>8550</v>
      </c>
      <c r="Z10" s="2733">
        <f>S10/O10*100</f>
        <v>111.75257731958763</v>
      </c>
      <c r="AA10" s="109">
        <f t="shared" ref="AA10:AH10" si="18">AA9-AA30</f>
        <v>121400</v>
      </c>
      <c r="AB10" s="109">
        <f t="shared" si="18"/>
        <v>109200</v>
      </c>
      <c r="AC10" s="109">
        <f t="shared" si="18"/>
        <v>74310</v>
      </c>
      <c r="AD10" s="109">
        <f t="shared" si="18"/>
        <v>61074</v>
      </c>
      <c r="AE10" s="177">
        <f t="shared" si="18"/>
        <v>114750</v>
      </c>
      <c r="AF10" s="177">
        <f t="shared" si="18"/>
        <v>101539.5</v>
      </c>
      <c r="AG10" s="109">
        <f t="shared" si="18"/>
        <v>130350</v>
      </c>
      <c r="AH10" s="109">
        <f t="shared" si="18"/>
        <v>114130</v>
      </c>
      <c r="AI10" s="2733">
        <f>AG10-AE10</f>
        <v>15600</v>
      </c>
      <c r="AJ10" s="2733">
        <f>AG10/AE10*100</f>
        <v>113.59477124183006</v>
      </c>
      <c r="AK10" s="2733">
        <f>AE10-AA10</f>
        <v>-6650</v>
      </c>
      <c r="AL10" s="2733">
        <f>AE10/AA10*100</f>
        <v>94.522240527182859</v>
      </c>
      <c r="AM10" s="18">
        <f t="shared" ref="AM10:AT10" si="19">AM9-AM30</f>
        <v>47850</v>
      </c>
      <c r="AN10" s="18">
        <f t="shared" si="19"/>
        <v>46250</v>
      </c>
      <c r="AO10" s="18">
        <f t="shared" si="19"/>
        <v>59169</v>
      </c>
      <c r="AP10" s="18">
        <f t="shared" si="19"/>
        <v>46803</v>
      </c>
      <c r="AQ10" s="18">
        <f t="shared" si="19"/>
        <v>76400</v>
      </c>
      <c r="AR10" s="18">
        <f t="shared" si="19"/>
        <v>59701</v>
      </c>
      <c r="AS10" s="18">
        <f t="shared" si="19"/>
        <v>71150</v>
      </c>
      <c r="AT10" s="18">
        <f t="shared" si="19"/>
        <v>69340</v>
      </c>
      <c r="AU10" s="18">
        <f>AS10-AQ10</f>
        <v>-5250</v>
      </c>
      <c r="AV10" s="18">
        <f>AS10/AQ10*100</f>
        <v>93.1282722513089</v>
      </c>
      <c r="AW10" s="18">
        <f>AQ10-AM10</f>
        <v>28550</v>
      </c>
      <c r="AX10" s="18">
        <f>AQ10/AM10*100</f>
        <v>159.66562173458726</v>
      </c>
      <c r="AY10" s="18">
        <f t="shared" ref="AY10:BE10" si="20">AY9-AY30</f>
        <v>83600</v>
      </c>
      <c r="AZ10" s="18">
        <f t="shared" si="20"/>
        <v>77100</v>
      </c>
      <c r="BA10" s="18">
        <f t="shared" si="20"/>
        <v>62389</v>
      </c>
      <c r="BB10" s="18">
        <f t="shared" si="20"/>
        <v>54658</v>
      </c>
      <c r="BC10" s="18">
        <f t="shared" si="20"/>
        <v>86685</v>
      </c>
      <c r="BD10" s="18">
        <f t="shared" si="20"/>
        <v>79821</v>
      </c>
      <c r="BE10" s="18">
        <f t="shared" si="20"/>
        <v>95300</v>
      </c>
      <c r="BF10" s="18">
        <f>BF9-BF30</f>
        <v>86940</v>
      </c>
      <c r="BG10" s="18">
        <f>BE10-BC10</f>
        <v>8615</v>
      </c>
      <c r="BH10" s="18">
        <f>BE10/BC10*100</f>
        <v>109.9382822864394</v>
      </c>
      <c r="BI10" s="18">
        <f>BC10-AY10</f>
        <v>3085</v>
      </c>
      <c r="BJ10" s="18">
        <f>BC10/AY10*100</f>
        <v>103.69019138755982</v>
      </c>
      <c r="BK10" s="109">
        <f t="shared" ref="BK10:BQ10" si="21">BK9-BK30</f>
        <v>114000</v>
      </c>
      <c r="BL10" s="109">
        <f t="shared" si="21"/>
        <v>106650</v>
      </c>
      <c r="BM10" s="109">
        <f t="shared" si="21"/>
        <v>159743</v>
      </c>
      <c r="BN10" s="109">
        <f t="shared" si="21"/>
        <v>148404</v>
      </c>
      <c r="BO10" s="109">
        <f t="shared" si="21"/>
        <v>187500</v>
      </c>
      <c r="BP10" s="109">
        <f t="shared" si="21"/>
        <v>180256.66666666666</v>
      </c>
      <c r="BQ10" s="109">
        <f t="shared" si="21"/>
        <v>190000</v>
      </c>
      <c r="BR10" s="109">
        <f>BR9-BR30</f>
        <v>178850</v>
      </c>
      <c r="BS10" s="2733">
        <f>BQ10-BO10</f>
        <v>2500</v>
      </c>
      <c r="BT10" s="2733">
        <f>BQ10/BO10*100</f>
        <v>101.33333333333334</v>
      </c>
      <c r="BU10" s="2733">
        <f>BO10-BK10</f>
        <v>73500</v>
      </c>
      <c r="BV10" s="2733">
        <f>BO10/BK10*100</f>
        <v>164.4736842105263</v>
      </c>
      <c r="BW10" s="109">
        <f t="shared" ref="BW10:CD10" si="22">BW9-BW30</f>
        <v>829200</v>
      </c>
      <c r="BX10" s="109">
        <f t="shared" si="22"/>
        <v>701200</v>
      </c>
      <c r="BY10" s="2728">
        <f t="shared" si="22"/>
        <v>715594</v>
      </c>
      <c r="BZ10" s="2728">
        <f t="shared" si="22"/>
        <v>576290</v>
      </c>
      <c r="CA10" s="177">
        <f t="shared" si="22"/>
        <v>942500</v>
      </c>
      <c r="CB10" s="177">
        <f t="shared" si="22"/>
        <v>825011</v>
      </c>
      <c r="CC10" s="109">
        <f t="shared" si="22"/>
        <v>1140250</v>
      </c>
      <c r="CD10" s="109">
        <f t="shared" si="22"/>
        <v>1002450</v>
      </c>
      <c r="CE10" s="2733">
        <f>CC10-CA10</f>
        <v>197750</v>
      </c>
      <c r="CF10" s="2733">
        <f>CC10/CA10*100</f>
        <v>120.9814323607427</v>
      </c>
      <c r="CG10" s="2808">
        <f>CA10-BW10</f>
        <v>113300</v>
      </c>
      <c r="CH10" s="2733">
        <f>CA10/BW10*100</f>
        <v>113.66377231066087</v>
      </c>
      <c r="CI10" s="109">
        <f t="shared" ref="CI10:CP10" si="23">CI9-CI30</f>
        <v>160950</v>
      </c>
      <c r="CJ10" s="109">
        <f t="shared" si="23"/>
        <v>150760</v>
      </c>
      <c r="CK10" s="109">
        <f t="shared" si="23"/>
        <v>130460</v>
      </c>
      <c r="CL10" s="109">
        <f t="shared" si="23"/>
        <v>115088</v>
      </c>
      <c r="CM10" s="109">
        <f t="shared" si="23"/>
        <v>186180</v>
      </c>
      <c r="CN10" s="109">
        <f t="shared" si="23"/>
        <v>170987</v>
      </c>
      <c r="CO10" s="109">
        <f t="shared" si="23"/>
        <v>220250</v>
      </c>
      <c r="CP10" s="109">
        <f t="shared" si="23"/>
        <v>205140</v>
      </c>
      <c r="CQ10" s="2733">
        <f>CO10-CM10</f>
        <v>34070</v>
      </c>
      <c r="CR10" s="2733">
        <f>CO10/CM10*100</f>
        <v>118.29949511225695</v>
      </c>
      <c r="CS10" s="2733">
        <f>CM10-CI10</f>
        <v>25230</v>
      </c>
      <c r="CT10" s="2733">
        <f>CM10/CI10*100</f>
        <v>115.67567567567568</v>
      </c>
      <c r="CU10" s="109">
        <f t="shared" ref="CU10:DB10" si="24">CU9-CU30</f>
        <v>148200</v>
      </c>
      <c r="CV10" s="109">
        <f t="shared" si="24"/>
        <v>141460</v>
      </c>
      <c r="CW10" s="109">
        <f t="shared" si="24"/>
        <v>105215</v>
      </c>
      <c r="CX10" s="109">
        <f t="shared" si="24"/>
        <v>94567</v>
      </c>
      <c r="CY10" s="109">
        <f t="shared" si="24"/>
        <v>150800</v>
      </c>
      <c r="CZ10" s="109">
        <f t="shared" si="24"/>
        <v>140542.5</v>
      </c>
      <c r="DA10" s="109">
        <f t="shared" si="24"/>
        <v>175700</v>
      </c>
      <c r="DB10" s="109">
        <f t="shared" si="24"/>
        <v>167750</v>
      </c>
      <c r="DC10" s="2733">
        <f>DA10-CY10</f>
        <v>24900</v>
      </c>
      <c r="DD10" s="2733">
        <f>DA10/CY10*100</f>
        <v>116.51193633952255</v>
      </c>
      <c r="DE10" s="2733">
        <f>CY10-CU10</f>
        <v>2600</v>
      </c>
      <c r="DF10" s="2733">
        <f>CY10/CU10*100</f>
        <v>101.75438596491229</v>
      </c>
      <c r="DG10" s="109">
        <f t="shared" ref="DG10:DN10" si="25">DG9-DG30</f>
        <v>162100</v>
      </c>
      <c r="DH10" s="109">
        <f t="shared" si="25"/>
        <v>155900</v>
      </c>
      <c r="DI10" s="109">
        <f t="shared" si="25"/>
        <v>175028</v>
      </c>
      <c r="DJ10" s="109">
        <f t="shared" si="25"/>
        <v>154313</v>
      </c>
      <c r="DK10" s="109">
        <f t="shared" si="25"/>
        <v>202450</v>
      </c>
      <c r="DL10" s="109">
        <f t="shared" si="25"/>
        <v>192115.5</v>
      </c>
      <c r="DM10" s="109">
        <f t="shared" si="25"/>
        <v>224000</v>
      </c>
      <c r="DN10" s="109">
        <f t="shared" si="25"/>
        <v>215200</v>
      </c>
      <c r="DO10" s="2733">
        <f>DM10-DK10</f>
        <v>21550</v>
      </c>
      <c r="DP10" s="2733">
        <f>DM10/DK10*100</f>
        <v>110.64460360582859</v>
      </c>
      <c r="DQ10" s="2733">
        <f>DK10-DG10</f>
        <v>40350</v>
      </c>
      <c r="DR10" s="2733">
        <f>DK10/DG10*100</f>
        <v>124.89204194941395</v>
      </c>
      <c r="DS10" s="109">
        <f t="shared" ref="DS10:DZ10" si="26">DS9-DS30</f>
        <v>121700</v>
      </c>
      <c r="DT10" s="109">
        <f t="shared" si="26"/>
        <v>111600</v>
      </c>
      <c r="DU10" s="2728">
        <f t="shared" si="26"/>
        <v>80260</v>
      </c>
      <c r="DV10" s="2728">
        <f t="shared" si="26"/>
        <v>65303</v>
      </c>
      <c r="DW10" s="177">
        <f t="shared" si="26"/>
        <v>114000</v>
      </c>
      <c r="DX10" s="177">
        <f t="shared" si="26"/>
        <v>102522.66666666669</v>
      </c>
      <c r="DY10" s="177">
        <f t="shared" si="26"/>
        <v>125000</v>
      </c>
      <c r="DZ10" s="177">
        <f t="shared" si="26"/>
        <v>112430</v>
      </c>
      <c r="EA10" s="2733">
        <f>DY10-DW10</f>
        <v>11000</v>
      </c>
      <c r="EB10" s="2733">
        <f>DY10/DW10*100</f>
        <v>109.64912280701755</v>
      </c>
      <c r="EC10" s="2733">
        <f>DW10-DS10</f>
        <v>-7700</v>
      </c>
      <c r="ED10" s="2733">
        <f>DW10/DS10*100</f>
        <v>93.672966310599833</v>
      </c>
      <c r="EE10" s="109">
        <f t="shared" ref="EE10:EL10" si="27">EE9-EE30</f>
        <v>317400</v>
      </c>
      <c r="EF10" s="109">
        <f t="shared" si="27"/>
        <v>305300</v>
      </c>
      <c r="EG10" s="2728">
        <f t="shared" si="27"/>
        <v>243998</v>
      </c>
      <c r="EH10" s="2728">
        <f t="shared" si="27"/>
        <v>214124</v>
      </c>
      <c r="EI10" s="109">
        <f t="shared" si="27"/>
        <v>338430</v>
      </c>
      <c r="EJ10" s="109">
        <f t="shared" si="27"/>
        <v>321730.5</v>
      </c>
      <c r="EK10" s="177">
        <f t="shared" si="27"/>
        <v>420100</v>
      </c>
      <c r="EL10" s="177">
        <f t="shared" si="27"/>
        <v>400440</v>
      </c>
      <c r="EM10" s="2733">
        <f>EK10-EI10</f>
        <v>81670</v>
      </c>
      <c r="EN10" s="2733">
        <f>EK10/EI10*100</f>
        <v>124.13202139290252</v>
      </c>
      <c r="EO10" s="2733">
        <f>EI10-EE10</f>
        <v>21030</v>
      </c>
      <c r="EP10" s="2733">
        <f>EI10/EE10*100</f>
        <v>106.62570888468809</v>
      </c>
      <c r="EQ10" s="109">
        <f t="shared" ref="EQ10:EX10" si="28">EQ9-EQ30</f>
        <v>129650</v>
      </c>
      <c r="ER10" s="109">
        <f t="shared" si="28"/>
        <v>124480</v>
      </c>
      <c r="ES10" s="2728">
        <f t="shared" si="28"/>
        <v>78519</v>
      </c>
      <c r="ET10" s="2728">
        <f t="shared" si="28"/>
        <v>68963</v>
      </c>
      <c r="EU10" s="109">
        <f t="shared" si="28"/>
        <v>134329</v>
      </c>
      <c r="EV10" s="109">
        <f t="shared" si="28"/>
        <v>126221</v>
      </c>
      <c r="EW10" s="109">
        <f t="shared" si="28"/>
        <v>185000</v>
      </c>
      <c r="EX10" s="109">
        <f t="shared" si="28"/>
        <v>175510</v>
      </c>
      <c r="EY10" s="2733">
        <f>EW10-EU10</f>
        <v>50671</v>
      </c>
      <c r="EZ10" s="2733">
        <f>EW10/EU10*100</f>
        <v>137.72156421919317</v>
      </c>
      <c r="FA10" s="2733">
        <f>EU10-EQ10</f>
        <v>4679</v>
      </c>
      <c r="FB10" s="2733">
        <f>EU10/EQ10*100</f>
        <v>103.60894716544541</v>
      </c>
      <c r="FC10" s="2734">
        <f t="shared" si="14"/>
        <v>0.84423206860706856</v>
      </c>
      <c r="FD10" s="2734">
        <f t="shared" si="14"/>
        <v>0.78900421961046086</v>
      </c>
      <c r="FE10" s="2479">
        <f t="shared" si="15"/>
        <v>-359637</v>
      </c>
      <c r="FF10" s="2479">
        <f t="shared" si="15"/>
        <v>-442532</v>
      </c>
    </row>
    <row r="11" spans="1:162" s="2759" customFormat="1" ht="25.2" customHeight="1">
      <c r="A11" s="2735">
        <v>1</v>
      </c>
      <c r="B11" s="2736" t="s">
        <v>352</v>
      </c>
      <c r="C11" s="2737">
        <f t="shared" ref="C11:J11" si="29">SUM(C12:C16)</f>
        <v>1265000</v>
      </c>
      <c r="D11" s="2737">
        <f t="shared" si="29"/>
        <v>1176150</v>
      </c>
      <c r="E11" s="2737">
        <f t="shared" si="29"/>
        <v>1143264</v>
      </c>
      <c r="F11" s="2737">
        <f t="shared" si="29"/>
        <v>1104279</v>
      </c>
      <c r="G11" s="2737">
        <f t="shared" si="29"/>
        <v>1531050</v>
      </c>
      <c r="H11" s="2737">
        <f t="shared" si="29"/>
        <v>1469415</v>
      </c>
      <c r="I11" s="2737">
        <f>SUM(I12:I16)</f>
        <v>1701000</v>
      </c>
      <c r="J11" s="2737">
        <f t="shared" si="29"/>
        <v>1630080</v>
      </c>
      <c r="K11" s="2737">
        <f t="shared" ref="K11:K23" si="30">+I11-G11</f>
        <v>169950</v>
      </c>
      <c r="L11" s="2737">
        <f t="shared" ref="L11:L17" si="31">+I11/G11*100</f>
        <v>111.10022533555404</v>
      </c>
      <c r="M11" s="2737">
        <f t="shared" ref="M11:M23" si="32">+G11-C11</f>
        <v>266050</v>
      </c>
      <c r="N11" s="2737">
        <f>+G11/C11*100</f>
        <v>121.03162055335967</v>
      </c>
      <c r="O11" s="2737">
        <f>SUM(O12:O16)</f>
        <v>25500</v>
      </c>
      <c r="P11" s="2737">
        <f>SUM(P12:P16)</f>
        <v>24700</v>
      </c>
      <c r="Q11" s="2737">
        <f t="shared" ref="Q11:R11" si="33">SUM(Q12:Q16)</f>
        <v>12070</v>
      </c>
      <c r="R11" s="2737">
        <f t="shared" si="33"/>
        <v>11079</v>
      </c>
      <c r="S11" s="2790">
        <f>SUM(S12:S16)</f>
        <v>18000</v>
      </c>
      <c r="T11" s="2790">
        <f t="shared" ref="T11:V11" si="34">SUM(T12:T16)</f>
        <v>17000</v>
      </c>
      <c r="U11" s="2737">
        <f t="shared" si="34"/>
        <v>19500</v>
      </c>
      <c r="V11" s="2737">
        <f t="shared" si="34"/>
        <v>18500</v>
      </c>
      <c r="W11" s="2737">
        <f t="shared" ref="W11:W16" si="35">+U11-S11</f>
        <v>1500</v>
      </c>
      <c r="X11" s="2737">
        <f>+U11/S11*100</f>
        <v>108.33333333333333</v>
      </c>
      <c r="Y11" s="2737">
        <f t="shared" ref="Y11:Y16" si="36">+S11-O11</f>
        <v>-7500</v>
      </c>
      <c r="Z11" s="2737">
        <f>+S11/O11*100</f>
        <v>70.588235294117652</v>
      </c>
      <c r="AA11" s="2737">
        <f>SUM(AA12:AA16)</f>
        <v>50000</v>
      </c>
      <c r="AB11" s="2737">
        <f>SUM(AB12:AB16)</f>
        <v>49400</v>
      </c>
      <c r="AC11" s="2737">
        <f t="shared" ref="AC11:AD11" si="37">SUM(AC12:AC16)</f>
        <v>32526</v>
      </c>
      <c r="AD11" s="2737">
        <f t="shared" si="37"/>
        <v>32415</v>
      </c>
      <c r="AE11" s="2790">
        <f>SUM(AE12:AE16)</f>
        <v>50000</v>
      </c>
      <c r="AF11" s="2790">
        <f t="shared" ref="AF11:AH11" si="38">SUM(AF12:AF16)</f>
        <v>49385</v>
      </c>
      <c r="AG11" s="2737">
        <f t="shared" si="38"/>
        <v>54000</v>
      </c>
      <c r="AH11" s="2737">
        <f t="shared" si="38"/>
        <v>51680</v>
      </c>
      <c r="AI11" s="2737">
        <f t="shared" ref="AI11:AI16" si="39">+AG11-AE11</f>
        <v>4000</v>
      </c>
      <c r="AJ11" s="2737">
        <f>+AG11/AE11*100</f>
        <v>108</v>
      </c>
      <c r="AK11" s="2737">
        <f t="shared" ref="AK11:AK16" si="40">+AE11-AA11</f>
        <v>0</v>
      </c>
      <c r="AL11" s="2737">
        <f>+AE11/AA11*100</f>
        <v>100</v>
      </c>
      <c r="AM11" s="2737">
        <f>SUM(AM12:AM16)</f>
        <v>19000</v>
      </c>
      <c r="AN11" s="2737">
        <f>SUM(AN12:AN16)</f>
        <v>18900</v>
      </c>
      <c r="AO11" s="2737">
        <f t="shared" ref="AO11:AP11" si="41">SUM(AO12:AO16)</f>
        <v>21203</v>
      </c>
      <c r="AP11" s="2737">
        <f t="shared" si="41"/>
        <v>21139</v>
      </c>
      <c r="AQ11" s="2737">
        <f>SUM(AQ12:AQ16)</f>
        <v>27500</v>
      </c>
      <c r="AR11" s="2737">
        <f t="shared" ref="AR11:AT11" si="42">SUM(AR12:AR16)</f>
        <v>27400</v>
      </c>
      <c r="AS11" s="2737">
        <f t="shared" si="42"/>
        <v>30000</v>
      </c>
      <c r="AT11" s="2737">
        <f t="shared" si="42"/>
        <v>29900</v>
      </c>
      <c r="AU11" s="2737">
        <f t="shared" ref="AU11:AU16" si="43">+AS11-AQ11</f>
        <v>2500</v>
      </c>
      <c r="AV11" s="2737">
        <f>+AS11/AQ11*100</f>
        <v>109.09090909090908</v>
      </c>
      <c r="AW11" s="2737">
        <f t="shared" ref="AW11:AW16" si="44">+AQ11-AM11</f>
        <v>8500</v>
      </c>
      <c r="AX11" s="2737">
        <f>+AQ11/AM11*100</f>
        <v>144.73684210526315</v>
      </c>
      <c r="AY11" s="2737">
        <f>SUM(AY12:AY16)</f>
        <v>35000</v>
      </c>
      <c r="AZ11" s="2737">
        <f>SUM(AZ12:AZ16)</f>
        <v>34500</v>
      </c>
      <c r="BA11" s="2737">
        <f t="shared" ref="BA11:BB11" si="45">SUM(BA12:BA16)</f>
        <v>27915</v>
      </c>
      <c r="BB11" s="2737">
        <f t="shared" si="45"/>
        <v>27433</v>
      </c>
      <c r="BC11" s="2737">
        <f>SUM(BC12:BC16)</f>
        <v>33000</v>
      </c>
      <c r="BD11" s="2737">
        <f t="shared" ref="BD11:BF11" si="46">SUM(BD12:BD16)</f>
        <v>32340</v>
      </c>
      <c r="BE11" s="2737">
        <f t="shared" si="46"/>
        <v>37000</v>
      </c>
      <c r="BF11" s="2737">
        <f t="shared" si="46"/>
        <v>36300</v>
      </c>
      <c r="BG11" s="2737">
        <f t="shared" ref="BG11:BG16" si="47">+BE11-BC11</f>
        <v>4000</v>
      </c>
      <c r="BH11" s="2737">
        <f>+BE11/BC11*100</f>
        <v>112.12121212121211</v>
      </c>
      <c r="BI11" s="2737">
        <f t="shared" ref="BI11:BI16" si="48">+BC11-AY11</f>
        <v>-2000</v>
      </c>
      <c r="BJ11" s="2737">
        <f>+BC11/AY11*100</f>
        <v>94.285714285714278</v>
      </c>
      <c r="BK11" s="2737">
        <f>SUM(BK12:BK16)</f>
        <v>46000</v>
      </c>
      <c r="BL11" s="2737">
        <f>SUM(BL12:BL16)</f>
        <v>45650</v>
      </c>
      <c r="BM11" s="2737">
        <f t="shared" ref="BM11:BR11" si="49">SUM(BM12:BM16)</f>
        <v>94200</v>
      </c>
      <c r="BN11" s="2737">
        <f t="shared" si="49"/>
        <v>93922</v>
      </c>
      <c r="BO11" s="2737">
        <f>SUM(BO12:BO16)</f>
        <v>103500</v>
      </c>
      <c r="BP11" s="2737">
        <f t="shared" si="49"/>
        <v>103120</v>
      </c>
      <c r="BQ11" s="2737">
        <f t="shared" si="49"/>
        <v>104000</v>
      </c>
      <c r="BR11" s="2737">
        <f t="shared" si="49"/>
        <v>103600</v>
      </c>
      <c r="BS11" s="2737">
        <f t="shared" ref="BS11:BS22" si="50">+BQ11-BO11</f>
        <v>500</v>
      </c>
      <c r="BT11" s="2737">
        <f>+BQ11/BO11*100</f>
        <v>100.48309178743962</v>
      </c>
      <c r="BU11" s="2737">
        <f t="shared" ref="BU11:BU22" si="51">+BO11-BK11</f>
        <v>57500</v>
      </c>
      <c r="BV11" s="2737">
        <f>+BO11/BK11*100</f>
        <v>225</v>
      </c>
      <c r="BW11" s="2737">
        <f>SUM(BW12:BW16)</f>
        <v>600000</v>
      </c>
      <c r="BX11" s="2737">
        <f>SUM(BX12:BX16)</f>
        <v>516000</v>
      </c>
      <c r="BY11" s="2738">
        <f t="shared" ref="BY11:BZ11" si="52">SUM(BY12:BY16)</f>
        <v>502285</v>
      </c>
      <c r="BZ11" s="2738">
        <f t="shared" si="52"/>
        <v>468065</v>
      </c>
      <c r="CA11" s="2790">
        <f>SUM(CA12:CA16)</f>
        <v>679400</v>
      </c>
      <c r="CB11" s="2790">
        <f t="shared" ref="CB11:CD11" si="53">SUM(CB12:CB16)</f>
        <v>625400</v>
      </c>
      <c r="CC11" s="2737">
        <f t="shared" si="53"/>
        <v>763000</v>
      </c>
      <c r="CD11" s="2737">
        <f t="shared" si="53"/>
        <v>701200</v>
      </c>
      <c r="CE11" s="2737">
        <f t="shared" ref="CE11:CE16" si="54">+CC11-CA11</f>
        <v>83600</v>
      </c>
      <c r="CF11" s="2737">
        <f>+CC11/CA11*100</f>
        <v>112.30497497792169</v>
      </c>
      <c r="CG11" s="2809">
        <f t="shared" ref="CG11:CG16" si="55">+CA11-BW11</f>
        <v>79400</v>
      </c>
      <c r="CH11" s="2737">
        <f>+CA11/BW11*100</f>
        <v>113.23333333333335</v>
      </c>
      <c r="CI11" s="2737">
        <f>SUM(CI12:CI16)</f>
        <v>60000</v>
      </c>
      <c r="CJ11" s="2737">
        <f>SUM(CJ12:CJ16)</f>
        <v>59810</v>
      </c>
      <c r="CK11" s="2737">
        <f t="shared" ref="CK11:CP11" si="56">SUM(CK12:CK16)</f>
        <v>59985</v>
      </c>
      <c r="CL11" s="2737">
        <f t="shared" si="56"/>
        <v>59557</v>
      </c>
      <c r="CM11" s="2790">
        <f>SUM(CM12:CM16)</f>
        <v>82000</v>
      </c>
      <c r="CN11" s="2790">
        <f t="shared" si="56"/>
        <v>81450</v>
      </c>
      <c r="CO11" s="2737">
        <f t="shared" si="56"/>
        <v>96000</v>
      </c>
      <c r="CP11" s="2737">
        <f t="shared" si="56"/>
        <v>95390</v>
      </c>
      <c r="CQ11" s="2737">
        <f t="shared" ref="CQ11:CQ16" si="57">+CO11-CM11</f>
        <v>14000</v>
      </c>
      <c r="CR11" s="2737">
        <f>+CO11/CM11*100</f>
        <v>117.07317073170731</v>
      </c>
      <c r="CS11" s="2737">
        <f t="shared" ref="CS11:CS16" si="58">+CM11-CI11</f>
        <v>22000</v>
      </c>
      <c r="CT11" s="2737">
        <f>+CM11/CI11*100</f>
        <v>136.66666666666666</v>
      </c>
      <c r="CU11" s="2737">
        <f>SUM(CU12:CU16)</f>
        <v>59000</v>
      </c>
      <c r="CV11" s="2737">
        <f>SUM(CV12:CV16)</f>
        <v>58760</v>
      </c>
      <c r="CW11" s="2737">
        <f t="shared" ref="CW11:CX11" si="59">SUM(CW12:CW16)</f>
        <v>49022</v>
      </c>
      <c r="CX11" s="2737">
        <f t="shared" si="59"/>
        <v>48744</v>
      </c>
      <c r="CY11" s="2790">
        <f>SUM(CY12:CY16)</f>
        <v>70000</v>
      </c>
      <c r="CZ11" s="2790">
        <f t="shared" ref="CZ11:DB11" si="60">SUM(CZ12:CZ16)</f>
        <v>69560</v>
      </c>
      <c r="DA11" s="2737">
        <f t="shared" si="60"/>
        <v>78000</v>
      </c>
      <c r="DB11" s="2737">
        <f t="shared" si="60"/>
        <v>77550</v>
      </c>
      <c r="DC11" s="2737">
        <f t="shared" ref="DC11:DC16" si="61">+DA11-CY11</f>
        <v>8000</v>
      </c>
      <c r="DD11" s="2737">
        <f>+DA11/CY11*100</f>
        <v>111.42857142857143</v>
      </c>
      <c r="DE11" s="2737">
        <f t="shared" ref="DE11:DE16" si="62">+CY11-CU11</f>
        <v>11000</v>
      </c>
      <c r="DF11" s="2737">
        <f>+CY11/CU11*100</f>
        <v>118.64406779661016</v>
      </c>
      <c r="DG11" s="2737">
        <f>SUM(DG12:DG16)</f>
        <v>82500</v>
      </c>
      <c r="DH11" s="2737">
        <f>SUM(DH12:DH16)</f>
        <v>81800</v>
      </c>
      <c r="DI11" s="2737">
        <f t="shared" ref="DI11:DJ11" si="63">SUM(DI12:DI16)</f>
        <v>110154</v>
      </c>
      <c r="DJ11" s="2737">
        <f t="shared" si="63"/>
        <v>109784</v>
      </c>
      <c r="DK11" s="2737">
        <f>SUM(DK12:DK16)</f>
        <v>125300</v>
      </c>
      <c r="DL11" s="2737">
        <f t="shared" ref="DL11:DN11" si="64">SUM(DL12:DL16)</f>
        <v>124600</v>
      </c>
      <c r="DM11" s="2737">
        <f t="shared" si="64"/>
        <v>138300</v>
      </c>
      <c r="DN11" s="2737">
        <f t="shared" si="64"/>
        <v>137600</v>
      </c>
      <c r="DO11" s="2737">
        <f t="shared" ref="DO11:DO16" si="65">+DM11-DK11</f>
        <v>13000</v>
      </c>
      <c r="DP11" s="2737">
        <f>+DM11/DK11*100</f>
        <v>110.37509976057463</v>
      </c>
      <c r="DQ11" s="2737">
        <f t="shared" ref="DQ11:DQ16" si="66">+DK11-DG11</f>
        <v>42800</v>
      </c>
      <c r="DR11" s="2737">
        <f>+DK11/DG11*100</f>
        <v>151.87878787878788</v>
      </c>
      <c r="DS11" s="2737">
        <f>SUM(DS12:DS16)</f>
        <v>50000</v>
      </c>
      <c r="DT11" s="2737">
        <f>SUM(DT12:DT16)</f>
        <v>49400</v>
      </c>
      <c r="DU11" s="2738">
        <f t="shared" ref="DU11:DV11" si="67">SUM(DU12:DU16)</f>
        <v>30048</v>
      </c>
      <c r="DV11" s="2738">
        <f t="shared" si="67"/>
        <v>29039</v>
      </c>
      <c r="DW11" s="2790">
        <f>SUM(DW12:DW16)</f>
        <v>45000</v>
      </c>
      <c r="DX11" s="2790">
        <f t="shared" ref="DX11:DZ11" si="68">SUM(DX12:DX16)</f>
        <v>43700</v>
      </c>
      <c r="DY11" s="2790">
        <f t="shared" si="68"/>
        <v>48800</v>
      </c>
      <c r="DZ11" s="2790">
        <f t="shared" si="68"/>
        <v>47200</v>
      </c>
      <c r="EA11" s="2737">
        <f t="shared" ref="EA11:EA16" si="69">+DY11-DW11</f>
        <v>3800</v>
      </c>
      <c r="EB11" s="2737">
        <f>+DY11/DW11*100</f>
        <v>108.44444444444446</v>
      </c>
      <c r="EC11" s="2737">
        <f t="shared" ref="EC11:EC16" si="70">+DW11-DS11</f>
        <v>-5000</v>
      </c>
      <c r="ED11" s="2737">
        <f>+DW11/DS11*100</f>
        <v>90</v>
      </c>
      <c r="EE11" s="2737">
        <f>SUM(EE12:EE16)</f>
        <v>171000</v>
      </c>
      <c r="EF11" s="2737">
        <f>SUM(EF12:EF16)</f>
        <v>170400</v>
      </c>
      <c r="EG11" s="2738">
        <f t="shared" ref="EG11:EH11" si="71">SUM(EG12:EG16)</f>
        <v>164392</v>
      </c>
      <c r="EH11" s="2738">
        <f t="shared" si="71"/>
        <v>163763</v>
      </c>
      <c r="EI11" s="2737">
        <f>SUM(EI12:EI16)</f>
        <v>226000</v>
      </c>
      <c r="EJ11" s="2737">
        <f t="shared" ref="EJ11:EL11" si="72">SUM(EJ12:EJ16)</f>
        <v>224700</v>
      </c>
      <c r="EK11" s="2790">
        <f t="shared" si="72"/>
        <v>252200</v>
      </c>
      <c r="EL11" s="2790">
        <f t="shared" si="72"/>
        <v>251200</v>
      </c>
      <c r="EM11" s="2737">
        <f t="shared" ref="EM11:EM16" si="73">+EK11-EI11</f>
        <v>26200</v>
      </c>
      <c r="EN11" s="2737">
        <f>+EK11/EI11*100</f>
        <v>111.59292035398229</v>
      </c>
      <c r="EO11" s="2737">
        <f t="shared" ref="EO11:EO16" si="74">+EI11-EE11</f>
        <v>55000</v>
      </c>
      <c r="EP11" s="2737">
        <f>+EI11/EE11*100</f>
        <v>132.16374269005848</v>
      </c>
      <c r="EQ11" s="2737">
        <f>SUM(EQ12:EQ16)</f>
        <v>67000</v>
      </c>
      <c r="ER11" s="2737">
        <f>SUM(ER12:ER16)</f>
        <v>66830</v>
      </c>
      <c r="ES11" s="2738">
        <f t="shared" ref="ES11:ET11" si="75">SUM(ES12:ES16)</f>
        <v>39464</v>
      </c>
      <c r="ET11" s="2738">
        <f t="shared" si="75"/>
        <v>39339</v>
      </c>
      <c r="EU11" s="2737">
        <f>SUM(EU12:EU16)</f>
        <v>71350</v>
      </c>
      <c r="EV11" s="2737">
        <f t="shared" ref="EV11:EX11" si="76">SUM(EV12:EV16)</f>
        <v>70760</v>
      </c>
      <c r="EW11" s="2737">
        <f t="shared" si="76"/>
        <v>80200</v>
      </c>
      <c r="EX11" s="2737">
        <f t="shared" si="76"/>
        <v>79960</v>
      </c>
      <c r="EY11" s="2737">
        <f t="shared" ref="EY11:EY16" si="77">+EW11-EU11</f>
        <v>8850</v>
      </c>
      <c r="EZ11" s="2737">
        <f>+EW11/EU11*100</f>
        <v>112.40364400840926</v>
      </c>
      <c r="FA11" s="2737">
        <f t="shared" ref="FA11:FA16" si="78">+EU11-EQ11</f>
        <v>4350</v>
      </c>
      <c r="FB11" s="2737">
        <f>+EU11/EQ11*100</f>
        <v>106.49253731343285</v>
      </c>
      <c r="FC11" s="2739">
        <f t="shared" si="14"/>
        <v>0.90376600790513839</v>
      </c>
      <c r="FD11" s="2739">
        <f t="shared" si="14"/>
        <v>0.9388929983420482</v>
      </c>
      <c r="FE11" s="2740">
        <f t="shared" si="15"/>
        <v>-121736</v>
      </c>
      <c r="FF11" s="2740">
        <f t="shared" si="15"/>
        <v>-71871</v>
      </c>
    </row>
    <row r="12" spans="1:162" s="154" customFormat="1" ht="25.2" customHeight="1">
      <c r="A12" s="2155" t="s">
        <v>137</v>
      </c>
      <c r="B12" s="137" t="s">
        <v>11</v>
      </c>
      <c r="C12" s="13">
        <f t="shared" ref="C12:J37" si="79">SUM(O12,AA12,AM12,AY12,BK12,BW12,CI12,CU12,DG12,DS12,EE12,EQ12)</f>
        <v>651170</v>
      </c>
      <c r="D12" s="13">
        <f t="shared" si="79"/>
        <v>651170</v>
      </c>
      <c r="E12" s="13">
        <f t="shared" si="79"/>
        <v>406980</v>
      </c>
      <c r="F12" s="13">
        <f t="shared" si="79"/>
        <v>406980</v>
      </c>
      <c r="G12" s="13">
        <f>SUM(S12,AE12,AQ12,BC12,BO12,CA12,CM12,CY12,DK12,DW12,EI12,EU12)</f>
        <v>629455</v>
      </c>
      <c r="H12" s="13">
        <f t="shared" ref="H12:J37" si="80">SUM(T12,AF12,AR12,BD12,BP12,CB12,CN12,CZ12,DL12,DX12,EJ12,EV12)</f>
        <v>629455</v>
      </c>
      <c r="I12" s="13">
        <f>SUM(U12,AG12,AS12,BE12,BQ12,CC12,CO12,DA12,DM12,DY12,EK12,EW12)</f>
        <v>724290</v>
      </c>
      <c r="J12" s="13">
        <f t="shared" si="80"/>
        <v>724290</v>
      </c>
      <c r="K12" s="13">
        <f t="shared" si="30"/>
        <v>94835</v>
      </c>
      <c r="L12" s="13">
        <f>+I12/G12*100</f>
        <v>115.06620806888499</v>
      </c>
      <c r="M12" s="13">
        <f t="shared" si="32"/>
        <v>-21715</v>
      </c>
      <c r="N12" s="13">
        <f t="shared" si="1"/>
        <v>96.665233349202211</v>
      </c>
      <c r="O12" s="13">
        <v>20400</v>
      </c>
      <c r="P12" s="13">
        <f>O12</f>
        <v>20400</v>
      </c>
      <c r="Q12" s="13">
        <f>8304</f>
        <v>8304</v>
      </c>
      <c r="R12" s="53">
        <f>Q12</f>
        <v>8304</v>
      </c>
      <c r="S12" s="30">
        <v>13000</v>
      </c>
      <c r="T12" s="30">
        <f>+S12</f>
        <v>13000</v>
      </c>
      <c r="U12" s="13">
        <v>14100</v>
      </c>
      <c r="V12" s="13">
        <f>U12</f>
        <v>14100</v>
      </c>
      <c r="W12" s="13">
        <f t="shared" si="35"/>
        <v>1100</v>
      </c>
      <c r="X12" s="13">
        <f>+U12/S12*100</f>
        <v>108.46153846153845</v>
      </c>
      <c r="Y12" s="13">
        <f t="shared" si="36"/>
        <v>-7400</v>
      </c>
      <c r="Z12" s="13">
        <f>+S12/O12*100</f>
        <v>63.725490196078425</v>
      </c>
      <c r="AA12" s="13">
        <v>23500</v>
      </c>
      <c r="AB12" s="13">
        <f>AA12</f>
        <v>23500</v>
      </c>
      <c r="AC12" s="13">
        <v>28462</v>
      </c>
      <c r="AD12" s="13">
        <f>AC12</f>
        <v>28462</v>
      </c>
      <c r="AE12" s="30">
        <v>42185</v>
      </c>
      <c r="AF12" s="30">
        <f>+AE12</f>
        <v>42185</v>
      </c>
      <c r="AG12" s="30">
        <f>46500-1000</f>
        <v>45500</v>
      </c>
      <c r="AH12" s="13">
        <f>AG12</f>
        <v>45500</v>
      </c>
      <c r="AI12" s="13">
        <f t="shared" si="39"/>
        <v>3315</v>
      </c>
      <c r="AJ12" s="13">
        <f>+AG12/AE12*100</f>
        <v>107.85824345146379</v>
      </c>
      <c r="AK12" s="13">
        <f>+AE12-AA12</f>
        <v>18685</v>
      </c>
      <c r="AL12" s="13">
        <f>+AE12/AA12*100</f>
        <v>179.51063829787236</v>
      </c>
      <c r="AM12" s="13">
        <v>17900</v>
      </c>
      <c r="AN12" s="13">
        <f>AM12</f>
        <v>17900</v>
      </c>
      <c r="AO12" s="13">
        <v>19868</v>
      </c>
      <c r="AP12" s="13">
        <f>AO12</f>
        <v>19868</v>
      </c>
      <c r="AQ12" s="13">
        <v>26400</v>
      </c>
      <c r="AR12" s="13">
        <f>+AQ12</f>
        <v>26400</v>
      </c>
      <c r="AS12" s="13">
        <v>28900</v>
      </c>
      <c r="AT12" s="13">
        <f>AS12</f>
        <v>28900</v>
      </c>
      <c r="AU12" s="13">
        <f t="shared" si="43"/>
        <v>2500</v>
      </c>
      <c r="AV12" s="13">
        <f>+AS12/AQ12*100</f>
        <v>109.46969696969697</v>
      </c>
      <c r="AW12" s="13">
        <f t="shared" si="44"/>
        <v>8500</v>
      </c>
      <c r="AX12" s="13">
        <f>+AQ12/AM12*100</f>
        <v>147.48603351955308</v>
      </c>
      <c r="AY12" s="13">
        <v>30000</v>
      </c>
      <c r="AZ12" s="13">
        <f>AY12</f>
        <v>30000</v>
      </c>
      <c r="BA12" s="13">
        <v>21094</v>
      </c>
      <c r="BB12" s="13">
        <f>BA12</f>
        <v>21094</v>
      </c>
      <c r="BC12" s="13">
        <v>25540</v>
      </c>
      <c r="BD12" s="13">
        <f>+BC12</f>
        <v>25540</v>
      </c>
      <c r="BE12" s="13">
        <v>29300</v>
      </c>
      <c r="BF12" s="13">
        <f>BE12</f>
        <v>29300</v>
      </c>
      <c r="BG12" s="13">
        <f t="shared" si="47"/>
        <v>3760</v>
      </c>
      <c r="BH12" s="13">
        <f>+BE12/BC12*100</f>
        <v>114.72200469851215</v>
      </c>
      <c r="BI12" s="13">
        <f t="shared" si="48"/>
        <v>-4460</v>
      </c>
      <c r="BJ12" s="13">
        <f>+BC12/AY12*100</f>
        <v>85.13333333333334</v>
      </c>
      <c r="BK12" s="13">
        <v>16120</v>
      </c>
      <c r="BL12" s="13">
        <f>BK12</f>
        <v>16120</v>
      </c>
      <c r="BM12" s="13">
        <f>11602</f>
        <v>11602</v>
      </c>
      <c r="BN12" s="13">
        <f>BM12</f>
        <v>11602</v>
      </c>
      <c r="BO12" s="13">
        <v>17720</v>
      </c>
      <c r="BP12" s="13">
        <f>+BO12</f>
        <v>17720</v>
      </c>
      <c r="BQ12" s="13">
        <v>20100</v>
      </c>
      <c r="BR12" s="13">
        <f>BQ12</f>
        <v>20100</v>
      </c>
      <c r="BS12" s="13">
        <f t="shared" si="50"/>
        <v>2380</v>
      </c>
      <c r="BT12" s="13">
        <f>+BQ12/BO12*100</f>
        <v>113.43115124153498</v>
      </c>
      <c r="BU12" s="13">
        <f t="shared" si="51"/>
        <v>1600</v>
      </c>
      <c r="BV12" s="13">
        <f>+BO12/BK12*100</f>
        <v>109.92555831265508</v>
      </c>
      <c r="BW12" s="13">
        <v>250000</v>
      </c>
      <c r="BX12" s="13">
        <f>BW12</f>
        <v>250000</v>
      </c>
      <c r="BY12" s="53">
        <f>137249</f>
        <v>137249</v>
      </c>
      <c r="BZ12" s="53">
        <f>BY12</f>
        <v>137249</v>
      </c>
      <c r="CA12" s="30">
        <v>221000</v>
      </c>
      <c r="CB12" s="30">
        <f>+CA12</f>
        <v>221000</v>
      </c>
      <c r="CC12" s="13">
        <v>261600</v>
      </c>
      <c r="CD12" s="13">
        <f>CC12</f>
        <v>261600</v>
      </c>
      <c r="CE12" s="13">
        <f t="shared" si="54"/>
        <v>40600</v>
      </c>
      <c r="CF12" s="13">
        <f>+CC12/CA12*100</f>
        <v>118.37104072398191</v>
      </c>
      <c r="CG12" s="11">
        <f t="shared" si="55"/>
        <v>-29000</v>
      </c>
      <c r="CH12" s="13">
        <f>+CA12/BW12*100</f>
        <v>88.4</v>
      </c>
      <c r="CI12" s="13">
        <v>40110</v>
      </c>
      <c r="CJ12" s="13">
        <f>CI12</f>
        <v>40110</v>
      </c>
      <c r="CK12" s="53">
        <v>24640</v>
      </c>
      <c r="CL12" s="53">
        <f>CK12</f>
        <v>24640</v>
      </c>
      <c r="CM12" s="30">
        <f>32000+4450</f>
        <v>36450</v>
      </c>
      <c r="CN12" s="30">
        <f>+CM12</f>
        <v>36450</v>
      </c>
      <c r="CO12" s="13">
        <f>41450+4940-1000</f>
        <v>45390</v>
      </c>
      <c r="CP12" s="13">
        <f>CO12</f>
        <v>45390</v>
      </c>
      <c r="CQ12" s="13">
        <f t="shared" si="57"/>
        <v>8940</v>
      </c>
      <c r="CR12" s="13">
        <f>+CO12/CM12*100</f>
        <v>124.52674897119343</v>
      </c>
      <c r="CS12" s="13">
        <f t="shared" si="58"/>
        <v>-3660</v>
      </c>
      <c r="CT12" s="13">
        <f>+CM12/CI12*100</f>
        <v>90.87509349289455</v>
      </c>
      <c r="CU12" s="13">
        <v>49960</v>
      </c>
      <c r="CV12" s="13">
        <f>CU12</f>
        <v>49960</v>
      </c>
      <c r="CW12" s="53">
        <f>40899</f>
        <v>40899</v>
      </c>
      <c r="CX12" s="53">
        <f>CW12</f>
        <v>40899</v>
      </c>
      <c r="CY12" s="30">
        <f>41000+16660</f>
        <v>57660</v>
      </c>
      <c r="CZ12" s="30">
        <f>+CY12</f>
        <v>57660</v>
      </c>
      <c r="DA12" s="13">
        <f>44600+19300</f>
        <v>63900</v>
      </c>
      <c r="DB12" s="13">
        <f>DA12</f>
        <v>63900</v>
      </c>
      <c r="DC12" s="13">
        <f t="shared" si="61"/>
        <v>6240</v>
      </c>
      <c r="DD12" s="13">
        <f>+DA12/CY12*100</f>
        <v>110.82206035379814</v>
      </c>
      <c r="DE12" s="13">
        <f t="shared" si="62"/>
        <v>7700</v>
      </c>
      <c r="DF12" s="13">
        <f>+CY12/CU12*100</f>
        <v>115.41232986389112</v>
      </c>
      <c r="DG12" s="13">
        <v>31800</v>
      </c>
      <c r="DH12" s="13">
        <f>DG12</f>
        <v>31800</v>
      </c>
      <c r="DI12" s="53">
        <v>20803</v>
      </c>
      <c r="DJ12" s="53">
        <f>DI12</f>
        <v>20803</v>
      </c>
      <c r="DK12" s="53">
        <v>29600</v>
      </c>
      <c r="DL12" s="53">
        <f>+DK12</f>
        <v>29600</v>
      </c>
      <c r="DM12" s="53">
        <v>38600</v>
      </c>
      <c r="DN12" s="53">
        <f>DM12</f>
        <v>38600</v>
      </c>
      <c r="DO12" s="13">
        <f t="shared" si="65"/>
        <v>9000</v>
      </c>
      <c r="DP12" s="13">
        <f>+DM12/DK12*100</f>
        <v>130.40540540540539</v>
      </c>
      <c r="DQ12" s="13">
        <f t="shared" si="66"/>
        <v>-2200</v>
      </c>
      <c r="DR12" s="13">
        <f>+DK12/DG12*100</f>
        <v>93.081761006289312</v>
      </c>
      <c r="DS12" s="13">
        <v>24400</v>
      </c>
      <c r="DT12" s="13">
        <f>DS12</f>
        <v>24400</v>
      </c>
      <c r="DU12" s="53">
        <v>19183</v>
      </c>
      <c r="DV12" s="53">
        <f>DU12</f>
        <v>19183</v>
      </c>
      <c r="DW12" s="30">
        <v>29300</v>
      </c>
      <c r="DX12" s="30">
        <f>+DW12</f>
        <v>29300</v>
      </c>
      <c r="DY12" s="30">
        <v>30900</v>
      </c>
      <c r="DZ12" s="30">
        <f>DY12</f>
        <v>30900</v>
      </c>
      <c r="EA12" s="13">
        <f t="shared" si="69"/>
        <v>1600</v>
      </c>
      <c r="EB12" s="13">
        <f>+DY12/DW12*100</f>
        <v>105.46075085324232</v>
      </c>
      <c r="EC12" s="13">
        <f t="shared" si="70"/>
        <v>4900</v>
      </c>
      <c r="ED12" s="13">
        <f>+DW12/DS12*100</f>
        <v>120.08196721311475</v>
      </c>
      <c r="EE12" s="13">
        <v>92300</v>
      </c>
      <c r="EF12" s="13">
        <f>EE12</f>
        <v>92300</v>
      </c>
      <c r="EG12" s="53">
        <v>54824</v>
      </c>
      <c r="EH12" s="53">
        <f>EG12</f>
        <v>54824</v>
      </c>
      <c r="EI12" s="13">
        <v>89300</v>
      </c>
      <c r="EJ12" s="13">
        <f>+EI12</f>
        <v>89300</v>
      </c>
      <c r="EK12" s="30">
        <v>100000</v>
      </c>
      <c r="EL12" s="30">
        <f>EK12</f>
        <v>100000</v>
      </c>
      <c r="EM12" s="13">
        <f t="shared" si="73"/>
        <v>10700</v>
      </c>
      <c r="EN12" s="13">
        <f>+EK12/EI12*100</f>
        <v>111.98208286674132</v>
      </c>
      <c r="EO12" s="13">
        <f t="shared" si="74"/>
        <v>-3000</v>
      </c>
      <c r="EP12" s="13">
        <f>+EI12/EE12*100</f>
        <v>96.74972914409534</v>
      </c>
      <c r="EQ12" s="13">
        <v>54680</v>
      </c>
      <c r="ER12" s="13">
        <f>EQ12</f>
        <v>54680</v>
      </c>
      <c r="ES12" s="53">
        <v>20052</v>
      </c>
      <c r="ET12" s="53">
        <f>ES12</f>
        <v>20052</v>
      </c>
      <c r="EU12" s="53">
        <v>41300</v>
      </c>
      <c r="EV12" s="53">
        <f>+EU12</f>
        <v>41300</v>
      </c>
      <c r="EW12" s="13">
        <f>48000+3000-5000</f>
        <v>46000</v>
      </c>
      <c r="EX12" s="13">
        <f>EW12</f>
        <v>46000</v>
      </c>
      <c r="EY12" s="13">
        <f t="shared" si="77"/>
        <v>4700</v>
      </c>
      <c r="EZ12" s="13">
        <f>+EW12/EU12*100</f>
        <v>111.38014527845037</v>
      </c>
      <c r="FA12" s="13">
        <f t="shared" si="78"/>
        <v>-13380</v>
      </c>
      <c r="FB12" s="13">
        <f>+EU12/EQ12*100</f>
        <v>75.53035844915874</v>
      </c>
      <c r="FC12" s="2741"/>
      <c r="FD12" s="2741"/>
      <c r="FE12" s="2495"/>
      <c r="FF12" s="2495"/>
    </row>
    <row r="13" spans="1:162" s="154" customFormat="1" ht="25.2" customHeight="1">
      <c r="A13" s="2155" t="s">
        <v>137</v>
      </c>
      <c r="B13" s="137" t="s">
        <v>12</v>
      </c>
      <c r="C13" s="13">
        <f t="shared" si="79"/>
        <v>524980</v>
      </c>
      <c r="D13" s="13">
        <f t="shared" si="79"/>
        <v>524980</v>
      </c>
      <c r="E13" s="13">
        <f t="shared" si="79"/>
        <v>697299</v>
      </c>
      <c r="F13" s="13">
        <f t="shared" si="79"/>
        <v>697299</v>
      </c>
      <c r="G13" s="13">
        <f t="shared" si="79"/>
        <v>838260</v>
      </c>
      <c r="H13" s="13">
        <f t="shared" si="80"/>
        <v>838260</v>
      </c>
      <c r="I13" s="13">
        <f>SUM(U13,AG13,AS13,BE13,BQ13,CC13,CO13,DA13,DM13,DY13,EK13,EW13)</f>
        <v>905790</v>
      </c>
      <c r="J13" s="13">
        <f t="shared" si="80"/>
        <v>905790</v>
      </c>
      <c r="K13" s="13">
        <f>+I13-G13</f>
        <v>67530</v>
      </c>
      <c r="L13" s="13">
        <f t="shared" si="31"/>
        <v>108.05597308710901</v>
      </c>
      <c r="M13" s="13">
        <f t="shared" si="32"/>
        <v>313280</v>
      </c>
      <c r="N13" s="13">
        <f t="shared" si="1"/>
        <v>159.67465427254373</v>
      </c>
      <c r="O13" s="13">
        <v>4300</v>
      </c>
      <c r="P13" s="13">
        <f>O13</f>
        <v>4300</v>
      </c>
      <c r="Q13" s="13">
        <v>2775</v>
      </c>
      <c r="R13" s="13">
        <f>Q13</f>
        <v>2775</v>
      </c>
      <c r="S13" s="59">
        <f>5000-1000</f>
        <v>4000</v>
      </c>
      <c r="T13" s="30">
        <f>+S13</f>
        <v>4000</v>
      </c>
      <c r="U13" s="13">
        <f>5400-1000</f>
        <v>4400</v>
      </c>
      <c r="V13" s="13">
        <f>U13</f>
        <v>4400</v>
      </c>
      <c r="W13" s="13">
        <f t="shared" si="35"/>
        <v>400</v>
      </c>
      <c r="X13" s="13">
        <f>+U13/S13*100</f>
        <v>110.00000000000001</v>
      </c>
      <c r="Y13" s="13">
        <f t="shared" si="36"/>
        <v>-300</v>
      </c>
      <c r="Z13" s="13">
        <f>+S13/O13*100</f>
        <v>93.023255813953483</v>
      </c>
      <c r="AA13" s="13">
        <v>25900</v>
      </c>
      <c r="AB13" s="13">
        <f>AA13</f>
        <v>25900</v>
      </c>
      <c r="AC13" s="13">
        <v>3953</v>
      </c>
      <c r="AD13" s="13">
        <f>AC13</f>
        <v>3953</v>
      </c>
      <c r="AE13" s="30">
        <v>5800</v>
      </c>
      <c r="AF13" s="30">
        <f>+AE13</f>
        <v>5800</v>
      </c>
      <c r="AG13" s="30">
        <v>6180</v>
      </c>
      <c r="AH13" s="13">
        <f>AG13</f>
        <v>6180</v>
      </c>
      <c r="AI13" s="13">
        <f t="shared" si="39"/>
        <v>380</v>
      </c>
      <c r="AJ13" s="13">
        <f>+AG13/AE13*100</f>
        <v>106.55172413793103</v>
      </c>
      <c r="AK13" s="13">
        <f t="shared" si="40"/>
        <v>-20100</v>
      </c>
      <c r="AL13" s="13">
        <f>+AE13/AA13*100</f>
        <v>22.393822393822393</v>
      </c>
      <c r="AM13" s="13">
        <v>1000</v>
      </c>
      <c r="AN13" s="13">
        <f>AM13</f>
        <v>1000</v>
      </c>
      <c r="AO13" s="13">
        <v>1271</v>
      </c>
      <c r="AP13" s="13">
        <f>AO13</f>
        <v>1271</v>
      </c>
      <c r="AQ13" s="13">
        <v>1000</v>
      </c>
      <c r="AR13" s="13">
        <f>+AQ13</f>
        <v>1000</v>
      </c>
      <c r="AS13" s="13">
        <v>1000</v>
      </c>
      <c r="AT13" s="13">
        <f>AS13</f>
        <v>1000</v>
      </c>
      <c r="AU13" s="13">
        <f t="shared" si="43"/>
        <v>0</v>
      </c>
      <c r="AV13" s="13">
        <f>+AS13/AQ13*100</f>
        <v>100</v>
      </c>
      <c r="AW13" s="13">
        <f t="shared" si="44"/>
        <v>0</v>
      </c>
      <c r="AX13" s="13">
        <f>+AQ13/AM13*100</f>
        <v>100</v>
      </c>
      <c r="AY13" s="13">
        <v>4500</v>
      </c>
      <c r="AZ13" s="13">
        <f>AY13</f>
        <v>4500</v>
      </c>
      <c r="BA13" s="13">
        <v>6339</v>
      </c>
      <c r="BB13" s="13">
        <f>BA13</f>
        <v>6339</v>
      </c>
      <c r="BC13" s="13">
        <v>6500</v>
      </c>
      <c r="BD13" s="13">
        <f>+BC13</f>
        <v>6500</v>
      </c>
      <c r="BE13" s="13">
        <v>7000</v>
      </c>
      <c r="BF13" s="13">
        <f>BE13</f>
        <v>7000</v>
      </c>
      <c r="BG13" s="13">
        <f t="shared" si="47"/>
        <v>500</v>
      </c>
      <c r="BH13" s="13">
        <f>+BE13/BC13*100</f>
        <v>107.69230769230769</v>
      </c>
      <c r="BI13" s="13">
        <f t="shared" si="48"/>
        <v>2000</v>
      </c>
      <c r="BJ13" s="13">
        <f>+BC13/AY13*100</f>
        <v>144.44444444444443</v>
      </c>
      <c r="BK13" s="13">
        <v>29530</v>
      </c>
      <c r="BL13" s="13">
        <f>BK13</f>
        <v>29530</v>
      </c>
      <c r="BM13" s="13">
        <v>82320</v>
      </c>
      <c r="BN13" s="13">
        <f>BM13</f>
        <v>82320</v>
      </c>
      <c r="BO13" s="13">
        <f>89400-4000</f>
        <v>85400</v>
      </c>
      <c r="BP13" s="13">
        <f>+BO13</f>
        <v>85400</v>
      </c>
      <c r="BQ13" s="14">
        <f>100500-17000</f>
        <v>83500</v>
      </c>
      <c r="BR13" s="13">
        <f>BQ13</f>
        <v>83500</v>
      </c>
      <c r="BS13" s="13">
        <f t="shared" si="50"/>
        <v>-1900</v>
      </c>
      <c r="BT13" s="13">
        <f>+BQ13/BO13*100</f>
        <v>97.775175644028096</v>
      </c>
      <c r="BU13" s="13">
        <f t="shared" si="51"/>
        <v>55870</v>
      </c>
      <c r="BV13" s="13">
        <f>+BO13/BK13*100</f>
        <v>289.19742634608872</v>
      </c>
      <c r="BW13" s="13">
        <v>266000</v>
      </c>
      <c r="BX13" s="13">
        <f>BW13</f>
        <v>266000</v>
      </c>
      <c r="BY13" s="53">
        <v>330816</v>
      </c>
      <c r="BZ13" s="53">
        <f>BY13</f>
        <v>330816</v>
      </c>
      <c r="CA13" s="59">
        <f>387400+17000</f>
        <v>404400</v>
      </c>
      <c r="CB13" s="30">
        <f>+CA13</f>
        <v>404400</v>
      </c>
      <c r="CC13" s="14">
        <f>422600+17000</f>
        <v>439600</v>
      </c>
      <c r="CD13" s="13">
        <f>CC13</f>
        <v>439600</v>
      </c>
      <c r="CE13" s="13">
        <f t="shared" si="54"/>
        <v>35200</v>
      </c>
      <c r="CF13" s="13">
        <f>+CC13/CA13*100</f>
        <v>108.70425321463897</v>
      </c>
      <c r="CG13" s="11">
        <f t="shared" si="55"/>
        <v>138400</v>
      </c>
      <c r="CH13" s="13">
        <f>+CA13/BW13*100</f>
        <v>152.03007518796991</v>
      </c>
      <c r="CI13" s="13">
        <v>19700</v>
      </c>
      <c r="CJ13" s="13">
        <f>CI13</f>
        <v>19700</v>
      </c>
      <c r="CK13" s="53">
        <v>34917</v>
      </c>
      <c r="CL13" s="53">
        <f>CK13</f>
        <v>34917</v>
      </c>
      <c r="CM13" s="30">
        <f>11500+35500-2000</f>
        <v>45000</v>
      </c>
      <c r="CN13" s="30">
        <f>+CM13</f>
        <v>45000</v>
      </c>
      <c r="CO13" s="13">
        <f>13000+37000</f>
        <v>50000</v>
      </c>
      <c r="CP13" s="13">
        <f>CO13</f>
        <v>50000</v>
      </c>
      <c r="CQ13" s="13">
        <f t="shared" si="57"/>
        <v>5000</v>
      </c>
      <c r="CR13" s="13">
        <f>+CO13/CM13*100</f>
        <v>111.11111111111111</v>
      </c>
      <c r="CS13" s="13">
        <f t="shared" si="58"/>
        <v>25300</v>
      </c>
      <c r="CT13" s="13">
        <f>+CM13/CI13*100</f>
        <v>228.42639593908629</v>
      </c>
      <c r="CU13" s="13">
        <v>8800</v>
      </c>
      <c r="CV13" s="13">
        <f>CU13</f>
        <v>8800</v>
      </c>
      <c r="CW13" s="53">
        <f>7845</f>
        <v>7845</v>
      </c>
      <c r="CX13" s="53">
        <f>CW13</f>
        <v>7845</v>
      </c>
      <c r="CY13" s="30">
        <f>8600+3300</f>
        <v>11900</v>
      </c>
      <c r="CZ13" s="30">
        <f>+CY13</f>
        <v>11900</v>
      </c>
      <c r="DA13" s="13">
        <f>10000+3650</f>
        <v>13650</v>
      </c>
      <c r="DB13" s="13">
        <f>DA13</f>
        <v>13650</v>
      </c>
      <c r="DC13" s="13">
        <f t="shared" si="61"/>
        <v>1750</v>
      </c>
      <c r="DD13" s="13">
        <f>+DA13/CY13*100</f>
        <v>114.70588235294117</v>
      </c>
      <c r="DE13" s="13">
        <f t="shared" si="62"/>
        <v>3100</v>
      </c>
      <c r="DF13" s="13">
        <f>+CY13/CU13*100</f>
        <v>135.22727272727272</v>
      </c>
      <c r="DG13" s="13">
        <v>50000</v>
      </c>
      <c r="DH13" s="13">
        <f>DG13</f>
        <v>50000</v>
      </c>
      <c r="DI13" s="53">
        <v>88981</v>
      </c>
      <c r="DJ13" s="53">
        <f>DI13</f>
        <v>88981</v>
      </c>
      <c r="DK13" s="53">
        <v>95000</v>
      </c>
      <c r="DL13" s="53">
        <f>+DK13</f>
        <v>95000</v>
      </c>
      <c r="DM13" s="53">
        <v>99000</v>
      </c>
      <c r="DN13" s="53">
        <f>DM13</f>
        <v>99000</v>
      </c>
      <c r="DO13" s="13">
        <f t="shared" si="65"/>
        <v>4000</v>
      </c>
      <c r="DP13" s="13">
        <f>+DM13/DK13*100</f>
        <v>104.21052631578947</v>
      </c>
      <c r="DQ13" s="13">
        <f t="shared" si="66"/>
        <v>45000</v>
      </c>
      <c r="DR13" s="13">
        <f>+DK13/DG13*100</f>
        <v>190</v>
      </c>
      <c r="DS13" s="13">
        <v>25000</v>
      </c>
      <c r="DT13" s="13">
        <f>DS13</f>
        <v>25000</v>
      </c>
      <c r="DU13" s="53">
        <v>9856</v>
      </c>
      <c r="DV13" s="53">
        <f>DU13</f>
        <v>9856</v>
      </c>
      <c r="DW13" s="30">
        <v>14400</v>
      </c>
      <c r="DX13" s="30">
        <f>+DW13</f>
        <v>14400</v>
      </c>
      <c r="DY13" s="30">
        <v>16300</v>
      </c>
      <c r="DZ13" s="30">
        <f>DY13</f>
        <v>16300</v>
      </c>
      <c r="EA13" s="13">
        <f t="shared" si="69"/>
        <v>1900</v>
      </c>
      <c r="EB13" s="13">
        <f>+DY13/DW13*100</f>
        <v>113.19444444444444</v>
      </c>
      <c r="EC13" s="13">
        <f t="shared" si="70"/>
        <v>-10600</v>
      </c>
      <c r="ED13" s="13">
        <f>+DW13/DS13*100</f>
        <v>57.599999999999994</v>
      </c>
      <c r="EE13" s="13">
        <v>78100</v>
      </c>
      <c r="EF13" s="13">
        <f>EE13</f>
        <v>78100</v>
      </c>
      <c r="EG13" s="53">
        <v>108939</v>
      </c>
      <c r="EH13" s="53">
        <f>EG13</f>
        <v>108939</v>
      </c>
      <c r="EI13" s="13">
        <f>13000+122400</f>
        <v>135400</v>
      </c>
      <c r="EJ13" s="13">
        <f>+EI13</f>
        <v>135400</v>
      </c>
      <c r="EK13" s="30">
        <v>151200</v>
      </c>
      <c r="EL13" s="30">
        <f>EK13</f>
        <v>151200</v>
      </c>
      <c r="EM13" s="13">
        <f t="shared" si="73"/>
        <v>15800</v>
      </c>
      <c r="EN13" s="13">
        <f>+EK13/EI13*100</f>
        <v>111.66912850812407</v>
      </c>
      <c r="EO13" s="13">
        <f t="shared" si="74"/>
        <v>57300</v>
      </c>
      <c r="EP13" s="13">
        <f>+EI13/EE13*100</f>
        <v>173.36747759282972</v>
      </c>
      <c r="EQ13" s="13">
        <v>12150</v>
      </c>
      <c r="ER13" s="13">
        <f>EQ13</f>
        <v>12150</v>
      </c>
      <c r="ES13" s="53">
        <v>19287</v>
      </c>
      <c r="ET13" s="53">
        <f>ES13</f>
        <v>19287</v>
      </c>
      <c r="EU13" s="53">
        <v>29460</v>
      </c>
      <c r="EV13" s="53">
        <f>+EU13</f>
        <v>29460</v>
      </c>
      <c r="EW13" s="13">
        <f>10000+20960+3000</f>
        <v>33960</v>
      </c>
      <c r="EX13" s="13">
        <f>EW13</f>
        <v>33960</v>
      </c>
      <c r="EY13" s="13">
        <f t="shared" si="77"/>
        <v>4500</v>
      </c>
      <c r="EZ13" s="13">
        <f>+EW13/EU13*100</f>
        <v>115.27494908350306</v>
      </c>
      <c r="FA13" s="13">
        <f t="shared" si="78"/>
        <v>17310</v>
      </c>
      <c r="FB13" s="13">
        <f>+EU13/EQ13*100</f>
        <v>242.46913580246914</v>
      </c>
      <c r="FC13" s="2741"/>
      <c r="FD13" s="2741"/>
      <c r="FE13" s="2495"/>
      <c r="FF13" s="2495"/>
    </row>
    <row r="14" spans="1:162" s="154" customFormat="1" ht="25.2" customHeight="1">
      <c r="A14" s="2155" t="s">
        <v>137</v>
      </c>
      <c r="B14" s="137" t="s">
        <v>13</v>
      </c>
      <c r="C14" s="13">
        <f t="shared" si="79"/>
        <v>85120</v>
      </c>
      <c r="D14" s="13">
        <f t="shared" si="79"/>
        <v>0</v>
      </c>
      <c r="E14" s="13">
        <f t="shared" si="79"/>
        <v>34768</v>
      </c>
      <c r="F14" s="13">
        <f t="shared" si="79"/>
        <v>0</v>
      </c>
      <c r="G14" s="13">
        <f t="shared" si="79"/>
        <v>55230</v>
      </c>
      <c r="H14" s="13">
        <f t="shared" si="80"/>
        <v>0</v>
      </c>
      <c r="I14" s="13">
        <f>SUM(U14,AG14,AS14,BE14,BQ14,CC14,CO14,DA14,DM14,DY14,EK14,EW14)</f>
        <v>63450</v>
      </c>
      <c r="J14" s="13">
        <f t="shared" si="80"/>
        <v>0</v>
      </c>
      <c r="K14" s="13">
        <f t="shared" si="30"/>
        <v>8220</v>
      </c>
      <c r="L14" s="13">
        <f t="shared" si="31"/>
        <v>114.88321564367192</v>
      </c>
      <c r="M14" s="13">
        <f t="shared" si="32"/>
        <v>-29890</v>
      </c>
      <c r="N14" s="13">
        <f>+G14/C14*100</f>
        <v>64.88486842105263</v>
      </c>
      <c r="O14" s="13">
        <v>0</v>
      </c>
      <c r="P14" s="13">
        <v>0</v>
      </c>
      <c r="Q14" s="13">
        <v>13</v>
      </c>
      <c r="R14" s="13">
        <v>0</v>
      </c>
      <c r="S14" s="30">
        <v>0</v>
      </c>
      <c r="T14" s="30">
        <v>0</v>
      </c>
      <c r="U14" s="13">
        <v>0</v>
      </c>
      <c r="V14" s="13">
        <v>0</v>
      </c>
      <c r="W14" s="13">
        <f t="shared" si="35"/>
        <v>0</v>
      </c>
      <c r="X14" s="13"/>
      <c r="Y14" s="13">
        <f t="shared" si="36"/>
        <v>0</v>
      </c>
      <c r="Z14" s="13"/>
      <c r="AA14" s="13">
        <v>600</v>
      </c>
      <c r="AB14" s="13">
        <v>0</v>
      </c>
      <c r="AC14" s="13">
        <v>98</v>
      </c>
      <c r="AD14" s="13">
        <v>0</v>
      </c>
      <c r="AE14" s="30">
        <v>600</v>
      </c>
      <c r="AF14" s="30">
        <v>0</v>
      </c>
      <c r="AG14" s="30">
        <v>800</v>
      </c>
      <c r="AH14" s="13">
        <v>0</v>
      </c>
      <c r="AI14" s="13">
        <f t="shared" si="39"/>
        <v>200</v>
      </c>
      <c r="AJ14" s="13"/>
      <c r="AK14" s="13">
        <f t="shared" si="40"/>
        <v>0</v>
      </c>
      <c r="AL14" s="13"/>
      <c r="AM14" s="13">
        <v>40</v>
      </c>
      <c r="AN14" s="13">
        <v>0</v>
      </c>
      <c r="AO14" s="13">
        <v>33</v>
      </c>
      <c r="AP14" s="13">
        <v>0</v>
      </c>
      <c r="AQ14" s="13">
        <v>50</v>
      </c>
      <c r="AR14" s="13">
        <v>0</v>
      </c>
      <c r="AS14" s="13">
        <v>50</v>
      </c>
      <c r="AT14" s="13">
        <v>0</v>
      </c>
      <c r="AU14" s="13">
        <f t="shared" si="43"/>
        <v>0</v>
      </c>
      <c r="AV14" s="13"/>
      <c r="AW14" s="13">
        <f t="shared" si="44"/>
        <v>10</v>
      </c>
      <c r="AX14" s="13"/>
      <c r="AY14" s="13">
        <v>200</v>
      </c>
      <c r="AZ14" s="13">
        <v>0</v>
      </c>
      <c r="BA14" s="13">
        <v>137</v>
      </c>
      <c r="BB14" s="13">
        <v>0</v>
      </c>
      <c r="BC14" s="13">
        <v>200</v>
      </c>
      <c r="BD14" s="13">
        <v>0</v>
      </c>
      <c r="BE14" s="13">
        <v>200</v>
      </c>
      <c r="BF14" s="13">
        <v>0</v>
      </c>
      <c r="BG14" s="13">
        <f t="shared" si="47"/>
        <v>0</v>
      </c>
      <c r="BH14" s="13"/>
      <c r="BI14" s="13">
        <f t="shared" si="48"/>
        <v>0</v>
      </c>
      <c r="BJ14" s="13"/>
      <c r="BK14" s="13">
        <v>100</v>
      </c>
      <c r="BL14" s="13">
        <v>0</v>
      </c>
      <c r="BM14" s="13">
        <v>67</v>
      </c>
      <c r="BN14" s="13">
        <v>0</v>
      </c>
      <c r="BO14" s="13">
        <v>100</v>
      </c>
      <c r="BP14" s="13">
        <v>0</v>
      </c>
      <c r="BQ14" s="13">
        <v>100</v>
      </c>
      <c r="BR14" s="13">
        <v>0</v>
      </c>
      <c r="BS14" s="13">
        <f t="shared" si="50"/>
        <v>0</v>
      </c>
      <c r="BT14" s="13"/>
      <c r="BU14" s="13">
        <f t="shared" si="51"/>
        <v>0</v>
      </c>
      <c r="BV14" s="13"/>
      <c r="BW14" s="13">
        <v>83440</v>
      </c>
      <c r="BX14" s="13">
        <v>0</v>
      </c>
      <c r="BY14" s="53">
        <v>33736</v>
      </c>
      <c r="BZ14" s="53">
        <v>0</v>
      </c>
      <c r="CA14" s="30">
        <v>53200</v>
      </c>
      <c r="CB14" s="30">
        <v>0</v>
      </c>
      <c r="CC14" s="13">
        <v>61200</v>
      </c>
      <c r="CD14" s="13">
        <v>0</v>
      </c>
      <c r="CE14" s="13">
        <f t="shared" si="54"/>
        <v>8000</v>
      </c>
      <c r="CF14" s="13"/>
      <c r="CG14" s="11">
        <f t="shared" si="55"/>
        <v>-30240</v>
      </c>
      <c r="CH14" s="13"/>
      <c r="CI14" s="13">
        <v>20</v>
      </c>
      <c r="CJ14" s="13">
        <v>0</v>
      </c>
      <c r="CK14" s="53">
        <v>57</v>
      </c>
      <c r="CL14" s="53">
        <v>0</v>
      </c>
      <c r="CM14" s="30">
        <v>80</v>
      </c>
      <c r="CN14" s="30">
        <v>0</v>
      </c>
      <c r="CO14" s="13">
        <f>100</f>
        <v>100</v>
      </c>
      <c r="CP14" s="13">
        <v>0</v>
      </c>
      <c r="CQ14" s="13">
        <f t="shared" si="57"/>
        <v>20</v>
      </c>
      <c r="CR14" s="13"/>
      <c r="CS14" s="13">
        <f t="shared" si="58"/>
        <v>60</v>
      </c>
      <c r="CT14" s="13"/>
      <c r="CU14" s="13">
        <v>100</v>
      </c>
      <c r="CV14" s="13">
        <v>0</v>
      </c>
      <c r="CW14" s="53">
        <v>64</v>
      </c>
      <c r="CX14" s="53">
        <v>0</v>
      </c>
      <c r="CY14" s="30">
        <f>100</f>
        <v>100</v>
      </c>
      <c r="CZ14" s="30">
        <v>0</v>
      </c>
      <c r="DA14" s="13">
        <f>100</f>
        <v>100</v>
      </c>
      <c r="DB14" s="13">
        <v>0</v>
      </c>
      <c r="DC14" s="13">
        <f t="shared" si="61"/>
        <v>0</v>
      </c>
      <c r="DD14" s="13"/>
      <c r="DE14" s="13">
        <f t="shared" si="62"/>
        <v>0</v>
      </c>
      <c r="DF14" s="13"/>
      <c r="DG14" s="13">
        <v>100</v>
      </c>
      <c r="DH14" s="13">
        <v>0</v>
      </c>
      <c r="DI14" s="53">
        <v>69</v>
      </c>
      <c r="DJ14" s="53">
        <v>0</v>
      </c>
      <c r="DK14" s="53">
        <v>100</v>
      </c>
      <c r="DL14" s="53">
        <v>0</v>
      </c>
      <c r="DM14" s="53">
        <v>100</v>
      </c>
      <c r="DN14" s="53">
        <v>0</v>
      </c>
      <c r="DO14" s="13">
        <f t="shared" si="65"/>
        <v>0</v>
      </c>
      <c r="DP14" s="13"/>
      <c r="DQ14" s="13">
        <f t="shared" si="66"/>
        <v>0</v>
      </c>
      <c r="DR14" s="13"/>
      <c r="DS14" s="13">
        <v>200</v>
      </c>
      <c r="DT14" s="13">
        <v>0</v>
      </c>
      <c r="DU14" s="53">
        <v>110</v>
      </c>
      <c r="DV14" s="53">
        <v>0</v>
      </c>
      <c r="DW14" s="30">
        <v>200</v>
      </c>
      <c r="DX14" s="30">
        <v>0</v>
      </c>
      <c r="DY14" s="30">
        <v>200</v>
      </c>
      <c r="DZ14" s="30">
        <v>0</v>
      </c>
      <c r="EA14" s="13">
        <f t="shared" si="69"/>
        <v>0</v>
      </c>
      <c r="EB14" s="13"/>
      <c r="EC14" s="13">
        <f t="shared" si="70"/>
        <v>0</v>
      </c>
      <c r="ED14" s="13"/>
      <c r="EE14" s="13">
        <v>250</v>
      </c>
      <c r="EF14" s="13">
        <v>0</v>
      </c>
      <c r="EG14" s="53">
        <v>317</v>
      </c>
      <c r="EH14" s="53">
        <v>0</v>
      </c>
      <c r="EI14" s="13">
        <f>500</f>
        <v>500</v>
      </c>
      <c r="EJ14" s="13">
        <v>0</v>
      </c>
      <c r="EK14" s="30">
        <f>500</f>
        <v>500</v>
      </c>
      <c r="EL14" s="30">
        <v>0</v>
      </c>
      <c r="EM14" s="13">
        <f t="shared" si="73"/>
        <v>0</v>
      </c>
      <c r="EN14" s="13"/>
      <c r="EO14" s="13">
        <f t="shared" si="74"/>
        <v>250</v>
      </c>
      <c r="EP14" s="13"/>
      <c r="EQ14" s="13">
        <v>70</v>
      </c>
      <c r="ER14" s="13">
        <v>0</v>
      </c>
      <c r="ES14" s="53">
        <v>67</v>
      </c>
      <c r="ET14" s="53">
        <v>0</v>
      </c>
      <c r="EU14" s="53">
        <f>100</f>
        <v>100</v>
      </c>
      <c r="EV14" s="53">
        <v>0</v>
      </c>
      <c r="EW14" s="13">
        <f>100</f>
        <v>100</v>
      </c>
      <c r="EX14" s="13">
        <v>0</v>
      </c>
      <c r="EY14" s="13">
        <f t="shared" si="77"/>
        <v>0</v>
      </c>
      <c r="EZ14" s="13"/>
      <c r="FA14" s="13">
        <f t="shared" si="78"/>
        <v>30</v>
      </c>
      <c r="FB14" s="13"/>
      <c r="FC14" s="2741"/>
      <c r="FD14" s="2741"/>
      <c r="FE14" s="2495"/>
      <c r="FF14" s="2495"/>
    </row>
    <row r="15" spans="1:162" s="154" customFormat="1" ht="25.2" customHeight="1">
      <c r="A15" s="2155" t="s">
        <v>137</v>
      </c>
      <c r="B15" s="137" t="s">
        <v>14</v>
      </c>
      <c r="C15" s="13">
        <f t="shared" si="79"/>
        <v>3730</v>
      </c>
      <c r="D15" s="13">
        <f t="shared" si="79"/>
        <v>0</v>
      </c>
      <c r="E15" s="13">
        <f t="shared" si="79"/>
        <v>4217</v>
      </c>
      <c r="F15" s="13">
        <f t="shared" si="79"/>
        <v>0</v>
      </c>
      <c r="G15" s="13">
        <f t="shared" si="79"/>
        <v>5605</v>
      </c>
      <c r="H15" s="13">
        <f t="shared" si="80"/>
        <v>0</v>
      </c>
      <c r="I15" s="13">
        <f>SUM(U15,AG15,AS15,BE15,BQ15,CC15,CO15,DA15,DM15,DY15,EK15,EW15)</f>
        <v>5970</v>
      </c>
      <c r="J15" s="13">
        <f t="shared" si="80"/>
        <v>0</v>
      </c>
      <c r="K15" s="13">
        <f t="shared" si="30"/>
        <v>365</v>
      </c>
      <c r="L15" s="13">
        <f t="shared" si="31"/>
        <v>106.5120428189117</v>
      </c>
      <c r="M15" s="13">
        <f t="shared" si="32"/>
        <v>1875</v>
      </c>
      <c r="N15" s="13">
        <f t="shared" si="1"/>
        <v>150.26809651474531</v>
      </c>
      <c r="O15" s="13">
        <v>800</v>
      </c>
      <c r="P15" s="13">
        <v>0</v>
      </c>
      <c r="Q15" s="13">
        <v>978</v>
      </c>
      <c r="R15" s="13">
        <v>0</v>
      </c>
      <c r="S15" s="30">
        <v>1000</v>
      </c>
      <c r="T15" s="30">
        <v>0</v>
      </c>
      <c r="U15" s="13">
        <v>1000</v>
      </c>
      <c r="V15" s="13">
        <v>0</v>
      </c>
      <c r="W15" s="13">
        <f t="shared" si="35"/>
        <v>0</v>
      </c>
      <c r="X15" s="13"/>
      <c r="Y15" s="13">
        <f t="shared" si="36"/>
        <v>200</v>
      </c>
      <c r="Z15" s="13"/>
      <c r="AA15" s="13">
        <v>0</v>
      </c>
      <c r="AB15" s="13">
        <v>0</v>
      </c>
      <c r="AC15" s="13">
        <v>13</v>
      </c>
      <c r="AD15" s="13">
        <v>0</v>
      </c>
      <c r="AE15" s="30">
        <v>15</v>
      </c>
      <c r="AF15" s="30">
        <v>0</v>
      </c>
      <c r="AG15" s="30">
        <v>20</v>
      </c>
      <c r="AH15" s="13">
        <v>0</v>
      </c>
      <c r="AI15" s="13">
        <f t="shared" si="39"/>
        <v>5</v>
      </c>
      <c r="AJ15" s="13"/>
      <c r="AK15" s="13">
        <f t="shared" si="40"/>
        <v>15</v>
      </c>
      <c r="AL15" s="13"/>
      <c r="AM15" s="13">
        <v>60</v>
      </c>
      <c r="AN15" s="13">
        <v>0</v>
      </c>
      <c r="AO15" s="13">
        <v>31</v>
      </c>
      <c r="AP15" s="13">
        <v>0</v>
      </c>
      <c r="AQ15" s="13">
        <v>50</v>
      </c>
      <c r="AR15" s="13">
        <v>0</v>
      </c>
      <c r="AS15" s="13">
        <v>50</v>
      </c>
      <c r="AT15" s="13">
        <v>0</v>
      </c>
      <c r="AU15" s="13">
        <f t="shared" si="43"/>
        <v>0</v>
      </c>
      <c r="AV15" s="13"/>
      <c r="AW15" s="13">
        <f t="shared" si="44"/>
        <v>-10</v>
      </c>
      <c r="AX15" s="13"/>
      <c r="AY15" s="13">
        <v>300</v>
      </c>
      <c r="AZ15" s="13">
        <v>0</v>
      </c>
      <c r="BA15" s="13">
        <v>345</v>
      </c>
      <c r="BB15" s="13">
        <v>0</v>
      </c>
      <c r="BC15" s="13">
        <v>460</v>
      </c>
      <c r="BD15" s="13">
        <v>0</v>
      </c>
      <c r="BE15" s="13">
        <v>500</v>
      </c>
      <c r="BF15" s="13">
        <v>0</v>
      </c>
      <c r="BG15" s="13">
        <f t="shared" si="47"/>
        <v>40</v>
      </c>
      <c r="BH15" s="13"/>
      <c r="BI15" s="13">
        <f t="shared" si="48"/>
        <v>160</v>
      </c>
      <c r="BJ15" s="13"/>
      <c r="BK15" s="13">
        <v>250</v>
      </c>
      <c r="BL15" s="13">
        <v>0</v>
      </c>
      <c r="BM15" s="13">
        <v>211</v>
      </c>
      <c r="BN15" s="13">
        <v>0</v>
      </c>
      <c r="BO15" s="13">
        <v>280</v>
      </c>
      <c r="BP15" s="13">
        <v>0</v>
      </c>
      <c r="BQ15" s="13">
        <v>300</v>
      </c>
      <c r="BR15" s="13">
        <v>0</v>
      </c>
      <c r="BS15" s="13">
        <f t="shared" si="50"/>
        <v>20</v>
      </c>
      <c r="BT15" s="13"/>
      <c r="BU15" s="13">
        <f t="shared" si="51"/>
        <v>30</v>
      </c>
      <c r="BV15" s="13"/>
      <c r="BW15" s="13">
        <v>560</v>
      </c>
      <c r="BX15" s="13">
        <v>0</v>
      </c>
      <c r="BY15" s="53">
        <v>484</v>
      </c>
      <c r="BZ15" s="53">
        <v>0</v>
      </c>
      <c r="CA15" s="30">
        <v>800</v>
      </c>
      <c r="CB15" s="30">
        <v>0</v>
      </c>
      <c r="CC15" s="13">
        <v>600</v>
      </c>
      <c r="CD15" s="13">
        <v>0</v>
      </c>
      <c r="CE15" s="13">
        <f t="shared" si="54"/>
        <v>-200</v>
      </c>
      <c r="CF15" s="13"/>
      <c r="CG15" s="11">
        <f t="shared" si="55"/>
        <v>240</v>
      </c>
      <c r="CH15" s="13"/>
      <c r="CI15" s="13">
        <v>170</v>
      </c>
      <c r="CJ15" s="13">
        <v>0</v>
      </c>
      <c r="CK15" s="53">
        <v>371</v>
      </c>
      <c r="CL15" s="53">
        <v>0</v>
      </c>
      <c r="CM15" s="30">
        <f>420+50</f>
        <v>470</v>
      </c>
      <c r="CN15" s="30">
        <v>0</v>
      </c>
      <c r="CO15" s="13">
        <f>450+60</f>
        <v>510</v>
      </c>
      <c r="CP15" s="13">
        <v>0</v>
      </c>
      <c r="CQ15" s="13">
        <f t="shared" si="57"/>
        <v>40</v>
      </c>
      <c r="CR15" s="13"/>
      <c r="CS15" s="13">
        <f t="shared" si="58"/>
        <v>300</v>
      </c>
      <c r="CT15" s="13"/>
      <c r="CU15" s="13">
        <v>140</v>
      </c>
      <c r="CV15" s="13">
        <v>0</v>
      </c>
      <c r="CW15" s="53">
        <v>214</v>
      </c>
      <c r="CX15" s="53">
        <v>0</v>
      </c>
      <c r="CY15" s="30">
        <f>40+300</f>
        <v>340</v>
      </c>
      <c r="CZ15" s="30">
        <v>0</v>
      </c>
      <c r="DA15" s="13">
        <f>50+300</f>
        <v>350</v>
      </c>
      <c r="DB15" s="13">
        <v>0</v>
      </c>
      <c r="DC15" s="13">
        <f t="shared" si="61"/>
        <v>10</v>
      </c>
      <c r="DD15" s="13"/>
      <c r="DE15" s="13">
        <f t="shared" si="62"/>
        <v>200</v>
      </c>
      <c r="DF15" s="13"/>
      <c r="DG15" s="13">
        <v>600</v>
      </c>
      <c r="DH15" s="13">
        <v>0</v>
      </c>
      <c r="DI15" s="53">
        <v>301</v>
      </c>
      <c r="DJ15" s="53">
        <v>0</v>
      </c>
      <c r="DK15" s="53">
        <v>600</v>
      </c>
      <c r="DL15" s="53">
        <v>0</v>
      </c>
      <c r="DM15" s="53">
        <v>600</v>
      </c>
      <c r="DN15" s="53">
        <v>0</v>
      </c>
      <c r="DO15" s="13">
        <f t="shared" si="65"/>
        <v>0</v>
      </c>
      <c r="DP15" s="13"/>
      <c r="DQ15" s="13">
        <f t="shared" si="66"/>
        <v>0</v>
      </c>
      <c r="DR15" s="13"/>
      <c r="DS15" s="13">
        <v>400</v>
      </c>
      <c r="DT15" s="13">
        <v>0</v>
      </c>
      <c r="DU15" s="53">
        <v>899</v>
      </c>
      <c r="DV15" s="53">
        <v>0</v>
      </c>
      <c r="DW15" s="30">
        <v>1100</v>
      </c>
      <c r="DX15" s="30">
        <v>0</v>
      </c>
      <c r="DY15" s="30">
        <v>1400</v>
      </c>
      <c r="DZ15" s="30">
        <v>0</v>
      </c>
      <c r="EA15" s="13">
        <f t="shared" si="69"/>
        <v>300</v>
      </c>
      <c r="EB15" s="13"/>
      <c r="EC15" s="13">
        <f t="shared" si="70"/>
        <v>700</v>
      </c>
      <c r="ED15" s="13"/>
      <c r="EE15" s="13">
        <v>350</v>
      </c>
      <c r="EF15" s="13">
        <v>0</v>
      </c>
      <c r="EG15" s="53">
        <v>312</v>
      </c>
      <c r="EH15" s="53">
        <v>0</v>
      </c>
      <c r="EI15" s="13">
        <f>200+200</f>
        <v>400</v>
      </c>
      <c r="EJ15" s="13">
        <v>0</v>
      </c>
      <c r="EK15" s="30">
        <f>200+300</f>
        <v>500</v>
      </c>
      <c r="EL15" s="30">
        <v>0</v>
      </c>
      <c r="EM15" s="13">
        <f t="shared" si="73"/>
        <v>100</v>
      </c>
      <c r="EN15" s="13"/>
      <c r="EO15" s="13">
        <f t="shared" si="74"/>
        <v>50</v>
      </c>
      <c r="EP15" s="13"/>
      <c r="EQ15" s="13">
        <v>100</v>
      </c>
      <c r="ER15" s="13">
        <v>0</v>
      </c>
      <c r="ES15" s="53">
        <v>58</v>
      </c>
      <c r="ET15" s="53">
        <v>0</v>
      </c>
      <c r="EU15" s="53">
        <f>50+40</f>
        <v>90</v>
      </c>
      <c r="EV15" s="53">
        <v>0</v>
      </c>
      <c r="EW15" s="13">
        <f>100+40</f>
        <v>140</v>
      </c>
      <c r="EX15" s="13">
        <v>0</v>
      </c>
      <c r="EY15" s="13">
        <f t="shared" si="77"/>
        <v>50</v>
      </c>
      <c r="EZ15" s="13"/>
      <c r="FA15" s="13">
        <f t="shared" si="78"/>
        <v>-10</v>
      </c>
      <c r="FB15" s="13"/>
      <c r="FC15" s="2741"/>
      <c r="FD15" s="2741"/>
      <c r="FE15" s="2495"/>
      <c r="FF15" s="2495"/>
    </row>
    <row r="16" spans="1:162" s="154" customFormat="1" ht="25.2" customHeight="1">
      <c r="A16" s="2155" t="s">
        <v>137</v>
      </c>
      <c r="B16" s="137" t="s">
        <v>15</v>
      </c>
      <c r="C16" s="13">
        <f t="shared" si="79"/>
        <v>0</v>
      </c>
      <c r="D16" s="13">
        <f t="shared" si="79"/>
        <v>0</v>
      </c>
      <c r="E16" s="13">
        <f t="shared" si="79"/>
        <v>0</v>
      </c>
      <c r="F16" s="13">
        <f t="shared" si="79"/>
        <v>0</v>
      </c>
      <c r="G16" s="13">
        <f t="shared" si="79"/>
        <v>2500</v>
      </c>
      <c r="H16" s="13">
        <f t="shared" si="80"/>
        <v>1700</v>
      </c>
      <c r="I16" s="13">
        <f t="shared" si="80"/>
        <v>1500</v>
      </c>
      <c r="J16" s="13">
        <f t="shared" si="80"/>
        <v>0</v>
      </c>
      <c r="K16" s="13">
        <f>+I16-G16</f>
        <v>-1000</v>
      </c>
      <c r="L16" s="13">
        <f t="shared" si="31"/>
        <v>60</v>
      </c>
      <c r="M16" s="13">
        <f t="shared" si="32"/>
        <v>2500</v>
      </c>
      <c r="N16" s="13" t="e">
        <f t="shared" si="1"/>
        <v>#DIV/0!</v>
      </c>
      <c r="O16" s="13">
        <v>0</v>
      </c>
      <c r="P16" s="13">
        <f>O16</f>
        <v>0</v>
      </c>
      <c r="Q16" s="13">
        <v>0</v>
      </c>
      <c r="R16" s="13">
        <f>Q16</f>
        <v>0</v>
      </c>
      <c r="S16" s="13">
        <v>0</v>
      </c>
      <c r="T16" s="13">
        <f>+S16</f>
        <v>0</v>
      </c>
      <c r="U16" s="13">
        <v>0</v>
      </c>
      <c r="V16" s="13">
        <f>U16</f>
        <v>0</v>
      </c>
      <c r="W16" s="13">
        <f t="shared" si="35"/>
        <v>0</v>
      </c>
      <c r="X16" s="13"/>
      <c r="Y16" s="13">
        <f t="shared" si="36"/>
        <v>0</v>
      </c>
      <c r="Z16" s="13"/>
      <c r="AA16" s="13">
        <v>0</v>
      </c>
      <c r="AB16" s="13">
        <f>AA16</f>
        <v>0</v>
      </c>
      <c r="AC16" s="13">
        <v>0</v>
      </c>
      <c r="AD16" s="13">
        <f>AC16</f>
        <v>0</v>
      </c>
      <c r="AE16" s="30">
        <v>1400</v>
      </c>
      <c r="AF16" s="30">
        <f>+AE16</f>
        <v>1400</v>
      </c>
      <c r="AG16" s="30">
        <v>1500</v>
      </c>
      <c r="AH16" s="13"/>
      <c r="AI16" s="13">
        <f t="shared" si="39"/>
        <v>100</v>
      </c>
      <c r="AJ16" s="13"/>
      <c r="AK16" s="13">
        <f t="shared" si="40"/>
        <v>1400</v>
      </c>
      <c r="AL16" s="13"/>
      <c r="AM16" s="13">
        <v>0</v>
      </c>
      <c r="AN16" s="13">
        <f>AM16</f>
        <v>0</v>
      </c>
      <c r="AO16" s="13">
        <v>0</v>
      </c>
      <c r="AP16" s="13">
        <f>AO16</f>
        <v>0</v>
      </c>
      <c r="AQ16" s="13">
        <v>0</v>
      </c>
      <c r="AR16" s="13">
        <f>+AQ16</f>
        <v>0</v>
      </c>
      <c r="AS16" s="13">
        <v>0</v>
      </c>
      <c r="AT16" s="13">
        <f>AS16</f>
        <v>0</v>
      </c>
      <c r="AU16" s="13">
        <f t="shared" si="43"/>
        <v>0</v>
      </c>
      <c r="AV16" s="13"/>
      <c r="AW16" s="13">
        <f t="shared" si="44"/>
        <v>0</v>
      </c>
      <c r="AX16" s="13"/>
      <c r="AY16" s="13">
        <v>0</v>
      </c>
      <c r="AZ16" s="13">
        <f>AY16</f>
        <v>0</v>
      </c>
      <c r="BA16" s="13">
        <v>0</v>
      </c>
      <c r="BB16" s="13">
        <f>BA16</f>
        <v>0</v>
      </c>
      <c r="BC16" s="13">
        <v>300</v>
      </c>
      <c r="BD16" s="13">
        <f>+BC16</f>
        <v>300</v>
      </c>
      <c r="BE16" s="13">
        <v>0</v>
      </c>
      <c r="BF16" s="13">
        <f>BE16</f>
        <v>0</v>
      </c>
      <c r="BG16" s="13">
        <f t="shared" si="47"/>
        <v>-300</v>
      </c>
      <c r="BH16" s="13"/>
      <c r="BI16" s="13">
        <f t="shared" si="48"/>
        <v>300</v>
      </c>
      <c r="BJ16" s="13"/>
      <c r="BK16" s="13">
        <v>0</v>
      </c>
      <c r="BL16" s="13">
        <f>BK16</f>
        <v>0</v>
      </c>
      <c r="BM16" s="13">
        <v>0</v>
      </c>
      <c r="BN16" s="13">
        <f>BM16</f>
        <v>0</v>
      </c>
      <c r="BO16" s="13">
        <v>0</v>
      </c>
      <c r="BP16" s="13">
        <f>+BO16</f>
        <v>0</v>
      </c>
      <c r="BQ16" s="13">
        <v>0</v>
      </c>
      <c r="BR16" s="13">
        <f>BQ16</f>
        <v>0</v>
      </c>
      <c r="BS16" s="13">
        <f t="shared" si="50"/>
        <v>0</v>
      </c>
      <c r="BT16" s="13"/>
      <c r="BU16" s="13">
        <f t="shared" si="51"/>
        <v>0</v>
      </c>
      <c r="BV16" s="13"/>
      <c r="BW16" s="13">
        <v>0</v>
      </c>
      <c r="BX16" s="13">
        <f>BW16</f>
        <v>0</v>
      </c>
      <c r="BY16" s="53">
        <v>0</v>
      </c>
      <c r="BZ16" s="53">
        <f>BY16</f>
        <v>0</v>
      </c>
      <c r="CA16" s="30">
        <v>0</v>
      </c>
      <c r="CB16" s="30">
        <f>+CA16</f>
        <v>0</v>
      </c>
      <c r="CC16" s="13">
        <v>0</v>
      </c>
      <c r="CD16" s="13">
        <f>CC16</f>
        <v>0</v>
      </c>
      <c r="CE16" s="13">
        <f t="shared" si="54"/>
        <v>0</v>
      </c>
      <c r="CF16" s="13"/>
      <c r="CG16" s="11">
        <f t="shared" si="55"/>
        <v>0</v>
      </c>
      <c r="CH16" s="13"/>
      <c r="CI16" s="13">
        <v>0</v>
      </c>
      <c r="CJ16" s="13">
        <f>CI16</f>
        <v>0</v>
      </c>
      <c r="CK16" s="53">
        <v>0</v>
      </c>
      <c r="CL16" s="53">
        <f>CK16</f>
        <v>0</v>
      </c>
      <c r="CM16" s="30">
        <v>0</v>
      </c>
      <c r="CN16" s="30">
        <f>+CM16</f>
        <v>0</v>
      </c>
      <c r="CO16" s="13">
        <v>0</v>
      </c>
      <c r="CP16" s="13">
        <f>CO16</f>
        <v>0</v>
      </c>
      <c r="CQ16" s="13">
        <f t="shared" si="57"/>
        <v>0</v>
      </c>
      <c r="CR16" s="13"/>
      <c r="CS16" s="13">
        <f t="shared" si="58"/>
        <v>0</v>
      </c>
      <c r="CT16" s="13"/>
      <c r="CU16" s="13">
        <v>0</v>
      </c>
      <c r="CV16" s="13">
        <f>CU16</f>
        <v>0</v>
      </c>
      <c r="CW16" s="53">
        <v>0</v>
      </c>
      <c r="CX16" s="53">
        <f>CW16</f>
        <v>0</v>
      </c>
      <c r="CY16" s="30">
        <v>0</v>
      </c>
      <c r="CZ16" s="30">
        <f>+CY16</f>
        <v>0</v>
      </c>
      <c r="DA16" s="30">
        <v>0</v>
      </c>
      <c r="DB16" s="30">
        <f>DA16</f>
        <v>0</v>
      </c>
      <c r="DC16" s="13">
        <f t="shared" si="61"/>
        <v>0</v>
      </c>
      <c r="DD16" s="13"/>
      <c r="DE16" s="13">
        <f t="shared" si="62"/>
        <v>0</v>
      </c>
      <c r="DF16" s="13"/>
      <c r="DG16" s="13">
        <v>0</v>
      </c>
      <c r="DH16" s="13">
        <f>DG16</f>
        <v>0</v>
      </c>
      <c r="DI16" s="53">
        <v>0</v>
      </c>
      <c r="DJ16" s="53">
        <f>DI16</f>
        <v>0</v>
      </c>
      <c r="DK16" s="53">
        <v>0</v>
      </c>
      <c r="DL16" s="53">
        <f>+DK16</f>
        <v>0</v>
      </c>
      <c r="DM16" s="53">
        <v>0</v>
      </c>
      <c r="DN16" s="53">
        <f>DM16</f>
        <v>0</v>
      </c>
      <c r="DO16" s="13">
        <f t="shared" si="65"/>
        <v>0</v>
      </c>
      <c r="DP16" s="13"/>
      <c r="DQ16" s="13">
        <f t="shared" si="66"/>
        <v>0</v>
      </c>
      <c r="DR16" s="13"/>
      <c r="DS16" s="13">
        <v>0</v>
      </c>
      <c r="DT16" s="13">
        <f>DS16</f>
        <v>0</v>
      </c>
      <c r="DU16" s="53">
        <v>0</v>
      </c>
      <c r="DV16" s="53">
        <f>DU16</f>
        <v>0</v>
      </c>
      <c r="DW16" s="30">
        <v>0</v>
      </c>
      <c r="DX16" s="30">
        <f>+DW16</f>
        <v>0</v>
      </c>
      <c r="DY16" s="30">
        <v>0</v>
      </c>
      <c r="DZ16" s="30">
        <f>DY16</f>
        <v>0</v>
      </c>
      <c r="EA16" s="13">
        <f t="shared" si="69"/>
        <v>0</v>
      </c>
      <c r="EB16" s="13"/>
      <c r="EC16" s="13">
        <f t="shared" si="70"/>
        <v>0</v>
      </c>
      <c r="ED16" s="13"/>
      <c r="EE16" s="13">
        <v>0</v>
      </c>
      <c r="EF16" s="13">
        <f>EE16</f>
        <v>0</v>
      </c>
      <c r="EG16" s="53">
        <v>0</v>
      </c>
      <c r="EH16" s="53">
        <f>EG16</f>
        <v>0</v>
      </c>
      <c r="EI16" s="13">
        <f>400</f>
        <v>400</v>
      </c>
      <c r="EJ16" s="13"/>
      <c r="EK16" s="30">
        <v>0</v>
      </c>
      <c r="EL16" s="30">
        <f>EK16</f>
        <v>0</v>
      </c>
      <c r="EM16" s="13">
        <f t="shared" si="73"/>
        <v>-400</v>
      </c>
      <c r="EN16" s="13"/>
      <c r="EO16" s="13">
        <f t="shared" si="74"/>
        <v>400</v>
      </c>
      <c r="EP16" s="13"/>
      <c r="EQ16" s="13">
        <v>0</v>
      </c>
      <c r="ER16" s="13">
        <f>EQ16</f>
        <v>0</v>
      </c>
      <c r="ES16" s="53">
        <v>0</v>
      </c>
      <c r="ET16" s="53">
        <f>ES16</f>
        <v>0</v>
      </c>
      <c r="EU16" s="13">
        <f>400</f>
        <v>400</v>
      </c>
      <c r="EV16" s="13"/>
      <c r="EW16" s="13">
        <v>0</v>
      </c>
      <c r="EX16" s="13">
        <f>EW16</f>
        <v>0</v>
      </c>
      <c r="EY16" s="13">
        <f t="shared" si="77"/>
        <v>-400</v>
      </c>
      <c r="EZ16" s="13"/>
      <c r="FA16" s="13">
        <f t="shared" si="78"/>
        <v>400</v>
      </c>
      <c r="FB16" s="13"/>
      <c r="FC16" s="2741"/>
      <c r="FD16" s="2741"/>
      <c r="FE16" s="2495"/>
      <c r="FF16" s="2495"/>
    </row>
    <row r="17" spans="1:162" s="2759" customFormat="1">
      <c r="A17" s="2735">
        <v>2</v>
      </c>
      <c r="B17" s="2736" t="s">
        <v>97</v>
      </c>
      <c r="C17" s="2737">
        <f t="shared" si="79"/>
        <v>309500</v>
      </c>
      <c r="D17" s="2737">
        <f t="shared" si="79"/>
        <v>309500</v>
      </c>
      <c r="E17" s="2737">
        <f t="shared" si="79"/>
        <v>259125</v>
      </c>
      <c r="F17" s="2737">
        <f t="shared" si="79"/>
        <v>138128</v>
      </c>
      <c r="G17" s="2737">
        <f t="shared" si="79"/>
        <v>286700</v>
      </c>
      <c r="H17" s="2737">
        <f t="shared" si="80"/>
        <v>286700</v>
      </c>
      <c r="I17" s="2737">
        <f t="shared" si="80"/>
        <v>322000</v>
      </c>
      <c r="J17" s="2737">
        <f t="shared" si="80"/>
        <v>322000</v>
      </c>
      <c r="K17" s="2737">
        <f t="shared" si="30"/>
        <v>35300</v>
      </c>
      <c r="L17" s="2737">
        <f t="shared" si="31"/>
        <v>112.31252179979072</v>
      </c>
      <c r="M17" s="2737">
        <f t="shared" si="32"/>
        <v>-22800</v>
      </c>
      <c r="N17" s="2737">
        <f t="shared" si="1"/>
        <v>92.633279483037157</v>
      </c>
      <c r="O17" s="2737">
        <f>SUM(O18:O19)</f>
        <v>11000</v>
      </c>
      <c r="P17" s="2737">
        <f t="shared" ref="P17" si="81">SUM(P18:P19)</f>
        <v>11000</v>
      </c>
      <c r="Q17" s="2737">
        <f t="shared" ref="Q17" si="82">SUM(Q18:Q19)</f>
        <v>7041</v>
      </c>
      <c r="R17" s="2737">
        <f t="shared" ref="R17" si="83">SUM(R18:R19)</f>
        <v>6536</v>
      </c>
      <c r="S17" s="2737">
        <f t="shared" ref="S17" si="84">SUM(S18:S19)</f>
        <v>10000</v>
      </c>
      <c r="T17" s="2737">
        <f t="shared" ref="T17" si="85">SUM(T18:T19)</f>
        <v>10000</v>
      </c>
      <c r="U17" s="2737">
        <f t="shared" ref="U17" si="86">SUM(U18:U19)</f>
        <v>12000</v>
      </c>
      <c r="V17" s="2737">
        <f>SUM(V18:V19)</f>
        <v>12000</v>
      </c>
      <c r="W17" s="2737">
        <f>SUM(W18:W19)</f>
        <v>2000</v>
      </c>
      <c r="X17" s="2737">
        <f>U17/S17*100</f>
        <v>120</v>
      </c>
      <c r="Y17" s="2737">
        <f>SUM(Y18:Y19)</f>
        <v>-1000</v>
      </c>
      <c r="Z17" s="13">
        <f>S17/O17*100</f>
        <v>90.909090909090907</v>
      </c>
      <c r="AA17" s="2737">
        <f>SUM(AA18:AA19)</f>
        <v>23500</v>
      </c>
      <c r="AB17" s="2737">
        <f t="shared" ref="AB17" si="87">SUM(AB18:AB19)</f>
        <v>23500</v>
      </c>
      <c r="AC17" s="2737">
        <f t="shared" ref="AC17" si="88">SUM(AC18:AC19)</f>
        <v>13214</v>
      </c>
      <c r="AD17" s="2737">
        <f t="shared" ref="AD17" si="89">SUM(AD18:AD19)</f>
        <v>9087</v>
      </c>
      <c r="AE17" s="2790">
        <f t="shared" ref="AE17" si="90">SUM(AE18:AE19)</f>
        <v>19500</v>
      </c>
      <c r="AF17" s="2790">
        <f t="shared" ref="AF17" si="91">SUM(AF18:AF19)</f>
        <v>19500</v>
      </c>
      <c r="AG17" s="2737">
        <f t="shared" ref="AG17" si="92">SUM(AG18:AG19)</f>
        <v>20000</v>
      </c>
      <c r="AH17" s="2737">
        <f>SUM(AH18:AH19)</f>
        <v>20000</v>
      </c>
      <c r="AI17" s="2737">
        <f>SUM(AI18:AI19)</f>
        <v>500</v>
      </c>
      <c r="AJ17" s="2737">
        <f>AG17/AE17*100</f>
        <v>102.56410256410255</v>
      </c>
      <c r="AK17" s="2737">
        <f>SUM(AK18:AK19)</f>
        <v>-4000</v>
      </c>
      <c r="AL17" s="13">
        <f>AE17/AA17*100</f>
        <v>82.978723404255319</v>
      </c>
      <c r="AM17" s="2737">
        <f>SUM(AM18:AM19)</f>
        <v>10000</v>
      </c>
      <c r="AN17" s="2737">
        <f t="shared" ref="AN17" si="93">SUM(AN18:AN19)</f>
        <v>10000</v>
      </c>
      <c r="AO17" s="2737">
        <f t="shared" ref="AO17" si="94">SUM(AO18:AO19)</f>
        <v>10113</v>
      </c>
      <c r="AP17" s="2737">
        <f t="shared" ref="AP17" si="95">SUM(AP18:AP19)</f>
        <v>9057</v>
      </c>
      <c r="AQ17" s="2737">
        <f t="shared" ref="AQ17" si="96">SUM(AQ18:AQ19)</f>
        <v>14000</v>
      </c>
      <c r="AR17" s="2737">
        <f t="shared" ref="AR17" si="97">SUM(AR18:AR19)</f>
        <v>14000</v>
      </c>
      <c r="AS17" s="2737">
        <f t="shared" ref="AS17" si="98">SUM(AS18:AS19)</f>
        <v>15000</v>
      </c>
      <c r="AT17" s="2737">
        <f>SUM(AT18:AT19)</f>
        <v>15000</v>
      </c>
      <c r="AU17" s="2737">
        <f>SUM(AU18:AU19)</f>
        <v>1000</v>
      </c>
      <c r="AV17" s="2737">
        <f>AS17/AQ17*100</f>
        <v>107.14285714285714</v>
      </c>
      <c r="AW17" s="2737">
        <f>SUM(AW18:AW19)</f>
        <v>4000</v>
      </c>
      <c r="AX17" s="13">
        <f>AQ17/AM17*100</f>
        <v>140</v>
      </c>
      <c r="AY17" s="2737">
        <f>SUM(AY18:AY19)</f>
        <v>16000</v>
      </c>
      <c r="AZ17" s="2737">
        <f t="shared" ref="AZ17" si="99">SUM(AZ18:AZ19)</f>
        <v>16000</v>
      </c>
      <c r="BA17" s="2737">
        <f t="shared" ref="BA17" si="100">SUM(BA18:BA19)</f>
        <v>12466</v>
      </c>
      <c r="BB17" s="2737">
        <f t="shared" ref="BB17" si="101">SUM(BB18:BB19)</f>
        <v>9607</v>
      </c>
      <c r="BC17" s="2737">
        <f t="shared" ref="BC17" si="102">SUM(BC18:BC19)</f>
        <v>16200</v>
      </c>
      <c r="BD17" s="2737">
        <f t="shared" ref="BD17" si="103">SUM(BD18:BD19)</f>
        <v>16200</v>
      </c>
      <c r="BE17" s="2737">
        <f t="shared" ref="BE17" si="104">SUM(BE18:BE19)</f>
        <v>18000</v>
      </c>
      <c r="BF17" s="2737">
        <f>SUM(BF18:BF19)</f>
        <v>18000</v>
      </c>
      <c r="BG17" s="2737">
        <f>SUM(BG18:BG19)</f>
        <v>1800</v>
      </c>
      <c r="BH17" s="2737">
        <f>BE17/BC17*100</f>
        <v>111.11111111111111</v>
      </c>
      <c r="BI17" s="2737">
        <f>SUM(BI18:BI19)</f>
        <v>200</v>
      </c>
      <c r="BJ17" s="13">
        <f>BC17/AY17*100</f>
        <v>101.25</v>
      </c>
      <c r="BK17" s="2737">
        <f>SUM(BK18:BK19)</f>
        <v>14500</v>
      </c>
      <c r="BL17" s="2737">
        <f t="shared" ref="BL17" si="105">SUM(BL18:BL19)</f>
        <v>14500</v>
      </c>
      <c r="BM17" s="2737">
        <f t="shared" ref="BM17" si="106">SUM(BM18:BM19)</f>
        <v>13921</v>
      </c>
      <c r="BN17" s="2737">
        <f t="shared" ref="BN17" si="107">SUM(BN18:BN19)</f>
        <v>7720</v>
      </c>
      <c r="BO17" s="2737">
        <f t="shared" ref="BO17" si="108">SUM(BO18:BO19)</f>
        <v>14500</v>
      </c>
      <c r="BP17" s="2737">
        <f t="shared" ref="BP17" si="109">SUM(BP18:BP19)</f>
        <v>14500</v>
      </c>
      <c r="BQ17" s="2737">
        <f t="shared" ref="BQ17" si="110">SUM(BQ18:BQ19)</f>
        <v>17000</v>
      </c>
      <c r="BR17" s="2737">
        <f>SUM(BR18:BR19)</f>
        <v>17000</v>
      </c>
      <c r="BS17" s="2737">
        <f>SUM(BS18:BS19)</f>
        <v>2500</v>
      </c>
      <c r="BT17" s="2737">
        <f>BQ17/BO17*100</f>
        <v>117.24137931034481</v>
      </c>
      <c r="BU17" s="2737">
        <f>SUM(BU18:BU19)</f>
        <v>0</v>
      </c>
      <c r="BV17" s="13">
        <f>BO17/BK17*100</f>
        <v>100</v>
      </c>
      <c r="BW17" s="2737">
        <f>SUM(BW18:BW19)</f>
        <v>57000</v>
      </c>
      <c r="BX17" s="2737">
        <f t="shared" ref="BX17" si="111">SUM(BX18:BX19)</f>
        <v>57000</v>
      </c>
      <c r="BY17" s="2738">
        <f t="shared" ref="BY17" si="112">SUM(BY18:BY19)</f>
        <v>78521</v>
      </c>
      <c r="BZ17" s="2738">
        <f t="shared" ref="BZ17" si="113">SUM(BZ18:BZ19)</f>
        <v>21848</v>
      </c>
      <c r="CA17" s="2790">
        <f t="shared" ref="CA17" si="114">SUM(CA18:CA19)</f>
        <v>60000</v>
      </c>
      <c r="CB17" s="2790">
        <f t="shared" ref="CB17" si="115">SUM(CB18:CB19)</f>
        <v>60000</v>
      </c>
      <c r="CC17" s="2737">
        <f t="shared" ref="CC17" si="116">SUM(CC18:CC19)</f>
        <v>70000</v>
      </c>
      <c r="CD17" s="2737">
        <f>SUM(CD18:CD19)</f>
        <v>70000</v>
      </c>
      <c r="CE17" s="2737">
        <f>SUM(CE18:CE19)</f>
        <v>10000</v>
      </c>
      <c r="CF17" s="2737">
        <f>CC17/CA17*100</f>
        <v>116.66666666666667</v>
      </c>
      <c r="CG17" s="2809">
        <f>SUM(CG18:CG19)</f>
        <v>3000</v>
      </c>
      <c r="CH17" s="13">
        <f>CA17/BW17*100</f>
        <v>105.26315789473684</v>
      </c>
      <c r="CI17" s="2737">
        <f>SUM(CI18:CI19)</f>
        <v>30000</v>
      </c>
      <c r="CJ17" s="2737">
        <f t="shared" ref="CJ17" si="117">SUM(CJ18:CJ19)</f>
        <v>30000</v>
      </c>
      <c r="CK17" s="2738">
        <f t="shared" ref="CK17" si="118">SUM(CK18:CK19)</f>
        <v>20004</v>
      </c>
      <c r="CL17" s="2738">
        <f t="shared" ref="CL17" si="119">SUM(CL18:CL19)</f>
        <v>15409</v>
      </c>
      <c r="CM17" s="2790">
        <f t="shared" ref="CM17" si="120">SUM(CM18:CM19)</f>
        <v>29000</v>
      </c>
      <c r="CN17" s="2790">
        <f t="shared" ref="CN17" si="121">SUM(CN18:CN19)</f>
        <v>29000</v>
      </c>
      <c r="CO17" s="2790">
        <f t="shared" ref="CO17" si="122">SUM(CO18:CO19)</f>
        <v>32000</v>
      </c>
      <c r="CP17" s="2790">
        <f>SUM(CP18:CP19)</f>
        <v>32000</v>
      </c>
      <c r="CQ17" s="2737">
        <f>SUM(CQ18:CQ19)</f>
        <v>3000</v>
      </c>
      <c r="CR17" s="2737">
        <f>CO17/CM17*100</f>
        <v>110.34482758620689</v>
      </c>
      <c r="CS17" s="2737">
        <f>SUM(CS18:CS19)</f>
        <v>-1000</v>
      </c>
      <c r="CT17" s="13">
        <f>CM17/CI17*100</f>
        <v>96.666666666666671</v>
      </c>
      <c r="CU17" s="2737">
        <f>SUM(CU18:CU19)</f>
        <v>34000</v>
      </c>
      <c r="CV17" s="2737">
        <f t="shared" ref="CV17" si="123">SUM(CV18:CV19)</f>
        <v>34000</v>
      </c>
      <c r="CW17" s="2738">
        <f t="shared" ref="CW17" si="124">SUM(CW18:CW19)</f>
        <v>17226</v>
      </c>
      <c r="CX17" s="2738">
        <f t="shared" ref="CX17" si="125">SUM(CX18:CX19)</f>
        <v>14169</v>
      </c>
      <c r="CY17" s="2790">
        <f t="shared" ref="CY17" si="126">SUM(CY18:CY19)</f>
        <v>26000</v>
      </c>
      <c r="CZ17" s="2790">
        <f t="shared" ref="CZ17" si="127">SUM(CZ18:CZ19)</f>
        <v>26000</v>
      </c>
      <c r="DA17" s="2790">
        <f t="shared" ref="DA17" si="128">SUM(DA18:DA19)</f>
        <v>31000</v>
      </c>
      <c r="DB17" s="2790">
        <f>SUM(DB18:DB19)</f>
        <v>31000</v>
      </c>
      <c r="DC17" s="2737">
        <f>SUM(DC18:DC19)</f>
        <v>5000</v>
      </c>
      <c r="DD17" s="2737">
        <f>DA17/CY17*100</f>
        <v>119.23076923076923</v>
      </c>
      <c r="DE17" s="2737">
        <f>SUM(DE18:DE19)</f>
        <v>-8000</v>
      </c>
      <c r="DF17" s="13">
        <f>CY17/CU17*100</f>
        <v>76.470588235294116</v>
      </c>
      <c r="DG17" s="2737">
        <f>SUM(DG18:DG19)</f>
        <v>26000</v>
      </c>
      <c r="DH17" s="2737">
        <f t="shared" ref="DH17" si="129">SUM(DH18:DH19)</f>
        <v>26000</v>
      </c>
      <c r="DI17" s="2738">
        <f t="shared" ref="DI17" si="130">SUM(DI18:DI19)</f>
        <v>25311</v>
      </c>
      <c r="DJ17" s="2738">
        <f t="shared" ref="DJ17" si="131">SUM(DJ18:DJ19)</f>
        <v>11659</v>
      </c>
      <c r="DK17" s="2790">
        <f t="shared" ref="DK17" si="132">SUM(DK18:DK19)</f>
        <v>23000</v>
      </c>
      <c r="DL17" s="2790">
        <f t="shared" ref="DL17" si="133">SUM(DL18:DL19)</f>
        <v>23000</v>
      </c>
      <c r="DM17" s="2790">
        <f t="shared" ref="DM17" si="134">SUM(DM18:DM19)</f>
        <v>25000</v>
      </c>
      <c r="DN17" s="2790">
        <f>SUM(DN18:DN19)</f>
        <v>25000</v>
      </c>
      <c r="DO17" s="2737">
        <f>SUM(DO18:DO19)</f>
        <v>2000</v>
      </c>
      <c r="DP17" s="2737">
        <f>DM17/DK17*100</f>
        <v>108.69565217391303</v>
      </c>
      <c r="DQ17" s="2737">
        <f>SUM(DQ18:DQ19)</f>
        <v>-3000</v>
      </c>
      <c r="DR17" s="13">
        <f>DK17/DG17*100</f>
        <v>88.461538461538453</v>
      </c>
      <c r="DS17" s="2737">
        <f>SUM(DS18:DS19)</f>
        <v>26000</v>
      </c>
      <c r="DT17" s="2737">
        <f t="shared" ref="DT17" si="135">SUM(DT18:DT19)</f>
        <v>26000</v>
      </c>
      <c r="DU17" s="2738">
        <f t="shared" ref="DU17" si="136">SUM(DU18:DU19)</f>
        <v>16765</v>
      </c>
      <c r="DV17" s="2738">
        <f t="shared" ref="DV17" si="137">SUM(DV18:DV19)</f>
        <v>10584</v>
      </c>
      <c r="DW17" s="2790">
        <f t="shared" ref="DW17" si="138">SUM(DW18:DW19)</f>
        <v>22000</v>
      </c>
      <c r="DX17" s="2790">
        <f t="shared" ref="DX17" si="139">SUM(DX18:DX19)</f>
        <v>22000</v>
      </c>
      <c r="DY17" s="2790">
        <f t="shared" ref="DY17" si="140">SUM(DY18:DY19)</f>
        <v>24000</v>
      </c>
      <c r="DZ17" s="2790">
        <f>SUM(DZ18:DZ19)</f>
        <v>24000</v>
      </c>
      <c r="EA17" s="2737">
        <f>SUM(EA18:EA19)</f>
        <v>2000</v>
      </c>
      <c r="EB17" s="2737">
        <f>DY17/DW17*100</f>
        <v>109.09090909090908</v>
      </c>
      <c r="EC17" s="2737">
        <f>SUM(EC18:EC19)</f>
        <v>-4000</v>
      </c>
      <c r="ED17" s="13">
        <f>DW17/DS17*100</f>
        <v>84.615384615384613</v>
      </c>
      <c r="EE17" s="2737">
        <f>SUM(EE18:EE19)</f>
        <v>43000</v>
      </c>
      <c r="EF17" s="2737">
        <f t="shared" ref="EF17" si="141">SUM(EF18:EF19)</f>
        <v>43000</v>
      </c>
      <c r="EG17" s="2738">
        <f t="shared" ref="EG17" si="142">SUM(EG18:EG19)</f>
        <v>32494</v>
      </c>
      <c r="EH17" s="2738">
        <f t="shared" ref="EH17" si="143">SUM(EH18:EH19)</f>
        <v>14032</v>
      </c>
      <c r="EI17" s="2737">
        <f t="shared" ref="EI17" si="144">SUM(EI18:EI19)</f>
        <v>35000</v>
      </c>
      <c r="EJ17" s="2737">
        <f t="shared" ref="EJ17" si="145">SUM(EJ18:EJ19)</f>
        <v>35000</v>
      </c>
      <c r="EK17" s="2790">
        <f t="shared" ref="EK17" si="146">SUM(EK18:EK19)</f>
        <v>39000</v>
      </c>
      <c r="EL17" s="2790">
        <f>SUM(EL18:EL19)</f>
        <v>39000</v>
      </c>
      <c r="EM17" s="2737">
        <f>SUM(EM18:EM19)</f>
        <v>4000</v>
      </c>
      <c r="EN17" s="2737">
        <f>EK17/EI17*100</f>
        <v>111.42857142857143</v>
      </c>
      <c r="EO17" s="2737">
        <f>SUM(EO18:EO19)</f>
        <v>-8000</v>
      </c>
      <c r="EP17" s="13">
        <f>EI17/EE17*100</f>
        <v>81.395348837209298</v>
      </c>
      <c r="EQ17" s="2737">
        <f>SUM(EQ18:EQ19)</f>
        <v>18500</v>
      </c>
      <c r="ER17" s="2737">
        <f t="shared" ref="ER17" si="147">SUM(ER18:ER19)</f>
        <v>18500</v>
      </c>
      <c r="ES17" s="2738">
        <f t="shared" ref="ES17" si="148">SUM(ES18:ES19)</f>
        <v>12049</v>
      </c>
      <c r="ET17" s="2738">
        <f t="shared" ref="ET17" si="149">SUM(ET18:ET19)</f>
        <v>8420</v>
      </c>
      <c r="EU17" s="2737">
        <f t="shared" ref="EU17" si="150">SUM(EU18:EU19)</f>
        <v>17500</v>
      </c>
      <c r="EV17" s="2737">
        <f t="shared" ref="EV17" si="151">SUM(EV18:EV19)</f>
        <v>17500</v>
      </c>
      <c r="EW17" s="2737">
        <f t="shared" ref="EW17" si="152">SUM(EW18:EW19)</f>
        <v>19000</v>
      </c>
      <c r="EX17" s="2737">
        <f>SUM(EX18:EX19)</f>
        <v>19000</v>
      </c>
      <c r="EY17" s="2737">
        <f>SUM(EY18:EY19)</f>
        <v>1500</v>
      </c>
      <c r="EZ17" s="2737">
        <f>EW17/EU17*100</f>
        <v>108.57142857142857</v>
      </c>
      <c r="FA17" s="2737">
        <f>SUM(FA18:FA19)</f>
        <v>-1000</v>
      </c>
      <c r="FB17" s="13">
        <f>EU17/EQ17*100</f>
        <v>94.594594594594597</v>
      </c>
      <c r="FC17" s="2739">
        <f>E17/C17</f>
        <v>0.83723747980613894</v>
      </c>
      <c r="FD17" s="2739"/>
      <c r="FE17" s="2740">
        <f t="shared" ref="FE17:FF23" si="153">E17-C17</f>
        <v>-50375</v>
      </c>
      <c r="FF17" s="2740">
        <f t="shared" si="153"/>
        <v>-171372</v>
      </c>
    </row>
    <row r="18" spans="1:162" s="2812" customFormat="1" hidden="1">
      <c r="A18" s="2811" t="s">
        <v>137</v>
      </c>
      <c r="B18" s="1444" t="s">
        <v>276</v>
      </c>
      <c r="C18" s="30">
        <f t="shared" ref="C18" si="154">SUM(O18,AA18,AM18,AY18,BK18,BW18,CI18,CU18,DG18,DS18,EE18,EQ18)</f>
        <v>0</v>
      </c>
      <c r="D18" s="30">
        <f t="shared" ref="D18" si="155">SUM(P18,AB18,AN18,AZ18,BL18,BX18,CJ18,CV18,DH18,DT18,EF18,ER18)</f>
        <v>0</v>
      </c>
      <c r="E18" s="30">
        <f t="shared" ref="E18" si="156">SUM(Q18,AC18,AO18,BA18,BM18,BY18,CK18,CW18,DI18,DU18,EG18,ES18)</f>
        <v>120997</v>
      </c>
      <c r="F18" s="30">
        <f t="shared" ref="F18" si="157">SUM(R18,AD18,AP18,BB18,BN18,BZ18,CL18,CX18,DJ18,DV18,EH18,ET18)</f>
        <v>0</v>
      </c>
      <c r="G18" s="30">
        <f t="shared" ref="G18" si="158">SUM(S18,AE18,AQ18,BC18,BO18,CA18,CM18,CY18,DK18,DW18,EI18,EU18)</f>
        <v>0</v>
      </c>
      <c r="H18" s="30">
        <f t="shared" ref="H18" si="159">SUM(T18,AF18,AR18,BD18,BP18,CB18,CN18,CZ18,DL18,DX18,EJ18,EV18)</f>
        <v>0</v>
      </c>
      <c r="I18" s="30">
        <f t="shared" ref="I18" si="160">SUM(U18,AG18,AS18,BE18,BQ18,CC18,CO18,DA18,DM18,DY18,EK18,EW18)</f>
        <v>0</v>
      </c>
      <c r="J18" s="30">
        <f t="shared" ref="J18" si="161">SUM(V18,AH18,AT18,BF18,BR18,CD18,CP18,DB18,DN18,DZ18,EL18,EX18)</f>
        <v>0</v>
      </c>
      <c r="K18" s="13">
        <f t="shared" ref="K18:K19" si="162">+I18-G18</f>
        <v>0</v>
      </c>
      <c r="L18" s="13" t="e">
        <f t="shared" ref="L18:L19" si="163">+I18/G18*100</f>
        <v>#DIV/0!</v>
      </c>
      <c r="M18" s="13">
        <f t="shared" ref="M18:M19" si="164">+G18-C18</f>
        <v>0</v>
      </c>
      <c r="N18" s="13" t="e">
        <f t="shared" ref="N18:N19" si="165">+G18/C18*100</f>
        <v>#DIV/0!</v>
      </c>
      <c r="O18" s="2791">
        <f>0</f>
        <v>0</v>
      </c>
      <c r="P18" s="2791"/>
      <c r="Q18" s="2791">
        <f>505</f>
        <v>505</v>
      </c>
      <c r="R18" s="2791"/>
      <c r="S18" s="2791"/>
      <c r="T18" s="2791"/>
      <c r="U18" s="2791"/>
      <c r="V18" s="2791"/>
      <c r="W18" s="2791">
        <f>U18-S18</f>
        <v>0</v>
      </c>
      <c r="X18" s="30" t="e">
        <f t="shared" ref="X18:X19" si="166">U18/S18*100</f>
        <v>#DIV/0!</v>
      </c>
      <c r="Y18" s="2791">
        <f>S18-O18</f>
        <v>0</v>
      </c>
      <c r="Z18" s="30" t="e">
        <f t="shared" ref="Z18:Z19" si="167">S18/O18*100</f>
        <v>#DIV/0!</v>
      </c>
      <c r="AA18" s="2791">
        <f>0</f>
        <v>0</v>
      </c>
      <c r="AB18" s="2791"/>
      <c r="AC18" s="2791">
        <f>4127</f>
        <v>4127</v>
      </c>
      <c r="AD18" s="2791"/>
      <c r="AE18" s="2791"/>
      <c r="AF18" s="2791"/>
      <c r="AG18" s="2791"/>
      <c r="AH18" s="2791"/>
      <c r="AI18" s="2791">
        <f>AG18-AE18</f>
        <v>0</v>
      </c>
      <c r="AJ18" s="30" t="e">
        <f t="shared" ref="AJ18:AJ19" si="168">AG18/AE18*100</f>
        <v>#DIV/0!</v>
      </c>
      <c r="AK18" s="2791">
        <f>AE18-AA18</f>
        <v>0</v>
      </c>
      <c r="AL18" s="30" t="e">
        <f t="shared" ref="AL18:AL19" si="169">AE18/AA18*100</f>
        <v>#DIV/0!</v>
      </c>
      <c r="AM18" s="2791">
        <f>0</f>
        <v>0</v>
      </c>
      <c r="AN18" s="2791"/>
      <c r="AO18" s="2791">
        <v>1056</v>
      </c>
      <c r="AP18" s="2791"/>
      <c r="AQ18" s="2791"/>
      <c r="AR18" s="2791"/>
      <c r="AS18" s="2791"/>
      <c r="AT18" s="2791"/>
      <c r="AU18" s="2791">
        <f>AS18-AQ18</f>
        <v>0</v>
      </c>
      <c r="AV18" s="30" t="e">
        <f t="shared" ref="AV18:AV19" si="170">AS18/AQ18*100</f>
        <v>#DIV/0!</v>
      </c>
      <c r="AW18" s="2791">
        <f>AQ18-AM18</f>
        <v>0</v>
      </c>
      <c r="AX18" s="30" t="e">
        <f t="shared" ref="AX18:AX19" si="171">AQ18/AM18*100</f>
        <v>#DIV/0!</v>
      </c>
      <c r="AY18" s="2791">
        <v>0</v>
      </c>
      <c r="AZ18" s="2791"/>
      <c r="BA18" s="2791">
        <f>2859</f>
        <v>2859</v>
      </c>
      <c r="BB18" s="2791"/>
      <c r="BC18" s="2791"/>
      <c r="BD18" s="2791"/>
      <c r="BE18" s="2791"/>
      <c r="BF18" s="2791"/>
      <c r="BG18" s="2791">
        <f>BE18-BC18</f>
        <v>0</v>
      </c>
      <c r="BH18" s="30" t="e">
        <f t="shared" ref="BH18:BH19" si="172">BE18/BC18*100</f>
        <v>#DIV/0!</v>
      </c>
      <c r="BI18" s="2791">
        <f>BC18-AY18</f>
        <v>0</v>
      </c>
      <c r="BJ18" s="30" t="e">
        <f t="shared" ref="BJ18:BJ19" si="173">BC18/AY18*100</f>
        <v>#DIV/0!</v>
      </c>
      <c r="BK18" s="2791">
        <f>0</f>
        <v>0</v>
      </c>
      <c r="BL18" s="2791"/>
      <c r="BM18" s="2791">
        <v>6201</v>
      </c>
      <c r="BN18" s="2791"/>
      <c r="BO18" s="2791"/>
      <c r="BP18" s="2791"/>
      <c r="BQ18" s="2791"/>
      <c r="BR18" s="2791"/>
      <c r="BS18" s="2791">
        <f>BQ18-BO18</f>
        <v>0</v>
      </c>
      <c r="BT18" s="30" t="e">
        <f t="shared" ref="BT18:BT19" si="174">BQ18/BO18*100</f>
        <v>#DIV/0!</v>
      </c>
      <c r="BU18" s="2791">
        <f>BO18-BK18</f>
        <v>0</v>
      </c>
      <c r="BV18" s="30" t="e">
        <f t="shared" ref="BV18:BV19" si="175">BO18/BK18*100</f>
        <v>#DIV/0!</v>
      </c>
      <c r="BW18" s="2791">
        <f>0</f>
        <v>0</v>
      </c>
      <c r="BX18" s="2791"/>
      <c r="BY18" s="2791">
        <f>56673</f>
        <v>56673</v>
      </c>
      <c r="BZ18" s="2791"/>
      <c r="CA18" s="2791"/>
      <c r="CB18" s="2791"/>
      <c r="CC18" s="2791"/>
      <c r="CD18" s="2791"/>
      <c r="CE18" s="2791">
        <f>CC18-CA18</f>
        <v>0</v>
      </c>
      <c r="CF18" s="30" t="e">
        <f t="shared" ref="CF18:CF19" si="176">CC18/CA18*100</f>
        <v>#DIV/0!</v>
      </c>
      <c r="CG18" s="1809">
        <f>CA18-BW18</f>
        <v>0</v>
      </c>
      <c r="CH18" s="30" t="e">
        <f t="shared" ref="CH18:CH19" si="177">CA18/BW18*100</f>
        <v>#DIV/0!</v>
      </c>
      <c r="CI18" s="2791">
        <f>0</f>
        <v>0</v>
      </c>
      <c r="CJ18" s="2791"/>
      <c r="CK18" s="2791">
        <f>4595</f>
        <v>4595</v>
      </c>
      <c r="CL18" s="2791"/>
      <c r="CM18" s="2791"/>
      <c r="CN18" s="2791"/>
      <c r="CO18" s="2791"/>
      <c r="CP18" s="2791"/>
      <c r="CQ18" s="2791">
        <f>CO18-CM18</f>
        <v>0</v>
      </c>
      <c r="CR18" s="30" t="e">
        <f t="shared" ref="CR18:CR19" si="178">CO18/CM18*100</f>
        <v>#DIV/0!</v>
      </c>
      <c r="CS18" s="2791">
        <f>CM18-CI18</f>
        <v>0</v>
      </c>
      <c r="CT18" s="30" t="e">
        <f t="shared" ref="CT18:CT19" si="179">CM18/CI18*100</f>
        <v>#DIV/0!</v>
      </c>
      <c r="CU18" s="2791">
        <f>0</f>
        <v>0</v>
      </c>
      <c r="CV18" s="2791"/>
      <c r="CW18" s="2791">
        <f>3057</f>
        <v>3057</v>
      </c>
      <c r="CX18" s="2791"/>
      <c r="CY18" s="2791"/>
      <c r="CZ18" s="2791"/>
      <c r="DA18" s="2791"/>
      <c r="DB18" s="2791"/>
      <c r="DC18" s="2791">
        <f>DA18-CY18</f>
        <v>0</v>
      </c>
      <c r="DD18" s="30" t="e">
        <f t="shared" ref="DD18:DD19" si="180">DA18/CY18*100</f>
        <v>#DIV/0!</v>
      </c>
      <c r="DE18" s="2791">
        <f>CY18-CU18</f>
        <v>0</v>
      </c>
      <c r="DF18" s="30" t="e">
        <f t="shared" ref="DF18:DF19" si="181">CY18/CU18*100</f>
        <v>#DIV/0!</v>
      </c>
      <c r="DG18" s="2791">
        <f>0</f>
        <v>0</v>
      </c>
      <c r="DH18" s="2791"/>
      <c r="DI18" s="2810">
        <f>13652</f>
        <v>13652</v>
      </c>
      <c r="DJ18" s="2791"/>
      <c r="DK18" s="2791"/>
      <c r="DL18" s="2791"/>
      <c r="DM18" s="2791"/>
      <c r="DN18" s="2791"/>
      <c r="DO18" s="2791">
        <f>DM18-DK18</f>
        <v>0</v>
      </c>
      <c r="DP18" s="30" t="e">
        <f t="shared" ref="DP18:DP19" si="182">DM18/DK18*100</f>
        <v>#DIV/0!</v>
      </c>
      <c r="DQ18" s="2791">
        <f>DK18-DG18</f>
        <v>0</v>
      </c>
      <c r="DR18" s="30" t="e">
        <f t="shared" ref="DR18:DR19" si="183">DK18/DG18*100</f>
        <v>#DIV/0!</v>
      </c>
      <c r="DS18" s="2791">
        <f>0</f>
        <v>0</v>
      </c>
      <c r="DT18" s="2791"/>
      <c r="DU18" s="2810">
        <v>6181</v>
      </c>
      <c r="DV18" s="2791"/>
      <c r="DW18" s="2791"/>
      <c r="DX18" s="2791"/>
      <c r="DY18" s="2791"/>
      <c r="DZ18" s="2791"/>
      <c r="EA18" s="2791">
        <f>DY18-DW18</f>
        <v>0</v>
      </c>
      <c r="EB18" s="30" t="e">
        <f t="shared" ref="EB18:EB19" si="184">DY18/DW18*100</f>
        <v>#DIV/0!</v>
      </c>
      <c r="EC18" s="2791">
        <f>DW18-DS18</f>
        <v>0</v>
      </c>
      <c r="ED18" s="30" t="e">
        <f t="shared" ref="ED18:ED19" si="185">DW18/DS18*100</f>
        <v>#DIV/0!</v>
      </c>
      <c r="EE18" s="2791">
        <f>0</f>
        <v>0</v>
      </c>
      <c r="EF18" s="2791"/>
      <c r="EG18" s="2897">
        <f>18462</f>
        <v>18462</v>
      </c>
      <c r="EH18" s="2898"/>
      <c r="EI18" s="2791"/>
      <c r="EJ18" s="2791"/>
      <c r="EK18" s="2791"/>
      <c r="EL18" s="2791"/>
      <c r="EM18" s="2791">
        <f>EK18-EI18</f>
        <v>0</v>
      </c>
      <c r="EN18" s="30" t="e">
        <f t="shared" ref="EN18:EN19" si="186">EK18/EI18*100</f>
        <v>#DIV/0!</v>
      </c>
      <c r="EO18" s="2791">
        <f>EI18-EE18</f>
        <v>0</v>
      </c>
      <c r="EP18" s="30" t="e">
        <f t="shared" ref="EP18:EP19" si="187">EI18/EE18*100</f>
        <v>#DIV/0!</v>
      </c>
      <c r="EQ18" s="2791">
        <f>0</f>
        <v>0</v>
      </c>
      <c r="ER18" s="2791"/>
      <c r="ES18" s="2810">
        <v>3629</v>
      </c>
      <c r="ET18" s="2791"/>
      <c r="EU18" s="2791"/>
      <c r="EV18" s="2791"/>
      <c r="EW18" s="2791"/>
      <c r="EX18" s="2791"/>
      <c r="EY18" s="2791">
        <f>EW18-EU18</f>
        <v>0</v>
      </c>
      <c r="EZ18" s="30" t="e">
        <f t="shared" ref="EZ18:EZ19" si="188">EW18/EU18*100</f>
        <v>#DIV/0!</v>
      </c>
      <c r="FA18" s="2791">
        <f>EU18-EQ18</f>
        <v>0</v>
      </c>
      <c r="FB18" s="30" t="e">
        <f t="shared" ref="FB18:FB19" si="189">EU18/EQ18*100</f>
        <v>#DIV/0!</v>
      </c>
    </row>
    <row r="19" spans="1:162" s="2812" customFormat="1" hidden="1">
      <c r="A19" s="2811" t="s">
        <v>137</v>
      </c>
      <c r="B19" s="1444" t="s">
        <v>277</v>
      </c>
      <c r="C19" s="30">
        <f t="shared" ref="C19" si="190">SUM(O19,AA19,AM19,AY19,BK19,BW19,CI19,CU19,DG19,DS19,EE19,EQ19)</f>
        <v>309500</v>
      </c>
      <c r="D19" s="30">
        <f t="shared" ref="D19" si="191">SUM(P19,AB19,AN19,AZ19,BL19,BX19,CJ19,CV19,DH19,DT19,EF19,ER19)</f>
        <v>309500</v>
      </c>
      <c r="E19" s="30">
        <f t="shared" ref="E19" si="192">SUM(Q19,AC19,AO19,BA19,BM19,BY19,CK19,CW19,DI19,DU19,EG19,ES19)</f>
        <v>138128</v>
      </c>
      <c r="F19" s="30">
        <f t="shared" ref="F19" si="193">SUM(R19,AD19,AP19,BB19,BN19,BZ19,CL19,CX19,DJ19,DV19,EH19,ET19)</f>
        <v>138128</v>
      </c>
      <c r="G19" s="30">
        <f t="shared" ref="G19" si="194">SUM(S19,AE19,AQ19,BC19,BO19,CA19,CM19,CY19,DK19,DW19,EI19,EU19)</f>
        <v>286700</v>
      </c>
      <c r="H19" s="30">
        <f t="shared" ref="H19" si="195">SUM(T19,AF19,AR19,BD19,BP19,CB19,CN19,CZ19,DL19,DX19,EJ19,EV19)</f>
        <v>286700</v>
      </c>
      <c r="I19" s="30">
        <f t="shared" ref="I19" si="196">SUM(U19,AG19,AS19,BE19,BQ19,CC19,CO19,DA19,DM19,DY19,EK19,EW19)</f>
        <v>322000</v>
      </c>
      <c r="J19" s="30">
        <f t="shared" ref="J19" si="197">SUM(V19,AH19,AT19,BF19,BR19,CD19,CP19,DB19,DN19,DZ19,EL19,EX19)</f>
        <v>322000</v>
      </c>
      <c r="K19" s="13">
        <f t="shared" si="162"/>
        <v>35300</v>
      </c>
      <c r="L19" s="13">
        <f t="shared" si="163"/>
        <v>112.31252179979072</v>
      </c>
      <c r="M19" s="13">
        <f t="shared" si="164"/>
        <v>-22800</v>
      </c>
      <c r="N19" s="13">
        <f t="shared" si="165"/>
        <v>92.633279483037157</v>
      </c>
      <c r="O19" s="2791">
        <v>11000</v>
      </c>
      <c r="P19" s="2791">
        <f>O19</f>
        <v>11000</v>
      </c>
      <c r="Q19" s="2791">
        <f>7041-Q18</f>
        <v>6536</v>
      </c>
      <c r="R19" s="2791">
        <f>Q19</f>
        <v>6536</v>
      </c>
      <c r="S19" s="2864">
        <f>11000-1000-S18</f>
        <v>10000</v>
      </c>
      <c r="T19" s="2791">
        <f>S19</f>
        <v>10000</v>
      </c>
      <c r="U19" s="2791">
        <f>13000-1000-U18</f>
        <v>12000</v>
      </c>
      <c r="V19" s="2791">
        <f>U19</f>
        <v>12000</v>
      </c>
      <c r="W19" s="2791">
        <f t="shared" ref="W19" si="198">U19-S19</f>
        <v>2000</v>
      </c>
      <c r="X19" s="30">
        <f t="shared" si="166"/>
        <v>120</v>
      </c>
      <c r="Y19" s="2791">
        <f t="shared" ref="Y19" si="199">S19-O19</f>
        <v>-1000</v>
      </c>
      <c r="Z19" s="30">
        <f t="shared" si="167"/>
        <v>90.909090909090907</v>
      </c>
      <c r="AA19" s="2791">
        <v>23500</v>
      </c>
      <c r="AB19" s="2791">
        <f>AA19</f>
        <v>23500</v>
      </c>
      <c r="AC19" s="2791">
        <f>13214-AC18</f>
        <v>9087</v>
      </c>
      <c r="AD19" s="2791">
        <f>AC19</f>
        <v>9087</v>
      </c>
      <c r="AE19" s="2864">
        <f>21000-1500-AE18</f>
        <v>19500</v>
      </c>
      <c r="AF19" s="2791">
        <f>AE19</f>
        <v>19500</v>
      </c>
      <c r="AG19" s="2791">
        <f>22000-AG18-2000</f>
        <v>20000</v>
      </c>
      <c r="AH19" s="2791">
        <f>AG19</f>
        <v>20000</v>
      </c>
      <c r="AI19" s="2791">
        <f t="shared" ref="AI19" si="200">AG19-AE19</f>
        <v>500</v>
      </c>
      <c r="AJ19" s="30">
        <f t="shared" si="168"/>
        <v>102.56410256410255</v>
      </c>
      <c r="AK19" s="2791">
        <f t="shared" ref="AK19" si="201">AE19-AA19</f>
        <v>-4000</v>
      </c>
      <c r="AL19" s="30">
        <f t="shared" si="169"/>
        <v>82.978723404255319</v>
      </c>
      <c r="AM19" s="2791">
        <v>10000</v>
      </c>
      <c r="AN19" s="2791">
        <f>AM19</f>
        <v>10000</v>
      </c>
      <c r="AO19" s="2791">
        <f>10113-AO18</f>
        <v>9057</v>
      </c>
      <c r="AP19" s="2791">
        <f>AO19</f>
        <v>9057</v>
      </c>
      <c r="AQ19" s="2791">
        <f>14000-AQ18</f>
        <v>14000</v>
      </c>
      <c r="AR19" s="2791">
        <f>AQ19</f>
        <v>14000</v>
      </c>
      <c r="AS19" s="2791">
        <f>15000-AS18</f>
        <v>15000</v>
      </c>
      <c r="AT19" s="2791">
        <f>AS19</f>
        <v>15000</v>
      </c>
      <c r="AU19" s="2791">
        <f t="shared" ref="AU19" si="202">AS19-AQ19</f>
        <v>1000</v>
      </c>
      <c r="AV19" s="30">
        <f t="shared" si="170"/>
        <v>107.14285714285714</v>
      </c>
      <c r="AW19" s="2791">
        <f t="shared" ref="AW19" si="203">AQ19-AM19</f>
        <v>4000</v>
      </c>
      <c r="AX19" s="30">
        <f t="shared" si="171"/>
        <v>140</v>
      </c>
      <c r="AY19" s="2791">
        <v>16000</v>
      </c>
      <c r="AZ19" s="2791">
        <f>AY19</f>
        <v>16000</v>
      </c>
      <c r="BA19" s="2791">
        <f>12466-BA18</f>
        <v>9607</v>
      </c>
      <c r="BB19" s="2791">
        <f>BA19</f>
        <v>9607</v>
      </c>
      <c r="BC19" s="2791">
        <f>16200-BC18</f>
        <v>16200</v>
      </c>
      <c r="BD19" s="2791">
        <f>BC19</f>
        <v>16200</v>
      </c>
      <c r="BE19" s="2791">
        <f>18000-BE18</f>
        <v>18000</v>
      </c>
      <c r="BF19" s="2791">
        <f>BE19</f>
        <v>18000</v>
      </c>
      <c r="BG19" s="2791">
        <f t="shared" ref="BG19" si="204">BE19-BC19</f>
        <v>1800</v>
      </c>
      <c r="BH19" s="30">
        <f t="shared" si="172"/>
        <v>111.11111111111111</v>
      </c>
      <c r="BI19" s="2791">
        <f t="shared" ref="BI19" si="205">BC19-AY19</f>
        <v>200</v>
      </c>
      <c r="BJ19" s="30">
        <f t="shared" si="173"/>
        <v>101.25</v>
      </c>
      <c r="BK19" s="2791">
        <v>14500</v>
      </c>
      <c r="BL19" s="2791">
        <f>BK19</f>
        <v>14500</v>
      </c>
      <c r="BM19" s="2791">
        <f>13921-BM18</f>
        <v>7720</v>
      </c>
      <c r="BN19" s="2791">
        <f>BM19</f>
        <v>7720</v>
      </c>
      <c r="BO19" s="2791">
        <f>14500-BO18</f>
        <v>14500</v>
      </c>
      <c r="BP19" s="2791">
        <f>BO19</f>
        <v>14500</v>
      </c>
      <c r="BQ19" s="2791">
        <f>17000-BQ18</f>
        <v>17000</v>
      </c>
      <c r="BR19" s="2791">
        <f>BQ19</f>
        <v>17000</v>
      </c>
      <c r="BS19" s="2791">
        <f t="shared" ref="BS19" si="206">BQ19-BO19</f>
        <v>2500</v>
      </c>
      <c r="BT19" s="30">
        <f t="shared" si="174"/>
        <v>117.24137931034481</v>
      </c>
      <c r="BU19" s="2791">
        <f t="shared" ref="BU19" si="207">BO19-BK19</f>
        <v>0</v>
      </c>
      <c r="BV19" s="30">
        <f t="shared" si="175"/>
        <v>100</v>
      </c>
      <c r="BW19" s="2791">
        <v>57000</v>
      </c>
      <c r="BX19" s="2791">
        <f>BW19</f>
        <v>57000</v>
      </c>
      <c r="BY19" s="2791">
        <f>78521-BY18</f>
        <v>21848</v>
      </c>
      <c r="BZ19" s="2791">
        <f>BY19</f>
        <v>21848</v>
      </c>
      <c r="CA19" s="2791">
        <f>60000-CA18</f>
        <v>60000</v>
      </c>
      <c r="CB19" s="2791">
        <f>CA19</f>
        <v>60000</v>
      </c>
      <c r="CC19" s="2791">
        <f>70000-CC18</f>
        <v>70000</v>
      </c>
      <c r="CD19" s="2791">
        <f>CC19</f>
        <v>70000</v>
      </c>
      <c r="CE19" s="2791">
        <f t="shared" ref="CE19" si="208">CC19-CA19</f>
        <v>10000</v>
      </c>
      <c r="CF19" s="30">
        <f t="shared" si="176"/>
        <v>116.66666666666667</v>
      </c>
      <c r="CG19" s="1809">
        <f t="shared" ref="CG19" si="209">CA19-BW19</f>
        <v>3000</v>
      </c>
      <c r="CH19" s="30">
        <f t="shared" si="177"/>
        <v>105.26315789473684</v>
      </c>
      <c r="CI19" s="2791">
        <v>30000</v>
      </c>
      <c r="CJ19" s="2791">
        <f>CI19</f>
        <v>30000</v>
      </c>
      <c r="CK19" s="2791">
        <f>20004-CK18</f>
        <v>15409</v>
      </c>
      <c r="CL19" s="2791">
        <f>CK19</f>
        <v>15409</v>
      </c>
      <c r="CM19" s="2791">
        <f>29000-CM18</f>
        <v>29000</v>
      </c>
      <c r="CN19" s="2791">
        <f>CM19</f>
        <v>29000</v>
      </c>
      <c r="CO19" s="2791">
        <f>32000-CO18</f>
        <v>32000</v>
      </c>
      <c r="CP19" s="2791">
        <f>CO19</f>
        <v>32000</v>
      </c>
      <c r="CQ19" s="2791">
        <f t="shared" ref="CQ19" si="210">CO19-CM19</f>
        <v>3000</v>
      </c>
      <c r="CR19" s="30">
        <f t="shared" si="178"/>
        <v>110.34482758620689</v>
      </c>
      <c r="CS19" s="2791">
        <f t="shared" ref="CS19" si="211">CM19-CI19</f>
        <v>-1000</v>
      </c>
      <c r="CT19" s="30">
        <f t="shared" si="179"/>
        <v>96.666666666666671</v>
      </c>
      <c r="CU19" s="2791">
        <v>34000</v>
      </c>
      <c r="CV19" s="2791">
        <f>CU19</f>
        <v>34000</v>
      </c>
      <c r="CW19" s="2791">
        <f>17226-CW18</f>
        <v>14169</v>
      </c>
      <c r="CX19" s="2791">
        <f>CW19</f>
        <v>14169</v>
      </c>
      <c r="CY19" s="2791">
        <f>26000-CY18</f>
        <v>26000</v>
      </c>
      <c r="CZ19" s="2791">
        <f>CY19</f>
        <v>26000</v>
      </c>
      <c r="DA19" s="2791">
        <f>31000-DA18</f>
        <v>31000</v>
      </c>
      <c r="DB19" s="2791">
        <f>DA19</f>
        <v>31000</v>
      </c>
      <c r="DC19" s="2791">
        <f t="shared" ref="DC19" si="212">DA19-CY19</f>
        <v>5000</v>
      </c>
      <c r="DD19" s="30">
        <f t="shared" si="180"/>
        <v>119.23076923076923</v>
      </c>
      <c r="DE19" s="2791">
        <f t="shared" ref="DE19" si="213">CY19-CU19</f>
        <v>-8000</v>
      </c>
      <c r="DF19" s="30">
        <f t="shared" si="181"/>
        <v>76.470588235294116</v>
      </c>
      <c r="DG19" s="2791">
        <v>26000</v>
      </c>
      <c r="DH19" s="2791">
        <f>DG19</f>
        <v>26000</v>
      </c>
      <c r="DI19" s="2791">
        <f>25311-DI18</f>
        <v>11659</v>
      </c>
      <c r="DJ19" s="2791">
        <f>DI19</f>
        <v>11659</v>
      </c>
      <c r="DK19" s="2791">
        <f>23000-DK18</f>
        <v>23000</v>
      </c>
      <c r="DL19" s="2791">
        <f>DK19</f>
        <v>23000</v>
      </c>
      <c r="DM19" s="2791">
        <f>25000-DM18</f>
        <v>25000</v>
      </c>
      <c r="DN19" s="2791">
        <f>DM19</f>
        <v>25000</v>
      </c>
      <c r="DO19" s="2791">
        <f t="shared" ref="DO19" si="214">DM19-DK19</f>
        <v>2000</v>
      </c>
      <c r="DP19" s="30">
        <f t="shared" si="182"/>
        <v>108.69565217391303</v>
      </c>
      <c r="DQ19" s="2791">
        <f t="shared" ref="DQ19" si="215">DK19-DG19</f>
        <v>-3000</v>
      </c>
      <c r="DR19" s="30">
        <f t="shared" si="183"/>
        <v>88.461538461538453</v>
      </c>
      <c r="DS19" s="2810">
        <v>26000</v>
      </c>
      <c r="DT19" s="2810">
        <f>DS19</f>
        <v>26000</v>
      </c>
      <c r="DU19" s="2810">
        <f>16765-DU18</f>
        <v>10584</v>
      </c>
      <c r="DV19" s="2810">
        <f>DU19</f>
        <v>10584</v>
      </c>
      <c r="DW19" s="2810">
        <f>22000-DW18</f>
        <v>22000</v>
      </c>
      <c r="DX19" s="2810">
        <f>DW19</f>
        <v>22000</v>
      </c>
      <c r="DY19" s="2810">
        <f>24000-DY18</f>
        <v>24000</v>
      </c>
      <c r="DZ19" s="2810">
        <f>DY19</f>
        <v>24000</v>
      </c>
      <c r="EA19" s="2791">
        <f t="shared" ref="EA19" si="216">DY19-DW19</f>
        <v>2000</v>
      </c>
      <c r="EB19" s="30">
        <f t="shared" si="184"/>
        <v>109.09090909090908</v>
      </c>
      <c r="EC19" s="2791">
        <f t="shared" ref="EC19" si="217">DW19-DS19</f>
        <v>-4000</v>
      </c>
      <c r="ED19" s="30">
        <f t="shared" si="185"/>
        <v>84.615384615384613</v>
      </c>
      <c r="EE19" s="2791">
        <v>43000</v>
      </c>
      <c r="EF19" s="2791">
        <f>EE19</f>
        <v>43000</v>
      </c>
      <c r="EG19" s="2898">
        <f>32494-EG18</f>
        <v>14032</v>
      </c>
      <c r="EH19" s="2898">
        <f>EG19</f>
        <v>14032</v>
      </c>
      <c r="EI19" s="2791">
        <v>35000</v>
      </c>
      <c r="EJ19" s="2791">
        <f>EI19</f>
        <v>35000</v>
      </c>
      <c r="EK19" s="2791">
        <v>39000</v>
      </c>
      <c r="EL19" s="2791">
        <f>EK19</f>
        <v>39000</v>
      </c>
      <c r="EM19" s="2791">
        <f t="shared" ref="EM19" si="218">EK19-EI19</f>
        <v>4000</v>
      </c>
      <c r="EN19" s="30">
        <f t="shared" si="186"/>
        <v>111.42857142857143</v>
      </c>
      <c r="EO19" s="2791">
        <f t="shared" ref="EO19" si="219">EI19-EE19</f>
        <v>-8000</v>
      </c>
      <c r="EP19" s="30">
        <f t="shared" si="187"/>
        <v>81.395348837209298</v>
      </c>
      <c r="EQ19" s="2810">
        <v>18500</v>
      </c>
      <c r="ER19" s="2810">
        <f>EQ19</f>
        <v>18500</v>
      </c>
      <c r="ES19" s="2810">
        <f>12049-ES18</f>
        <v>8420</v>
      </c>
      <c r="ET19" s="2810">
        <f>ES19</f>
        <v>8420</v>
      </c>
      <c r="EU19" s="2810">
        <f>17500</f>
        <v>17500</v>
      </c>
      <c r="EV19" s="2810">
        <f>EU19</f>
        <v>17500</v>
      </c>
      <c r="EW19" s="2810">
        <f>19000-EW18</f>
        <v>19000</v>
      </c>
      <c r="EX19" s="2810">
        <f>EW19</f>
        <v>19000</v>
      </c>
      <c r="EY19" s="2791">
        <f t="shared" ref="EY19" si="220">EW19-EU19</f>
        <v>1500</v>
      </c>
      <c r="EZ19" s="30">
        <f t="shared" si="188"/>
        <v>108.57142857142857</v>
      </c>
      <c r="FA19" s="2791">
        <f t="shared" ref="FA19" si="221">EU19-EQ19</f>
        <v>-1000</v>
      </c>
      <c r="FB19" s="30">
        <f t="shared" si="189"/>
        <v>94.594594594594597</v>
      </c>
    </row>
    <row r="20" spans="1:162" s="2759" customFormat="1" ht="25.2" customHeight="1">
      <c r="A20" s="2735">
        <v>3</v>
      </c>
      <c r="B20" s="2736" t="s">
        <v>353</v>
      </c>
      <c r="C20" s="2737">
        <f t="shared" si="79"/>
        <v>295000</v>
      </c>
      <c r="D20" s="2737">
        <f t="shared" si="79"/>
        <v>295000</v>
      </c>
      <c r="E20" s="2737">
        <f t="shared" si="79"/>
        <v>198142</v>
      </c>
      <c r="F20" s="2737">
        <f t="shared" si="79"/>
        <v>198142</v>
      </c>
      <c r="G20" s="2737">
        <f t="shared" si="79"/>
        <v>317500</v>
      </c>
      <c r="H20" s="2737">
        <f t="shared" si="80"/>
        <v>317500</v>
      </c>
      <c r="I20" s="2737">
        <f t="shared" si="80"/>
        <v>350000</v>
      </c>
      <c r="J20" s="2737">
        <f t="shared" si="80"/>
        <v>350000</v>
      </c>
      <c r="K20" s="2737">
        <f t="shared" si="30"/>
        <v>32500</v>
      </c>
      <c r="L20" s="2737">
        <f>+I20/G20*100</f>
        <v>110.23622047244095</v>
      </c>
      <c r="M20" s="2737">
        <f t="shared" si="32"/>
        <v>22500</v>
      </c>
      <c r="N20" s="2737">
        <f t="shared" si="1"/>
        <v>107.62711864406779</v>
      </c>
      <c r="O20" s="2737">
        <v>13000</v>
      </c>
      <c r="P20" s="2737">
        <f>O20</f>
        <v>13000</v>
      </c>
      <c r="Q20" s="2737">
        <v>9102</v>
      </c>
      <c r="R20" s="2737">
        <f>Q20</f>
        <v>9102</v>
      </c>
      <c r="S20" s="2737">
        <v>14000</v>
      </c>
      <c r="T20" s="2737">
        <f>+S20</f>
        <v>14000</v>
      </c>
      <c r="U20" s="2737">
        <f>17000-2000</f>
        <v>15000</v>
      </c>
      <c r="V20" s="2737">
        <f>U20</f>
        <v>15000</v>
      </c>
      <c r="W20" s="2737">
        <f t="shared" ref="W20:W22" si="222">+U20-S20</f>
        <v>1000</v>
      </c>
      <c r="X20" s="2737">
        <f>+U20/S20*100</f>
        <v>107.14285714285714</v>
      </c>
      <c r="Y20" s="2737">
        <f t="shared" ref="Y20:Y22" si="223">+S20-O20</f>
        <v>1000</v>
      </c>
      <c r="Z20" s="2737">
        <f>+S20/O20*100</f>
        <v>107.69230769230769</v>
      </c>
      <c r="AA20" s="2737">
        <v>22000</v>
      </c>
      <c r="AB20" s="2737">
        <f>AA20</f>
        <v>22000</v>
      </c>
      <c r="AC20" s="2737">
        <f>14151</f>
        <v>14151</v>
      </c>
      <c r="AD20" s="2737">
        <f>AC20</f>
        <v>14151</v>
      </c>
      <c r="AE20" s="77">
        <f>23000-1000</f>
        <v>22000</v>
      </c>
      <c r="AF20" s="2790">
        <f>+AE20</f>
        <v>22000</v>
      </c>
      <c r="AG20" s="2737">
        <v>24000</v>
      </c>
      <c r="AH20" s="2737">
        <f>AG20</f>
        <v>24000</v>
      </c>
      <c r="AI20" s="2737">
        <f t="shared" ref="AI20:AI22" si="224">+AG20-AE20</f>
        <v>2000</v>
      </c>
      <c r="AJ20" s="2737">
        <f>+AG20/AE20*100</f>
        <v>109.09090909090908</v>
      </c>
      <c r="AK20" s="2737">
        <f t="shared" ref="AK20:AK22" si="225">+AE20-AA20</f>
        <v>0</v>
      </c>
      <c r="AL20" s="2737">
        <f>+AE20/AA20*100</f>
        <v>100</v>
      </c>
      <c r="AM20" s="2737">
        <v>8000</v>
      </c>
      <c r="AN20" s="2737">
        <f>AM20</f>
        <v>8000</v>
      </c>
      <c r="AO20" s="2737">
        <f>8625</f>
        <v>8625</v>
      </c>
      <c r="AP20" s="2737">
        <f>AO20</f>
        <v>8625</v>
      </c>
      <c r="AQ20" s="2790">
        <v>13500</v>
      </c>
      <c r="AR20" s="2790">
        <f>+AQ20</f>
        <v>13500</v>
      </c>
      <c r="AS20" s="2737">
        <v>15000</v>
      </c>
      <c r="AT20" s="2737">
        <f>AS20</f>
        <v>15000</v>
      </c>
      <c r="AU20" s="2737">
        <f t="shared" ref="AU20:AU22" si="226">+AS20-AQ20</f>
        <v>1500</v>
      </c>
      <c r="AV20" s="2737">
        <f>+AS20/AQ20*100</f>
        <v>111.11111111111111</v>
      </c>
      <c r="AW20" s="2737">
        <f t="shared" ref="AW20:AW22" si="227">+AQ20-AM20</f>
        <v>5500</v>
      </c>
      <c r="AX20" s="2737">
        <f>+AQ20/AM20*100</f>
        <v>168.75</v>
      </c>
      <c r="AY20" s="2737">
        <v>15000</v>
      </c>
      <c r="AZ20" s="2737">
        <f>AY20</f>
        <v>15000</v>
      </c>
      <c r="BA20" s="2737">
        <v>10936</v>
      </c>
      <c r="BB20" s="2737">
        <f>BA20</f>
        <v>10936</v>
      </c>
      <c r="BC20" s="2737">
        <f>18000</f>
        <v>18000</v>
      </c>
      <c r="BD20" s="2737">
        <f>+BC20</f>
        <v>18000</v>
      </c>
      <c r="BE20" s="2737">
        <v>20000</v>
      </c>
      <c r="BF20" s="2737">
        <f>BE20</f>
        <v>20000</v>
      </c>
      <c r="BG20" s="2737">
        <f t="shared" ref="BG20:BG22" si="228">+BE20-BC20</f>
        <v>2000</v>
      </c>
      <c r="BH20" s="2737">
        <f>+BE20/BC20*100</f>
        <v>111.11111111111111</v>
      </c>
      <c r="BI20" s="2737">
        <f t="shared" ref="BI20:BI22" si="229">+BC20-AY20</f>
        <v>3000</v>
      </c>
      <c r="BJ20" s="2737">
        <f>+BC20/AY20*100</f>
        <v>120</v>
      </c>
      <c r="BK20" s="2737">
        <v>18000</v>
      </c>
      <c r="BL20" s="2737">
        <f>BK20</f>
        <v>18000</v>
      </c>
      <c r="BM20" s="2737">
        <f>13867</f>
        <v>13867</v>
      </c>
      <c r="BN20" s="2737">
        <f>BM20</f>
        <v>13867</v>
      </c>
      <c r="BO20" s="2737">
        <v>23000</v>
      </c>
      <c r="BP20" s="2737">
        <f>+BO20</f>
        <v>23000</v>
      </c>
      <c r="BQ20" s="2737">
        <v>26000</v>
      </c>
      <c r="BR20" s="2737">
        <f>BQ20</f>
        <v>26000</v>
      </c>
      <c r="BS20" s="2737">
        <f t="shared" si="50"/>
        <v>3000</v>
      </c>
      <c r="BT20" s="2737">
        <f>+BQ20/BO20*100</f>
        <v>113.04347826086956</v>
      </c>
      <c r="BU20" s="2737">
        <f t="shared" si="51"/>
        <v>5000</v>
      </c>
      <c r="BV20" s="2737">
        <f>+BO20/BK20*100</f>
        <v>127.77777777777777</v>
      </c>
      <c r="BW20" s="2737">
        <v>60000</v>
      </c>
      <c r="BX20" s="2737">
        <f>BW20</f>
        <v>60000</v>
      </c>
      <c r="BY20" s="2737">
        <f>37509</f>
        <v>37509</v>
      </c>
      <c r="BZ20" s="2737">
        <f>BY20</f>
        <v>37509</v>
      </c>
      <c r="CA20" s="2790">
        <v>64000</v>
      </c>
      <c r="CB20" s="2790">
        <f>+CA20</f>
        <v>64000</v>
      </c>
      <c r="CC20" s="2737">
        <v>72000</v>
      </c>
      <c r="CD20" s="2737">
        <f>CC20</f>
        <v>72000</v>
      </c>
      <c r="CE20" s="2737">
        <f t="shared" ref="CE20:CE22" si="230">+CC20-CA20</f>
        <v>8000</v>
      </c>
      <c r="CF20" s="2737">
        <f>+CC20/CA20*100</f>
        <v>112.5</v>
      </c>
      <c r="CG20" s="2809">
        <f t="shared" ref="CG20:CG22" si="231">+CA20-BW20</f>
        <v>4000</v>
      </c>
      <c r="CH20" s="2737">
        <f>+CA20/BW20*100</f>
        <v>106.66666666666667</v>
      </c>
      <c r="CI20" s="2737">
        <v>30000</v>
      </c>
      <c r="CJ20" s="2737">
        <f>CI20</f>
        <v>30000</v>
      </c>
      <c r="CK20" s="2737">
        <f>22293</f>
        <v>22293</v>
      </c>
      <c r="CL20" s="2737">
        <f>CK20</f>
        <v>22293</v>
      </c>
      <c r="CM20" s="2737">
        <v>35000</v>
      </c>
      <c r="CN20" s="2737">
        <f>+CM20</f>
        <v>35000</v>
      </c>
      <c r="CO20" s="2737">
        <v>38000</v>
      </c>
      <c r="CP20" s="2737">
        <f>CO20</f>
        <v>38000</v>
      </c>
      <c r="CQ20" s="2737">
        <f t="shared" ref="CQ20:CQ22" si="232">+CO20-CM20</f>
        <v>3000</v>
      </c>
      <c r="CR20" s="2737">
        <f>+CO20/CM20*100</f>
        <v>108.57142857142857</v>
      </c>
      <c r="CS20" s="2737">
        <f t="shared" ref="CS20:CS22" si="233">+CM20-CI20</f>
        <v>5000</v>
      </c>
      <c r="CT20" s="2737">
        <f>+CM20/CI20*100</f>
        <v>116.66666666666667</v>
      </c>
      <c r="CU20" s="2737">
        <v>30000</v>
      </c>
      <c r="CV20" s="2737">
        <f>CU20</f>
        <v>30000</v>
      </c>
      <c r="CW20" s="2737">
        <f>19454</f>
        <v>19454</v>
      </c>
      <c r="CX20" s="2737">
        <f>CW20</f>
        <v>19454</v>
      </c>
      <c r="CY20" s="2737">
        <v>30000</v>
      </c>
      <c r="CZ20" s="2737">
        <f>+CY20</f>
        <v>30000</v>
      </c>
      <c r="DA20" s="2737">
        <v>33000</v>
      </c>
      <c r="DB20" s="2737">
        <f>DA20</f>
        <v>33000</v>
      </c>
      <c r="DC20" s="2737">
        <f t="shared" ref="DC20:DC22" si="234">+DA20-CY20</f>
        <v>3000</v>
      </c>
      <c r="DD20" s="2737">
        <f>+DA20/CY20*100</f>
        <v>110.00000000000001</v>
      </c>
      <c r="DE20" s="2737">
        <f t="shared" ref="DE20:DE22" si="235">+CY20-CU20</f>
        <v>0</v>
      </c>
      <c r="DF20" s="2737">
        <f>+CY20/CU20*100</f>
        <v>100</v>
      </c>
      <c r="DG20" s="2737">
        <v>22000</v>
      </c>
      <c r="DH20" s="2737">
        <f>DG20</f>
        <v>22000</v>
      </c>
      <c r="DI20" s="2737">
        <v>15202</v>
      </c>
      <c r="DJ20" s="2737">
        <f>DI20</f>
        <v>15202</v>
      </c>
      <c r="DK20" s="2790">
        <v>23000</v>
      </c>
      <c r="DL20" s="2790">
        <f>+DK20</f>
        <v>23000</v>
      </c>
      <c r="DM20" s="2790">
        <v>25000</v>
      </c>
      <c r="DN20" s="2790">
        <f>DM20</f>
        <v>25000</v>
      </c>
      <c r="DO20" s="2737">
        <f t="shared" ref="DO20:DO22" si="236">+DM20-DK20</f>
        <v>2000</v>
      </c>
      <c r="DP20" s="2737">
        <f>+DM20/DK20*100</f>
        <v>108.69565217391303</v>
      </c>
      <c r="DQ20" s="2737">
        <f t="shared" ref="DQ20:DQ22" si="237">+DK20-DG20</f>
        <v>1000</v>
      </c>
      <c r="DR20" s="2737">
        <f>+DK20/DG20*100</f>
        <v>104.54545454545455</v>
      </c>
      <c r="DS20" s="2737">
        <v>21000</v>
      </c>
      <c r="DT20" s="2737">
        <f>DS20</f>
        <v>21000</v>
      </c>
      <c r="DU20" s="2737">
        <v>15734</v>
      </c>
      <c r="DV20" s="2737">
        <f>DU20</f>
        <v>15734</v>
      </c>
      <c r="DW20" s="2790">
        <v>22000</v>
      </c>
      <c r="DX20" s="2790">
        <f>+DW20</f>
        <v>22000</v>
      </c>
      <c r="DY20" s="2790">
        <v>24000</v>
      </c>
      <c r="DZ20" s="2790">
        <f>DY20</f>
        <v>24000</v>
      </c>
      <c r="EA20" s="2737">
        <f t="shared" ref="EA20:EA22" si="238">+DY20-DW20</f>
        <v>2000</v>
      </c>
      <c r="EB20" s="2737">
        <f>+DY20/DW20*100</f>
        <v>109.09090909090908</v>
      </c>
      <c r="EC20" s="2737">
        <f t="shared" ref="EC20:EC22" si="239">+DW20-DS20</f>
        <v>1000</v>
      </c>
      <c r="ED20" s="2737">
        <f>+DW20/DS20*100</f>
        <v>104.76190476190477</v>
      </c>
      <c r="EE20" s="2737">
        <v>36000</v>
      </c>
      <c r="EF20" s="2737">
        <f>EE20</f>
        <v>36000</v>
      </c>
      <c r="EG20" s="2738">
        <v>19882</v>
      </c>
      <c r="EH20" s="2738">
        <f>EG20</f>
        <v>19882</v>
      </c>
      <c r="EI20" s="2737">
        <v>31000</v>
      </c>
      <c r="EJ20" s="2737">
        <f>+EI20</f>
        <v>31000</v>
      </c>
      <c r="EK20" s="2790">
        <v>33000</v>
      </c>
      <c r="EL20" s="2790">
        <f>EK20</f>
        <v>33000</v>
      </c>
      <c r="EM20" s="2737">
        <f t="shared" ref="EM20:EM22" si="240">+EK20-EI20</f>
        <v>2000</v>
      </c>
      <c r="EN20" s="2737">
        <f>+EK20/EI20*100</f>
        <v>106.45161290322579</v>
      </c>
      <c r="EO20" s="2737">
        <f t="shared" ref="EO20:EO22" si="241">+EI20-EE20</f>
        <v>-5000</v>
      </c>
      <c r="EP20" s="2737">
        <f>+EI20/EE20*100</f>
        <v>86.111111111111114</v>
      </c>
      <c r="EQ20" s="2737">
        <v>20000</v>
      </c>
      <c r="ER20" s="2737">
        <f>EQ20</f>
        <v>20000</v>
      </c>
      <c r="ES20" s="2737">
        <v>11387</v>
      </c>
      <c r="ET20" s="2737">
        <f>ES20</f>
        <v>11387</v>
      </c>
      <c r="EU20" s="2737">
        <v>22000</v>
      </c>
      <c r="EV20" s="2737">
        <f>+EU20</f>
        <v>22000</v>
      </c>
      <c r="EW20" s="2737">
        <v>25000</v>
      </c>
      <c r="EX20" s="2737">
        <f>EW20</f>
        <v>25000</v>
      </c>
      <c r="EY20" s="2737">
        <f t="shared" ref="EY20:EY22" si="242">+EW20-EU20</f>
        <v>3000</v>
      </c>
      <c r="EZ20" s="2737">
        <f>+EW20/EU20*100</f>
        <v>113.63636363636364</v>
      </c>
      <c r="FA20" s="2737">
        <f t="shared" ref="FA20:FA22" si="243">+EU20-EQ20</f>
        <v>2000</v>
      </c>
      <c r="FB20" s="2737">
        <f>+EU20/EQ20*100</f>
        <v>110.00000000000001</v>
      </c>
      <c r="FC20" s="2739">
        <f>E20/C20</f>
        <v>0.67166779661016951</v>
      </c>
      <c r="FD20" s="2739">
        <f>F20/D20</f>
        <v>0.67166779661016951</v>
      </c>
      <c r="FE20" s="2740">
        <f t="shared" si="153"/>
        <v>-96858</v>
      </c>
      <c r="FF20" s="2740">
        <f t="shared" si="153"/>
        <v>-96858</v>
      </c>
    </row>
    <row r="21" spans="1:162" s="2759" customFormat="1" ht="25.2" customHeight="1">
      <c r="A21" s="2735">
        <v>4</v>
      </c>
      <c r="B21" s="2736" t="s">
        <v>354</v>
      </c>
      <c r="C21" s="2737">
        <f t="shared" si="79"/>
        <v>0</v>
      </c>
      <c r="D21" s="2737">
        <f t="shared" si="79"/>
        <v>0</v>
      </c>
      <c r="E21" s="2737">
        <f t="shared" si="79"/>
        <v>342</v>
      </c>
      <c r="F21" s="2737">
        <f t="shared" si="79"/>
        <v>342</v>
      </c>
      <c r="G21" s="2737">
        <f t="shared" si="79"/>
        <v>455</v>
      </c>
      <c r="H21" s="2737">
        <f t="shared" si="80"/>
        <v>455</v>
      </c>
      <c r="I21" s="2737">
        <f t="shared" si="80"/>
        <v>0</v>
      </c>
      <c r="J21" s="2737">
        <f t="shared" si="80"/>
        <v>0</v>
      </c>
      <c r="K21" s="2737">
        <f t="shared" si="30"/>
        <v>-455</v>
      </c>
      <c r="L21" s="2737"/>
      <c r="M21" s="2737">
        <f t="shared" si="32"/>
        <v>455</v>
      </c>
      <c r="N21" s="2737"/>
      <c r="O21" s="2737">
        <v>0</v>
      </c>
      <c r="P21" s="2737">
        <f>O21</f>
        <v>0</v>
      </c>
      <c r="Q21" s="2737">
        <v>0</v>
      </c>
      <c r="R21" s="2737">
        <f>Q21</f>
        <v>0</v>
      </c>
      <c r="S21" s="2737"/>
      <c r="T21" s="2737">
        <f>+S21</f>
        <v>0</v>
      </c>
      <c r="U21" s="2737">
        <v>0</v>
      </c>
      <c r="V21" s="2737">
        <f>U21</f>
        <v>0</v>
      </c>
      <c r="W21" s="2737">
        <f t="shared" si="222"/>
        <v>0</v>
      </c>
      <c r="X21" s="2737"/>
      <c r="Y21" s="2737">
        <f t="shared" si="223"/>
        <v>0</v>
      </c>
      <c r="Z21" s="2737"/>
      <c r="AA21" s="2737">
        <v>0</v>
      </c>
      <c r="AB21" s="2737">
        <f>AA21</f>
        <v>0</v>
      </c>
      <c r="AC21" s="2737">
        <v>0</v>
      </c>
      <c r="AD21" s="2737">
        <f>AC21</f>
        <v>0</v>
      </c>
      <c r="AE21" s="2790">
        <v>0</v>
      </c>
      <c r="AF21" s="2790">
        <f>+AE21</f>
        <v>0</v>
      </c>
      <c r="AG21" s="2737">
        <v>0</v>
      </c>
      <c r="AH21" s="2737">
        <f>AG21</f>
        <v>0</v>
      </c>
      <c r="AI21" s="2737">
        <f t="shared" si="224"/>
        <v>0</v>
      </c>
      <c r="AJ21" s="2737"/>
      <c r="AK21" s="2737">
        <f t="shared" si="225"/>
        <v>0</v>
      </c>
      <c r="AL21" s="2737"/>
      <c r="AM21" s="2737">
        <v>0</v>
      </c>
      <c r="AN21" s="2737">
        <f>AM21</f>
        <v>0</v>
      </c>
      <c r="AO21" s="2737">
        <v>0</v>
      </c>
      <c r="AP21" s="2737">
        <f>AO21</f>
        <v>0</v>
      </c>
      <c r="AQ21" s="2737"/>
      <c r="AR21" s="2737">
        <f>+AQ21</f>
        <v>0</v>
      </c>
      <c r="AS21" s="2737">
        <v>0</v>
      </c>
      <c r="AT21" s="2737">
        <f>AS21</f>
        <v>0</v>
      </c>
      <c r="AU21" s="2737">
        <f t="shared" si="226"/>
        <v>0</v>
      </c>
      <c r="AV21" s="2737"/>
      <c r="AW21" s="2737">
        <f t="shared" si="227"/>
        <v>0</v>
      </c>
      <c r="AX21" s="2737"/>
      <c r="AY21" s="2737">
        <v>0</v>
      </c>
      <c r="AZ21" s="2737">
        <f>AY21</f>
        <v>0</v>
      </c>
      <c r="BA21" s="2737">
        <v>3</v>
      </c>
      <c r="BB21" s="2737">
        <f>BA21</f>
        <v>3</v>
      </c>
      <c r="BC21" s="2737">
        <f>3+2</f>
        <v>5</v>
      </c>
      <c r="BD21" s="2737">
        <f>+BC21</f>
        <v>5</v>
      </c>
      <c r="BE21" s="2737">
        <v>0</v>
      </c>
      <c r="BF21" s="2737">
        <f>BE21</f>
        <v>0</v>
      </c>
      <c r="BG21" s="2737">
        <f t="shared" si="228"/>
        <v>-5</v>
      </c>
      <c r="BH21" s="2737"/>
      <c r="BI21" s="2737">
        <f t="shared" si="229"/>
        <v>5</v>
      </c>
      <c r="BJ21" s="2737"/>
      <c r="BK21" s="2737">
        <v>0</v>
      </c>
      <c r="BL21" s="2737">
        <f>BK21</f>
        <v>0</v>
      </c>
      <c r="BM21" s="2737">
        <v>0</v>
      </c>
      <c r="BN21" s="2737">
        <f>BM21</f>
        <v>0</v>
      </c>
      <c r="BO21" s="2737">
        <v>0</v>
      </c>
      <c r="BP21" s="2737">
        <f>+BO21</f>
        <v>0</v>
      </c>
      <c r="BQ21" s="2737">
        <v>0</v>
      </c>
      <c r="BR21" s="2737">
        <f>BQ21</f>
        <v>0</v>
      </c>
      <c r="BS21" s="2737">
        <f t="shared" si="50"/>
        <v>0</v>
      </c>
      <c r="BT21" s="2737"/>
      <c r="BU21" s="2737">
        <f t="shared" si="51"/>
        <v>0</v>
      </c>
      <c r="BV21" s="2737"/>
      <c r="BW21" s="2737">
        <v>0</v>
      </c>
      <c r="BX21" s="2737">
        <f>BW21</f>
        <v>0</v>
      </c>
      <c r="BY21" s="2737">
        <v>0</v>
      </c>
      <c r="BZ21" s="2737">
        <f>BY21</f>
        <v>0</v>
      </c>
      <c r="CA21" s="2790">
        <v>0</v>
      </c>
      <c r="CB21" s="2790">
        <f>+CA21</f>
        <v>0</v>
      </c>
      <c r="CC21" s="2737">
        <v>0</v>
      </c>
      <c r="CD21" s="2737">
        <f>CC21</f>
        <v>0</v>
      </c>
      <c r="CE21" s="2737">
        <f t="shared" si="230"/>
        <v>0</v>
      </c>
      <c r="CF21" s="2737"/>
      <c r="CG21" s="2809">
        <f t="shared" si="231"/>
        <v>0</v>
      </c>
      <c r="CH21" s="2737"/>
      <c r="CI21" s="2737">
        <v>0</v>
      </c>
      <c r="CJ21" s="2737">
        <f>CI21</f>
        <v>0</v>
      </c>
      <c r="CK21" s="2737">
        <v>333</v>
      </c>
      <c r="CL21" s="2737">
        <f>CK21</f>
        <v>333</v>
      </c>
      <c r="CM21" s="2737">
        <v>450</v>
      </c>
      <c r="CN21" s="2737">
        <f>+CM21</f>
        <v>450</v>
      </c>
      <c r="CO21" s="2737">
        <v>0</v>
      </c>
      <c r="CP21" s="2737">
        <f>CO21</f>
        <v>0</v>
      </c>
      <c r="CQ21" s="2737">
        <f t="shared" si="232"/>
        <v>-450</v>
      </c>
      <c r="CR21" s="2737"/>
      <c r="CS21" s="2737">
        <f t="shared" si="233"/>
        <v>450</v>
      </c>
      <c r="CT21" s="2737"/>
      <c r="CU21" s="2737">
        <v>0</v>
      </c>
      <c r="CV21" s="2737">
        <f>CU21</f>
        <v>0</v>
      </c>
      <c r="CW21" s="2737">
        <v>0</v>
      </c>
      <c r="CX21" s="2737">
        <f>CW21</f>
        <v>0</v>
      </c>
      <c r="CY21" s="2790">
        <v>0</v>
      </c>
      <c r="CZ21" s="2790">
        <f>+CY21</f>
        <v>0</v>
      </c>
      <c r="DA21" s="2790">
        <v>0</v>
      </c>
      <c r="DB21" s="2790">
        <f>DA21</f>
        <v>0</v>
      </c>
      <c r="DC21" s="2737">
        <f t="shared" si="234"/>
        <v>0</v>
      </c>
      <c r="DD21" s="2737"/>
      <c r="DE21" s="2737">
        <f t="shared" si="235"/>
        <v>0</v>
      </c>
      <c r="DF21" s="2737"/>
      <c r="DG21" s="2737">
        <v>0</v>
      </c>
      <c r="DH21" s="2737">
        <f>DG21</f>
        <v>0</v>
      </c>
      <c r="DI21" s="2737">
        <v>6</v>
      </c>
      <c r="DJ21" s="2737">
        <f>DI21</f>
        <v>6</v>
      </c>
      <c r="DK21" s="2737">
        <v>0</v>
      </c>
      <c r="DL21" s="2737">
        <f>+DK21</f>
        <v>0</v>
      </c>
      <c r="DM21" s="2737">
        <v>0</v>
      </c>
      <c r="DN21" s="2737">
        <f>DM21</f>
        <v>0</v>
      </c>
      <c r="DO21" s="2737">
        <f t="shared" si="236"/>
        <v>0</v>
      </c>
      <c r="DP21" s="2737"/>
      <c r="DQ21" s="2737">
        <f t="shared" si="237"/>
        <v>0</v>
      </c>
      <c r="DR21" s="2737"/>
      <c r="DS21" s="2737">
        <v>0</v>
      </c>
      <c r="DT21" s="2737">
        <f>DS21</f>
        <v>0</v>
      </c>
      <c r="DU21" s="2737">
        <v>0</v>
      </c>
      <c r="DV21" s="2737">
        <f>DU21</f>
        <v>0</v>
      </c>
      <c r="DW21" s="2790">
        <v>0</v>
      </c>
      <c r="DX21" s="2790">
        <f>+DW21</f>
        <v>0</v>
      </c>
      <c r="DY21" s="2790">
        <v>0</v>
      </c>
      <c r="DZ21" s="2790">
        <f>DY21</f>
        <v>0</v>
      </c>
      <c r="EA21" s="2737">
        <f t="shared" si="238"/>
        <v>0</v>
      </c>
      <c r="EB21" s="2737"/>
      <c r="EC21" s="2737">
        <f t="shared" si="239"/>
        <v>0</v>
      </c>
      <c r="ED21" s="2737"/>
      <c r="EE21" s="2737">
        <v>0</v>
      </c>
      <c r="EF21" s="2737">
        <f>EE21</f>
        <v>0</v>
      </c>
      <c r="EG21" s="2738">
        <v>0</v>
      </c>
      <c r="EH21" s="2738">
        <f>EG21</f>
        <v>0</v>
      </c>
      <c r="EI21" s="2737"/>
      <c r="EJ21" s="2737">
        <f>+EI21</f>
        <v>0</v>
      </c>
      <c r="EK21" s="2790">
        <v>0</v>
      </c>
      <c r="EL21" s="2790">
        <f>EK21</f>
        <v>0</v>
      </c>
      <c r="EM21" s="2737">
        <f t="shared" si="240"/>
        <v>0</v>
      </c>
      <c r="EN21" s="2737"/>
      <c r="EO21" s="2737">
        <f t="shared" si="241"/>
        <v>0</v>
      </c>
      <c r="EP21" s="2737"/>
      <c r="EQ21" s="2737">
        <v>0</v>
      </c>
      <c r="ER21" s="2737">
        <f>EQ21</f>
        <v>0</v>
      </c>
      <c r="ES21" s="2737">
        <v>0</v>
      </c>
      <c r="ET21" s="2737">
        <f>ES21</f>
        <v>0</v>
      </c>
      <c r="EU21" s="2737"/>
      <c r="EV21" s="2737">
        <f>+EU21</f>
        <v>0</v>
      </c>
      <c r="EW21" s="2737">
        <v>0</v>
      </c>
      <c r="EX21" s="2737">
        <f>EW21</f>
        <v>0</v>
      </c>
      <c r="EY21" s="2737">
        <f t="shared" si="242"/>
        <v>0</v>
      </c>
      <c r="EZ21" s="2737"/>
      <c r="FA21" s="2737">
        <f t="shared" si="243"/>
        <v>0</v>
      </c>
      <c r="FB21" s="2737"/>
      <c r="FC21" s="2739"/>
      <c r="FD21" s="2739"/>
      <c r="FE21" s="2740">
        <f t="shared" si="153"/>
        <v>342</v>
      </c>
      <c r="FF21" s="2740">
        <f t="shared" si="153"/>
        <v>342</v>
      </c>
    </row>
    <row r="22" spans="1:162" s="2759" customFormat="1" ht="25.2" customHeight="1">
      <c r="A22" s="2735">
        <v>5</v>
      </c>
      <c r="B22" s="2736" t="s">
        <v>271</v>
      </c>
      <c r="C22" s="2737">
        <f t="shared" si="79"/>
        <v>10000</v>
      </c>
      <c r="D22" s="2737">
        <f t="shared" si="79"/>
        <v>10000</v>
      </c>
      <c r="E22" s="2737">
        <f t="shared" si="79"/>
        <v>12773</v>
      </c>
      <c r="F22" s="2737">
        <f t="shared" si="79"/>
        <v>12773</v>
      </c>
      <c r="G22" s="2737">
        <f t="shared" si="79"/>
        <v>14900</v>
      </c>
      <c r="H22" s="2737">
        <f t="shared" si="80"/>
        <v>14900</v>
      </c>
      <c r="I22" s="2737">
        <f t="shared" si="80"/>
        <v>15000</v>
      </c>
      <c r="J22" s="2737">
        <f t="shared" si="80"/>
        <v>15000</v>
      </c>
      <c r="K22" s="2737">
        <f t="shared" si="30"/>
        <v>100</v>
      </c>
      <c r="L22" s="2737">
        <f>+I22/G22*100</f>
        <v>100.67114093959732</v>
      </c>
      <c r="M22" s="2737">
        <f t="shared" si="32"/>
        <v>4900</v>
      </c>
      <c r="N22" s="2737">
        <f>+G22/C22*100</f>
        <v>149</v>
      </c>
      <c r="O22" s="2737">
        <v>0</v>
      </c>
      <c r="P22" s="2737">
        <f>O22</f>
        <v>0</v>
      </c>
      <c r="Q22" s="2737">
        <v>20</v>
      </c>
      <c r="R22" s="2737">
        <f>Q22</f>
        <v>20</v>
      </c>
      <c r="S22" s="2737">
        <v>20</v>
      </c>
      <c r="T22" s="2737">
        <f>S22</f>
        <v>20</v>
      </c>
      <c r="U22" s="2737">
        <f>20-20</f>
        <v>0</v>
      </c>
      <c r="V22" s="2737">
        <f>U22</f>
        <v>0</v>
      </c>
      <c r="W22" s="2737">
        <f t="shared" si="222"/>
        <v>-20</v>
      </c>
      <c r="X22" s="2737">
        <f>+U22/S22*100</f>
        <v>0</v>
      </c>
      <c r="Y22" s="2737">
        <f t="shared" si="223"/>
        <v>20</v>
      </c>
      <c r="Z22" s="2737">
        <v>160</v>
      </c>
      <c r="AA22" s="2737">
        <v>150</v>
      </c>
      <c r="AB22" s="2737">
        <f>AA22</f>
        <v>150</v>
      </c>
      <c r="AC22" s="2737">
        <f>121</f>
        <v>121</v>
      </c>
      <c r="AD22" s="2737">
        <f>AC22</f>
        <v>121</v>
      </c>
      <c r="AE22" s="2790">
        <v>150</v>
      </c>
      <c r="AF22" s="2790">
        <f>AE22</f>
        <v>150</v>
      </c>
      <c r="AG22" s="2737">
        <v>250</v>
      </c>
      <c r="AH22" s="2737">
        <f>AG22</f>
        <v>250</v>
      </c>
      <c r="AI22" s="2737">
        <f t="shared" si="224"/>
        <v>100</v>
      </c>
      <c r="AJ22" s="2737">
        <f>+AG22/AE22*100</f>
        <v>166.66666666666669</v>
      </c>
      <c r="AK22" s="2737">
        <f t="shared" si="225"/>
        <v>0</v>
      </c>
      <c r="AL22" s="2737">
        <v>160</v>
      </c>
      <c r="AM22" s="2737">
        <v>250</v>
      </c>
      <c r="AN22" s="2737">
        <f>AM22</f>
        <v>250</v>
      </c>
      <c r="AO22" s="2737">
        <v>278</v>
      </c>
      <c r="AP22" s="2737">
        <f>AO22</f>
        <v>278</v>
      </c>
      <c r="AQ22" s="2737">
        <v>300</v>
      </c>
      <c r="AR22" s="2737">
        <f>AQ22</f>
        <v>300</v>
      </c>
      <c r="AS22" s="2737">
        <v>250</v>
      </c>
      <c r="AT22" s="2737">
        <f>AS22</f>
        <v>250</v>
      </c>
      <c r="AU22" s="2737">
        <f t="shared" si="226"/>
        <v>-50</v>
      </c>
      <c r="AV22" s="2737">
        <f>+AS22/AQ22*100</f>
        <v>83.333333333333343</v>
      </c>
      <c r="AW22" s="2737">
        <f t="shared" si="227"/>
        <v>50</v>
      </c>
      <c r="AX22" s="2737">
        <v>160</v>
      </c>
      <c r="AY22" s="2737">
        <v>150</v>
      </c>
      <c r="AZ22" s="2737">
        <f>AY22</f>
        <v>150</v>
      </c>
      <c r="BA22" s="2737">
        <v>251</v>
      </c>
      <c r="BB22" s="2737">
        <f>BA22</f>
        <v>251</v>
      </c>
      <c r="BC22" s="2737">
        <v>280</v>
      </c>
      <c r="BD22" s="2737">
        <f>BC22</f>
        <v>280</v>
      </c>
      <c r="BE22" s="2737">
        <v>200</v>
      </c>
      <c r="BF22" s="2737">
        <f>BE22</f>
        <v>200</v>
      </c>
      <c r="BG22" s="2737">
        <f t="shared" si="228"/>
        <v>-80</v>
      </c>
      <c r="BH22" s="2737">
        <f>+BE22/BC22*100</f>
        <v>71.428571428571431</v>
      </c>
      <c r="BI22" s="2737">
        <f t="shared" si="229"/>
        <v>130</v>
      </c>
      <c r="BJ22" s="2737">
        <v>160</v>
      </c>
      <c r="BK22" s="2737">
        <v>700</v>
      </c>
      <c r="BL22" s="2737">
        <f>BK22</f>
        <v>700</v>
      </c>
      <c r="BM22" s="2737">
        <v>715</v>
      </c>
      <c r="BN22" s="2737">
        <f>BM22</f>
        <v>715</v>
      </c>
      <c r="BO22" s="2737">
        <v>1000</v>
      </c>
      <c r="BP22" s="2737">
        <f>BO22</f>
        <v>1000</v>
      </c>
      <c r="BQ22" s="2737">
        <v>1000</v>
      </c>
      <c r="BR22" s="2737">
        <f>BQ22</f>
        <v>1000</v>
      </c>
      <c r="BS22" s="2737">
        <f t="shared" si="50"/>
        <v>0</v>
      </c>
      <c r="BT22" s="2737">
        <f>+BQ22/BO22*100</f>
        <v>100</v>
      </c>
      <c r="BU22" s="2737">
        <f t="shared" si="51"/>
        <v>300</v>
      </c>
      <c r="BV22" s="2737">
        <v>160</v>
      </c>
      <c r="BW22" s="2737">
        <v>3000</v>
      </c>
      <c r="BX22" s="2737">
        <f>BW22</f>
        <v>3000</v>
      </c>
      <c r="BY22" s="2790">
        <v>3498</v>
      </c>
      <c r="BZ22" s="2790">
        <f>BY22</f>
        <v>3498</v>
      </c>
      <c r="CA22" s="2790">
        <f>4600-600</f>
        <v>4000</v>
      </c>
      <c r="CB22" s="2790">
        <f>CA22</f>
        <v>4000</v>
      </c>
      <c r="CC22" s="2790">
        <v>4150</v>
      </c>
      <c r="CD22" s="2790">
        <f>CC22</f>
        <v>4150</v>
      </c>
      <c r="CE22" s="2737">
        <f t="shared" si="230"/>
        <v>150</v>
      </c>
      <c r="CF22" s="2737">
        <f>+CC22/CA22*100</f>
        <v>103.75000000000001</v>
      </c>
      <c r="CG22" s="2809">
        <f t="shared" si="231"/>
        <v>1000</v>
      </c>
      <c r="CH22" s="2737">
        <v>160</v>
      </c>
      <c r="CI22" s="2737">
        <v>800</v>
      </c>
      <c r="CJ22" s="2737">
        <f>CI22</f>
        <v>800</v>
      </c>
      <c r="CK22" s="2737">
        <v>1735</v>
      </c>
      <c r="CL22" s="2737">
        <f>CK22</f>
        <v>1735</v>
      </c>
      <c r="CM22" s="2737">
        <v>2000</v>
      </c>
      <c r="CN22" s="2737">
        <f>CM22</f>
        <v>2000</v>
      </c>
      <c r="CO22" s="2737">
        <v>2000</v>
      </c>
      <c r="CP22" s="2737">
        <f>CO22</f>
        <v>2000</v>
      </c>
      <c r="CQ22" s="2737">
        <f t="shared" si="232"/>
        <v>0</v>
      </c>
      <c r="CR22" s="2737">
        <f>+CO22/CM22*100</f>
        <v>100</v>
      </c>
      <c r="CS22" s="2737">
        <f t="shared" si="233"/>
        <v>1200</v>
      </c>
      <c r="CT22" s="2737">
        <v>160</v>
      </c>
      <c r="CU22" s="2737">
        <v>1000</v>
      </c>
      <c r="CV22" s="2737">
        <f>CU22</f>
        <v>1000</v>
      </c>
      <c r="CW22" s="2737">
        <v>1753</v>
      </c>
      <c r="CX22" s="2737">
        <f>CW22</f>
        <v>1753</v>
      </c>
      <c r="CY22" s="2790">
        <v>1900</v>
      </c>
      <c r="CZ22" s="2790">
        <f>CY22</f>
        <v>1900</v>
      </c>
      <c r="DA22" s="2790">
        <v>1900</v>
      </c>
      <c r="DB22" s="2790">
        <f>DA22</f>
        <v>1900</v>
      </c>
      <c r="DC22" s="2737">
        <f t="shared" si="234"/>
        <v>0</v>
      </c>
      <c r="DD22" s="2737">
        <f>+DA22/CY22*100</f>
        <v>100</v>
      </c>
      <c r="DE22" s="2737">
        <f t="shared" si="235"/>
        <v>900</v>
      </c>
      <c r="DF22" s="2737">
        <v>160</v>
      </c>
      <c r="DG22" s="2737">
        <v>500</v>
      </c>
      <c r="DH22" s="2737">
        <f>DG22</f>
        <v>500</v>
      </c>
      <c r="DI22" s="2737">
        <v>619</v>
      </c>
      <c r="DJ22" s="2737">
        <f>DI22</f>
        <v>619</v>
      </c>
      <c r="DK22" s="2737">
        <v>650</v>
      </c>
      <c r="DL22" s="2737">
        <f>DK22</f>
        <v>650</v>
      </c>
      <c r="DM22" s="2790">
        <v>700</v>
      </c>
      <c r="DN22" s="2790">
        <f>DM22</f>
        <v>700</v>
      </c>
      <c r="DO22" s="2737">
        <f t="shared" si="236"/>
        <v>50</v>
      </c>
      <c r="DP22" s="2737">
        <f>+DM22/DK22*100</f>
        <v>107.69230769230769</v>
      </c>
      <c r="DQ22" s="2737">
        <f t="shared" si="237"/>
        <v>150</v>
      </c>
      <c r="DR22" s="2737">
        <v>160</v>
      </c>
      <c r="DS22" s="2737">
        <v>500</v>
      </c>
      <c r="DT22" s="2737">
        <f>DS22</f>
        <v>500</v>
      </c>
      <c r="DU22" s="2737">
        <v>878</v>
      </c>
      <c r="DV22" s="2737">
        <f>DU22</f>
        <v>878</v>
      </c>
      <c r="DW22" s="2790">
        <v>1000</v>
      </c>
      <c r="DX22" s="2790">
        <f>DW22</f>
        <v>1000</v>
      </c>
      <c r="DY22" s="2790">
        <v>1000</v>
      </c>
      <c r="DZ22" s="2790">
        <f>DY22</f>
        <v>1000</v>
      </c>
      <c r="EA22" s="2737">
        <f t="shared" si="238"/>
        <v>0</v>
      </c>
      <c r="EB22" s="2737">
        <f>+DY22/DW22*100</f>
        <v>100</v>
      </c>
      <c r="EC22" s="2737">
        <f t="shared" si="239"/>
        <v>500</v>
      </c>
      <c r="ED22" s="2737">
        <v>160</v>
      </c>
      <c r="EE22" s="2737">
        <v>2400</v>
      </c>
      <c r="EF22" s="2737">
        <f>EE22</f>
        <v>2400</v>
      </c>
      <c r="EG22" s="2738">
        <v>2139</v>
      </c>
      <c r="EH22" s="2738">
        <f>EG22</f>
        <v>2139</v>
      </c>
      <c r="EI22" s="2737">
        <v>2700</v>
      </c>
      <c r="EJ22" s="2737">
        <f>EI22</f>
        <v>2700</v>
      </c>
      <c r="EK22" s="2790">
        <v>2800</v>
      </c>
      <c r="EL22" s="2790">
        <f>EK22</f>
        <v>2800</v>
      </c>
      <c r="EM22" s="2737">
        <f t="shared" si="240"/>
        <v>100</v>
      </c>
      <c r="EN22" s="2737">
        <f>+EK22/EI22*100</f>
        <v>103.7037037037037</v>
      </c>
      <c r="EO22" s="2737">
        <f t="shared" si="241"/>
        <v>300</v>
      </c>
      <c r="EP22" s="2737">
        <v>160</v>
      </c>
      <c r="EQ22" s="2737">
        <v>550</v>
      </c>
      <c r="ER22" s="2737">
        <f>EQ22</f>
        <v>550</v>
      </c>
      <c r="ES22" s="2737">
        <v>766</v>
      </c>
      <c r="ET22" s="2737">
        <f>ES22</f>
        <v>766</v>
      </c>
      <c r="EU22" s="2737">
        <v>900</v>
      </c>
      <c r="EV22" s="2737">
        <f>EU22</f>
        <v>900</v>
      </c>
      <c r="EW22" s="2737">
        <f>750</f>
        <v>750</v>
      </c>
      <c r="EX22" s="2737">
        <f>EW22</f>
        <v>750</v>
      </c>
      <c r="EY22" s="2737">
        <f t="shared" si="242"/>
        <v>-150</v>
      </c>
      <c r="EZ22" s="2737">
        <f>+EW22/EU22*100</f>
        <v>83.333333333333343</v>
      </c>
      <c r="FA22" s="2737">
        <f t="shared" si="243"/>
        <v>350</v>
      </c>
      <c r="FB22" s="2737">
        <v>160</v>
      </c>
      <c r="FC22" s="2739">
        <f>E22/C22</f>
        <v>1.2773000000000001</v>
      </c>
      <c r="FD22" s="2739">
        <f>F22/D22</f>
        <v>1.2773000000000001</v>
      </c>
      <c r="FE22" s="2740">
        <f t="shared" si="153"/>
        <v>2773</v>
      </c>
      <c r="FF22" s="2740">
        <f t="shared" si="153"/>
        <v>2773</v>
      </c>
    </row>
    <row r="23" spans="1:162" s="2759" customFormat="1" ht="25.2" customHeight="1">
      <c r="A23" s="2735">
        <v>6</v>
      </c>
      <c r="B23" s="2736" t="s">
        <v>275</v>
      </c>
      <c r="C23" s="2737">
        <f t="shared" si="79"/>
        <v>95800</v>
      </c>
      <c r="D23" s="2737">
        <f t="shared" si="79"/>
        <v>59200</v>
      </c>
      <c r="E23" s="2737">
        <f t="shared" si="79"/>
        <v>70947</v>
      </c>
      <c r="F23" s="2737">
        <f t="shared" si="79"/>
        <v>46788</v>
      </c>
      <c r="G23" s="2737">
        <f t="shared" si="79"/>
        <v>91280</v>
      </c>
      <c r="H23" s="2737">
        <f t="shared" si="80"/>
        <v>55000.666666666664</v>
      </c>
      <c r="I23" s="2737">
        <f t="shared" si="80"/>
        <v>99300</v>
      </c>
      <c r="J23" s="2737">
        <f t="shared" si="80"/>
        <v>62400</v>
      </c>
      <c r="K23" s="2737">
        <f t="shared" si="30"/>
        <v>8020</v>
      </c>
      <c r="L23" s="2737">
        <f>+I23/G23*100</f>
        <v>108.78615249780894</v>
      </c>
      <c r="M23" s="2737">
        <f t="shared" si="32"/>
        <v>-4520</v>
      </c>
      <c r="N23" s="2737">
        <f>+G23/C23*100</f>
        <v>95.281837160751564</v>
      </c>
      <c r="O23" s="2737">
        <f>SUM(O24:O26)</f>
        <v>4000</v>
      </c>
      <c r="P23" s="2737">
        <f t="shared" ref="P23" si="244">SUM(P24:P26)</f>
        <v>1000</v>
      </c>
      <c r="Q23" s="2737">
        <f t="shared" ref="Q23" si="245">SUM(Q24:Q26)</f>
        <v>3475</v>
      </c>
      <c r="R23" s="2737">
        <f t="shared" ref="R23" si="246">SUM(R24:R26)</f>
        <v>1504</v>
      </c>
      <c r="S23" s="2737">
        <f t="shared" ref="S23" si="247">SUM(S24:S26)</f>
        <v>4500</v>
      </c>
      <c r="T23" s="2737">
        <f t="shared" ref="T23" si="248">SUM(T24:T26)</f>
        <v>1543.5</v>
      </c>
      <c r="U23" s="2737">
        <f t="shared" ref="U23" si="249">SUM(U24:U26)</f>
        <v>4500</v>
      </c>
      <c r="V23" s="2737">
        <f t="shared" ref="V23" si="250">SUM(V24:V26)</f>
        <v>2000</v>
      </c>
      <c r="W23" s="2737">
        <f>SUM(W24:W25)</f>
        <v>-456.5</v>
      </c>
      <c r="X23" s="2737">
        <f>U23/S23*100</f>
        <v>100</v>
      </c>
      <c r="Y23" s="2737">
        <f>SUM(Y24:Y25)</f>
        <v>-43.5</v>
      </c>
      <c r="Z23" s="13">
        <f>S23/O23*100</f>
        <v>112.5</v>
      </c>
      <c r="AA23" s="2737">
        <f>SUM(AA24:AA26)</f>
        <v>6600</v>
      </c>
      <c r="AB23" s="2737">
        <f t="shared" ref="AB23" si="251">SUM(AB24:AB26)</f>
        <v>3000</v>
      </c>
      <c r="AC23" s="2737">
        <f t="shared" ref="AC23" si="252">SUM(AC24:AC26)</f>
        <v>5210</v>
      </c>
      <c r="AD23" s="2737">
        <f t="shared" ref="AD23" si="253">SUM(AD24:AD26)</f>
        <v>3183</v>
      </c>
      <c r="AE23" s="2790">
        <f t="shared" ref="AE23" si="254">SUM(AE24:AE26)</f>
        <v>6000</v>
      </c>
      <c r="AF23" s="2790">
        <f t="shared" ref="AF23" si="255">SUM(AF24:AF26)</f>
        <v>2959.5</v>
      </c>
      <c r="AG23" s="2737">
        <f t="shared" ref="AG23" si="256">SUM(AG24:AG26)</f>
        <v>6000</v>
      </c>
      <c r="AH23" s="2737">
        <f t="shared" ref="AH23" si="257">SUM(AH24:AH26)</f>
        <v>3000</v>
      </c>
      <c r="AI23" s="2737">
        <f>SUM(AI24:AI25)</f>
        <v>-40.5</v>
      </c>
      <c r="AJ23" s="2737">
        <f>AG23/AE23*100</f>
        <v>100</v>
      </c>
      <c r="AK23" s="2737">
        <f>SUM(AK24:AK25)</f>
        <v>-559.5</v>
      </c>
      <c r="AL23" s="13">
        <f>AE23/AA23*100</f>
        <v>90.909090909090907</v>
      </c>
      <c r="AM23" s="2737">
        <f>SUM(AM24:AM26)</f>
        <v>3000</v>
      </c>
      <c r="AN23" s="2737">
        <f t="shared" ref="AN23" si="258">SUM(AN24:AN26)</f>
        <v>1500</v>
      </c>
      <c r="AO23" s="2737">
        <f t="shared" ref="AO23" si="259">SUM(AO24:AO26)</f>
        <v>2583</v>
      </c>
      <c r="AP23" s="2737">
        <f t="shared" ref="AP23" si="260">SUM(AP24:AP26)</f>
        <v>1716</v>
      </c>
      <c r="AQ23" s="2737">
        <f t="shared" ref="AQ23" si="261">SUM(AQ24:AQ26)</f>
        <v>3000</v>
      </c>
      <c r="AR23" s="2737">
        <f t="shared" ref="AR23" si="262">SUM(AR24:AR26)</f>
        <v>1699.5</v>
      </c>
      <c r="AS23" s="2737">
        <f t="shared" ref="AS23" si="263">SUM(AS24:AS26)</f>
        <v>3300</v>
      </c>
      <c r="AT23" s="2737">
        <f t="shared" ref="AT23" si="264">SUM(AT24:AT26)</f>
        <v>1650</v>
      </c>
      <c r="AU23" s="2737">
        <f>SUM(AU24:AU25)</f>
        <v>349.5</v>
      </c>
      <c r="AV23" s="2737">
        <f>AS23/AQ23*100</f>
        <v>110.00000000000001</v>
      </c>
      <c r="AW23" s="2737">
        <f>SUM(AW24:AW25)</f>
        <v>-199.5</v>
      </c>
      <c r="AX23" s="13">
        <f>AQ23/AM23*100</f>
        <v>100</v>
      </c>
      <c r="AY23" s="2737">
        <f>SUM(AY24:AY26)</f>
        <v>4500</v>
      </c>
      <c r="AZ23" s="2737">
        <f t="shared" ref="AZ23" si="265">SUM(AZ24:AZ26)</f>
        <v>2500</v>
      </c>
      <c r="BA23" s="2737">
        <f t="shared" ref="BA23" si="266">SUM(BA24:BA26)</f>
        <v>3166</v>
      </c>
      <c r="BB23" s="2737">
        <f t="shared" ref="BB23" si="267">SUM(BB24:BB26)</f>
        <v>2006</v>
      </c>
      <c r="BC23" s="2737">
        <f t="shared" ref="BC23" si="268">SUM(BC24:BC26)</f>
        <v>4200</v>
      </c>
      <c r="BD23" s="2737">
        <f t="shared" ref="BD23" si="269">SUM(BD24:BD26)</f>
        <v>2460</v>
      </c>
      <c r="BE23" s="2737">
        <f t="shared" ref="BE23" si="270">SUM(BE24:BE26)</f>
        <v>4500</v>
      </c>
      <c r="BF23" s="2737">
        <f t="shared" ref="BF23" si="271">SUM(BF24:BF26)</f>
        <v>2500</v>
      </c>
      <c r="BG23" s="2737">
        <f>SUM(BG24:BG25)</f>
        <v>260</v>
      </c>
      <c r="BH23" s="2737">
        <f>BE23/BC23*100</f>
        <v>107.14285714285714</v>
      </c>
      <c r="BI23" s="2737">
        <f>SUM(BI24:BI25)</f>
        <v>-260</v>
      </c>
      <c r="BJ23" s="13">
        <f>BC23/AY23*100</f>
        <v>93.333333333333329</v>
      </c>
      <c r="BK23" s="2737">
        <f>SUM(BK24:BK26)</f>
        <v>6500</v>
      </c>
      <c r="BL23" s="2737">
        <f t="shared" ref="BL23" si="272">SUM(BL24:BL26)</f>
        <v>3500</v>
      </c>
      <c r="BM23" s="2737">
        <f t="shared" ref="BM23" si="273">SUM(BM24:BM26)</f>
        <v>3817</v>
      </c>
      <c r="BN23" s="2737">
        <f t="shared" ref="BN23" si="274">SUM(BN24:BN26)</f>
        <v>2315</v>
      </c>
      <c r="BO23" s="2737">
        <f t="shared" ref="BO23" si="275">SUM(BO24:BO26)</f>
        <v>6500</v>
      </c>
      <c r="BP23" s="2737">
        <f t="shared" ref="BP23" si="276">SUM(BP24:BP26)</f>
        <v>4247</v>
      </c>
      <c r="BQ23" s="2737">
        <f t="shared" ref="BQ23" si="277">SUM(BQ24:BQ26)</f>
        <v>7000</v>
      </c>
      <c r="BR23" s="2737">
        <f t="shared" ref="BR23" si="278">SUM(BR24:BR26)</f>
        <v>3750</v>
      </c>
      <c r="BS23" s="2737">
        <f>SUM(BS24:BS25)</f>
        <v>997</v>
      </c>
      <c r="BT23" s="2737">
        <f>BQ23/BO23*100</f>
        <v>107.69230769230769</v>
      </c>
      <c r="BU23" s="2737">
        <f>SUM(BU24:BU25)</f>
        <v>-747</v>
      </c>
      <c r="BV23" s="13">
        <f>BO23/BK23*100</f>
        <v>100</v>
      </c>
      <c r="BW23" s="2737">
        <f>SUM(BW24:BW26)</f>
        <v>16000</v>
      </c>
      <c r="BX23" s="2737">
        <f t="shared" ref="BX23" si="279">SUM(BX24:BX26)</f>
        <v>12000</v>
      </c>
      <c r="BY23" s="2790">
        <f t="shared" ref="BY23" si="280">SUM(BY24:BY26)</f>
        <v>14065</v>
      </c>
      <c r="BZ23" s="2790">
        <f t="shared" ref="BZ23" si="281">SUM(BZ24:BZ26)</f>
        <v>10459</v>
      </c>
      <c r="CA23" s="2790">
        <f t="shared" ref="CA23" si="282">SUM(CA24:CA26)</f>
        <v>15000</v>
      </c>
      <c r="CB23" s="2790">
        <f t="shared" ref="CB23" si="283">SUM(CB24:CB26)</f>
        <v>9591</v>
      </c>
      <c r="CC23" s="2790">
        <f t="shared" ref="CC23" si="284">SUM(CC24:CC26)</f>
        <v>16000</v>
      </c>
      <c r="CD23" s="2790">
        <f t="shared" ref="CD23" si="285">SUM(CD24:CD26)</f>
        <v>12000</v>
      </c>
      <c r="CE23" s="2737">
        <f>SUM(CE24:CE25)</f>
        <v>-1409</v>
      </c>
      <c r="CF23" s="2737">
        <f>CC23/CA23*100</f>
        <v>106.66666666666667</v>
      </c>
      <c r="CG23" s="2809">
        <f>SUM(CG24:CG25)</f>
        <v>1409</v>
      </c>
      <c r="CH23" s="13">
        <f>CA23/BW23*100</f>
        <v>93.75</v>
      </c>
      <c r="CI23" s="2737">
        <f>SUM(CI24:CI26)</f>
        <v>11000</v>
      </c>
      <c r="CJ23" s="2737">
        <f t="shared" ref="CJ23" si="286">SUM(CJ24:CJ26)</f>
        <v>8000</v>
      </c>
      <c r="CK23" s="2737">
        <f t="shared" ref="CK23" si="287">SUM(CK24:CK26)</f>
        <v>7571</v>
      </c>
      <c r="CL23" s="2737">
        <f t="shared" ref="CL23" si="288">SUM(CL24:CL26)</f>
        <v>5575</v>
      </c>
      <c r="CM23" s="2737">
        <f t="shared" ref="CM23" si="289">SUM(CM24:CM26)</f>
        <v>10000</v>
      </c>
      <c r="CN23" s="2737">
        <f t="shared" ref="CN23" si="290">SUM(CN24:CN26)</f>
        <v>7000</v>
      </c>
      <c r="CO23" s="2737">
        <f t="shared" ref="CO23" si="291">SUM(CO24:CO26)</f>
        <v>11000</v>
      </c>
      <c r="CP23" s="2737">
        <f t="shared" ref="CP23" si="292">SUM(CP24:CP26)</f>
        <v>8000</v>
      </c>
      <c r="CQ23" s="2737">
        <f>SUM(CQ24:CQ25)</f>
        <v>0</v>
      </c>
      <c r="CR23" s="2737">
        <f>CO23/CM23*100</f>
        <v>110.00000000000001</v>
      </c>
      <c r="CS23" s="2737">
        <f>SUM(CS24:CS25)</f>
        <v>0</v>
      </c>
      <c r="CT23" s="13">
        <f>CM23/CI23*100</f>
        <v>90.909090909090907</v>
      </c>
      <c r="CU23" s="2737">
        <f>SUM(CU24:CU26)</f>
        <v>10000</v>
      </c>
      <c r="CV23" s="2737">
        <f t="shared" ref="CV23" si="293">SUM(CV24:CV26)</f>
        <v>7000</v>
      </c>
      <c r="CW23" s="2737">
        <f t="shared" ref="CW23" si="294">SUM(CW24:CW26)</f>
        <v>5179</v>
      </c>
      <c r="CX23" s="2737">
        <f t="shared" ref="CX23" si="295">SUM(CX24:CX26)</f>
        <v>3390</v>
      </c>
      <c r="CY23" s="2790">
        <f t="shared" ref="CY23" si="296">SUM(CY24:CY26)</f>
        <v>8000</v>
      </c>
      <c r="CZ23" s="2790">
        <f t="shared" ref="CZ23" si="297">SUM(CZ24:CZ26)</f>
        <v>5316.5</v>
      </c>
      <c r="DA23" s="2790">
        <f t="shared" ref="DA23" si="298">SUM(DA24:DA26)</f>
        <v>9000</v>
      </c>
      <c r="DB23" s="2790">
        <f t="shared" ref="DB23" si="299">SUM(DB24:DB26)</f>
        <v>6500</v>
      </c>
      <c r="DC23" s="2737">
        <f>SUM(DC24:DC25)</f>
        <v>-183.5</v>
      </c>
      <c r="DD23" s="2737">
        <f>DA23/CY23*100</f>
        <v>112.5</v>
      </c>
      <c r="DE23" s="2737">
        <f>SUM(DE24:DE25)</f>
        <v>-316.5</v>
      </c>
      <c r="DF23" s="13">
        <f>CY23/CU23*100</f>
        <v>80</v>
      </c>
      <c r="DG23" s="2737">
        <f>SUM(DG24:DG26)</f>
        <v>9000</v>
      </c>
      <c r="DH23" s="2737">
        <f t="shared" ref="DH23" si="300">SUM(DH24:DH26)</f>
        <v>6500</v>
      </c>
      <c r="DI23" s="2737">
        <f t="shared" ref="DI23" si="301">SUM(DI24:DI26)</f>
        <v>6741</v>
      </c>
      <c r="DJ23" s="2737">
        <f t="shared" ref="DJ23" si="302">SUM(DJ24:DJ26)</f>
        <v>5436</v>
      </c>
      <c r="DK23" s="2737">
        <f t="shared" ref="DK23" si="303">SUM(DK24:DK26)</f>
        <v>9500</v>
      </c>
      <c r="DL23" s="2737">
        <f t="shared" ref="DL23" si="304">SUM(DL24:DL26)</f>
        <v>7542.5</v>
      </c>
      <c r="DM23" s="2790">
        <f t="shared" ref="DM23" si="305">SUM(DM24:DM26)</f>
        <v>11000</v>
      </c>
      <c r="DN23" s="2790">
        <f t="shared" ref="DN23" si="306">SUM(DN24:DN26)</f>
        <v>7500</v>
      </c>
      <c r="DO23" s="2737">
        <f>SUM(DO24:DO25)</f>
        <v>1542.5</v>
      </c>
      <c r="DP23" s="2737">
        <f>DM23/DK23*100</f>
        <v>115.78947368421053</v>
      </c>
      <c r="DQ23" s="2737">
        <f>SUM(DQ24:DQ25)</f>
        <v>-542.5</v>
      </c>
      <c r="DR23" s="13">
        <f>DK23/DG23*100</f>
        <v>105.55555555555556</v>
      </c>
      <c r="DS23" s="2737">
        <f>SUM(DS24:DS26)</f>
        <v>5700</v>
      </c>
      <c r="DT23" s="2737">
        <f t="shared" ref="DT23" si="307">SUM(DT24:DT26)</f>
        <v>3200</v>
      </c>
      <c r="DU23" s="2737">
        <f t="shared" ref="DU23" si="308">SUM(DU24:DU26)</f>
        <v>4789</v>
      </c>
      <c r="DV23" s="2737">
        <f t="shared" ref="DV23" si="309">SUM(DV24:DV26)</f>
        <v>2559</v>
      </c>
      <c r="DW23" s="2790">
        <f t="shared" ref="DW23" si="310">SUM(DW24:DW26)</f>
        <v>6000</v>
      </c>
      <c r="DX23" s="2790">
        <f t="shared" ref="DX23" si="311">SUM(DX24:DX26)</f>
        <v>2700.1666666666665</v>
      </c>
      <c r="DY23" s="2790">
        <f t="shared" ref="DY23" si="312">SUM(DY24:DY26)</f>
        <v>7000</v>
      </c>
      <c r="DZ23" s="2790">
        <f t="shared" ref="DZ23" si="313">SUM(DZ24:DZ26)</f>
        <v>4250</v>
      </c>
      <c r="EA23" s="2737">
        <f>SUM(EA24:EA25)</f>
        <v>-549.83333333333326</v>
      </c>
      <c r="EB23" s="2737">
        <f>DY23/DW23*100</f>
        <v>116.66666666666667</v>
      </c>
      <c r="EC23" s="2737">
        <f>SUM(EC24:EC25)</f>
        <v>799.83333333333337</v>
      </c>
      <c r="ED23" s="13">
        <f>DW23/DS23*100</f>
        <v>105.26315789473684</v>
      </c>
      <c r="EE23" s="2737">
        <f>SUM(EE24:EE26)</f>
        <v>13000</v>
      </c>
      <c r="EF23" s="2737">
        <f t="shared" ref="EF23" si="314">SUM(EF24:EF26)</f>
        <v>7000</v>
      </c>
      <c r="EG23" s="2738">
        <f t="shared" ref="EG23" si="315">SUM(EG24:EG26)</f>
        <v>10121</v>
      </c>
      <c r="EH23" s="2738">
        <f t="shared" ref="EH23" si="316">SUM(EH24:EH26)</f>
        <v>6001</v>
      </c>
      <c r="EI23" s="2737">
        <f t="shared" ref="EI23" si="317">SUM(EI24:EI26)</f>
        <v>12080</v>
      </c>
      <c r="EJ23" s="2737">
        <f t="shared" ref="EJ23" si="318">SUM(EJ24:EJ26)</f>
        <v>5820</v>
      </c>
      <c r="EK23" s="2790">
        <f t="shared" ref="EK23" si="319">SUM(EK24:EK26)</f>
        <v>13000</v>
      </c>
      <c r="EL23" s="2790">
        <f t="shared" ref="EL23" si="320">SUM(EL24:EL26)</f>
        <v>7000</v>
      </c>
      <c r="EM23" s="2737">
        <f>SUM(EM24:EM25)</f>
        <v>-260</v>
      </c>
      <c r="EN23" s="2737">
        <f>EK23/EI23*100</f>
        <v>107.61589403973511</v>
      </c>
      <c r="EO23" s="2737">
        <f>SUM(EO24:EO25)</f>
        <v>260</v>
      </c>
      <c r="EP23" s="13">
        <f>EI23/EE23*100</f>
        <v>92.92307692307692</v>
      </c>
      <c r="EQ23" s="2737">
        <f>SUM(EQ24:EQ26)</f>
        <v>6500</v>
      </c>
      <c r="ER23" s="2737">
        <f t="shared" ref="ER23" si="321">SUM(ER24:ER26)</f>
        <v>4000</v>
      </c>
      <c r="ES23" s="2737">
        <f t="shared" ref="ES23" si="322">SUM(ES24:ES26)</f>
        <v>4230</v>
      </c>
      <c r="ET23" s="2737">
        <f t="shared" ref="ET23" si="323">SUM(ET24:ET26)</f>
        <v>2644</v>
      </c>
      <c r="EU23" s="2737">
        <f t="shared" ref="EU23" si="324">SUM(EU24:EU26)</f>
        <v>6500</v>
      </c>
      <c r="EV23" s="2737">
        <f t="shared" ref="EV23" si="325">SUM(EV24:EV26)</f>
        <v>4121</v>
      </c>
      <c r="EW23" s="2737">
        <f>SUM(EW24:EW26)</f>
        <v>7000</v>
      </c>
      <c r="EX23" s="2737">
        <f>SUM(EX24:EX26)</f>
        <v>4250</v>
      </c>
      <c r="EY23" s="2737">
        <f>SUM(EY24:EY25)</f>
        <v>371</v>
      </c>
      <c r="EZ23" s="2737">
        <f>EW23/EU23*100</f>
        <v>107.69230769230769</v>
      </c>
      <c r="FA23" s="2737">
        <f>SUM(FA24:FA25)</f>
        <v>-121</v>
      </c>
      <c r="FB23" s="13">
        <f>EU23/EQ23*100</f>
        <v>100</v>
      </c>
      <c r="FC23" s="2739">
        <f>E23/C23</f>
        <v>0.74057411273486429</v>
      </c>
      <c r="FD23" s="2739">
        <f>F23/D23</f>
        <v>0.79033783783783784</v>
      </c>
      <c r="FE23" s="2740">
        <f t="shared" si="153"/>
        <v>-24853</v>
      </c>
      <c r="FF23" s="2740">
        <f t="shared" si="153"/>
        <v>-12412</v>
      </c>
    </row>
    <row r="24" spans="1:162" s="154" customFormat="1" ht="25.2" customHeight="1">
      <c r="A24" s="2155" t="s">
        <v>137</v>
      </c>
      <c r="B24" s="137" t="s">
        <v>273</v>
      </c>
      <c r="C24" s="13">
        <f t="shared" si="79"/>
        <v>34000</v>
      </c>
      <c r="D24" s="13">
        <f t="shared" si="79"/>
        <v>0</v>
      </c>
      <c r="E24" s="13">
        <f t="shared" si="79"/>
        <v>22382</v>
      </c>
      <c r="F24" s="13">
        <f t="shared" si="79"/>
        <v>0</v>
      </c>
      <c r="G24" s="13">
        <f t="shared" si="79"/>
        <v>33571</v>
      </c>
      <c r="H24" s="13">
        <f t="shared" si="79"/>
        <v>0</v>
      </c>
      <c r="I24" s="13">
        <f t="shared" si="79"/>
        <v>34000</v>
      </c>
      <c r="J24" s="13">
        <f t="shared" si="79"/>
        <v>0</v>
      </c>
      <c r="K24" s="13">
        <f t="shared" ref="K24:K26" si="326">+I24-G24</f>
        <v>429</v>
      </c>
      <c r="L24" s="13">
        <f t="shared" ref="L24:L26" si="327">+I24/G24*100</f>
        <v>101.2778886538977</v>
      </c>
      <c r="M24" s="13">
        <f t="shared" ref="M24:M26" si="328">+G24-C24</f>
        <v>-429</v>
      </c>
      <c r="N24" s="13">
        <f t="shared" ref="N24:N26" si="329">+G24/C24*100</f>
        <v>98.738235294117644</v>
      </c>
      <c r="O24" s="13">
        <v>2000</v>
      </c>
      <c r="P24" s="13">
        <v>0</v>
      </c>
      <c r="Q24" s="53">
        <f>1419</f>
        <v>1419</v>
      </c>
      <c r="R24" s="13">
        <v>0</v>
      </c>
      <c r="S24" s="53">
        <f>Q24/8*12</f>
        <v>2128.5</v>
      </c>
      <c r="T24" s="13">
        <v>0</v>
      </c>
      <c r="U24" s="2807">
        <f>2000</f>
        <v>2000</v>
      </c>
      <c r="V24" s="13">
        <v>0</v>
      </c>
      <c r="W24" s="2760">
        <f>U24-S24</f>
        <v>-128.5</v>
      </c>
      <c r="X24" s="13">
        <f t="shared" ref="X24:X26" si="330">U24/S24*100</f>
        <v>93.96288466055907</v>
      </c>
      <c r="Y24" s="2760">
        <f>S24-O24</f>
        <v>128.5</v>
      </c>
      <c r="Z24" s="13">
        <f t="shared" ref="Z24:Z26" si="331">S24/O24*100</f>
        <v>106.425</v>
      </c>
      <c r="AA24" s="13">
        <v>3500</v>
      </c>
      <c r="AB24" s="13">
        <v>0</v>
      </c>
      <c r="AC24" s="53">
        <v>2002</v>
      </c>
      <c r="AD24" s="53">
        <v>0</v>
      </c>
      <c r="AE24" s="53">
        <f>AC24/8*12</f>
        <v>3003</v>
      </c>
      <c r="AF24" s="53">
        <v>0</v>
      </c>
      <c r="AG24" s="53">
        <f>3500-500</f>
        <v>3000</v>
      </c>
      <c r="AH24" s="53">
        <v>0</v>
      </c>
      <c r="AI24" s="2760">
        <f>AG24-AE24</f>
        <v>-3</v>
      </c>
      <c r="AJ24" s="13">
        <f t="shared" ref="AJ24:AJ26" si="332">AG24/AE24*100</f>
        <v>99.900099900099903</v>
      </c>
      <c r="AK24" s="2760">
        <f>AE24-AA24</f>
        <v>-497</v>
      </c>
      <c r="AL24" s="13">
        <f t="shared" ref="AL24:AL26" si="333">AE24/AA24*100</f>
        <v>85.8</v>
      </c>
      <c r="AM24" s="13">
        <v>1500</v>
      </c>
      <c r="AN24" s="13">
        <v>0</v>
      </c>
      <c r="AO24" s="13">
        <v>836</v>
      </c>
      <c r="AP24" s="13">
        <v>0</v>
      </c>
      <c r="AQ24" s="53">
        <f>AO24/8*12</f>
        <v>1254</v>
      </c>
      <c r="AR24" s="13">
        <v>0</v>
      </c>
      <c r="AS24" s="13">
        <v>1500</v>
      </c>
      <c r="AT24" s="13">
        <v>0</v>
      </c>
      <c r="AU24" s="2760">
        <f>AS24-AQ24</f>
        <v>246</v>
      </c>
      <c r="AV24" s="13">
        <f t="shared" ref="AV24:AV26" si="334">AS24/AQ24*100</f>
        <v>119.61722488038278</v>
      </c>
      <c r="AW24" s="2760">
        <f>AQ24-AM24</f>
        <v>-246</v>
      </c>
      <c r="AX24" s="13">
        <f t="shared" ref="AX24:AX26" si="335">AQ24/AM24*100</f>
        <v>83.6</v>
      </c>
      <c r="AY24" s="13">
        <v>2000</v>
      </c>
      <c r="AZ24" s="30">
        <v>0</v>
      </c>
      <c r="BA24" s="30">
        <f>1117</f>
        <v>1117</v>
      </c>
      <c r="BB24" s="30">
        <v>0</v>
      </c>
      <c r="BC24" s="30">
        <f>BA24/8*12</f>
        <v>1675.5</v>
      </c>
      <c r="BD24" s="30">
        <v>0</v>
      </c>
      <c r="BE24" s="30">
        <v>2000</v>
      </c>
      <c r="BF24" s="30">
        <v>0</v>
      </c>
      <c r="BG24" s="2760">
        <f>BE24-BC24</f>
        <v>324.5</v>
      </c>
      <c r="BH24" s="13">
        <f t="shared" ref="BH24:BH26" si="336">BE24/BC24*100</f>
        <v>119.36735302894658</v>
      </c>
      <c r="BI24" s="2760">
        <f>BC24-AY24</f>
        <v>-324.5</v>
      </c>
      <c r="BJ24" s="13">
        <f t="shared" ref="BJ24:BJ26" si="337">BC24/AY24*100</f>
        <v>83.775000000000006</v>
      </c>
      <c r="BK24" s="13">
        <v>3000</v>
      </c>
      <c r="BL24" s="13">
        <v>0</v>
      </c>
      <c r="BM24" s="13">
        <f>1475</f>
        <v>1475</v>
      </c>
      <c r="BN24" s="30">
        <v>0</v>
      </c>
      <c r="BO24" s="30">
        <f>BM24/8*12</f>
        <v>2212.5</v>
      </c>
      <c r="BP24" s="30">
        <v>0</v>
      </c>
      <c r="BQ24" s="30">
        <v>3000</v>
      </c>
      <c r="BR24" s="30">
        <v>0</v>
      </c>
      <c r="BS24" s="2760">
        <f>BQ24-BO24</f>
        <v>787.5</v>
      </c>
      <c r="BT24" s="13">
        <f t="shared" ref="BT24:BT26" si="338">BQ24/BO24*100</f>
        <v>135.59322033898303</v>
      </c>
      <c r="BU24" s="2760">
        <f>BO24-BK24</f>
        <v>-787.5</v>
      </c>
      <c r="BV24" s="13">
        <f t="shared" ref="BV24:BV26" si="339">BO24/BK24*100</f>
        <v>73.75</v>
      </c>
      <c r="BW24" s="13">
        <v>4000</v>
      </c>
      <c r="BX24" s="13">
        <v>0</v>
      </c>
      <c r="BY24" s="30">
        <v>3530</v>
      </c>
      <c r="BZ24" s="30">
        <v>0</v>
      </c>
      <c r="CA24" s="30">
        <f>BY24/8*12</f>
        <v>5295</v>
      </c>
      <c r="CB24" s="30">
        <v>0</v>
      </c>
      <c r="CC24" s="30">
        <v>4000</v>
      </c>
      <c r="CD24" s="30">
        <v>0</v>
      </c>
      <c r="CE24" s="2760">
        <f>CC24-CA24</f>
        <v>-1295</v>
      </c>
      <c r="CF24" s="13">
        <f t="shared" ref="CF24:CF26" si="340">CC24/CA24*100</f>
        <v>75.542965061378666</v>
      </c>
      <c r="CG24" s="2809">
        <f>CA24-BW24</f>
        <v>1295</v>
      </c>
      <c r="CH24" s="13">
        <f t="shared" ref="CH24:CH26" si="341">CA24/BW24*100</f>
        <v>132.375</v>
      </c>
      <c r="CI24" s="13">
        <v>3000</v>
      </c>
      <c r="CJ24" s="30">
        <v>0</v>
      </c>
      <c r="CK24" s="30">
        <f>1955</f>
        <v>1955</v>
      </c>
      <c r="CL24" s="30">
        <v>0</v>
      </c>
      <c r="CM24" s="30">
        <f>CK24/8*12+6</f>
        <v>2938.5</v>
      </c>
      <c r="CN24" s="30">
        <v>0</v>
      </c>
      <c r="CO24" s="30">
        <v>3000</v>
      </c>
      <c r="CP24" s="30">
        <v>0</v>
      </c>
      <c r="CQ24" s="2791">
        <f>CO24-CM24</f>
        <v>61.5</v>
      </c>
      <c r="CR24" s="13">
        <f t="shared" ref="CR24:CR26" si="342">CO24/CM24*100</f>
        <v>102.09290454313424</v>
      </c>
      <c r="CS24" s="2760">
        <f>CM24-CI24</f>
        <v>-61.5</v>
      </c>
      <c r="CT24" s="13">
        <f t="shared" ref="CT24:CT26" si="343">CM24/CI24*100</f>
        <v>97.95</v>
      </c>
      <c r="CU24" s="13">
        <v>3000</v>
      </c>
      <c r="CV24" s="13">
        <v>0</v>
      </c>
      <c r="CW24" s="13">
        <v>1746</v>
      </c>
      <c r="CX24" s="13">
        <v>0</v>
      </c>
      <c r="CY24" s="30">
        <f>CW24/8*12</f>
        <v>2619</v>
      </c>
      <c r="CZ24" s="30">
        <v>0</v>
      </c>
      <c r="DA24" s="30">
        <f>3000-500</f>
        <v>2500</v>
      </c>
      <c r="DB24" s="30">
        <v>0</v>
      </c>
      <c r="DC24" s="2760">
        <f>DA24-CY24</f>
        <v>-119</v>
      </c>
      <c r="DD24" s="13">
        <f t="shared" ref="DD24:DD26" si="344">DA24/CY24*100</f>
        <v>95.456281023291339</v>
      </c>
      <c r="DE24" s="2760">
        <f>CY24-CU24</f>
        <v>-381</v>
      </c>
      <c r="DF24" s="13">
        <f t="shared" ref="DF24:DF26" si="345">CY24/CU24*100</f>
        <v>87.3</v>
      </c>
      <c r="DG24" s="13">
        <f>2500</f>
        <v>2500</v>
      </c>
      <c r="DH24" s="13">
        <v>0</v>
      </c>
      <c r="DI24" s="13">
        <v>1261</v>
      </c>
      <c r="DJ24" s="13">
        <v>0</v>
      </c>
      <c r="DK24" s="13">
        <f>DI24/8*12</f>
        <v>1891.5</v>
      </c>
      <c r="DL24" s="13">
        <v>0</v>
      </c>
      <c r="DM24" s="30">
        <f>2500+1000</f>
        <v>3500</v>
      </c>
      <c r="DN24" s="30">
        <v>0</v>
      </c>
      <c r="DO24" s="2760">
        <f>DM24-DK24</f>
        <v>1608.5</v>
      </c>
      <c r="DP24" s="13">
        <f t="shared" ref="DP24:DP26" si="346">DM24/DK24*100</f>
        <v>185.03832936822627</v>
      </c>
      <c r="DQ24" s="2760">
        <f>DK24-DG24</f>
        <v>-608.5</v>
      </c>
      <c r="DR24" s="13">
        <f t="shared" ref="DR24:DR26" si="347">DK24/DG24*100</f>
        <v>75.660000000000011</v>
      </c>
      <c r="DS24" s="13">
        <f>2500</f>
        <v>2500</v>
      </c>
      <c r="DT24" s="13">
        <v>0</v>
      </c>
      <c r="DU24" s="53">
        <f>2205</f>
        <v>2205</v>
      </c>
      <c r="DV24" s="53">
        <v>0</v>
      </c>
      <c r="DW24" s="30">
        <f>DU24/8*12-8</f>
        <v>3299.5</v>
      </c>
      <c r="DX24" s="30">
        <v>0</v>
      </c>
      <c r="DY24" s="30">
        <f>2500</f>
        <v>2500</v>
      </c>
      <c r="DZ24" s="30">
        <v>0</v>
      </c>
      <c r="EA24" s="2760">
        <f>DY24-DW24</f>
        <v>-799.5</v>
      </c>
      <c r="EB24" s="13">
        <f t="shared" ref="EB24:EB26" si="348">DY24/DW24*100</f>
        <v>75.769055917563264</v>
      </c>
      <c r="EC24" s="2760">
        <f>DW24-DS24</f>
        <v>799.5</v>
      </c>
      <c r="ED24" s="13">
        <f t="shared" ref="ED24:ED26" si="349">DW24/DS24*100</f>
        <v>131.98000000000002</v>
      </c>
      <c r="EE24" s="13">
        <v>4500</v>
      </c>
      <c r="EF24" s="13">
        <v>0</v>
      </c>
      <c r="EG24" s="53">
        <v>3286</v>
      </c>
      <c r="EH24" s="53">
        <v>0</v>
      </c>
      <c r="EI24" s="13">
        <f>EG24/8*12</f>
        <v>4929</v>
      </c>
      <c r="EJ24" s="13">
        <v>0</v>
      </c>
      <c r="EK24" s="30">
        <v>4500</v>
      </c>
      <c r="EL24" s="30">
        <v>0</v>
      </c>
      <c r="EM24" s="2760">
        <f>EK24-EI24</f>
        <v>-429</v>
      </c>
      <c r="EN24" s="13">
        <f t="shared" ref="EN24:EN26" si="350">EK24/EI24*100</f>
        <v>91.296409007912359</v>
      </c>
      <c r="EO24" s="2760">
        <f>EI24-EE24</f>
        <v>429</v>
      </c>
      <c r="EP24" s="13">
        <f t="shared" ref="EP24:EP26" si="351">EI24/EE24*100</f>
        <v>109.53333333333333</v>
      </c>
      <c r="EQ24" s="13">
        <f>2500</f>
        <v>2500</v>
      </c>
      <c r="ER24" s="13">
        <v>0</v>
      </c>
      <c r="ES24" s="13">
        <v>1550</v>
      </c>
      <c r="ET24" s="13">
        <v>0</v>
      </c>
      <c r="EU24" s="13">
        <f>ES24/8*12</f>
        <v>2325</v>
      </c>
      <c r="EV24" s="13">
        <v>0</v>
      </c>
      <c r="EW24" s="13">
        <f>2500</f>
        <v>2500</v>
      </c>
      <c r="EX24" s="13"/>
      <c r="EY24" s="2760">
        <f>EW24-EU24</f>
        <v>175</v>
      </c>
      <c r="EZ24" s="13">
        <f t="shared" ref="EZ24:EZ26" si="352">EW24/EU24*100</f>
        <v>107.5268817204301</v>
      </c>
      <c r="FA24" s="2760">
        <f>EU24-EQ24</f>
        <v>-175</v>
      </c>
      <c r="FB24" s="13">
        <f t="shared" ref="FB24:FB26" si="353">EU24/EQ24*100</f>
        <v>93</v>
      </c>
      <c r="FC24" s="2741"/>
      <c r="FD24" s="2741"/>
      <c r="FE24" s="2495"/>
      <c r="FF24" s="2495"/>
    </row>
    <row r="25" spans="1:162" s="154" customFormat="1" ht="25.2" customHeight="1">
      <c r="A25" s="2155" t="s">
        <v>137</v>
      </c>
      <c r="B25" s="137" t="s">
        <v>274</v>
      </c>
      <c r="C25" s="13">
        <f t="shared" si="79"/>
        <v>2600</v>
      </c>
      <c r="D25" s="13">
        <f t="shared" si="79"/>
        <v>0</v>
      </c>
      <c r="E25" s="13">
        <f t="shared" si="79"/>
        <v>1777</v>
      </c>
      <c r="F25" s="13">
        <f t="shared" si="79"/>
        <v>0</v>
      </c>
      <c r="G25" s="13">
        <f t="shared" si="79"/>
        <v>2708.333333333333</v>
      </c>
      <c r="H25" s="13">
        <f t="shared" si="79"/>
        <v>0</v>
      </c>
      <c r="I25" s="13">
        <f t="shared" si="79"/>
        <v>2900</v>
      </c>
      <c r="J25" s="13">
        <f t="shared" si="79"/>
        <v>0</v>
      </c>
      <c r="K25" s="13">
        <f t="shared" si="326"/>
        <v>191.66666666666697</v>
      </c>
      <c r="L25" s="13">
        <f t="shared" si="327"/>
        <v>107.07692307692309</v>
      </c>
      <c r="M25" s="13">
        <f t="shared" si="328"/>
        <v>108.33333333333303</v>
      </c>
      <c r="N25" s="13">
        <f t="shared" si="329"/>
        <v>104.16666666666666</v>
      </c>
      <c r="O25" s="13">
        <v>1000</v>
      </c>
      <c r="P25" s="13">
        <v>0</v>
      </c>
      <c r="Q25" s="53">
        <v>552</v>
      </c>
      <c r="R25" s="13">
        <v>0</v>
      </c>
      <c r="S25" s="53">
        <f>Q25/8*12</f>
        <v>828</v>
      </c>
      <c r="T25" s="13">
        <v>0</v>
      </c>
      <c r="U25" s="2807">
        <f>1000-500</f>
        <v>500</v>
      </c>
      <c r="V25" s="13">
        <v>0</v>
      </c>
      <c r="W25" s="2760">
        <f t="shared" ref="W25:W26" si="354">U25-S25</f>
        <v>-328</v>
      </c>
      <c r="X25" s="13">
        <f t="shared" si="330"/>
        <v>60.386473429951693</v>
      </c>
      <c r="Y25" s="2760">
        <f t="shared" ref="Y25:Y26" si="355">S25-O25</f>
        <v>-172</v>
      </c>
      <c r="Z25" s="13">
        <f t="shared" si="331"/>
        <v>82.8</v>
      </c>
      <c r="AA25" s="13">
        <v>100</v>
      </c>
      <c r="AB25" s="13">
        <v>0</v>
      </c>
      <c r="AC25" s="53">
        <v>25</v>
      </c>
      <c r="AD25" s="53">
        <v>0</v>
      </c>
      <c r="AE25" s="53">
        <f>AC25/8*12</f>
        <v>37.5</v>
      </c>
      <c r="AF25" s="53">
        <v>0</v>
      </c>
      <c r="AG25" s="53">
        <f>100-100</f>
        <v>0</v>
      </c>
      <c r="AH25" s="53">
        <v>0</v>
      </c>
      <c r="AI25" s="2760">
        <f t="shared" ref="AI25:AI26" si="356">AG25-AE25</f>
        <v>-37.5</v>
      </c>
      <c r="AJ25" s="13">
        <f t="shared" si="332"/>
        <v>0</v>
      </c>
      <c r="AK25" s="2760">
        <f t="shared" ref="AK25:AK26" si="357">AE25-AA25</f>
        <v>-62.5</v>
      </c>
      <c r="AL25" s="13">
        <f t="shared" si="333"/>
        <v>37.5</v>
      </c>
      <c r="AM25" s="13">
        <v>0</v>
      </c>
      <c r="AN25" s="13">
        <v>0</v>
      </c>
      <c r="AO25" s="13">
        <v>31</v>
      </c>
      <c r="AP25" s="13">
        <v>0</v>
      </c>
      <c r="AQ25" s="53">
        <f>AO25/8*12</f>
        <v>46.5</v>
      </c>
      <c r="AR25" s="13">
        <v>0</v>
      </c>
      <c r="AS25" s="13">
        <v>150</v>
      </c>
      <c r="AT25" s="13">
        <v>0</v>
      </c>
      <c r="AU25" s="2760">
        <f t="shared" ref="AU25:AU26" si="358">AS25-AQ25</f>
        <v>103.5</v>
      </c>
      <c r="AV25" s="13">
        <f t="shared" si="334"/>
        <v>322.58064516129031</v>
      </c>
      <c r="AW25" s="2760">
        <f t="shared" ref="AW25:AW26" si="359">AQ25-AM25</f>
        <v>46.5</v>
      </c>
      <c r="AX25" s="13" t="e">
        <f t="shared" si="335"/>
        <v>#DIV/0!</v>
      </c>
      <c r="AY25" s="13">
        <v>0</v>
      </c>
      <c r="AZ25" s="30">
        <v>0</v>
      </c>
      <c r="BA25" s="30">
        <v>43</v>
      </c>
      <c r="BB25" s="30">
        <v>0</v>
      </c>
      <c r="BC25" s="30">
        <f>BA25/8*12</f>
        <v>64.5</v>
      </c>
      <c r="BD25" s="30">
        <v>0</v>
      </c>
      <c r="BE25" s="30">
        <v>0</v>
      </c>
      <c r="BF25" s="30">
        <v>0</v>
      </c>
      <c r="BG25" s="2760">
        <f t="shared" ref="BG25:BG26" si="360">BE25-BC25</f>
        <v>-64.5</v>
      </c>
      <c r="BH25" s="13">
        <f t="shared" si="336"/>
        <v>0</v>
      </c>
      <c r="BI25" s="2760">
        <f t="shared" ref="BI25:BI26" si="361">BC25-AY25</f>
        <v>64.5</v>
      </c>
      <c r="BJ25" s="13" t="e">
        <f t="shared" si="337"/>
        <v>#DIV/0!</v>
      </c>
      <c r="BK25" s="13">
        <v>0</v>
      </c>
      <c r="BL25" s="13">
        <v>0</v>
      </c>
      <c r="BM25" s="13">
        <f>27</f>
        <v>27</v>
      </c>
      <c r="BN25" s="30">
        <v>0</v>
      </c>
      <c r="BO25" s="30">
        <f>BM25/8*12</f>
        <v>40.5</v>
      </c>
      <c r="BP25" s="30">
        <v>0</v>
      </c>
      <c r="BQ25" s="30">
        <v>250</v>
      </c>
      <c r="BR25" s="30">
        <v>0</v>
      </c>
      <c r="BS25" s="2760">
        <f t="shared" ref="BS25:BS26" si="362">BQ25-BO25</f>
        <v>209.5</v>
      </c>
      <c r="BT25" s="13">
        <f t="shared" si="338"/>
        <v>617.28395061728395</v>
      </c>
      <c r="BU25" s="2760">
        <f t="shared" ref="BU25:BU26" si="363">BO25-BK25</f>
        <v>40.5</v>
      </c>
      <c r="BV25" s="13" t="e">
        <f t="shared" si="339"/>
        <v>#DIV/0!</v>
      </c>
      <c r="BW25" s="13">
        <v>0</v>
      </c>
      <c r="BX25" s="13">
        <v>0</v>
      </c>
      <c r="BY25" s="30">
        <v>76</v>
      </c>
      <c r="BZ25" s="30">
        <v>0</v>
      </c>
      <c r="CA25" s="30">
        <f>BY25/8*12</f>
        <v>114</v>
      </c>
      <c r="CB25" s="30">
        <v>0</v>
      </c>
      <c r="CC25" s="30">
        <v>0</v>
      </c>
      <c r="CD25" s="30">
        <v>0</v>
      </c>
      <c r="CE25" s="2760">
        <f t="shared" ref="CE25:CE26" si="364">CC25-CA25</f>
        <v>-114</v>
      </c>
      <c r="CF25" s="13">
        <f t="shared" si="340"/>
        <v>0</v>
      </c>
      <c r="CG25" s="2809">
        <f t="shared" ref="CG25:CG26" si="365">CA25-BW25</f>
        <v>114</v>
      </c>
      <c r="CH25" s="13" t="e">
        <f t="shared" si="341"/>
        <v>#DIV/0!</v>
      </c>
      <c r="CI25" s="13">
        <v>0</v>
      </c>
      <c r="CJ25" s="30">
        <v>0</v>
      </c>
      <c r="CK25" s="30">
        <v>41</v>
      </c>
      <c r="CL25" s="30">
        <v>0</v>
      </c>
      <c r="CM25" s="30">
        <f>CK25/8*12</f>
        <v>61.5</v>
      </c>
      <c r="CN25" s="30">
        <v>0</v>
      </c>
      <c r="CO25" s="30">
        <v>0</v>
      </c>
      <c r="CP25" s="30">
        <v>0</v>
      </c>
      <c r="CQ25" s="2791">
        <f t="shared" ref="CQ25:CQ26" si="366">CO25-CM25</f>
        <v>-61.5</v>
      </c>
      <c r="CR25" s="13">
        <f t="shared" si="342"/>
        <v>0</v>
      </c>
      <c r="CS25" s="2760">
        <f t="shared" ref="CS25:CS26" si="367">CM25-CI25</f>
        <v>61.5</v>
      </c>
      <c r="CT25" s="13" t="e">
        <f t="shared" si="343"/>
        <v>#DIV/0!</v>
      </c>
      <c r="CU25" s="13">
        <v>0</v>
      </c>
      <c r="CV25" s="13">
        <v>0</v>
      </c>
      <c r="CW25" s="13">
        <v>43</v>
      </c>
      <c r="CX25" s="13">
        <v>0</v>
      </c>
      <c r="CY25" s="30">
        <f>CW25/8*12</f>
        <v>64.5</v>
      </c>
      <c r="CZ25" s="30">
        <v>0</v>
      </c>
      <c r="DA25" s="30">
        <v>0</v>
      </c>
      <c r="DB25" s="30">
        <v>0</v>
      </c>
      <c r="DC25" s="2760">
        <f t="shared" ref="DC25:DC26" si="368">DA25-CY25</f>
        <v>-64.5</v>
      </c>
      <c r="DD25" s="13">
        <f t="shared" si="344"/>
        <v>0</v>
      </c>
      <c r="DE25" s="2760">
        <f t="shared" ref="DE25:DE26" si="369">CY25-CU25</f>
        <v>64.5</v>
      </c>
      <c r="DF25" s="13" t="e">
        <f t="shared" si="345"/>
        <v>#DIV/0!</v>
      </c>
      <c r="DG25" s="13">
        <v>0</v>
      </c>
      <c r="DH25" s="13">
        <v>0</v>
      </c>
      <c r="DI25" s="13">
        <v>44</v>
      </c>
      <c r="DJ25" s="13">
        <v>0</v>
      </c>
      <c r="DK25" s="13">
        <f>DI25/8*12</f>
        <v>66</v>
      </c>
      <c r="DL25" s="13">
        <v>0</v>
      </c>
      <c r="DM25" s="30"/>
      <c r="DN25" s="30">
        <v>0</v>
      </c>
      <c r="DO25" s="2760">
        <f t="shared" ref="DO25:DO26" si="370">DM25-DK25</f>
        <v>-66</v>
      </c>
      <c r="DP25" s="13">
        <f t="shared" si="346"/>
        <v>0</v>
      </c>
      <c r="DQ25" s="2760">
        <f t="shared" ref="DQ25:DQ26" si="371">DK25-DG25</f>
        <v>66</v>
      </c>
      <c r="DR25" s="13" t="e">
        <f t="shared" si="347"/>
        <v>#DIV/0!</v>
      </c>
      <c r="DS25" s="13">
        <v>0</v>
      </c>
      <c r="DT25" s="13">
        <v>0</v>
      </c>
      <c r="DU25" s="53">
        <v>25</v>
      </c>
      <c r="DV25" s="53">
        <v>0</v>
      </c>
      <c r="DW25" s="30">
        <f>DU25/9*12-33</f>
        <v>0.3333333333333286</v>
      </c>
      <c r="DX25" s="30">
        <v>0</v>
      </c>
      <c r="DY25" s="30">
        <v>250</v>
      </c>
      <c r="DZ25" s="30">
        <v>0</v>
      </c>
      <c r="EA25" s="2760">
        <f t="shared" ref="EA25:EA26" si="372">DY25-DW25</f>
        <v>249.66666666666669</v>
      </c>
      <c r="EB25" s="13">
        <f t="shared" si="348"/>
        <v>75000.000000001062</v>
      </c>
      <c r="EC25" s="2760">
        <f t="shared" ref="EC25:EC26" si="373">DW25-DS25</f>
        <v>0.3333333333333286</v>
      </c>
      <c r="ED25" s="13" t="e">
        <f t="shared" si="349"/>
        <v>#DIV/0!</v>
      </c>
      <c r="EE25" s="13">
        <v>1500</v>
      </c>
      <c r="EF25" s="13">
        <v>0</v>
      </c>
      <c r="EG25" s="53">
        <v>834</v>
      </c>
      <c r="EH25" s="53">
        <v>0</v>
      </c>
      <c r="EI25" s="13">
        <f>EG25/8*12+80</f>
        <v>1331</v>
      </c>
      <c r="EJ25" s="13">
        <v>0</v>
      </c>
      <c r="EK25" s="30">
        <v>1500</v>
      </c>
      <c r="EL25" s="30">
        <v>0</v>
      </c>
      <c r="EM25" s="2760">
        <f t="shared" ref="EM25:EM26" si="374">EK25-EI25</f>
        <v>169</v>
      </c>
      <c r="EN25" s="13">
        <f t="shared" si="350"/>
        <v>112.69722013523666</v>
      </c>
      <c r="EO25" s="2760">
        <f t="shared" ref="EO25:EO26" si="375">EI25-EE25</f>
        <v>-169</v>
      </c>
      <c r="EP25" s="13">
        <f t="shared" si="351"/>
        <v>88.733333333333334</v>
      </c>
      <c r="EQ25" s="13">
        <v>0</v>
      </c>
      <c r="ER25" s="13">
        <v>0</v>
      </c>
      <c r="ES25" s="13">
        <v>36</v>
      </c>
      <c r="ET25" s="13">
        <v>0</v>
      </c>
      <c r="EU25" s="13">
        <f>ES25/8*12</f>
        <v>54</v>
      </c>
      <c r="EV25" s="13">
        <v>0</v>
      </c>
      <c r="EW25" s="13">
        <v>250</v>
      </c>
      <c r="EX25" s="13">
        <v>0</v>
      </c>
      <c r="EY25" s="2760">
        <f t="shared" ref="EY25:EY26" si="376">EW25-EU25</f>
        <v>196</v>
      </c>
      <c r="EZ25" s="13">
        <f t="shared" si="352"/>
        <v>462.96296296296299</v>
      </c>
      <c r="FA25" s="2760">
        <f t="shared" ref="FA25:FA26" si="377">EU25-EQ25</f>
        <v>54</v>
      </c>
      <c r="FB25" s="13" t="e">
        <f t="shared" si="353"/>
        <v>#DIV/0!</v>
      </c>
      <c r="FC25" s="2741"/>
      <c r="FD25" s="2741"/>
      <c r="FE25" s="2495"/>
      <c r="FF25" s="2495"/>
    </row>
    <row r="26" spans="1:162" s="154" customFormat="1" ht="25.2" customHeight="1">
      <c r="A26" s="2155" t="s">
        <v>137</v>
      </c>
      <c r="B26" s="137" t="s">
        <v>355</v>
      </c>
      <c r="C26" s="13">
        <f t="shared" si="79"/>
        <v>59200</v>
      </c>
      <c r="D26" s="13">
        <f t="shared" si="79"/>
        <v>59200</v>
      </c>
      <c r="E26" s="13">
        <f t="shared" si="79"/>
        <v>46788</v>
      </c>
      <c r="F26" s="13">
        <f t="shared" si="79"/>
        <v>46788</v>
      </c>
      <c r="G26" s="13">
        <f t="shared" si="79"/>
        <v>55000.666666666664</v>
      </c>
      <c r="H26" s="13">
        <f t="shared" si="79"/>
        <v>55000.666666666664</v>
      </c>
      <c r="I26" s="13">
        <f t="shared" si="79"/>
        <v>62400</v>
      </c>
      <c r="J26" s="13">
        <f t="shared" si="79"/>
        <v>62400</v>
      </c>
      <c r="K26" s="13">
        <f t="shared" si="326"/>
        <v>7399.3333333333358</v>
      </c>
      <c r="L26" s="13">
        <f t="shared" si="327"/>
        <v>113.45317026460286</v>
      </c>
      <c r="M26" s="13">
        <f t="shared" si="328"/>
        <v>-4199.3333333333358</v>
      </c>
      <c r="N26" s="13">
        <f t="shared" si="329"/>
        <v>92.906531531531527</v>
      </c>
      <c r="O26" s="13">
        <f>4000-O24-O25</f>
        <v>1000</v>
      </c>
      <c r="P26" s="13">
        <f>O26</f>
        <v>1000</v>
      </c>
      <c r="Q26" s="53">
        <f>3475-Q24-Q25</f>
        <v>1504</v>
      </c>
      <c r="R26" s="13">
        <f>Q26</f>
        <v>1504</v>
      </c>
      <c r="S26" s="53">
        <f>4500-S24-S25</f>
        <v>1543.5</v>
      </c>
      <c r="T26" s="13">
        <f>S26</f>
        <v>1543.5</v>
      </c>
      <c r="U26" s="53">
        <f>4500-U24-U25</f>
        <v>2000</v>
      </c>
      <c r="V26" s="13">
        <f>U26</f>
        <v>2000</v>
      </c>
      <c r="W26" s="2760">
        <f t="shared" si="354"/>
        <v>456.5</v>
      </c>
      <c r="X26" s="13">
        <f t="shared" si="330"/>
        <v>129.57563977972143</v>
      </c>
      <c r="Y26" s="2760">
        <f t="shared" si="355"/>
        <v>543.5</v>
      </c>
      <c r="Z26" s="13">
        <f t="shared" si="331"/>
        <v>154.35000000000002</v>
      </c>
      <c r="AA26" s="13">
        <f>6600-AA24-AA25</f>
        <v>3000</v>
      </c>
      <c r="AB26" s="13">
        <f>AA26</f>
        <v>3000</v>
      </c>
      <c r="AC26" s="53">
        <f>5210-AC24-AC25</f>
        <v>3183</v>
      </c>
      <c r="AD26" s="53">
        <f>AC26</f>
        <v>3183</v>
      </c>
      <c r="AE26" s="53">
        <f>6000-AE24-AE25</f>
        <v>2959.5</v>
      </c>
      <c r="AF26" s="53">
        <f>AE26</f>
        <v>2959.5</v>
      </c>
      <c r="AG26" s="53">
        <f>6000-AG24-AG25</f>
        <v>3000</v>
      </c>
      <c r="AH26" s="53">
        <f>AG26</f>
        <v>3000</v>
      </c>
      <c r="AI26" s="2760">
        <f t="shared" si="356"/>
        <v>40.5</v>
      </c>
      <c r="AJ26" s="13">
        <f t="shared" si="332"/>
        <v>101.36847440446022</v>
      </c>
      <c r="AK26" s="2760">
        <f t="shared" si="357"/>
        <v>-40.5</v>
      </c>
      <c r="AL26" s="13">
        <f t="shared" si="333"/>
        <v>98.65</v>
      </c>
      <c r="AM26" s="13">
        <f>3000-AM24-AM25</f>
        <v>1500</v>
      </c>
      <c r="AN26" s="13">
        <f>AM26</f>
        <v>1500</v>
      </c>
      <c r="AO26" s="13">
        <f>2583-AO24-AO25</f>
        <v>1716</v>
      </c>
      <c r="AP26" s="13">
        <f>AO26</f>
        <v>1716</v>
      </c>
      <c r="AQ26" s="13">
        <f>3000-AQ24-AQ25</f>
        <v>1699.5</v>
      </c>
      <c r="AR26" s="13">
        <f>AQ26</f>
        <v>1699.5</v>
      </c>
      <c r="AS26" s="13">
        <f>3300-AS24-AS25</f>
        <v>1650</v>
      </c>
      <c r="AT26" s="13">
        <f>AS26</f>
        <v>1650</v>
      </c>
      <c r="AU26" s="2760">
        <f t="shared" si="358"/>
        <v>-49.5</v>
      </c>
      <c r="AV26" s="13">
        <f t="shared" si="334"/>
        <v>97.087378640776706</v>
      </c>
      <c r="AW26" s="2760">
        <f t="shared" si="359"/>
        <v>199.5</v>
      </c>
      <c r="AX26" s="13">
        <f t="shared" si="335"/>
        <v>113.3</v>
      </c>
      <c r="AY26" s="13">
        <f>4500-AY24-AY25</f>
        <v>2500</v>
      </c>
      <c r="AZ26" s="30">
        <f>AY26</f>
        <v>2500</v>
      </c>
      <c r="BA26" s="30">
        <f>3166-BA24-BA25</f>
        <v>2006</v>
      </c>
      <c r="BB26" s="30">
        <f>BA26</f>
        <v>2006</v>
      </c>
      <c r="BC26" s="30">
        <f>4200-BC24-BC25</f>
        <v>2460</v>
      </c>
      <c r="BD26" s="30">
        <f>BC26</f>
        <v>2460</v>
      </c>
      <c r="BE26" s="30">
        <f>4500-BE24-BE25</f>
        <v>2500</v>
      </c>
      <c r="BF26" s="30">
        <f>BE26</f>
        <v>2500</v>
      </c>
      <c r="BG26" s="2760">
        <f t="shared" si="360"/>
        <v>40</v>
      </c>
      <c r="BH26" s="13">
        <f t="shared" si="336"/>
        <v>101.62601626016261</v>
      </c>
      <c r="BI26" s="2760">
        <f t="shared" si="361"/>
        <v>-40</v>
      </c>
      <c r="BJ26" s="13">
        <f t="shared" si="337"/>
        <v>98.4</v>
      </c>
      <c r="BK26" s="13">
        <f>6500-BK24-BK25</f>
        <v>3500</v>
      </c>
      <c r="BL26" s="13">
        <f>BK26</f>
        <v>3500</v>
      </c>
      <c r="BM26" s="13">
        <f>3817-BM24-BM25</f>
        <v>2315</v>
      </c>
      <c r="BN26" s="30">
        <f>BM26</f>
        <v>2315</v>
      </c>
      <c r="BO26" s="30">
        <f>6500-BO24-BO25</f>
        <v>4247</v>
      </c>
      <c r="BP26" s="30">
        <f>BO26</f>
        <v>4247</v>
      </c>
      <c r="BQ26" s="30">
        <f>7000-BQ24-BQ25</f>
        <v>3750</v>
      </c>
      <c r="BR26" s="30">
        <f>BQ26</f>
        <v>3750</v>
      </c>
      <c r="BS26" s="2760">
        <f t="shared" si="362"/>
        <v>-497</v>
      </c>
      <c r="BT26" s="13">
        <f t="shared" si="338"/>
        <v>88.297621850718158</v>
      </c>
      <c r="BU26" s="2760">
        <f t="shared" si="363"/>
        <v>747</v>
      </c>
      <c r="BV26" s="13">
        <f t="shared" si="339"/>
        <v>121.34285714285716</v>
      </c>
      <c r="BW26" s="13">
        <f>16000-BW24-BW25</f>
        <v>12000</v>
      </c>
      <c r="BX26" s="13">
        <f>BW26</f>
        <v>12000</v>
      </c>
      <c r="BY26" s="30">
        <f>14065-BY24-BY25</f>
        <v>10459</v>
      </c>
      <c r="BZ26" s="30">
        <f>BY26</f>
        <v>10459</v>
      </c>
      <c r="CA26" s="30">
        <f>15000-CA24-CA25</f>
        <v>9591</v>
      </c>
      <c r="CB26" s="30">
        <f>CA26</f>
        <v>9591</v>
      </c>
      <c r="CC26" s="30">
        <f>16000-CC24-CC25</f>
        <v>12000</v>
      </c>
      <c r="CD26" s="30">
        <f>CC26</f>
        <v>12000</v>
      </c>
      <c r="CE26" s="2760">
        <f t="shared" si="364"/>
        <v>2409</v>
      </c>
      <c r="CF26" s="13">
        <f t="shared" si="340"/>
        <v>125.11729746637472</v>
      </c>
      <c r="CG26" s="2809">
        <f t="shared" si="365"/>
        <v>-2409</v>
      </c>
      <c r="CH26" s="13">
        <f t="shared" si="341"/>
        <v>79.924999999999997</v>
      </c>
      <c r="CI26" s="13">
        <f>11000-CI24-CI25</f>
        <v>8000</v>
      </c>
      <c r="CJ26" s="30">
        <f>CI26</f>
        <v>8000</v>
      </c>
      <c r="CK26" s="30">
        <f>7571-CK24-CK25</f>
        <v>5575</v>
      </c>
      <c r="CL26" s="30">
        <f>CK26</f>
        <v>5575</v>
      </c>
      <c r="CM26" s="30">
        <f>10000-CM24-CM25</f>
        <v>7000</v>
      </c>
      <c r="CN26" s="30">
        <f>CM26</f>
        <v>7000</v>
      </c>
      <c r="CO26" s="30">
        <f>11000-CO24-CO25</f>
        <v>8000</v>
      </c>
      <c r="CP26" s="30">
        <f>CO26</f>
        <v>8000</v>
      </c>
      <c r="CQ26" s="2791">
        <f t="shared" si="366"/>
        <v>1000</v>
      </c>
      <c r="CR26" s="13">
        <f t="shared" si="342"/>
        <v>114.28571428571428</v>
      </c>
      <c r="CS26" s="2760">
        <f t="shared" si="367"/>
        <v>-1000</v>
      </c>
      <c r="CT26" s="13">
        <f t="shared" si="343"/>
        <v>87.5</v>
      </c>
      <c r="CU26" s="13">
        <f>10000-CU24-CU25</f>
        <v>7000</v>
      </c>
      <c r="CV26" s="13">
        <f>CU26</f>
        <v>7000</v>
      </c>
      <c r="CW26" s="13">
        <f>5179-CW24-CW25</f>
        <v>3390</v>
      </c>
      <c r="CX26" s="13">
        <f>CW26</f>
        <v>3390</v>
      </c>
      <c r="CY26" s="30">
        <f>8000-CY24-CY25</f>
        <v>5316.5</v>
      </c>
      <c r="CZ26" s="30">
        <f>CY26</f>
        <v>5316.5</v>
      </c>
      <c r="DA26" s="30">
        <f>9000-DA24-DA25</f>
        <v>6500</v>
      </c>
      <c r="DB26" s="30">
        <f>DA26</f>
        <v>6500</v>
      </c>
      <c r="DC26" s="2760">
        <f t="shared" si="368"/>
        <v>1183.5</v>
      </c>
      <c r="DD26" s="13">
        <f t="shared" si="344"/>
        <v>122.26088592118876</v>
      </c>
      <c r="DE26" s="2760">
        <f t="shared" si="369"/>
        <v>-1683.5</v>
      </c>
      <c r="DF26" s="13">
        <f t="shared" si="345"/>
        <v>75.949999999999989</v>
      </c>
      <c r="DG26" s="13">
        <f>9000-DG24-DG25</f>
        <v>6500</v>
      </c>
      <c r="DH26" s="13">
        <f>DG26</f>
        <v>6500</v>
      </c>
      <c r="DI26" s="13">
        <f>6741-DI24-DI25</f>
        <v>5436</v>
      </c>
      <c r="DJ26" s="13">
        <f>DI26</f>
        <v>5436</v>
      </c>
      <c r="DK26" s="13">
        <f>9500-DK24-DK25</f>
        <v>7542.5</v>
      </c>
      <c r="DL26" s="13">
        <f>DK26</f>
        <v>7542.5</v>
      </c>
      <c r="DM26" s="30">
        <f>11000-DM24-DM25</f>
        <v>7500</v>
      </c>
      <c r="DN26" s="30">
        <f>DM26</f>
        <v>7500</v>
      </c>
      <c r="DO26" s="2760">
        <f t="shared" si="370"/>
        <v>-42.5</v>
      </c>
      <c r="DP26" s="13">
        <f t="shared" si="346"/>
        <v>99.436526350679486</v>
      </c>
      <c r="DQ26" s="2760">
        <f t="shared" si="371"/>
        <v>1042.5</v>
      </c>
      <c r="DR26" s="13">
        <f t="shared" si="347"/>
        <v>116.03846153846153</v>
      </c>
      <c r="DS26" s="13">
        <f>5700-DS24-DS25</f>
        <v>3200</v>
      </c>
      <c r="DT26" s="13">
        <f>DS26</f>
        <v>3200</v>
      </c>
      <c r="DU26" s="53">
        <f>4789-DU24-DU25</f>
        <v>2559</v>
      </c>
      <c r="DV26" s="53">
        <f>DU26</f>
        <v>2559</v>
      </c>
      <c r="DW26" s="30">
        <f>6000-DW24-DW25</f>
        <v>2700.1666666666665</v>
      </c>
      <c r="DX26" s="30">
        <f>DW26</f>
        <v>2700.1666666666665</v>
      </c>
      <c r="DY26" s="30">
        <f>7000-DY24-DY25</f>
        <v>4250</v>
      </c>
      <c r="DZ26" s="30">
        <f>DY26</f>
        <v>4250</v>
      </c>
      <c r="EA26" s="2760">
        <f t="shared" si="372"/>
        <v>1549.8333333333335</v>
      </c>
      <c r="EB26" s="13">
        <f t="shared" si="348"/>
        <v>157.39769150052467</v>
      </c>
      <c r="EC26" s="2760">
        <f t="shared" si="373"/>
        <v>-499.83333333333348</v>
      </c>
      <c r="ED26" s="13">
        <f t="shared" si="349"/>
        <v>84.380208333333329</v>
      </c>
      <c r="EE26" s="13">
        <f>13000-EE24-EE25</f>
        <v>7000</v>
      </c>
      <c r="EF26" s="13">
        <f>EE26</f>
        <v>7000</v>
      </c>
      <c r="EG26" s="53">
        <f>10121-EG24-EG25</f>
        <v>6001</v>
      </c>
      <c r="EH26" s="53">
        <f>EG26</f>
        <v>6001</v>
      </c>
      <c r="EI26" s="13">
        <f>15000-3000-EI24-EI25+80</f>
        <v>5820</v>
      </c>
      <c r="EJ26" s="13">
        <f>EI26</f>
        <v>5820</v>
      </c>
      <c r="EK26" s="30">
        <f>13000-EK24-EK25</f>
        <v>7000</v>
      </c>
      <c r="EL26" s="30">
        <f>EK26</f>
        <v>7000</v>
      </c>
      <c r="EM26" s="2760">
        <f t="shared" si="374"/>
        <v>1180</v>
      </c>
      <c r="EN26" s="13">
        <f t="shared" si="350"/>
        <v>120.27491408934708</v>
      </c>
      <c r="EO26" s="2760">
        <f t="shared" si="375"/>
        <v>-1180</v>
      </c>
      <c r="EP26" s="13">
        <f t="shared" si="351"/>
        <v>83.142857142857139</v>
      </c>
      <c r="EQ26" s="13">
        <f>6500-EQ24-EQ25</f>
        <v>4000</v>
      </c>
      <c r="ER26" s="13">
        <f>EQ26</f>
        <v>4000</v>
      </c>
      <c r="ES26" s="13">
        <f>4230-ES24-ES25</f>
        <v>2644</v>
      </c>
      <c r="ET26" s="13">
        <f>ES26</f>
        <v>2644</v>
      </c>
      <c r="EU26" s="13">
        <f>6500-EU24-EU25</f>
        <v>4121</v>
      </c>
      <c r="EV26" s="13">
        <f>EU26</f>
        <v>4121</v>
      </c>
      <c r="EW26" s="13">
        <f>7000-EW24-EW25</f>
        <v>4250</v>
      </c>
      <c r="EX26" s="13">
        <f>EW26</f>
        <v>4250</v>
      </c>
      <c r="EY26" s="2760">
        <f t="shared" si="376"/>
        <v>129</v>
      </c>
      <c r="EZ26" s="13">
        <f t="shared" si="352"/>
        <v>103.13030817762679</v>
      </c>
      <c r="FA26" s="2760">
        <f t="shared" si="377"/>
        <v>121</v>
      </c>
      <c r="FB26" s="13">
        <f t="shared" si="353"/>
        <v>103.02500000000001</v>
      </c>
      <c r="FC26" s="2741"/>
      <c r="FD26" s="2741"/>
      <c r="FE26" s="2495"/>
      <c r="FF26" s="2495"/>
    </row>
    <row r="27" spans="1:162" s="2759" customFormat="1" ht="25.2" customHeight="1">
      <c r="A27" s="2735">
        <v>7</v>
      </c>
      <c r="B27" s="2736" t="s">
        <v>98</v>
      </c>
      <c r="C27" s="2737">
        <f t="shared" si="79"/>
        <v>115000</v>
      </c>
      <c r="D27" s="2737">
        <f t="shared" si="79"/>
        <v>115000</v>
      </c>
      <c r="E27" s="2737">
        <f t="shared" si="79"/>
        <v>45382</v>
      </c>
      <c r="F27" s="2737">
        <f t="shared" si="79"/>
        <v>34082</v>
      </c>
      <c r="G27" s="2737">
        <f t="shared" si="79"/>
        <v>90800</v>
      </c>
      <c r="H27" s="2737">
        <f t="shared" si="80"/>
        <v>90800</v>
      </c>
      <c r="I27" s="2737">
        <f t="shared" si="80"/>
        <v>315000</v>
      </c>
      <c r="J27" s="2737">
        <f t="shared" si="80"/>
        <v>269100</v>
      </c>
      <c r="K27" s="2737">
        <f>+I27-G27</f>
        <v>224200</v>
      </c>
      <c r="L27" s="2737">
        <f>+I27/G27*100</f>
        <v>346.91629955947138</v>
      </c>
      <c r="M27" s="2737">
        <f>+G27-C27</f>
        <v>-24200</v>
      </c>
      <c r="N27" s="2737">
        <f>+G27/C27*100</f>
        <v>78.956521739130437</v>
      </c>
      <c r="O27" s="2737">
        <f>SUM(O28:O29)</f>
        <v>2000</v>
      </c>
      <c r="P27" s="2737">
        <f t="shared" ref="P27" si="378">SUM(P28:P29)</f>
        <v>2000</v>
      </c>
      <c r="Q27" s="2737">
        <f>SUM(Q28:Q29)</f>
        <v>1104</v>
      </c>
      <c r="R27" s="2737">
        <f t="shared" ref="R27" si="379">SUM(R28:R29)</f>
        <v>1093</v>
      </c>
      <c r="S27" s="2737">
        <f t="shared" ref="S27" si="380">SUM(S28:S29)</f>
        <v>2000</v>
      </c>
      <c r="T27" s="2737">
        <f t="shared" ref="T27" si="381">SUM(T28:T29)</f>
        <v>2000</v>
      </c>
      <c r="U27" s="2737">
        <f t="shared" ref="U27" si="382">SUM(U28:U29)</f>
        <v>24000</v>
      </c>
      <c r="V27" s="2737">
        <f t="shared" ref="V27" si="383">SUM(V28:V29)</f>
        <v>7200</v>
      </c>
      <c r="W27" s="2737">
        <f>SUM(W28:W29)</f>
        <v>22000</v>
      </c>
      <c r="X27" s="2737">
        <f>U27/S27*100</f>
        <v>1200</v>
      </c>
      <c r="Y27" s="2737">
        <f>SUM(Y28:Y29)</f>
        <v>0</v>
      </c>
      <c r="Z27" s="13">
        <f>S27/O27*100</f>
        <v>100</v>
      </c>
      <c r="AA27" s="2737">
        <f>SUM(AA28:AA29)</f>
        <v>8000</v>
      </c>
      <c r="AB27" s="2737">
        <f t="shared" ref="AB27" si="384">SUM(AB28:AB29)</f>
        <v>8000</v>
      </c>
      <c r="AC27" s="2737">
        <f t="shared" ref="AC27" si="385">SUM(AC28:AC29)</f>
        <v>1690</v>
      </c>
      <c r="AD27" s="2737">
        <f t="shared" ref="AD27" si="386">SUM(AD28:AD29)</f>
        <v>1089</v>
      </c>
      <c r="AE27" s="2790">
        <f t="shared" ref="AE27" si="387">SUM(AE28:AE29)</f>
        <v>4000</v>
      </c>
      <c r="AF27" s="2790">
        <f t="shared" ref="AF27" si="388">SUM(AF28:AF29)</f>
        <v>4000</v>
      </c>
      <c r="AG27" s="2737">
        <f t="shared" ref="AG27" si="389">SUM(AG28:AG29)</f>
        <v>9000</v>
      </c>
      <c r="AH27" s="2737">
        <f t="shared" ref="AH27" si="390">SUM(AH28:AH29)</f>
        <v>8100</v>
      </c>
      <c r="AI27" s="2737">
        <f>SUM(AI28:AI29)</f>
        <v>5000</v>
      </c>
      <c r="AJ27" s="2737">
        <f>AG27/AE27*100</f>
        <v>225</v>
      </c>
      <c r="AK27" s="2737">
        <f>SUM(AK28:AK29)</f>
        <v>-4000</v>
      </c>
      <c r="AL27" s="13">
        <f>AE27/AA27*100</f>
        <v>50</v>
      </c>
      <c r="AM27" s="2737">
        <f>SUM(AM28:AM29)</f>
        <v>600</v>
      </c>
      <c r="AN27" s="2737">
        <f t="shared" ref="AN27" si="391">SUM(AN28:AN29)</f>
        <v>600</v>
      </c>
      <c r="AO27" s="2737">
        <f t="shared" ref="AO27" si="392">SUM(AO28:AO29)</f>
        <v>403</v>
      </c>
      <c r="AP27" s="2737">
        <f t="shared" ref="AP27" si="393">SUM(AP28:AP29)</f>
        <v>223</v>
      </c>
      <c r="AQ27" s="2737">
        <f t="shared" ref="AQ27" si="394">SUM(AQ28:AQ29)</f>
        <v>600</v>
      </c>
      <c r="AR27" s="2737">
        <f t="shared" ref="AR27" si="395">SUM(AR28:AR29)</f>
        <v>600</v>
      </c>
      <c r="AS27" s="2737">
        <f t="shared" ref="AS27" si="396">SUM(AS28:AS29)</f>
        <v>600</v>
      </c>
      <c r="AT27" s="2737">
        <f t="shared" ref="AT27" si="397">SUM(AT28:AT29)</f>
        <v>540</v>
      </c>
      <c r="AU27" s="2737">
        <f>SUM(AU28:AU29)</f>
        <v>0</v>
      </c>
      <c r="AV27" s="2737">
        <f>AS27/AQ27*100</f>
        <v>100</v>
      </c>
      <c r="AW27" s="2737">
        <f>SUM(AW28:AW29)</f>
        <v>0</v>
      </c>
      <c r="AX27" s="13">
        <f>AQ27/AM27*100</f>
        <v>100</v>
      </c>
      <c r="AY27" s="2737">
        <f>SUM(AY28:AY29)</f>
        <v>900</v>
      </c>
      <c r="AZ27" s="2737">
        <f t="shared" ref="AZ27" si="398">SUM(AZ28:AZ29)</f>
        <v>900</v>
      </c>
      <c r="BA27" s="2737">
        <f t="shared" ref="BA27" si="399">SUM(BA28:BA29)</f>
        <v>1390</v>
      </c>
      <c r="BB27" s="2737">
        <f t="shared" ref="BB27" si="400">SUM(BB28:BB29)</f>
        <v>1136</v>
      </c>
      <c r="BC27" s="2737">
        <f t="shared" ref="BC27" si="401">SUM(BC28:BC29)</f>
        <v>1600</v>
      </c>
      <c r="BD27" s="2737">
        <f t="shared" ref="BD27" si="402">SUM(BD28:BD29)</f>
        <v>1600</v>
      </c>
      <c r="BE27" s="2737">
        <f t="shared" ref="BE27" si="403">SUM(BE28:BE29)</f>
        <v>1600</v>
      </c>
      <c r="BF27" s="2737">
        <f t="shared" ref="BF27" si="404">SUM(BF28:BF29)</f>
        <v>1440</v>
      </c>
      <c r="BG27" s="2737">
        <f>SUM(BG28:BG29)</f>
        <v>0</v>
      </c>
      <c r="BH27" s="2737">
        <f>BE27/BC27*100</f>
        <v>100</v>
      </c>
      <c r="BI27" s="2737">
        <f>SUM(BI28:BI29)</f>
        <v>700</v>
      </c>
      <c r="BJ27" s="13">
        <f>BC27/AY27*100</f>
        <v>177.77777777777777</v>
      </c>
      <c r="BK27" s="2737">
        <f>SUM(BK28:BK29)</f>
        <v>8000</v>
      </c>
      <c r="BL27" s="2737">
        <f t="shared" ref="BL27" si="405">SUM(BL28:BL29)</f>
        <v>8000</v>
      </c>
      <c r="BM27" s="2737">
        <f t="shared" ref="BM27" si="406">SUM(BM28:BM29)</f>
        <v>6757</v>
      </c>
      <c r="BN27" s="2790">
        <f t="shared" ref="BN27" si="407">SUM(BN28:BN29)</f>
        <v>6529</v>
      </c>
      <c r="BO27" s="2790">
        <f t="shared" ref="BO27" si="408">SUM(BO28:BO29)</f>
        <v>9000</v>
      </c>
      <c r="BP27" s="2790">
        <f t="shared" ref="BP27" si="409">SUM(BP28:BP29)</f>
        <v>9000</v>
      </c>
      <c r="BQ27" s="2790">
        <f t="shared" ref="BQ27" si="410">SUM(BQ28:BQ29)</f>
        <v>10000</v>
      </c>
      <c r="BR27" s="2790">
        <f t="shared" ref="BR27" si="411">SUM(BR28:BR29)</f>
        <v>9000</v>
      </c>
      <c r="BS27" s="2737">
        <f>SUM(BS28:BS29)</f>
        <v>1000</v>
      </c>
      <c r="BT27" s="2737">
        <f>BQ27/BO27*100</f>
        <v>111.11111111111111</v>
      </c>
      <c r="BU27" s="2737">
        <f>SUM(BU28:BU29)</f>
        <v>1000</v>
      </c>
      <c r="BV27" s="13">
        <f>BO27/BK27*100</f>
        <v>112.5</v>
      </c>
      <c r="BW27" s="2737">
        <f>SUM(BW28:BW29)</f>
        <v>35000</v>
      </c>
      <c r="BX27" s="2737">
        <f t="shared" ref="BX27" si="412">SUM(BX28:BX29)</f>
        <v>35000</v>
      </c>
      <c r="BY27" s="2790">
        <f t="shared" ref="BY27" si="413">SUM(BY28:BY29)</f>
        <v>18341</v>
      </c>
      <c r="BZ27" s="2790">
        <f t="shared" ref="BZ27" si="414">SUM(BZ28:BZ29)</f>
        <v>12256</v>
      </c>
      <c r="CA27" s="2790">
        <f t="shared" ref="CA27" si="415">SUM(CA28:CA29)</f>
        <v>40000</v>
      </c>
      <c r="CB27" s="2790">
        <f t="shared" ref="CB27" si="416">SUM(CB28:CB29)</f>
        <v>40000</v>
      </c>
      <c r="CC27" s="2790">
        <f t="shared" ref="CC27" si="417">SUM(CC28:CC29)</f>
        <v>135000</v>
      </c>
      <c r="CD27" s="2790">
        <f t="shared" ref="CD27" si="418">SUM(CD28:CD29)</f>
        <v>121500</v>
      </c>
      <c r="CE27" s="2737">
        <f>SUM(CE28:CE29)</f>
        <v>95000</v>
      </c>
      <c r="CF27" s="2737">
        <f>CC27/CA27*100</f>
        <v>337.5</v>
      </c>
      <c r="CG27" s="2809">
        <f>SUM(CG28:CG29)</f>
        <v>5000</v>
      </c>
      <c r="CH27" s="13">
        <f>CA27/BW27*100</f>
        <v>114.28571428571428</v>
      </c>
      <c r="CI27" s="2737">
        <f>SUM(CI28:CI29)</f>
        <v>10000</v>
      </c>
      <c r="CJ27" s="2790">
        <f t="shared" ref="CJ27" si="419">SUM(CJ28:CJ29)</f>
        <v>10000</v>
      </c>
      <c r="CK27" s="2790">
        <f t="shared" ref="CK27" si="420">SUM(CK28:CK29)</f>
        <v>2063</v>
      </c>
      <c r="CL27" s="2790">
        <f t="shared" ref="CL27" si="421">SUM(CL28:CL29)</f>
        <v>1472</v>
      </c>
      <c r="CM27" s="2790">
        <f t="shared" ref="CM27" si="422">SUM(CM28:CM29)</f>
        <v>4500</v>
      </c>
      <c r="CN27" s="2790">
        <f t="shared" ref="CN27" si="423">SUM(CN28:CN29)</f>
        <v>4500</v>
      </c>
      <c r="CO27" s="2790">
        <f t="shared" ref="CO27" si="424">SUM(CO28:CO29)</f>
        <v>15000</v>
      </c>
      <c r="CP27" s="2790">
        <f t="shared" ref="CP27" si="425">SUM(CP28:CP29)</f>
        <v>13500</v>
      </c>
      <c r="CQ27" s="2790">
        <f>SUM(CQ28:CQ29)</f>
        <v>10500</v>
      </c>
      <c r="CR27" s="2737">
        <f>CO27/CM27*100</f>
        <v>333.33333333333337</v>
      </c>
      <c r="CS27" s="2737">
        <f>SUM(CS28:CS29)</f>
        <v>-5500</v>
      </c>
      <c r="CT27" s="13">
        <f>CM27/CI27*100</f>
        <v>45</v>
      </c>
      <c r="CU27" s="2737">
        <f>SUM(CU28:CU29)</f>
        <v>3000</v>
      </c>
      <c r="CV27" s="2737">
        <f t="shared" ref="CV27" si="426">SUM(CV28:CV29)</f>
        <v>3000</v>
      </c>
      <c r="CW27" s="2737">
        <f t="shared" ref="CW27" si="427">SUM(CW28:CW29)</f>
        <v>2022</v>
      </c>
      <c r="CX27" s="2737">
        <f t="shared" ref="CX27" si="428">SUM(CX28:CX29)</f>
        <v>1254</v>
      </c>
      <c r="CY27" s="2790">
        <f t="shared" ref="CY27" si="429">SUM(CY28:CY29)</f>
        <v>3100</v>
      </c>
      <c r="CZ27" s="2790">
        <f t="shared" ref="CZ27" si="430">SUM(CZ28:CZ29)</f>
        <v>3100</v>
      </c>
      <c r="DA27" s="2790">
        <f t="shared" ref="DA27" si="431">SUM(DA28:DA29)</f>
        <v>10000</v>
      </c>
      <c r="DB27" s="2790">
        <f t="shared" ref="DB27" si="432">SUM(DB28:DB29)</f>
        <v>9000</v>
      </c>
      <c r="DC27" s="2737">
        <f>SUM(DC28:DC29)</f>
        <v>6900</v>
      </c>
      <c r="DD27" s="2737">
        <f>DA27/CY27*100</f>
        <v>322.58064516129031</v>
      </c>
      <c r="DE27" s="2737">
        <f>SUM(DE28:DE29)</f>
        <v>100</v>
      </c>
      <c r="DF27" s="13">
        <f>CY27/CU27*100</f>
        <v>103.33333333333334</v>
      </c>
      <c r="DG27" s="2737">
        <f>SUM(DG28:DG29)</f>
        <v>6000</v>
      </c>
      <c r="DH27" s="2737">
        <f t="shared" ref="DH27" si="433">SUM(DH28:DH29)</f>
        <v>6000</v>
      </c>
      <c r="DI27" s="2737">
        <f t="shared" ref="DI27" si="434">SUM(DI28:DI29)</f>
        <v>4478</v>
      </c>
      <c r="DJ27" s="2737">
        <f t="shared" ref="DJ27" si="435">SUM(DJ28:DJ29)</f>
        <v>4208</v>
      </c>
      <c r="DK27" s="2737">
        <f t="shared" ref="DK27" si="436">SUM(DK28:DK29)</f>
        <v>5000</v>
      </c>
      <c r="DL27" s="2737">
        <f t="shared" ref="DL27" si="437">SUM(DL28:DL29)</f>
        <v>5000</v>
      </c>
      <c r="DM27" s="2737">
        <f t="shared" ref="DM27" si="438">SUM(DM28:DM29)</f>
        <v>6000</v>
      </c>
      <c r="DN27" s="2737">
        <f t="shared" ref="DN27" si="439">SUM(DN28:DN29)</f>
        <v>5400</v>
      </c>
      <c r="DO27" s="2737">
        <f>SUM(DO28:DO29)</f>
        <v>1000</v>
      </c>
      <c r="DP27" s="2737">
        <f>DM27/DK27*100</f>
        <v>120</v>
      </c>
      <c r="DQ27" s="2737">
        <f>SUM(DQ28:DQ29)</f>
        <v>-1000</v>
      </c>
      <c r="DR27" s="13">
        <f>DK27/DG27*100</f>
        <v>83.333333333333343</v>
      </c>
      <c r="DS27" s="2737">
        <f>SUM(DS28:DS29)</f>
        <v>2500</v>
      </c>
      <c r="DT27" s="2737">
        <f t="shared" ref="DT27" si="440">SUM(DT28:DT29)</f>
        <v>2500</v>
      </c>
      <c r="DU27" s="2737">
        <f t="shared" ref="DU27" si="441">SUM(DU28:DU29)</f>
        <v>1296</v>
      </c>
      <c r="DV27" s="2737">
        <f t="shared" ref="DV27" si="442">SUM(DV28:DV29)</f>
        <v>344</v>
      </c>
      <c r="DW27" s="2790">
        <f t="shared" ref="DW27" si="443">SUM(DW28:DW29)</f>
        <v>2000</v>
      </c>
      <c r="DX27" s="2790">
        <f t="shared" ref="DX27" si="444">SUM(DX28:DX29)</f>
        <v>2000</v>
      </c>
      <c r="DY27" s="2790">
        <f t="shared" ref="DY27" si="445">SUM(DY28:DY29)</f>
        <v>2200</v>
      </c>
      <c r="DZ27" s="2790">
        <f t="shared" ref="DZ27" si="446">SUM(DZ28:DZ29)</f>
        <v>1980</v>
      </c>
      <c r="EA27" s="2737">
        <f>SUM(EA28:EA29)</f>
        <v>200</v>
      </c>
      <c r="EB27" s="2737">
        <f>DY27/DW27*100</f>
        <v>110.00000000000001</v>
      </c>
      <c r="EC27" s="2737">
        <f>SUM(EC28:EC29)</f>
        <v>-500</v>
      </c>
      <c r="ED27" s="13">
        <f>DW27/DS27*100</f>
        <v>80</v>
      </c>
      <c r="EE27" s="2737">
        <f>SUM(EE28:EE29)</f>
        <v>35000</v>
      </c>
      <c r="EF27" s="2737">
        <f t="shared" ref="EF27" si="447">SUM(EF28:EF29)</f>
        <v>35000</v>
      </c>
      <c r="EG27" s="2738">
        <f t="shared" ref="EG27" si="448">SUM(EG28:EG29)</f>
        <v>4218</v>
      </c>
      <c r="EH27" s="2738">
        <f t="shared" ref="EH27" si="449">SUM(EH28:EH29)</f>
        <v>3648</v>
      </c>
      <c r="EI27" s="2737">
        <f t="shared" ref="EI27" si="450">SUM(EI28:EI29)</f>
        <v>15000</v>
      </c>
      <c r="EJ27" s="2737">
        <f t="shared" ref="EJ27" si="451">SUM(EJ28:EJ29)</f>
        <v>15000</v>
      </c>
      <c r="EK27" s="2790">
        <f t="shared" ref="EK27" si="452">SUM(EK28:EK29)</f>
        <v>61600</v>
      </c>
      <c r="EL27" s="2790">
        <f t="shared" ref="EL27" si="453">SUM(EL28:EL29)</f>
        <v>55440</v>
      </c>
      <c r="EM27" s="2737">
        <f>SUM(EM28:EM29)</f>
        <v>46600</v>
      </c>
      <c r="EN27" s="2737">
        <f>EK27/EI27*100</f>
        <v>410.66666666666663</v>
      </c>
      <c r="EO27" s="2737">
        <f>SUM(EO28:EO29)</f>
        <v>-20000</v>
      </c>
      <c r="EP27" s="13">
        <f>EI27/EE27*100</f>
        <v>42.857142857142854</v>
      </c>
      <c r="EQ27" s="2737">
        <f>SUM(EQ28:EQ29)</f>
        <v>4000</v>
      </c>
      <c r="ER27" s="2737">
        <f t="shared" ref="ER27" si="454">SUM(ER28:ER29)</f>
        <v>4000</v>
      </c>
      <c r="ES27" s="2737">
        <f t="shared" ref="ES27" si="455">SUM(ES28:ES29)</f>
        <v>1620</v>
      </c>
      <c r="ET27" s="2737">
        <f t="shared" ref="ET27" si="456">SUM(ET28:ET29)</f>
        <v>830</v>
      </c>
      <c r="EU27" s="2737">
        <f t="shared" ref="EU27" si="457">SUM(EU28:EU29)</f>
        <v>4000</v>
      </c>
      <c r="EV27" s="2737">
        <f t="shared" ref="EV27" si="458">SUM(EV28:EV29)</f>
        <v>4000</v>
      </c>
      <c r="EW27" s="2737">
        <f t="shared" ref="EW27" si="459">SUM(EW28:EW29)</f>
        <v>40000</v>
      </c>
      <c r="EX27" s="2737">
        <f t="shared" ref="EX27" si="460">SUM(EX28:EX29)</f>
        <v>36000</v>
      </c>
      <c r="EY27" s="2737">
        <f>SUM(EY28:EY29)</f>
        <v>36000</v>
      </c>
      <c r="EZ27" s="2737">
        <f>EW27/EU27*100</f>
        <v>1000</v>
      </c>
      <c r="FA27" s="2737">
        <f>SUM(FA28:FA29)</f>
        <v>0</v>
      </c>
      <c r="FB27" s="13">
        <f>EU27/EQ27*100</f>
        <v>100</v>
      </c>
      <c r="FC27" s="2739">
        <f>E27/C27</f>
        <v>0.39462608695652174</v>
      </c>
      <c r="FD27" s="2739">
        <f>F27/D27</f>
        <v>0.29636521739130434</v>
      </c>
      <c r="FE27" s="2740">
        <f>E27-C27</f>
        <v>-69618</v>
      </c>
      <c r="FF27" s="2740">
        <f>F27-D27</f>
        <v>-80918</v>
      </c>
    </row>
    <row r="28" spans="1:162" s="154" customFormat="1" ht="25.2" customHeight="1">
      <c r="A28" s="2155" t="s">
        <v>137</v>
      </c>
      <c r="B28" s="137" t="s">
        <v>356</v>
      </c>
      <c r="C28" s="13">
        <f t="shared" si="79"/>
        <v>0</v>
      </c>
      <c r="D28" s="13">
        <f t="shared" si="79"/>
        <v>0</v>
      </c>
      <c r="E28" s="13">
        <f t="shared" si="79"/>
        <v>11300</v>
      </c>
      <c r="F28" s="13">
        <f t="shared" si="79"/>
        <v>0</v>
      </c>
      <c r="G28" s="13">
        <f t="shared" si="79"/>
        <v>0</v>
      </c>
      <c r="H28" s="13">
        <f t="shared" si="79"/>
        <v>0</v>
      </c>
      <c r="I28" s="13">
        <f t="shared" si="79"/>
        <v>16000</v>
      </c>
      <c r="J28" s="13">
        <f t="shared" si="79"/>
        <v>0</v>
      </c>
      <c r="K28" s="13">
        <f t="shared" ref="K28:K29" si="461">+I28-G28</f>
        <v>16000</v>
      </c>
      <c r="L28" s="13" t="e">
        <f t="shared" ref="L28:L29" si="462">+I28/G28*100</f>
        <v>#DIV/0!</v>
      </c>
      <c r="M28" s="13">
        <f t="shared" ref="M28:M29" si="463">+G28-C28</f>
        <v>0</v>
      </c>
      <c r="N28" s="13" t="e">
        <f t="shared" ref="N28:N29" si="464">+G28/C28*100</f>
        <v>#DIV/0!</v>
      </c>
      <c r="O28" s="13">
        <v>0</v>
      </c>
      <c r="P28" s="13">
        <v>0</v>
      </c>
      <c r="Q28" s="13">
        <v>11</v>
      </c>
      <c r="R28" s="13">
        <v>0</v>
      </c>
      <c r="S28" s="13"/>
      <c r="T28" s="13">
        <v>0</v>
      </c>
      <c r="U28" s="13">
        <f>16000</f>
        <v>16000</v>
      </c>
      <c r="V28" s="13">
        <v>0</v>
      </c>
      <c r="W28" s="2760">
        <f>U28-S28</f>
        <v>16000</v>
      </c>
      <c r="X28" s="13" t="e">
        <f t="shared" ref="X28:X29" si="465">U28/S28*100</f>
        <v>#DIV/0!</v>
      </c>
      <c r="Y28" s="2760">
        <f>S28-O28</f>
        <v>0</v>
      </c>
      <c r="Z28" s="13" t="e">
        <f t="shared" ref="Z28" si="466">S28/O28*100</f>
        <v>#DIV/0!</v>
      </c>
      <c r="AA28" s="13">
        <v>0</v>
      </c>
      <c r="AB28" s="13">
        <v>0</v>
      </c>
      <c r="AC28" s="13">
        <f>601</f>
        <v>601</v>
      </c>
      <c r="AD28" s="13">
        <v>0</v>
      </c>
      <c r="AE28" s="30"/>
      <c r="AF28" s="30">
        <v>0</v>
      </c>
      <c r="AG28" s="13">
        <v>0</v>
      </c>
      <c r="AH28" s="13">
        <v>0</v>
      </c>
      <c r="AI28" s="2760">
        <f>AG28-AE28</f>
        <v>0</v>
      </c>
      <c r="AJ28" s="13" t="e">
        <f t="shared" ref="AJ28:AJ29" si="467">AG28/AE28*100</f>
        <v>#DIV/0!</v>
      </c>
      <c r="AK28" s="2760">
        <f>AE28-AA28</f>
        <v>0</v>
      </c>
      <c r="AL28" s="13" t="e">
        <f t="shared" ref="AL28" si="468">AE28/AA28*100</f>
        <v>#DIV/0!</v>
      </c>
      <c r="AM28" s="13">
        <v>0</v>
      </c>
      <c r="AN28" s="13">
        <v>0</v>
      </c>
      <c r="AO28" s="13">
        <f>180</f>
        <v>180</v>
      </c>
      <c r="AP28" s="13">
        <v>0</v>
      </c>
      <c r="AQ28" s="13"/>
      <c r="AR28" s="13">
        <v>0</v>
      </c>
      <c r="AS28" s="13">
        <v>0</v>
      </c>
      <c r="AT28" s="13">
        <v>0</v>
      </c>
      <c r="AU28" s="2760">
        <f>AS28-AQ28</f>
        <v>0</v>
      </c>
      <c r="AV28" s="13" t="e">
        <f t="shared" ref="AV28:AV29" si="469">AS28/AQ28*100</f>
        <v>#DIV/0!</v>
      </c>
      <c r="AW28" s="2760">
        <f>AQ28-AM28</f>
        <v>0</v>
      </c>
      <c r="AX28" s="13" t="e">
        <f t="shared" ref="AX28" si="470">AQ28/AM28*100</f>
        <v>#DIV/0!</v>
      </c>
      <c r="AY28" s="13">
        <v>0</v>
      </c>
      <c r="AZ28" s="13">
        <v>0</v>
      </c>
      <c r="BA28" s="13">
        <f>254</f>
        <v>254</v>
      </c>
      <c r="BB28" s="13">
        <v>0</v>
      </c>
      <c r="BC28" s="13"/>
      <c r="BD28" s="13">
        <v>0</v>
      </c>
      <c r="BE28" s="13">
        <v>0</v>
      </c>
      <c r="BF28" s="13">
        <v>0</v>
      </c>
      <c r="BG28" s="2760">
        <f>BE28-BC28</f>
        <v>0</v>
      </c>
      <c r="BH28" s="13" t="e">
        <f t="shared" ref="BH28:BH29" si="471">BE28/BC28*100</f>
        <v>#DIV/0!</v>
      </c>
      <c r="BI28" s="2760">
        <f>BC28-AY28</f>
        <v>0</v>
      </c>
      <c r="BJ28" s="13" t="e">
        <f t="shared" ref="BJ28" si="472">BC28/AY28*100</f>
        <v>#DIV/0!</v>
      </c>
      <c r="BK28" s="13">
        <v>0</v>
      </c>
      <c r="BL28" s="13">
        <v>0</v>
      </c>
      <c r="BM28" s="13">
        <f>228</f>
        <v>228</v>
      </c>
      <c r="BN28" s="30">
        <v>0</v>
      </c>
      <c r="BO28" s="30"/>
      <c r="BP28" s="30">
        <v>0</v>
      </c>
      <c r="BQ28" s="30">
        <v>0</v>
      </c>
      <c r="BR28" s="30">
        <v>0</v>
      </c>
      <c r="BS28" s="2760">
        <f>BQ28-BO28</f>
        <v>0</v>
      </c>
      <c r="BT28" s="13" t="e">
        <f t="shared" ref="BT28:BT29" si="473">BQ28/BO28*100</f>
        <v>#DIV/0!</v>
      </c>
      <c r="BU28" s="2760">
        <f>BO28-BK28</f>
        <v>0</v>
      </c>
      <c r="BV28" s="13" t="e">
        <f t="shared" ref="BV28" si="474">BO28/BK28*100</f>
        <v>#DIV/0!</v>
      </c>
      <c r="BW28" s="13">
        <v>0</v>
      </c>
      <c r="BX28" s="13">
        <v>0</v>
      </c>
      <c r="BY28" s="13">
        <f>6085</f>
        <v>6085</v>
      </c>
      <c r="BZ28" s="13">
        <v>0</v>
      </c>
      <c r="CA28" s="30"/>
      <c r="CB28" s="30">
        <v>0</v>
      </c>
      <c r="CC28" s="13">
        <v>0</v>
      </c>
      <c r="CD28" s="13">
        <v>0</v>
      </c>
      <c r="CE28" s="2760">
        <f>CC28-CA28</f>
        <v>0</v>
      </c>
      <c r="CF28" s="13" t="e">
        <f t="shared" ref="CF28:CF29" si="475">CC28/CA28*100</f>
        <v>#DIV/0!</v>
      </c>
      <c r="CG28" s="2809">
        <f>CA28-BW28</f>
        <v>0</v>
      </c>
      <c r="CH28" s="13" t="e">
        <f t="shared" ref="CH28" si="476">CA28/BW28*100</f>
        <v>#DIV/0!</v>
      </c>
      <c r="CI28" s="13">
        <v>0</v>
      </c>
      <c r="CJ28" s="30">
        <v>0</v>
      </c>
      <c r="CK28" s="30">
        <f>591</f>
        <v>591</v>
      </c>
      <c r="CL28" s="30">
        <v>0</v>
      </c>
      <c r="CM28" s="30"/>
      <c r="CN28" s="30">
        <v>0</v>
      </c>
      <c r="CO28" s="30">
        <v>0</v>
      </c>
      <c r="CP28" s="30">
        <v>0</v>
      </c>
      <c r="CQ28" s="2791">
        <f>CO28-CM28</f>
        <v>0</v>
      </c>
      <c r="CR28" s="13" t="e">
        <f t="shared" ref="CR28:CR29" si="477">CO28/CM28*100</f>
        <v>#DIV/0!</v>
      </c>
      <c r="CS28" s="2760">
        <f>CM28-CI28</f>
        <v>0</v>
      </c>
      <c r="CT28" s="13" t="e">
        <f t="shared" ref="CT28" si="478">CM28/CI28*100</f>
        <v>#DIV/0!</v>
      </c>
      <c r="CU28" s="13">
        <v>0</v>
      </c>
      <c r="CV28" s="13">
        <v>0</v>
      </c>
      <c r="CW28" s="13">
        <f>768</f>
        <v>768</v>
      </c>
      <c r="CX28" s="13">
        <v>0</v>
      </c>
      <c r="CY28" s="30"/>
      <c r="CZ28" s="30">
        <v>0</v>
      </c>
      <c r="DA28" s="30">
        <v>0</v>
      </c>
      <c r="DB28" s="30">
        <v>0</v>
      </c>
      <c r="DC28" s="2760">
        <f>DA28-CY28</f>
        <v>0</v>
      </c>
      <c r="DD28" s="13" t="e">
        <f t="shared" ref="DD28:DD29" si="479">DA28/CY28*100</f>
        <v>#DIV/0!</v>
      </c>
      <c r="DE28" s="2760">
        <f>CY28-CU28</f>
        <v>0</v>
      </c>
      <c r="DF28" s="13" t="e">
        <f t="shared" ref="DF28" si="480">CY28/CU28*100</f>
        <v>#DIV/0!</v>
      </c>
      <c r="DG28" s="13">
        <v>0</v>
      </c>
      <c r="DH28" s="13">
        <v>0</v>
      </c>
      <c r="DI28" s="13">
        <v>270</v>
      </c>
      <c r="DJ28" s="13">
        <v>0</v>
      </c>
      <c r="DK28" s="13"/>
      <c r="DL28" s="13">
        <v>0</v>
      </c>
      <c r="DM28" s="13">
        <v>0</v>
      </c>
      <c r="DN28" s="13">
        <v>0</v>
      </c>
      <c r="DO28" s="2760">
        <f>DM28-DK28</f>
        <v>0</v>
      </c>
      <c r="DP28" s="13" t="e">
        <f t="shared" ref="DP28:DP29" si="481">DM28/DK28*100</f>
        <v>#DIV/0!</v>
      </c>
      <c r="DQ28" s="2760">
        <f>DK28-DG28</f>
        <v>0</v>
      </c>
      <c r="DR28" s="13" t="e">
        <f t="shared" ref="DR28" si="482">DK28/DG28*100</f>
        <v>#DIV/0!</v>
      </c>
      <c r="DS28" s="13">
        <v>0</v>
      </c>
      <c r="DT28" s="13">
        <v>0</v>
      </c>
      <c r="DU28" s="13">
        <v>952</v>
      </c>
      <c r="DV28" s="13">
        <v>0</v>
      </c>
      <c r="DW28" s="30"/>
      <c r="DX28" s="30">
        <v>0</v>
      </c>
      <c r="DY28" s="30">
        <v>0</v>
      </c>
      <c r="DZ28" s="30">
        <v>0</v>
      </c>
      <c r="EA28" s="2760">
        <f>DY28-DW28</f>
        <v>0</v>
      </c>
      <c r="EB28" s="13" t="e">
        <f t="shared" ref="EB28:EB29" si="483">DY28/DW28*100</f>
        <v>#DIV/0!</v>
      </c>
      <c r="EC28" s="2760">
        <f>DW28-DS28</f>
        <v>0</v>
      </c>
      <c r="ED28" s="13" t="e">
        <f t="shared" ref="ED28" si="484">DW28/DS28*100</f>
        <v>#DIV/0!</v>
      </c>
      <c r="EE28" s="13">
        <v>0</v>
      </c>
      <c r="EF28" s="13">
        <v>0</v>
      </c>
      <c r="EG28" s="53">
        <f>570</f>
        <v>570</v>
      </c>
      <c r="EH28" s="53">
        <v>0</v>
      </c>
      <c r="EI28" s="13"/>
      <c r="EJ28" s="13">
        <v>0</v>
      </c>
      <c r="EK28" s="30">
        <v>0</v>
      </c>
      <c r="EL28" s="30">
        <v>0</v>
      </c>
      <c r="EM28" s="2760">
        <f>EK28-EI28</f>
        <v>0</v>
      </c>
      <c r="EN28" s="13" t="e">
        <f t="shared" ref="EN28:EN29" si="485">EK28/EI28*100</f>
        <v>#DIV/0!</v>
      </c>
      <c r="EO28" s="2760">
        <f>EI28-EE28</f>
        <v>0</v>
      </c>
      <c r="EP28" s="13" t="e">
        <f t="shared" ref="EP28" si="486">EI28/EE28*100</f>
        <v>#DIV/0!</v>
      </c>
      <c r="EQ28" s="13">
        <v>0</v>
      </c>
      <c r="ER28" s="13">
        <v>0</v>
      </c>
      <c r="ES28" s="13">
        <v>790</v>
      </c>
      <c r="ET28" s="13">
        <v>0</v>
      </c>
      <c r="EU28" s="13"/>
      <c r="EV28" s="13">
        <v>0</v>
      </c>
      <c r="EW28" s="13">
        <v>0</v>
      </c>
      <c r="EX28" s="13">
        <v>0</v>
      </c>
      <c r="EY28" s="2760">
        <f>EW28-EU28</f>
        <v>0</v>
      </c>
      <c r="EZ28" s="13" t="e">
        <f t="shared" ref="EZ28:EZ29" si="487">EW28/EU28*100</f>
        <v>#DIV/0!</v>
      </c>
      <c r="FA28" s="2760">
        <f>EU28-EQ28</f>
        <v>0</v>
      </c>
      <c r="FB28" s="13" t="e">
        <f t="shared" ref="FB28" si="488">EU28/EQ28*100</f>
        <v>#DIV/0!</v>
      </c>
      <c r="FC28" s="2741"/>
      <c r="FD28" s="2741"/>
      <c r="FE28" s="2495"/>
      <c r="FF28" s="2495"/>
    </row>
    <row r="29" spans="1:162" s="154" customFormat="1" ht="25.2" customHeight="1">
      <c r="A29" s="2155" t="s">
        <v>137</v>
      </c>
      <c r="B29" s="137" t="s">
        <v>277</v>
      </c>
      <c r="C29" s="13">
        <f t="shared" si="79"/>
        <v>115000</v>
      </c>
      <c r="D29" s="13">
        <f t="shared" si="79"/>
        <v>115000</v>
      </c>
      <c r="E29" s="13">
        <f t="shared" si="79"/>
        <v>34082</v>
      </c>
      <c r="F29" s="13">
        <f t="shared" si="79"/>
        <v>34082</v>
      </c>
      <c r="G29" s="13">
        <f t="shared" si="79"/>
        <v>90800</v>
      </c>
      <c r="H29" s="13">
        <f t="shared" si="79"/>
        <v>90800</v>
      </c>
      <c r="I29" s="13">
        <f t="shared" si="79"/>
        <v>299000</v>
      </c>
      <c r="J29" s="13">
        <f t="shared" si="79"/>
        <v>269100</v>
      </c>
      <c r="K29" s="13">
        <f t="shared" si="461"/>
        <v>208200</v>
      </c>
      <c r="L29" s="13">
        <f t="shared" si="462"/>
        <v>329.295154185022</v>
      </c>
      <c r="M29" s="13">
        <f t="shared" si="463"/>
        <v>-24200</v>
      </c>
      <c r="N29" s="13">
        <f t="shared" si="464"/>
        <v>78.956521739130437</v>
      </c>
      <c r="O29" s="13">
        <v>2000</v>
      </c>
      <c r="P29" s="13">
        <f>O29</f>
        <v>2000</v>
      </c>
      <c r="Q29" s="13">
        <f>1104-Q28</f>
        <v>1093</v>
      </c>
      <c r="R29" s="13">
        <f>Q29</f>
        <v>1093</v>
      </c>
      <c r="S29" s="13">
        <f>2000-S28</f>
        <v>2000</v>
      </c>
      <c r="T29" s="13">
        <f>S29</f>
        <v>2000</v>
      </c>
      <c r="U29" s="53">
        <f>2000+16000-U28+6000</f>
        <v>8000</v>
      </c>
      <c r="V29" s="53">
        <f>U29*V3</f>
        <v>7200</v>
      </c>
      <c r="W29" s="2760">
        <f t="shared" ref="W29" si="489">U29-S29</f>
        <v>6000</v>
      </c>
      <c r="X29" s="13">
        <f t="shared" si="465"/>
        <v>400</v>
      </c>
      <c r="Y29" s="2760">
        <f t="shared" ref="Y29" si="490">S29-O29</f>
        <v>0</v>
      </c>
      <c r="Z29" s="13">
        <f>S29/O29*100</f>
        <v>100</v>
      </c>
      <c r="AA29" s="13">
        <v>8000</v>
      </c>
      <c r="AB29" s="13">
        <f>AA29</f>
        <v>8000</v>
      </c>
      <c r="AC29" s="13">
        <f>1690-AC28</f>
        <v>1089</v>
      </c>
      <c r="AD29" s="13">
        <f>AC29</f>
        <v>1089</v>
      </c>
      <c r="AE29" s="30">
        <f>4000-AE28</f>
        <v>4000</v>
      </c>
      <c r="AF29" s="30">
        <f>AE29</f>
        <v>4000</v>
      </c>
      <c r="AG29" s="13">
        <f>9000-AG28</f>
        <v>9000</v>
      </c>
      <c r="AH29" s="13">
        <f>AG29*AH3</f>
        <v>8100</v>
      </c>
      <c r="AI29" s="2760">
        <f t="shared" ref="AI29" si="491">AG29-AE29</f>
        <v>5000</v>
      </c>
      <c r="AJ29" s="13">
        <f t="shared" si="467"/>
        <v>225</v>
      </c>
      <c r="AK29" s="2760">
        <f t="shared" ref="AK29" si="492">AE29-AA29</f>
        <v>-4000</v>
      </c>
      <c r="AL29" s="13">
        <f>AE29/AA29*100</f>
        <v>50</v>
      </c>
      <c r="AM29" s="13">
        <v>600</v>
      </c>
      <c r="AN29" s="13">
        <f>AM29</f>
        <v>600</v>
      </c>
      <c r="AO29" s="13">
        <f>403-AO28</f>
        <v>223</v>
      </c>
      <c r="AP29" s="13">
        <f>AO29</f>
        <v>223</v>
      </c>
      <c r="AQ29" s="13">
        <f>600-AQ28</f>
        <v>600</v>
      </c>
      <c r="AR29" s="13">
        <f>AQ29</f>
        <v>600</v>
      </c>
      <c r="AS29" s="13">
        <f>600-AS28</f>
        <v>600</v>
      </c>
      <c r="AT29" s="13">
        <f>AS29*AT3</f>
        <v>540</v>
      </c>
      <c r="AU29" s="2760">
        <f t="shared" ref="AU29" si="493">AS29-AQ29</f>
        <v>0</v>
      </c>
      <c r="AV29" s="13">
        <f t="shared" si="469"/>
        <v>100</v>
      </c>
      <c r="AW29" s="2760">
        <f t="shared" ref="AW29" si="494">AQ29-AM29</f>
        <v>0</v>
      </c>
      <c r="AX29" s="13">
        <f>AQ29/AM29*100</f>
        <v>100</v>
      </c>
      <c r="AY29" s="13">
        <v>900</v>
      </c>
      <c r="AZ29" s="13">
        <f>AY29</f>
        <v>900</v>
      </c>
      <c r="BA29" s="13">
        <f>1390-BA28</f>
        <v>1136</v>
      </c>
      <c r="BB29" s="13">
        <f>BA29</f>
        <v>1136</v>
      </c>
      <c r="BC29" s="13">
        <f>1600-BC28</f>
        <v>1600</v>
      </c>
      <c r="BD29" s="13">
        <f>BC29</f>
        <v>1600</v>
      </c>
      <c r="BE29" s="13">
        <f>1600-BE28</f>
        <v>1600</v>
      </c>
      <c r="BF29" s="13">
        <f>BE29*BF3</f>
        <v>1440</v>
      </c>
      <c r="BG29" s="2760">
        <f t="shared" ref="BG29" si="495">BE29-BC29</f>
        <v>0</v>
      </c>
      <c r="BH29" s="13">
        <f t="shared" si="471"/>
        <v>100</v>
      </c>
      <c r="BI29" s="2760">
        <f t="shared" ref="BI29" si="496">BC29-AY29</f>
        <v>700</v>
      </c>
      <c r="BJ29" s="13">
        <f>BC29/AY29*100</f>
        <v>177.77777777777777</v>
      </c>
      <c r="BK29" s="13">
        <v>8000</v>
      </c>
      <c r="BL29" s="13">
        <f>BK29</f>
        <v>8000</v>
      </c>
      <c r="BM29" s="13">
        <f>6757-BM28</f>
        <v>6529</v>
      </c>
      <c r="BN29" s="30">
        <f>BM29</f>
        <v>6529</v>
      </c>
      <c r="BO29" s="30">
        <f>9000-BO28</f>
        <v>9000</v>
      </c>
      <c r="BP29" s="30">
        <f>BO29</f>
        <v>9000</v>
      </c>
      <c r="BQ29" s="30">
        <f>10000-BQ28</f>
        <v>10000</v>
      </c>
      <c r="BR29" s="30">
        <f>BQ29*BR3</f>
        <v>9000</v>
      </c>
      <c r="BS29" s="2760">
        <f t="shared" ref="BS29" si="497">BQ29-BO29</f>
        <v>1000</v>
      </c>
      <c r="BT29" s="13">
        <f t="shared" si="473"/>
        <v>111.11111111111111</v>
      </c>
      <c r="BU29" s="2760">
        <f t="shared" ref="BU29" si="498">BO29-BK29</f>
        <v>1000</v>
      </c>
      <c r="BV29" s="13">
        <f>BO29/BK29*100</f>
        <v>112.5</v>
      </c>
      <c r="BW29" s="13">
        <v>35000</v>
      </c>
      <c r="BX29" s="13">
        <f>BW29</f>
        <v>35000</v>
      </c>
      <c r="BY29" s="13">
        <f>18341-BY28</f>
        <v>12256</v>
      </c>
      <c r="BZ29" s="13">
        <f>BY29</f>
        <v>12256</v>
      </c>
      <c r="CA29" s="30">
        <f>40000-CA28</f>
        <v>40000</v>
      </c>
      <c r="CB29" s="30">
        <f>CA29</f>
        <v>40000</v>
      </c>
      <c r="CC29" s="13">
        <f>135000-CC28</f>
        <v>135000</v>
      </c>
      <c r="CD29" s="13">
        <f>CC29*CD3</f>
        <v>121500</v>
      </c>
      <c r="CE29" s="2760">
        <f t="shared" ref="CE29" si="499">CC29-CA29</f>
        <v>95000</v>
      </c>
      <c r="CF29" s="13">
        <f t="shared" si="475"/>
        <v>337.5</v>
      </c>
      <c r="CG29" s="2809">
        <f t="shared" ref="CG29" si="500">CA29-BW29</f>
        <v>5000</v>
      </c>
      <c r="CH29" s="13">
        <f>CA29/BW29*100</f>
        <v>114.28571428571428</v>
      </c>
      <c r="CI29" s="13">
        <v>10000</v>
      </c>
      <c r="CJ29" s="30">
        <f>CI29</f>
        <v>10000</v>
      </c>
      <c r="CK29" s="30">
        <f>2063-CK28</f>
        <v>1472</v>
      </c>
      <c r="CL29" s="30">
        <f>CK29</f>
        <v>1472</v>
      </c>
      <c r="CM29" s="30">
        <v>4500</v>
      </c>
      <c r="CN29" s="30">
        <f>CM29</f>
        <v>4500</v>
      </c>
      <c r="CO29" s="30">
        <v>15000</v>
      </c>
      <c r="CP29" s="30">
        <f>CO29*CP3</f>
        <v>13500</v>
      </c>
      <c r="CQ29" s="2791">
        <f t="shared" ref="CQ29" si="501">CO29-CM29</f>
        <v>10500</v>
      </c>
      <c r="CR29" s="13">
        <f t="shared" si="477"/>
        <v>333.33333333333337</v>
      </c>
      <c r="CS29" s="2760">
        <f t="shared" ref="CS29" si="502">CM29-CI29</f>
        <v>-5500</v>
      </c>
      <c r="CT29" s="13">
        <f>CM29/CI29*100</f>
        <v>45</v>
      </c>
      <c r="CU29" s="13">
        <v>3000</v>
      </c>
      <c r="CV29" s="13">
        <f>CU29</f>
        <v>3000</v>
      </c>
      <c r="CW29" s="13">
        <f>2022-CW28</f>
        <v>1254</v>
      </c>
      <c r="CX29" s="13">
        <f>CW29</f>
        <v>1254</v>
      </c>
      <c r="CY29" s="30">
        <v>3100</v>
      </c>
      <c r="CZ29" s="30">
        <f>CY29</f>
        <v>3100</v>
      </c>
      <c r="DA29" s="30">
        <v>10000</v>
      </c>
      <c r="DB29" s="30">
        <f>DA29*DB3</f>
        <v>9000</v>
      </c>
      <c r="DC29" s="2760">
        <f t="shared" ref="DC29" si="503">DA29-CY29</f>
        <v>6900</v>
      </c>
      <c r="DD29" s="13">
        <f t="shared" si="479"/>
        <v>322.58064516129031</v>
      </c>
      <c r="DE29" s="2760">
        <f t="shared" ref="DE29" si="504">CY29-CU29</f>
        <v>100</v>
      </c>
      <c r="DF29" s="13">
        <f>CY29/CU29*100</f>
        <v>103.33333333333334</v>
      </c>
      <c r="DG29" s="13">
        <v>6000</v>
      </c>
      <c r="DH29" s="13">
        <f>DG29</f>
        <v>6000</v>
      </c>
      <c r="DI29" s="13">
        <f>4478-DI28</f>
        <v>4208</v>
      </c>
      <c r="DJ29" s="13">
        <f>DI29</f>
        <v>4208</v>
      </c>
      <c r="DK29" s="13">
        <f>5000-DK28</f>
        <v>5000</v>
      </c>
      <c r="DL29" s="13">
        <f>DK29</f>
        <v>5000</v>
      </c>
      <c r="DM29" s="13">
        <f>6000-DM28</f>
        <v>6000</v>
      </c>
      <c r="DN29" s="13">
        <f>DM29*DN3</f>
        <v>5400</v>
      </c>
      <c r="DO29" s="2760">
        <f t="shared" ref="DO29" si="505">DM29-DK29</f>
        <v>1000</v>
      </c>
      <c r="DP29" s="13">
        <f t="shared" si="481"/>
        <v>120</v>
      </c>
      <c r="DQ29" s="2760">
        <f t="shared" ref="DQ29" si="506">DK29-DG29</f>
        <v>-1000</v>
      </c>
      <c r="DR29" s="13">
        <f>DK29/DG29*100</f>
        <v>83.333333333333343</v>
      </c>
      <c r="DS29" s="13">
        <v>2500</v>
      </c>
      <c r="DT29" s="13">
        <f>DS29</f>
        <v>2500</v>
      </c>
      <c r="DU29" s="13">
        <f>1296-DU28</f>
        <v>344</v>
      </c>
      <c r="DV29" s="13">
        <f>DU29</f>
        <v>344</v>
      </c>
      <c r="DW29" s="30">
        <f>2000-DW28</f>
        <v>2000</v>
      </c>
      <c r="DX29" s="30">
        <f>DW29</f>
        <v>2000</v>
      </c>
      <c r="DY29" s="30">
        <f>2200-DY28</f>
        <v>2200</v>
      </c>
      <c r="DZ29" s="30">
        <f>DY29*DZ3</f>
        <v>1980</v>
      </c>
      <c r="EA29" s="2760">
        <f t="shared" ref="EA29" si="507">DY29-DW29</f>
        <v>200</v>
      </c>
      <c r="EB29" s="13">
        <f t="shared" si="483"/>
        <v>110.00000000000001</v>
      </c>
      <c r="EC29" s="2760">
        <f t="shared" ref="EC29" si="508">DW29-DS29</f>
        <v>-500</v>
      </c>
      <c r="ED29" s="13">
        <f>DW29/DS29*100</f>
        <v>80</v>
      </c>
      <c r="EE29" s="13">
        <f>35000</f>
        <v>35000</v>
      </c>
      <c r="EF29" s="13">
        <f>EE29</f>
        <v>35000</v>
      </c>
      <c r="EG29" s="53">
        <f>4218-EG28</f>
        <v>3648</v>
      </c>
      <c r="EH29" s="53">
        <f>EG29</f>
        <v>3648</v>
      </c>
      <c r="EI29" s="13">
        <f>15000-EI28</f>
        <v>15000</v>
      </c>
      <c r="EJ29" s="13">
        <f>EI29</f>
        <v>15000</v>
      </c>
      <c r="EK29" s="30">
        <f>62600-1000</f>
        <v>61600</v>
      </c>
      <c r="EL29" s="30">
        <f>EK29*EL3</f>
        <v>55440</v>
      </c>
      <c r="EM29" s="2760">
        <f t="shared" ref="EM29" si="509">EK29-EI29</f>
        <v>46600</v>
      </c>
      <c r="EN29" s="13">
        <f t="shared" si="485"/>
        <v>410.66666666666663</v>
      </c>
      <c r="EO29" s="2760">
        <f t="shared" ref="EO29" si="510">EI29-EE29</f>
        <v>-20000</v>
      </c>
      <c r="EP29" s="13">
        <f>EI29/EE29*100</f>
        <v>42.857142857142854</v>
      </c>
      <c r="EQ29" s="13">
        <v>4000</v>
      </c>
      <c r="ER29" s="13">
        <f>EQ29</f>
        <v>4000</v>
      </c>
      <c r="ES29" s="13">
        <f>1620-ES28</f>
        <v>830</v>
      </c>
      <c r="ET29" s="13">
        <f>ES29</f>
        <v>830</v>
      </c>
      <c r="EU29" s="13">
        <f>4000-EU28</f>
        <v>4000</v>
      </c>
      <c r="EV29" s="13">
        <f>EU29</f>
        <v>4000</v>
      </c>
      <c r="EW29" s="13">
        <f>4500-EW28+40500-5000</f>
        <v>40000</v>
      </c>
      <c r="EX29" s="13">
        <f>EW29*EX3</f>
        <v>36000</v>
      </c>
      <c r="EY29" s="2760">
        <f t="shared" ref="EY29" si="511">EW29-EU29</f>
        <v>36000</v>
      </c>
      <c r="EZ29" s="13">
        <f t="shared" si="487"/>
        <v>1000</v>
      </c>
      <c r="FA29" s="2760">
        <f t="shared" ref="FA29" si="512">EU29-EQ29</f>
        <v>0</v>
      </c>
      <c r="FB29" s="13">
        <f>EU29/EQ29*100</f>
        <v>100</v>
      </c>
      <c r="FC29" s="2741"/>
      <c r="FD29" s="2741"/>
      <c r="FE29" s="2495"/>
      <c r="FF29" s="2495"/>
    </row>
    <row r="30" spans="1:162" s="2759" customFormat="1" ht="25.2" customHeight="1">
      <c r="A30" s="2735">
        <v>8</v>
      </c>
      <c r="B30" s="2736" t="s">
        <v>357</v>
      </c>
      <c r="C30" s="2737">
        <f t="shared" si="79"/>
        <v>900000</v>
      </c>
      <c r="D30" s="2737">
        <f t="shared" si="79"/>
        <v>800000</v>
      </c>
      <c r="E30" s="2737">
        <f t="shared" si="79"/>
        <v>635720</v>
      </c>
      <c r="F30" s="2737">
        <f t="shared" si="79"/>
        <v>635594</v>
      </c>
      <c r="G30" s="2737">
        <f t="shared" si="79"/>
        <v>996500</v>
      </c>
      <c r="H30" s="2737">
        <f t="shared" si="80"/>
        <v>996500</v>
      </c>
      <c r="I30" s="2737">
        <f>SUM(U30,AG30,AS30,BE30,BQ30,CC30,CO30,DA30,DM30,DY30,EK30,EW30)</f>
        <v>1770000</v>
      </c>
      <c r="J30" s="2737">
        <f t="shared" si="80"/>
        <v>1143000</v>
      </c>
      <c r="K30" s="2737">
        <f>+I30-G30</f>
        <v>773500</v>
      </c>
      <c r="L30" s="2737">
        <f>+I30/G30*100</f>
        <v>177.62167586552934</v>
      </c>
      <c r="M30" s="2737">
        <f>+G30-C30</f>
        <v>96500</v>
      </c>
      <c r="N30" s="2737">
        <f>+G30/C30*100</f>
        <v>110.72222222222223</v>
      </c>
      <c r="O30" s="2737">
        <f>SUM(O31:O32)</f>
        <v>64000</v>
      </c>
      <c r="P30" s="2737">
        <f t="shared" ref="P30" si="513">SUM(P31:P32)</f>
        <v>64000</v>
      </c>
      <c r="Q30" s="2737">
        <f t="shared" ref="Q30" si="514">SUM(Q31:Q32)</f>
        <v>39256</v>
      </c>
      <c r="R30" s="2737">
        <f t="shared" ref="R30" si="515">SUM(R31:R32)</f>
        <v>39256</v>
      </c>
      <c r="S30" s="2737">
        <f t="shared" ref="S30" si="516">SUM(S31:S32)</f>
        <v>64000</v>
      </c>
      <c r="T30" s="2737">
        <f t="shared" ref="T30" si="517">SUM(T31:T32)</f>
        <v>64000</v>
      </c>
      <c r="U30" s="2737">
        <f t="shared" ref="U30" si="518">SUM(U31:U32)</f>
        <v>100000</v>
      </c>
      <c r="V30" s="2737">
        <f t="shared" ref="V30" si="519">SUM(V31:V32)</f>
        <v>90000</v>
      </c>
      <c r="W30" s="2737">
        <f>SUM(W31:W32)</f>
        <v>36000</v>
      </c>
      <c r="X30" s="2737">
        <f>U30/S30*100</f>
        <v>156.25</v>
      </c>
      <c r="Y30" s="2737">
        <f>SUM(Y31:Y32)</f>
        <v>0</v>
      </c>
      <c r="Z30" s="13">
        <f>S30/O30*100</f>
        <v>100</v>
      </c>
      <c r="AA30" s="2737">
        <f>SUM(AA31:AA32)</f>
        <v>160000</v>
      </c>
      <c r="AB30" s="2737">
        <f t="shared" ref="AB30" si="520">SUM(AB31:AB32)</f>
        <v>160000</v>
      </c>
      <c r="AC30" s="2737">
        <f t="shared" ref="AC30" si="521">SUM(AC31:AC32)</f>
        <v>70679</v>
      </c>
      <c r="AD30" s="2737">
        <f t="shared" ref="AD30" si="522">SUM(AD31:AD32)</f>
        <v>70679</v>
      </c>
      <c r="AE30" s="2790">
        <f t="shared" ref="AE30" si="523">SUM(AE31:AE32)</f>
        <v>166000</v>
      </c>
      <c r="AF30" s="2790">
        <f t="shared" ref="AF30" si="524">SUM(AF31:AF32)</f>
        <v>166000</v>
      </c>
      <c r="AG30" s="2737">
        <f t="shared" ref="AG30" si="525">SUM(AG31:AG32)</f>
        <v>300000</v>
      </c>
      <c r="AH30" s="2737">
        <f t="shared" ref="AH30" si="526">SUM(AH31:AH32)</f>
        <v>270000</v>
      </c>
      <c r="AI30" s="2737">
        <f>SUM(AI31:AI32)</f>
        <v>134000</v>
      </c>
      <c r="AJ30" s="2737">
        <f>AG30/AE30*100</f>
        <v>180.72289156626508</v>
      </c>
      <c r="AK30" s="2737">
        <f>SUM(AK31:AK32)</f>
        <v>6000</v>
      </c>
      <c r="AL30" s="13">
        <f>AE30/AA30*100</f>
        <v>103.75000000000001</v>
      </c>
      <c r="AM30" s="2737">
        <f>SUM(AM31:AM32)</f>
        <v>15000</v>
      </c>
      <c r="AN30" s="2737">
        <f t="shared" ref="AN30" si="527">SUM(AN31:AN32)</f>
        <v>15000</v>
      </c>
      <c r="AO30" s="2737">
        <f t="shared" ref="AO30" si="528">SUM(AO31:AO32)</f>
        <v>25173</v>
      </c>
      <c r="AP30" s="2737">
        <f t="shared" ref="AP30" si="529">SUM(AP31:AP32)</f>
        <v>25173</v>
      </c>
      <c r="AQ30" s="2737">
        <f t="shared" ref="AQ30" si="530">SUM(AQ31:AQ32)</f>
        <v>36000</v>
      </c>
      <c r="AR30" s="2737">
        <f t="shared" ref="AR30" si="531">SUM(AR31:AR32)</f>
        <v>36000</v>
      </c>
      <c r="AS30" s="2737">
        <f t="shared" ref="AS30" si="532">SUM(AS31:AS32)</f>
        <v>30000</v>
      </c>
      <c r="AT30" s="2737">
        <f t="shared" ref="AT30" si="533">SUM(AT31:AT32)</f>
        <v>27000</v>
      </c>
      <c r="AU30" s="2737">
        <f>SUM(AU31:AU32)</f>
        <v>-6000</v>
      </c>
      <c r="AV30" s="2737">
        <f>AS30/AQ30*100</f>
        <v>83.333333333333343</v>
      </c>
      <c r="AW30" s="2737">
        <f>SUM(AW31:AW32)</f>
        <v>21000</v>
      </c>
      <c r="AX30" s="13">
        <f>AQ30/AM30*100</f>
        <v>240</v>
      </c>
      <c r="AY30" s="2737">
        <f>SUM(AY31:AY32)</f>
        <v>20000</v>
      </c>
      <c r="AZ30" s="2737">
        <f t="shared" ref="AZ30" si="534">SUM(AZ31:AZ32)</f>
        <v>20000</v>
      </c>
      <c r="BA30" s="2737">
        <f t="shared" ref="BA30" si="535">SUM(BA31:BA32)</f>
        <v>37066</v>
      </c>
      <c r="BB30" s="2737">
        <f t="shared" ref="BB30" si="536">SUM(BB31:BB32)</f>
        <v>37066</v>
      </c>
      <c r="BC30" s="2737">
        <f t="shared" ref="BC30" si="537">SUM(BC31:BC32)</f>
        <v>42000</v>
      </c>
      <c r="BD30" s="2737">
        <f t="shared" ref="BD30" si="538">SUM(BD31:BD32)</f>
        <v>42000</v>
      </c>
      <c r="BE30" s="2737">
        <f t="shared" ref="BE30" si="539">SUM(BE31:BE32)</f>
        <v>60000</v>
      </c>
      <c r="BF30" s="2737">
        <f t="shared" ref="BF30" si="540">SUM(BF31:BF32)</f>
        <v>54000</v>
      </c>
      <c r="BG30" s="2737">
        <f>SUM(BG31:BG32)</f>
        <v>18000</v>
      </c>
      <c r="BH30" s="2737">
        <f>BE30/BC30*100</f>
        <v>142.85714285714286</v>
      </c>
      <c r="BI30" s="2737">
        <f>SUM(BI31:BI32)</f>
        <v>22000</v>
      </c>
      <c r="BJ30" s="13">
        <f>BC30/AY30*100</f>
        <v>210</v>
      </c>
      <c r="BK30" s="2737">
        <f>SUM(BK31:BK32)</f>
        <v>60000</v>
      </c>
      <c r="BL30" s="2737">
        <f t="shared" ref="BL30" si="541">SUM(BL31:BL32)</f>
        <v>60000</v>
      </c>
      <c r="BM30" s="2737">
        <f t="shared" ref="BM30" si="542">SUM(BM31:BM32)</f>
        <v>31670</v>
      </c>
      <c r="BN30" s="2737">
        <f t="shared" ref="BN30" si="543">SUM(BN31:BN32)</f>
        <v>31670</v>
      </c>
      <c r="BO30" s="2737">
        <f t="shared" ref="BO30" si="544">SUM(BO31:BO32)</f>
        <v>50000</v>
      </c>
      <c r="BP30" s="2737">
        <f t="shared" ref="BP30" si="545">SUM(BP31:BP32)</f>
        <v>50000</v>
      </c>
      <c r="BQ30" s="2737">
        <f t="shared" ref="BQ30" si="546">SUM(BQ31:BQ32)</f>
        <v>70000</v>
      </c>
      <c r="BR30" s="2737">
        <f t="shared" ref="BR30" si="547">SUM(BR31:BR32)</f>
        <v>63000</v>
      </c>
      <c r="BS30" s="2737">
        <f>SUM(BS31:BS32)</f>
        <v>20000</v>
      </c>
      <c r="BT30" s="2737">
        <f>BQ30/BO30*100</f>
        <v>140</v>
      </c>
      <c r="BU30" s="2737">
        <f>SUM(BU31:BU32)</f>
        <v>-10000</v>
      </c>
      <c r="BV30" s="13">
        <f>BO30/BK30*100</f>
        <v>83.333333333333343</v>
      </c>
      <c r="BW30" s="2737">
        <f>SUM(BW31:BW32)</f>
        <v>200000</v>
      </c>
      <c r="BX30" s="2737">
        <f t="shared" ref="BX30" si="548">SUM(BX31:BX32)</f>
        <v>100000</v>
      </c>
      <c r="BY30" s="2737">
        <f t="shared" ref="BY30" si="549">SUM(BY31:BY32)</f>
        <v>134361</v>
      </c>
      <c r="BZ30" s="2737">
        <f t="shared" ref="BZ30" si="550">SUM(BZ31:BZ32)</f>
        <v>134361</v>
      </c>
      <c r="CA30" s="2790">
        <f t="shared" ref="CA30" si="551">SUM(CA31:CA32)</f>
        <v>160000</v>
      </c>
      <c r="CB30" s="2790">
        <f t="shared" ref="CB30" si="552">SUM(CB31:CB32)</f>
        <v>160000</v>
      </c>
      <c r="CC30" s="2737">
        <f t="shared" ref="CC30" si="553">SUM(CC31:CC32)</f>
        <v>310000</v>
      </c>
      <c r="CD30" s="2737">
        <f t="shared" ref="CD30" si="554">SUM(CD31:CD32)</f>
        <v>144000</v>
      </c>
      <c r="CE30" s="2737">
        <f>SUM(CE31:CE32)</f>
        <v>150000</v>
      </c>
      <c r="CF30" s="2737">
        <f>CC30/CA30*100</f>
        <v>193.75</v>
      </c>
      <c r="CG30" s="2809">
        <f>SUM(CG31:CG32)</f>
        <v>-40000</v>
      </c>
      <c r="CH30" s="13">
        <f>CA30/BW30*100</f>
        <v>80</v>
      </c>
      <c r="CI30" s="2737">
        <f>SUM(CI31:CI32)</f>
        <v>35000</v>
      </c>
      <c r="CJ30" s="2790">
        <f t="shared" ref="CJ30" si="555">SUM(CJ31:CJ32)</f>
        <v>35000</v>
      </c>
      <c r="CK30" s="2790">
        <f t="shared" ref="CK30" si="556">SUM(CK31:CK32)</f>
        <v>68549</v>
      </c>
      <c r="CL30" s="2790">
        <f t="shared" ref="CL30" si="557">SUM(CL31:CL32)</f>
        <v>68549</v>
      </c>
      <c r="CM30" s="2790">
        <f t="shared" ref="CM30" si="558">SUM(CM31:CM32)</f>
        <v>100000</v>
      </c>
      <c r="CN30" s="2790">
        <f t="shared" ref="CN30" si="559">SUM(CN31:CN32)</f>
        <v>100000</v>
      </c>
      <c r="CO30" s="2790">
        <f t="shared" ref="CO30" si="560">SUM(CO31:CO32)</f>
        <v>60000</v>
      </c>
      <c r="CP30" s="2790">
        <f t="shared" ref="CP30" si="561">SUM(CP31:CP32)</f>
        <v>54000</v>
      </c>
      <c r="CQ30" s="2790">
        <f>SUM(CQ31:CQ32)</f>
        <v>-40000</v>
      </c>
      <c r="CR30" s="2737">
        <f>CO30/CM30*100</f>
        <v>60</v>
      </c>
      <c r="CS30" s="2737">
        <f>SUM(CS31:CS32)</f>
        <v>65000</v>
      </c>
      <c r="CT30" s="13">
        <f>CM30/CI30*100</f>
        <v>285.71428571428572</v>
      </c>
      <c r="CU30" s="2737">
        <f>SUM(CU31:CU32)</f>
        <v>70000</v>
      </c>
      <c r="CV30" s="2737">
        <f t="shared" ref="CV30" si="562">SUM(CV31:CV32)</f>
        <v>70000</v>
      </c>
      <c r="CW30" s="2737">
        <f t="shared" ref="CW30" si="563">SUM(CW31:CW32)</f>
        <v>79894</v>
      </c>
      <c r="CX30" s="2737">
        <f t="shared" ref="CX30" si="564">SUM(CX31:CX32)</f>
        <v>79894</v>
      </c>
      <c r="CY30" s="2737">
        <f t="shared" ref="CY30" si="565">SUM(CY31:CY32)</f>
        <v>90000</v>
      </c>
      <c r="CZ30" s="2737">
        <f t="shared" ref="CZ30" si="566">SUM(CZ31:CZ32)</f>
        <v>90000</v>
      </c>
      <c r="DA30" s="2737">
        <f t="shared" ref="DA30" si="567">SUM(DA31:DA32)</f>
        <v>100000</v>
      </c>
      <c r="DB30" s="2737">
        <f t="shared" ref="DB30" si="568">SUM(DB31:DB32)</f>
        <v>90000</v>
      </c>
      <c r="DC30" s="2737">
        <f>SUM(DC31:DC32)</f>
        <v>10000</v>
      </c>
      <c r="DD30" s="2737">
        <f>DA30/CY30*100</f>
        <v>111.11111111111111</v>
      </c>
      <c r="DE30" s="2737">
        <f>SUM(DE31:DE32)</f>
        <v>20000</v>
      </c>
      <c r="DF30" s="13">
        <f>CY30/CU30*100</f>
        <v>128.57142857142858</v>
      </c>
      <c r="DG30" s="2737">
        <f>SUM(DG31:DG32)</f>
        <v>30000</v>
      </c>
      <c r="DH30" s="2737">
        <f t="shared" ref="DH30" si="569">SUM(DH31:DH32)</f>
        <v>30000</v>
      </c>
      <c r="DI30" s="2737">
        <f t="shared" ref="DI30" si="570">SUM(DI31:DI32)</f>
        <v>38628</v>
      </c>
      <c r="DJ30" s="2737">
        <f t="shared" ref="DJ30" si="571">SUM(DJ31:DJ32)</f>
        <v>38628</v>
      </c>
      <c r="DK30" s="2737">
        <f t="shared" ref="DK30" si="572">SUM(DK31:DK32)</f>
        <v>48000</v>
      </c>
      <c r="DL30" s="2737">
        <f t="shared" ref="DL30" si="573">SUM(DL31:DL32)</f>
        <v>48000</v>
      </c>
      <c r="DM30" s="2790">
        <f t="shared" ref="DM30" si="574">SUM(DM31:DM32)</f>
        <v>60000</v>
      </c>
      <c r="DN30" s="2790">
        <f t="shared" ref="DN30" si="575">SUM(DN31:DN32)</f>
        <v>54000</v>
      </c>
      <c r="DO30" s="2737">
        <f>SUM(DO31:DO32)</f>
        <v>12000</v>
      </c>
      <c r="DP30" s="2737">
        <f>DM30/DK30*100</f>
        <v>125</v>
      </c>
      <c r="DQ30" s="2737">
        <f>SUM(DQ31:DQ32)</f>
        <v>18000</v>
      </c>
      <c r="DR30" s="13">
        <f>DK30/DG30*100</f>
        <v>160</v>
      </c>
      <c r="DS30" s="2737">
        <f>SUM(DS31:DS32)</f>
        <v>30000</v>
      </c>
      <c r="DT30" s="2737">
        <f t="shared" ref="DT30" si="576">SUM(DT31:DT32)</f>
        <v>30000</v>
      </c>
      <c r="DU30" s="2737">
        <f t="shared" ref="DU30" si="577">SUM(DU31:DU32)</f>
        <v>30620</v>
      </c>
      <c r="DV30" s="2737">
        <f t="shared" ref="DV30" si="578">SUM(DV31:DV32)</f>
        <v>30620</v>
      </c>
      <c r="DW30" s="2790">
        <f t="shared" ref="DW30" si="579">SUM(DW31:DW32)</f>
        <v>90000</v>
      </c>
      <c r="DX30" s="2790">
        <f t="shared" ref="DX30" si="580">SUM(DX31:DX32)</f>
        <v>90000</v>
      </c>
      <c r="DY30" s="2790">
        <f t="shared" ref="DY30" si="581">SUM(DY31:DY32)</f>
        <v>70000</v>
      </c>
      <c r="DZ30" s="2790">
        <f t="shared" ref="DZ30" si="582">SUM(DZ31:DZ32)</f>
        <v>63000</v>
      </c>
      <c r="EA30" s="2737">
        <f>SUM(EA31:EA32)</f>
        <v>-20000</v>
      </c>
      <c r="EB30" s="2737">
        <f>DY30/DW30*100</f>
        <v>77.777777777777786</v>
      </c>
      <c r="EC30" s="2737">
        <f>SUM(EC31:EC32)</f>
        <v>60000</v>
      </c>
      <c r="ED30" s="13">
        <f>DW30/DS30*100</f>
        <v>300</v>
      </c>
      <c r="EE30" s="2737">
        <f>SUM(EE31:EE32)</f>
        <v>166000</v>
      </c>
      <c r="EF30" s="2737">
        <f t="shared" ref="EF30" si="583">SUM(EF31:EF32)</f>
        <v>166000</v>
      </c>
      <c r="EG30" s="2738">
        <f t="shared" ref="EG30" si="584">SUM(EG31:EG32)</f>
        <v>57672</v>
      </c>
      <c r="EH30" s="2738">
        <f t="shared" ref="EH30" si="585">SUM(EH31:EH32)</f>
        <v>57546</v>
      </c>
      <c r="EI30" s="2737">
        <f t="shared" ref="EI30" si="586">SUM(EI31:EI32)</f>
        <v>100500</v>
      </c>
      <c r="EJ30" s="2737">
        <f t="shared" ref="EJ30" si="587">SUM(EJ31:EJ32)</f>
        <v>100500</v>
      </c>
      <c r="EK30" s="2790">
        <f t="shared" ref="EK30" si="588">SUM(EK31:EK32)</f>
        <v>510000</v>
      </c>
      <c r="EL30" s="2790">
        <f t="shared" ref="EL30" si="589">SUM(EL31:EL32)</f>
        <v>144000</v>
      </c>
      <c r="EM30" s="2737">
        <f>SUM(EM31:EM32)</f>
        <v>409500</v>
      </c>
      <c r="EN30" s="2737">
        <f>EK30/EI30*100</f>
        <v>507.46268656716421</v>
      </c>
      <c r="EO30" s="2737">
        <f>SUM(EO31:EO32)</f>
        <v>-65500</v>
      </c>
      <c r="EP30" s="13">
        <f>EI30/EE30*100</f>
        <v>60.542168674698793</v>
      </c>
      <c r="EQ30" s="2737">
        <f>SUM(EQ31:EQ32)</f>
        <v>50000</v>
      </c>
      <c r="ER30" s="2737">
        <f t="shared" ref="ER30" si="590">SUM(ER31:ER32)</f>
        <v>50000</v>
      </c>
      <c r="ES30" s="2737">
        <f t="shared" ref="ES30" si="591">SUM(ES31:ES32)</f>
        <v>22152</v>
      </c>
      <c r="ET30" s="2737">
        <f t="shared" ref="ET30" si="592">SUM(ET31:ET32)</f>
        <v>22152</v>
      </c>
      <c r="EU30" s="2737">
        <f t="shared" ref="EU30" si="593">SUM(EU31:EU32)</f>
        <v>50000</v>
      </c>
      <c r="EV30" s="2737">
        <f t="shared" ref="EV30" si="594">SUM(EV31:EV32)</f>
        <v>50000</v>
      </c>
      <c r="EW30" s="2737">
        <f t="shared" ref="EW30" si="595">SUM(EW31:EW32)</f>
        <v>100000</v>
      </c>
      <c r="EX30" s="2737">
        <f t="shared" ref="EX30" si="596">SUM(EX31:EX32)</f>
        <v>90000</v>
      </c>
      <c r="EY30" s="2737">
        <f>SUM(EY31:EY32)</f>
        <v>50000</v>
      </c>
      <c r="EZ30" s="2737">
        <f>EW30/EU30*100</f>
        <v>200</v>
      </c>
      <c r="FA30" s="2737">
        <f>SUM(FA31:FA32)</f>
        <v>0</v>
      </c>
      <c r="FB30" s="13">
        <f>EU30/EQ30*100</f>
        <v>100</v>
      </c>
      <c r="FC30" s="2739">
        <f>E30/C30</f>
        <v>0.70635555555555551</v>
      </c>
      <c r="FD30" s="2739">
        <f>F30/D30</f>
        <v>0.79449250000000005</v>
      </c>
      <c r="FE30" s="2740">
        <f>E30-C30</f>
        <v>-264280</v>
      </c>
      <c r="FF30" s="2740">
        <f>F30-D30</f>
        <v>-164406</v>
      </c>
    </row>
    <row r="31" spans="1:162" s="154" customFormat="1" ht="25.2" customHeight="1">
      <c r="A31" s="2155" t="s">
        <v>137</v>
      </c>
      <c r="B31" s="137" t="s">
        <v>276</v>
      </c>
      <c r="C31" s="13">
        <f t="shared" si="79"/>
        <v>100000</v>
      </c>
      <c r="D31" s="13">
        <f t="shared" si="79"/>
        <v>0</v>
      </c>
      <c r="E31" s="13">
        <f t="shared" si="79"/>
        <v>126</v>
      </c>
      <c r="F31" s="13">
        <f t="shared" si="79"/>
        <v>0</v>
      </c>
      <c r="G31" s="13">
        <f t="shared" si="79"/>
        <v>0</v>
      </c>
      <c r="H31" s="13">
        <f t="shared" si="79"/>
        <v>0</v>
      </c>
      <c r="I31" s="13">
        <f>SUM(U31,AG31,AS31,BE31,BQ31,CC31,CO31,DA31,DM31,DY31,EK31,EW31)</f>
        <v>500000</v>
      </c>
      <c r="J31" s="13">
        <f>SUM(V31,AH31,AT31,BF31,BR31,CD31,CP31,DB31,DN31,DZ31,EL31,EX31)</f>
        <v>0</v>
      </c>
      <c r="K31" s="13">
        <f t="shared" ref="K31:K32" si="597">+I31-G31</f>
        <v>500000</v>
      </c>
      <c r="L31" s="13" t="e">
        <f t="shared" ref="L31:L32" si="598">+I31/G31*100</f>
        <v>#DIV/0!</v>
      </c>
      <c r="M31" s="13">
        <f t="shared" ref="M31:M32" si="599">+G31-C31</f>
        <v>-100000</v>
      </c>
      <c r="N31" s="13">
        <f t="shared" ref="N31:N32" si="600">+G31/C31*100</f>
        <v>0</v>
      </c>
      <c r="O31" s="13">
        <v>0</v>
      </c>
      <c r="P31" s="13">
        <v>0</v>
      </c>
      <c r="Q31" s="13">
        <v>0</v>
      </c>
      <c r="R31" s="13">
        <v>0</v>
      </c>
      <c r="S31" s="13">
        <f>Q31/8*12</f>
        <v>0</v>
      </c>
      <c r="T31" s="13">
        <v>0</v>
      </c>
      <c r="U31" s="13"/>
      <c r="V31" s="13">
        <v>0</v>
      </c>
      <c r="W31" s="2760">
        <f>U31-S31</f>
        <v>0</v>
      </c>
      <c r="X31" s="13" t="e">
        <f t="shared" ref="X31:X32" si="601">U31/S31*100</f>
        <v>#DIV/0!</v>
      </c>
      <c r="Y31" s="2760">
        <f>S31-O31</f>
        <v>0</v>
      </c>
      <c r="Z31" s="13" t="e">
        <f>S31/O31*100</f>
        <v>#DIV/0!</v>
      </c>
      <c r="AA31" s="13">
        <v>0</v>
      </c>
      <c r="AB31" s="13">
        <v>0</v>
      </c>
      <c r="AC31" s="13">
        <v>0</v>
      </c>
      <c r="AD31" s="13">
        <v>0</v>
      </c>
      <c r="AE31" s="30">
        <f>AC31/8*12</f>
        <v>0</v>
      </c>
      <c r="AF31" s="30">
        <v>0</v>
      </c>
      <c r="AG31" s="13"/>
      <c r="AH31" s="13">
        <v>0</v>
      </c>
      <c r="AI31" s="2760">
        <f>AG31-AE31</f>
        <v>0</v>
      </c>
      <c r="AJ31" s="13" t="e">
        <f t="shared" ref="AJ31:AJ32" si="602">AG31/AE31*100</f>
        <v>#DIV/0!</v>
      </c>
      <c r="AK31" s="2760">
        <f>AE31-AA31</f>
        <v>0</v>
      </c>
      <c r="AL31" s="13" t="e">
        <f>AE31/AA31*100</f>
        <v>#DIV/0!</v>
      </c>
      <c r="AM31" s="13">
        <v>0</v>
      </c>
      <c r="AN31" s="13">
        <v>0</v>
      </c>
      <c r="AO31" s="13">
        <v>0</v>
      </c>
      <c r="AP31" s="13">
        <v>0</v>
      </c>
      <c r="AQ31" s="13">
        <f>AO31/8*12</f>
        <v>0</v>
      </c>
      <c r="AR31" s="13">
        <v>0</v>
      </c>
      <c r="AS31" s="13"/>
      <c r="AT31" s="13">
        <v>0</v>
      </c>
      <c r="AU31" s="2760">
        <f>AS31-AQ31</f>
        <v>0</v>
      </c>
      <c r="AV31" s="13" t="e">
        <f t="shared" ref="AV31:AV32" si="603">AS31/AQ31*100</f>
        <v>#DIV/0!</v>
      </c>
      <c r="AW31" s="2760">
        <f>AQ31-AM31</f>
        <v>0</v>
      </c>
      <c r="AX31" s="13" t="e">
        <f>AQ31/AM31*100</f>
        <v>#DIV/0!</v>
      </c>
      <c r="AY31" s="13">
        <v>0</v>
      </c>
      <c r="AZ31" s="13">
        <v>0</v>
      </c>
      <c r="BA31" s="13">
        <v>0</v>
      </c>
      <c r="BB31" s="13">
        <v>0</v>
      </c>
      <c r="BC31" s="13">
        <f>BA31/8*12</f>
        <v>0</v>
      </c>
      <c r="BD31" s="13">
        <v>0</v>
      </c>
      <c r="BE31" s="13"/>
      <c r="BF31" s="13">
        <v>0</v>
      </c>
      <c r="BG31" s="2760">
        <f>BE31-BC31</f>
        <v>0</v>
      </c>
      <c r="BH31" s="13" t="e">
        <f t="shared" ref="BH31:BH32" si="604">BE31/BC31*100</f>
        <v>#DIV/0!</v>
      </c>
      <c r="BI31" s="2760">
        <f>BC31-AY31</f>
        <v>0</v>
      </c>
      <c r="BJ31" s="13" t="e">
        <f>BC31/AY31*100</f>
        <v>#DIV/0!</v>
      </c>
      <c r="BK31" s="13">
        <v>0</v>
      </c>
      <c r="BL31" s="13">
        <v>0</v>
      </c>
      <c r="BM31" s="13">
        <v>0</v>
      </c>
      <c r="BN31" s="13">
        <v>0</v>
      </c>
      <c r="BO31" s="13">
        <f>BM31/8*12</f>
        <v>0</v>
      </c>
      <c r="BP31" s="13">
        <v>0</v>
      </c>
      <c r="BQ31" s="13"/>
      <c r="BR31" s="13">
        <v>0</v>
      </c>
      <c r="BS31" s="2760">
        <f>BQ31-BO31</f>
        <v>0</v>
      </c>
      <c r="BT31" s="13" t="e">
        <f t="shared" ref="BT31:BT32" si="605">BQ31/BO31*100</f>
        <v>#DIV/0!</v>
      </c>
      <c r="BU31" s="2760">
        <f>BO31-BK31</f>
        <v>0</v>
      </c>
      <c r="BV31" s="13" t="e">
        <f>BO31/BK31*100</f>
        <v>#DIV/0!</v>
      </c>
      <c r="BW31" s="13">
        <v>100000</v>
      </c>
      <c r="BX31" s="13">
        <v>0</v>
      </c>
      <c r="BY31" s="13">
        <v>0</v>
      </c>
      <c r="BZ31" s="13">
        <v>0</v>
      </c>
      <c r="CA31" s="30">
        <f>BY31/8*12</f>
        <v>0</v>
      </c>
      <c r="CB31" s="30">
        <v>0</v>
      </c>
      <c r="CC31" s="2801">
        <f>100000+50000</f>
        <v>150000</v>
      </c>
      <c r="CD31" s="13">
        <v>0</v>
      </c>
      <c r="CE31" s="2760">
        <f>CC31-CA31</f>
        <v>150000</v>
      </c>
      <c r="CF31" s="13" t="e">
        <f t="shared" ref="CF31:CF32" si="606">CC31/CA31*100</f>
        <v>#DIV/0!</v>
      </c>
      <c r="CG31" s="2809">
        <f>CA31-BW31</f>
        <v>-100000</v>
      </c>
      <c r="CH31" s="13">
        <f>CA31/BW31*100</f>
        <v>0</v>
      </c>
      <c r="CI31" s="13">
        <v>0</v>
      </c>
      <c r="CJ31" s="13">
        <v>0</v>
      </c>
      <c r="CK31" s="30">
        <v>0</v>
      </c>
      <c r="CL31" s="30">
        <v>0</v>
      </c>
      <c r="CM31" s="30">
        <f>CK31/8*12</f>
        <v>0</v>
      </c>
      <c r="CN31" s="30">
        <v>0</v>
      </c>
      <c r="CO31" s="30">
        <v>0</v>
      </c>
      <c r="CP31" s="30">
        <v>0</v>
      </c>
      <c r="CQ31" s="2791">
        <f>CO31-CM31</f>
        <v>0</v>
      </c>
      <c r="CR31" s="13" t="e">
        <f t="shared" ref="CR31:CR32" si="607">CO31/CM31*100</f>
        <v>#DIV/0!</v>
      </c>
      <c r="CS31" s="2760">
        <f>CM31-CI31</f>
        <v>0</v>
      </c>
      <c r="CT31" s="13" t="e">
        <f>CM31/CI31*100</f>
        <v>#DIV/0!</v>
      </c>
      <c r="CU31" s="13">
        <v>0</v>
      </c>
      <c r="CV31" s="13">
        <v>0</v>
      </c>
      <c r="CW31" s="13">
        <v>0</v>
      </c>
      <c r="CX31" s="13">
        <v>0</v>
      </c>
      <c r="CY31" s="13">
        <f>CW31/8*12</f>
        <v>0</v>
      </c>
      <c r="CZ31" s="13">
        <v>0</v>
      </c>
      <c r="DA31" s="13">
        <v>0</v>
      </c>
      <c r="DB31" s="13">
        <v>0</v>
      </c>
      <c r="DC31" s="2760">
        <f>DA31-CY31</f>
        <v>0</v>
      </c>
      <c r="DD31" s="13" t="e">
        <f t="shared" ref="DD31:DD32" si="608">DA31/CY31*100</f>
        <v>#DIV/0!</v>
      </c>
      <c r="DE31" s="2760">
        <f>CY31-CU31</f>
        <v>0</v>
      </c>
      <c r="DF31" s="13" t="e">
        <f>CY31/CU31*100</f>
        <v>#DIV/0!</v>
      </c>
      <c r="DG31" s="13">
        <v>0</v>
      </c>
      <c r="DH31" s="13">
        <v>0</v>
      </c>
      <c r="DI31" s="13">
        <v>0</v>
      </c>
      <c r="DJ31" s="13">
        <v>0</v>
      </c>
      <c r="DK31" s="13">
        <f>DI31/8*12</f>
        <v>0</v>
      </c>
      <c r="DL31" s="13">
        <v>0</v>
      </c>
      <c r="DM31" s="30">
        <v>0</v>
      </c>
      <c r="DN31" s="30">
        <v>0</v>
      </c>
      <c r="DO31" s="2760">
        <f>DM31-DK31</f>
        <v>0</v>
      </c>
      <c r="DP31" s="13" t="e">
        <f t="shared" ref="DP31:DP32" si="609">DM31/DK31*100</f>
        <v>#DIV/0!</v>
      </c>
      <c r="DQ31" s="2760">
        <f>DK31-DG31</f>
        <v>0</v>
      </c>
      <c r="DR31" s="13" t="e">
        <f>DK31/DG31*100</f>
        <v>#DIV/0!</v>
      </c>
      <c r="DS31" s="13">
        <v>0</v>
      </c>
      <c r="DT31" s="13">
        <v>0</v>
      </c>
      <c r="DU31" s="13">
        <v>0</v>
      </c>
      <c r="DV31" s="13">
        <v>0</v>
      </c>
      <c r="DW31" s="30">
        <f>DU31/8*12</f>
        <v>0</v>
      </c>
      <c r="DX31" s="30">
        <v>0</v>
      </c>
      <c r="DY31" s="30">
        <v>0</v>
      </c>
      <c r="DZ31" s="30">
        <v>0</v>
      </c>
      <c r="EA31" s="2760">
        <f>DY31-DW31</f>
        <v>0</v>
      </c>
      <c r="EB31" s="13" t="e">
        <f t="shared" ref="EB31:EB32" si="610">DY31/DW31*100</f>
        <v>#DIV/0!</v>
      </c>
      <c r="EC31" s="2760">
        <f>DW31-DS31</f>
        <v>0</v>
      </c>
      <c r="ED31" s="13" t="e">
        <f>DW31/DS31*100</f>
        <v>#DIV/0!</v>
      </c>
      <c r="EE31" s="13">
        <v>0</v>
      </c>
      <c r="EF31" s="13">
        <v>0</v>
      </c>
      <c r="EG31" s="53">
        <f>126</f>
        <v>126</v>
      </c>
      <c r="EH31" s="53">
        <v>0</v>
      </c>
      <c r="EI31" s="13"/>
      <c r="EJ31" s="13">
        <v>0</v>
      </c>
      <c r="EK31" s="2801">
        <f>350000</f>
        <v>350000</v>
      </c>
      <c r="EL31" s="30">
        <v>0</v>
      </c>
      <c r="EM31" s="2760">
        <f>EK31-EI31</f>
        <v>350000</v>
      </c>
      <c r="EN31" s="13" t="e">
        <f t="shared" ref="EN31:EN32" si="611">EK31/EI31*100</f>
        <v>#DIV/0!</v>
      </c>
      <c r="EO31" s="2760">
        <f>EI31-EE31</f>
        <v>0</v>
      </c>
      <c r="EP31" s="13" t="e">
        <f>EI31/EE31*100</f>
        <v>#DIV/0!</v>
      </c>
      <c r="EQ31" s="13">
        <v>0</v>
      </c>
      <c r="ER31" s="13">
        <v>0</v>
      </c>
      <c r="ES31" s="13">
        <v>0</v>
      </c>
      <c r="ET31" s="13">
        <v>0</v>
      </c>
      <c r="EU31" s="13">
        <f>ES31/8*12</f>
        <v>0</v>
      </c>
      <c r="EV31" s="13">
        <v>0</v>
      </c>
      <c r="EW31" s="13">
        <v>0</v>
      </c>
      <c r="EX31" s="13">
        <v>0</v>
      </c>
      <c r="EY31" s="2760">
        <f>EW31-EU31</f>
        <v>0</v>
      </c>
      <c r="EZ31" s="13" t="e">
        <f t="shared" ref="EZ31:EZ32" si="612">EW31/EU31*100</f>
        <v>#DIV/0!</v>
      </c>
      <c r="FA31" s="2760">
        <f>EU31-EQ31</f>
        <v>0</v>
      </c>
      <c r="FB31" s="13" t="e">
        <f>EU31/EQ31*100</f>
        <v>#DIV/0!</v>
      </c>
      <c r="FC31" s="2741"/>
      <c r="FD31" s="2741"/>
      <c r="FE31" s="2495"/>
      <c r="FF31" s="2495"/>
    </row>
    <row r="32" spans="1:162" s="154" customFormat="1" ht="25.2" customHeight="1">
      <c r="A32" s="2155" t="s">
        <v>137</v>
      </c>
      <c r="B32" s="137" t="s">
        <v>277</v>
      </c>
      <c r="C32" s="13">
        <f t="shared" si="79"/>
        <v>800000</v>
      </c>
      <c r="D32" s="13">
        <f t="shared" si="79"/>
        <v>800000</v>
      </c>
      <c r="E32" s="13">
        <f t="shared" si="79"/>
        <v>635594</v>
      </c>
      <c r="F32" s="13">
        <f t="shared" si="79"/>
        <v>635594</v>
      </c>
      <c r="G32" s="13">
        <f t="shared" si="79"/>
        <v>996500</v>
      </c>
      <c r="H32" s="13">
        <f t="shared" si="79"/>
        <v>996500</v>
      </c>
      <c r="I32" s="13">
        <f>SUM(U32,AG32,AS32,BE32,BQ32,CC32,CO32,DA32,DM32,DY32,EK32,EW32)</f>
        <v>1270000</v>
      </c>
      <c r="J32" s="13">
        <f>SUM(V32,AH32,AT32,BF32,BR32,CD32,CP32,DB32,DN32,DZ32,EL32,EX32)</f>
        <v>1143000</v>
      </c>
      <c r="K32" s="13">
        <f t="shared" si="597"/>
        <v>273500</v>
      </c>
      <c r="L32" s="13">
        <f t="shared" si="598"/>
        <v>127.44606121424988</v>
      </c>
      <c r="M32" s="13">
        <f t="shared" si="599"/>
        <v>196500</v>
      </c>
      <c r="N32" s="13">
        <f t="shared" si="600"/>
        <v>124.5625</v>
      </c>
      <c r="O32" s="13">
        <v>64000</v>
      </c>
      <c r="P32" s="13">
        <f>O32</f>
        <v>64000</v>
      </c>
      <c r="Q32" s="13">
        <f>39256-Q31</f>
        <v>39256</v>
      </c>
      <c r="R32" s="13">
        <f>Q32</f>
        <v>39256</v>
      </c>
      <c r="S32" s="13">
        <f>64000-S31</f>
        <v>64000</v>
      </c>
      <c r="T32" s="13">
        <f>S32</f>
        <v>64000</v>
      </c>
      <c r="U32" s="2801">
        <f>70000+30000</f>
        <v>100000</v>
      </c>
      <c r="V32" s="13">
        <f>U32*V3</f>
        <v>90000</v>
      </c>
      <c r="W32" s="2760">
        <f>U32-S32</f>
        <v>36000</v>
      </c>
      <c r="X32" s="13">
        <f t="shared" si="601"/>
        <v>156.25</v>
      </c>
      <c r="Y32" s="2760">
        <f>S32-O32</f>
        <v>0</v>
      </c>
      <c r="Z32" s="13">
        <f>S32/O32*100</f>
        <v>100</v>
      </c>
      <c r="AA32" s="13">
        <v>160000</v>
      </c>
      <c r="AB32" s="13">
        <f>AA32</f>
        <v>160000</v>
      </c>
      <c r="AC32" s="13">
        <f>70679-AC31</f>
        <v>70679</v>
      </c>
      <c r="AD32" s="13">
        <f>AC32</f>
        <v>70679</v>
      </c>
      <c r="AE32" s="30">
        <f>166000-AE31</f>
        <v>166000</v>
      </c>
      <c r="AF32" s="30">
        <f>AE32</f>
        <v>166000</v>
      </c>
      <c r="AG32" s="2801">
        <f>260000-AG31+40000</f>
        <v>300000</v>
      </c>
      <c r="AH32" s="13">
        <f>AG32*AH3</f>
        <v>270000</v>
      </c>
      <c r="AI32" s="2760">
        <f>AG32-AE32</f>
        <v>134000</v>
      </c>
      <c r="AJ32" s="13">
        <f t="shared" si="602"/>
        <v>180.72289156626508</v>
      </c>
      <c r="AK32" s="2760">
        <f>AE32-AA32</f>
        <v>6000</v>
      </c>
      <c r="AL32" s="13">
        <f>AE32/AA32*100</f>
        <v>103.75000000000001</v>
      </c>
      <c r="AM32" s="13">
        <v>15000</v>
      </c>
      <c r="AN32" s="13">
        <f>AM32</f>
        <v>15000</v>
      </c>
      <c r="AO32" s="13">
        <f>25173-AO31</f>
        <v>25173</v>
      </c>
      <c r="AP32" s="13">
        <f>AO32</f>
        <v>25173</v>
      </c>
      <c r="AQ32" s="13">
        <f>36000-AQ31</f>
        <v>36000</v>
      </c>
      <c r="AR32" s="13">
        <f>AQ32</f>
        <v>36000</v>
      </c>
      <c r="AS32" s="2801">
        <f>25000-AS31+(5000)</f>
        <v>30000</v>
      </c>
      <c r="AT32" s="13">
        <f>AS32*AT3</f>
        <v>27000</v>
      </c>
      <c r="AU32" s="2760">
        <f>AS32-AQ32</f>
        <v>-6000</v>
      </c>
      <c r="AV32" s="13">
        <f t="shared" si="603"/>
        <v>83.333333333333343</v>
      </c>
      <c r="AW32" s="2760">
        <f>AQ32-AM32</f>
        <v>21000</v>
      </c>
      <c r="AX32" s="13">
        <f>AQ32/AM32*100</f>
        <v>240</v>
      </c>
      <c r="AY32" s="13">
        <v>20000</v>
      </c>
      <c r="AZ32" s="13">
        <f>AY32</f>
        <v>20000</v>
      </c>
      <c r="BA32" s="13">
        <f>37066-BA31</f>
        <v>37066</v>
      </c>
      <c r="BB32" s="13">
        <f>BA32</f>
        <v>37066</v>
      </c>
      <c r="BC32" s="13">
        <f>42000-BC31</f>
        <v>42000</v>
      </c>
      <c r="BD32" s="13">
        <f>BC32</f>
        <v>42000</v>
      </c>
      <c r="BE32" s="2801">
        <f>55000-BE31+(5000)</f>
        <v>60000</v>
      </c>
      <c r="BF32" s="13">
        <f>BE32*BF3</f>
        <v>54000</v>
      </c>
      <c r="BG32" s="2760">
        <f>BE32-BC32</f>
        <v>18000</v>
      </c>
      <c r="BH32" s="13">
        <f t="shared" si="604"/>
        <v>142.85714285714286</v>
      </c>
      <c r="BI32" s="2760">
        <f>BC32-AY32</f>
        <v>22000</v>
      </c>
      <c r="BJ32" s="13">
        <f>BC32/AY32*100</f>
        <v>210</v>
      </c>
      <c r="BK32" s="13">
        <v>60000</v>
      </c>
      <c r="BL32" s="13">
        <f>BK32</f>
        <v>60000</v>
      </c>
      <c r="BM32" s="13">
        <f>31670-BM31</f>
        <v>31670</v>
      </c>
      <c r="BN32" s="13">
        <f>BM32</f>
        <v>31670</v>
      </c>
      <c r="BO32" s="13">
        <f>50000-BO31</f>
        <v>50000</v>
      </c>
      <c r="BP32" s="13">
        <f>BO32</f>
        <v>50000</v>
      </c>
      <c r="BQ32" s="2801">
        <f>60000-BQ31+(10000)</f>
        <v>70000</v>
      </c>
      <c r="BR32" s="13">
        <f>BQ32*BR3</f>
        <v>63000</v>
      </c>
      <c r="BS32" s="2760">
        <f>BQ32-BO32</f>
        <v>20000</v>
      </c>
      <c r="BT32" s="13">
        <f t="shared" si="605"/>
        <v>140</v>
      </c>
      <c r="BU32" s="2760">
        <f>BO32-BK32</f>
        <v>-10000</v>
      </c>
      <c r="BV32" s="13">
        <f>BO32/BK32*100</f>
        <v>83.333333333333343</v>
      </c>
      <c r="BW32" s="13">
        <v>100000</v>
      </c>
      <c r="BX32" s="13">
        <f>BW32</f>
        <v>100000</v>
      </c>
      <c r="BY32" s="13">
        <f>134361-BY31</f>
        <v>134361</v>
      </c>
      <c r="BZ32" s="13">
        <f>BY32</f>
        <v>134361</v>
      </c>
      <c r="CA32" s="30">
        <f>160000-CA31</f>
        <v>160000</v>
      </c>
      <c r="CB32" s="30">
        <f>CA32</f>
        <v>160000</v>
      </c>
      <c r="CC32" s="53">
        <f>260000-CC31+(50000)</f>
        <v>160000</v>
      </c>
      <c r="CD32" s="13">
        <f>CC32*CD3</f>
        <v>144000</v>
      </c>
      <c r="CE32" s="2760">
        <f>CC32-CA32</f>
        <v>0</v>
      </c>
      <c r="CF32" s="13">
        <f t="shared" si="606"/>
        <v>100</v>
      </c>
      <c r="CG32" s="2809">
        <f>CA32-BW32</f>
        <v>60000</v>
      </c>
      <c r="CH32" s="13">
        <f>CA32/BW32*100</f>
        <v>160</v>
      </c>
      <c r="CI32" s="13">
        <v>35000</v>
      </c>
      <c r="CJ32" s="13">
        <f>CI32</f>
        <v>35000</v>
      </c>
      <c r="CK32" s="30">
        <f>68549-CK31</f>
        <v>68549</v>
      </c>
      <c r="CL32" s="30">
        <f>CK32</f>
        <v>68549</v>
      </c>
      <c r="CM32" s="30">
        <v>100000</v>
      </c>
      <c r="CN32" s="30">
        <f>CM32</f>
        <v>100000</v>
      </c>
      <c r="CO32" s="2801">
        <f>45000+(15000)</f>
        <v>60000</v>
      </c>
      <c r="CP32" s="30">
        <f>CO32*CP3</f>
        <v>54000</v>
      </c>
      <c r="CQ32" s="2791">
        <f>CO32-CM32</f>
        <v>-40000</v>
      </c>
      <c r="CR32" s="13">
        <f t="shared" si="607"/>
        <v>60</v>
      </c>
      <c r="CS32" s="2760">
        <f>CM32-CI32</f>
        <v>65000</v>
      </c>
      <c r="CT32" s="13">
        <f>CM32/CI32*100</f>
        <v>285.71428571428572</v>
      </c>
      <c r="CU32" s="13">
        <v>70000</v>
      </c>
      <c r="CV32" s="30">
        <f>CU32</f>
        <v>70000</v>
      </c>
      <c r="CW32" s="30">
        <f>79894-CW31</f>
        <v>79894</v>
      </c>
      <c r="CX32" s="30">
        <f>CW32</f>
        <v>79894</v>
      </c>
      <c r="CY32" s="30">
        <f>90000-CY31</f>
        <v>90000</v>
      </c>
      <c r="CZ32" s="30">
        <f>CY32</f>
        <v>90000</v>
      </c>
      <c r="DA32" s="2801">
        <f>90000-DA31+(10000)</f>
        <v>100000</v>
      </c>
      <c r="DB32" s="30">
        <f>DA32*DB3</f>
        <v>90000</v>
      </c>
      <c r="DC32" s="2791">
        <f>DA32-CY32</f>
        <v>10000</v>
      </c>
      <c r="DD32" s="13">
        <f t="shared" si="608"/>
        <v>111.11111111111111</v>
      </c>
      <c r="DE32" s="2760">
        <f>CY32-CU32</f>
        <v>20000</v>
      </c>
      <c r="DF32" s="13">
        <f>CY32/CU32*100</f>
        <v>128.57142857142858</v>
      </c>
      <c r="DG32" s="13">
        <v>30000</v>
      </c>
      <c r="DH32" s="13">
        <f>DG32</f>
        <v>30000</v>
      </c>
      <c r="DI32" s="13">
        <f>38628-DI31</f>
        <v>38628</v>
      </c>
      <c r="DJ32" s="13">
        <f>DI32</f>
        <v>38628</v>
      </c>
      <c r="DK32" s="13">
        <f>48000-DK31</f>
        <v>48000</v>
      </c>
      <c r="DL32" s="13">
        <f>DK32</f>
        <v>48000</v>
      </c>
      <c r="DM32" s="2801">
        <f>45000-DM31+5000+(10000)</f>
        <v>60000</v>
      </c>
      <c r="DN32" s="30">
        <f>DM32*DN3</f>
        <v>54000</v>
      </c>
      <c r="DO32" s="2760">
        <f>DM32-DK32</f>
        <v>12000</v>
      </c>
      <c r="DP32" s="13">
        <f t="shared" si="609"/>
        <v>125</v>
      </c>
      <c r="DQ32" s="2760">
        <f>DK32-DG32</f>
        <v>18000</v>
      </c>
      <c r="DR32" s="13">
        <f>DK32/DG32*100</f>
        <v>160</v>
      </c>
      <c r="DS32" s="13">
        <v>30000</v>
      </c>
      <c r="DT32" s="13">
        <f>DS32</f>
        <v>30000</v>
      </c>
      <c r="DU32" s="13">
        <f>30620-DU31</f>
        <v>30620</v>
      </c>
      <c r="DV32" s="13">
        <f>DU32</f>
        <v>30620</v>
      </c>
      <c r="DW32" s="30">
        <f>90000-DW31</f>
        <v>90000</v>
      </c>
      <c r="DX32" s="30">
        <f>DW32</f>
        <v>90000</v>
      </c>
      <c r="DY32" s="2801">
        <f>60000-DY31-5000+(15000)</f>
        <v>70000</v>
      </c>
      <c r="DZ32" s="30">
        <f>DY32*DZ3</f>
        <v>63000</v>
      </c>
      <c r="EA32" s="2760">
        <f>DY32-DW32</f>
        <v>-20000</v>
      </c>
      <c r="EB32" s="13">
        <f t="shared" si="610"/>
        <v>77.777777777777786</v>
      </c>
      <c r="EC32" s="2760">
        <f>DW32-DS32</f>
        <v>60000</v>
      </c>
      <c r="ED32" s="13">
        <f>DW32/DS32*100</f>
        <v>300</v>
      </c>
      <c r="EE32" s="13">
        <v>166000</v>
      </c>
      <c r="EF32" s="13">
        <f>EE32</f>
        <v>166000</v>
      </c>
      <c r="EG32" s="53">
        <f>57672-EG31</f>
        <v>57546</v>
      </c>
      <c r="EH32" s="53">
        <f>EG32</f>
        <v>57546</v>
      </c>
      <c r="EI32" s="13">
        <f>100500-EI31</f>
        <v>100500</v>
      </c>
      <c r="EJ32" s="13">
        <f>EI32</f>
        <v>100500</v>
      </c>
      <c r="EK32" s="59">
        <f>165000-EK31-5000+(350000)</f>
        <v>160000</v>
      </c>
      <c r="EL32" s="30">
        <f>EK32*EL3</f>
        <v>144000</v>
      </c>
      <c r="EM32" s="2760">
        <f>EK32-EI32</f>
        <v>59500</v>
      </c>
      <c r="EN32" s="13">
        <f t="shared" si="611"/>
        <v>159.2039800995025</v>
      </c>
      <c r="EO32" s="2760">
        <f>EI32-EE32</f>
        <v>-65500</v>
      </c>
      <c r="EP32" s="13">
        <f>EI32/EE32*100</f>
        <v>60.542168674698793</v>
      </c>
      <c r="EQ32" s="13">
        <v>50000</v>
      </c>
      <c r="ER32" s="13">
        <f>EQ32</f>
        <v>50000</v>
      </c>
      <c r="ES32" s="13">
        <f>22152-ES31</f>
        <v>22152</v>
      </c>
      <c r="ET32" s="13">
        <f>ES32</f>
        <v>22152</v>
      </c>
      <c r="EU32" s="13">
        <v>50000</v>
      </c>
      <c r="EV32" s="13">
        <f>EU32</f>
        <v>50000</v>
      </c>
      <c r="EW32" s="2801">
        <f>70000-20000+20000+(30000)</f>
        <v>100000</v>
      </c>
      <c r="EX32" s="13">
        <f>EW32*EX3</f>
        <v>90000</v>
      </c>
      <c r="EY32" s="2760">
        <f>EW32-EU32</f>
        <v>50000</v>
      </c>
      <c r="EZ32" s="13">
        <f t="shared" si="612"/>
        <v>200</v>
      </c>
      <c r="FA32" s="2760">
        <f>EU32-EQ32</f>
        <v>0</v>
      </c>
      <c r="FB32" s="13">
        <f>EU32/EQ32*100</f>
        <v>100</v>
      </c>
      <c r="FC32" s="2741"/>
      <c r="FD32" s="2741"/>
      <c r="FE32" s="2495"/>
      <c r="FF32" s="2495"/>
    </row>
    <row r="33" spans="1:162" s="2759" customFormat="1" ht="25.2" customHeight="1">
      <c r="A33" s="2735">
        <v>9</v>
      </c>
      <c r="B33" s="2736" t="s">
        <v>127</v>
      </c>
      <c r="C33" s="2737">
        <f t="shared" si="79"/>
        <v>215500</v>
      </c>
      <c r="D33" s="2737">
        <f t="shared" si="79"/>
        <v>129500</v>
      </c>
      <c r="E33" s="2737">
        <f t="shared" si="79"/>
        <v>217626</v>
      </c>
      <c r="F33" s="2737">
        <f t="shared" si="79"/>
        <v>118722</v>
      </c>
      <c r="G33" s="2737">
        <f t="shared" si="79"/>
        <v>280421</v>
      </c>
      <c r="H33" s="2737">
        <f t="shared" si="80"/>
        <v>132149.66666666669</v>
      </c>
      <c r="I33" s="2737">
        <f>SUM(U33,AG33,AS33,BE33,BQ33,CC33,CO33,DA33,DM33,DY33,EK33,EW33)</f>
        <v>262000</v>
      </c>
      <c r="J33" s="2737">
        <f t="shared" si="80"/>
        <v>145500</v>
      </c>
      <c r="K33" s="2737">
        <f>+I33-G33</f>
        <v>-18421</v>
      </c>
      <c r="L33" s="2737">
        <f>+I33/G33*100</f>
        <v>93.430948466769607</v>
      </c>
      <c r="M33" s="2737">
        <f>+G33-C33</f>
        <v>64921</v>
      </c>
      <c r="N33" s="2737">
        <f>+G33/C33*100</f>
        <v>130.12575406032482</v>
      </c>
      <c r="O33" s="2737">
        <f>SUM(O34:O36)</f>
        <v>16500</v>
      </c>
      <c r="P33" s="2737">
        <f t="shared" ref="P33" si="613">SUM(P34:P36)</f>
        <v>15000</v>
      </c>
      <c r="Q33" s="2737">
        <f t="shared" ref="Q33" si="614">SUM(Q34:Q36)</f>
        <v>31412</v>
      </c>
      <c r="R33" s="2737">
        <f t="shared" ref="R33" si="615">SUM(R34:R36)</f>
        <v>25643</v>
      </c>
      <c r="S33" s="2737">
        <f t="shared" ref="S33" si="616">SUM(S34:S36)</f>
        <v>32500</v>
      </c>
      <c r="T33" s="2737">
        <f t="shared" ref="T33" si="617">SUM(T34:T36)</f>
        <v>23846.5</v>
      </c>
      <c r="U33" s="2737">
        <f t="shared" ref="U33" si="618">SUM(U34:U36)</f>
        <v>14000</v>
      </c>
      <c r="V33" s="2737">
        <f t="shared" ref="V33" si="619">SUM(V34:V36)</f>
        <v>13000</v>
      </c>
      <c r="W33" s="2737">
        <f>SUM(W34:W35)</f>
        <v>-7653.5</v>
      </c>
      <c r="X33" s="2737">
        <f>U33/S33*100</f>
        <v>43.07692307692308</v>
      </c>
      <c r="Y33" s="2737">
        <f>SUM(Y34:Y35)</f>
        <v>7153.5</v>
      </c>
      <c r="Z33" s="13">
        <f>S33/O33*100</f>
        <v>196.96969696969697</v>
      </c>
      <c r="AA33" s="2737">
        <f>SUM(AA34:AA36)</f>
        <v>11000</v>
      </c>
      <c r="AB33" s="2737">
        <f t="shared" ref="AB33" si="620">SUM(AB34:AB36)</f>
        <v>3000</v>
      </c>
      <c r="AC33" s="2737">
        <f t="shared" ref="AC33" si="621">SUM(AC34:AC36)</f>
        <v>7324</v>
      </c>
      <c r="AD33" s="2737">
        <f t="shared" ref="AD33" si="622">SUM(AD34:AD36)</f>
        <v>954</v>
      </c>
      <c r="AE33" s="2790">
        <f t="shared" ref="AE33" si="623">SUM(AE34:AE36)</f>
        <v>13000</v>
      </c>
      <c r="AF33" s="2790">
        <f t="shared" ref="AF33" si="624">SUM(AF34:AF36)</f>
        <v>3445</v>
      </c>
      <c r="AG33" s="2737">
        <f t="shared" ref="AG33" si="625">SUM(AG34:AG36)</f>
        <v>17000</v>
      </c>
      <c r="AH33" s="2737">
        <f t="shared" ref="AH33" si="626">SUM(AH34:AH36)</f>
        <v>7000</v>
      </c>
      <c r="AI33" s="2737">
        <f>SUM(AI34:AI35)</f>
        <v>445</v>
      </c>
      <c r="AJ33" s="2737">
        <f>AG33/AE33*100</f>
        <v>130.76923076923077</v>
      </c>
      <c r="AK33" s="2737">
        <f>SUM(AK34:AK35)</f>
        <v>1555</v>
      </c>
      <c r="AL33" s="13">
        <f>AE33/AA33*100</f>
        <v>118.18181818181819</v>
      </c>
      <c r="AM33" s="2737">
        <f>SUM(AM34:AM36)</f>
        <v>7000</v>
      </c>
      <c r="AN33" s="2737">
        <f t="shared" ref="AN33" si="627">SUM(AN34:AN36)</f>
        <v>7000</v>
      </c>
      <c r="AO33" s="2737">
        <f t="shared" ref="AO33" si="628">SUM(AO34:AO36)</f>
        <v>15964</v>
      </c>
      <c r="AP33" s="2737">
        <f t="shared" ref="AP33" si="629">SUM(AP34:AP36)</f>
        <v>5765</v>
      </c>
      <c r="AQ33" s="2737">
        <f t="shared" ref="AQ33" si="630">SUM(AQ34:AQ36)</f>
        <v>17500</v>
      </c>
      <c r="AR33" s="2737">
        <f t="shared" ref="AR33" si="631">SUM(AR34:AR36)</f>
        <v>2201.5</v>
      </c>
      <c r="AS33" s="2737">
        <f t="shared" ref="AS33" si="632">SUM(AS34:AS36)</f>
        <v>7000</v>
      </c>
      <c r="AT33" s="2737">
        <f t="shared" ref="AT33" si="633">SUM(AT34:AT36)</f>
        <v>7000</v>
      </c>
      <c r="AU33" s="2737">
        <f>SUM(AU34:AU35)</f>
        <v>-15298.5</v>
      </c>
      <c r="AV33" s="2737">
        <f>AS33/AQ33*100</f>
        <v>40</v>
      </c>
      <c r="AW33" s="2737">
        <f>SUM(AW34:AW35)</f>
        <v>15298.5</v>
      </c>
      <c r="AX33" s="13">
        <f>AQ33/AM33*100</f>
        <v>250</v>
      </c>
      <c r="AY33" s="2737">
        <f>SUM(AY34:AY36)</f>
        <v>12000</v>
      </c>
      <c r="AZ33" s="2737">
        <f t="shared" ref="AZ33" si="634">SUM(AZ34:AZ36)</f>
        <v>8000</v>
      </c>
      <c r="BA33" s="2737">
        <f t="shared" ref="BA33" si="635">SUM(BA34:BA36)</f>
        <v>6256</v>
      </c>
      <c r="BB33" s="2737">
        <f t="shared" ref="BB33" si="636">SUM(BB34:BB36)</f>
        <v>3280</v>
      </c>
      <c r="BC33" s="2737">
        <f t="shared" ref="BC33" si="637">SUM(BC34:BC36)</f>
        <v>13400</v>
      </c>
      <c r="BD33" s="2737">
        <f t="shared" ref="BD33" si="638">SUM(BD34:BD36)</f>
        <v>8936</v>
      </c>
      <c r="BE33" s="2737">
        <f t="shared" ref="BE33" si="639">SUM(BE34:BE36)</f>
        <v>14000</v>
      </c>
      <c r="BF33" s="2737">
        <f t="shared" ref="BF33" si="640">SUM(BF34:BF36)</f>
        <v>8500</v>
      </c>
      <c r="BG33" s="2737">
        <f>SUM(BG34:BG35)</f>
        <v>1036</v>
      </c>
      <c r="BH33" s="2737">
        <f>BE33/BC33*100</f>
        <v>104.4776119402985</v>
      </c>
      <c r="BI33" s="2737">
        <f>SUM(BI34:BI35)</f>
        <v>464</v>
      </c>
      <c r="BJ33" s="13">
        <f>BC33/AY33*100</f>
        <v>111.66666666666667</v>
      </c>
      <c r="BK33" s="2737">
        <f>SUM(BK34:BK36)</f>
        <v>20000</v>
      </c>
      <c r="BL33" s="2737">
        <f t="shared" ref="BL33" si="641">SUM(BL34:BL36)</f>
        <v>16000</v>
      </c>
      <c r="BM33" s="2737">
        <f t="shared" ref="BM33" si="642">SUM(BM34:BM36)</f>
        <v>26466</v>
      </c>
      <c r="BN33" s="2737">
        <f t="shared" ref="BN33" si="643">SUM(BN34:BN36)</f>
        <v>23336</v>
      </c>
      <c r="BO33" s="2737">
        <f t="shared" ref="BO33" si="644">SUM(BO34:BO36)</f>
        <v>30000</v>
      </c>
      <c r="BP33" s="2737">
        <f t="shared" ref="BP33" si="645">SUM(BP34:BP36)</f>
        <v>25389.666666666668</v>
      </c>
      <c r="BQ33" s="2737">
        <f t="shared" ref="BQ33" si="646">SUM(BQ34:BQ36)</f>
        <v>25000</v>
      </c>
      <c r="BR33" s="2737">
        <f t="shared" ref="BR33" si="647">SUM(BR34:BR36)</f>
        <v>18500</v>
      </c>
      <c r="BS33" s="2737">
        <f>SUM(BS34:BS35)</f>
        <v>1889.666666666667</v>
      </c>
      <c r="BT33" s="2737">
        <f>BQ33/BO33*100</f>
        <v>83.333333333333343</v>
      </c>
      <c r="BU33" s="2737">
        <f>SUM(BU34:BU35)</f>
        <v>610.33333333333326</v>
      </c>
      <c r="BV33" s="13">
        <f>BO33/BK33*100</f>
        <v>150</v>
      </c>
      <c r="BW33" s="2737">
        <f>SUM(BW34:BW36)</f>
        <v>58000</v>
      </c>
      <c r="BX33" s="2790">
        <f t="shared" ref="BX33" si="648">SUM(BX34:BX36)</f>
        <v>18000</v>
      </c>
      <c r="BY33" s="2790">
        <f t="shared" ref="BY33" si="649">SUM(BY34:BY36)</f>
        <v>61282</v>
      </c>
      <c r="BZ33" s="2790">
        <f t="shared" ref="BZ33" si="650">SUM(BZ34:BZ36)</f>
        <v>22562</v>
      </c>
      <c r="CA33" s="2790">
        <f t="shared" ref="CA33" si="651">SUM(CA34:CA36)</f>
        <v>80000</v>
      </c>
      <c r="CB33" s="2790">
        <f t="shared" ref="CB33" si="652">SUM(CB34:CB36)</f>
        <v>21920</v>
      </c>
      <c r="CC33" s="2790">
        <f t="shared" ref="CC33" si="653">SUM(CC34:CC36)</f>
        <v>80000</v>
      </c>
      <c r="CD33" s="2790">
        <f t="shared" ref="CD33" si="654">SUM(CD34:CD36)</f>
        <v>21500</v>
      </c>
      <c r="CE33" s="2737">
        <f>SUM(CE34:CE35)</f>
        <v>420</v>
      </c>
      <c r="CF33" s="2737">
        <f>CC33/CA33*100</f>
        <v>100</v>
      </c>
      <c r="CG33" s="2809">
        <f>SUM(CG34:CG35)</f>
        <v>18080</v>
      </c>
      <c r="CH33" s="13">
        <f>CA33/BW33*100</f>
        <v>137.93103448275863</v>
      </c>
      <c r="CI33" s="2737">
        <f>SUM(CI34:CI36)</f>
        <v>19000</v>
      </c>
      <c r="CJ33" s="2737">
        <f t="shared" ref="CJ33" si="655">SUM(CJ34:CJ36)</f>
        <v>12000</v>
      </c>
      <c r="CK33" s="2790">
        <f t="shared" ref="CK33" si="656">SUM(CK34:CK36)</f>
        <v>16304</v>
      </c>
      <c r="CL33" s="2790">
        <f t="shared" ref="CL33" si="657">SUM(CL34:CL36)</f>
        <v>8542</v>
      </c>
      <c r="CM33" s="2790">
        <f t="shared" ref="CM33" si="658">SUM(CM34:CM36)</f>
        <v>23000</v>
      </c>
      <c r="CN33" s="2790">
        <f t="shared" ref="CN33" si="659">SUM(CN34:CN36)</f>
        <v>11357</v>
      </c>
      <c r="CO33" s="2790">
        <f t="shared" ref="CO33" si="660">SUM(CO34:CO36)</f>
        <v>26000</v>
      </c>
      <c r="CP33" s="2790">
        <f t="shared" ref="CP33" si="661">SUM(CP34:CP36)</f>
        <v>16000</v>
      </c>
      <c r="CQ33" s="2790">
        <f>SUM(CQ34:CQ35)</f>
        <v>-1643</v>
      </c>
      <c r="CR33" s="2737">
        <f>CO33/CM33*100</f>
        <v>113.04347826086956</v>
      </c>
      <c r="CS33" s="2737">
        <f>SUM(CS34:CS35)</f>
        <v>4643</v>
      </c>
      <c r="CT33" s="13">
        <f>CM33/CI33*100</f>
        <v>121.05263157894737</v>
      </c>
      <c r="CU33" s="2737">
        <f>SUM(CU34:CU36)</f>
        <v>11000</v>
      </c>
      <c r="CV33" s="2790">
        <f t="shared" ref="CV33" si="662">SUM(CV34:CV36)</f>
        <v>7500</v>
      </c>
      <c r="CW33" s="2790">
        <f t="shared" ref="CW33" si="663">SUM(CW34:CW36)</f>
        <v>9858</v>
      </c>
      <c r="CX33" s="2790">
        <f t="shared" ref="CX33" si="664">SUM(CX34:CX36)</f>
        <v>5102</v>
      </c>
      <c r="CY33" s="2790">
        <f t="shared" ref="CY33" si="665">SUM(CY34:CY36)</f>
        <v>11000</v>
      </c>
      <c r="CZ33" s="2790">
        <f t="shared" ref="CZ33" si="666">SUM(CZ34:CZ36)</f>
        <v>3866</v>
      </c>
      <c r="DA33" s="2790">
        <f t="shared" ref="DA33" si="667">SUM(DA34:DA36)</f>
        <v>12000</v>
      </c>
      <c r="DB33" s="2790">
        <f t="shared" ref="DB33" si="668">SUM(DB34:DB36)</f>
        <v>8000</v>
      </c>
      <c r="DC33" s="2790">
        <f>SUM(DC34:DC35)</f>
        <v>-3134</v>
      </c>
      <c r="DD33" s="2737">
        <f>DA33/CY33*100</f>
        <v>109.09090909090908</v>
      </c>
      <c r="DE33" s="2737">
        <f>SUM(DE34:DE35)</f>
        <v>3634</v>
      </c>
      <c r="DF33" s="13">
        <f>CY33/CU33*100</f>
        <v>100</v>
      </c>
      <c r="DG33" s="2737">
        <f>SUM(DG34:DG36)</f>
        <v>16000</v>
      </c>
      <c r="DH33" s="2737">
        <f t="shared" ref="DH33" si="669">SUM(DH34:DH36)</f>
        <v>13000</v>
      </c>
      <c r="DI33" s="2737">
        <f t="shared" ref="DI33" si="670">SUM(DI34:DI36)</f>
        <v>12517</v>
      </c>
      <c r="DJ33" s="2737">
        <f t="shared" ref="DJ33" si="671">SUM(DJ34:DJ36)</f>
        <v>7399</v>
      </c>
      <c r="DK33" s="2737">
        <f t="shared" ref="DK33" si="672">SUM(DK34:DK36)</f>
        <v>16000</v>
      </c>
      <c r="DL33" s="2737">
        <f t="shared" ref="DL33" si="673">SUM(DL34:DL36)</f>
        <v>8323</v>
      </c>
      <c r="DM33" s="2790">
        <f t="shared" ref="DM33" si="674">SUM(DM34:DM36)</f>
        <v>18000</v>
      </c>
      <c r="DN33" s="2790">
        <f t="shared" ref="DN33" si="675">SUM(DN34:DN36)</f>
        <v>14000</v>
      </c>
      <c r="DO33" s="2737">
        <f>SUM(DO34:DO35)</f>
        <v>-3677</v>
      </c>
      <c r="DP33" s="2737">
        <f>DM33/DK33*100</f>
        <v>112.5</v>
      </c>
      <c r="DQ33" s="2737">
        <f>SUM(DQ34:DQ35)</f>
        <v>4677</v>
      </c>
      <c r="DR33" s="13">
        <f>DK33/DG33*100</f>
        <v>100</v>
      </c>
      <c r="DS33" s="2737">
        <f>SUM(DS34:DS36)</f>
        <v>16000</v>
      </c>
      <c r="DT33" s="2737">
        <f t="shared" ref="DT33" si="676">SUM(DT34:DT36)</f>
        <v>9000</v>
      </c>
      <c r="DU33" s="2737">
        <f t="shared" ref="DU33" si="677">SUM(DU34:DU36)</f>
        <v>10750</v>
      </c>
      <c r="DV33" s="2737">
        <f t="shared" ref="DV33" si="678">SUM(DV34:DV36)</f>
        <v>6165</v>
      </c>
      <c r="DW33" s="2790">
        <f t="shared" ref="DW33" si="679">SUM(DW34:DW36)</f>
        <v>16000</v>
      </c>
      <c r="DX33" s="2790">
        <f t="shared" ref="DX33" si="680">SUM(DX34:DX36)</f>
        <v>9122.5</v>
      </c>
      <c r="DY33" s="2790">
        <f t="shared" ref="DY33" si="681">SUM(DY34:DY36)</f>
        <v>18000</v>
      </c>
      <c r="DZ33" s="2790">
        <f t="shared" ref="DZ33" si="682">SUM(DZ34:DZ36)</f>
        <v>10000</v>
      </c>
      <c r="EA33" s="2737">
        <f>SUM(EA34:EA35)</f>
        <v>1122.5</v>
      </c>
      <c r="EB33" s="2737">
        <f>DY33/DW33*100</f>
        <v>112.5</v>
      </c>
      <c r="EC33" s="2737">
        <f>SUM(EC34:EC35)</f>
        <v>-122.5</v>
      </c>
      <c r="ED33" s="13">
        <f>DW33/DS33*100</f>
        <v>100</v>
      </c>
      <c r="EE33" s="2737">
        <f>SUM(EE34:EE36)</f>
        <v>16000</v>
      </c>
      <c r="EF33" s="2737">
        <f t="shared" ref="EF33" si="683">SUM(EF34:EF36)</f>
        <v>10500</v>
      </c>
      <c r="EG33" s="2738">
        <f t="shared" ref="EG33" si="684">SUM(EG34:EG36)</f>
        <v>10496</v>
      </c>
      <c r="EH33" s="2738">
        <f t="shared" ref="EH33" si="685">SUM(EH34:EH36)</f>
        <v>4403</v>
      </c>
      <c r="EI33" s="2737">
        <f t="shared" ref="EI33" si="686">SUM(EI34:EI36)</f>
        <v>16000</v>
      </c>
      <c r="EJ33" s="2737">
        <f t="shared" ref="EJ33" si="687">SUM(EJ34:EJ36)</f>
        <v>6860.5</v>
      </c>
      <c r="EK33" s="2790">
        <f t="shared" ref="EK33" si="688">SUM(EK34:EK36)</f>
        <v>18000</v>
      </c>
      <c r="EL33" s="2790">
        <f t="shared" ref="EL33" si="689">SUM(EL34:EL36)</f>
        <v>11500</v>
      </c>
      <c r="EM33" s="2737">
        <f>SUM(EM34:EM35)</f>
        <v>-2639.5</v>
      </c>
      <c r="EN33" s="2737">
        <f>EK33/EI33*100</f>
        <v>112.5</v>
      </c>
      <c r="EO33" s="2737">
        <f>SUM(EO34:EO35)</f>
        <v>3639.5</v>
      </c>
      <c r="EP33" s="13">
        <f>EI33/EE33*100</f>
        <v>100</v>
      </c>
      <c r="EQ33" s="2737">
        <f>SUM(EQ34:EQ36)</f>
        <v>13000</v>
      </c>
      <c r="ER33" s="2737">
        <f t="shared" ref="ER33" si="690">SUM(ER34:ER36)</f>
        <v>10500</v>
      </c>
      <c r="ES33" s="2737">
        <f t="shared" ref="ES33" si="691">SUM(ES34:ES36)</f>
        <v>8997</v>
      </c>
      <c r="ET33" s="2737">
        <f t="shared" ref="ET33" si="692">SUM(ET34:ET36)</f>
        <v>5571</v>
      </c>
      <c r="EU33" s="2737">
        <f t="shared" ref="EU33" si="693">SUM(EU34:EU36)</f>
        <v>12021</v>
      </c>
      <c r="EV33" s="2737">
        <f t="shared" ref="EV33" si="694">SUM(EV34:EV36)</f>
        <v>6882</v>
      </c>
      <c r="EW33" s="2737">
        <f t="shared" ref="EW33" si="695">SUM(EW34:EW36)</f>
        <v>13000</v>
      </c>
      <c r="EX33" s="2737">
        <f t="shared" ref="EX33" si="696">SUM(EX34:EX36)</f>
        <v>10500</v>
      </c>
      <c r="EY33" s="2737">
        <f>SUM(EY34:EY35)</f>
        <v>-2639</v>
      </c>
      <c r="EZ33" s="2737">
        <f>EW33/EU33*100</f>
        <v>108.14408119124866</v>
      </c>
      <c r="FA33" s="2737">
        <f>SUM(FA34:FA35)</f>
        <v>2639</v>
      </c>
      <c r="FB33" s="13">
        <f>EU33/EQ33*100</f>
        <v>92.469230769230776</v>
      </c>
      <c r="FC33" s="2739">
        <f>E33/C33</f>
        <v>1.0098654292343388</v>
      </c>
      <c r="FD33" s="2739">
        <f>F33/D33</f>
        <v>0.91677220077220078</v>
      </c>
      <c r="FE33" s="2740">
        <f>E33-C33</f>
        <v>2126</v>
      </c>
      <c r="FF33" s="2740">
        <f>F33-D33</f>
        <v>-10778</v>
      </c>
    </row>
    <row r="34" spans="1:162" s="154" customFormat="1" ht="25.2" customHeight="1">
      <c r="A34" s="2761" t="s">
        <v>137</v>
      </c>
      <c r="B34" s="2742" t="s">
        <v>280</v>
      </c>
      <c r="C34" s="13">
        <f t="shared" si="79"/>
        <v>63500</v>
      </c>
      <c r="D34" s="13">
        <f t="shared" si="79"/>
        <v>0</v>
      </c>
      <c r="E34" s="13">
        <f t="shared" si="79"/>
        <v>79196</v>
      </c>
      <c r="F34" s="13">
        <f t="shared" si="79"/>
        <v>0</v>
      </c>
      <c r="G34" s="13">
        <f t="shared" si="79"/>
        <v>118794</v>
      </c>
      <c r="H34" s="13">
        <f t="shared" si="79"/>
        <v>0</v>
      </c>
      <c r="I34" s="13">
        <f t="shared" si="79"/>
        <v>84000</v>
      </c>
      <c r="J34" s="13">
        <f t="shared" si="79"/>
        <v>0</v>
      </c>
      <c r="K34" s="1416">
        <f>I34-G34</f>
        <v>-34794</v>
      </c>
      <c r="L34" s="13">
        <f>+I34/G34*100</f>
        <v>70.710641951613724</v>
      </c>
      <c r="M34" s="13">
        <f t="shared" ref="M34:M36" si="697">+G34-C34</f>
        <v>55294</v>
      </c>
      <c r="N34" s="13">
        <f t="shared" ref="N34:N36" si="698">+G34/C34*100</f>
        <v>187.0771653543307</v>
      </c>
      <c r="O34" s="13">
        <v>1000</v>
      </c>
      <c r="P34" s="13">
        <v>0</v>
      </c>
      <c r="Q34" s="13">
        <f>5361</f>
        <v>5361</v>
      </c>
      <c r="R34" s="13">
        <v>0</v>
      </c>
      <c r="S34" s="13">
        <f>Q34/8*12</f>
        <v>8041.5</v>
      </c>
      <c r="T34" s="13">
        <v>0</v>
      </c>
      <c r="U34" s="2807">
        <f>1000</f>
        <v>1000</v>
      </c>
      <c r="V34" s="13">
        <v>0</v>
      </c>
      <c r="W34" s="2760">
        <f>U34-S34</f>
        <v>-7041.5</v>
      </c>
      <c r="X34" s="13">
        <f t="shared" ref="X34:X36" si="699">U34/S34*100</f>
        <v>12.435490891002923</v>
      </c>
      <c r="Y34" s="2760">
        <f>S34-O34</f>
        <v>7041.5</v>
      </c>
      <c r="Z34" s="13">
        <f t="shared" ref="Z34:Z36" si="700">S34/O34*100</f>
        <v>804.14999999999986</v>
      </c>
      <c r="AA34" s="13">
        <v>5000</v>
      </c>
      <c r="AB34" s="13">
        <v>0</v>
      </c>
      <c r="AC34" s="13">
        <v>5221</v>
      </c>
      <c r="AD34" s="13">
        <v>0</v>
      </c>
      <c r="AE34" s="30">
        <f>AC34/8*12</f>
        <v>7831.5</v>
      </c>
      <c r="AF34" s="30">
        <v>0</v>
      </c>
      <c r="AG34" s="30">
        <f>5000+500+500</f>
        <v>6000</v>
      </c>
      <c r="AH34" s="30">
        <v>0</v>
      </c>
      <c r="AI34" s="2760">
        <f>AG34-AE34</f>
        <v>-1831.5</v>
      </c>
      <c r="AJ34" s="13">
        <f t="shared" ref="AJ34:AJ36" si="701">AG34/AE34*100</f>
        <v>76.613675541084078</v>
      </c>
      <c r="AK34" s="2760">
        <f>AE34-AA34</f>
        <v>2831.5</v>
      </c>
      <c r="AL34" s="13">
        <f t="shared" ref="AL34:AL36" si="702">AE34/AA34*100</f>
        <v>156.63</v>
      </c>
      <c r="AM34" s="13">
        <v>0</v>
      </c>
      <c r="AN34" s="30">
        <v>0</v>
      </c>
      <c r="AO34" s="30">
        <f>8820</f>
        <v>8820</v>
      </c>
      <c r="AP34" s="30">
        <v>0</v>
      </c>
      <c r="AQ34" s="30">
        <f>AO34/8*12</f>
        <v>13230</v>
      </c>
      <c r="AR34" s="30">
        <v>0</v>
      </c>
      <c r="AS34" s="30">
        <v>0</v>
      </c>
      <c r="AT34" s="30">
        <v>0</v>
      </c>
      <c r="AU34" s="2760">
        <f>AS34-AQ34</f>
        <v>-13230</v>
      </c>
      <c r="AV34" s="13">
        <f t="shared" ref="AV34:AV36" si="703">AS34/AQ34*100</f>
        <v>0</v>
      </c>
      <c r="AW34" s="2760">
        <f>AQ34-AM34</f>
        <v>13230</v>
      </c>
      <c r="AX34" s="13" t="e">
        <f t="shared" ref="AX34:AX36" si="704">AQ34/AM34*100</f>
        <v>#DIV/0!</v>
      </c>
      <c r="AY34" s="13">
        <f>1500</f>
        <v>1500</v>
      </c>
      <c r="AZ34" s="13">
        <v>0</v>
      </c>
      <c r="BA34" s="13">
        <f>2217</f>
        <v>2217</v>
      </c>
      <c r="BB34" s="13">
        <v>0</v>
      </c>
      <c r="BC34" s="13">
        <f>BA34/8*12</f>
        <v>3325.5</v>
      </c>
      <c r="BD34" s="30">
        <v>0</v>
      </c>
      <c r="BE34" s="30">
        <f>1500+500+500</f>
        <v>2500</v>
      </c>
      <c r="BF34" s="30">
        <v>0</v>
      </c>
      <c r="BG34" s="2760">
        <f>BE34-BC34</f>
        <v>-825.5</v>
      </c>
      <c r="BH34" s="13">
        <f t="shared" ref="BH34:BH36" si="705">BE34/BC34*100</f>
        <v>75.176665163133364</v>
      </c>
      <c r="BI34" s="2760">
        <f>BC34-AY34</f>
        <v>1825.5</v>
      </c>
      <c r="BJ34" s="13">
        <f t="shared" ref="BJ34:BJ36" si="706">BC34/AY34*100</f>
        <v>221.70000000000002</v>
      </c>
      <c r="BK34" s="13">
        <f>3000</f>
        <v>3000</v>
      </c>
      <c r="BL34" s="13">
        <v>0</v>
      </c>
      <c r="BM34" s="13">
        <v>2622</v>
      </c>
      <c r="BN34" s="13">
        <v>0</v>
      </c>
      <c r="BO34" s="13">
        <f>BM34/8*12</f>
        <v>3933</v>
      </c>
      <c r="BP34" s="30">
        <v>0</v>
      </c>
      <c r="BQ34" s="30">
        <f>3000+1000-500</f>
        <v>3500</v>
      </c>
      <c r="BR34" s="30">
        <v>0</v>
      </c>
      <c r="BS34" s="2760">
        <f>BQ34-BO34</f>
        <v>-433</v>
      </c>
      <c r="BT34" s="13">
        <f t="shared" ref="BT34:BT36" si="707">BQ34/BO34*100</f>
        <v>88.990592423086696</v>
      </c>
      <c r="BU34" s="2760">
        <f>BO34-BK34</f>
        <v>933</v>
      </c>
      <c r="BV34" s="13">
        <f t="shared" ref="BV34:BV36" si="708">BO34/BK34*100</f>
        <v>131.1</v>
      </c>
      <c r="BW34" s="13">
        <v>35000</v>
      </c>
      <c r="BX34" s="30">
        <v>0</v>
      </c>
      <c r="BY34" s="30">
        <f>32022</f>
        <v>32022</v>
      </c>
      <c r="BZ34" s="30">
        <v>0</v>
      </c>
      <c r="CA34" s="30">
        <f>BY34/8*12</f>
        <v>48033</v>
      </c>
      <c r="CB34" s="30">
        <v>0</v>
      </c>
      <c r="CC34" s="30">
        <f>35000+(13000+2000)</f>
        <v>50000</v>
      </c>
      <c r="CD34" s="30">
        <v>0</v>
      </c>
      <c r="CE34" s="2760">
        <f>CC34-CA34</f>
        <v>1967</v>
      </c>
      <c r="CF34" s="13">
        <f t="shared" ref="CF34:CF35" si="709">CC34/CA34*100</f>
        <v>104.09510128453354</v>
      </c>
      <c r="CG34" s="2809">
        <f>CA34-BW34</f>
        <v>13033</v>
      </c>
      <c r="CH34" s="13">
        <f t="shared" ref="CH34:CH35" si="710">CA34/BW34*100</f>
        <v>137.23714285714286</v>
      </c>
      <c r="CI34" s="13">
        <v>4000</v>
      </c>
      <c r="CJ34" s="13">
        <v>0</v>
      </c>
      <c r="CK34" s="30">
        <f>3600</f>
        <v>3600</v>
      </c>
      <c r="CL34" s="30">
        <v>0</v>
      </c>
      <c r="CM34" s="30">
        <f>CK34/8*12</f>
        <v>5400</v>
      </c>
      <c r="CN34" s="30">
        <v>0</v>
      </c>
      <c r="CO34" s="30">
        <f>4000+1000+500</f>
        <v>5500</v>
      </c>
      <c r="CP34" s="30">
        <v>0</v>
      </c>
      <c r="CQ34" s="2791">
        <f>CO34-CM34</f>
        <v>100</v>
      </c>
      <c r="CR34" s="13">
        <f t="shared" ref="CR34:CR36" si="711">CO34/CM34*100</f>
        <v>101.85185185185186</v>
      </c>
      <c r="CS34" s="2760">
        <f>CM34-CI34</f>
        <v>1400</v>
      </c>
      <c r="CT34" s="13">
        <f t="shared" ref="CT34:CT36" si="712">CM34/CI34*100</f>
        <v>135</v>
      </c>
      <c r="CU34" s="13">
        <v>3000</v>
      </c>
      <c r="CV34" s="30">
        <v>0</v>
      </c>
      <c r="CW34" s="30">
        <f>3692</f>
        <v>3692</v>
      </c>
      <c r="CX34" s="30">
        <v>0</v>
      </c>
      <c r="CY34" s="30">
        <f>CW34/8*12</f>
        <v>5538</v>
      </c>
      <c r="CZ34" s="30">
        <v>0</v>
      </c>
      <c r="DA34" s="30">
        <f>3000</f>
        <v>3000</v>
      </c>
      <c r="DB34" s="30">
        <v>0</v>
      </c>
      <c r="DC34" s="2791">
        <f>DA34-CY34</f>
        <v>-2538</v>
      </c>
      <c r="DD34" s="13">
        <f t="shared" ref="DD34:DD36" si="713">DA34/CY34*100</f>
        <v>54.17118093174431</v>
      </c>
      <c r="DE34" s="2760">
        <f>CY34-CU34</f>
        <v>2538</v>
      </c>
      <c r="DF34" s="13">
        <f t="shared" ref="DF34:DF36" si="714">CY34/CU34*100</f>
        <v>184.60000000000002</v>
      </c>
      <c r="DG34" s="13">
        <v>2000</v>
      </c>
      <c r="DH34" s="13">
        <v>0</v>
      </c>
      <c r="DI34" s="53">
        <f>3596</f>
        <v>3596</v>
      </c>
      <c r="DJ34" s="53">
        <v>0</v>
      </c>
      <c r="DK34" s="53">
        <f>DI34/8*12</f>
        <v>5394</v>
      </c>
      <c r="DL34" s="53">
        <v>0</v>
      </c>
      <c r="DM34" s="30">
        <f>2000+500</f>
        <v>2500</v>
      </c>
      <c r="DN34" s="30">
        <v>0</v>
      </c>
      <c r="DO34" s="2760">
        <f>DM34-DK34</f>
        <v>-2894</v>
      </c>
      <c r="DP34" s="13">
        <f t="shared" ref="DP34:DP36" si="715">DM34/DK34*100</f>
        <v>46.34779384501298</v>
      </c>
      <c r="DQ34" s="2760">
        <f>DK34-DG34</f>
        <v>3394</v>
      </c>
      <c r="DR34" s="13">
        <f t="shared" ref="DR34:DR36" si="716">DK34/DG34*100</f>
        <v>269.7</v>
      </c>
      <c r="DS34" s="13">
        <v>3500</v>
      </c>
      <c r="DT34" s="13">
        <v>0</v>
      </c>
      <c r="DU34" s="13">
        <f>3528</f>
        <v>3528</v>
      </c>
      <c r="DV34" s="13">
        <v>0</v>
      </c>
      <c r="DW34" s="30">
        <f>DU34/8*12</f>
        <v>5292</v>
      </c>
      <c r="DX34" s="30">
        <v>0</v>
      </c>
      <c r="DY34" s="30">
        <f>3500+500</f>
        <v>4000</v>
      </c>
      <c r="DZ34" s="30">
        <v>0</v>
      </c>
      <c r="EA34" s="2760">
        <f>DY34-DW34</f>
        <v>-1292</v>
      </c>
      <c r="EB34" s="13">
        <f t="shared" ref="EB34:EB36" si="717">DY34/DW34*100</f>
        <v>75.585789871504161</v>
      </c>
      <c r="EC34" s="2760">
        <f>DW34-DS34</f>
        <v>1792</v>
      </c>
      <c r="ED34" s="13">
        <f t="shared" ref="ED34:ED36" si="718">DW34/DS34*100</f>
        <v>151.19999999999999</v>
      </c>
      <c r="EE34" s="13">
        <v>3500</v>
      </c>
      <c r="EF34" s="13">
        <v>0</v>
      </c>
      <c r="EG34" s="53">
        <f>5605</f>
        <v>5605</v>
      </c>
      <c r="EH34" s="53">
        <v>0</v>
      </c>
      <c r="EI34" s="30">
        <f>EG34/8*12</f>
        <v>8407.5</v>
      </c>
      <c r="EJ34" s="13">
        <v>0</v>
      </c>
      <c r="EK34" s="30">
        <f>3500+500</f>
        <v>4000</v>
      </c>
      <c r="EL34" s="30">
        <v>0</v>
      </c>
      <c r="EM34" s="2760">
        <f>EK34-EI34</f>
        <v>-4407.5</v>
      </c>
      <c r="EN34" s="13">
        <f t="shared" ref="EN34:EN36" si="719">EK34/EI34*100</f>
        <v>47.576568539994049</v>
      </c>
      <c r="EO34" s="2760">
        <f>EI34-EE34</f>
        <v>4907.5</v>
      </c>
      <c r="EP34" s="13">
        <f t="shared" ref="EP34:EP36" si="720">EI34/EE34*100</f>
        <v>240.21428571428572</v>
      </c>
      <c r="EQ34" s="13">
        <v>2000</v>
      </c>
      <c r="ER34" s="13">
        <v>0</v>
      </c>
      <c r="ES34" s="13">
        <f>2912</f>
        <v>2912</v>
      </c>
      <c r="ET34" s="13">
        <v>0</v>
      </c>
      <c r="EU34" s="13">
        <f>ES34/8*12</f>
        <v>4368</v>
      </c>
      <c r="EV34" s="13">
        <v>0</v>
      </c>
      <c r="EW34" s="13">
        <v>2000</v>
      </c>
      <c r="EX34" s="13">
        <v>0</v>
      </c>
      <c r="EY34" s="2760">
        <f>EW34-EU34</f>
        <v>-2368</v>
      </c>
      <c r="EZ34" s="13">
        <f t="shared" ref="EZ34:EZ36" si="721">EW34/EU34*100</f>
        <v>45.787545787545788</v>
      </c>
      <c r="FA34" s="2760">
        <f>EU34-EQ34</f>
        <v>2368</v>
      </c>
      <c r="FB34" s="13">
        <f t="shared" ref="FB34:FB36" si="722">EU34/EQ34*100</f>
        <v>218.4</v>
      </c>
      <c r="FC34" s="2741"/>
      <c r="FD34" s="2741"/>
      <c r="FE34" s="2495"/>
      <c r="FF34" s="2495"/>
    </row>
    <row r="35" spans="1:162" s="154" customFormat="1" ht="25.2" customHeight="1">
      <c r="A35" s="2761" t="s">
        <v>137</v>
      </c>
      <c r="B35" s="2742" t="s">
        <v>281</v>
      </c>
      <c r="C35" s="13">
        <f t="shared" si="79"/>
        <v>22500</v>
      </c>
      <c r="D35" s="13">
        <f t="shared" si="79"/>
        <v>0</v>
      </c>
      <c r="E35" s="13">
        <f t="shared" si="79"/>
        <v>19708</v>
      </c>
      <c r="F35" s="13">
        <f t="shared" si="79"/>
        <v>0</v>
      </c>
      <c r="G35" s="13">
        <f t="shared" si="79"/>
        <v>29477.333333333332</v>
      </c>
      <c r="H35" s="13">
        <f t="shared" si="79"/>
        <v>0</v>
      </c>
      <c r="I35" s="13">
        <f t="shared" si="79"/>
        <v>32500</v>
      </c>
      <c r="J35" s="13">
        <f t="shared" si="79"/>
        <v>0</v>
      </c>
      <c r="K35" s="1416">
        <f t="shared" ref="K35:K36" si="723">I35-G35</f>
        <v>3022.6666666666679</v>
      </c>
      <c r="L35" s="13">
        <f t="shared" ref="L35:L36" si="724">+I35/G35*100</f>
        <v>110.25420662203726</v>
      </c>
      <c r="M35" s="13">
        <f t="shared" si="697"/>
        <v>6977.3333333333321</v>
      </c>
      <c r="N35" s="13">
        <f t="shared" si="698"/>
        <v>131.01037037037037</v>
      </c>
      <c r="O35" s="13">
        <v>500</v>
      </c>
      <c r="P35" s="13">
        <v>0</v>
      </c>
      <c r="Q35" s="13">
        <f>408</f>
        <v>408</v>
      </c>
      <c r="R35" s="13">
        <v>0</v>
      </c>
      <c r="S35" s="13">
        <f>Q35/8*12</f>
        <v>612</v>
      </c>
      <c r="T35" s="13">
        <v>0</v>
      </c>
      <c r="U35" s="2807"/>
      <c r="V35" s="13">
        <v>0</v>
      </c>
      <c r="W35" s="2760">
        <f t="shared" ref="W35" si="725">U35-S35</f>
        <v>-612</v>
      </c>
      <c r="X35" s="13">
        <f t="shared" si="699"/>
        <v>0</v>
      </c>
      <c r="Y35" s="2760">
        <f t="shared" ref="Y35:Y36" si="726">S35-O35</f>
        <v>112</v>
      </c>
      <c r="Z35" s="13">
        <f t="shared" si="700"/>
        <v>122.39999999999999</v>
      </c>
      <c r="AA35" s="13">
        <v>3000</v>
      </c>
      <c r="AB35" s="13">
        <v>0</v>
      </c>
      <c r="AC35" s="13">
        <v>1149</v>
      </c>
      <c r="AD35" s="13">
        <v>0</v>
      </c>
      <c r="AE35" s="30">
        <f>AC35/8*12</f>
        <v>1723.5</v>
      </c>
      <c r="AF35" s="30">
        <v>0</v>
      </c>
      <c r="AG35" s="30">
        <f>3000+500+500</f>
        <v>4000</v>
      </c>
      <c r="AH35" s="30">
        <v>0</v>
      </c>
      <c r="AI35" s="2760">
        <f t="shared" ref="AI35:AI36" si="727">AG35-AE35</f>
        <v>2276.5</v>
      </c>
      <c r="AJ35" s="13">
        <f t="shared" si="701"/>
        <v>232.08587177255583</v>
      </c>
      <c r="AK35" s="2760">
        <f t="shared" ref="AK35:AK36" si="728">AE35-AA35</f>
        <v>-1276.5</v>
      </c>
      <c r="AL35" s="13">
        <f t="shared" si="702"/>
        <v>57.45</v>
      </c>
      <c r="AM35" s="13">
        <v>0</v>
      </c>
      <c r="AN35" s="30">
        <v>0</v>
      </c>
      <c r="AO35" s="30">
        <v>1379</v>
      </c>
      <c r="AP35" s="30">
        <v>0</v>
      </c>
      <c r="AQ35" s="30">
        <f>AO35/8*12</f>
        <v>2068.5</v>
      </c>
      <c r="AR35" s="30">
        <v>0</v>
      </c>
      <c r="AS35" s="30">
        <v>0</v>
      </c>
      <c r="AT35" s="30">
        <v>0</v>
      </c>
      <c r="AU35" s="2760">
        <f t="shared" ref="AU35:AU36" si="729">AS35-AQ35</f>
        <v>-2068.5</v>
      </c>
      <c r="AV35" s="13">
        <f t="shared" si="703"/>
        <v>0</v>
      </c>
      <c r="AW35" s="2760">
        <f t="shared" ref="AW35:AW36" si="730">AQ35-AM35</f>
        <v>2068.5</v>
      </c>
      <c r="AX35" s="13" t="e">
        <f t="shared" si="704"/>
        <v>#DIV/0!</v>
      </c>
      <c r="AY35" s="13">
        <v>2500</v>
      </c>
      <c r="AZ35" s="13">
        <v>0</v>
      </c>
      <c r="BA35" s="13">
        <v>759</v>
      </c>
      <c r="BB35" s="13">
        <v>0</v>
      </c>
      <c r="BC35" s="13">
        <f>BA35/8*12</f>
        <v>1138.5</v>
      </c>
      <c r="BD35" s="30">
        <v>0</v>
      </c>
      <c r="BE35" s="30">
        <f>2500+500</f>
        <v>3000</v>
      </c>
      <c r="BF35" s="30">
        <v>0</v>
      </c>
      <c r="BG35" s="2760">
        <f t="shared" ref="BG35:BG36" si="731">BE35-BC35</f>
        <v>1861.5</v>
      </c>
      <c r="BH35" s="13">
        <f t="shared" si="705"/>
        <v>263.50461133069831</v>
      </c>
      <c r="BI35" s="2760">
        <f t="shared" ref="BI35:BI36" si="732">BC35-AY35</f>
        <v>-1361.5</v>
      </c>
      <c r="BJ35" s="13">
        <f t="shared" si="706"/>
        <v>45.540000000000006</v>
      </c>
      <c r="BK35" s="13">
        <v>1000</v>
      </c>
      <c r="BL35" s="13">
        <v>0</v>
      </c>
      <c r="BM35" s="13">
        <v>508</v>
      </c>
      <c r="BN35" s="13">
        <v>0</v>
      </c>
      <c r="BO35" s="13">
        <f>BM35/9*12</f>
        <v>677.33333333333326</v>
      </c>
      <c r="BP35" s="30">
        <v>0</v>
      </c>
      <c r="BQ35" s="30">
        <f>1000+1000+1000</f>
        <v>3000</v>
      </c>
      <c r="BR35" s="30">
        <v>0</v>
      </c>
      <c r="BS35" s="2760">
        <f t="shared" ref="BS35:BS36" si="733">BQ35-BO35</f>
        <v>2322.666666666667</v>
      </c>
      <c r="BT35" s="13">
        <f t="shared" si="707"/>
        <v>442.91338582677167</v>
      </c>
      <c r="BU35" s="2760">
        <f t="shared" ref="BU35:BU36" si="734">BO35-BK35</f>
        <v>-322.66666666666674</v>
      </c>
      <c r="BV35" s="13">
        <f t="shared" si="708"/>
        <v>67.73333333333332</v>
      </c>
      <c r="BW35" s="13">
        <v>5000</v>
      </c>
      <c r="BX35" s="30">
        <v>0</v>
      </c>
      <c r="BY35" s="30">
        <f>6698</f>
        <v>6698</v>
      </c>
      <c r="BZ35" s="30">
        <v>0</v>
      </c>
      <c r="CA35" s="30">
        <f>BY35/8*12</f>
        <v>10047</v>
      </c>
      <c r="CB35" s="30">
        <v>0</v>
      </c>
      <c r="CC35" s="30">
        <f>5000+2000+1500</f>
        <v>8500</v>
      </c>
      <c r="CD35" s="30">
        <v>0</v>
      </c>
      <c r="CE35" s="2760">
        <f t="shared" ref="CE35:CE36" si="735">CC35-CA35</f>
        <v>-1547</v>
      </c>
      <c r="CF35" s="13">
        <f t="shared" si="709"/>
        <v>84.602368866328263</v>
      </c>
      <c r="CG35" s="2809">
        <f t="shared" ref="CG35" si="736">CA35-BW35</f>
        <v>5047</v>
      </c>
      <c r="CH35" s="13">
        <f t="shared" si="710"/>
        <v>200.94</v>
      </c>
      <c r="CI35" s="13">
        <v>3000</v>
      </c>
      <c r="CJ35" s="13">
        <v>0</v>
      </c>
      <c r="CK35" s="30">
        <f>4162</f>
        <v>4162</v>
      </c>
      <c r="CL35" s="30">
        <v>0</v>
      </c>
      <c r="CM35" s="30">
        <f>CK35/8*12</f>
        <v>6243</v>
      </c>
      <c r="CN35" s="30">
        <v>0</v>
      </c>
      <c r="CO35" s="30">
        <f>3000+1000+500</f>
        <v>4500</v>
      </c>
      <c r="CP35" s="30">
        <v>0</v>
      </c>
      <c r="CQ35" s="2791">
        <f t="shared" ref="CQ35" si="737">CO35-CM35</f>
        <v>-1743</v>
      </c>
      <c r="CR35" s="13">
        <f t="shared" si="711"/>
        <v>72.080730418068242</v>
      </c>
      <c r="CS35" s="2760">
        <f t="shared" ref="CS35:CS36" si="738">CM35-CI35</f>
        <v>3243</v>
      </c>
      <c r="CT35" s="13">
        <f t="shared" si="712"/>
        <v>208.1</v>
      </c>
      <c r="CU35" s="13">
        <v>500</v>
      </c>
      <c r="CV35" s="30">
        <v>0</v>
      </c>
      <c r="CW35" s="30">
        <v>1064</v>
      </c>
      <c r="CX35" s="30">
        <v>0</v>
      </c>
      <c r="CY35" s="30">
        <f>CW35/8*12</f>
        <v>1596</v>
      </c>
      <c r="CZ35" s="30">
        <v>0</v>
      </c>
      <c r="DA35" s="30">
        <f>500+500</f>
        <v>1000</v>
      </c>
      <c r="DB35" s="30">
        <v>0</v>
      </c>
      <c r="DC35" s="2791">
        <f t="shared" ref="DC35:DC36" si="739">DA35-CY35</f>
        <v>-596</v>
      </c>
      <c r="DD35" s="13">
        <f t="shared" si="713"/>
        <v>62.656641604010019</v>
      </c>
      <c r="DE35" s="2760">
        <f t="shared" ref="DE35:DE36" si="740">CY35-CU35</f>
        <v>1096</v>
      </c>
      <c r="DF35" s="13">
        <f t="shared" si="714"/>
        <v>319.20000000000005</v>
      </c>
      <c r="DG35" s="13">
        <v>1000</v>
      </c>
      <c r="DH35" s="13">
        <v>0</v>
      </c>
      <c r="DI35" s="53">
        <v>1522</v>
      </c>
      <c r="DJ35" s="53">
        <v>0</v>
      </c>
      <c r="DK35" s="53">
        <f>DI35/8*12</f>
        <v>2283</v>
      </c>
      <c r="DL35" s="53">
        <v>0</v>
      </c>
      <c r="DM35" s="30">
        <f>1000+500</f>
        <v>1500</v>
      </c>
      <c r="DN35" s="30">
        <v>0</v>
      </c>
      <c r="DO35" s="2760">
        <f t="shared" ref="DO35:DO36" si="741">DM35-DK35</f>
        <v>-783</v>
      </c>
      <c r="DP35" s="13">
        <f t="shared" si="715"/>
        <v>65.703022339027598</v>
      </c>
      <c r="DQ35" s="2760">
        <f t="shared" ref="DQ35:DQ36" si="742">DK35-DG35</f>
        <v>1283</v>
      </c>
      <c r="DR35" s="13">
        <f t="shared" si="716"/>
        <v>228.29999999999998</v>
      </c>
      <c r="DS35" s="13">
        <v>3500</v>
      </c>
      <c r="DT35" s="13">
        <v>0</v>
      </c>
      <c r="DU35" s="13">
        <v>1057</v>
      </c>
      <c r="DV35" s="13">
        <v>0</v>
      </c>
      <c r="DW35" s="30">
        <f>DU35/8*12</f>
        <v>1585.5</v>
      </c>
      <c r="DX35" s="30">
        <v>0</v>
      </c>
      <c r="DY35" s="30">
        <f>3500+500</f>
        <v>4000</v>
      </c>
      <c r="DZ35" s="30">
        <v>0</v>
      </c>
      <c r="EA35" s="2760">
        <f t="shared" ref="EA35:EA36" si="743">DY35-DW35</f>
        <v>2414.5</v>
      </c>
      <c r="EB35" s="13">
        <f t="shared" si="717"/>
        <v>252.28634500157679</v>
      </c>
      <c r="EC35" s="2760">
        <f t="shared" ref="EC35:EC36" si="744">DW35-DS35</f>
        <v>-1914.5</v>
      </c>
      <c r="ED35" s="13">
        <f t="shared" si="718"/>
        <v>45.300000000000004</v>
      </c>
      <c r="EE35" s="13">
        <v>2000</v>
      </c>
      <c r="EF35" s="13">
        <v>0</v>
      </c>
      <c r="EG35" s="53">
        <v>488</v>
      </c>
      <c r="EH35" s="53">
        <v>0</v>
      </c>
      <c r="EI35" s="30">
        <f>EG35/8*12</f>
        <v>732</v>
      </c>
      <c r="EJ35" s="13">
        <v>0</v>
      </c>
      <c r="EK35" s="30">
        <f>2000+500</f>
        <v>2500</v>
      </c>
      <c r="EL35" s="30">
        <v>0</v>
      </c>
      <c r="EM35" s="2760">
        <f t="shared" ref="EM35:EM36" si="745">EK35-EI35</f>
        <v>1768</v>
      </c>
      <c r="EN35" s="13">
        <f t="shared" si="719"/>
        <v>341.53005464480873</v>
      </c>
      <c r="EO35" s="2760">
        <f t="shared" ref="EO35:EO36" si="746">EI35-EE35</f>
        <v>-1268</v>
      </c>
      <c r="EP35" s="13">
        <f t="shared" si="720"/>
        <v>36.6</v>
      </c>
      <c r="EQ35" s="13">
        <v>500</v>
      </c>
      <c r="ER35" s="13">
        <v>0</v>
      </c>
      <c r="ES35" s="13">
        <v>514</v>
      </c>
      <c r="ET35" s="13">
        <v>0</v>
      </c>
      <c r="EU35" s="13">
        <f>ES35/8*12</f>
        <v>771</v>
      </c>
      <c r="EV35" s="13">
        <v>0</v>
      </c>
      <c r="EW35" s="13">
        <v>500</v>
      </c>
      <c r="EX35" s="13">
        <v>0</v>
      </c>
      <c r="EY35" s="2760">
        <f t="shared" ref="EY35:EY36" si="747">EW35-EU35</f>
        <v>-271</v>
      </c>
      <c r="EZ35" s="13">
        <f t="shared" si="721"/>
        <v>64.850843060959789</v>
      </c>
      <c r="FA35" s="2760">
        <f t="shared" ref="FA35:FA36" si="748">EU35-EQ35</f>
        <v>271</v>
      </c>
      <c r="FB35" s="13">
        <f t="shared" si="722"/>
        <v>154.20000000000002</v>
      </c>
      <c r="FC35" s="2741"/>
      <c r="FD35" s="2741"/>
      <c r="FE35" s="2495"/>
      <c r="FF35" s="2495"/>
    </row>
    <row r="36" spans="1:162" s="154" customFormat="1" ht="25.2" customHeight="1">
      <c r="A36" s="2761" t="s">
        <v>137</v>
      </c>
      <c r="B36" s="2742" t="s">
        <v>282</v>
      </c>
      <c r="C36" s="13">
        <f t="shared" si="79"/>
        <v>129500</v>
      </c>
      <c r="D36" s="13">
        <f t="shared" si="79"/>
        <v>129500</v>
      </c>
      <c r="E36" s="13">
        <f t="shared" si="79"/>
        <v>118722</v>
      </c>
      <c r="F36" s="13">
        <f t="shared" si="79"/>
        <v>118722</v>
      </c>
      <c r="G36" s="13">
        <f t="shared" si="79"/>
        <v>132149.66666666669</v>
      </c>
      <c r="H36" s="13">
        <f t="shared" si="79"/>
        <v>132149.66666666669</v>
      </c>
      <c r="I36" s="13">
        <f t="shared" si="79"/>
        <v>145500</v>
      </c>
      <c r="J36" s="13">
        <f t="shared" si="79"/>
        <v>145500</v>
      </c>
      <c r="K36" s="1416">
        <f t="shared" si="723"/>
        <v>13350.333333333314</v>
      </c>
      <c r="L36" s="13">
        <f t="shared" si="724"/>
        <v>110.10243436104012</v>
      </c>
      <c r="M36" s="13">
        <f t="shared" si="697"/>
        <v>2649.6666666666861</v>
      </c>
      <c r="N36" s="13">
        <f t="shared" si="698"/>
        <v>102.04607464607467</v>
      </c>
      <c r="O36" s="13">
        <f>16500-O34-O35</f>
        <v>15000</v>
      </c>
      <c r="P36" s="13">
        <f>O36</f>
        <v>15000</v>
      </c>
      <c r="Q36" s="13">
        <f>31412-Q34-Q35</f>
        <v>25643</v>
      </c>
      <c r="R36" s="13">
        <f>Q36</f>
        <v>25643</v>
      </c>
      <c r="S36" s="13">
        <f>32500-S34-S35</f>
        <v>23846.5</v>
      </c>
      <c r="T36" s="13">
        <f>S36</f>
        <v>23846.5</v>
      </c>
      <c r="U36" s="53">
        <f>14000-U34-U35</f>
        <v>13000</v>
      </c>
      <c r="V36" s="13">
        <f>U36</f>
        <v>13000</v>
      </c>
      <c r="W36" s="2760">
        <f>U36-S36</f>
        <v>-10846.5</v>
      </c>
      <c r="X36" s="13">
        <f t="shared" si="699"/>
        <v>54.515337680582057</v>
      </c>
      <c r="Y36" s="2760">
        <f t="shared" si="726"/>
        <v>8846.5</v>
      </c>
      <c r="Z36" s="13">
        <f t="shared" si="700"/>
        <v>158.97666666666669</v>
      </c>
      <c r="AA36" s="13">
        <f>11000-AA34-AA35</f>
        <v>3000</v>
      </c>
      <c r="AB36" s="13">
        <f>AA36</f>
        <v>3000</v>
      </c>
      <c r="AC36" s="13">
        <f>7324-AC34-AC35</f>
        <v>954</v>
      </c>
      <c r="AD36" s="13">
        <f>AC36</f>
        <v>954</v>
      </c>
      <c r="AE36" s="30">
        <f>11000+2000-AE34-AE35</f>
        <v>3445</v>
      </c>
      <c r="AF36" s="30">
        <f>AE36</f>
        <v>3445</v>
      </c>
      <c r="AG36" s="30">
        <f>17000-AG34-AG35</f>
        <v>7000</v>
      </c>
      <c r="AH36" s="30">
        <f>AG36</f>
        <v>7000</v>
      </c>
      <c r="AI36" s="2760">
        <f t="shared" si="727"/>
        <v>3555</v>
      </c>
      <c r="AJ36" s="13">
        <f t="shared" si="701"/>
        <v>203.19303338171264</v>
      </c>
      <c r="AK36" s="2760">
        <f t="shared" si="728"/>
        <v>445</v>
      </c>
      <c r="AL36" s="13">
        <f t="shared" si="702"/>
        <v>114.83333333333334</v>
      </c>
      <c r="AM36" s="13">
        <f>7000-AM34-AM35</f>
        <v>7000</v>
      </c>
      <c r="AN36" s="30">
        <f>AM36</f>
        <v>7000</v>
      </c>
      <c r="AO36" s="30">
        <f>15964-AO34-AO35</f>
        <v>5765</v>
      </c>
      <c r="AP36" s="30">
        <f>AO36</f>
        <v>5765</v>
      </c>
      <c r="AQ36" s="30">
        <f>17500-AQ34-AQ35</f>
        <v>2201.5</v>
      </c>
      <c r="AR36" s="30">
        <f>AQ36</f>
        <v>2201.5</v>
      </c>
      <c r="AS36" s="30">
        <f>7000-AS34-AS35</f>
        <v>7000</v>
      </c>
      <c r="AT36" s="30">
        <f>AS36</f>
        <v>7000</v>
      </c>
      <c r="AU36" s="2760">
        <f t="shared" si="729"/>
        <v>4798.5</v>
      </c>
      <c r="AV36" s="13">
        <f t="shared" si="703"/>
        <v>317.96502384737681</v>
      </c>
      <c r="AW36" s="2760">
        <f t="shared" si="730"/>
        <v>-4798.5</v>
      </c>
      <c r="AX36" s="13">
        <f t="shared" si="704"/>
        <v>31.45</v>
      </c>
      <c r="AY36" s="13">
        <f>12000-AY34-AY35</f>
        <v>8000</v>
      </c>
      <c r="AZ36" s="13">
        <f>AY36</f>
        <v>8000</v>
      </c>
      <c r="BA36" s="13">
        <f>6256-BA34-BA35</f>
        <v>3280</v>
      </c>
      <c r="BB36" s="13">
        <f>BA36</f>
        <v>3280</v>
      </c>
      <c r="BC36" s="13">
        <f>12000+1400-BC34-BC35</f>
        <v>8936</v>
      </c>
      <c r="BD36" s="30">
        <f>BC36</f>
        <v>8936</v>
      </c>
      <c r="BE36" s="30">
        <f>14000-BE34-BE35</f>
        <v>8500</v>
      </c>
      <c r="BF36" s="30">
        <f>BE36</f>
        <v>8500</v>
      </c>
      <c r="BG36" s="2760">
        <f t="shared" si="731"/>
        <v>-436</v>
      </c>
      <c r="BH36" s="13">
        <f t="shared" si="705"/>
        <v>95.120859444941814</v>
      </c>
      <c r="BI36" s="2760">
        <f t="shared" si="732"/>
        <v>936</v>
      </c>
      <c r="BJ36" s="13">
        <f t="shared" si="706"/>
        <v>111.7</v>
      </c>
      <c r="BK36" s="13">
        <f>20000-BK34-BK35</f>
        <v>16000</v>
      </c>
      <c r="BL36" s="13">
        <f>BK36</f>
        <v>16000</v>
      </c>
      <c r="BM36" s="13">
        <f>26466-BM34-BM35</f>
        <v>23336</v>
      </c>
      <c r="BN36" s="13">
        <f>BM36</f>
        <v>23336</v>
      </c>
      <c r="BO36" s="13">
        <f>30000-BO34-BO35</f>
        <v>25389.666666666668</v>
      </c>
      <c r="BP36" s="30">
        <f>BO36</f>
        <v>25389.666666666668</v>
      </c>
      <c r="BQ36" s="30">
        <f>25000-BQ34-BQ35</f>
        <v>18500</v>
      </c>
      <c r="BR36" s="30">
        <f>BQ36</f>
        <v>18500</v>
      </c>
      <c r="BS36" s="2760">
        <f t="shared" si="733"/>
        <v>-6889.6666666666679</v>
      </c>
      <c r="BT36" s="13">
        <f t="shared" si="707"/>
        <v>72.864288621355144</v>
      </c>
      <c r="BU36" s="2760">
        <f t="shared" si="734"/>
        <v>9389.6666666666679</v>
      </c>
      <c r="BV36" s="13">
        <f t="shared" si="708"/>
        <v>158.68541666666667</v>
      </c>
      <c r="BW36" s="13">
        <f>58000-BW34-BW35</f>
        <v>18000</v>
      </c>
      <c r="BX36" s="30">
        <f>BW36</f>
        <v>18000</v>
      </c>
      <c r="BY36" s="30">
        <f>61282-BY34-BY35</f>
        <v>22562</v>
      </c>
      <c r="BZ36" s="30">
        <f>BY36</f>
        <v>22562</v>
      </c>
      <c r="CA36" s="30">
        <f>80000-CA34-CA35</f>
        <v>21920</v>
      </c>
      <c r="CB36" s="30">
        <f>CA36</f>
        <v>21920</v>
      </c>
      <c r="CC36" s="30">
        <f>80000-CC34-CC35</f>
        <v>21500</v>
      </c>
      <c r="CD36" s="30">
        <f>CC36</f>
        <v>21500</v>
      </c>
      <c r="CE36" s="2760">
        <f t="shared" si="735"/>
        <v>-420</v>
      </c>
      <c r="CF36" s="13">
        <f>CC36/CA36*100</f>
        <v>98.083941605839414</v>
      </c>
      <c r="CG36" s="2809">
        <f>CA36-BW36</f>
        <v>3920</v>
      </c>
      <c r="CH36" s="13">
        <f>CA36/BW36*100</f>
        <v>121.77777777777779</v>
      </c>
      <c r="CI36" s="13">
        <f>19000-CI35-CI34</f>
        <v>12000</v>
      </c>
      <c r="CJ36" s="13">
        <f>CI36</f>
        <v>12000</v>
      </c>
      <c r="CK36" s="30">
        <f>16304-CK34-CK35</f>
        <v>8542</v>
      </c>
      <c r="CL36" s="30">
        <f>CK36</f>
        <v>8542</v>
      </c>
      <c r="CM36" s="30">
        <f>23000-CM34-CM35</f>
        <v>11357</v>
      </c>
      <c r="CN36" s="30">
        <f>CM36</f>
        <v>11357</v>
      </c>
      <c r="CO36" s="30">
        <f>26000-CO35-CO34</f>
        <v>16000</v>
      </c>
      <c r="CP36" s="30">
        <f>CO36</f>
        <v>16000</v>
      </c>
      <c r="CQ36" s="2791">
        <f>CO36-CM36</f>
        <v>4643</v>
      </c>
      <c r="CR36" s="13">
        <f t="shared" si="711"/>
        <v>140.88227524874526</v>
      </c>
      <c r="CS36" s="2760">
        <f t="shared" si="738"/>
        <v>-643</v>
      </c>
      <c r="CT36" s="13">
        <f t="shared" si="712"/>
        <v>94.641666666666666</v>
      </c>
      <c r="CU36" s="13">
        <f>11000-CU34-CU35</f>
        <v>7500</v>
      </c>
      <c r="CV36" s="30">
        <f>CU36</f>
        <v>7500</v>
      </c>
      <c r="CW36" s="30">
        <f>9858-CW34-CW35</f>
        <v>5102</v>
      </c>
      <c r="CX36" s="30">
        <f>CW36</f>
        <v>5102</v>
      </c>
      <c r="CY36" s="30">
        <f>11000-CY34-CY35</f>
        <v>3866</v>
      </c>
      <c r="CZ36" s="30">
        <f>CY36</f>
        <v>3866</v>
      </c>
      <c r="DA36" s="30">
        <f>12000-DA34-DA35</f>
        <v>8000</v>
      </c>
      <c r="DB36" s="30">
        <f>DA36</f>
        <v>8000</v>
      </c>
      <c r="DC36" s="2791">
        <f t="shared" si="739"/>
        <v>4134</v>
      </c>
      <c r="DD36" s="13">
        <f t="shared" si="713"/>
        <v>206.93222969477495</v>
      </c>
      <c r="DE36" s="2760">
        <f t="shared" si="740"/>
        <v>-3634</v>
      </c>
      <c r="DF36" s="13">
        <f t="shared" si="714"/>
        <v>51.54666666666666</v>
      </c>
      <c r="DG36" s="13">
        <f>16000-DG34-DG35</f>
        <v>13000</v>
      </c>
      <c r="DH36" s="13">
        <f>DG36</f>
        <v>13000</v>
      </c>
      <c r="DI36" s="53">
        <f>12517-DI34-DI35</f>
        <v>7399</v>
      </c>
      <c r="DJ36" s="53">
        <f>DI36</f>
        <v>7399</v>
      </c>
      <c r="DK36" s="53">
        <f>16000-DK34-DK35</f>
        <v>8323</v>
      </c>
      <c r="DL36" s="53">
        <f>DK36</f>
        <v>8323</v>
      </c>
      <c r="DM36" s="30">
        <f>18000-DM34-DM35</f>
        <v>14000</v>
      </c>
      <c r="DN36" s="30">
        <f>DM36</f>
        <v>14000</v>
      </c>
      <c r="DO36" s="2760">
        <f t="shared" si="741"/>
        <v>5677</v>
      </c>
      <c r="DP36" s="13">
        <f t="shared" si="715"/>
        <v>168.2085786375105</v>
      </c>
      <c r="DQ36" s="2760">
        <f t="shared" si="742"/>
        <v>-4677</v>
      </c>
      <c r="DR36" s="13">
        <f t="shared" si="716"/>
        <v>64.023076923076928</v>
      </c>
      <c r="DS36" s="13">
        <f>16000-DS34-DS35</f>
        <v>9000</v>
      </c>
      <c r="DT36" s="13">
        <f>DS36</f>
        <v>9000</v>
      </c>
      <c r="DU36" s="13">
        <f>10750-DU34-DU35</f>
        <v>6165</v>
      </c>
      <c r="DV36" s="13">
        <f>DU36</f>
        <v>6165</v>
      </c>
      <c r="DW36" s="30">
        <f>16000-DW34-DW35</f>
        <v>9122.5</v>
      </c>
      <c r="DX36" s="30">
        <f>DW36</f>
        <v>9122.5</v>
      </c>
      <c r="DY36" s="30">
        <f>18000-DY34-DY35</f>
        <v>10000</v>
      </c>
      <c r="DZ36" s="30">
        <f>DY36</f>
        <v>10000</v>
      </c>
      <c r="EA36" s="2760">
        <f t="shared" si="743"/>
        <v>877.5</v>
      </c>
      <c r="EB36" s="13">
        <f t="shared" si="717"/>
        <v>109.61907371882708</v>
      </c>
      <c r="EC36" s="2760">
        <f t="shared" si="744"/>
        <v>122.5</v>
      </c>
      <c r="ED36" s="13">
        <f t="shared" si="718"/>
        <v>101.3611111111111</v>
      </c>
      <c r="EE36" s="13">
        <f>16000-EE34-EE35</f>
        <v>10500</v>
      </c>
      <c r="EF36" s="13">
        <f>EE36</f>
        <v>10500</v>
      </c>
      <c r="EG36" s="53">
        <f>10496-EG34-EG35</f>
        <v>4403</v>
      </c>
      <c r="EH36" s="53">
        <f>EG36</f>
        <v>4403</v>
      </c>
      <c r="EI36" s="13">
        <f>16000-EI34-EI35</f>
        <v>6860.5</v>
      </c>
      <c r="EJ36" s="13">
        <f>EI36</f>
        <v>6860.5</v>
      </c>
      <c r="EK36" s="30">
        <f>18000-EK34-EK35</f>
        <v>11500</v>
      </c>
      <c r="EL36" s="30">
        <f>EK36</f>
        <v>11500</v>
      </c>
      <c r="EM36" s="2760">
        <f t="shared" si="745"/>
        <v>4639.5</v>
      </c>
      <c r="EN36" s="13">
        <f t="shared" si="719"/>
        <v>167.62626630712049</v>
      </c>
      <c r="EO36" s="2760">
        <f t="shared" si="746"/>
        <v>-3639.5</v>
      </c>
      <c r="EP36" s="13">
        <f t="shared" si="720"/>
        <v>65.338095238095235</v>
      </c>
      <c r="EQ36" s="13">
        <f>13000-EQ34-EQ35</f>
        <v>10500</v>
      </c>
      <c r="ER36" s="13">
        <f>EQ36</f>
        <v>10500</v>
      </c>
      <c r="ES36" s="13">
        <f>8997-ES34-ES35</f>
        <v>5571</v>
      </c>
      <c r="ET36" s="13">
        <f>ES36</f>
        <v>5571</v>
      </c>
      <c r="EU36" s="13">
        <f>12000-EU34-EU35+10+11</f>
        <v>6882</v>
      </c>
      <c r="EV36" s="13">
        <f>EU36</f>
        <v>6882</v>
      </c>
      <c r="EW36" s="13">
        <f>13000-EW34-EW35</f>
        <v>10500</v>
      </c>
      <c r="EX36" s="13">
        <f>EW36</f>
        <v>10500</v>
      </c>
      <c r="EY36" s="2760">
        <f t="shared" si="747"/>
        <v>3618</v>
      </c>
      <c r="EZ36" s="13">
        <f t="shared" si="721"/>
        <v>152.57192676547515</v>
      </c>
      <c r="FA36" s="2760">
        <f t="shared" si="748"/>
        <v>-3618</v>
      </c>
      <c r="FB36" s="13">
        <f t="shared" si="722"/>
        <v>65.542857142857144</v>
      </c>
      <c r="FC36" s="2741"/>
      <c r="FD36" s="2741"/>
      <c r="FE36" s="2495"/>
      <c r="FF36" s="2495"/>
    </row>
    <row r="37" spans="1:162" s="2759" customFormat="1" ht="25.2" customHeight="1">
      <c r="A37" s="2735">
        <v>10</v>
      </c>
      <c r="B37" s="2736" t="s">
        <v>19</v>
      </c>
      <c r="C37" s="2737">
        <f t="shared" si="79"/>
        <v>3000</v>
      </c>
      <c r="D37" s="2737">
        <f t="shared" si="79"/>
        <v>3000</v>
      </c>
      <c r="E37" s="2737">
        <f t="shared" si="79"/>
        <v>1562</v>
      </c>
      <c r="F37" s="2737">
        <f t="shared" si="79"/>
        <v>1562</v>
      </c>
      <c r="G37" s="2737">
        <f t="shared" si="79"/>
        <v>2218</v>
      </c>
      <c r="H37" s="2737">
        <f t="shared" si="80"/>
        <v>2218</v>
      </c>
      <c r="I37" s="2737">
        <f t="shared" si="80"/>
        <v>2000</v>
      </c>
      <c r="J37" s="2737">
        <f t="shared" si="80"/>
        <v>2000</v>
      </c>
      <c r="K37" s="2737">
        <f>+I37-G37</f>
        <v>-218</v>
      </c>
      <c r="L37" s="2737">
        <f>+I37/G37*100</f>
        <v>90.171325518485119</v>
      </c>
      <c r="M37" s="2737">
        <f>+G37-C37</f>
        <v>-782</v>
      </c>
      <c r="N37" s="2737">
        <f>+G37/C37*100</f>
        <v>73.933333333333323</v>
      </c>
      <c r="O37" s="2737">
        <v>750</v>
      </c>
      <c r="P37" s="2737">
        <f>O37</f>
        <v>750</v>
      </c>
      <c r="Q37" s="2737">
        <v>254</v>
      </c>
      <c r="R37" s="2737">
        <f>+Q37</f>
        <v>254</v>
      </c>
      <c r="S37" s="2737">
        <v>280</v>
      </c>
      <c r="T37" s="2737">
        <f>+S37</f>
        <v>280</v>
      </c>
      <c r="U37" s="2737">
        <v>200</v>
      </c>
      <c r="V37" s="2737">
        <f>U37</f>
        <v>200</v>
      </c>
      <c r="W37" s="2737">
        <f>+U37-S37</f>
        <v>-80</v>
      </c>
      <c r="X37" s="2737"/>
      <c r="Y37" s="2737">
        <f>+S37-O37</f>
        <v>-470</v>
      </c>
      <c r="Z37" s="2737"/>
      <c r="AA37" s="2737">
        <v>150</v>
      </c>
      <c r="AB37" s="2737">
        <f>AA37</f>
        <v>150</v>
      </c>
      <c r="AC37" s="2737">
        <v>74</v>
      </c>
      <c r="AD37" s="2737">
        <f>+AC37</f>
        <v>74</v>
      </c>
      <c r="AE37" s="2790">
        <v>100</v>
      </c>
      <c r="AF37" s="2790">
        <f>+AE37</f>
        <v>100</v>
      </c>
      <c r="AG37" s="2737">
        <v>100</v>
      </c>
      <c r="AH37" s="2737">
        <f>AG37</f>
        <v>100</v>
      </c>
      <c r="AI37" s="2737">
        <f>+AG37-AE37</f>
        <v>0</v>
      </c>
      <c r="AJ37" s="2737"/>
      <c r="AK37" s="2737">
        <f>+AE37-AA37</f>
        <v>-50</v>
      </c>
      <c r="AL37" s="2737"/>
      <c r="AM37" s="2737">
        <v>0</v>
      </c>
      <c r="AN37" s="2737">
        <f>AM37</f>
        <v>0</v>
      </c>
      <c r="AO37" s="2737">
        <v>0</v>
      </c>
      <c r="AP37" s="2737">
        <f>+AO37</f>
        <v>0</v>
      </c>
      <c r="AQ37" s="2737">
        <v>0</v>
      </c>
      <c r="AR37" s="2737">
        <f>+AQ37</f>
        <v>0</v>
      </c>
      <c r="AS37" s="2737">
        <v>0</v>
      </c>
      <c r="AT37" s="2737">
        <f>AS37</f>
        <v>0</v>
      </c>
      <c r="AU37" s="2737">
        <f>+AS37-AQ37</f>
        <v>0</v>
      </c>
      <c r="AV37" s="2737"/>
      <c r="AW37" s="2737">
        <f>+AQ37-AM37</f>
        <v>0</v>
      </c>
      <c r="AX37" s="2737"/>
      <c r="AY37" s="2737">
        <v>50</v>
      </c>
      <c r="AZ37" s="2737">
        <f>AY37</f>
        <v>50</v>
      </c>
      <c r="BA37" s="2737">
        <v>6</v>
      </c>
      <c r="BB37" s="2737">
        <f>+BA37</f>
        <v>6</v>
      </c>
      <c r="BC37" s="2737">
        <v>0</v>
      </c>
      <c r="BD37" s="2737">
        <f>+BC37</f>
        <v>0</v>
      </c>
      <c r="BE37" s="2737">
        <v>0</v>
      </c>
      <c r="BF37" s="2737">
        <f>BE37</f>
        <v>0</v>
      </c>
      <c r="BG37" s="2737">
        <f>+BE37-BC37</f>
        <v>0</v>
      </c>
      <c r="BH37" s="2737"/>
      <c r="BI37" s="2737">
        <f>+BC37-AY37</f>
        <v>-50</v>
      </c>
      <c r="BJ37" s="2737"/>
      <c r="BK37" s="2737">
        <v>300</v>
      </c>
      <c r="BL37" s="2737">
        <f>BK37</f>
        <v>300</v>
      </c>
      <c r="BM37" s="2737">
        <v>0</v>
      </c>
      <c r="BN37" s="2737">
        <f>+BM37</f>
        <v>0</v>
      </c>
      <c r="BO37" s="2737">
        <v>0</v>
      </c>
      <c r="BP37" s="2737">
        <f>+BO37</f>
        <v>0</v>
      </c>
      <c r="BQ37" s="2737">
        <v>0</v>
      </c>
      <c r="BR37" s="2737">
        <f>BQ37</f>
        <v>0</v>
      </c>
      <c r="BS37" s="2737">
        <f>+BQ37-BO37</f>
        <v>0</v>
      </c>
      <c r="BT37" s="2737"/>
      <c r="BU37" s="2737">
        <f>+BO37-BK37</f>
        <v>-300</v>
      </c>
      <c r="BV37" s="2737"/>
      <c r="BW37" s="2737">
        <v>200</v>
      </c>
      <c r="BX37" s="2737">
        <f>BW37</f>
        <v>200</v>
      </c>
      <c r="BY37" s="2737">
        <v>93</v>
      </c>
      <c r="BZ37" s="2737">
        <f>+BY37</f>
        <v>93</v>
      </c>
      <c r="CA37" s="2790">
        <v>100</v>
      </c>
      <c r="CB37" s="2790">
        <f>+CA37</f>
        <v>100</v>
      </c>
      <c r="CC37" s="2737">
        <v>100</v>
      </c>
      <c r="CD37" s="2737">
        <f>CC37</f>
        <v>100</v>
      </c>
      <c r="CE37" s="2737">
        <f>+CC37-CA37</f>
        <v>0</v>
      </c>
      <c r="CF37" s="2737"/>
      <c r="CG37" s="2737">
        <f>+CA37-BW37</f>
        <v>-100</v>
      </c>
      <c r="CH37" s="2737"/>
      <c r="CI37" s="2737">
        <v>150</v>
      </c>
      <c r="CJ37" s="2737">
        <f>CI37</f>
        <v>150</v>
      </c>
      <c r="CK37" s="2790">
        <v>172</v>
      </c>
      <c r="CL37" s="2790">
        <f>+CK37</f>
        <v>172</v>
      </c>
      <c r="CM37" s="2790">
        <v>230</v>
      </c>
      <c r="CN37" s="2790">
        <f>+CM37</f>
        <v>230</v>
      </c>
      <c r="CO37" s="2790">
        <v>250</v>
      </c>
      <c r="CP37" s="2790">
        <f>CO37</f>
        <v>250</v>
      </c>
      <c r="CQ37" s="2790">
        <f>+CO37-CM37</f>
        <v>20</v>
      </c>
      <c r="CR37" s="2737"/>
      <c r="CS37" s="2737">
        <f>+CM37-CI37</f>
        <v>80</v>
      </c>
      <c r="CT37" s="2737"/>
      <c r="CU37" s="2737">
        <v>200</v>
      </c>
      <c r="CV37" s="2790">
        <f>CU37</f>
        <v>200</v>
      </c>
      <c r="CW37" s="2790">
        <v>701</v>
      </c>
      <c r="CX37" s="2790">
        <f>+CW37</f>
        <v>701</v>
      </c>
      <c r="CY37" s="2790">
        <v>800</v>
      </c>
      <c r="CZ37" s="2790">
        <f>+CY37</f>
        <v>800</v>
      </c>
      <c r="DA37" s="2790">
        <v>800</v>
      </c>
      <c r="DB37" s="2790">
        <f>DA37</f>
        <v>800</v>
      </c>
      <c r="DC37" s="2790">
        <f>+DA37-CY37</f>
        <v>0</v>
      </c>
      <c r="DD37" s="2737"/>
      <c r="DE37" s="2737">
        <f>+CY37-CU37</f>
        <v>600</v>
      </c>
      <c r="DF37" s="2737"/>
      <c r="DG37" s="2737">
        <v>100</v>
      </c>
      <c r="DH37" s="2737">
        <f>DG37</f>
        <v>100</v>
      </c>
      <c r="DI37" s="2737">
        <v>0</v>
      </c>
      <c r="DJ37" s="2737">
        <f>+DI37</f>
        <v>0</v>
      </c>
      <c r="DK37" s="2737">
        <v>0</v>
      </c>
      <c r="DL37" s="2737">
        <f>+DK37</f>
        <v>0</v>
      </c>
      <c r="DM37" s="2790">
        <v>0</v>
      </c>
      <c r="DN37" s="2790">
        <f>DM37</f>
        <v>0</v>
      </c>
      <c r="DO37" s="2737">
        <f>+DM37-DK37</f>
        <v>0</v>
      </c>
      <c r="DP37" s="2737"/>
      <c r="DQ37" s="2737">
        <f>+DK37-DG37</f>
        <v>-100</v>
      </c>
      <c r="DR37" s="2737"/>
      <c r="DS37" s="2737">
        <v>0</v>
      </c>
      <c r="DT37" s="2737">
        <f>DS37</f>
        <v>0</v>
      </c>
      <c r="DU37" s="2737">
        <v>0</v>
      </c>
      <c r="DV37" s="2737">
        <f>+DU37</f>
        <v>0</v>
      </c>
      <c r="DW37" s="2790">
        <v>0</v>
      </c>
      <c r="DX37" s="2790">
        <f>+DW37</f>
        <v>0</v>
      </c>
      <c r="DY37" s="2790">
        <v>0</v>
      </c>
      <c r="DZ37" s="2790">
        <f>DY37</f>
        <v>0</v>
      </c>
      <c r="EA37" s="2737">
        <f>+DY37-DW37</f>
        <v>0</v>
      </c>
      <c r="EB37" s="2737"/>
      <c r="EC37" s="2737">
        <f>+DW37-DS37</f>
        <v>0</v>
      </c>
      <c r="ED37" s="2737"/>
      <c r="EE37" s="2737">
        <v>1000</v>
      </c>
      <c r="EF37" s="2737">
        <f>EE37</f>
        <v>1000</v>
      </c>
      <c r="EG37" s="2738">
        <v>256</v>
      </c>
      <c r="EH37" s="2738">
        <f>+EG37</f>
        <v>256</v>
      </c>
      <c r="EI37" s="2737">
        <v>650</v>
      </c>
      <c r="EJ37" s="2737">
        <f>+EI37</f>
        <v>650</v>
      </c>
      <c r="EK37" s="2790">
        <v>500</v>
      </c>
      <c r="EL37" s="2790">
        <f>EK37</f>
        <v>500</v>
      </c>
      <c r="EM37" s="2737">
        <f>+EK37-EI37</f>
        <v>-150</v>
      </c>
      <c r="EN37" s="2737"/>
      <c r="EO37" s="2737">
        <f>+EI37-EE37</f>
        <v>-350</v>
      </c>
      <c r="EP37" s="2737"/>
      <c r="EQ37" s="2737">
        <v>100</v>
      </c>
      <c r="ER37" s="2737">
        <f>EQ37</f>
        <v>100</v>
      </c>
      <c r="ES37" s="2737">
        <v>6</v>
      </c>
      <c r="ET37" s="2737">
        <f>+ES37</f>
        <v>6</v>
      </c>
      <c r="EU37" s="2737">
        <v>58</v>
      </c>
      <c r="EV37" s="2737">
        <f>+EU37</f>
        <v>58</v>
      </c>
      <c r="EW37" s="2737">
        <v>50</v>
      </c>
      <c r="EX37" s="2737">
        <f>EW37</f>
        <v>50</v>
      </c>
      <c r="EY37" s="2737">
        <f>+EW37-EU37</f>
        <v>-8</v>
      </c>
      <c r="EZ37" s="2737"/>
      <c r="FA37" s="2737">
        <f>+EU37-EQ37</f>
        <v>-42</v>
      </c>
      <c r="FB37" s="2737"/>
      <c r="FC37" s="2743">
        <f>E37/C37</f>
        <v>0.52066666666666672</v>
      </c>
      <c r="FD37" s="2743">
        <f>F37/D37</f>
        <v>0.52066666666666672</v>
      </c>
      <c r="FE37" s="2744">
        <f>E37-C37</f>
        <v>-1438</v>
      </c>
      <c r="FF37" s="2744">
        <f>F37-D37</f>
        <v>-1438</v>
      </c>
    </row>
    <row r="38" spans="1:162" s="2758" customFormat="1" ht="28.2" hidden="1" customHeight="1">
      <c r="A38" s="2762" t="s">
        <v>20</v>
      </c>
      <c r="B38" s="2745" t="s">
        <v>358</v>
      </c>
      <c r="C38" s="18"/>
      <c r="D38" s="18"/>
      <c r="E38" s="18"/>
      <c r="F38" s="18"/>
      <c r="G38" s="18"/>
      <c r="H38" s="18"/>
      <c r="I38" s="18"/>
      <c r="J38" s="18"/>
      <c r="K38" s="2737"/>
      <c r="L38" s="2737"/>
      <c r="M38" s="2737"/>
      <c r="N38" s="18"/>
      <c r="O38" s="18"/>
      <c r="P38" s="18"/>
      <c r="Q38" s="18"/>
      <c r="R38" s="18"/>
      <c r="S38" s="18"/>
      <c r="T38" s="18"/>
      <c r="U38" s="18"/>
      <c r="V38" s="18"/>
      <c r="W38" s="2737"/>
      <c r="X38" s="2737"/>
      <c r="Y38" s="2737"/>
      <c r="Z38" s="18"/>
      <c r="AA38" s="18"/>
      <c r="AB38" s="18"/>
      <c r="AC38" s="18"/>
      <c r="AD38" s="18"/>
      <c r="AE38" s="77"/>
      <c r="AF38" s="77"/>
      <c r="AG38" s="18"/>
      <c r="AH38" s="18"/>
      <c r="AI38" s="2737"/>
      <c r="AJ38" s="2737"/>
      <c r="AK38" s="2737"/>
      <c r="AL38" s="18"/>
      <c r="AM38" s="18"/>
      <c r="AN38" s="18"/>
      <c r="AO38" s="18"/>
      <c r="AP38" s="18"/>
      <c r="AQ38" s="2746"/>
      <c r="AR38" s="2746"/>
      <c r="AS38" s="2746"/>
      <c r="AT38" s="2746"/>
      <c r="AU38" s="2737"/>
      <c r="AV38" s="2737"/>
      <c r="AW38" s="2737"/>
      <c r="AX38" s="18"/>
      <c r="AY38" s="18"/>
      <c r="AZ38" s="18"/>
      <c r="BA38" s="18"/>
      <c r="BB38" s="18"/>
      <c r="BC38" s="18"/>
      <c r="BD38" s="18"/>
      <c r="BE38" s="18"/>
      <c r="BF38" s="18"/>
      <c r="BG38" s="2737"/>
      <c r="BH38" s="2737"/>
      <c r="BI38" s="2737"/>
      <c r="BJ38" s="18"/>
      <c r="BK38" s="18"/>
      <c r="BL38" s="18"/>
      <c r="BM38" s="18"/>
      <c r="BN38" s="18"/>
      <c r="BO38" s="18"/>
      <c r="BP38" s="18"/>
      <c r="BQ38" s="18"/>
      <c r="BR38" s="18"/>
      <c r="BS38" s="2737"/>
      <c r="BT38" s="2737"/>
      <c r="BU38" s="2737"/>
      <c r="BV38" s="18"/>
      <c r="BW38" s="18"/>
      <c r="BX38" s="18"/>
      <c r="BY38" s="18"/>
      <c r="BZ38" s="18"/>
      <c r="CA38" s="77"/>
      <c r="CB38" s="77"/>
      <c r="CC38" s="18"/>
      <c r="CD38" s="18"/>
      <c r="CE38" s="2737"/>
      <c r="CF38" s="2737"/>
      <c r="CG38" s="2737"/>
      <c r="CH38" s="18"/>
      <c r="CI38" s="18"/>
      <c r="CJ38" s="18"/>
      <c r="CK38" s="18"/>
      <c r="CL38" s="18"/>
      <c r="CM38" s="18"/>
      <c r="CN38" s="18"/>
      <c r="CO38" s="18"/>
      <c r="CP38" s="2747"/>
      <c r="CQ38" s="2737"/>
      <c r="CR38" s="2737"/>
      <c r="CS38" s="2737"/>
      <c r="CT38" s="18"/>
      <c r="CU38" s="18"/>
      <c r="CV38" s="18"/>
      <c r="CW38" s="18"/>
      <c r="CX38" s="18"/>
      <c r="CY38" s="18"/>
      <c r="CZ38" s="18"/>
      <c r="DA38" s="18"/>
      <c r="DB38" s="18"/>
      <c r="DC38" s="2737"/>
      <c r="DD38" s="2737"/>
      <c r="DE38" s="2737"/>
      <c r="DF38" s="18"/>
      <c r="DG38" s="18"/>
      <c r="DH38" s="18"/>
      <c r="DI38" s="18"/>
      <c r="DJ38" s="18"/>
      <c r="DK38" s="18"/>
      <c r="DL38" s="18"/>
      <c r="DM38" s="77"/>
      <c r="DN38" s="2896"/>
      <c r="DO38" s="2737"/>
      <c r="DP38" s="2737"/>
      <c r="DQ38" s="2737"/>
      <c r="DR38" s="18"/>
      <c r="DS38" s="18"/>
      <c r="DT38" s="18"/>
      <c r="DU38" s="18"/>
      <c r="DV38" s="18"/>
      <c r="DW38" s="77"/>
      <c r="DX38" s="77"/>
      <c r="DY38" s="77"/>
      <c r="DZ38" s="77"/>
      <c r="EA38" s="2737"/>
      <c r="EB38" s="2737"/>
      <c r="EC38" s="2737"/>
      <c r="ED38" s="18"/>
      <c r="EE38" s="18"/>
      <c r="EF38" s="18"/>
      <c r="EG38" s="200"/>
      <c r="EH38" s="200"/>
      <c r="EI38" s="18"/>
      <c r="EJ38" s="18"/>
      <c r="EK38" s="77"/>
      <c r="EL38" s="2896"/>
      <c r="EM38" s="2737"/>
      <c r="EN38" s="2737"/>
      <c r="EO38" s="2737"/>
      <c r="EP38" s="18"/>
      <c r="EQ38" s="18"/>
      <c r="ER38" s="18"/>
      <c r="ES38" s="18"/>
      <c r="ET38" s="18"/>
      <c r="EU38" s="18"/>
      <c r="EV38" s="18"/>
      <c r="EW38" s="18"/>
      <c r="EX38" s="18"/>
      <c r="EY38" s="2737"/>
      <c r="EZ38" s="2737"/>
      <c r="FA38" s="2737"/>
      <c r="FB38" s="18"/>
    </row>
    <row r="39" spans="1:162" s="1319" customFormat="1" ht="25.2" hidden="1" customHeight="1">
      <c r="A39" s="2763" t="s">
        <v>137</v>
      </c>
      <c r="B39" s="2748" t="s">
        <v>359</v>
      </c>
      <c r="C39" s="14"/>
      <c r="D39" s="13">
        <f>SUM(AB39,AN39,AZ39,BL39,BX39,CJ39,CV39,DH39,DT39,EF39,ER39,P39)</f>
        <v>2897350</v>
      </c>
      <c r="E39" s="14"/>
      <c r="F39" s="14"/>
      <c r="G39" s="14"/>
      <c r="H39" s="13">
        <f>SUM(AF39,AR39,BD39,BP39,CB39,CN39,CZ39,DL39,DX39,EJ39,EV39,T39)</f>
        <v>3365638.333333333</v>
      </c>
      <c r="I39" s="14"/>
      <c r="J39" s="13">
        <f>+J9</f>
        <v>3939080</v>
      </c>
      <c r="K39" s="13"/>
      <c r="L39" s="13"/>
      <c r="M39" s="13"/>
      <c r="N39" s="14"/>
      <c r="O39" s="14"/>
      <c r="P39" s="13">
        <f>+P9</f>
        <v>131450</v>
      </c>
      <c r="Q39" s="14"/>
      <c r="R39" s="14"/>
      <c r="S39" s="14"/>
      <c r="T39" s="13">
        <f>+T9</f>
        <v>132690</v>
      </c>
      <c r="U39" s="14"/>
      <c r="V39" s="13">
        <f>+V9</f>
        <v>157900</v>
      </c>
      <c r="W39" s="13"/>
      <c r="X39" s="13"/>
      <c r="Y39" s="13"/>
      <c r="Z39" s="14"/>
      <c r="AA39" s="14"/>
      <c r="AB39" s="13">
        <f>+AB9</f>
        <v>269200</v>
      </c>
      <c r="AC39" s="14"/>
      <c r="AD39" s="14"/>
      <c r="AE39" s="59"/>
      <c r="AF39" s="30">
        <f>+AF9</f>
        <v>267539.5</v>
      </c>
      <c r="AG39" s="14"/>
      <c r="AH39" s="13">
        <f>+AH9</f>
        <v>384130</v>
      </c>
      <c r="AI39" s="13"/>
      <c r="AJ39" s="13"/>
      <c r="AK39" s="13"/>
      <c r="AL39" s="14"/>
      <c r="AM39" s="14"/>
      <c r="AN39" s="13">
        <f>+AN9</f>
        <v>61250</v>
      </c>
      <c r="AO39" s="14"/>
      <c r="AP39" s="14"/>
      <c r="AQ39" s="14"/>
      <c r="AR39" s="13">
        <f>+AR9</f>
        <v>95701</v>
      </c>
      <c r="AS39" s="14"/>
      <c r="AT39" s="13">
        <f>+AT9</f>
        <v>96340</v>
      </c>
      <c r="AU39" s="13"/>
      <c r="AV39" s="13"/>
      <c r="AW39" s="13"/>
      <c r="AX39" s="14"/>
      <c r="AY39" s="14"/>
      <c r="AZ39" s="13">
        <f>+AZ9</f>
        <v>97100</v>
      </c>
      <c r="BA39" s="14"/>
      <c r="BB39" s="14"/>
      <c r="BC39" s="14"/>
      <c r="BD39" s="13">
        <f>+BD9</f>
        <v>121821</v>
      </c>
      <c r="BE39" s="14"/>
      <c r="BF39" s="13">
        <f>+BF9</f>
        <v>140940</v>
      </c>
      <c r="BG39" s="13"/>
      <c r="BH39" s="13"/>
      <c r="BI39" s="13"/>
      <c r="BJ39" s="14"/>
      <c r="BK39" s="14"/>
      <c r="BL39" s="13">
        <f>+BL9</f>
        <v>166650</v>
      </c>
      <c r="BM39" s="14"/>
      <c r="BN39" s="14"/>
      <c r="BO39" s="14"/>
      <c r="BP39" s="13">
        <f>+BP9</f>
        <v>230256.66666666666</v>
      </c>
      <c r="BQ39" s="14"/>
      <c r="BR39" s="13">
        <f>+BR9</f>
        <v>241850</v>
      </c>
      <c r="BS39" s="13"/>
      <c r="BT39" s="13"/>
      <c r="BU39" s="13"/>
      <c r="BV39" s="14"/>
      <c r="BW39" s="14"/>
      <c r="BX39" s="13">
        <f>+BX9</f>
        <v>801200</v>
      </c>
      <c r="BY39" s="14"/>
      <c r="BZ39" s="14"/>
      <c r="CA39" s="59"/>
      <c r="CB39" s="30">
        <f>+CB9</f>
        <v>985011</v>
      </c>
      <c r="CC39" s="14"/>
      <c r="CD39" s="13">
        <f>+CD9</f>
        <v>1146450</v>
      </c>
      <c r="CE39" s="13"/>
      <c r="CF39" s="13"/>
      <c r="CG39" s="13"/>
      <c r="CH39" s="14"/>
      <c r="CI39" s="14"/>
      <c r="CJ39" s="13">
        <f>+CJ9</f>
        <v>185760</v>
      </c>
      <c r="CK39" s="14"/>
      <c r="CL39" s="14"/>
      <c r="CM39" s="14"/>
      <c r="CN39" s="13">
        <f>+CN9</f>
        <v>270987</v>
      </c>
      <c r="CO39" s="14"/>
      <c r="CP39" s="13">
        <f>+CP9</f>
        <v>259140</v>
      </c>
      <c r="CQ39" s="13"/>
      <c r="CR39" s="13"/>
      <c r="CS39" s="13"/>
      <c r="CT39" s="14"/>
      <c r="CU39" s="14"/>
      <c r="CV39" s="13">
        <f>+CV9</f>
        <v>211460</v>
      </c>
      <c r="CW39" s="14"/>
      <c r="CX39" s="14"/>
      <c r="CY39" s="14"/>
      <c r="CZ39" s="13">
        <f>+CZ9</f>
        <v>230542.5</v>
      </c>
      <c r="DA39" s="14"/>
      <c r="DB39" s="13">
        <f>+DB9</f>
        <v>257750</v>
      </c>
      <c r="DC39" s="13"/>
      <c r="DD39" s="13"/>
      <c r="DE39" s="13"/>
      <c r="DF39" s="14"/>
      <c r="DG39" s="14"/>
      <c r="DH39" s="13">
        <f>+DH9</f>
        <v>185900</v>
      </c>
      <c r="DI39" s="14"/>
      <c r="DJ39" s="14"/>
      <c r="DK39" s="14"/>
      <c r="DL39" s="13">
        <f>+DL9</f>
        <v>240115.5</v>
      </c>
      <c r="DM39" s="59"/>
      <c r="DN39" s="30">
        <f>+DN9</f>
        <v>269200</v>
      </c>
      <c r="DO39" s="13"/>
      <c r="DP39" s="13"/>
      <c r="DQ39" s="13"/>
      <c r="DR39" s="14"/>
      <c r="DS39" s="14"/>
      <c r="DT39" s="13">
        <f>+DT9</f>
        <v>141600</v>
      </c>
      <c r="DU39" s="14"/>
      <c r="DV39" s="14"/>
      <c r="DW39" s="59"/>
      <c r="DX39" s="30">
        <f>+DX9</f>
        <v>192522.66666666669</v>
      </c>
      <c r="DY39" s="59"/>
      <c r="DZ39" s="30">
        <f>+DZ9</f>
        <v>175430</v>
      </c>
      <c r="EA39" s="13"/>
      <c r="EB39" s="13"/>
      <c r="EC39" s="13"/>
      <c r="ED39" s="14"/>
      <c r="EE39" s="14"/>
      <c r="EF39" s="13">
        <f>+EF9</f>
        <v>471300</v>
      </c>
      <c r="EG39" s="2801"/>
      <c r="EH39" s="2801"/>
      <c r="EI39" s="14"/>
      <c r="EJ39" s="13">
        <f>+EJ9</f>
        <v>422230.5</v>
      </c>
      <c r="EK39" s="14"/>
      <c r="EL39" s="13">
        <f>+EL9</f>
        <v>544440</v>
      </c>
      <c r="EM39" s="13"/>
      <c r="EN39" s="13"/>
      <c r="EO39" s="13"/>
      <c r="EP39" s="14"/>
      <c r="EQ39" s="14"/>
      <c r="ER39" s="13">
        <f>+ER9</f>
        <v>174480</v>
      </c>
      <c r="ES39" s="14"/>
      <c r="ET39" s="14"/>
      <c r="EU39" s="14"/>
      <c r="EV39" s="13">
        <f>+EV9</f>
        <v>176221</v>
      </c>
      <c r="EW39" s="14"/>
      <c r="EX39" s="13">
        <f>+EX9</f>
        <v>265510</v>
      </c>
      <c r="EY39" s="13"/>
      <c r="EZ39" s="13"/>
      <c r="FA39" s="13"/>
      <c r="FB39" s="14"/>
    </row>
    <row r="40" spans="1:162" s="1319" customFormat="1" ht="25.2" hidden="1" customHeight="1">
      <c r="A40" s="2763"/>
      <c r="B40" s="2748" t="s">
        <v>360</v>
      </c>
      <c r="C40" s="14"/>
      <c r="D40" s="13">
        <f>+D30</f>
        <v>800000</v>
      </c>
      <c r="E40" s="14"/>
      <c r="F40" s="14"/>
      <c r="G40" s="14"/>
      <c r="H40" s="13">
        <f>+H30</f>
        <v>996500</v>
      </c>
      <c r="I40" s="14"/>
      <c r="J40" s="13">
        <f>+J30</f>
        <v>1143000</v>
      </c>
      <c r="K40" s="13"/>
      <c r="L40" s="13"/>
      <c r="M40" s="13"/>
      <c r="N40" s="14"/>
      <c r="O40" s="14"/>
      <c r="P40" s="13">
        <f>+P30</f>
        <v>64000</v>
      </c>
      <c r="Q40" s="14"/>
      <c r="R40" s="14"/>
      <c r="S40" s="14"/>
      <c r="T40" s="13">
        <f>+T30</f>
        <v>64000</v>
      </c>
      <c r="U40" s="14"/>
      <c r="V40" s="13">
        <f>+V30</f>
        <v>90000</v>
      </c>
      <c r="W40" s="13"/>
      <c r="X40" s="13"/>
      <c r="Y40" s="13"/>
      <c r="Z40" s="14"/>
      <c r="AA40" s="14"/>
      <c r="AB40" s="13">
        <f>+AB30</f>
        <v>160000</v>
      </c>
      <c r="AC40" s="14"/>
      <c r="AD40" s="14"/>
      <c r="AE40" s="59"/>
      <c r="AF40" s="30">
        <f>+AF30</f>
        <v>166000</v>
      </c>
      <c r="AG40" s="14"/>
      <c r="AH40" s="13">
        <f>+AH30</f>
        <v>270000</v>
      </c>
      <c r="AI40" s="13"/>
      <c r="AJ40" s="13"/>
      <c r="AK40" s="13"/>
      <c r="AL40" s="14"/>
      <c r="AM40" s="14"/>
      <c r="AN40" s="13">
        <f>+AN30</f>
        <v>15000</v>
      </c>
      <c r="AO40" s="14"/>
      <c r="AP40" s="14"/>
      <c r="AQ40" s="14"/>
      <c r="AR40" s="13">
        <f>+AR30</f>
        <v>36000</v>
      </c>
      <c r="AS40" s="14"/>
      <c r="AT40" s="13">
        <f>+AT30</f>
        <v>27000</v>
      </c>
      <c r="AU40" s="13"/>
      <c r="AV40" s="13"/>
      <c r="AW40" s="13"/>
      <c r="AX40" s="14"/>
      <c r="AY40" s="14"/>
      <c r="AZ40" s="13">
        <f>+AZ30</f>
        <v>20000</v>
      </c>
      <c r="BA40" s="14"/>
      <c r="BB40" s="14"/>
      <c r="BC40" s="14"/>
      <c r="BD40" s="13">
        <f>+BD30</f>
        <v>42000</v>
      </c>
      <c r="BE40" s="14"/>
      <c r="BF40" s="13">
        <f>+BF30</f>
        <v>54000</v>
      </c>
      <c r="BG40" s="13"/>
      <c r="BH40" s="13"/>
      <c r="BI40" s="13"/>
      <c r="BJ40" s="14"/>
      <c r="BK40" s="14"/>
      <c r="BL40" s="13">
        <f>+BL30</f>
        <v>60000</v>
      </c>
      <c r="BM40" s="14"/>
      <c r="BN40" s="14"/>
      <c r="BO40" s="14"/>
      <c r="BP40" s="13">
        <f>+BP30</f>
        <v>50000</v>
      </c>
      <c r="BQ40" s="14"/>
      <c r="BR40" s="13">
        <f>+BR30</f>
        <v>63000</v>
      </c>
      <c r="BS40" s="13"/>
      <c r="BT40" s="13"/>
      <c r="BU40" s="13"/>
      <c r="BV40" s="14"/>
      <c r="BW40" s="14"/>
      <c r="BX40" s="13">
        <f>+BX30</f>
        <v>100000</v>
      </c>
      <c r="BY40" s="14"/>
      <c r="BZ40" s="14"/>
      <c r="CA40" s="59"/>
      <c r="CB40" s="30">
        <f>+CB30</f>
        <v>160000</v>
      </c>
      <c r="CC40" s="14"/>
      <c r="CD40" s="13">
        <f>+CD30</f>
        <v>144000</v>
      </c>
      <c r="CE40" s="13"/>
      <c r="CF40" s="13"/>
      <c r="CG40" s="13"/>
      <c r="CH40" s="14"/>
      <c r="CI40" s="14"/>
      <c r="CJ40" s="13">
        <f>+CJ30</f>
        <v>35000</v>
      </c>
      <c r="CK40" s="14"/>
      <c r="CL40" s="14"/>
      <c r="CM40" s="14"/>
      <c r="CN40" s="13">
        <f>+CN30</f>
        <v>100000</v>
      </c>
      <c r="CO40" s="14"/>
      <c r="CP40" s="13">
        <f>+CP30</f>
        <v>54000</v>
      </c>
      <c r="CQ40" s="13"/>
      <c r="CR40" s="13"/>
      <c r="CS40" s="13"/>
      <c r="CT40" s="14"/>
      <c r="CU40" s="14"/>
      <c r="CV40" s="13">
        <f>+CV30</f>
        <v>70000</v>
      </c>
      <c r="CW40" s="14"/>
      <c r="CX40" s="14"/>
      <c r="CY40" s="14"/>
      <c r="CZ40" s="13">
        <f>+CZ30</f>
        <v>90000</v>
      </c>
      <c r="DA40" s="14"/>
      <c r="DB40" s="13">
        <f>+DB30</f>
        <v>90000</v>
      </c>
      <c r="DC40" s="13"/>
      <c r="DD40" s="13"/>
      <c r="DE40" s="13"/>
      <c r="DF40" s="14"/>
      <c r="DG40" s="14"/>
      <c r="DH40" s="13">
        <f>+DH30</f>
        <v>30000</v>
      </c>
      <c r="DI40" s="14"/>
      <c r="DJ40" s="14"/>
      <c r="DK40" s="14"/>
      <c r="DL40" s="13">
        <f>+DL30</f>
        <v>48000</v>
      </c>
      <c r="DM40" s="14"/>
      <c r="DN40" s="13">
        <f>+DN30</f>
        <v>54000</v>
      </c>
      <c r="DO40" s="13"/>
      <c r="DP40" s="13"/>
      <c r="DQ40" s="13"/>
      <c r="DR40" s="14"/>
      <c r="DS40" s="14"/>
      <c r="DT40" s="13">
        <f>+DT30</f>
        <v>30000</v>
      </c>
      <c r="DU40" s="14"/>
      <c r="DV40" s="14"/>
      <c r="DW40" s="59"/>
      <c r="DX40" s="30">
        <f>+DX30</f>
        <v>90000</v>
      </c>
      <c r="DY40" s="59"/>
      <c r="DZ40" s="30">
        <f>+DZ30</f>
        <v>63000</v>
      </c>
      <c r="EA40" s="13"/>
      <c r="EB40" s="13"/>
      <c r="EC40" s="13"/>
      <c r="ED40" s="14"/>
      <c r="EE40" s="14"/>
      <c r="EF40" s="13">
        <f>+EF30</f>
        <v>166000</v>
      </c>
      <c r="EG40" s="2801"/>
      <c r="EH40" s="2801"/>
      <c r="EI40" s="14"/>
      <c r="EJ40" s="13">
        <f>+EJ30</f>
        <v>100500</v>
      </c>
      <c r="EK40" s="14"/>
      <c r="EL40" s="13">
        <f>+EL30</f>
        <v>144000</v>
      </c>
      <c r="EM40" s="13"/>
      <c r="EN40" s="13"/>
      <c r="EO40" s="13"/>
      <c r="EP40" s="14"/>
      <c r="EQ40" s="14"/>
      <c r="ER40" s="13">
        <f>+ER30</f>
        <v>50000</v>
      </c>
      <c r="ES40" s="14"/>
      <c r="ET40" s="14"/>
      <c r="EU40" s="14"/>
      <c r="EV40" s="13">
        <f>+EV30</f>
        <v>50000</v>
      </c>
      <c r="EW40" s="14"/>
      <c r="EX40" s="13">
        <f>+EX30</f>
        <v>90000</v>
      </c>
      <c r="EY40" s="13"/>
      <c r="EZ40" s="13"/>
      <c r="FA40" s="13"/>
      <c r="FB40" s="14"/>
    </row>
    <row r="41" spans="1:162" s="1319" customFormat="1" ht="25.2" hidden="1" customHeight="1">
      <c r="A41" s="2763" t="s">
        <v>137</v>
      </c>
      <c r="B41" s="2748" t="s">
        <v>361</v>
      </c>
      <c r="C41" s="14"/>
      <c r="D41" s="13">
        <f>+D39-D40</f>
        <v>2097350</v>
      </c>
      <c r="E41" s="14"/>
      <c r="F41" s="14"/>
      <c r="G41" s="14"/>
      <c r="H41" s="13">
        <f>+H39-H40</f>
        <v>2369138.333333333</v>
      </c>
      <c r="I41" s="14"/>
      <c r="J41" s="13">
        <f>+J39-J40</f>
        <v>2796080</v>
      </c>
      <c r="K41" s="13"/>
      <c r="L41" s="13"/>
      <c r="M41" s="13"/>
      <c r="N41" s="14"/>
      <c r="O41" s="14"/>
      <c r="P41" s="13">
        <f>+P39-P40</f>
        <v>67450</v>
      </c>
      <c r="Q41" s="14"/>
      <c r="R41" s="14"/>
      <c r="S41" s="14"/>
      <c r="T41" s="13">
        <f>+T39-T40</f>
        <v>68690</v>
      </c>
      <c r="U41" s="14"/>
      <c r="V41" s="13">
        <f>+V39-V40</f>
        <v>67900</v>
      </c>
      <c r="W41" s="13"/>
      <c r="X41" s="13"/>
      <c r="Y41" s="13"/>
      <c r="Z41" s="14"/>
      <c r="AA41" s="14"/>
      <c r="AB41" s="13">
        <f>+AB39-AB40</f>
        <v>109200</v>
      </c>
      <c r="AC41" s="14"/>
      <c r="AD41" s="14"/>
      <c r="AE41" s="59"/>
      <c r="AF41" s="30">
        <f>+AF39-AF40</f>
        <v>101539.5</v>
      </c>
      <c r="AG41" s="14"/>
      <c r="AH41" s="13">
        <f>+AH39-AH40</f>
        <v>114130</v>
      </c>
      <c r="AI41" s="13"/>
      <c r="AJ41" s="13"/>
      <c r="AK41" s="13"/>
      <c r="AL41" s="14"/>
      <c r="AM41" s="14"/>
      <c r="AN41" s="13">
        <f>+AN39-AN40</f>
        <v>46250</v>
      </c>
      <c r="AO41" s="14"/>
      <c r="AP41" s="14"/>
      <c r="AQ41" s="14"/>
      <c r="AR41" s="13">
        <f>+AR39-AR40</f>
        <v>59701</v>
      </c>
      <c r="AS41" s="14"/>
      <c r="AT41" s="13">
        <f>+AT39-AT40</f>
        <v>69340</v>
      </c>
      <c r="AU41" s="13"/>
      <c r="AV41" s="13"/>
      <c r="AW41" s="13"/>
      <c r="AX41" s="14"/>
      <c r="AY41" s="14"/>
      <c r="AZ41" s="13">
        <f>+AZ39-AZ40</f>
        <v>77100</v>
      </c>
      <c r="BA41" s="14"/>
      <c r="BB41" s="14"/>
      <c r="BC41" s="14"/>
      <c r="BD41" s="13">
        <f>+BD39-BD40</f>
        <v>79821</v>
      </c>
      <c r="BE41" s="14"/>
      <c r="BF41" s="13">
        <f>+BF39-BF40</f>
        <v>86940</v>
      </c>
      <c r="BG41" s="13"/>
      <c r="BH41" s="13"/>
      <c r="BI41" s="13"/>
      <c r="BJ41" s="14"/>
      <c r="BK41" s="14"/>
      <c r="BL41" s="13">
        <f>+BL39-BL40</f>
        <v>106650</v>
      </c>
      <c r="BM41" s="14"/>
      <c r="BN41" s="14"/>
      <c r="BO41" s="14"/>
      <c r="BP41" s="13">
        <f>+BP39-BP40</f>
        <v>180256.66666666666</v>
      </c>
      <c r="BQ41" s="14"/>
      <c r="BR41" s="13">
        <f>+BR39-BR40</f>
        <v>178850</v>
      </c>
      <c r="BS41" s="13"/>
      <c r="BT41" s="13"/>
      <c r="BU41" s="13"/>
      <c r="BV41" s="14"/>
      <c r="BW41" s="14"/>
      <c r="BX41" s="13">
        <f>+BX39-BX40</f>
        <v>701200</v>
      </c>
      <c r="BY41" s="14"/>
      <c r="BZ41" s="14"/>
      <c r="CA41" s="59"/>
      <c r="CB41" s="30">
        <f>+CB39-CB40</f>
        <v>825011</v>
      </c>
      <c r="CC41" s="14"/>
      <c r="CD41" s="13">
        <f>+CD39-CD40</f>
        <v>1002450</v>
      </c>
      <c r="CE41" s="13"/>
      <c r="CF41" s="13"/>
      <c r="CG41" s="13"/>
      <c r="CH41" s="14"/>
      <c r="CI41" s="14"/>
      <c r="CJ41" s="13">
        <f>+CJ39-CJ40</f>
        <v>150760</v>
      </c>
      <c r="CK41" s="14"/>
      <c r="CL41" s="14"/>
      <c r="CM41" s="14"/>
      <c r="CN41" s="13">
        <f>+CN39-CN40</f>
        <v>170987</v>
      </c>
      <c r="CO41" s="14"/>
      <c r="CP41" s="13">
        <f>+CP39-CP40</f>
        <v>205140</v>
      </c>
      <c r="CQ41" s="13"/>
      <c r="CR41" s="13"/>
      <c r="CS41" s="13"/>
      <c r="CT41" s="14"/>
      <c r="CU41" s="14"/>
      <c r="CV41" s="13">
        <f>+CV39-CV40</f>
        <v>141460</v>
      </c>
      <c r="CW41" s="14"/>
      <c r="CX41" s="14"/>
      <c r="CY41" s="14"/>
      <c r="CZ41" s="13">
        <f>+CZ39-CZ40</f>
        <v>140542.5</v>
      </c>
      <c r="DA41" s="14"/>
      <c r="DB41" s="13">
        <f>+DB39-DB40</f>
        <v>167750</v>
      </c>
      <c r="DC41" s="13"/>
      <c r="DD41" s="13"/>
      <c r="DE41" s="13"/>
      <c r="DF41" s="14"/>
      <c r="DG41" s="14"/>
      <c r="DH41" s="13">
        <f>+DH39-DH40</f>
        <v>155900</v>
      </c>
      <c r="DI41" s="14"/>
      <c r="DJ41" s="14"/>
      <c r="DK41" s="14"/>
      <c r="DL41" s="13">
        <f>+DL39-DL40</f>
        <v>192115.5</v>
      </c>
      <c r="DM41" s="14"/>
      <c r="DN41" s="13">
        <f>+DN39-DN40</f>
        <v>215200</v>
      </c>
      <c r="DO41" s="13"/>
      <c r="DP41" s="13"/>
      <c r="DQ41" s="13"/>
      <c r="DR41" s="14"/>
      <c r="DS41" s="14"/>
      <c r="DT41" s="13">
        <f>+DT39-DT40</f>
        <v>111600</v>
      </c>
      <c r="DU41" s="14"/>
      <c r="DV41" s="14"/>
      <c r="DW41" s="59"/>
      <c r="DX41" s="30">
        <f>+DX39-DX40</f>
        <v>102522.66666666669</v>
      </c>
      <c r="DY41" s="59"/>
      <c r="DZ41" s="30">
        <f>+DZ39-DZ40</f>
        <v>112430</v>
      </c>
      <c r="EA41" s="13"/>
      <c r="EB41" s="13"/>
      <c r="EC41" s="13"/>
      <c r="ED41" s="14"/>
      <c r="EE41" s="14"/>
      <c r="EF41" s="13">
        <f>+EF39-EF40</f>
        <v>305300</v>
      </c>
      <c r="EG41" s="2801"/>
      <c r="EH41" s="2801"/>
      <c r="EI41" s="14"/>
      <c r="EJ41" s="13">
        <f>+EJ39-EJ40</f>
        <v>321730.5</v>
      </c>
      <c r="EK41" s="14"/>
      <c r="EL41" s="13">
        <f>+EL39-EL40</f>
        <v>400440</v>
      </c>
      <c r="EM41" s="13"/>
      <c r="EN41" s="13"/>
      <c r="EO41" s="13"/>
      <c r="EP41" s="14"/>
      <c r="EQ41" s="14"/>
      <c r="ER41" s="13">
        <f>+ER39-ER40</f>
        <v>124480</v>
      </c>
      <c r="ES41" s="14"/>
      <c r="ET41" s="14"/>
      <c r="EU41" s="14"/>
      <c r="EV41" s="13">
        <f>+EV39-EV40</f>
        <v>126221</v>
      </c>
      <c r="EW41" s="14"/>
      <c r="EX41" s="13">
        <f>+EX39-EX40</f>
        <v>175510</v>
      </c>
      <c r="EY41" s="13"/>
      <c r="EZ41" s="13"/>
      <c r="FA41" s="13"/>
      <c r="FB41" s="14"/>
    </row>
    <row r="42" spans="1:162" s="1319" customFormat="1" ht="25.2" hidden="1" customHeight="1">
      <c r="A42" s="2763" t="s">
        <v>137</v>
      </c>
      <c r="B42" s="2749" t="s">
        <v>1862</v>
      </c>
      <c r="C42" s="14"/>
      <c r="D42" s="14"/>
      <c r="E42" s="14"/>
      <c r="F42" s="14"/>
      <c r="G42" s="14"/>
      <c r="H42" s="14">
        <f>SUM(IF(T42&lt;0,0,T42),IF(AF42&lt;0,0,AF42),IF(AR42&lt;0,0,AR42),IF(BD42&lt;0,0,BD42),IF(BP42&lt;0,0,BP42),IF(CB42&lt;0,0,CB42),IF(CN42&lt;0,0,CN42),IF(CZ42&lt;0,0,CZ42),IF(DL42&lt;0,0,DL42),IF(DX42&lt;0,0,DX42),IF(EJ42&lt;0,0,EJ42),IF(EV42&lt;0,0,EV42),)</f>
        <v>289443.66666666663</v>
      </c>
      <c r="I42" s="14"/>
      <c r="J42" s="14"/>
      <c r="K42" s="14"/>
      <c r="L42" s="14"/>
      <c r="M42" s="14"/>
      <c r="N42" s="14"/>
      <c r="O42" s="14"/>
      <c r="P42" s="14"/>
      <c r="Q42" s="14"/>
      <c r="R42" s="14"/>
      <c r="S42" s="14"/>
      <c r="T42" s="14">
        <f>T41-P41</f>
        <v>1240</v>
      </c>
      <c r="U42" s="14"/>
      <c r="V42" s="14"/>
      <c r="W42" s="14"/>
      <c r="X42" s="14"/>
      <c r="Y42" s="14"/>
      <c r="Z42" s="14"/>
      <c r="AA42" s="14"/>
      <c r="AB42" s="14"/>
      <c r="AC42" s="14"/>
      <c r="AD42" s="14"/>
      <c r="AE42" s="59"/>
      <c r="AF42" s="59">
        <f>AF41-AB41</f>
        <v>-7660.5</v>
      </c>
      <c r="AG42" s="14"/>
      <c r="AH42" s="14"/>
      <c r="AI42" s="14"/>
      <c r="AJ42" s="14"/>
      <c r="AK42" s="14"/>
      <c r="AL42" s="14"/>
      <c r="AM42" s="14"/>
      <c r="AN42" s="14"/>
      <c r="AO42" s="14"/>
      <c r="AP42" s="14"/>
      <c r="AQ42" s="14"/>
      <c r="AR42" s="14">
        <f>AR41-AN41</f>
        <v>13451</v>
      </c>
      <c r="AS42" s="14"/>
      <c r="AT42" s="14"/>
      <c r="AU42" s="14"/>
      <c r="AV42" s="14"/>
      <c r="AW42" s="14"/>
      <c r="AX42" s="14"/>
      <c r="AY42" s="14"/>
      <c r="AZ42" s="14"/>
      <c r="BA42" s="14"/>
      <c r="BB42" s="14"/>
      <c r="BC42" s="14"/>
      <c r="BD42" s="14">
        <f>BD41-AZ41</f>
        <v>2721</v>
      </c>
      <c r="BE42" s="14"/>
      <c r="BF42" s="14"/>
      <c r="BG42" s="14"/>
      <c r="BH42" s="14"/>
      <c r="BI42" s="14"/>
      <c r="BJ42" s="14"/>
      <c r="BK42" s="14"/>
      <c r="BL42" s="14"/>
      <c r="BM42" s="14"/>
      <c r="BN42" s="14"/>
      <c r="BO42" s="14"/>
      <c r="BP42" s="14">
        <f>BP41-BL41</f>
        <v>73606.666666666657</v>
      </c>
      <c r="BQ42" s="14"/>
      <c r="BR42" s="14"/>
      <c r="BS42" s="14"/>
      <c r="BT42" s="14"/>
      <c r="BU42" s="14"/>
      <c r="BV42" s="14"/>
      <c r="BW42" s="14"/>
      <c r="BX42" s="14"/>
      <c r="BY42" s="14"/>
      <c r="BZ42" s="14"/>
      <c r="CA42" s="59"/>
      <c r="CB42" s="59">
        <f>CB41-BX41</f>
        <v>123811</v>
      </c>
      <c r="CC42" s="14"/>
      <c r="CD42" s="14"/>
      <c r="CE42" s="14"/>
      <c r="CF42" s="14"/>
      <c r="CG42" s="14"/>
      <c r="CH42" s="14"/>
      <c r="CI42" s="14"/>
      <c r="CJ42" s="14"/>
      <c r="CK42" s="14"/>
      <c r="CL42" s="14"/>
      <c r="CM42" s="14"/>
      <c r="CN42" s="14">
        <f>CN41-CJ41</f>
        <v>20227</v>
      </c>
      <c r="CO42" s="14"/>
      <c r="CP42" s="14"/>
      <c r="CQ42" s="14"/>
      <c r="CR42" s="14"/>
      <c r="CS42" s="14"/>
      <c r="CT42" s="14"/>
      <c r="CU42" s="14"/>
      <c r="CV42" s="14"/>
      <c r="CW42" s="14"/>
      <c r="CX42" s="14"/>
      <c r="CY42" s="14"/>
      <c r="CZ42" s="14">
        <f>CZ41-CV41</f>
        <v>-917.5</v>
      </c>
      <c r="DA42" s="14"/>
      <c r="DB42" s="14"/>
      <c r="DC42" s="14"/>
      <c r="DD42" s="14"/>
      <c r="DE42" s="14"/>
      <c r="DF42" s="14"/>
      <c r="DG42" s="14"/>
      <c r="DH42" s="14"/>
      <c r="DI42" s="14"/>
      <c r="DJ42" s="14"/>
      <c r="DK42" s="14"/>
      <c r="DL42" s="14">
        <f>DL41-DH41</f>
        <v>36215.5</v>
      </c>
      <c r="DM42" s="14"/>
      <c r="DN42" s="14"/>
      <c r="DO42" s="14"/>
      <c r="DP42" s="14"/>
      <c r="DQ42" s="14"/>
      <c r="DR42" s="14"/>
      <c r="DS42" s="14"/>
      <c r="DT42" s="14"/>
      <c r="DU42" s="14"/>
      <c r="DV42" s="14"/>
      <c r="DW42" s="59"/>
      <c r="DX42" s="59">
        <f>DX41-DT41</f>
        <v>-9077.3333333333139</v>
      </c>
      <c r="DY42" s="59"/>
      <c r="DZ42" s="59"/>
      <c r="EA42" s="14"/>
      <c r="EB42" s="14"/>
      <c r="EC42" s="14"/>
      <c r="ED42" s="14"/>
      <c r="EE42" s="14"/>
      <c r="EF42" s="14"/>
      <c r="EG42" s="2801"/>
      <c r="EH42" s="2801"/>
      <c r="EI42" s="14"/>
      <c r="EJ42" s="14">
        <f>EJ41-EF41</f>
        <v>16430.5</v>
      </c>
      <c r="EK42" s="14"/>
      <c r="EL42" s="14"/>
      <c r="EM42" s="14"/>
      <c r="EN42" s="14"/>
      <c r="EO42" s="14"/>
      <c r="EP42" s="14"/>
      <c r="EQ42" s="14"/>
      <c r="ER42" s="14"/>
      <c r="ES42" s="14"/>
      <c r="ET42" s="14"/>
      <c r="EU42" s="14"/>
      <c r="EV42" s="14">
        <f>EV41-ER41</f>
        <v>1741</v>
      </c>
      <c r="EW42" s="14"/>
      <c r="EX42" s="14"/>
      <c r="EY42" s="14"/>
      <c r="EZ42" s="14"/>
      <c r="FA42" s="14"/>
      <c r="FB42" s="14"/>
    </row>
    <row r="43" spans="1:162" s="2758" customFormat="1" ht="25.2" hidden="1" customHeight="1">
      <c r="A43" s="2762"/>
      <c r="B43" s="2750" t="s">
        <v>1863</v>
      </c>
      <c r="C43" s="18"/>
      <c r="D43" s="18"/>
      <c r="E43" s="18"/>
      <c r="F43" s="18"/>
      <c r="G43" s="18"/>
      <c r="H43" s="18">
        <f>SUM(AF43,AR43,BD43,BP43,CB43,CN43,CZ43,DL43,DX43,EJ43,EV43,T43)</f>
        <v>202610.56666666668</v>
      </c>
      <c r="I43" s="18"/>
      <c r="J43" s="18"/>
      <c r="K43" s="2737"/>
      <c r="L43" s="18"/>
      <c r="M43" s="18"/>
      <c r="N43" s="18"/>
      <c r="O43" s="18"/>
      <c r="P43" s="18"/>
      <c r="Q43" s="18"/>
      <c r="R43" s="18"/>
      <c r="S43" s="18"/>
      <c r="T43" s="18">
        <f>IF(T42&lt;0,0,T42*70%)</f>
        <v>868</v>
      </c>
      <c r="U43" s="18"/>
      <c r="V43" s="18"/>
      <c r="W43" s="18"/>
      <c r="X43" s="18"/>
      <c r="Y43" s="18"/>
      <c r="Z43" s="18"/>
      <c r="AA43" s="18"/>
      <c r="AB43" s="18"/>
      <c r="AC43" s="18"/>
      <c r="AD43" s="18"/>
      <c r="AE43" s="77"/>
      <c r="AF43" s="77">
        <f>IF(AF42&lt;0,0,AF42*70%)</f>
        <v>0</v>
      </c>
      <c r="AG43" s="18"/>
      <c r="AH43" s="18"/>
      <c r="AI43" s="18"/>
      <c r="AJ43" s="18"/>
      <c r="AK43" s="18"/>
      <c r="AL43" s="18"/>
      <c r="AM43" s="18"/>
      <c r="AN43" s="18"/>
      <c r="AO43" s="18"/>
      <c r="AP43" s="18"/>
      <c r="AQ43" s="18"/>
      <c r="AR43" s="18">
        <f>IF(AR42&lt;0,0,AR42*70%)</f>
        <v>9415.6999999999989</v>
      </c>
      <c r="AS43" s="18"/>
      <c r="AT43" s="18"/>
      <c r="AU43" s="18"/>
      <c r="AV43" s="18"/>
      <c r="AW43" s="18"/>
      <c r="AX43" s="18"/>
      <c r="AY43" s="18"/>
      <c r="AZ43" s="18"/>
      <c r="BA43" s="18"/>
      <c r="BB43" s="18"/>
      <c r="BC43" s="18"/>
      <c r="BD43" s="18">
        <f>IF(BD42&lt;0,0,BD42*70%)</f>
        <v>1904.6999999999998</v>
      </c>
      <c r="BE43" s="18"/>
      <c r="BF43" s="18"/>
      <c r="BG43" s="18"/>
      <c r="BH43" s="18"/>
      <c r="BI43" s="18"/>
      <c r="BJ43" s="18"/>
      <c r="BK43" s="18"/>
      <c r="BL43" s="18"/>
      <c r="BM43" s="18"/>
      <c r="BN43" s="18"/>
      <c r="BO43" s="18"/>
      <c r="BP43" s="18">
        <f>IF(BP42&lt;0,0,BP42*70%)</f>
        <v>51524.666666666657</v>
      </c>
      <c r="BQ43" s="18"/>
      <c r="BR43" s="18"/>
      <c r="BS43" s="18"/>
      <c r="BT43" s="18"/>
      <c r="BU43" s="18"/>
      <c r="BV43" s="18"/>
      <c r="BW43" s="18"/>
      <c r="BX43" s="18"/>
      <c r="BY43" s="18"/>
      <c r="BZ43" s="18"/>
      <c r="CA43" s="77"/>
      <c r="CB43" s="77">
        <f>IF(CB42&lt;0,0,CB42*70%)</f>
        <v>86667.7</v>
      </c>
      <c r="CC43" s="18"/>
      <c r="CD43" s="18"/>
      <c r="CE43" s="18"/>
      <c r="CF43" s="18"/>
      <c r="CG43" s="18"/>
      <c r="CH43" s="18"/>
      <c r="CI43" s="18"/>
      <c r="CJ43" s="18"/>
      <c r="CK43" s="18"/>
      <c r="CL43" s="18"/>
      <c r="CM43" s="18"/>
      <c r="CN43" s="18">
        <f>IF(CN42&lt;0,0,CN42*70%)</f>
        <v>14158.9</v>
      </c>
      <c r="CO43" s="18"/>
      <c r="CP43" s="18"/>
      <c r="CQ43" s="18"/>
      <c r="CR43" s="18"/>
      <c r="CS43" s="18"/>
      <c r="CT43" s="18"/>
      <c r="CU43" s="18"/>
      <c r="CV43" s="18"/>
      <c r="CW43" s="18"/>
      <c r="CX43" s="18"/>
      <c r="CY43" s="18"/>
      <c r="CZ43" s="18">
        <f>IF(CZ42&lt;0,0,CZ42*70%)</f>
        <v>0</v>
      </c>
      <c r="DA43" s="18"/>
      <c r="DB43" s="18"/>
      <c r="DC43" s="18"/>
      <c r="DD43" s="18"/>
      <c r="DE43" s="18"/>
      <c r="DF43" s="18"/>
      <c r="DG43" s="18"/>
      <c r="DH43" s="18"/>
      <c r="DI43" s="18"/>
      <c r="DJ43" s="18"/>
      <c r="DK43" s="18"/>
      <c r="DL43" s="18">
        <f>IF(DL42&lt;0,0,DL42*70%)</f>
        <v>25350.85</v>
      </c>
      <c r="DM43" s="18"/>
      <c r="DN43" s="18"/>
      <c r="DO43" s="18"/>
      <c r="DP43" s="18"/>
      <c r="DQ43" s="18"/>
      <c r="DR43" s="18"/>
      <c r="DS43" s="18"/>
      <c r="DT43" s="18"/>
      <c r="DU43" s="18"/>
      <c r="DV43" s="18"/>
      <c r="DW43" s="77"/>
      <c r="DX43" s="77">
        <f>IF(DX42&lt;0,0,DX42*70%)</f>
        <v>0</v>
      </c>
      <c r="DY43" s="77"/>
      <c r="DZ43" s="77"/>
      <c r="EA43" s="18"/>
      <c r="EB43" s="18"/>
      <c r="EC43" s="18"/>
      <c r="ED43" s="18"/>
      <c r="EE43" s="18"/>
      <c r="EF43" s="18"/>
      <c r="EG43" s="200"/>
      <c r="EH43" s="200"/>
      <c r="EI43" s="18"/>
      <c r="EJ43" s="18">
        <f>IF(EJ42&lt;0,0,EJ42*70%)</f>
        <v>11501.349999999999</v>
      </c>
      <c r="EK43" s="18"/>
      <c r="EL43" s="18"/>
      <c r="EM43" s="18"/>
      <c r="EN43" s="18"/>
      <c r="EO43" s="18"/>
      <c r="EP43" s="18"/>
      <c r="EQ43" s="18"/>
      <c r="ER43" s="18"/>
      <c r="ES43" s="18"/>
      <c r="ET43" s="18"/>
      <c r="EU43" s="18"/>
      <c r="EV43" s="18">
        <f>IF(EV42&lt;0,0,EV42*70%)</f>
        <v>1218.6999999999998</v>
      </c>
      <c r="EW43" s="18"/>
      <c r="EX43" s="18"/>
      <c r="EY43" s="18"/>
      <c r="EZ43" s="18"/>
      <c r="FA43" s="18"/>
      <c r="FB43" s="18"/>
    </row>
    <row r="44" spans="1:162" s="1319" customFormat="1" ht="25.2" hidden="1" customHeight="1">
      <c r="A44" s="2763" t="s">
        <v>137</v>
      </c>
      <c r="B44" s="2749" t="s">
        <v>1864</v>
      </c>
      <c r="C44" s="14"/>
      <c r="D44" s="14"/>
      <c r="E44" s="14"/>
      <c r="F44" s="14"/>
      <c r="G44" s="14"/>
      <c r="H44" s="14"/>
      <c r="I44" s="14"/>
      <c r="J44" s="14">
        <f>SUM(IF(V44&lt;0,0,V44),IF(AH44&lt;0,0,AH44),IF(AT44&lt;0,0,AT44),IF(BF44&lt;0,0,BF44),IF(BR44&lt;0,0,BR44),IF(CD44&lt;0,0,CD44),IF(CP44&lt;0,0,CP44),IF(DB44&lt;0,0,DB44),IF(DN44&lt;0,0,DN44),IF(DZ44&lt;0,0,DZ44),IF(EL44&lt;0,0,EL44),IF(EX44&lt;0,0,EX44),)</f>
        <v>698730</v>
      </c>
      <c r="K44" s="13"/>
      <c r="L44" s="14"/>
      <c r="M44" s="14"/>
      <c r="N44" s="14"/>
      <c r="O44" s="14"/>
      <c r="P44" s="14"/>
      <c r="Q44" s="14"/>
      <c r="R44" s="14"/>
      <c r="S44" s="14"/>
      <c r="T44" s="14"/>
      <c r="U44" s="14"/>
      <c r="V44" s="14">
        <f>V41-P41</f>
        <v>450</v>
      </c>
      <c r="W44" s="14"/>
      <c r="X44" s="14"/>
      <c r="Y44" s="14"/>
      <c r="Z44" s="14"/>
      <c r="AA44" s="14"/>
      <c r="AB44" s="14"/>
      <c r="AC44" s="14"/>
      <c r="AD44" s="14"/>
      <c r="AE44" s="14"/>
      <c r="AF44" s="14"/>
      <c r="AG44" s="14"/>
      <c r="AH44" s="14">
        <f>AH41-AB41</f>
        <v>4930</v>
      </c>
      <c r="AI44" s="14"/>
      <c r="AJ44" s="14"/>
      <c r="AK44" s="14"/>
      <c r="AL44" s="14"/>
      <c r="AM44" s="14"/>
      <c r="AN44" s="14"/>
      <c r="AO44" s="14"/>
      <c r="AP44" s="14"/>
      <c r="AQ44" s="14"/>
      <c r="AR44" s="14"/>
      <c r="AS44" s="14"/>
      <c r="AT44" s="14">
        <f>AT41-AN41</f>
        <v>23090</v>
      </c>
      <c r="AU44" s="14"/>
      <c r="AV44" s="14"/>
      <c r="AW44" s="14"/>
      <c r="AX44" s="14"/>
      <c r="AY44" s="14"/>
      <c r="AZ44" s="14"/>
      <c r="BA44" s="14"/>
      <c r="BB44" s="14"/>
      <c r="BC44" s="14"/>
      <c r="BD44" s="14"/>
      <c r="BE44" s="14"/>
      <c r="BF44" s="14">
        <f>BF41-AZ41</f>
        <v>9840</v>
      </c>
      <c r="BG44" s="14"/>
      <c r="BH44" s="14"/>
      <c r="BI44" s="14"/>
      <c r="BJ44" s="14"/>
      <c r="BK44" s="14"/>
      <c r="BL44" s="14"/>
      <c r="BM44" s="14"/>
      <c r="BN44" s="14"/>
      <c r="BO44" s="14"/>
      <c r="BP44" s="14"/>
      <c r="BQ44" s="14"/>
      <c r="BR44" s="14">
        <f>BR41-BL41</f>
        <v>72200</v>
      </c>
      <c r="BS44" s="14"/>
      <c r="BT44" s="14"/>
      <c r="BU44" s="14"/>
      <c r="BV44" s="14"/>
      <c r="BW44" s="14"/>
      <c r="BX44" s="14"/>
      <c r="BY44" s="14"/>
      <c r="BZ44" s="14"/>
      <c r="CA44" s="14"/>
      <c r="CB44" s="14"/>
      <c r="CC44" s="14"/>
      <c r="CD44" s="14">
        <f>CD41-BX41</f>
        <v>301250</v>
      </c>
      <c r="CE44" s="14"/>
      <c r="CF44" s="14"/>
      <c r="CG44" s="14"/>
      <c r="CH44" s="14"/>
      <c r="CI44" s="14"/>
      <c r="CJ44" s="14"/>
      <c r="CK44" s="14"/>
      <c r="CL44" s="14"/>
      <c r="CM44" s="14"/>
      <c r="CN44" s="14"/>
      <c r="CO44" s="14"/>
      <c r="CP44" s="14">
        <f>CP41-CJ41</f>
        <v>54380</v>
      </c>
      <c r="CQ44" s="14"/>
      <c r="CR44" s="14"/>
      <c r="CS44" s="14"/>
      <c r="CT44" s="14"/>
      <c r="CU44" s="14"/>
      <c r="CV44" s="14"/>
      <c r="CW44" s="14"/>
      <c r="CX44" s="14"/>
      <c r="CY44" s="14"/>
      <c r="CZ44" s="14"/>
      <c r="DA44" s="14"/>
      <c r="DB44" s="14">
        <f>DB41-CV41</f>
        <v>26290</v>
      </c>
      <c r="DC44" s="14"/>
      <c r="DD44" s="14"/>
      <c r="DE44" s="14"/>
      <c r="DF44" s="14"/>
      <c r="DG44" s="14"/>
      <c r="DH44" s="14"/>
      <c r="DI44" s="14"/>
      <c r="DJ44" s="14"/>
      <c r="DK44" s="14"/>
      <c r="DL44" s="14"/>
      <c r="DM44" s="14"/>
      <c r="DN44" s="14">
        <f>DN41-DH41</f>
        <v>59300</v>
      </c>
      <c r="DO44" s="14"/>
      <c r="DP44" s="14"/>
      <c r="DQ44" s="14"/>
      <c r="DR44" s="14"/>
      <c r="DS44" s="14"/>
      <c r="DT44" s="14"/>
      <c r="DU44" s="14"/>
      <c r="DV44" s="14"/>
      <c r="DW44" s="59"/>
      <c r="DX44" s="59"/>
      <c r="DY44" s="59"/>
      <c r="DZ44" s="59">
        <f>DZ41-DT41</f>
        <v>830</v>
      </c>
      <c r="EA44" s="14"/>
      <c r="EB44" s="14"/>
      <c r="EC44" s="14"/>
      <c r="ED44" s="14"/>
      <c r="EE44" s="14"/>
      <c r="EF44" s="14"/>
      <c r="EG44" s="14"/>
      <c r="EH44" s="14"/>
      <c r="EI44" s="14"/>
      <c r="EJ44" s="14"/>
      <c r="EK44" s="14"/>
      <c r="EL44" s="14">
        <f>EL41-EF41</f>
        <v>95140</v>
      </c>
      <c r="EM44" s="14"/>
      <c r="EN44" s="14"/>
      <c r="EO44" s="14"/>
      <c r="EP44" s="14"/>
      <c r="EQ44" s="14"/>
      <c r="ER44" s="14"/>
      <c r="ES44" s="14"/>
      <c r="ET44" s="14"/>
      <c r="EU44" s="14"/>
      <c r="EV44" s="14"/>
      <c r="EW44" s="14"/>
      <c r="EX44" s="14">
        <f>EX41-ER41</f>
        <v>51030</v>
      </c>
      <c r="EY44" s="14"/>
      <c r="EZ44" s="14"/>
      <c r="FA44" s="14"/>
      <c r="FB44" s="14"/>
    </row>
    <row r="45" spans="1:162" s="2758" customFormat="1" ht="25.2" hidden="1" customHeight="1">
      <c r="A45" s="2764"/>
      <c r="B45" s="2751" t="s">
        <v>1865</v>
      </c>
      <c r="C45" s="203"/>
      <c r="D45" s="203"/>
      <c r="E45" s="203"/>
      <c r="F45" s="203"/>
      <c r="G45" s="203"/>
      <c r="H45" s="203"/>
      <c r="I45" s="203"/>
      <c r="J45" s="203">
        <f>SUM(AH45,AT45,BF45,BR45,CD45,CP45,DB45,DN45,DZ45,EL45,EX45,V45)</f>
        <v>349365</v>
      </c>
      <c r="K45" s="2752"/>
      <c r="L45" s="203"/>
      <c r="M45" s="203"/>
      <c r="N45" s="203"/>
      <c r="O45" s="203"/>
      <c r="P45" s="203"/>
      <c r="Q45" s="203"/>
      <c r="R45" s="203"/>
      <c r="S45" s="203"/>
      <c r="T45" s="203"/>
      <c r="U45" s="203"/>
      <c r="V45" s="203">
        <f>INT(V44/2)</f>
        <v>225</v>
      </c>
      <c r="W45" s="203"/>
      <c r="X45" s="203"/>
      <c r="Y45" s="203"/>
      <c r="Z45" s="203"/>
      <c r="AA45" s="203"/>
      <c r="AB45" s="203"/>
      <c r="AC45" s="203"/>
      <c r="AD45" s="203"/>
      <c r="AE45" s="203"/>
      <c r="AF45" s="203"/>
      <c r="AG45" s="203"/>
      <c r="AH45" s="203">
        <f>INT(AH44/2)</f>
        <v>2465</v>
      </c>
      <c r="AI45" s="203"/>
      <c r="AJ45" s="203"/>
      <c r="AK45" s="203"/>
      <c r="AL45" s="203"/>
      <c r="AM45" s="203"/>
      <c r="AN45" s="203"/>
      <c r="AO45" s="203"/>
      <c r="AP45" s="203"/>
      <c r="AQ45" s="203"/>
      <c r="AR45" s="203"/>
      <c r="AS45" s="203"/>
      <c r="AT45" s="203">
        <f>INT(AT44/2)</f>
        <v>11545</v>
      </c>
      <c r="AU45" s="203"/>
      <c r="AV45" s="203"/>
      <c r="AW45" s="203"/>
      <c r="AX45" s="203"/>
      <c r="AY45" s="203"/>
      <c r="AZ45" s="203"/>
      <c r="BA45" s="203"/>
      <c r="BB45" s="203"/>
      <c r="BC45" s="203"/>
      <c r="BD45" s="203"/>
      <c r="BE45" s="203"/>
      <c r="BF45" s="203">
        <f>INT(BF44/2)</f>
        <v>4920</v>
      </c>
      <c r="BG45" s="203"/>
      <c r="BH45" s="203"/>
      <c r="BI45" s="203"/>
      <c r="BJ45" s="203"/>
      <c r="BK45" s="203"/>
      <c r="BL45" s="203"/>
      <c r="BM45" s="203"/>
      <c r="BN45" s="203"/>
      <c r="BO45" s="203"/>
      <c r="BP45" s="203"/>
      <c r="BQ45" s="203"/>
      <c r="BR45" s="203">
        <f>INT(BR44/2)</f>
        <v>36100</v>
      </c>
      <c r="BS45" s="203"/>
      <c r="BT45" s="203"/>
      <c r="BU45" s="203"/>
      <c r="BV45" s="203"/>
      <c r="BW45" s="203"/>
      <c r="BX45" s="203"/>
      <c r="BY45" s="203"/>
      <c r="BZ45" s="203"/>
      <c r="CA45" s="203"/>
      <c r="CB45" s="203"/>
      <c r="CC45" s="203"/>
      <c r="CD45" s="203">
        <f>INT(CD44/2)</f>
        <v>150625</v>
      </c>
      <c r="CE45" s="203"/>
      <c r="CF45" s="203"/>
      <c r="CG45" s="203"/>
      <c r="CH45" s="203"/>
      <c r="CI45" s="203"/>
      <c r="CJ45" s="203"/>
      <c r="CK45" s="203"/>
      <c r="CL45" s="203"/>
      <c r="CM45" s="203"/>
      <c r="CN45" s="203"/>
      <c r="CO45" s="203"/>
      <c r="CP45" s="203">
        <f>INT(CP44/2)</f>
        <v>27190</v>
      </c>
      <c r="CQ45" s="203"/>
      <c r="CR45" s="203"/>
      <c r="CS45" s="203"/>
      <c r="CT45" s="203"/>
      <c r="CU45" s="203"/>
      <c r="CV45" s="203"/>
      <c r="CW45" s="203"/>
      <c r="CX45" s="203"/>
      <c r="CY45" s="203"/>
      <c r="CZ45" s="203"/>
      <c r="DA45" s="203"/>
      <c r="DB45" s="2895">
        <f>INT(DB44/2)</f>
        <v>13145</v>
      </c>
      <c r="DC45" s="203"/>
      <c r="DD45" s="203"/>
      <c r="DE45" s="203"/>
      <c r="DF45" s="203"/>
      <c r="DG45" s="203"/>
      <c r="DH45" s="203"/>
      <c r="DI45" s="203"/>
      <c r="DJ45" s="203"/>
      <c r="DK45" s="203"/>
      <c r="DL45" s="203"/>
      <c r="DM45" s="203"/>
      <c r="DN45" s="203">
        <f>INT(DN44/2)</f>
        <v>29650</v>
      </c>
      <c r="DO45" s="203"/>
      <c r="DP45" s="203"/>
      <c r="DQ45" s="203"/>
      <c r="DR45" s="203"/>
      <c r="DS45" s="203"/>
      <c r="DT45" s="203"/>
      <c r="DU45" s="203"/>
      <c r="DV45" s="203"/>
      <c r="DW45" s="2895"/>
      <c r="DX45" s="2895"/>
      <c r="DY45" s="2895"/>
      <c r="DZ45" s="2895">
        <f>INT(DZ44/2)</f>
        <v>415</v>
      </c>
      <c r="EA45" s="203"/>
      <c r="EB45" s="203"/>
      <c r="EC45" s="203"/>
      <c r="ED45" s="203"/>
      <c r="EE45" s="203"/>
      <c r="EF45" s="203"/>
      <c r="EG45" s="203"/>
      <c r="EH45" s="203"/>
      <c r="EI45" s="203"/>
      <c r="EJ45" s="203"/>
      <c r="EK45" s="203"/>
      <c r="EL45" s="203">
        <f>INT(EL44/2)</f>
        <v>47570</v>
      </c>
      <c r="EM45" s="203"/>
      <c r="EN45" s="203"/>
      <c r="EO45" s="203"/>
      <c r="EP45" s="203"/>
      <c r="EQ45" s="203"/>
      <c r="ER45" s="203"/>
      <c r="ES45" s="203"/>
      <c r="ET45" s="203"/>
      <c r="EU45" s="203"/>
      <c r="EV45" s="203"/>
      <c r="EW45" s="203"/>
      <c r="EX45" s="203">
        <f>INT(EX44/2)</f>
        <v>25515</v>
      </c>
      <c r="EY45" s="203"/>
      <c r="EZ45" s="203"/>
      <c r="FA45" s="203"/>
      <c r="FB45" s="203"/>
    </row>
    <row r="46" spans="1:162">
      <c r="I46" s="2753"/>
    </row>
    <row r="47" spans="1:162">
      <c r="H47" s="54"/>
      <c r="I47" s="2753"/>
      <c r="V47" s="54"/>
      <c r="AH47" s="54"/>
      <c r="AT47" s="54"/>
      <c r="BF47" s="54"/>
      <c r="BR47" s="54"/>
      <c r="CD47" s="54"/>
      <c r="CP47" s="54"/>
      <c r="DB47" s="54"/>
      <c r="DN47" s="54"/>
      <c r="DZ47" s="54"/>
      <c r="EL47" s="54"/>
      <c r="EX47" s="54"/>
    </row>
    <row r="48" spans="1:162">
      <c r="B48" s="37" t="s">
        <v>2590</v>
      </c>
      <c r="H48" s="54"/>
      <c r="I48" s="2753"/>
      <c r="K48" s="2754"/>
      <c r="V48" s="54"/>
      <c r="AH48" s="54"/>
      <c r="AT48" s="54"/>
      <c r="BF48" s="54"/>
      <c r="BR48" s="54"/>
      <c r="CD48" s="54"/>
      <c r="CP48" s="54"/>
      <c r="DB48" s="54"/>
      <c r="DN48" s="54"/>
      <c r="DZ48" s="54"/>
      <c r="EL48" s="54"/>
      <c r="EX48" s="54"/>
    </row>
    <row r="49" spans="2:156">
      <c r="H49" s="54"/>
      <c r="I49" s="2753"/>
      <c r="V49" s="54"/>
      <c r="AH49" s="54"/>
      <c r="AT49" s="54"/>
      <c r="BF49" s="54"/>
      <c r="BR49" s="54"/>
      <c r="CD49" s="54"/>
      <c r="CP49" s="54"/>
      <c r="DB49" s="54"/>
      <c r="DN49" s="54"/>
      <c r="DZ49" s="54"/>
      <c r="EL49" s="54"/>
      <c r="EX49" s="54"/>
    </row>
    <row r="50" spans="2:156">
      <c r="I50" s="2753"/>
    </row>
    <row r="51" spans="2:156">
      <c r="I51" s="2753"/>
    </row>
    <row r="52" spans="2:156">
      <c r="I52" s="2753"/>
    </row>
    <row r="53" spans="2:156">
      <c r="B53" s="37" t="s">
        <v>2460</v>
      </c>
      <c r="I53" s="2753"/>
      <c r="J53" s="2755">
        <f>J41/D41</f>
        <v>1.3331489737049134</v>
      </c>
      <c r="V53" s="2755">
        <f>V41/P41</f>
        <v>1.0066716085989622</v>
      </c>
      <c r="AH53" s="2755">
        <f>AH41/AB41</f>
        <v>1.0451465201465202</v>
      </c>
      <c r="AT53" s="2755">
        <f>AT41/AN41</f>
        <v>1.4992432432432432</v>
      </c>
      <c r="BF53" s="2755">
        <f>BF41/AZ41</f>
        <v>1.1276264591439689</v>
      </c>
      <c r="BR53" s="2755">
        <f>BR41/BL41</f>
        <v>1.6769807782466011</v>
      </c>
      <c r="CD53" s="2755">
        <f>CD41/BX41</f>
        <v>1.4296206503137479</v>
      </c>
      <c r="CP53" s="2755">
        <f>CP41/CJ41</f>
        <v>1.3607057574953569</v>
      </c>
      <c r="DB53" s="2755">
        <f>DB41/CV41</f>
        <v>1.1858475894245724</v>
      </c>
      <c r="DN53" s="2755">
        <f>DN41/DH41</f>
        <v>1.3803720333547145</v>
      </c>
      <c r="DZ53" s="2755">
        <f>DZ41/DT41</f>
        <v>1.0074372759856631</v>
      </c>
      <c r="EL53" s="2755">
        <f>EL41/EF41</f>
        <v>1.3116279069767443</v>
      </c>
      <c r="EX53" s="2794">
        <f>EX41/ER41</f>
        <v>1.4099453727506426</v>
      </c>
    </row>
    <row r="54" spans="2:156">
      <c r="B54" s="37" t="s">
        <v>2461</v>
      </c>
      <c r="I54" s="2753"/>
      <c r="J54" s="2755">
        <f>J53-1</f>
        <v>0.33314897370491336</v>
      </c>
      <c r="V54" s="2755">
        <f>V53-1</f>
        <v>6.6716085989622087E-3</v>
      </c>
      <c r="AH54" s="2755">
        <f>AH53-1</f>
        <v>4.5146520146520208E-2</v>
      </c>
      <c r="AT54" s="2755">
        <f>AT53-1</f>
        <v>0.49924324324324321</v>
      </c>
      <c r="BF54" s="2755">
        <f>BF53-1</f>
        <v>0.12762645914396886</v>
      </c>
      <c r="BR54" s="2755">
        <f>BR53-1</f>
        <v>0.67698077824660108</v>
      </c>
      <c r="CD54" s="2755">
        <f>CD53-1</f>
        <v>0.42962065031374785</v>
      </c>
      <c r="CP54" s="2755">
        <f>CP53-1</f>
        <v>0.36070575749535694</v>
      </c>
      <c r="DB54" s="2755">
        <f>DB53-1</f>
        <v>0.18584758942457236</v>
      </c>
      <c r="DN54" s="2755">
        <f>DN53-1</f>
        <v>0.38037203335471448</v>
      </c>
      <c r="DZ54" s="2755">
        <f>DZ53-1</f>
        <v>7.4372759856631276E-3</v>
      </c>
      <c r="EL54" s="2755">
        <f>EL53-1</f>
        <v>0.31162790697674425</v>
      </c>
      <c r="EX54" s="2794">
        <f>EX53-1</f>
        <v>0.40994537275064258</v>
      </c>
    </row>
    <row r="55" spans="2:156">
      <c r="B55" s="37" t="s">
        <v>2462</v>
      </c>
      <c r="I55" s="2753"/>
      <c r="J55" s="2755">
        <f>J54/2</f>
        <v>0.16657448685245668</v>
      </c>
      <c r="V55" s="2755">
        <f>V54/2</f>
        <v>3.3358042994811044E-3</v>
      </c>
      <c r="AH55" s="2755">
        <f>AH54/2</f>
        <v>2.2573260073260104E-2</v>
      </c>
      <c r="AT55" s="2755">
        <f>AT54/2</f>
        <v>0.2496216216216216</v>
      </c>
      <c r="BF55" s="2755">
        <f>BF54/2</f>
        <v>6.3813229571984431E-2</v>
      </c>
      <c r="BR55" s="2755">
        <f>BR54/2</f>
        <v>0.33849038912330054</v>
      </c>
      <c r="CD55" s="2755">
        <f>CD54/2</f>
        <v>0.21481032515687393</v>
      </c>
      <c r="CP55" s="2755">
        <f>CP54/2</f>
        <v>0.18035287874767847</v>
      </c>
      <c r="DB55" s="2755">
        <f>DB54/2</f>
        <v>9.2923794712286178E-2</v>
      </c>
      <c r="DN55" s="2755">
        <f>DN54/2</f>
        <v>0.19018601667735724</v>
      </c>
      <c r="DZ55" s="2755">
        <f>DZ54/2</f>
        <v>3.7186379928315638E-3</v>
      </c>
      <c r="EL55" s="2755">
        <f>EL54/2</f>
        <v>0.15581395348837213</v>
      </c>
      <c r="EX55" s="2794">
        <f>EX54/2</f>
        <v>0.20497268637532129</v>
      </c>
    </row>
    <row r="56" spans="2:156">
      <c r="B56" s="37" t="s">
        <v>2463</v>
      </c>
      <c r="I56" s="2753"/>
      <c r="J56" s="2756">
        <f>1+J55</f>
        <v>1.1665744868524568</v>
      </c>
      <c r="V56" s="2756">
        <f>1+V55</f>
        <v>1.0033358042994811</v>
      </c>
      <c r="AH56" s="2756">
        <f>1+AH55</f>
        <v>1.0225732600732602</v>
      </c>
      <c r="AT56" s="2756">
        <f>1+AT55</f>
        <v>1.2496216216216216</v>
      </c>
      <c r="BF56" s="2756">
        <f>1+BF55</f>
        <v>1.0638132295719844</v>
      </c>
      <c r="BR56" s="2756">
        <f>1+BR55</f>
        <v>1.3384903891233004</v>
      </c>
      <c r="CD56" s="2756">
        <f>1+CD55</f>
        <v>1.2148103251568738</v>
      </c>
      <c r="CP56" s="2756">
        <f>1+CP55</f>
        <v>1.1803528787476785</v>
      </c>
      <c r="DB56" s="2756">
        <f>1+DB55</f>
        <v>1.0929237947122861</v>
      </c>
      <c r="DN56" s="2756">
        <f>1+DN55</f>
        <v>1.1901860166773572</v>
      </c>
      <c r="DZ56" s="2756">
        <f>1+DZ55</f>
        <v>1.0037186379928316</v>
      </c>
      <c r="EL56" s="2756">
        <f>1+EL55</f>
        <v>1.155813953488372</v>
      </c>
      <c r="EN56" s="2792"/>
      <c r="EX56" s="2795">
        <f>1+EX55</f>
        <v>1.2049726863753212</v>
      </c>
      <c r="EZ56" s="2792"/>
    </row>
    <row r="57" spans="2:156">
      <c r="I57" s="2753"/>
      <c r="K57" s="2797"/>
      <c r="DO57" s="54">
        <f>DN45-DO59</f>
        <v>29650</v>
      </c>
    </row>
    <row r="58" spans="2:156">
      <c r="K58" s="2797"/>
      <c r="V58" s="2756"/>
      <c r="AG58" s="2816"/>
      <c r="AH58" s="37">
        <f>'Phụ lục 6.1 Chi'!U25</f>
        <v>28000</v>
      </c>
      <c r="AI58" s="1827">
        <f>AH45</f>
        <v>2465</v>
      </c>
      <c r="AJ58" s="2575">
        <f>AJ59+AJ62+AJ69</f>
        <v>0</v>
      </c>
      <c r="AT58" s="37">
        <f>'Phụ lục 6.1 Chi'!AA25</f>
        <v>28000</v>
      </c>
      <c r="AU58" s="54">
        <f>AT45</f>
        <v>11545</v>
      </c>
      <c r="DN58" s="37">
        <v>1.18</v>
      </c>
      <c r="EX58" s="2793"/>
      <c r="EY58" s="2792"/>
    </row>
    <row r="59" spans="2:156">
      <c r="H59" s="2575"/>
      <c r="J59" s="1827"/>
      <c r="EX59" s="2797"/>
      <c r="EY59" s="1342"/>
      <c r="EZ59" s="1"/>
    </row>
    <row r="60" spans="2:156">
      <c r="B60" s="37" t="s">
        <v>2581</v>
      </c>
      <c r="H60" s="1827"/>
      <c r="J60" s="2798">
        <f>J44-J45</f>
        <v>349365</v>
      </c>
      <c r="K60" s="2797"/>
      <c r="V60" s="2798">
        <f>V44-V45</f>
        <v>225</v>
      </c>
      <c r="AH60" s="2798">
        <f>AH44-AH45</f>
        <v>2465</v>
      </c>
      <c r="AT60" s="2798">
        <f>AT44-AT45</f>
        <v>11545</v>
      </c>
      <c r="BF60" s="2798">
        <f>BF44-BF45</f>
        <v>4920</v>
      </c>
      <c r="BR60" s="2798">
        <f>BR44-BR45</f>
        <v>36100</v>
      </c>
      <c r="CD60" s="2798">
        <f>CD44-CD45</f>
        <v>150625</v>
      </c>
      <c r="CP60" s="2798">
        <f>CP44-CP45</f>
        <v>27190</v>
      </c>
      <c r="DB60" s="2798">
        <f>DB44-DB45</f>
        <v>13145</v>
      </c>
      <c r="DN60" s="2798">
        <f>DN44-DN45</f>
        <v>29650</v>
      </c>
      <c r="DZ60" s="2798">
        <f>DZ44-DZ45</f>
        <v>415</v>
      </c>
      <c r="EL60" s="2798">
        <f>EL44-EL45</f>
        <v>47570</v>
      </c>
      <c r="EX60" s="2798">
        <f>EX44-EX45</f>
        <v>25515</v>
      </c>
      <c r="EY60" s="1"/>
      <c r="EZ60" s="34"/>
    </row>
    <row r="61" spans="2:156">
      <c r="B61" s="37" t="s">
        <v>2582</v>
      </c>
      <c r="H61" s="54"/>
      <c r="J61" s="1827"/>
      <c r="AH61" s="2793"/>
      <c r="AI61" s="34"/>
      <c r="EX61" s="2798"/>
      <c r="EY61" s="1"/>
      <c r="EZ61" s="34"/>
    </row>
    <row r="62" spans="2:156">
      <c r="B62" s="37" t="s">
        <v>2583</v>
      </c>
      <c r="J62" s="2798"/>
      <c r="K62" s="1827"/>
      <c r="AI62" s="2798"/>
      <c r="EZ62" s="1"/>
    </row>
    <row r="63" spans="2:156">
      <c r="B63" s="37" t="s">
        <v>2584</v>
      </c>
      <c r="J63" s="1827"/>
      <c r="EZ63" s="1"/>
    </row>
    <row r="64" spans="2:156">
      <c r="B64" s="37" t="s">
        <v>2585</v>
      </c>
      <c r="J64" s="2798"/>
      <c r="K64" s="2797"/>
      <c r="EZ64" s="1"/>
    </row>
    <row r="65" spans="2:156">
      <c r="B65" s="2575" t="s">
        <v>2586</v>
      </c>
      <c r="EZ65" s="54"/>
    </row>
    <row r="66" spans="2:156">
      <c r="J66" s="2798"/>
      <c r="EY66" s="58"/>
    </row>
    <row r="67" spans="2:156">
      <c r="J67" s="2798"/>
      <c r="K67" s="2797"/>
      <c r="EY67" s="58"/>
    </row>
    <row r="69" spans="2:156">
      <c r="K69" s="2798"/>
      <c r="AI69" s="2798"/>
    </row>
    <row r="70" spans="2:156">
      <c r="AI70" s="1827">
        <f>AI58-AI59-AI62-AI69</f>
        <v>2465</v>
      </c>
      <c r="AT70" s="37">
        <f>AT69-AT68</f>
        <v>0</v>
      </c>
    </row>
    <row r="71" spans="2:156">
      <c r="AU71" s="54">
        <f>AU58-AU59-AT70</f>
        <v>11545</v>
      </c>
    </row>
  </sheetData>
  <mergeCells count="228">
    <mergeCell ref="A4:A7"/>
    <mergeCell ref="B4:B7"/>
    <mergeCell ref="C4:N4"/>
    <mergeCell ref="O4:Z4"/>
    <mergeCell ref="AA4:AL4"/>
    <mergeCell ref="AM4:AX4"/>
    <mergeCell ref="S5:T5"/>
    <mergeCell ref="U5:V5"/>
    <mergeCell ref="W5:Z5"/>
    <mergeCell ref="AA5:AB5"/>
    <mergeCell ref="AG5:AH5"/>
    <mergeCell ref="AI5:AL5"/>
    <mergeCell ref="AM5:AN5"/>
    <mergeCell ref="AO5:AP5"/>
    <mergeCell ref="M6:N6"/>
    <mergeCell ref="O6:O7"/>
    <mergeCell ref="P6:P7"/>
    <mergeCell ref="Q6:Q7"/>
    <mergeCell ref="R6:R7"/>
    <mergeCell ref="S6:S7"/>
    <mergeCell ref="T6:T7"/>
    <mergeCell ref="U6:U7"/>
    <mergeCell ref="V6:V7"/>
    <mergeCell ref="W6:X6"/>
    <mergeCell ref="DS4:ED4"/>
    <mergeCell ref="EE4:EP4"/>
    <mergeCell ref="EQ4:FB4"/>
    <mergeCell ref="C5:D5"/>
    <mergeCell ref="E5:F5"/>
    <mergeCell ref="G5:H5"/>
    <mergeCell ref="I5:J5"/>
    <mergeCell ref="K5:N5"/>
    <mergeCell ref="O5:P5"/>
    <mergeCell ref="Q5:R5"/>
    <mergeCell ref="AY4:BJ4"/>
    <mergeCell ref="BK4:BV4"/>
    <mergeCell ref="BW4:CH4"/>
    <mergeCell ref="CI4:CT4"/>
    <mergeCell ref="CU4:DF4"/>
    <mergeCell ref="DG4:DR4"/>
    <mergeCell ref="AQ5:AR5"/>
    <mergeCell ref="AS5:AT5"/>
    <mergeCell ref="AU5:AX5"/>
    <mergeCell ref="AY5:AZ5"/>
    <mergeCell ref="BA5:BB5"/>
    <mergeCell ref="BC5:BD5"/>
    <mergeCell ref="AC5:AD5"/>
    <mergeCell ref="AE5:AF5"/>
    <mergeCell ref="BS5:BV5"/>
    <mergeCell ref="BW5:BX5"/>
    <mergeCell ref="BY5:BZ5"/>
    <mergeCell ref="CA5:CB5"/>
    <mergeCell ref="CC5:CD5"/>
    <mergeCell ref="CE5:CH5"/>
    <mergeCell ref="BE5:BF5"/>
    <mergeCell ref="BG5:BJ5"/>
    <mergeCell ref="BK5:BL5"/>
    <mergeCell ref="BM5:BN5"/>
    <mergeCell ref="BO5:BP5"/>
    <mergeCell ref="BQ5:BR5"/>
    <mergeCell ref="CW5:CX5"/>
    <mergeCell ref="CY5:CZ5"/>
    <mergeCell ref="DA5:DB5"/>
    <mergeCell ref="DC5:DF5"/>
    <mergeCell ref="DG5:DH5"/>
    <mergeCell ref="DI5:DJ5"/>
    <mergeCell ref="CI5:CJ5"/>
    <mergeCell ref="CK5:CL5"/>
    <mergeCell ref="CM5:CN5"/>
    <mergeCell ref="CO5:CP5"/>
    <mergeCell ref="CQ5:CT5"/>
    <mergeCell ref="CU5:CV5"/>
    <mergeCell ref="EE5:EF5"/>
    <mergeCell ref="EG5:EH5"/>
    <mergeCell ref="EI5:EJ5"/>
    <mergeCell ref="EK5:EL5"/>
    <mergeCell ref="DK5:DL5"/>
    <mergeCell ref="DM5:DN5"/>
    <mergeCell ref="DO5:DR5"/>
    <mergeCell ref="DS5:DT5"/>
    <mergeCell ref="DU5:DV5"/>
    <mergeCell ref="DW5:DX5"/>
    <mergeCell ref="FC5:FF5"/>
    <mergeCell ref="C6:C7"/>
    <mergeCell ref="D6:D7"/>
    <mergeCell ref="E6:E7"/>
    <mergeCell ref="F6:F7"/>
    <mergeCell ref="G6:G7"/>
    <mergeCell ref="H6:H7"/>
    <mergeCell ref="I6:I7"/>
    <mergeCell ref="J6:J7"/>
    <mergeCell ref="K6:L6"/>
    <mergeCell ref="EM5:EP5"/>
    <mergeCell ref="EQ5:ER5"/>
    <mergeCell ref="ES5:ET5"/>
    <mergeCell ref="EU5:EV5"/>
    <mergeCell ref="EW5:EX5"/>
    <mergeCell ref="EY5:FB5"/>
    <mergeCell ref="DY5:DZ5"/>
    <mergeCell ref="EA5:ED5"/>
    <mergeCell ref="AB6:AB7"/>
    <mergeCell ref="AC6:AC7"/>
    <mergeCell ref="AD6:AD7"/>
    <mergeCell ref="AE6:AE7"/>
    <mergeCell ref="AF6:AF7"/>
    <mergeCell ref="AG6:AG7"/>
    <mergeCell ref="Y6:Z6"/>
    <mergeCell ref="AA6:AA7"/>
    <mergeCell ref="AP6:AP7"/>
    <mergeCell ref="AQ6:AQ7"/>
    <mergeCell ref="AR6:AR7"/>
    <mergeCell ref="AS6:AS7"/>
    <mergeCell ref="AT6:AT7"/>
    <mergeCell ref="AU6:AV6"/>
    <mergeCell ref="AH6:AH7"/>
    <mergeCell ref="AI6:AJ6"/>
    <mergeCell ref="AK6:AL6"/>
    <mergeCell ref="AM6:AM7"/>
    <mergeCell ref="AN6:AN7"/>
    <mergeCell ref="AO6:AO7"/>
    <mergeCell ref="BD6:BD7"/>
    <mergeCell ref="BE6:BE7"/>
    <mergeCell ref="BF6:BF7"/>
    <mergeCell ref="BG6:BH6"/>
    <mergeCell ref="BI6:BJ6"/>
    <mergeCell ref="BK6:BK7"/>
    <mergeCell ref="AW6:AX6"/>
    <mergeCell ref="AY6:AY7"/>
    <mergeCell ref="AZ6:AZ7"/>
    <mergeCell ref="BA6:BA7"/>
    <mergeCell ref="BB6:BB7"/>
    <mergeCell ref="BC6:BC7"/>
    <mergeCell ref="BR6:BR7"/>
    <mergeCell ref="BS6:BT6"/>
    <mergeCell ref="BU6:BV6"/>
    <mergeCell ref="BW6:BW7"/>
    <mergeCell ref="BX6:BX7"/>
    <mergeCell ref="BY6:BY7"/>
    <mergeCell ref="BL6:BL7"/>
    <mergeCell ref="BM6:BM7"/>
    <mergeCell ref="BN6:BN7"/>
    <mergeCell ref="BO6:BO7"/>
    <mergeCell ref="BP6:BP7"/>
    <mergeCell ref="BQ6:BQ7"/>
    <mergeCell ref="CG6:CH6"/>
    <mergeCell ref="CI6:CI7"/>
    <mergeCell ref="CJ6:CJ7"/>
    <mergeCell ref="CK6:CK7"/>
    <mergeCell ref="CL6:CL7"/>
    <mergeCell ref="CM6:CM7"/>
    <mergeCell ref="BZ6:BZ7"/>
    <mergeCell ref="CA6:CA7"/>
    <mergeCell ref="CB6:CB7"/>
    <mergeCell ref="CC6:CC7"/>
    <mergeCell ref="CD6:CD7"/>
    <mergeCell ref="CE6:CF6"/>
    <mergeCell ref="CV6:CV7"/>
    <mergeCell ref="CW6:CW7"/>
    <mergeCell ref="CX6:CX7"/>
    <mergeCell ref="CY6:CY7"/>
    <mergeCell ref="CZ6:CZ7"/>
    <mergeCell ref="DA6:DA7"/>
    <mergeCell ref="CN6:CN7"/>
    <mergeCell ref="CO6:CO7"/>
    <mergeCell ref="CP6:CP7"/>
    <mergeCell ref="CQ6:CR6"/>
    <mergeCell ref="CS6:CT6"/>
    <mergeCell ref="CU6:CU7"/>
    <mergeCell ref="DJ6:DJ7"/>
    <mergeCell ref="DK6:DK7"/>
    <mergeCell ref="DL6:DL7"/>
    <mergeCell ref="DM6:DM7"/>
    <mergeCell ref="DN6:DN7"/>
    <mergeCell ref="DO6:DP6"/>
    <mergeCell ref="DB6:DB7"/>
    <mergeCell ref="DC6:DD6"/>
    <mergeCell ref="DE6:DF6"/>
    <mergeCell ref="DG6:DG7"/>
    <mergeCell ref="DH6:DH7"/>
    <mergeCell ref="DI6:DI7"/>
    <mergeCell ref="DX6:DX7"/>
    <mergeCell ref="DY6:DY7"/>
    <mergeCell ref="DZ6:DZ7"/>
    <mergeCell ref="EA6:EB6"/>
    <mergeCell ref="EC6:ED6"/>
    <mergeCell ref="EE6:EE7"/>
    <mergeCell ref="DQ6:DR6"/>
    <mergeCell ref="DS6:DS7"/>
    <mergeCell ref="DT6:DT7"/>
    <mergeCell ref="DU6:DU7"/>
    <mergeCell ref="DV6:DV7"/>
    <mergeCell ref="DW6:DW7"/>
    <mergeCell ref="EL6:EL7"/>
    <mergeCell ref="EM6:EN6"/>
    <mergeCell ref="EO6:EP6"/>
    <mergeCell ref="EQ6:EQ7"/>
    <mergeCell ref="ER6:ER7"/>
    <mergeCell ref="ES6:ES7"/>
    <mergeCell ref="EF6:EF7"/>
    <mergeCell ref="EG6:EG7"/>
    <mergeCell ref="EH6:EH7"/>
    <mergeCell ref="EI6:EI7"/>
    <mergeCell ref="EJ6:EJ7"/>
    <mergeCell ref="EK6:EK7"/>
    <mergeCell ref="FA6:FB6"/>
    <mergeCell ref="FC6:FC7"/>
    <mergeCell ref="FD6:FD7"/>
    <mergeCell ref="FE6:FE7"/>
    <mergeCell ref="FF6:FF7"/>
    <mergeCell ref="ET6:ET7"/>
    <mergeCell ref="EU6:EU7"/>
    <mergeCell ref="EV6:EV7"/>
    <mergeCell ref="EW6:EW7"/>
    <mergeCell ref="EX6:EX7"/>
    <mergeCell ref="EY6:EZ6"/>
    <mergeCell ref="DG1:DR1"/>
    <mergeCell ref="DS1:ED1"/>
    <mergeCell ref="EE1:EP1"/>
    <mergeCell ref="EQ1:FB1"/>
    <mergeCell ref="C1:N1"/>
    <mergeCell ref="O1:Z1"/>
    <mergeCell ref="AA1:AL1"/>
    <mergeCell ref="AM1:AX1"/>
    <mergeCell ref="AY1:BJ1"/>
    <mergeCell ref="BK1:BV1"/>
    <mergeCell ref="BW1:CH1"/>
    <mergeCell ref="CI1:CT1"/>
    <mergeCell ref="CU1:DF1"/>
  </mergeCells>
  <hyperlinks>
    <hyperlink ref="A4:A7" location="'List danh mục'!A1" display="STT"/>
  </hyperlinks>
  <printOptions horizontalCentered="1"/>
  <pageMargins left="0" right="0" top="0.59055118110236227" bottom="0" header="0" footer="0"/>
  <pageSetup paperSize="9" scale="55" orientation="portrait" r:id="rId1"/>
  <headerFooter>
    <oddHeader>&amp;R&amp;A</oddHeader>
    <oddFooter>&amp;C&amp;P/&amp;N</oddFooter>
  </headerFooter>
  <legacyDrawing r:id="rId2"/>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DB68"/>
  <sheetViews>
    <sheetView zoomScale="50" zoomScaleNormal="50" workbookViewId="0">
      <pane xSplit="10" ySplit="12" topLeftCell="K30" activePane="bottomRight" state="frozen"/>
      <selection activeCell="D51" sqref="D51"/>
      <selection pane="topRight" activeCell="D51" sqref="D51"/>
      <selection pane="bottomLeft" activeCell="D51" sqref="D51"/>
      <selection pane="bottomRight" activeCell="M17" sqref="M17"/>
    </sheetView>
  </sheetViews>
  <sheetFormatPr defaultColWidth="9" defaultRowHeight="18"/>
  <cols>
    <col min="1" max="1" width="4.3984375" style="792" bestFit="1" customWidth="1"/>
    <col min="2" max="2" width="70.09765625" style="792" customWidth="1"/>
    <col min="3" max="3" width="12.69921875" style="791" customWidth="1"/>
    <col min="4" max="106" width="12.69921875" style="792" customWidth="1"/>
    <col min="107" max="16384" width="9" style="792"/>
  </cols>
  <sheetData>
    <row r="1" spans="1:106">
      <c r="C1" s="2445" t="s">
        <v>1877</v>
      </c>
      <c r="D1" s="2445"/>
      <c r="E1" s="2445"/>
      <c r="F1" s="2445"/>
      <c r="G1" s="2446"/>
      <c r="H1" s="2446"/>
      <c r="I1" s="2446"/>
      <c r="J1" s="2446"/>
      <c r="K1" s="2445" t="str">
        <f>C1</f>
        <v>CÂN ĐỐI NGÂN SÁCH HUYỆN, THÀNH PHỐ NĂM 2023-2024</v>
      </c>
      <c r="L1" s="2445"/>
      <c r="M1" s="2445"/>
      <c r="N1" s="2445"/>
      <c r="O1" s="2445"/>
      <c r="P1" s="2445"/>
      <c r="Q1" s="2445"/>
      <c r="R1" s="2445"/>
      <c r="S1" s="2445" t="str">
        <f>K1</f>
        <v>CÂN ĐỐI NGÂN SÁCH HUYỆN, THÀNH PHỐ NĂM 2023-2024</v>
      </c>
      <c r="T1" s="2445"/>
      <c r="U1" s="2445"/>
      <c r="V1" s="2445"/>
      <c r="W1" s="2445"/>
      <c r="X1" s="2445"/>
      <c r="Y1" s="2445"/>
      <c r="Z1" s="2445"/>
      <c r="AA1" s="2445" t="str">
        <f>S1</f>
        <v>CÂN ĐỐI NGÂN SÁCH HUYỆN, THÀNH PHỐ NĂM 2023-2024</v>
      </c>
      <c r="AB1" s="2446"/>
      <c r="AC1" s="2446"/>
      <c r="AD1" s="2446"/>
      <c r="AE1" s="2446"/>
      <c r="AF1" s="2446"/>
      <c r="AG1" s="2446"/>
      <c r="AH1" s="2446"/>
      <c r="AI1" s="2445" t="str">
        <f>AA1</f>
        <v>CÂN ĐỐI NGÂN SÁCH HUYỆN, THÀNH PHỐ NĂM 2023-2024</v>
      </c>
      <c r="AJ1" s="2446"/>
      <c r="AK1" s="2446"/>
      <c r="AL1" s="2446"/>
      <c r="AM1" s="2446"/>
      <c r="AN1" s="2446"/>
      <c r="AO1" s="2446"/>
      <c r="AP1" s="2446"/>
      <c r="AQ1" s="2445" t="str">
        <f>AI1</f>
        <v>CÂN ĐỐI NGÂN SÁCH HUYỆN, THÀNH PHỐ NĂM 2023-2024</v>
      </c>
      <c r="AR1" s="2446"/>
      <c r="AS1" s="2446"/>
      <c r="AT1" s="2446"/>
      <c r="AU1" s="2446"/>
      <c r="AV1" s="2446"/>
      <c r="AW1" s="2446"/>
      <c r="AX1" s="2446"/>
      <c r="AY1" s="2445" t="str">
        <f>AQ1</f>
        <v>CÂN ĐỐI NGÂN SÁCH HUYỆN, THÀNH PHỐ NĂM 2023-2024</v>
      </c>
      <c r="AZ1" s="2446"/>
      <c r="BA1" s="2446"/>
      <c r="BB1" s="2446"/>
      <c r="BC1" s="2446"/>
      <c r="BD1" s="2446"/>
      <c r="BE1" s="2446"/>
      <c r="BF1" s="2446"/>
      <c r="BG1" s="2445" t="str">
        <f>AY1</f>
        <v>CÂN ĐỐI NGÂN SÁCH HUYỆN, THÀNH PHỐ NĂM 2023-2024</v>
      </c>
      <c r="BH1" s="2446"/>
      <c r="BI1" s="2446"/>
      <c r="BJ1" s="2446"/>
      <c r="BK1" s="2446"/>
      <c r="BL1" s="2446"/>
      <c r="BM1" s="2446"/>
      <c r="BN1" s="2446"/>
      <c r="BO1" s="2445" t="str">
        <f>BG1</f>
        <v>CÂN ĐỐI NGÂN SÁCH HUYỆN, THÀNH PHỐ NĂM 2023-2024</v>
      </c>
      <c r="BP1" s="2446"/>
      <c r="BQ1" s="2446"/>
      <c r="BR1" s="2446"/>
      <c r="BS1" s="2446"/>
      <c r="BT1" s="2446"/>
      <c r="BU1" s="2446"/>
      <c r="BV1" s="2446"/>
      <c r="BW1" s="2445" t="str">
        <f>BO1</f>
        <v>CÂN ĐỐI NGÂN SÁCH HUYỆN, THÀNH PHỐ NĂM 2023-2024</v>
      </c>
      <c r="BX1" s="2446"/>
      <c r="BY1" s="2446"/>
      <c r="BZ1" s="2446"/>
      <c r="CA1" s="2446"/>
      <c r="CB1" s="2446"/>
      <c r="CC1" s="2446"/>
      <c r="CD1" s="2446"/>
      <c r="CE1" s="2445" t="str">
        <f>BW1</f>
        <v>CÂN ĐỐI NGÂN SÁCH HUYỆN, THÀNH PHỐ NĂM 2023-2024</v>
      </c>
      <c r="CF1" s="2446"/>
      <c r="CG1" s="2446"/>
      <c r="CH1" s="2446"/>
      <c r="CI1" s="2446"/>
      <c r="CJ1" s="2446"/>
      <c r="CK1" s="2446"/>
      <c r="CL1" s="2446"/>
      <c r="CM1" s="2445" t="str">
        <f>CE1</f>
        <v>CÂN ĐỐI NGÂN SÁCH HUYỆN, THÀNH PHỐ NĂM 2023-2024</v>
      </c>
      <c r="CN1" s="2446"/>
      <c r="CO1" s="2446"/>
      <c r="CP1" s="2446"/>
      <c r="CQ1" s="2446"/>
      <c r="CR1" s="2446"/>
      <c r="CS1" s="2446"/>
      <c r="CT1" s="2446"/>
      <c r="CU1" s="2445" t="str">
        <f>CM1</f>
        <v>CÂN ĐỐI NGÂN SÁCH HUYỆN, THÀNH PHỐ NĂM 2023-2024</v>
      </c>
      <c r="CV1" s="2446"/>
      <c r="CW1" s="2446"/>
      <c r="CX1" s="2446"/>
      <c r="CY1" s="2446"/>
      <c r="CZ1" s="2446"/>
      <c r="DA1" s="2446"/>
      <c r="DB1" s="2446"/>
    </row>
    <row r="2" spans="1:106">
      <c r="C2" s="2445"/>
      <c r="D2" s="2445"/>
      <c r="E2" s="2445"/>
      <c r="F2" s="2445"/>
      <c r="G2" s="2446"/>
      <c r="H2" s="2446"/>
      <c r="I2" s="2446"/>
      <c r="J2" s="2446"/>
      <c r="K2" s="2445"/>
      <c r="L2" s="2445"/>
      <c r="M2" s="2445"/>
      <c r="N2" s="2445"/>
      <c r="O2" s="2445"/>
      <c r="P2" s="2445"/>
      <c r="Q2" s="2445"/>
      <c r="R2" s="2445"/>
      <c r="S2" s="2445"/>
      <c r="T2" s="2445"/>
      <c r="U2" s="2445"/>
      <c r="V2" s="2445"/>
      <c r="W2" s="2445"/>
      <c r="X2" s="2445"/>
      <c r="Y2" s="2445"/>
      <c r="Z2" s="2445"/>
      <c r="AA2" s="2445"/>
      <c r="AB2" s="2446"/>
      <c r="AC2" s="2446"/>
      <c r="AD2" s="2446"/>
      <c r="AE2" s="2446"/>
      <c r="AF2" s="2446"/>
      <c r="AG2" s="2446"/>
      <c r="AH2" s="2446"/>
      <c r="AI2" s="2445"/>
      <c r="AJ2" s="2446"/>
      <c r="AK2" s="2446"/>
      <c r="AL2" s="2446"/>
      <c r="AM2" s="2446"/>
      <c r="AN2" s="2446"/>
      <c r="AO2" s="2446"/>
      <c r="AP2" s="2446"/>
      <c r="AQ2" s="2445"/>
      <c r="AR2" s="2446"/>
      <c r="AS2" s="2446"/>
      <c r="AT2" s="2446"/>
      <c r="AU2" s="2446"/>
      <c r="AV2" s="2446"/>
      <c r="AW2" s="2446"/>
      <c r="AX2" s="2446"/>
      <c r="AY2" s="2445"/>
      <c r="AZ2" s="2446"/>
      <c r="BA2" s="2446"/>
      <c r="BB2" s="2446"/>
      <c r="BC2" s="2446"/>
      <c r="BD2" s="2446"/>
      <c r="BE2" s="2446"/>
      <c r="BF2" s="2446"/>
      <c r="BG2" s="2445"/>
      <c r="BH2" s="2446"/>
      <c r="BI2" s="2446"/>
      <c r="BJ2" s="2446"/>
      <c r="BK2" s="2446"/>
      <c r="BL2" s="2446"/>
      <c r="BM2" s="2446"/>
      <c r="BN2" s="2446"/>
      <c r="BO2" s="2445"/>
      <c r="BP2" s="2446"/>
      <c r="BQ2" s="2446"/>
      <c r="BR2" s="2446"/>
      <c r="BS2" s="2446"/>
      <c r="BT2" s="2446"/>
      <c r="BU2" s="2446"/>
      <c r="BV2" s="2446"/>
      <c r="BW2" s="2445"/>
      <c r="BX2" s="2446"/>
      <c r="BY2" s="2446"/>
      <c r="BZ2" s="2446"/>
      <c r="CA2" s="2446"/>
      <c r="CB2" s="2446"/>
      <c r="CC2" s="2446"/>
      <c r="CD2" s="2446"/>
      <c r="CE2" s="2445"/>
      <c r="CF2" s="2446"/>
      <c r="CG2" s="2446"/>
      <c r="CH2" s="2446"/>
      <c r="CI2" s="2446"/>
      <c r="CJ2" s="2446"/>
      <c r="CK2" s="2446"/>
      <c r="CL2" s="2446"/>
      <c r="CM2" s="2445"/>
      <c r="CN2" s="2446"/>
      <c r="CO2" s="2446"/>
      <c r="CP2" s="2446"/>
      <c r="CQ2" s="2446"/>
      <c r="CR2" s="2446"/>
      <c r="CS2" s="2446"/>
      <c r="CT2" s="2446"/>
      <c r="CU2" s="2445"/>
      <c r="CV2" s="2446"/>
      <c r="CW2" s="2446"/>
      <c r="CX2" s="2446"/>
      <c r="CY2" s="2446"/>
      <c r="CZ2" s="2446"/>
      <c r="DA2" s="2446"/>
      <c r="DB2" s="2446"/>
    </row>
    <row r="3" spans="1:106" s="2447" customFormat="1" thickBot="1">
      <c r="B3" s="2448"/>
      <c r="C3" s="2449"/>
      <c r="D3" s="2448"/>
      <c r="E3" s="2448"/>
      <c r="F3" s="2448"/>
      <c r="G3" s="2448"/>
      <c r="H3" s="2448"/>
      <c r="J3" s="2450" t="s">
        <v>64</v>
      </c>
      <c r="Q3" s="2450"/>
      <c r="R3" s="2450" t="s">
        <v>64</v>
      </c>
      <c r="Y3" s="2450"/>
      <c r="Z3" s="2450" t="s">
        <v>64</v>
      </c>
      <c r="AG3" s="2450"/>
      <c r="AH3" s="2450" t="s">
        <v>64</v>
      </c>
      <c r="AO3" s="2450"/>
      <c r="AP3" s="2450" t="s">
        <v>64</v>
      </c>
      <c r="AW3" s="2450"/>
      <c r="AX3" s="2450" t="s">
        <v>64</v>
      </c>
      <c r="BE3" s="2450"/>
      <c r="BF3" s="2450" t="s">
        <v>64</v>
      </c>
      <c r="BM3" s="2450"/>
      <c r="BN3" s="2450" t="s">
        <v>64</v>
      </c>
      <c r="BU3" s="2450"/>
      <c r="BV3" s="2450" t="s">
        <v>64</v>
      </c>
      <c r="CC3" s="2450"/>
      <c r="CD3" s="2450" t="s">
        <v>64</v>
      </c>
      <c r="CK3" s="2450"/>
      <c r="CL3" s="2450" t="s">
        <v>64</v>
      </c>
      <c r="CS3" s="2450"/>
      <c r="CT3" s="2450" t="s">
        <v>64</v>
      </c>
      <c r="DB3" s="2450" t="s">
        <v>64</v>
      </c>
    </row>
    <row r="4" spans="1:106" s="2451" customFormat="1">
      <c r="A4" s="4686" t="s">
        <v>244</v>
      </c>
      <c r="B4" s="4688" t="s">
        <v>362</v>
      </c>
      <c r="C4" s="4690" t="s">
        <v>363</v>
      </c>
      <c r="D4" s="4681"/>
      <c r="E4" s="4681"/>
      <c r="F4" s="4681"/>
      <c r="G4" s="4681"/>
      <c r="H4" s="4681"/>
      <c r="I4" s="4681"/>
      <c r="J4" s="4682"/>
      <c r="K4" s="4691" t="s">
        <v>1869</v>
      </c>
      <c r="L4" s="4692"/>
      <c r="M4" s="4692"/>
      <c r="N4" s="4692"/>
      <c r="O4" s="4692"/>
      <c r="P4" s="4692"/>
      <c r="Q4" s="4692"/>
      <c r="R4" s="4693"/>
      <c r="S4" s="4692" t="s">
        <v>364</v>
      </c>
      <c r="T4" s="4692"/>
      <c r="U4" s="4692"/>
      <c r="V4" s="4692"/>
      <c r="W4" s="4692"/>
      <c r="X4" s="4692"/>
      <c r="Y4" s="4692"/>
      <c r="Z4" s="4693"/>
      <c r="AA4" s="4680" t="s">
        <v>1870</v>
      </c>
      <c r="AB4" s="4681"/>
      <c r="AC4" s="4681"/>
      <c r="AD4" s="4681"/>
      <c r="AE4" s="4681"/>
      <c r="AF4" s="4681"/>
      <c r="AG4" s="4681"/>
      <c r="AH4" s="4682"/>
      <c r="AI4" s="4680" t="s">
        <v>1871</v>
      </c>
      <c r="AJ4" s="4681"/>
      <c r="AK4" s="4681"/>
      <c r="AL4" s="4681"/>
      <c r="AM4" s="4681"/>
      <c r="AN4" s="4681"/>
      <c r="AO4" s="4681"/>
      <c r="AP4" s="4682"/>
      <c r="AQ4" s="4683" t="s">
        <v>1872</v>
      </c>
      <c r="AR4" s="4684"/>
      <c r="AS4" s="4684"/>
      <c r="AT4" s="4684"/>
      <c r="AU4" s="4684"/>
      <c r="AV4" s="4684"/>
      <c r="AW4" s="4684"/>
      <c r="AX4" s="4685"/>
      <c r="AY4" s="4680" t="s">
        <v>365</v>
      </c>
      <c r="AZ4" s="4681"/>
      <c r="BA4" s="4681"/>
      <c r="BB4" s="4681"/>
      <c r="BC4" s="4681"/>
      <c r="BD4" s="4681"/>
      <c r="BE4" s="4681"/>
      <c r="BF4" s="4682"/>
      <c r="BG4" s="4680" t="s">
        <v>366</v>
      </c>
      <c r="BH4" s="4681"/>
      <c r="BI4" s="4681"/>
      <c r="BJ4" s="4681"/>
      <c r="BK4" s="4681"/>
      <c r="BL4" s="4681"/>
      <c r="BM4" s="4681"/>
      <c r="BN4" s="4682"/>
      <c r="BO4" s="4680" t="s">
        <v>1873</v>
      </c>
      <c r="BP4" s="4681"/>
      <c r="BQ4" s="4681"/>
      <c r="BR4" s="4681"/>
      <c r="BS4" s="4681"/>
      <c r="BT4" s="4681"/>
      <c r="BU4" s="4681"/>
      <c r="BV4" s="4682"/>
      <c r="BW4" s="4680" t="s">
        <v>1874</v>
      </c>
      <c r="BX4" s="4681"/>
      <c r="BY4" s="4681"/>
      <c r="BZ4" s="4681"/>
      <c r="CA4" s="4681"/>
      <c r="CB4" s="4681"/>
      <c r="CC4" s="4681"/>
      <c r="CD4" s="4682"/>
      <c r="CE4" s="4680" t="s">
        <v>1875</v>
      </c>
      <c r="CF4" s="4681"/>
      <c r="CG4" s="4681"/>
      <c r="CH4" s="4681"/>
      <c r="CI4" s="4681"/>
      <c r="CJ4" s="4681"/>
      <c r="CK4" s="4681"/>
      <c r="CL4" s="4682"/>
      <c r="CM4" s="4680" t="s">
        <v>367</v>
      </c>
      <c r="CN4" s="4681"/>
      <c r="CO4" s="4681"/>
      <c r="CP4" s="4681"/>
      <c r="CQ4" s="4681"/>
      <c r="CR4" s="4681"/>
      <c r="CS4" s="4681"/>
      <c r="CT4" s="4682"/>
      <c r="CU4" s="4680" t="s">
        <v>1876</v>
      </c>
      <c r="CV4" s="4681"/>
      <c r="CW4" s="4681"/>
      <c r="CX4" s="4681"/>
      <c r="CY4" s="4681"/>
      <c r="CZ4" s="4681"/>
      <c r="DA4" s="4681"/>
      <c r="DB4" s="4682"/>
    </row>
    <row r="5" spans="1:106" s="2452" customFormat="1" ht="17.399999999999999">
      <c r="A5" s="4687"/>
      <c r="B5" s="4689"/>
      <c r="C5" s="4679" t="s">
        <v>568</v>
      </c>
      <c r="D5" s="4677"/>
      <c r="E5" s="4678"/>
      <c r="F5" s="4679" t="s">
        <v>1866</v>
      </c>
      <c r="G5" s="4677"/>
      <c r="H5" s="4678"/>
      <c r="I5" s="4364" t="s">
        <v>1867</v>
      </c>
      <c r="J5" s="4674" t="s">
        <v>1868</v>
      </c>
      <c r="K5" s="4676" t="str">
        <f>C5</f>
        <v>NĂM 2023</v>
      </c>
      <c r="L5" s="4677"/>
      <c r="M5" s="4678"/>
      <c r="N5" s="4679" t="str">
        <f>F5</f>
        <v>DỰ TOÁN 2024</v>
      </c>
      <c r="O5" s="4677"/>
      <c r="P5" s="4678"/>
      <c r="Q5" s="4364" t="str">
        <f>I5</f>
        <v>DT2024/
DT2023
(Số tuyệt đối)</v>
      </c>
      <c r="R5" s="4674" t="str">
        <f>J5</f>
        <v>DT2024/
DT2023
(Số tương đối)</v>
      </c>
      <c r="S5" s="4678" t="str">
        <f>K5</f>
        <v>NĂM 2023</v>
      </c>
      <c r="T5" s="4689"/>
      <c r="U5" s="4689"/>
      <c r="V5" s="4689" t="str">
        <f>N5</f>
        <v>DỰ TOÁN 2024</v>
      </c>
      <c r="W5" s="4689"/>
      <c r="X5" s="4689"/>
      <c r="Y5" s="4364" t="str">
        <f>Q5</f>
        <v>DT2024/
DT2023
(Số tuyệt đối)</v>
      </c>
      <c r="Z5" s="4674" t="str">
        <f>R5</f>
        <v>DT2024/
DT2023
(Số tương đối)</v>
      </c>
      <c r="AA5" s="4676" t="str">
        <f>S5</f>
        <v>NĂM 2023</v>
      </c>
      <c r="AB5" s="4677"/>
      <c r="AC5" s="4678"/>
      <c r="AD5" s="4679" t="str">
        <f>V5</f>
        <v>DỰ TOÁN 2024</v>
      </c>
      <c r="AE5" s="4677"/>
      <c r="AF5" s="4678"/>
      <c r="AG5" s="4364" t="str">
        <f>Y5</f>
        <v>DT2024/
DT2023
(Số tuyệt đối)</v>
      </c>
      <c r="AH5" s="4674" t="str">
        <f>Z5</f>
        <v>DT2024/
DT2023
(Số tương đối)</v>
      </c>
      <c r="AI5" s="4676" t="str">
        <f>AA5</f>
        <v>NĂM 2023</v>
      </c>
      <c r="AJ5" s="4677"/>
      <c r="AK5" s="4678"/>
      <c r="AL5" s="4679" t="str">
        <f>AD5</f>
        <v>DỰ TOÁN 2024</v>
      </c>
      <c r="AM5" s="4677"/>
      <c r="AN5" s="4678"/>
      <c r="AO5" s="4364" t="str">
        <f>AG5</f>
        <v>DT2024/
DT2023
(Số tuyệt đối)</v>
      </c>
      <c r="AP5" s="4674" t="str">
        <f>AH5</f>
        <v>DT2024/
DT2023
(Số tương đối)</v>
      </c>
      <c r="AQ5" s="4676" t="str">
        <f>AI5</f>
        <v>NĂM 2023</v>
      </c>
      <c r="AR5" s="4677"/>
      <c r="AS5" s="4678"/>
      <c r="AT5" s="4679" t="str">
        <f>AL5</f>
        <v>DỰ TOÁN 2024</v>
      </c>
      <c r="AU5" s="4677"/>
      <c r="AV5" s="4678"/>
      <c r="AW5" s="4364" t="str">
        <f>AO5</f>
        <v>DT2024/
DT2023
(Số tuyệt đối)</v>
      </c>
      <c r="AX5" s="4674" t="str">
        <f>AP5</f>
        <v>DT2024/
DT2023
(Số tương đối)</v>
      </c>
      <c r="AY5" s="4676" t="str">
        <f>AQ5</f>
        <v>NĂM 2023</v>
      </c>
      <c r="AZ5" s="4677"/>
      <c r="BA5" s="4678"/>
      <c r="BB5" s="4679" t="str">
        <f>AT5</f>
        <v>DỰ TOÁN 2024</v>
      </c>
      <c r="BC5" s="4677"/>
      <c r="BD5" s="4678"/>
      <c r="BE5" s="4364" t="str">
        <f>AW5</f>
        <v>DT2024/
DT2023
(Số tuyệt đối)</v>
      </c>
      <c r="BF5" s="4674" t="str">
        <f>AX5</f>
        <v>DT2024/
DT2023
(Số tương đối)</v>
      </c>
      <c r="BG5" s="4676" t="str">
        <f>AY5</f>
        <v>NĂM 2023</v>
      </c>
      <c r="BH5" s="4677"/>
      <c r="BI5" s="4678"/>
      <c r="BJ5" s="4679" t="str">
        <f>BB5</f>
        <v>DỰ TOÁN 2024</v>
      </c>
      <c r="BK5" s="4677"/>
      <c r="BL5" s="4678"/>
      <c r="BM5" s="4364" t="str">
        <f>BE5</f>
        <v>DT2024/
DT2023
(Số tuyệt đối)</v>
      </c>
      <c r="BN5" s="4674" t="str">
        <f>BF5</f>
        <v>DT2024/
DT2023
(Số tương đối)</v>
      </c>
      <c r="BO5" s="4676" t="str">
        <f>BG5</f>
        <v>NĂM 2023</v>
      </c>
      <c r="BP5" s="4677"/>
      <c r="BQ5" s="4678"/>
      <c r="BR5" s="4679" t="str">
        <f>BJ5</f>
        <v>DỰ TOÁN 2024</v>
      </c>
      <c r="BS5" s="4677"/>
      <c r="BT5" s="4678"/>
      <c r="BU5" s="4364" t="str">
        <f>BM5</f>
        <v>DT2024/
DT2023
(Số tuyệt đối)</v>
      </c>
      <c r="BV5" s="4674" t="str">
        <f>BN5</f>
        <v>DT2024/
DT2023
(Số tương đối)</v>
      </c>
      <c r="BW5" s="4676" t="str">
        <f>BO5</f>
        <v>NĂM 2023</v>
      </c>
      <c r="BX5" s="4677"/>
      <c r="BY5" s="4678"/>
      <c r="BZ5" s="4679" t="str">
        <f>BR5</f>
        <v>DỰ TOÁN 2024</v>
      </c>
      <c r="CA5" s="4677"/>
      <c r="CB5" s="4678"/>
      <c r="CC5" s="4364" t="str">
        <f>BU5</f>
        <v>DT2024/
DT2023
(Số tuyệt đối)</v>
      </c>
      <c r="CD5" s="4674" t="str">
        <f>BV5</f>
        <v>DT2024/
DT2023
(Số tương đối)</v>
      </c>
      <c r="CE5" s="4676" t="str">
        <f>BW5</f>
        <v>NĂM 2023</v>
      </c>
      <c r="CF5" s="4677"/>
      <c r="CG5" s="4678"/>
      <c r="CH5" s="4679" t="str">
        <f>BZ5</f>
        <v>DỰ TOÁN 2024</v>
      </c>
      <c r="CI5" s="4677"/>
      <c r="CJ5" s="4678"/>
      <c r="CK5" s="4364" t="str">
        <f>CC5</f>
        <v>DT2024/
DT2023
(Số tuyệt đối)</v>
      </c>
      <c r="CL5" s="4674" t="str">
        <f>CD5</f>
        <v>DT2024/
DT2023
(Số tương đối)</v>
      </c>
      <c r="CM5" s="4676" t="str">
        <f>CE5</f>
        <v>NĂM 2023</v>
      </c>
      <c r="CN5" s="4677"/>
      <c r="CO5" s="4678"/>
      <c r="CP5" s="4679" t="str">
        <f>CH5</f>
        <v>DỰ TOÁN 2024</v>
      </c>
      <c r="CQ5" s="4677"/>
      <c r="CR5" s="4678"/>
      <c r="CS5" s="4364" t="str">
        <f>CK5</f>
        <v>DT2024/
DT2023
(Số tuyệt đối)</v>
      </c>
      <c r="CT5" s="4674" t="str">
        <f>CL5</f>
        <v>DT2024/
DT2023
(Số tương đối)</v>
      </c>
      <c r="CU5" s="4676" t="str">
        <f>CM5</f>
        <v>NĂM 2023</v>
      </c>
      <c r="CV5" s="4677"/>
      <c r="CW5" s="4678"/>
      <c r="CX5" s="4679" t="str">
        <f>CP5</f>
        <v>DỰ TOÁN 2024</v>
      </c>
      <c r="CY5" s="4677"/>
      <c r="CZ5" s="4678"/>
      <c r="DA5" s="4364" t="str">
        <f>CS5</f>
        <v>DT2024/
DT2023
(Số tuyệt đối)</v>
      </c>
      <c r="DB5" s="4674" t="str">
        <f>CT5</f>
        <v>DT2024/
DT2023
(Số tương đối)</v>
      </c>
    </row>
    <row r="6" spans="1:106" s="2452" customFormat="1" ht="251.4" customHeight="1">
      <c r="A6" s="4687"/>
      <c r="B6" s="4689"/>
      <c r="C6" s="765" t="s">
        <v>369</v>
      </c>
      <c r="D6" s="765" t="s">
        <v>370</v>
      </c>
      <c r="E6" s="765" t="s">
        <v>1703</v>
      </c>
      <c r="F6" s="765" t="s">
        <v>372</v>
      </c>
      <c r="G6" s="765" t="s">
        <v>2601</v>
      </c>
      <c r="H6" s="765" t="s">
        <v>2602</v>
      </c>
      <c r="I6" s="4365"/>
      <c r="J6" s="4675"/>
      <c r="K6" s="2475" t="str">
        <f>C6</f>
        <v>DỰ TOÁN (GIAO ĐẦU NĂM)</v>
      </c>
      <c r="L6" s="765" t="str">
        <f>D6</f>
        <v>ĐIỀU CHỈNH DỰ TOÁN</v>
      </c>
      <c r="M6" s="765" t="str">
        <f>E6</f>
        <v>ƯỚC THỰC HIỆN NĂM 2023</v>
      </c>
      <c r="N6" s="765" t="str">
        <f>F6</f>
        <v xml:space="preserve">DỰ TOÁN </v>
      </c>
      <c r="O6" s="765" t="str">
        <f>G6</f>
        <v>Tiền lương tăng thêm 1,8 triệu tháng (12 tháng)</v>
      </c>
      <c r="P6" s="765" t="str">
        <f>H6</f>
        <v>DỰ TOÁN (tiền lương tăng thêm 1,8 triệu đồng/tháng (Nếu có) và chính sách an sinh xã hội tăng thêm)</v>
      </c>
      <c r="Q6" s="4365"/>
      <c r="R6" s="4675"/>
      <c r="S6" s="2474" t="str">
        <f>K6</f>
        <v>DỰ TOÁN (GIAO ĐẦU NĂM)</v>
      </c>
      <c r="T6" s="765" t="str">
        <f t="shared" ref="T6:X6" si="0">L6</f>
        <v>ĐIỀU CHỈNH DỰ TOÁN</v>
      </c>
      <c r="U6" s="765" t="str">
        <f t="shared" si="0"/>
        <v>ƯỚC THỰC HIỆN NĂM 2023</v>
      </c>
      <c r="V6" s="765" t="str">
        <f t="shared" si="0"/>
        <v xml:space="preserve">DỰ TOÁN </v>
      </c>
      <c r="W6" s="765" t="str">
        <f>O6</f>
        <v>Tiền lương tăng thêm 1,8 triệu tháng (12 tháng)</v>
      </c>
      <c r="X6" s="765" t="str">
        <f t="shared" si="0"/>
        <v>DỰ TOÁN (tiền lương tăng thêm 1,8 triệu đồng/tháng (Nếu có) và chính sách an sinh xã hội tăng thêm)</v>
      </c>
      <c r="Y6" s="4365"/>
      <c r="Z6" s="4675"/>
      <c r="AA6" s="2475" t="str">
        <f>S6</f>
        <v>DỰ TOÁN (GIAO ĐẦU NĂM)</v>
      </c>
      <c r="AB6" s="765" t="str">
        <f>T6</f>
        <v>ĐIỀU CHỈNH DỰ TOÁN</v>
      </c>
      <c r="AC6" s="765" t="str">
        <f t="shared" ref="AC6:AF6" si="1">U6</f>
        <v>ƯỚC THỰC HIỆN NĂM 2023</v>
      </c>
      <c r="AD6" s="765" t="str">
        <f t="shared" si="1"/>
        <v xml:space="preserve">DỰ TOÁN </v>
      </c>
      <c r="AE6" s="765" t="str">
        <f t="shared" si="1"/>
        <v>Tiền lương tăng thêm 1,8 triệu tháng (12 tháng)</v>
      </c>
      <c r="AF6" s="765" t="str">
        <f t="shared" si="1"/>
        <v>DỰ TOÁN (tiền lương tăng thêm 1,8 triệu đồng/tháng (Nếu có) và chính sách an sinh xã hội tăng thêm)</v>
      </c>
      <c r="AG6" s="4365"/>
      <c r="AH6" s="4675"/>
      <c r="AI6" s="2475" t="str">
        <f>AA6</f>
        <v>DỰ TOÁN (GIAO ĐẦU NĂM)</v>
      </c>
      <c r="AJ6" s="765" t="str">
        <f>AB6</f>
        <v>ĐIỀU CHỈNH DỰ TOÁN</v>
      </c>
      <c r="AK6" s="765" t="str">
        <f t="shared" ref="AK6:AN6" si="2">AC6</f>
        <v>ƯỚC THỰC HIỆN NĂM 2023</v>
      </c>
      <c r="AL6" s="765" t="str">
        <f t="shared" si="2"/>
        <v xml:space="preserve">DỰ TOÁN </v>
      </c>
      <c r="AM6" s="765" t="str">
        <f t="shared" si="2"/>
        <v>Tiền lương tăng thêm 1,8 triệu tháng (12 tháng)</v>
      </c>
      <c r="AN6" s="765" t="str">
        <f t="shared" si="2"/>
        <v>DỰ TOÁN (tiền lương tăng thêm 1,8 triệu đồng/tháng (Nếu có) và chính sách an sinh xã hội tăng thêm)</v>
      </c>
      <c r="AO6" s="4365"/>
      <c r="AP6" s="4675"/>
      <c r="AQ6" s="2475" t="str">
        <f>AI6</f>
        <v>DỰ TOÁN (GIAO ĐẦU NĂM)</v>
      </c>
      <c r="AR6" s="765" t="str">
        <f>AJ6</f>
        <v>ĐIỀU CHỈNH DỰ TOÁN</v>
      </c>
      <c r="AS6" s="765" t="str">
        <f t="shared" ref="AS6:AV6" si="3">AK6</f>
        <v>ƯỚC THỰC HIỆN NĂM 2023</v>
      </c>
      <c r="AT6" s="765" t="str">
        <f t="shared" si="3"/>
        <v xml:space="preserve">DỰ TOÁN </v>
      </c>
      <c r="AU6" s="765" t="str">
        <f t="shared" si="3"/>
        <v>Tiền lương tăng thêm 1,8 triệu tháng (12 tháng)</v>
      </c>
      <c r="AV6" s="765" t="str">
        <f t="shared" si="3"/>
        <v>DỰ TOÁN (tiền lương tăng thêm 1,8 triệu đồng/tháng (Nếu có) và chính sách an sinh xã hội tăng thêm)</v>
      </c>
      <c r="AW6" s="4365"/>
      <c r="AX6" s="4675"/>
      <c r="AY6" s="2475" t="str">
        <f>AQ6</f>
        <v>DỰ TOÁN (GIAO ĐẦU NĂM)</v>
      </c>
      <c r="AZ6" s="765" t="str">
        <f>AR6</f>
        <v>ĐIỀU CHỈNH DỰ TOÁN</v>
      </c>
      <c r="BA6" s="765" t="str">
        <f>AS6</f>
        <v>ƯỚC THỰC HIỆN NĂM 2023</v>
      </c>
      <c r="BB6" s="765" t="str">
        <f t="shared" ref="BB6:BD6" si="4">AT6</f>
        <v xml:space="preserve">DỰ TOÁN </v>
      </c>
      <c r="BC6" s="765" t="str">
        <f t="shared" si="4"/>
        <v>Tiền lương tăng thêm 1,8 triệu tháng (12 tháng)</v>
      </c>
      <c r="BD6" s="765" t="str">
        <f t="shared" si="4"/>
        <v>DỰ TOÁN (tiền lương tăng thêm 1,8 triệu đồng/tháng (Nếu có) và chính sách an sinh xã hội tăng thêm)</v>
      </c>
      <c r="BE6" s="4365"/>
      <c r="BF6" s="4675"/>
      <c r="BG6" s="2475" t="str">
        <f>AY6</f>
        <v>DỰ TOÁN (GIAO ĐẦU NĂM)</v>
      </c>
      <c r="BH6" s="765" t="str">
        <f>AZ6</f>
        <v>ĐIỀU CHỈNH DỰ TOÁN</v>
      </c>
      <c r="BI6" s="765" t="str">
        <f t="shared" ref="BI6:BL6" si="5">BA6</f>
        <v>ƯỚC THỰC HIỆN NĂM 2023</v>
      </c>
      <c r="BJ6" s="765" t="str">
        <f t="shared" si="5"/>
        <v xml:space="preserve">DỰ TOÁN </v>
      </c>
      <c r="BK6" s="765" t="str">
        <f t="shared" si="5"/>
        <v>Tiền lương tăng thêm 1,8 triệu tháng (12 tháng)</v>
      </c>
      <c r="BL6" s="765" t="str">
        <f t="shared" si="5"/>
        <v>DỰ TOÁN (tiền lương tăng thêm 1,8 triệu đồng/tháng (Nếu có) và chính sách an sinh xã hội tăng thêm)</v>
      </c>
      <c r="BM6" s="4365"/>
      <c r="BN6" s="4675"/>
      <c r="BO6" s="2475" t="str">
        <f>BG6</f>
        <v>DỰ TOÁN (GIAO ĐẦU NĂM)</v>
      </c>
      <c r="BP6" s="765" t="str">
        <f>BH6</f>
        <v>ĐIỀU CHỈNH DỰ TOÁN</v>
      </c>
      <c r="BQ6" s="765" t="str">
        <f t="shared" ref="BQ6:BT6" si="6">BI6</f>
        <v>ƯỚC THỰC HIỆN NĂM 2023</v>
      </c>
      <c r="BR6" s="765" t="str">
        <f t="shared" si="6"/>
        <v xml:space="preserve">DỰ TOÁN </v>
      </c>
      <c r="BS6" s="765" t="str">
        <f t="shared" si="6"/>
        <v>Tiền lương tăng thêm 1,8 triệu tháng (12 tháng)</v>
      </c>
      <c r="BT6" s="765" t="str">
        <f t="shared" si="6"/>
        <v>DỰ TOÁN (tiền lương tăng thêm 1,8 triệu đồng/tháng (Nếu có) và chính sách an sinh xã hội tăng thêm)</v>
      </c>
      <c r="BU6" s="4365"/>
      <c r="BV6" s="4675"/>
      <c r="BW6" s="2475" t="str">
        <f>BO6</f>
        <v>DỰ TOÁN (GIAO ĐẦU NĂM)</v>
      </c>
      <c r="BX6" s="765" t="str">
        <f>BP6</f>
        <v>ĐIỀU CHỈNH DỰ TOÁN</v>
      </c>
      <c r="BY6" s="765" t="str">
        <f t="shared" ref="BY6:CB6" si="7">BQ6</f>
        <v>ƯỚC THỰC HIỆN NĂM 2023</v>
      </c>
      <c r="BZ6" s="765" t="str">
        <f t="shared" si="7"/>
        <v xml:space="preserve">DỰ TOÁN </v>
      </c>
      <c r="CA6" s="765" t="str">
        <f t="shared" si="7"/>
        <v>Tiền lương tăng thêm 1,8 triệu tháng (12 tháng)</v>
      </c>
      <c r="CB6" s="765" t="str">
        <f t="shared" si="7"/>
        <v>DỰ TOÁN (tiền lương tăng thêm 1,8 triệu đồng/tháng (Nếu có) và chính sách an sinh xã hội tăng thêm)</v>
      </c>
      <c r="CC6" s="4365"/>
      <c r="CD6" s="4675"/>
      <c r="CE6" s="2475" t="str">
        <f>BW6</f>
        <v>DỰ TOÁN (GIAO ĐẦU NĂM)</v>
      </c>
      <c r="CF6" s="765" t="str">
        <f>BX6</f>
        <v>ĐIỀU CHỈNH DỰ TOÁN</v>
      </c>
      <c r="CG6" s="765" t="str">
        <f t="shared" ref="CG6:CJ6" si="8">BY6</f>
        <v>ƯỚC THỰC HIỆN NĂM 2023</v>
      </c>
      <c r="CH6" s="765" t="str">
        <f t="shared" si="8"/>
        <v xml:space="preserve">DỰ TOÁN </v>
      </c>
      <c r="CI6" s="765" t="str">
        <f t="shared" si="8"/>
        <v>Tiền lương tăng thêm 1,8 triệu tháng (12 tháng)</v>
      </c>
      <c r="CJ6" s="765" t="str">
        <f t="shared" si="8"/>
        <v>DỰ TOÁN (tiền lương tăng thêm 1,8 triệu đồng/tháng (Nếu có) và chính sách an sinh xã hội tăng thêm)</v>
      </c>
      <c r="CK6" s="4365"/>
      <c r="CL6" s="4675"/>
      <c r="CM6" s="2475" t="str">
        <f>CE6</f>
        <v>DỰ TOÁN (GIAO ĐẦU NĂM)</v>
      </c>
      <c r="CN6" s="765" t="str">
        <f>CF6</f>
        <v>ĐIỀU CHỈNH DỰ TOÁN</v>
      </c>
      <c r="CO6" s="765" t="str">
        <f t="shared" ref="CO6:CR6" si="9">CG6</f>
        <v>ƯỚC THỰC HIỆN NĂM 2023</v>
      </c>
      <c r="CP6" s="765" t="str">
        <f t="shared" si="9"/>
        <v xml:space="preserve">DỰ TOÁN </v>
      </c>
      <c r="CQ6" s="765" t="str">
        <f t="shared" si="9"/>
        <v>Tiền lương tăng thêm 1,8 triệu tháng (12 tháng)</v>
      </c>
      <c r="CR6" s="765" t="str">
        <f t="shared" si="9"/>
        <v>DỰ TOÁN (tiền lương tăng thêm 1,8 triệu đồng/tháng (Nếu có) và chính sách an sinh xã hội tăng thêm)</v>
      </c>
      <c r="CS6" s="4365"/>
      <c r="CT6" s="4675"/>
      <c r="CU6" s="2475" t="str">
        <f>CM6</f>
        <v>DỰ TOÁN (GIAO ĐẦU NĂM)</v>
      </c>
      <c r="CV6" s="765" t="str">
        <f>CN6</f>
        <v>ĐIỀU CHỈNH DỰ TOÁN</v>
      </c>
      <c r="CW6" s="765" t="str">
        <f t="shared" ref="CW6:CZ6" si="10">CO6</f>
        <v>ƯỚC THỰC HIỆN NĂM 2023</v>
      </c>
      <c r="CX6" s="765" t="str">
        <f t="shared" si="10"/>
        <v xml:space="preserve">DỰ TOÁN </v>
      </c>
      <c r="CY6" s="765" t="str">
        <f t="shared" si="10"/>
        <v>Tiền lương tăng thêm 1,8 triệu tháng (12 tháng)</v>
      </c>
      <c r="CZ6" s="765" t="str">
        <f t="shared" si="10"/>
        <v>DỰ TOÁN (tiền lương tăng thêm 1,8 triệu đồng/tháng (Nếu có) và chính sách an sinh xã hội tăng thêm)</v>
      </c>
      <c r="DA6" s="4365"/>
      <c r="DB6" s="4675"/>
    </row>
    <row r="7" spans="1:106" s="2452" customFormat="1" ht="17.399999999999999">
      <c r="A7" s="2765" t="s">
        <v>7</v>
      </c>
      <c r="B7" s="2766" t="s">
        <v>22</v>
      </c>
      <c r="C7" s="2767">
        <v>1</v>
      </c>
      <c r="D7" s="2767">
        <f>C7+1</f>
        <v>2</v>
      </c>
      <c r="E7" s="2767">
        <v>3</v>
      </c>
      <c r="F7" s="2767">
        <v>4</v>
      </c>
      <c r="G7" s="2767">
        <v>5</v>
      </c>
      <c r="H7" s="2767">
        <v>6</v>
      </c>
      <c r="I7" s="2766" t="s">
        <v>373</v>
      </c>
      <c r="J7" s="2768" t="s">
        <v>374</v>
      </c>
      <c r="K7" s="2769">
        <v>1</v>
      </c>
      <c r="L7" s="2767">
        <f>K7+1</f>
        <v>2</v>
      </c>
      <c r="M7" s="2767">
        <v>3</v>
      </c>
      <c r="N7" s="2767">
        <v>4</v>
      </c>
      <c r="O7" s="2767">
        <v>5</v>
      </c>
      <c r="P7" s="2767">
        <v>6</v>
      </c>
      <c r="Q7" s="2766" t="s">
        <v>373</v>
      </c>
      <c r="R7" s="2768" t="s">
        <v>374</v>
      </c>
      <c r="S7" s="2770">
        <v>1</v>
      </c>
      <c r="T7" s="2767">
        <f>S7+1</f>
        <v>2</v>
      </c>
      <c r="U7" s="2767">
        <v>3</v>
      </c>
      <c r="V7" s="2767">
        <v>4</v>
      </c>
      <c r="W7" s="2767">
        <v>5</v>
      </c>
      <c r="X7" s="2767">
        <v>6</v>
      </c>
      <c r="Y7" s="2766" t="s">
        <v>373</v>
      </c>
      <c r="Z7" s="2768" t="s">
        <v>374</v>
      </c>
      <c r="AA7" s="2769">
        <v>1</v>
      </c>
      <c r="AB7" s="2767">
        <f>AA7+1</f>
        <v>2</v>
      </c>
      <c r="AC7" s="2767">
        <v>3</v>
      </c>
      <c r="AD7" s="2767">
        <v>4</v>
      </c>
      <c r="AE7" s="2767">
        <v>5</v>
      </c>
      <c r="AF7" s="2767">
        <v>6</v>
      </c>
      <c r="AG7" s="2766" t="s">
        <v>373</v>
      </c>
      <c r="AH7" s="2768" t="s">
        <v>374</v>
      </c>
      <c r="AI7" s="2769">
        <v>1</v>
      </c>
      <c r="AJ7" s="2767">
        <f>AI7+1</f>
        <v>2</v>
      </c>
      <c r="AK7" s="2767">
        <v>3</v>
      </c>
      <c r="AL7" s="2767">
        <v>4</v>
      </c>
      <c r="AM7" s="2767">
        <v>5</v>
      </c>
      <c r="AN7" s="2767">
        <v>6</v>
      </c>
      <c r="AO7" s="2766" t="s">
        <v>373</v>
      </c>
      <c r="AP7" s="2768" t="s">
        <v>374</v>
      </c>
      <c r="AQ7" s="2769">
        <v>1</v>
      </c>
      <c r="AR7" s="2767">
        <f>AQ7+1</f>
        <v>2</v>
      </c>
      <c r="AS7" s="2767">
        <v>3</v>
      </c>
      <c r="AT7" s="2767">
        <v>4</v>
      </c>
      <c r="AU7" s="2767">
        <v>5</v>
      </c>
      <c r="AV7" s="2767">
        <v>6</v>
      </c>
      <c r="AW7" s="2766" t="s">
        <v>373</v>
      </c>
      <c r="AX7" s="2768" t="s">
        <v>374</v>
      </c>
      <c r="AY7" s="2769">
        <v>1</v>
      </c>
      <c r="AZ7" s="2767">
        <f>AY7+1</f>
        <v>2</v>
      </c>
      <c r="BA7" s="2767">
        <v>3</v>
      </c>
      <c r="BB7" s="2767">
        <v>4</v>
      </c>
      <c r="BC7" s="2767">
        <v>5</v>
      </c>
      <c r="BD7" s="2767">
        <v>6</v>
      </c>
      <c r="BE7" s="2766" t="s">
        <v>373</v>
      </c>
      <c r="BF7" s="2768" t="s">
        <v>374</v>
      </c>
      <c r="BG7" s="2769">
        <v>1</v>
      </c>
      <c r="BH7" s="2767">
        <f>BG7+1</f>
        <v>2</v>
      </c>
      <c r="BI7" s="2767">
        <v>3</v>
      </c>
      <c r="BJ7" s="2767">
        <v>4</v>
      </c>
      <c r="BK7" s="2767">
        <v>5</v>
      </c>
      <c r="BL7" s="2767">
        <v>6</v>
      </c>
      <c r="BM7" s="2766" t="s">
        <v>373</v>
      </c>
      <c r="BN7" s="2768" t="s">
        <v>374</v>
      </c>
      <c r="BO7" s="2769">
        <v>1</v>
      </c>
      <c r="BP7" s="2767">
        <f>BO7+1</f>
        <v>2</v>
      </c>
      <c r="BQ7" s="2767">
        <v>3</v>
      </c>
      <c r="BR7" s="2767">
        <v>4</v>
      </c>
      <c r="BS7" s="2767">
        <v>5</v>
      </c>
      <c r="BT7" s="2767">
        <v>6</v>
      </c>
      <c r="BU7" s="2766" t="s">
        <v>373</v>
      </c>
      <c r="BV7" s="2768" t="s">
        <v>374</v>
      </c>
      <c r="BW7" s="2769">
        <v>1</v>
      </c>
      <c r="BX7" s="2767">
        <f>BW7+1</f>
        <v>2</v>
      </c>
      <c r="BY7" s="2767">
        <v>3</v>
      </c>
      <c r="BZ7" s="2767">
        <v>4</v>
      </c>
      <c r="CA7" s="2767">
        <v>5</v>
      </c>
      <c r="CB7" s="2767">
        <v>6</v>
      </c>
      <c r="CC7" s="2766" t="s">
        <v>373</v>
      </c>
      <c r="CD7" s="2768" t="s">
        <v>374</v>
      </c>
      <c r="CE7" s="2769">
        <v>1</v>
      </c>
      <c r="CF7" s="2767">
        <f>CE7+1</f>
        <v>2</v>
      </c>
      <c r="CG7" s="2767">
        <v>3</v>
      </c>
      <c r="CH7" s="2767">
        <v>4</v>
      </c>
      <c r="CI7" s="2767">
        <v>5</v>
      </c>
      <c r="CJ7" s="2767">
        <v>6</v>
      </c>
      <c r="CK7" s="2766" t="s">
        <v>373</v>
      </c>
      <c r="CL7" s="2768" t="s">
        <v>374</v>
      </c>
      <c r="CM7" s="2769">
        <v>1</v>
      </c>
      <c r="CN7" s="2767">
        <f>CM7+1</f>
        <v>2</v>
      </c>
      <c r="CO7" s="2767">
        <v>3</v>
      </c>
      <c r="CP7" s="2767">
        <v>4</v>
      </c>
      <c r="CQ7" s="2767">
        <v>5</v>
      </c>
      <c r="CR7" s="2767">
        <v>6</v>
      </c>
      <c r="CS7" s="2766" t="s">
        <v>373</v>
      </c>
      <c r="CT7" s="2768" t="s">
        <v>374</v>
      </c>
      <c r="CU7" s="2769">
        <v>1</v>
      </c>
      <c r="CV7" s="2767">
        <f>CU7+1</f>
        <v>2</v>
      </c>
      <c r="CW7" s="2767">
        <v>3</v>
      </c>
      <c r="CX7" s="2767">
        <v>4</v>
      </c>
      <c r="CY7" s="2767">
        <v>5</v>
      </c>
      <c r="CZ7" s="2767">
        <v>6</v>
      </c>
      <c r="DA7" s="2766" t="s">
        <v>373</v>
      </c>
      <c r="DB7" s="2768" t="s">
        <v>374</v>
      </c>
    </row>
    <row r="8" spans="1:106" s="2454" customFormat="1" ht="25.95" customHeight="1">
      <c r="A8" s="2453" t="s">
        <v>9</v>
      </c>
      <c r="B8" s="2771" t="s">
        <v>375</v>
      </c>
      <c r="C8" s="2478">
        <f>SUM(C9,C11,C12,C21,C22)</f>
        <v>7646071</v>
      </c>
      <c r="D8" s="2478">
        <f t="shared" ref="D8:G8" si="11">SUM(D9,D11,D12,D21)</f>
        <v>0</v>
      </c>
      <c r="E8" s="2478">
        <f>SUM(E9,E11,E12,E21,E22)</f>
        <v>8114359.333333333</v>
      </c>
      <c r="F8" s="2478">
        <f>SUM(F9,F11,F12,F21,F22)</f>
        <v>9908403.3479999993</v>
      </c>
      <c r="G8" s="2478">
        <f t="shared" si="11"/>
        <v>0</v>
      </c>
      <c r="H8" s="2478">
        <f>SUM(H9,H11,H12,H21,H22)</f>
        <v>9908403.3479999993</v>
      </c>
      <c r="I8" s="2479">
        <f>F8-C8</f>
        <v>2262332.3479999993</v>
      </c>
      <c r="J8" s="2480">
        <f>F8/C8%</f>
        <v>129.58816819775802</v>
      </c>
      <c r="K8" s="2481">
        <f>SUM(K9,K11,K12,K21)</f>
        <v>564217</v>
      </c>
      <c r="L8" s="2478">
        <f>SUM(L9,L11,L12,L21)</f>
        <v>0</v>
      </c>
      <c r="M8" s="2478">
        <f>SUM(M9,M11,M12,M21)</f>
        <v>565457</v>
      </c>
      <c r="N8" s="2478">
        <f>SUM(N9,N11,N12,N21,N22)</f>
        <v>664002</v>
      </c>
      <c r="O8" s="2478">
        <f t="shared" ref="O8" si="12">SUM(O9,O11,O12,O21)</f>
        <v>0</v>
      </c>
      <c r="P8" s="2478">
        <f>SUM(P9,P11,P12,P21,P22)</f>
        <v>664002</v>
      </c>
      <c r="Q8" s="2479">
        <f>N8-K8</f>
        <v>99785</v>
      </c>
      <c r="R8" s="2480">
        <f>N8/K8%</f>
        <v>117.68557133159759</v>
      </c>
      <c r="S8" s="2536">
        <f t="shared" ref="S8:W8" si="13">SUM(S9,S11,S12,S21)</f>
        <v>508165</v>
      </c>
      <c r="T8" s="2478">
        <f t="shared" si="13"/>
        <v>0</v>
      </c>
      <c r="U8" s="2478">
        <f t="shared" si="13"/>
        <v>506504.5</v>
      </c>
      <c r="V8" s="2478">
        <f>SUM(V9,V11,V12,V21,V22)</f>
        <v>675185</v>
      </c>
      <c r="W8" s="2478">
        <f t="shared" si="13"/>
        <v>0</v>
      </c>
      <c r="X8" s="2478">
        <f>SUM(X9,X11,X12,X21,X22)</f>
        <v>675185</v>
      </c>
      <c r="Y8" s="2479">
        <f>V8-S8</f>
        <v>167020</v>
      </c>
      <c r="Z8" s="2480">
        <f>V8/S8%</f>
        <v>132.86727736069977</v>
      </c>
      <c r="AA8" s="2481">
        <f>SUM(AA9,AA11,AA12,AA21,AA22)</f>
        <v>486557</v>
      </c>
      <c r="AB8" s="2478">
        <f t="shared" ref="AB8:AE8" si="14">SUM(AB9,AB11,AB12,AB21)</f>
        <v>0</v>
      </c>
      <c r="AC8" s="2481">
        <f>SUM(AC9,AC11,AC12,AC21,AC22)</f>
        <v>521008</v>
      </c>
      <c r="AD8" s="2481">
        <f>SUM(AD9,AD11,AD12,AD21,AD22)</f>
        <v>573785.82400000002</v>
      </c>
      <c r="AE8" s="2478">
        <f t="shared" si="14"/>
        <v>0</v>
      </c>
      <c r="AF8" s="2481">
        <f>SUM(AF9,AF11,AF12,AF21,AF22)</f>
        <v>573785.82400000002</v>
      </c>
      <c r="AG8" s="2481">
        <f>SUM(AG9,AG11,AG12,AG21,AG22)</f>
        <v>87228.823999999993</v>
      </c>
      <c r="AH8" s="2480">
        <f>AD8/AA8%</f>
        <v>117.92777084699225</v>
      </c>
      <c r="AI8" s="2481">
        <f t="shared" ref="AI8:AM8" si="15">SUM(AI9,AI11,AI12,AI21)</f>
        <v>531772</v>
      </c>
      <c r="AJ8" s="2478">
        <f t="shared" si="15"/>
        <v>0</v>
      </c>
      <c r="AK8" s="2478">
        <f t="shared" si="15"/>
        <v>556493</v>
      </c>
      <c r="AL8" s="2478">
        <f>SUM(AL9,AL11,AL12,AL21,AL22)</f>
        <v>629617.76</v>
      </c>
      <c r="AM8" s="2478">
        <f t="shared" si="15"/>
        <v>0</v>
      </c>
      <c r="AN8" s="2478">
        <f>SUM(AN9,AN11,AN12,AN21,AN22)</f>
        <v>629617.76</v>
      </c>
      <c r="AO8" s="2479">
        <f>AL8-AI8</f>
        <v>97845.760000000009</v>
      </c>
      <c r="AP8" s="2480">
        <f>AL8/AI8%</f>
        <v>118.39994584145084</v>
      </c>
      <c r="AQ8" s="2481">
        <f>SUM(AQ9,AQ11,AQ12,AQ21)</f>
        <v>648709</v>
      </c>
      <c r="AR8" s="2478">
        <f t="shared" ref="AR8:AU8" si="16">SUM(AR9,AR11,AR12,AR21)</f>
        <v>0</v>
      </c>
      <c r="AS8" s="2478">
        <f t="shared" si="16"/>
        <v>712315.66666666663</v>
      </c>
      <c r="AT8" s="2478">
        <f>SUM(AT9,AT11,AT12,AT21,AT22)</f>
        <v>767421.35199999996</v>
      </c>
      <c r="AU8" s="2478">
        <f t="shared" si="16"/>
        <v>0</v>
      </c>
      <c r="AV8" s="2478">
        <f>SUM(AV9,AV11,AV12,AV21,AV22)</f>
        <v>767421.35199999996</v>
      </c>
      <c r="AW8" s="2479">
        <f>AT8-AQ8</f>
        <v>118712.35199999996</v>
      </c>
      <c r="AX8" s="2480">
        <f>AT8/AQ8%</f>
        <v>118.2997849575079</v>
      </c>
      <c r="AY8" s="2481">
        <f t="shared" ref="AY8:BC8" si="17">SUM(AY9,AY11,AY12,AY21)</f>
        <v>846554</v>
      </c>
      <c r="AZ8" s="2478">
        <f t="shared" si="17"/>
        <v>0</v>
      </c>
      <c r="BA8" s="2478">
        <f t="shared" si="17"/>
        <v>1030365</v>
      </c>
      <c r="BB8" s="2478">
        <f>SUM(BB9,BB11,BB12,BB21,BB22)</f>
        <v>1598566.2</v>
      </c>
      <c r="BC8" s="2478">
        <f t="shared" si="17"/>
        <v>0</v>
      </c>
      <c r="BD8" s="2478">
        <f>SUM(BD9,BD11,BD12,BD21,BD22)</f>
        <v>1598566.2</v>
      </c>
      <c r="BE8" s="2479">
        <f>BB8-AY8</f>
        <v>752012.2</v>
      </c>
      <c r="BF8" s="2480">
        <f>BB8/AY8%</f>
        <v>188.83215955509039</v>
      </c>
      <c r="BG8" s="2481">
        <f t="shared" ref="BG8:BK8" si="18">SUM(BG9,BG11,BG12,BG21)</f>
        <v>799582</v>
      </c>
      <c r="BH8" s="2478">
        <f t="shared" si="18"/>
        <v>0</v>
      </c>
      <c r="BI8" s="2478">
        <f t="shared" si="18"/>
        <v>884809</v>
      </c>
      <c r="BJ8" s="2478">
        <f>SUM(BJ9,BJ11,BJ12,BJ21,BJ22)</f>
        <v>960665.2</v>
      </c>
      <c r="BK8" s="2478">
        <f t="shared" si="18"/>
        <v>0</v>
      </c>
      <c r="BL8" s="2478">
        <f>SUM(BL9,BL11,BL12,BL21,BL22)</f>
        <v>960665.2</v>
      </c>
      <c r="BM8" s="2479">
        <f>BJ8-BG8</f>
        <v>161083.19999999995</v>
      </c>
      <c r="BN8" s="2480">
        <f>BJ8/BG8%</f>
        <v>120.14592624646377</v>
      </c>
      <c r="BO8" s="2481">
        <f t="shared" ref="BO8:BS8" si="19">SUM(BO9,BO11,BO12,BO21)</f>
        <v>714760</v>
      </c>
      <c r="BP8" s="2478">
        <f t="shared" si="19"/>
        <v>0</v>
      </c>
      <c r="BQ8" s="2478">
        <f t="shared" si="19"/>
        <v>733842.5</v>
      </c>
      <c r="BR8" s="2478">
        <f>SUM(BR9,BR11,BR12,BR21,BR22)</f>
        <v>825155.6</v>
      </c>
      <c r="BS8" s="2478">
        <f t="shared" si="19"/>
        <v>0</v>
      </c>
      <c r="BT8" s="2478">
        <f>SUM(BT9,BT11,BT12,BT21,BT22)</f>
        <v>825155.6</v>
      </c>
      <c r="BU8" s="2479">
        <f>BR8-BO8</f>
        <v>110395.59999999998</v>
      </c>
      <c r="BV8" s="2480">
        <f>BR8/BO8%</f>
        <v>115.44512843471934</v>
      </c>
      <c r="BW8" s="2481">
        <f t="shared" ref="BW8:CA8" si="20">SUM(BW9,BW11,BW12,BW21)</f>
        <v>672489</v>
      </c>
      <c r="BX8" s="2478">
        <f t="shared" si="20"/>
        <v>0</v>
      </c>
      <c r="BY8" s="2478">
        <f t="shared" si="20"/>
        <v>726704.5</v>
      </c>
      <c r="BZ8" s="2478">
        <f>SUM(BZ9,BZ11,BZ12,BZ21,BZ22)</f>
        <v>829132.94799999997</v>
      </c>
      <c r="CA8" s="2478">
        <f t="shared" si="20"/>
        <v>0</v>
      </c>
      <c r="CB8" s="2478">
        <f>SUM(CB9,CB11,CB12,CB21,CB22)</f>
        <v>829132.94799999997</v>
      </c>
      <c r="CC8" s="2479">
        <f>BZ8-BW8</f>
        <v>156643.94799999997</v>
      </c>
      <c r="CD8" s="2480">
        <f>BZ8/BW8%</f>
        <v>123.2931613751303</v>
      </c>
      <c r="CE8" s="2481">
        <f t="shared" ref="CE8:CI8" si="21">SUM(CE9,CE11,CE12,CE21)</f>
        <v>600774</v>
      </c>
      <c r="CF8" s="2478">
        <f t="shared" si="21"/>
        <v>0</v>
      </c>
      <c r="CG8" s="2478">
        <f t="shared" si="21"/>
        <v>651696.66666666674</v>
      </c>
      <c r="CH8" s="2478">
        <f>SUM(CH9,CH11,CH12,CH21,CH22)</f>
        <v>717257.71200000006</v>
      </c>
      <c r="CI8" s="2478">
        <f t="shared" si="21"/>
        <v>0</v>
      </c>
      <c r="CJ8" s="2478">
        <f>SUM(CJ9,CJ11,CJ12,CJ21,CJ22)</f>
        <v>717257.71200000006</v>
      </c>
      <c r="CK8" s="2479">
        <f>CH8-CE8</f>
        <v>116483.71200000006</v>
      </c>
      <c r="CL8" s="2480">
        <f>CH8/CE8%</f>
        <v>119.38894026705552</v>
      </c>
      <c r="CM8" s="2481">
        <f t="shared" ref="CM8:CQ8" si="22">SUM(CM9,CM11,CM12,CM21)</f>
        <v>700384</v>
      </c>
      <c r="CN8" s="2478">
        <f t="shared" si="22"/>
        <v>0</v>
      </c>
      <c r="CO8" s="2478">
        <f t="shared" si="22"/>
        <v>651314.5</v>
      </c>
      <c r="CP8" s="2478">
        <f>SUM(CP9,CP11,CP12,CP21,CP22)</f>
        <v>953865.92</v>
      </c>
      <c r="CQ8" s="2478">
        <f t="shared" si="22"/>
        <v>0</v>
      </c>
      <c r="CR8" s="2478">
        <f>SUM(CR9,CR11,CR12,CR21,CR22)</f>
        <v>953865.92</v>
      </c>
      <c r="CS8" s="2479">
        <f>CP8-CM8</f>
        <v>253481.92000000004</v>
      </c>
      <c r="CT8" s="2480">
        <f>CP8/CM8%</f>
        <v>136.19184904281082</v>
      </c>
      <c r="CU8" s="2481">
        <f t="shared" ref="CU8:CZ8" si="23">SUM(CU9,CU11,CU12,CU21)</f>
        <v>572108</v>
      </c>
      <c r="CV8" s="2478">
        <f t="shared" si="23"/>
        <v>0</v>
      </c>
      <c r="CW8" s="2478">
        <f t="shared" si="23"/>
        <v>573849</v>
      </c>
      <c r="CX8" s="2478">
        <f>SUM(CX9,CX11,CX12,CX21,CX22)</f>
        <v>713747.83200000005</v>
      </c>
      <c r="CY8" s="2478">
        <f t="shared" si="23"/>
        <v>0</v>
      </c>
      <c r="CZ8" s="2478">
        <f t="shared" si="23"/>
        <v>713747.83200000005</v>
      </c>
      <c r="DA8" s="2479">
        <f>CX8-CU8</f>
        <v>141639.83200000005</v>
      </c>
      <c r="DB8" s="2480">
        <f>CX8/CU8%</f>
        <v>124.75753389220218</v>
      </c>
    </row>
    <row r="9" spans="1:106" s="2452" customFormat="1" ht="25.95" customHeight="1">
      <c r="A9" s="2455">
        <v>1</v>
      </c>
      <c r="B9" s="2772" t="s">
        <v>376</v>
      </c>
      <c r="C9" s="2482">
        <f>+K9+S9+AA9+AI9+AQ9+AY9+BG9+BO9+BW9+CE9+CM9+CU9</f>
        <v>2897350</v>
      </c>
      <c r="D9" s="2482"/>
      <c r="E9" s="2482">
        <f>+M9+U9+AC9+AK9+AS9+BA9+BI9+BQ9+BY9+CG9+CO9+CW9</f>
        <v>3365638.333333333</v>
      </c>
      <c r="F9" s="2482">
        <f>SUM(N9,V9,AD9,AL9,AT9,BB9,BJ9,BR9,BZ9,CH9,CP9,CX9)</f>
        <v>3939080</v>
      </c>
      <c r="G9" s="2482">
        <f>SUM(O9,W9,AE9,AM9,AU9,BC9,BK9,BS9,CA9,CI9,CQ9,CY9)</f>
        <v>0</v>
      </c>
      <c r="H9" s="2482">
        <f>SUM(P9,X9,AF9,AN9,AV9,BD9,BL9,BT9,CB9,CJ9,CR9,CZ9)</f>
        <v>3939080</v>
      </c>
      <c r="I9" s="2483">
        <f>F9-C9</f>
        <v>1041730</v>
      </c>
      <c r="J9" s="2484">
        <f>F9/C9%</f>
        <v>135.95457918442716</v>
      </c>
      <c r="K9" s="2485">
        <f>'Phụ lục số 5.1 Thu'!P9</f>
        <v>131450</v>
      </c>
      <c r="L9" s="2482"/>
      <c r="M9" s="2482">
        <f>'Phụ lục số 5.1 Thu'!T9</f>
        <v>132690</v>
      </c>
      <c r="N9" s="2482">
        <f>'Phụ lục số 5.1 Thu'!V9</f>
        <v>157900</v>
      </c>
      <c r="O9" s="2482"/>
      <c r="P9" s="2482">
        <f>N9</f>
        <v>157900</v>
      </c>
      <c r="Q9" s="2483">
        <f>N9-K9</f>
        <v>26450</v>
      </c>
      <c r="R9" s="2484">
        <f>N9/K9%</f>
        <v>120.1217192848992</v>
      </c>
      <c r="S9" s="2537">
        <f>'Phụ lục số 5.1 Thu'!AB9</f>
        <v>269200</v>
      </c>
      <c r="T9" s="2482"/>
      <c r="U9" s="2482">
        <f>'Phụ lục số 5.1 Thu'!AF9</f>
        <v>267539.5</v>
      </c>
      <c r="V9" s="2482">
        <f>'Phụ lục số 5.1 Thu'!AH9</f>
        <v>384130</v>
      </c>
      <c r="W9" s="2482"/>
      <c r="X9" s="2482">
        <f>V9</f>
        <v>384130</v>
      </c>
      <c r="Y9" s="2483">
        <f>V9-S9</f>
        <v>114930</v>
      </c>
      <c r="Z9" s="2484">
        <f>V9/S9%</f>
        <v>142.69316493313522</v>
      </c>
      <c r="AA9" s="2485">
        <f>'Phụ lục số 5.1 Thu'!AN9</f>
        <v>61250</v>
      </c>
      <c r="AB9" s="2482"/>
      <c r="AC9" s="2482">
        <f>'Phụ lục số 5.1 Thu'!AR9</f>
        <v>95701</v>
      </c>
      <c r="AD9" s="2482">
        <f>'Phụ lục số 5.1 Thu'!AT9</f>
        <v>96340</v>
      </c>
      <c r="AE9" s="2482"/>
      <c r="AF9" s="2482">
        <f>AD9</f>
        <v>96340</v>
      </c>
      <c r="AG9" s="2483">
        <f>AD9-AA9</f>
        <v>35090</v>
      </c>
      <c r="AH9" s="2484">
        <f>AD9/AA9%</f>
        <v>157.28979591836736</v>
      </c>
      <c r="AI9" s="2485">
        <f>'Phụ lục số 5.1 Thu'!AZ9</f>
        <v>97100</v>
      </c>
      <c r="AJ9" s="2482"/>
      <c r="AK9" s="2482">
        <f>'Phụ lục số 5.1 Thu'!BD9</f>
        <v>121821</v>
      </c>
      <c r="AL9" s="2482">
        <f>'Phụ lục số 5.1 Thu'!BF9</f>
        <v>140940</v>
      </c>
      <c r="AM9" s="2482"/>
      <c r="AN9" s="2482">
        <f>AL9</f>
        <v>140940</v>
      </c>
      <c r="AO9" s="2483">
        <f>AL9-AI9</f>
        <v>43840</v>
      </c>
      <c r="AP9" s="2484">
        <f>AL9/AI9%</f>
        <v>145.14933058702368</v>
      </c>
      <c r="AQ9" s="2485">
        <f>'Phụ lục số 5.1 Thu'!BL9</f>
        <v>166650</v>
      </c>
      <c r="AR9" s="2482"/>
      <c r="AS9" s="2482">
        <f>'Phụ lục số 5.1 Thu'!BP9</f>
        <v>230256.66666666666</v>
      </c>
      <c r="AT9" s="2482">
        <f>'Phụ lục số 5.1 Thu'!BR9</f>
        <v>241850</v>
      </c>
      <c r="AU9" s="2482"/>
      <c r="AV9" s="2482">
        <f>AT9</f>
        <v>241850</v>
      </c>
      <c r="AW9" s="2483">
        <f>AT9-AQ9</f>
        <v>75200</v>
      </c>
      <c r="AX9" s="2484">
        <f>AT9/AQ9%</f>
        <v>145.12451245124512</v>
      </c>
      <c r="AY9" s="2485">
        <f>'Phụ lục số 5.1 Thu'!BX9</f>
        <v>801200</v>
      </c>
      <c r="AZ9" s="2482"/>
      <c r="BA9" s="2482">
        <f>'Phụ lục số 5.1 Thu'!CB9</f>
        <v>985011</v>
      </c>
      <c r="BB9" s="2482">
        <f>'Phụ lục số 5.1 Thu'!CD9</f>
        <v>1146450</v>
      </c>
      <c r="BC9" s="2482"/>
      <c r="BD9" s="2482">
        <f>BB9</f>
        <v>1146450</v>
      </c>
      <c r="BE9" s="2483">
        <f>BB9-AY9</f>
        <v>345250</v>
      </c>
      <c r="BF9" s="2484">
        <f>BB9/AY9%</f>
        <v>143.09161258112832</v>
      </c>
      <c r="BG9" s="2485">
        <f>'Phụ lục số 5.1 Thu'!CJ9</f>
        <v>185760</v>
      </c>
      <c r="BH9" s="2482"/>
      <c r="BI9" s="2482">
        <f>'Phụ lục số 5.1 Thu'!CN9</f>
        <v>270987</v>
      </c>
      <c r="BJ9" s="2482">
        <f>'Phụ lục số 5.1 Thu'!CP9</f>
        <v>259140</v>
      </c>
      <c r="BK9" s="2482"/>
      <c r="BL9" s="2482">
        <f>BJ9</f>
        <v>259140</v>
      </c>
      <c r="BM9" s="2483">
        <f>BJ9-BG9</f>
        <v>73380</v>
      </c>
      <c r="BN9" s="2484">
        <f>BJ9/BG9%</f>
        <v>139.50258397932816</v>
      </c>
      <c r="BO9" s="2485">
        <f>'Phụ lục số 5.1 Thu'!CV9</f>
        <v>211460</v>
      </c>
      <c r="BP9" s="2482"/>
      <c r="BQ9" s="2482">
        <f>'Phụ lục số 5.1 Thu'!CZ9</f>
        <v>230542.5</v>
      </c>
      <c r="BR9" s="2482">
        <f>'Phụ lục số 5.1 Thu'!DB9</f>
        <v>257750</v>
      </c>
      <c r="BS9" s="2482"/>
      <c r="BT9" s="2482">
        <f>BR9</f>
        <v>257750</v>
      </c>
      <c r="BU9" s="2483">
        <f>BR9-BO9</f>
        <v>46290</v>
      </c>
      <c r="BV9" s="2484">
        <f>BR9/BO9%</f>
        <v>121.89066490116335</v>
      </c>
      <c r="BW9" s="2485">
        <f>'Phụ lục số 5.1 Thu'!DH9</f>
        <v>185900</v>
      </c>
      <c r="BX9" s="2482"/>
      <c r="BY9" s="2482">
        <f>'Phụ lục số 5.1 Thu'!DL9</f>
        <v>240115.5</v>
      </c>
      <c r="BZ9" s="2482">
        <f>'Phụ lục số 5.1 Thu'!DN9</f>
        <v>269200</v>
      </c>
      <c r="CA9" s="2482"/>
      <c r="CB9" s="2482">
        <f>BZ9</f>
        <v>269200</v>
      </c>
      <c r="CC9" s="2483">
        <f>BZ9-BW9</f>
        <v>83300</v>
      </c>
      <c r="CD9" s="2484">
        <f>BZ9/BW9%</f>
        <v>144.80903711672943</v>
      </c>
      <c r="CE9" s="2485">
        <f>'Phụ lục số 5.1 Thu'!DT9</f>
        <v>141600</v>
      </c>
      <c r="CF9" s="2482"/>
      <c r="CG9" s="2482">
        <f>'Phụ lục số 5.1 Thu'!DX9</f>
        <v>192522.66666666669</v>
      </c>
      <c r="CH9" s="2482">
        <f>'Phụ lục số 5.1 Thu'!DZ9</f>
        <v>175430</v>
      </c>
      <c r="CI9" s="2482"/>
      <c r="CJ9" s="2482">
        <f>CH9</f>
        <v>175430</v>
      </c>
      <c r="CK9" s="2483">
        <f>CH9-CE9</f>
        <v>33830</v>
      </c>
      <c r="CL9" s="2484">
        <f>CH9/CE9%</f>
        <v>123.89124293785311</v>
      </c>
      <c r="CM9" s="2485">
        <f>'Phụ lục số 5.1 Thu'!EF9</f>
        <v>471300</v>
      </c>
      <c r="CN9" s="2482"/>
      <c r="CO9" s="2482">
        <f>'Phụ lục số 5.1 Thu'!EJ9</f>
        <v>422230.5</v>
      </c>
      <c r="CP9" s="2482">
        <f>'Phụ lục số 5.1 Thu'!EL9</f>
        <v>544440</v>
      </c>
      <c r="CQ9" s="2482"/>
      <c r="CR9" s="2482">
        <f>CP9</f>
        <v>544440</v>
      </c>
      <c r="CS9" s="2483">
        <f>CP9-CM9</f>
        <v>73140</v>
      </c>
      <c r="CT9" s="2484">
        <f>CP9/CM9%</f>
        <v>115.51877784850414</v>
      </c>
      <c r="CU9" s="2485">
        <f>'Phụ lục số 5.1 Thu'!ER9</f>
        <v>174480</v>
      </c>
      <c r="CV9" s="2482"/>
      <c r="CW9" s="2482">
        <f>'Phụ lục số 5.1 Thu'!EV9</f>
        <v>176221</v>
      </c>
      <c r="CX9" s="2482">
        <f>'Phụ lục số 5.1 Thu'!EX9</f>
        <v>265510</v>
      </c>
      <c r="CY9" s="2482"/>
      <c r="CZ9" s="2482">
        <f>CX9</f>
        <v>265510</v>
      </c>
      <c r="DA9" s="2483">
        <f>CX9-CU9</f>
        <v>91030</v>
      </c>
      <c r="DB9" s="2484">
        <f>CX9/CU9%</f>
        <v>152.17216872994041</v>
      </c>
    </row>
    <row r="10" spans="1:106" s="2457" customFormat="1" ht="25.95" customHeight="1">
      <c r="A10" s="2456" t="s">
        <v>137</v>
      </c>
      <c r="B10" s="2773" t="s">
        <v>377</v>
      </c>
      <c r="C10" s="2486">
        <f>+K10+S10+AA10+AI10+AQ10+AY10+BG10+BO10+BW10+CE10+CM10+CU10</f>
        <v>800000</v>
      </c>
      <c r="D10" s="2486"/>
      <c r="E10" s="2486">
        <f>+M10+U10+AC10+AK10+AS10+BA10+BI10+BQ10+BY10+CG10+CO10+CW10</f>
        <v>996500</v>
      </c>
      <c r="F10" s="2486">
        <f>SUM(N10,V10,AD10,AL10,AT10,BB10,BJ10,BR10,BZ10,CH10,CP10,CX10)</f>
        <v>1143000</v>
      </c>
      <c r="G10" s="2486"/>
      <c r="H10" s="2486">
        <f>SUM(P10,X10,AF10,AN10,AV10,BD10,BL10,BT10,CB10,CJ10,CR10,CZ10)</f>
        <v>1143000</v>
      </c>
      <c r="I10" s="2487">
        <f>F10-C10</f>
        <v>343000</v>
      </c>
      <c r="J10" s="2488">
        <f>F10/C10%</f>
        <v>142.875</v>
      </c>
      <c r="K10" s="2489">
        <f>'Phụ lục số 5.1 Thu'!P32</f>
        <v>64000</v>
      </c>
      <c r="L10" s="2486"/>
      <c r="M10" s="2486">
        <f>'Phụ lục số 5.1 Thu'!T32</f>
        <v>64000</v>
      </c>
      <c r="N10" s="2486">
        <f>'Phụ lục số 5.1 Thu'!V32</f>
        <v>90000</v>
      </c>
      <c r="O10" s="2486"/>
      <c r="P10" s="2486">
        <f>N10</f>
        <v>90000</v>
      </c>
      <c r="Q10" s="2487">
        <f>N10-K10</f>
        <v>26000</v>
      </c>
      <c r="R10" s="2488">
        <f>N10/K10%</f>
        <v>140.625</v>
      </c>
      <c r="S10" s="2538">
        <f>'Phụ lục số 5.1 Thu'!AB32</f>
        <v>160000</v>
      </c>
      <c r="T10" s="2486"/>
      <c r="U10" s="2486">
        <f>'Phụ lục số 5.1 Thu'!AF32</f>
        <v>166000</v>
      </c>
      <c r="V10" s="2486">
        <f>'Phụ lục số 5.1 Thu'!AH32</f>
        <v>270000</v>
      </c>
      <c r="W10" s="2486"/>
      <c r="X10" s="2486">
        <f>V10</f>
        <v>270000</v>
      </c>
      <c r="Y10" s="2487">
        <f>V10-S10</f>
        <v>110000</v>
      </c>
      <c r="Z10" s="2488">
        <f>V10/S10%</f>
        <v>168.75</v>
      </c>
      <c r="AA10" s="2489">
        <f>'Phụ lục số 5.1 Thu'!AN32</f>
        <v>15000</v>
      </c>
      <c r="AB10" s="2486"/>
      <c r="AC10" s="2486">
        <f>'Phụ lục số 5.1 Thu'!AR32</f>
        <v>36000</v>
      </c>
      <c r="AD10" s="2486">
        <f>'Phụ lục số 5.1 Thu'!AT32</f>
        <v>27000</v>
      </c>
      <c r="AE10" s="2486"/>
      <c r="AF10" s="2486">
        <f>AD10</f>
        <v>27000</v>
      </c>
      <c r="AG10" s="2487">
        <f>AD10-AA10</f>
        <v>12000</v>
      </c>
      <c r="AH10" s="2488">
        <f>AD10/AA10%</f>
        <v>180</v>
      </c>
      <c r="AI10" s="2489">
        <f>'Phụ lục số 5.1 Thu'!AZ32</f>
        <v>20000</v>
      </c>
      <c r="AJ10" s="2486"/>
      <c r="AK10" s="2486">
        <f>'Phụ lục số 5.1 Thu'!BD32</f>
        <v>42000</v>
      </c>
      <c r="AL10" s="2486">
        <f>'Phụ lục số 5.1 Thu'!BF32</f>
        <v>54000</v>
      </c>
      <c r="AM10" s="2486"/>
      <c r="AN10" s="2486">
        <f>AL10</f>
        <v>54000</v>
      </c>
      <c r="AO10" s="2487">
        <f>AL10-AI10</f>
        <v>34000</v>
      </c>
      <c r="AP10" s="2488">
        <f>AL10/AI10%</f>
        <v>270</v>
      </c>
      <c r="AQ10" s="2489">
        <f>'Phụ lục số 5.1 Thu'!BL32</f>
        <v>60000</v>
      </c>
      <c r="AR10" s="2486"/>
      <c r="AS10" s="2486">
        <f>'Phụ lục số 5.1 Thu'!BP32</f>
        <v>50000</v>
      </c>
      <c r="AT10" s="2486">
        <f>'Phụ lục số 5.1 Thu'!BR32</f>
        <v>63000</v>
      </c>
      <c r="AU10" s="2486"/>
      <c r="AV10" s="2486">
        <f>AT10</f>
        <v>63000</v>
      </c>
      <c r="AW10" s="2487">
        <f>AT10-AQ10</f>
        <v>3000</v>
      </c>
      <c r="AX10" s="2488">
        <f>AT10/AQ10%</f>
        <v>105</v>
      </c>
      <c r="AY10" s="2489">
        <f>'Phụ lục số 5.1 Thu'!BX32</f>
        <v>100000</v>
      </c>
      <c r="AZ10" s="2486"/>
      <c r="BA10" s="2486">
        <f>'Phụ lục số 5.1 Thu'!CB32</f>
        <v>160000</v>
      </c>
      <c r="BB10" s="2486">
        <f>'Phụ lục số 5.1 Thu'!CD32</f>
        <v>144000</v>
      </c>
      <c r="BC10" s="2486"/>
      <c r="BD10" s="2486">
        <f>BB10</f>
        <v>144000</v>
      </c>
      <c r="BE10" s="2487">
        <f>BB10-AY10</f>
        <v>44000</v>
      </c>
      <c r="BF10" s="2488">
        <f>BB10/AY10%</f>
        <v>144</v>
      </c>
      <c r="BG10" s="2489">
        <f>'Phụ lục số 5.1 Thu'!CJ32</f>
        <v>35000</v>
      </c>
      <c r="BH10" s="2486"/>
      <c r="BI10" s="2486">
        <f>'Phụ lục số 5.1 Thu'!CN32</f>
        <v>100000</v>
      </c>
      <c r="BJ10" s="2486">
        <f>'Phụ lục số 5.1 Thu'!CP32</f>
        <v>54000</v>
      </c>
      <c r="BK10" s="2486"/>
      <c r="BL10" s="2486">
        <f>BJ10</f>
        <v>54000</v>
      </c>
      <c r="BM10" s="2487">
        <f>BJ10-BG10</f>
        <v>19000</v>
      </c>
      <c r="BN10" s="2488">
        <f>BJ10/BG10%</f>
        <v>154.28571428571428</v>
      </c>
      <c r="BO10" s="2489">
        <f>'Phụ lục số 5.1 Thu'!CV32</f>
        <v>70000</v>
      </c>
      <c r="BP10" s="2486"/>
      <c r="BQ10" s="2486">
        <f>'Phụ lục số 5.1 Thu'!CZ32</f>
        <v>90000</v>
      </c>
      <c r="BR10" s="2486">
        <f>'Phụ lục số 5.1 Thu'!DB32</f>
        <v>90000</v>
      </c>
      <c r="BS10" s="2486"/>
      <c r="BT10" s="2486">
        <f>BR10</f>
        <v>90000</v>
      </c>
      <c r="BU10" s="2487">
        <f>BR10-BO10</f>
        <v>20000</v>
      </c>
      <c r="BV10" s="2488">
        <f>BR10/BO10%</f>
        <v>128.57142857142858</v>
      </c>
      <c r="BW10" s="2489">
        <f>'Phụ lục số 5.1 Thu'!DH32</f>
        <v>30000</v>
      </c>
      <c r="BX10" s="2486"/>
      <c r="BY10" s="2486">
        <f>'Phụ lục số 5.1 Thu'!DL32</f>
        <v>48000</v>
      </c>
      <c r="BZ10" s="2486">
        <f>'Phụ lục số 5.1 Thu'!DN32</f>
        <v>54000</v>
      </c>
      <c r="CA10" s="2486"/>
      <c r="CB10" s="2486">
        <f>BZ10</f>
        <v>54000</v>
      </c>
      <c r="CC10" s="2487">
        <f>BZ10-BW10</f>
        <v>24000</v>
      </c>
      <c r="CD10" s="2488">
        <f>BZ10/BW10%</f>
        <v>180</v>
      </c>
      <c r="CE10" s="2489">
        <f>'Phụ lục số 5.1 Thu'!DT32</f>
        <v>30000</v>
      </c>
      <c r="CF10" s="2486"/>
      <c r="CG10" s="2486">
        <f>'Phụ lục số 5.1 Thu'!DX32</f>
        <v>90000</v>
      </c>
      <c r="CH10" s="2486">
        <f>'Phụ lục số 5.1 Thu'!DZ32</f>
        <v>63000</v>
      </c>
      <c r="CI10" s="2486"/>
      <c r="CJ10" s="2486">
        <f>CH10</f>
        <v>63000</v>
      </c>
      <c r="CK10" s="2487">
        <f>CH10-CE10</f>
        <v>33000</v>
      </c>
      <c r="CL10" s="2488">
        <f>CH10/CE10%</f>
        <v>210</v>
      </c>
      <c r="CM10" s="2489">
        <f>'Phụ lục số 5.1 Thu'!EF32</f>
        <v>166000</v>
      </c>
      <c r="CN10" s="2486"/>
      <c r="CO10" s="2486">
        <f>'Phụ lục số 5.1 Thu'!EJ32</f>
        <v>100500</v>
      </c>
      <c r="CP10" s="2486">
        <f>'Phụ lục số 5.1 Thu'!EL32</f>
        <v>144000</v>
      </c>
      <c r="CQ10" s="2486"/>
      <c r="CR10" s="2486">
        <f>CP10</f>
        <v>144000</v>
      </c>
      <c r="CS10" s="2487">
        <f>CP10-CM10</f>
        <v>-22000</v>
      </c>
      <c r="CT10" s="2488">
        <f>CP10/CM10%</f>
        <v>86.746987951807228</v>
      </c>
      <c r="CU10" s="2489">
        <f>'Phụ lục số 5.1 Thu'!ER32</f>
        <v>50000</v>
      </c>
      <c r="CV10" s="2486"/>
      <c r="CW10" s="2486">
        <f>'Phụ lục số 5.1 Thu'!EV32</f>
        <v>50000</v>
      </c>
      <c r="CX10" s="2486">
        <f>'Phụ lục số 5.1 Thu'!EX32</f>
        <v>90000</v>
      </c>
      <c r="CY10" s="2486"/>
      <c r="CZ10" s="2486">
        <f>CX10</f>
        <v>90000</v>
      </c>
      <c r="DA10" s="2487">
        <f>CX10-CU10</f>
        <v>40000</v>
      </c>
      <c r="DB10" s="2488">
        <f>CX10/CU10%</f>
        <v>180</v>
      </c>
    </row>
    <row r="11" spans="1:106" s="2459" customFormat="1" ht="25.95" customHeight="1">
      <c r="A11" s="2458">
        <v>2</v>
      </c>
      <c r="B11" s="2774" t="s">
        <v>378</v>
      </c>
      <c r="C11" s="2490">
        <f>+K11+S11+AA11+AI11+AQ11+AY11+BG11+BO11+BW11+CE11+CM11+CU11</f>
        <v>4430923</v>
      </c>
      <c r="D11" s="2490"/>
      <c r="E11" s="2490">
        <f>+M11+U11+AC11+AK11+AS11+BA11+BI11+BQ11+BY11+CG11+CO11+CW11</f>
        <v>4430923</v>
      </c>
      <c r="F11" s="2490">
        <f>SUM(N11,V11,AD11,AL11,AT11,BB11,BJ11,BR11,BZ11,CH11,CP11,CX11)</f>
        <v>4430923</v>
      </c>
      <c r="G11" s="2490">
        <f>SUM(O11,W11,AE11,AM11,AU11,BC11,BK11,BS11,CA11,CI11,CQ11,CY11)</f>
        <v>0</v>
      </c>
      <c r="H11" s="2490">
        <f>SUM(P11,X11,AF11,AN11,AV11,BD11,BL11,BT11,CB11,CJ11,CR11,CZ11)</f>
        <v>4430923</v>
      </c>
      <c r="I11" s="2491">
        <f>F11-C11</f>
        <v>0</v>
      </c>
      <c r="J11" s="2492">
        <f>F11/C11%</f>
        <v>99.999999999999986</v>
      </c>
      <c r="K11" s="2493">
        <v>413967</v>
      </c>
      <c r="L11" s="2490"/>
      <c r="M11" s="2490">
        <f>K11</f>
        <v>413967</v>
      </c>
      <c r="N11" s="2490">
        <f>M11</f>
        <v>413967</v>
      </c>
      <c r="O11" s="2490"/>
      <c r="P11" s="2490">
        <f>N11</f>
        <v>413967</v>
      </c>
      <c r="Q11" s="2491"/>
      <c r="R11" s="2492"/>
      <c r="S11" s="2539">
        <v>225665</v>
      </c>
      <c r="T11" s="2490"/>
      <c r="U11" s="2490">
        <f>S11</f>
        <v>225665</v>
      </c>
      <c r="V11" s="2490">
        <f>S11</f>
        <v>225665</v>
      </c>
      <c r="W11" s="2490"/>
      <c r="X11" s="2490">
        <f>V11</f>
        <v>225665</v>
      </c>
      <c r="Y11" s="2491"/>
      <c r="Z11" s="2492"/>
      <c r="AA11" s="2493">
        <v>391207</v>
      </c>
      <c r="AB11" s="2490"/>
      <c r="AC11" s="2490">
        <f>AA11</f>
        <v>391207</v>
      </c>
      <c r="AD11" s="2490">
        <f>AA11</f>
        <v>391207</v>
      </c>
      <c r="AE11" s="2490"/>
      <c r="AF11" s="2490">
        <f>AD11</f>
        <v>391207</v>
      </c>
      <c r="AG11" s="2491"/>
      <c r="AH11" s="2492"/>
      <c r="AI11" s="2493">
        <v>388772</v>
      </c>
      <c r="AJ11" s="2490"/>
      <c r="AK11" s="2490">
        <f>AI11</f>
        <v>388772</v>
      </c>
      <c r="AL11" s="2490">
        <f>AI11</f>
        <v>388772</v>
      </c>
      <c r="AM11" s="2490"/>
      <c r="AN11" s="2490">
        <f>AL11</f>
        <v>388772</v>
      </c>
      <c r="AO11" s="2491"/>
      <c r="AP11" s="2492"/>
      <c r="AQ11" s="2493">
        <f>449761</f>
        <v>449761</v>
      </c>
      <c r="AR11" s="2490"/>
      <c r="AS11" s="2490">
        <f>AQ11</f>
        <v>449761</v>
      </c>
      <c r="AT11" s="2490">
        <f>AQ11</f>
        <v>449761</v>
      </c>
      <c r="AU11" s="2490"/>
      <c r="AV11" s="2490">
        <f>AT11</f>
        <v>449761</v>
      </c>
      <c r="AW11" s="2491"/>
      <c r="AX11" s="2492"/>
      <c r="AY11" s="2493">
        <v>37354</v>
      </c>
      <c r="AZ11" s="2490"/>
      <c r="BA11" s="2490">
        <f>AY11</f>
        <v>37354</v>
      </c>
      <c r="BB11" s="2490">
        <f>AY11</f>
        <v>37354</v>
      </c>
      <c r="BC11" s="2490"/>
      <c r="BD11" s="2490">
        <f>BB11</f>
        <v>37354</v>
      </c>
      <c r="BE11" s="2491"/>
      <c r="BF11" s="2492"/>
      <c r="BG11" s="2493">
        <f>566422</f>
        <v>566422</v>
      </c>
      <c r="BH11" s="2490"/>
      <c r="BI11" s="2490">
        <f>BG11</f>
        <v>566422</v>
      </c>
      <c r="BJ11" s="2490">
        <f>BI11</f>
        <v>566422</v>
      </c>
      <c r="BK11" s="2490"/>
      <c r="BL11" s="2490">
        <f>BJ11</f>
        <v>566422</v>
      </c>
      <c r="BM11" s="2491"/>
      <c r="BN11" s="2492"/>
      <c r="BO11" s="2493">
        <f>441700</f>
        <v>441700</v>
      </c>
      <c r="BP11" s="2490"/>
      <c r="BQ11" s="2490">
        <f>BO11</f>
        <v>441700</v>
      </c>
      <c r="BR11" s="2490">
        <f>BO11</f>
        <v>441700</v>
      </c>
      <c r="BS11" s="2490"/>
      <c r="BT11" s="2490">
        <f>BR11</f>
        <v>441700</v>
      </c>
      <c r="BU11" s="2491"/>
      <c r="BV11" s="2492"/>
      <c r="BW11" s="2493">
        <v>470689</v>
      </c>
      <c r="BX11" s="2490"/>
      <c r="BY11" s="2490">
        <f>BW11</f>
        <v>470689</v>
      </c>
      <c r="BZ11" s="2490">
        <f>BW11</f>
        <v>470689</v>
      </c>
      <c r="CA11" s="2490"/>
      <c r="CB11" s="2490">
        <f>BZ11</f>
        <v>470689</v>
      </c>
      <c r="CC11" s="2491"/>
      <c r="CD11" s="2492"/>
      <c r="CE11" s="2493">
        <f>440874</f>
        <v>440874</v>
      </c>
      <c r="CF11" s="2490"/>
      <c r="CG11" s="2490">
        <f>CE11</f>
        <v>440874</v>
      </c>
      <c r="CH11" s="2490">
        <f>CE11</f>
        <v>440874</v>
      </c>
      <c r="CI11" s="2490"/>
      <c r="CJ11" s="2490">
        <f>CH11</f>
        <v>440874</v>
      </c>
      <c r="CK11" s="2491"/>
      <c r="CL11" s="2492"/>
      <c r="CM11" s="2493">
        <f>224584</f>
        <v>224584</v>
      </c>
      <c r="CN11" s="2490"/>
      <c r="CO11" s="2490">
        <f>CM11</f>
        <v>224584</v>
      </c>
      <c r="CP11" s="2490">
        <f>CM11</f>
        <v>224584</v>
      </c>
      <c r="CQ11" s="2490"/>
      <c r="CR11" s="2490">
        <f>CP11</f>
        <v>224584</v>
      </c>
      <c r="CS11" s="2491"/>
      <c r="CT11" s="2492"/>
      <c r="CU11" s="2493">
        <f>379928</f>
        <v>379928</v>
      </c>
      <c r="CV11" s="2490"/>
      <c r="CW11" s="2490">
        <f>CU11</f>
        <v>379928</v>
      </c>
      <c r="CX11" s="2490">
        <f>CU11</f>
        <v>379928</v>
      </c>
      <c r="CY11" s="2490"/>
      <c r="CZ11" s="2490">
        <f>CX11</f>
        <v>379928</v>
      </c>
      <c r="DA11" s="2491"/>
      <c r="DB11" s="2492"/>
    </row>
    <row r="12" spans="1:106" s="2452" customFormat="1" ht="25.95" customHeight="1">
      <c r="A12" s="2455">
        <v>3</v>
      </c>
      <c r="B12" s="2775" t="s">
        <v>379</v>
      </c>
      <c r="C12" s="2482">
        <f>+K12+S12+AA12+AI12+AQ12+AY12+BG12+BO12+BW12+CE12+CM12+CU12</f>
        <v>317798</v>
      </c>
      <c r="D12" s="2482"/>
      <c r="E12" s="2482">
        <f>+M12+U12+AC12+AK12+AS12+BA12+BI12+BQ12+BY12+CG12+CO12+CW12</f>
        <v>317798</v>
      </c>
      <c r="F12" s="2482">
        <f t="shared" ref="F12:H20" si="24">SUM(N12,V12,AD12,AL12,AT12,BB12,BJ12,BR12,BZ12,CH12,CP12,CX12)</f>
        <v>652400.348</v>
      </c>
      <c r="G12" s="2482">
        <f t="shared" si="24"/>
        <v>0</v>
      </c>
      <c r="H12" s="2482">
        <f>SUM(P12,X12,AF12,AN12,AV12,BD12,BL12,BT12,CB12,CJ12,CR12,CZ12)</f>
        <v>652400.348</v>
      </c>
      <c r="I12" s="2483">
        <f>F12-C12</f>
        <v>334602.348</v>
      </c>
      <c r="J12" s="2484">
        <f>F12/C12%</f>
        <v>205.28774504559499</v>
      </c>
      <c r="K12" s="2485">
        <f>SUM(K13:K20)</f>
        <v>18800</v>
      </c>
      <c r="L12" s="2482">
        <f t="shared" ref="L12:O12" si="25">SUM(L13:L20)</f>
        <v>0</v>
      </c>
      <c r="M12" s="2482">
        <f t="shared" si="25"/>
        <v>18800</v>
      </c>
      <c r="N12" s="2482">
        <f>SUM(N13:N20)</f>
        <v>55642</v>
      </c>
      <c r="O12" s="2482">
        <f t="shared" si="25"/>
        <v>0</v>
      </c>
      <c r="P12" s="2482">
        <f>SUM(P13:P20)</f>
        <v>55642</v>
      </c>
      <c r="Q12" s="2483">
        <f>N12-K12</f>
        <v>36842</v>
      </c>
      <c r="R12" s="2484"/>
      <c r="S12" s="2537">
        <f t="shared" ref="S12:X12" si="26">SUM(S13:S20)</f>
        <v>13300</v>
      </c>
      <c r="T12" s="2482">
        <f t="shared" si="26"/>
        <v>0</v>
      </c>
      <c r="U12" s="2482">
        <f t="shared" si="26"/>
        <v>13300</v>
      </c>
      <c r="V12" s="2482">
        <f>SUM(V13:V20)</f>
        <v>65390</v>
      </c>
      <c r="W12" s="2482">
        <f t="shared" si="26"/>
        <v>0</v>
      </c>
      <c r="X12" s="2482">
        <f t="shared" si="26"/>
        <v>65390</v>
      </c>
      <c r="Y12" s="2483">
        <f>V12-S12</f>
        <v>52090</v>
      </c>
      <c r="Z12" s="2484"/>
      <c r="AA12" s="2485">
        <f t="shared" ref="AA12:AF12" si="27">SUM(AA13:AA20)</f>
        <v>34100</v>
      </c>
      <c r="AB12" s="2482">
        <f t="shared" si="27"/>
        <v>0</v>
      </c>
      <c r="AC12" s="2482">
        <f t="shared" si="27"/>
        <v>34100</v>
      </c>
      <c r="AD12" s="2482">
        <f t="shared" si="27"/>
        <v>49989.824000000001</v>
      </c>
      <c r="AE12" s="2482">
        <f t="shared" si="27"/>
        <v>0</v>
      </c>
      <c r="AF12" s="2482">
        <f t="shared" si="27"/>
        <v>49989.824000000001</v>
      </c>
      <c r="AG12" s="2483">
        <f>AD12-AA12</f>
        <v>15889.824000000001</v>
      </c>
      <c r="AH12" s="2484"/>
      <c r="AI12" s="2485">
        <f t="shared" ref="AI12:AN12" si="28">SUM(AI13:AI20)</f>
        <v>45900</v>
      </c>
      <c r="AJ12" s="2482">
        <f t="shared" si="28"/>
        <v>0</v>
      </c>
      <c r="AK12" s="2482">
        <f t="shared" si="28"/>
        <v>45900</v>
      </c>
      <c r="AL12" s="2482">
        <f t="shared" si="28"/>
        <v>78292.759999999995</v>
      </c>
      <c r="AM12" s="2482">
        <f t="shared" si="28"/>
        <v>0</v>
      </c>
      <c r="AN12" s="2482">
        <f t="shared" si="28"/>
        <v>78292.759999999995</v>
      </c>
      <c r="AO12" s="2483">
        <f>AL12-AI12</f>
        <v>32392.759999999995</v>
      </c>
      <c r="AP12" s="2484"/>
      <c r="AQ12" s="2485">
        <f t="shared" ref="AQ12:AV12" si="29">SUM(AQ13:AQ20)</f>
        <v>32298</v>
      </c>
      <c r="AR12" s="2482">
        <f t="shared" si="29"/>
        <v>0</v>
      </c>
      <c r="AS12" s="2482">
        <f t="shared" si="29"/>
        <v>32298</v>
      </c>
      <c r="AT12" s="2482">
        <f t="shared" si="29"/>
        <v>36339.351999999999</v>
      </c>
      <c r="AU12" s="2482">
        <f t="shared" si="29"/>
        <v>0</v>
      </c>
      <c r="AV12" s="2482">
        <f t="shared" si="29"/>
        <v>36339.351999999999</v>
      </c>
      <c r="AW12" s="2483">
        <f>AT12-AQ12</f>
        <v>4041.351999999999</v>
      </c>
      <c r="AX12" s="2484"/>
      <c r="AY12" s="2485">
        <f t="shared" ref="AY12:BD12" si="30">SUM(AY13:AY20)</f>
        <v>8000</v>
      </c>
      <c r="AZ12" s="2482">
        <f t="shared" si="30"/>
        <v>0</v>
      </c>
      <c r="BA12" s="2482">
        <f t="shared" si="30"/>
        <v>8000</v>
      </c>
      <c r="BB12" s="2482">
        <f t="shared" si="30"/>
        <v>19159.2</v>
      </c>
      <c r="BC12" s="2482">
        <f t="shared" si="30"/>
        <v>0</v>
      </c>
      <c r="BD12" s="2482">
        <f t="shared" si="30"/>
        <v>19159.2</v>
      </c>
      <c r="BE12" s="2483">
        <f>BB12-AY12</f>
        <v>11159.2</v>
      </c>
      <c r="BF12" s="2484"/>
      <c r="BG12" s="2485">
        <f t="shared" ref="BG12:BL12" si="31">SUM(BG13:BG20)</f>
        <v>47400</v>
      </c>
      <c r="BH12" s="2482">
        <f t="shared" si="31"/>
        <v>0</v>
      </c>
      <c r="BI12" s="2482">
        <f t="shared" si="31"/>
        <v>47400</v>
      </c>
      <c r="BJ12" s="2482">
        <f t="shared" si="31"/>
        <v>75927.199999999997</v>
      </c>
      <c r="BK12" s="2482">
        <f t="shared" si="31"/>
        <v>0</v>
      </c>
      <c r="BL12" s="2482">
        <f t="shared" si="31"/>
        <v>75927.199999999997</v>
      </c>
      <c r="BM12" s="2483">
        <f>BJ12-BG12</f>
        <v>28527.199999999997</v>
      </c>
      <c r="BN12" s="2484"/>
      <c r="BO12" s="2485">
        <f t="shared" ref="BO12:BT12" si="32">SUM(BO13:BO20)</f>
        <v>61600</v>
      </c>
      <c r="BP12" s="2482">
        <f t="shared" si="32"/>
        <v>0</v>
      </c>
      <c r="BQ12" s="2482">
        <f t="shared" si="32"/>
        <v>61600</v>
      </c>
      <c r="BR12" s="2482">
        <f t="shared" si="32"/>
        <v>99005.6</v>
      </c>
      <c r="BS12" s="2482">
        <f t="shared" si="32"/>
        <v>0</v>
      </c>
      <c r="BT12" s="2482">
        <f t="shared" si="32"/>
        <v>99005.6</v>
      </c>
      <c r="BU12" s="2483">
        <f>BR12-BO12</f>
        <v>37405.600000000006</v>
      </c>
      <c r="BV12" s="2484"/>
      <c r="BW12" s="2485">
        <f t="shared" ref="BW12:CA12" si="33">SUM(BW13:BW20)</f>
        <v>15900</v>
      </c>
      <c r="BX12" s="2482">
        <f t="shared" si="33"/>
        <v>0</v>
      </c>
      <c r="BY12" s="2482">
        <f t="shared" si="33"/>
        <v>15900</v>
      </c>
      <c r="BZ12" s="2482">
        <f>SUM(BZ13:BZ20)</f>
        <v>49965.948000000004</v>
      </c>
      <c r="CA12" s="2482">
        <f t="shared" si="33"/>
        <v>0</v>
      </c>
      <c r="CB12" s="2482">
        <f>SUM(CB13:CB20)</f>
        <v>49965.948000000004</v>
      </c>
      <c r="CC12" s="2483">
        <f>BZ12-BW12</f>
        <v>34065.948000000004</v>
      </c>
      <c r="CD12" s="2484"/>
      <c r="CE12" s="2485">
        <f t="shared" ref="CE12:CI12" si="34">SUM(CE13:CE20)</f>
        <v>18300</v>
      </c>
      <c r="CF12" s="2482">
        <f t="shared" si="34"/>
        <v>0</v>
      </c>
      <c r="CG12" s="2482">
        <f t="shared" si="34"/>
        <v>18300</v>
      </c>
      <c r="CH12" s="2482">
        <f>SUM(CH13:CH20)</f>
        <v>78183.712</v>
      </c>
      <c r="CI12" s="2482">
        <f t="shared" si="34"/>
        <v>0</v>
      </c>
      <c r="CJ12" s="2482">
        <f>SUM(CJ13:CJ20)</f>
        <v>78183.712</v>
      </c>
      <c r="CK12" s="2483">
        <f>CH12-CE12</f>
        <v>59883.712</v>
      </c>
      <c r="CL12" s="2484"/>
      <c r="CM12" s="2485">
        <f t="shared" ref="CM12:CR12" si="35">SUM(CM13:CM20)</f>
        <v>4500</v>
      </c>
      <c r="CN12" s="2482">
        <f t="shared" si="35"/>
        <v>0</v>
      </c>
      <c r="CO12" s="2482">
        <f t="shared" si="35"/>
        <v>4500</v>
      </c>
      <c r="CP12" s="2482">
        <f t="shared" si="35"/>
        <v>9875.92</v>
      </c>
      <c r="CQ12" s="2482">
        <f t="shared" si="35"/>
        <v>0</v>
      </c>
      <c r="CR12" s="2482">
        <f t="shared" si="35"/>
        <v>9875.92</v>
      </c>
      <c r="CS12" s="2483">
        <f>CP12-CM12</f>
        <v>5375.92</v>
      </c>
      <c r="CT12" s="2484"/>
      <c r="CU12" s="2485">
        <f t="shared" ref="CU12:CZ12" si="36">SUM(CU13:CU20)</f>
        <v>17700</v>
      </c>
      <c r="CV12" s="2482">
        <f t="shared" si="36"/>
        <v>0</v>
      </c>
      <c r="CW12" s="2482">
        <f t="shared" si="36"/>
        <v>17700</v>
      </c>
      <c r="CX12" s="2482">
        <f t="shared" si="36"/>
        <v>34628.832000000002</v>
      </c>
      <c r="CY12" s="2482">
        <f t="shared" si="36"/>
        <v>0</v>
      </c>
      <c r="CZ12" s="2482">
        <f t="shared" si="36"/>
        <v>34628.832000000002</v>
      </c>
      <c r="DA12" s="2483">
        <f>CX12-CU12</f>
        <v>16928.832000000002</v>
      </c>
      <c r="DB12" s="2484"/>
    </row>
    <row r="13" spans="1:106" s="2461" customFormat="1" ht="36">
      <c r="A13" s="2460" t="s">
        <v>380</v>
      </c>
      <c r="B13" s="2776" t="s">
        <v>1881</v>
      </c>
      <c r="C13" s="2494">
        <f t="shared" ref="C13:C20" si="37">+K13+S13+AA13+AI13+AQ13+AY13+BG13+BO13+BW13+CE13+CM13+CU13</f>
        <v>148700</v>
      </c>
      <c r="D13" s="2494"/>
      <c r="E13" s="2494">
        <f t="shared" ref="E13:E20" si="38">+M13+U13+AC13+AK13+AS13+BA13+BI13+BQ13+BY13+CG13+CO13+CW13</f>
        <v>148700</v>
      </c>
      <c r="F13" s="2494">
        <f t="shared" si="24"/>
        <v>148700</v>
      </c>
      <c r="G13" s="2494"/>
      <c r="H13" s="2494">
        <f t="shared" si="24"/>
        <v>148700</v>
      </c>
      <c r="I13" s="2495">
        <f t="shared" ref="I13:I20" si="39">F13-C13</f>
        <v>0</v>
      </c>
      <c r="J13" s="2496"/>
      <c r="K13" s="2497">
        <v>9300</v>
      </c>
      <c r="L13" s="2494"/>
      <c r="M13" s="2494">
        <f>K13+L13</f>
        <v>9300</v>
      </c>
      <c r="N13" s="2494">
        <f>M13</f>
        <v>9300</v>
      </c>
      <c r="O13" s="2494"/>
      <c r="P13" s="2494">
        <f t="shared" ref="P13:P21" si="40">N13</f>
        <v>9300</v>
      </c>
      <c r="Q13" s="2495"/>
      <c r="R13" s="2496"/>
      <c r="S13" s="2540">
        <v>5800</v>
      </c>
      <c r="T13" s="2494"/>
      <c r="U13" s="2494">
        <f>S13+T13</f>
        <v>5800</v>
      </c>
      <c r="V13" s="2494">
        <f>S13</f>
        <v>5800</v>
      </c>
      <c r="W13" s="2494"/>
      <c r="X13" s="2494">
        <f t="shared" ref="X13:X21" si="41">V13</f>
        <v>5800</v>
      </c>
      <c r="Y13" s="2495"/>
      <c r="Z13" s="2496"/>
      <c r="AA13" s="2497">
        <v>16100</v>
      </c>
      <c r="AB13" s="2494"/>
      <c r="AC13" s="2494">
        <f>AA13+AB13</f>
        <v>16100</v>
      </c>
      <c r="AD13" s="2494">
        <f>AA13</f>
        <v>16100</v>
      </c>
      <c r="AE13" s="2494"/>
      <c r="AF13" s="2494">
        <f>AD13</f>
        <v>16100</v>
      </c>
      <c r="AG13" s="2495"/>
      <c r="AH13" s="2496"/>
      <c r="AI13" s="2497">
        <v>18900</v>
      </c>
      <c r="AJ13" s="2494"/>
      <c r="AK13" s="2494">
        <f>AI13+AJ13</f>
        <v>18900</v>
      </c>
      <c r="AL13" s="2494">
        <f>AI13</f>
        <v>18900</v>
      </c>
      <c r="AM13" s="2494"/>
      <c r="AN13" s="2494">
        <f t="shared" ref="AN13:AN21" si="42">AL13</f>
        <v>18900</v>
      </c>
      <c r="AO13" s="2495"/>
      <c r="AP13" s="2496"/>
      <c r="AQ13" s="2497">
        <v>13200</v>
      </c>
      <c r="AR13" s="2494"/>
      <c r="AS13" s="2494">
        <f>AQ13+AR13</f>
        <v>13200</v>
      </c>
      <c r="AT13" s="2494">
        <f>AQ13</f>
        <v>13200</v>
      </c>
      <c r="AU13" s="2494"/>
      <c r="AV13" s="2494">
        <f>AT13</f>
        <v>13200</v>
      </c>
      <c r="AW13" s="2495"/>
      <c r="AX13" s="2496"/>
      <c r="AY13" s="2497">
        <v>5000</v>
      </c>
      <c r="AZ13" s="2494"/>
      <c r="BA13" s="2494">
        <f>AY13+AZ13</f>
        <v>5000</v>
      </c>
      <c r="BB13" s="2494">
        <f>AY13</f>
        <v>5000</v>
      </c>
      <c r="BC13" s="2494"/>
      <c r="BD13" s="2494">
        <f>BB13</f>
        <v>5000</v>
      </c>
      <c r="BE13" s="2495"/>
      <c r="BF13" s="2496"/>
      <c r="BG13" s="2497">
        <f>21400</f>
        <v>21400</v>
      </c>
      <c r="BH13" s="2494"/>
      <c r="BI13" s="2494">
        <f>BG13+BH13</f>
        <v>21400</v>
      </c>
      <c r="BJ13" s="2494">
        <f>BG13</f>
        <v>21400</v>
      </c>
      <c r="BK13" s="2494"/>
      <c r="BL13" s="2494">
        <f>BJ13</f>
        <v>21400</v>
      </c>
      <c r="BM13" s="2495"/>
      <c r="BN13" s="2496"/>
      <c r="BO13" s="2497">
        <v>28600</v>
      </c>
      <c r="BP13" s="2494"/>
      <c r="BQ13" s="2494">
        <f>BO13+BP13</f>
        <v>28600</v>
      </c>
      <c r="BR13" s="2494">
        <f>BO13</f>
        <v>28600</v>
      </c>
      <c r="BS13" s="2494"/>
      <c r="BT13" s="2494">
        <f>BR13</f>
        <v>28600</v>
      </c>
      <c r="BU13" s="2495"/>
      <c r="BV13" s="2496"/>
      <c r="BW13" s="2497">
        <v>8900</v>
      </c>
      <c r="BX13" s="2494"/>
      <c r="BY13" s="2494">
        <f>BW13+BX13</f>
        <v>8900</v>
      </c>
      <c r="BZ13" s="2494">
        <f>BY13</f>
        <v>8900</v>
      </c>
      <c r="CA13" s="2494"/>
      <c r="CB13" s="2494">
        <f>BZ13</f>
        <v>8900</v>
      </c>
      <c r="CC13" s="2495"/>
      <c r="CD13" s="2496"/>
      <c r="CE13" s="2497">
        <v>11300</v>
      </c>
      <c r="CF13" s="2494"/>
      <c r="CG13" s="2494">
        <f>CE13+CF13</f>
        <v>11300</v>
      </c>
      <c r="CH13" s="2494">
        <f>CE13</f>
        <v>11300</v>
      </c>
      <c r="CI13" s="2494"/>
      <c r="CJ13" s="2494">
        <f t="shared" ref="CJ13:CJ21" si="43">CH13</f>
        <v>11300</v>
      </c>
      <c r="CK13" s="2495"/>
      <c r="CL13" s="2496"/>
      <c r="CM13" s="2497">
        <v>3000</v>
      </c>
      <c r="CN13" s="2494"/>
      <c r="CO13" s="2494">
        <f>CM13+CN13</f>
        <v>3000</v>
      </c>
      <c r="CP13" s="2494">
        <f>CM13</f>
        <v>3000</v>
      </c>
      <c r="CQ13" s="2494"/>
      <c r="CR13" s="2494">
        <f>CP13</f>
        <v>3000</v>
      </c>
      <c r="CS13" s="2495"/>
      <c r="CT13" s="2496"/>
      <c r="CU13" s="2497">
        <v>7200</v>
      </c>
      <c r="CV13" s="2494"/>
      <c r="CW13" s="2494">
        <f>CU13+CV13</f>
        <v>7200</v>
      </c>
      <c r="CX13" s="2494">
        <f>CU13</f>
        <v>7200</v>
      </c>
      <c r="CY13" s="2494"/>
      <c r="CZ13" s="2494">
        <f>CX13</f>
        <v>7200</v>
      </c>
      <c r="DA13" s="2495"/>
      <c r="DB13" s="2496"/>
    </row>
    <row r="14" spans="1:106" s="2461" customFormat="1" ht="72">
      <c r="A14" s="2460" t="s">
        <v>381</v>
      </c>
      <c r="B14" s="2776" t="s">
        <v>1882</v>
      </c>
      <c r="C14" s="2494">
        <f t="shared" si="37"/>
        <v>169098</v>
      </c>
      <c r="D14" s="2494"/>
      <c r="E14" s="2494">
        <f t="shared" si="38"/>
        <v>169098</v>
      </c>
      <c r="F14" s="2494">
        <f t="shared" si="24"/>
        <v>169098</v>
      </c>
      <c r="G14" s="2494"/>
      <c r="H14" s="2494">
        <f t="shared" si="24"/>
        <v>169098</v>
      </c>
      <c r="I14" s="2495">
        <f t="shared" si="39"/>
        <v>0</v>
      </c>
      <c r="J14" s="2496"/>
      <c r="K14" s="2497">
        <v>9500</v>
      </c>
      <c r="L14" s="2494"/>
      <c r="M14" s="2494">
        <f>K14+L14</f>
        <v>9500</v>
      </c>
      <c r="N14" s="2494">
        <f>M14</f>
        <v>9500</v>
      </c>
      <c r="O14" s="2494"/>
      <c r="P14" s="2494">
        <f t="shared" si="40"/>
        <v>9500</v>
      </c>
      <c r="Q14" s="2495"/>
      <c r="R14" s="2496"/>
      <c r="S14" s="2540">
        <v>7500</v>
      </c>
      <c r="T14" s="2494"/>
      <c r="U14" s="2494">
        <f t="shared" ref="U14:U21" si="44">S14+T14</f>
        <v>7500</v>
      </c>
      <c r="V14" s="2494">
        <f>S14</f>
        <v>7500</v>
      </c>
      <c r="W14" s="2494"/>
      <c r="X14" s="2494">
        <f t="shared" si="41"/>
        <v>7500</v>
      </c>
      <c r="Y14" s="2495"/>
      <c r="Z14" s="2496"/>
      <c r="AA14" s="2497">
        <v>18000</v>
      </c>
      <c r="AB14" s="2494"/>
      <c r="AC14" s="2494">
        <f t="shared" ref="AC14:AC21" si="45">AA14+AB14</f>
        <v>18000</v>
      </c>
      <c r="AD14" s="2494">
        <f>AA14</f>
        <v>18000</v>
      </c>
      <c r="AE14" s="2494"/>
      <c r="AF14" s="2494">
        <f>AD14</f>
        <v>18000</v>
      </c>
      <c r="AG14" s="2495"/>
      <c r="AH14" s="2496"/>
      <c r="AI14" s="2497">
        <v>27000</v>
      </c>
      <c r="AJ14" s="2494"/>
      <c r="AK14" s="2494">
        <f t="shared" ref="AK14:AK21" si="46">AI14+AJ14</f>
        <v>27000</v>
      </c>
      <c r="AL14" s="2494">
        <f>AI14</f>
        <v>27000</v>
      </c>
      <c r="AM14" s="2494"/>
      <c r="AN14" s="2494">
        <f t="shared" si="42"/>
        <v>27000</v>
      </c>
      <c r="AO14" s="2495"/>
      <c r="AP14" s="2496"/>
      <c r="AQ14" s="2497">
        <v>19098</v>
      </c>
      <c r="AR14" s="2494"/>
      <c r="AS14" s="2494">
        <f t="shared" ref="AS14:AS21" si="47">AQ14+AR14</f>
        <v>19098</v>
      </c>
      <c r="AT14" s="2494">
        <f>AQ14</f>
        <v>19098</v>
      </c>
      <c r="AU14" s="2494"/>
      <c r="AV14" s="2494">
        <f>AT14</f>
        <v>19098</v>
      </c>
      <c r="AW14" s="2495"/>
      <c r="AX14" s="2496"/>
      <c r="AY14" s="2497">
        <v>3000</v>
      </c>
      <c r="AZ14" s="2494"/>
      <c r="BA14" s="2494">
        <f t="shared" ref="BA14:BA21" si="48">AY14+AZ14</f>
        <v>3000</v>
      </c>
      <c r="BB14" s="2494">
        <f>AY14</f>
        <v>3000</v>
      </c>
      <c r="BC14" s="2494"/>
      <c r="BD14" s="2494">
        <f>BB14</f>
        <v>3000</v>
      </c>
      <c r="BE14" s="2495"/>
      <c r="BF14" s="2496"/>
      <c r="BG14" s="2497">
        <v>26000</v>
      </c>
      <c r="BH14" s="2494"/>
      <c r="BI14" s="2494">
        <f t="shared" ref="BI14:BI21" si="49">BG14+BH14</f>
        <v>26000</v>
      </c>
      <c r="BJ14" s="2494">
        <f>BG14</f>
        <v>26000</v>
      </c>
      <c r="BK14" s="2494"/>
      <c r="BL14" s="2494">
        <f>BJ14</f>
        <v>26000</v>
      </c>
      <c r="BM14" s="2495"/>
      <c r="BN14" s="2496"/>
      <c r="BO14" s="2497">
        <v>33000</v>
      </c>
      <c r="BP14" s="2494"/>
      <c r="BQ14" s="2494">
        <f t="shared" ref="BQ14:BQ21" si="50">BO14+BP14</f>
        <v>33000</v>
      </c>
      <c r="BR14" s="2494">
        <f>BO14</f>
        <v>33000</v>
      </c>
      <c r="BS14" s="2494"/>
      <c r="BT14" s="2494">
        <f>BR14</f>
        <v>33000</v>
      </c>
      <c r="BU14" s="2495"/>
      <c r="BV14" s="2496"/>
      <c r="BW14" s="2497">
        <v>7000</v>
      </c>
      <c r="BX14" s="2494"/>
      <c r="BY14" s="2494">
        <f t="shared" ref="BY14:BY21" si="51">BW14+BX14</f>
        <v>7000</v>
      </c>
      <c r="BZ14" s="2494">
        <f>BY14</f>
        <v>7000</v>
      </c>
      <c r="CA14" s="2494"/>
      <c r="CB14" s="2494">
        <f>BZ14</f>
        <v>7000</v>
      </c>
      <c r="CC14" s="2495"/>
      <c r="CD14" s="2496"/>
      <c r="CE14" s="2497">
        <v>7000</v>
      </c>
      <c r="CF14" s="2494"/>
      <c r="CG14" s="2494">
        <f t="shared" ref="CG14:CG21" si="52">CE14+CF14</f>
        <v>7000</v>
      </c>
      <c r="CH14" s="2494">
        <f>CE14</f>
        <v>7000</v>
      </c>
      <c r="CI14" s="2494"/>
      <c r="CJ14" s="2494">
        <f t="shared" si="43"/>
        <v>7000</v>
      </c>
      <c r="CK14" s="2495"/>
      <c r="CL14" s="2496"/>
      <c r="CM14" s="2497">
        <v>1500</v>
      </c>
      <c r="CN14" s="2494"/>
      <c r="CO14" s="2494">
        <f t="shared" ref="CO14:CO21" si="53">CM14+CN14</f>
        <v>1500</v>
      </c>
      <c r="CP14" s="2494">
        <f>CM14</f>
        <v>1500</v>
      </c>
      <c r="CQ14" s="2494"/>
      <c r="CR14" s="2494">
        <f>CP14</f>
        <v>1500</v>
      </c>
      <c r="CS14" s="2495"/>
      <c r="CT14" s="2496"/>
      <c r="CU14" s="2497">
        <v>10500</v>
      </c>
      <c r="CV14" s="2494"/>
      <c r="CW14" s="2494">
        <f t="shared" ref="CW14:CW21" si="54">CU14+CV14</f>
        <v>10500</v>
      </c>
      <c r="CX14" s="2494">
        <f>CU14</f>
        <v>10500</v>
      </c>
      <c r="CY14" s="2494"/>
      <c r="CZ14" s="2494">
        <f>CX14</f>
        <v>10500</v>
      </c>
      <c r="DA14" s="2495"/>
      <c r="DB14" s="2496"/>
    </row>
    <row r="15" spans="1:106" s="2461" customFormat="1" ht="36">
      <c r="A15" s="2460" t="s">
        <v>382</v>
      </c>
      <c r="B15" s="2777" t="s">
        <v>1878</v>
      </c>
      <c r="C15" s="2494">
        <f t="shared" si="37"/>
        <v>0</v>
      </c>
      <c r="D15" s="2494"/>
      <c r="E15" s="2494">
        <f t="shared" si="38"/>
        <v>0</v>
      </c>
      <c r="F15" s="2494">
        <f t="shared" si="24"/>
        <v>232934</v>
      </c>
      <c r="G15" s="2494"/>
      <c r="H15" s="2494">
        <f t="shared" si="24"/>
        <v>232934</v>
      </c>
      <c r="I15" s="2495">
        <f>F15-C15</f>
        <v>232934</v>
      </c>
      <c r="J15" s="2496"/>
      <c r="K15" s="2497">
        <v>0</v>
      </c>
      <c r="L15" s="2494"/>
      <c r="M15" s="2494">
        <f t="shared" ref="M15:M21" si="55">K15+L15</f>
        <v>0</v>
      </c>
      <c r="N15" s="2908">
        <f>-'Phụ lục 7.2-CCTL'!E31</f>
        <v>33411</v>
      </c>
      <c r="O15" s="2494"/>
      <c r="P15" s="2494">
        <f t="shared" si="40"/>
        <v>33411</v>
      </c>
      <c r="Q15" s="2495"/>
      <c r="R15" s="2496"/>
      <c r="S15" s="2540"/>
      <c r="T15" s="2494"/>
      <c r="U15" s="2494">
        <f t="shared" si="44"/>
        <v>0</v>
      </c>
      <c r="V15" s="2494">
        <f>-'Phụ lục 7.2-CCTL'!F32</f>
        <v>46035</v>
      </c>
      <c r="W15" s="2494"/>
      <c r="X15" s="2494">
        <f t="shared" si="41"/>
        <v>46035</v>
      </c>
      <c r="Y15" s="2495"/>
      <c r="Z15" s="2496"/>
      <c r="AA15" s="2497"/>
      <c r="AB15" s="2494"/>
      <c r="AC15" s="2494">
        <f t="shared" si="45"/>
        <v>0</v>
      </c>
      <c r="AD15" s="2908">
        <f>-'Phụ lục 7.2-CCTL'!G31</f>
        <v>8966</v>
      </c>
      <c r="AE15" s="2494"/>
      <c r="AF15" s="2494">
        <f>AD15</f>
        <v>8966</v>
      </c>
      <c r="AG15" s="2495"/>
      <c r="AH15" s="2496"/>
      <c r="AI15" s="2497"/>
      <c r="AJ15" s="2494"/>
      <c r="AK15" s="2494">
        <f t="shared" si="46"/>
        <v>0</v>
      </c>
      <c r="AL15" s="2908">
        <f>-'Phụ lục 7.2-CCTL'!H32</f>
        <v>30706</v>
      </c>
      <c r="AM15" s="2494"/>
      <c r="AN15" s="2494">
        <f t="shared" si="42"/>
        <v>30706</v>
      </c>
      <c r="AO15" s="2495"/>
      <c r="AP15" s="2496"/>
      <c r="AQ15" s="2497"/>
      <c r="AR15" s="2494"/>
      <c r="AS15" s="2494">
        <f t="shared" si="47"/>
        <v>0</v>
      </c>
      <c r="AT15" s="2908"/>
      <c r="AU15" s="2494"/>
      <c r="AV15" s="2494">
        <f>AT15</f>
        <v>0</v>
      </c>
      <c r="AW15" s="2495"/>
      <c r="AX15" s="2496"/>
      <c r="AY15" s="2497">
        <v>0</v>
      </c>
      <c r="AZ15" s="2494"/>
      <c r="BA15" s="2494">
        <f t="shared" si="48"/>
        <v>0</v>
      </c>
      <c r="BB15" s="2494"/>
      <c r="BC15" s="2494"/>
      <c r="BD15" s="2494">
        <f>BB15</f>
        <v>0</v>
      </c>
      <c r="BE15" s="2495"/>
      <c r="BF15" s="2496"/>
      <c r="BG15" s="2497"/>
      <c r="BH15" s="2494"/>
      <c r="BI15" s="2494">
        <f t="shared" si="49"/>
        <v>0</v>
      </c>
      <c r="BJ15" s="2908">
        <f>-'Phụ lục 7.2-CCTL'!K31</f>
        <v>10606</v>
      </c>
      <c r="BK15" s="2494"/>
      <c r="BL15" s="2494">
        <f>BJ15</f>
        <v>10606</v>
      </c>
      <c r="BM15" s="2495"/>
      <c r="BN15" s="2496"/>
      <c r="BO15" s="2497"/>
      <c r="BP15" s="2494"/>
      <c r="BQ15" s="2494">
        <f t="shared" si="50"/>
        <v>0</v>
      </c>
      <c r="BR15" s="2908">
        <f>-'Phụ lục 7.2-CCTL'!L31</f>
        <v>34795</v>
      </c>
      <c r="BS15" s="2494"/>
      <c r="BT15" s="2494">
        <f>BR15</f>
        <v>34795</v>
      </c>
      <c r="BU15" s="2495"/>
      <c r="BV15" s="2496"/>
      <c r="BW15" s="2497">
        <v>0</v>
      </c>
      <c r="BX15" s="2494"/>
      <c r="BY15" s="2494">
        <f t="shared" si="51"/>
        <v>0</v>
      </c>
      <c r="BZ15" s="2498">
        <f>-'Phụ lục 7.2-CCTL'!M31</f>
        <v>9628</v>
      </c>
      <c r="CA15" s="2494"/>
      <c r="CB15" s="2494">
        <f>BZ15</f>
        <v>9628</v>
      </c>
      <c r="CC15" s="2495"/>
      <c r="CD15" s="2496"/>
      <c r="CE15" s="2497"/>
      <c r="CF15" s="2494"/>
      <c r="CG15" s="2494">
        <f t="shared" si="52"/>
        <v>0</v>
      </c>
      <c r="CH15" s="2494">
        <f>-'Phụ lục 7.2-CCTL'!N32</f>
        <v>50621</v>
      </c>
      <c r="CI15" s="2494"/>
      <c r="CJ15" s="2494">
        <f t="shared" si="43"/>
        <v>50621</v>
      </c>
      <c r="CK15" s="2495"/>
      <c r="CL15" s="2496"/>
      <c r="CM15" s="2497">
        <v>0</v>
      </c>
      <c r="CN15" s="2494"/>
      <c r="CO15" s="2494">
        <f t="shared" si="53"/>
        <v>0</v>
      </c>
      <c r="CP15" s="2494"/>
      <c r="CQ15" s="2494"/>
      <c r="CR15" s="2494"/>
      <c r="CS15" s="2495"/>
      <c r="CT15" s="2496"/>
      <c r="CU15" s="2497"/>
      <c r="CV15" s="2494"/>
      <c r="CW15" s="2494">
        <f t="shared" si="54"/>
        <v>0</v>
      </c>
      <c r="CX15" s="2494">
        <f>-'Phụ lục 7.2-CCTL'!P31</f>
        <v>8166</v>
      </c>
      <c r="CY15" s="2494"/>
      <c r="CZ15" s="2494">
        <f>CX15</f>
        <v>8166</v>
      </c>
      <c r="DA15" s="2495"/>
      <c r="DB15" s="2496"/>
    </row>
    <row r="16" spans="1:106" s="2461" customFormat="1" ht="36">
      <c r="A16" s="2460" t="s">
        <v>383</v>
      </c>
      <c r="B16" s="2778" t="s">
        <v>1879</v>
      </c>
      <c r="C16" s="2494">
        <f t="shared" si="37"/>
        <v>0</v>
      </c>
      <c r="D16" s="2494"/>
      <c r="E16" s="2494">
        <f t="shared" si="38"/>
        <v>0</v>
      </c>
      <c r="F16" s="2494">
        <f t="shared" si="24"/>
        <v>93668.347999999998</v>
      </c>
      <c r="G16" s="2494"/>
      <c r="H16" s="2494">
        <f t="shared" si="24"/>
        <v>93668.347999999998</v>
      </c>
      <c r="I16" s="2495">
        <f t="shared" si="39"/>
        <v>93668.347999999998</v>
      </c>
      <c r="J16" s="2496"/>
      <c r="K16" s="2497">
        <v>0</v>
      </c>
      <c r="L16" s="2494"/>
      <c r="M16" s="2494">
        <f t="shared" si="55"/>
        <v>0</v>
      </c>
      <c r="N16" s="2494">
        <f>'Phụ lục 7.3-CĐCS'!AC11</f>
        <v>3431</v>
      </c>
      <c r="O16" s="2494"/>
      <c r="P16" s="2494">
        <f t="shared" si="40"/>
        <v>3431</v>
      </c>
      <c r="Q16" s="2495"/>
      <c r="R16" s="2496"/>
      <c r="S16" s="2540"/>
      <c r="T16" s="2494"/>
      <c r="U16" s="2494">
        <f t="shared" si="44"/>
        <v>0</v>
      </c>
      <c r="V16" s="2494">
        <f>'Phụ lục 7.3-CĐCS'!AQ10</f>
        <v>4055</v>
      </c>
      <c r="W16" s="2494"/>
      <c r="X16" s="2494">
        <f t="shared" si="41"/>
        <v>4055</v>
      </c>
      <c r="Y16" s="2495"/>
      <c r="Z16" s="2496"/>
      <c r="AA16" s="2497"/>
      <c r="AB16" s="2494"/>
      <c r="AC16" s="2494">
        <f t="shared" si="45"/>
        <v>0</v>
      </c>
      <c r="AD16" s="2494">
        <f>'Phụ lục 7.3-CĐCS'!BE10</f>
        <v>6923.8239999999996</v>
      </c>
      <c r="AE16" s="2494"/>
      <c r="AF16" s="2494">
        <f t="shared" ref="AF16:AF21" si="56">AD16</f>
        <v>6923.8239999999996</v>
      </c>
      <c r="AG16" s="2495"/>
      <c r="AH16" s="2496"/>
      <c r="AI16" s="2497"/>
      <c r="AJ16" s="2494"/>
      <c r="AK16" s="2494">
        <f t="shared" si="46"/>
        <v>0</v>
      </c>
      <c r="AL16" s="2494">
        <f>'Phụ lục 7.3-CĐCS'!BS10</f>
        <v>1686.76</v>
      </c>
      <c r="AM16" s="2494"/>
      <c r="AN16" s="2494">
        <f t="shared" si="42"/>
        <v>1686.76</v>
      </c>
      <c r="AO16" s="2495"/>
      <c r="AP16" s="2496"/>
      <c r="AQ16" s="2497"/>
      <c r="AR16" s="2494"/>
      <c r="AS16" s="2494">
        <f t="shared" si="47"/>
        <v>0</v>
      </c>
      <c r="AT16" s="2494">
        <f>'Phụ lục 7.3-CĐCS'!CG10</f>
        <v>4041.3519999999999</v>
      </c>
      <c r="AU16" s="2494"/>
      <c r="AV16" s="2494">
        <f t="shared" ref="AV16:AV21" si="57">AT16</f>
        <v>4041.3519999999999</v>
      </c>
      <c r="AW16" s="2495"/>
      <c r="AX16" s="2496"/>
      <c r="AY16" s="2497">
        <v>0</v>
      </c>
      <c r="AZ16" s="2494"/>
      <c r="BA16" s="2494">
        <f t="shared" si="48"/>
        <v>0</v>
      </c>
      <c r="BB16" s="2494">
        <f>'Phụ lục 7.3-CĐCS'!CU10</f>
        <v>11159.2</v>
      </c>
      <c r="BC16" s="2494"/>
      <c r="BD16" s="2494">
        <f t="shared" ref="BD16:BD21" si="58">BB16</f>
        <v>11159.2</v>
      </c>
      <c r="BE16" s="2495"/>
      <c r="BF16" s="2496"/>
      <c r="BG16" s="2497"/>
      <c r="BH16" s="2494"/>
      <c r="BI16" s="2494">
        <f t="shared" si="49"/>
        <v>0</v>
      </c>
      <c r="BJ16" s="2494">
        <f>'Phụ lục 7.3-CĐCS'!DI10</f>
        <v>17921.2</v>
      </c>
      <c r="BK16" s="2494"/>
      <c r="BL16" s="2494">
        <f t="shared" ref="BL16:BL21" si="59">BJ16</f>
        <v>17921.2</v>
      </c>
      <c r="BM16" s="2495"/>
      <c r="BN16" s="2496"/>
      <c r="BO16" s="2497"/>
      <c r="BP16" s="2494"/>
      <c r="BQ16" s="2494">
        <f t="shared" si="50"/>
        <v>0</v>
      </c>
      <c r="BR16" s="2494">
        <f>'Phụ lục 7.3-CĐCS'!DW10</f>
        <v>2610.6</v>
      </c>
      <c r="BS16" s="2494"/>
      <c r="BT16" s="2494">
        <f t="shared" ref="BT16:BT21" si="60">BR16</f>
        <v>2610.6</v>
      </c>
      <c r="BU16" s="2495"/>
      <c r="BV16" s="2496"/>
      <c r="BW16" s="2497"/>
      <c r="BX16" s="2494"/>
      <c r="BY16" s="2494">
        <f t="shared" si="51"/>
        <v>0</v>
      </c>
      <c r="BZ16" s="2494">
        <f>'Phụ lục 7.3-CĐCS'!EK10</f>
        <v>22437.948</v>
      </c>
      <c r="CA16" s="2494"/>
      <c r="CB16" s="2494">
        <f t="shared" ref="CB16:CB21" si="61">BZ16</f>
        <v>22437.948</v>
      </c>
      <c r="CC16" s="2495"/>
      <c r="CD16" s="2496"/>
      <c r="CE16" s="2497"/>
      <c r="CF16" s="2494"/>
      <c r="CG16" s="2494">
        <f t="shared" si="52"/>
        <v>0</v>
      </c>
      <c r="CH16" s="2494">
        <f>'Phụ lục 7.3-CĐCS'!EY10</f>
        <v>7262.7119999999995</v>
      </c>
      <c r="CI16" s="2494"/>
      <c r="CJ16" s="2494">
        <f t="shared" si="43"/>
        <v>7262.7119999999995</v>
      </c>
      <c r="CK16" s="2495"/>
      <c r="CL16" s="2496"/>
      <c r="CM16" s="2497">
        <v>0</v>
      </c>
      <c r="CN16" s="2494"/>
      <c r="CO16" s="2494">
        <f t="shared" si="53"/>
        <v>0</v>
      </c>
      <c r="CP16" s="2494">
        <f>'Phụ lục 7.3-CĐCS'!FM10</f>
        <v>5375.92</v>
      </c>
      <c r="CQ16" s="2494"/>
      <c r="CR16" s="2494">
        <f t="shared" ref="CR16:CR21" si="62">CP16</f>
        <v>5375.92</v>
      </c>
      <c r="CS16" s="2495"/>
      <c r="CT16" s="2496"/>
      <c r="CU16" s="2497"/>
      <c r="CV16" s="2494"/>
      <c r="CW16" s="2494">
        <f t="shared" si="54"/>
        <v>0</v>
      </c>
      <c r="CX16" s="2494">
        <f>'Phụ lục 7.3-CĐCS'!GA10</f>
        <v>6762.8320000000003</v>
      </c>
      <c r="CY16" s="2494"/>
      <c r="CZ16" s="2494">
        <f t="shared" ref="CZ16:CZ21" si="63">CX16</f>
        <v>6762.8320000000003</v>
      </c>
      <c r="DA16" s="2495"/>
      <c r="DB16" s="2496"/>
    </row>
    <row r="17" spans="1:106" s="2476" customFormat="1" ht="36">
      <c r="A17" s="2813" t="s">
        <v>384</v>
      </c>
      <c r="B17" s="3150" t="s">
        <v>2623</v>
      </c>
      <c r="C17" s="2498">
        <f t="shared" si="37"/>
        <v>0</v>
      </c>
      <c r="D17" s="2498"/>
      <c r="E17" s="2498">
        <f t="shared" si="38"/>
        <v>0</v>
      </c>
      <c r="F17" s="2498">
        <f t="shared" si="24"/>
        <v>8000</v>
      </c>
      <c r="G17" s="2498"/>
      <c r="H17" s="2498">
        <f t="shared" si="24"/>
        <v>8000</v>
      </c>
      <c r="I17" s="2503">
        <f t="shared" si="39"/>
        <v>8000</v>
      </c>
      <c r="J17" s="2504"/>
      <c r="K17" s="2502">
        <v>0</v>
      </c>
      <c r="L17" s="2498"/>
      <c r="M17" s="2498">
        <f t="shared" si="55"/>
        <v>0</v>
      </c>
      <c r="N17" s="2498">
        <f>167910000/100000-167910000/100000</f>
        <v>0</v>
      </c>
      <c r="O17" s="2498"/>
      <c r="P17" s="2498">
        <f t="shared" si="40"/>
        <v>0</v>
      </c>
      <c r="Q17" s="2503"/>
      <c r="R17" s="2504"/>
      <c r="S17" s="2541"/>
      <c r="T17" s="2498"/>
      <c r="U17" s="2498">
        <f t="shared" si="44"/>
        <v>0</v>
      </c>
      <c r="V17" s="2498">
        <f>778-778+2000</f>
        <v>2000</v>
      </c>
      <c r="W17" s="2498"/>
      <c r="X17" s="2498">
        <f t="shared" si="41"/>
        <v>2000</v>
      </c>
      <c r="Y17" s="2503"/>
      <c r="Z17" s="2504"/>
      <c r="AA17" s="2502"/>
      <c r="AB17" s="2498"/>
      <c r="AC17" s="2498">
        <f t="shared" si="45"/>
        <v>0</v>
      </c>
      <c r="AD17" s="2498">
        <f>464-464</f>
        <v>0</v>
      </c>
      <c r="AE17" s="2498"/>
      <c r="AF17" s="2498">
        <f t="shared" si="56"/>
        <v>0</v>
      </c>
      <c r="AG17" s="2503"/>
      <c r="AH17" s="2504"/>
      <c r="AI17" s="2502"/>
      <c r="AJ17" s="2498"/>
      <c r="AK17" s="2498">
        <f t="shared" si="46"/>
        <v>0</v>
      </c>
      <c r="AL17" s="2498">
        <f>729-729</f>
        <v>0</v>
      </c>
      <c r="AM17" s="2498"/>
      <c r="AN17" s="2498">
        <f t="shared" si="42"/>
        <v>0</v>
      </c>
      <c r="AO17" s="2503"/>
      <c r="AP17" s="2504"/>
      <c r="AQ17" s="2502"/>
      <c r="AR17" s="2498"/>
      <c r="AS17" s="2498">
        <f t="shared" si="47"/>
        <v>0</v>
      </c>
      <c r="AT17" s="2498">
        <f>723-723</f>
        <v>0</v>
      </c>
      <c r="AU17" s="2498"/>
      <c r="AV17" s="2498">
        <f t="shared" si="57"/>
        <v>0</v>
      </c>
      <c r="AW17" s="2503"/>
      <c r="AX17" s="2504"/>
      <c r="AY17" s="2502"/>
      <c r="AZ17" s="2498"/>
      <c r="BA17" s="2498">
        <f t="shared" si="48"/>
        <v>0</v>
      </c>
      <c r="BB17" s="2498">
        <f>518-518</f>
        <v>0</v>
      </c>
      <c r="BC17" s="2498"/>
      <c r="BD17" s="2498">
        <f t="shared" si="58"/>
        <v>0</v>
      </c>
      <c r="BE17" s="2503"/>
      <c r="BF17" s="2504"/>
      <c r="BG17" s="2502"/>
      <c r="BH17" s="2498"/>
      <c r="BI17" s="2498">
        <f t="shared" si="49"/>
        <v>0</v>
      </c>
      <c r="BJ17" s="2498">
        <f>220-220</f>
        <v>0</v>
      </c>
      <c r="BK17" s="2498"/>
      <c r="BL17" s="2498">
        <f t="shared" si="59"/>
        <v>0</v>
      </c>
      <c r="BM17" s="2503"/>
      <c r="BN17" s="2504"/>
      <c r="BO17" s="2502"/>
      <c r="BP17" s="2498"/>
      <c r="BQ17" s="2498">
        <f t="shared" si="50"/>
        <v>0</v>
      </c>
      <c r="BR17" s="2498">
        <f>1011-1011</f>
        <v>0</v>
      </c>
      <c r="BS17" s="2498"/>
      <c r="BT17" s="2498">
        <f t="shared" si="60"/>
        <v>0</v>
      </c>
      <c r="BU17" s="2503"/>
      <c r="BV17" s="2504"/>
      <c r="BW17" s="2502"/>
      <c r="BX17" s="2498"/>
      <c r="BY17" s="2498">
        <f t="shared" si="51"/>
        <v>0</v>
      </c>
      <c r="BZ17" s="2498">
        <f>519-519+2000</f>
        <v>2000</v>
      </c>
      <c r="CA17" s="2498"/>
      <c r="CB17" s="2498">
        <f t="shared" si="61"/>
        <v>2000</v>
      </c>
      <c r="CC17" s="2503"/>
      <c r="CD17" s="2504"/>
      <c r="CE17" s="2502"/>
      <c r="CF17" s="2498"/>
      <c r="CG17" s="2498">
        <f t="shared" si="52"/>
        <v>0</v>
      </c>
      <c r="CH17" s="2498">
        <f>724-724+2000</f>
        <v>2000</v>
      </c>
      <c r="CI17" s="2498"/>
      <c r="CJ17" s="2498">
        <f t="shared" si="43"/>
        <v>2000</v>
      </c>
      <c r="CK17" s="2503"/>
      <c r="CL17" s="2504"/>
      <c r="CM17" s="2502"/>
      <c r="CN17" s="2498"/>
      <c r="CO17" s="2498">
        <f t="shared" si="53"/>
        <v>0</v>
      </c>
      <c r="CP17" s="2498">
        <f>441-441</f>
        <v>0</v>
      </c>
      <c r="CQ17" s="2498"/>
      <c r="CR17" s="2498">
        <f t="shared" si="62"/>
        <v>0</v>
      </c>
      <c r="CS17" s="2503"/>
      <c r="CT17" s="2504"/>
      <c r="CU17" s="2502"/>
      <c r="CV17" s="2498"/>
      <c r="CW17" s="2498">
        <f t="shared" si="54"/>
        <v>0</v>
      </c>
      <c r="CX17" s="2498">
        <f>381-381+2000</f>
        <v>2000</v>
      </c>
      <c r="CY17" s="2498"/>
      <c r="CZ17" s="2498">
        <f t="shared" si="63"/>
        <v>2000</v>
      </c>
      <c r="DA17" s="2503"/>
      <c r="DB17" s="2504"/>
    </row>
    <row r="18" spans="1:106" s="2476" customFormat="1" ht="36" hidden="1">
      <c r="A18" s="2477" t="s">
        <v>385</v>
      </c>
      <c r="B18" s="2779" t="s">
        <v>1880</v>
      </c>
      <c r="C18" s="2499">
        <f t="shared" si="37"/>
        <v>0</v>
      </c>
      <c r="D18" s="2499"/>
      <c r="E18" s="2499">
        <f t="shared" si="38"/>
        <v>0</v>
      </c>
      <c r="F18" s="2499">
        <f t="shared" si="24"/>
        <v>0</v>
      </c>
      <c r="G18" s="2499"/>
      <c r="H18" s="2499">
        <f t="shared" si="24"/>
        <v>0</v>
      </c>
      <c r="I18" s="2500">
        <f t="shared" si="39"/>
        <v>0</v>
      </c>
      <c r="J18" s="2501"/>
      <c r="K18" s="2502">
        <v>0</v>
      </c>
      <c r="L18" s="2498"/>
      <c r="M18" s="2498">
        <f t="shared" si="55"/>
        <v>0</v>
      </c>
      <c r="N18" s="2498">
        <f>K18</f>
        <v>0</v>
      </c>
      <c r="O18" s="2498"/>
      <c r="P18" s="2498">
        <f t="shared" si="40"/>
        <v>0</v>
      </c>
      <c r="Q18" s="2503">
        <f>N18-K18</f>
        <v>0</v>
      </c>
      <c r="R18" s="2504"/>
      <c r="S18" s="2541"/>
      <c r="T18" s="2498"/>
      <c r="U18" s="2498">
        <f t="shared" si="44"/>
        <v>0</v>
      </c>
      <c r="V18" s="2498">
        <f>S18</f>
        <v>0</v>
      </c>
      <c r="W18" s="2498"/>
      <c r="X18" s="2498">
        <f t="shared" si="41"/>
        <v>0</v>
      </c>
      <c r="Y18" s="2503">
        <f>V18-S18</f>
        <v>0</v>
      </c>
      <c r="Z18" s="2504"/>
      <c r="AA18" s="2502"/>
      <c r="AB18" s="2498"/>
      <c r="AC18" s="2498">
        <f t="shared" si="45"/>
        <v>0</v>
      </c>
      <c r="AD18" s="2498">
        <f>AA18</f>
        <v>0</v>
      </c>
      <c r="AE18" s="2498"/>
      <c r="AF18" s="2498">
        <f t="shared" si="56"/>
        <v>0</v>
      </c>
      <c r="AG18" s="2503">
        <f>AD18-AA18</f>
        <v>0</v>
      </c>
      <c r="AH18" s="2504"/>
      <c r="AI18" s="2502"/>
      <c r="AJ18" s="2498"/>
      <c r="AK18" s="2498">
        <f t="shared" si="46"/>
        <v>0</v>
      </c>
      <c r="AL18" s="2498">
        <f>AI18</f>
        <v>0</v>
      </c>
      <c r="AM18" s="2498"/>
      <c r="AN18" s="2498">
        <f t="shared" si="42"/>
        <v>0</v>
      </c>
      <c r="AO18" s="2503">
        <f>AL18-AI18</f>
        <v>0</v>
      </c>
      <c r="AP18" s="2504"/>
      <c r="AQ18" s="2502"/>
      <c r="AR18" s="2498"/>
      <c r="AS18" s="2498">
        <f t="shared" si="47"/>
        <v>0</v>
      </c>
      <c r="AT18" s="2498">
        <f>AQ18</f>
        <v>0</v>
      </c>
      <c r="AU18" s="2498"/>
      <c r="AV18" s="2498">
        <f t="shared" si="57"/>
        <v>0</v>
      </c>
      <c r="AW18" s="2503">
        <f>AT18-AQ18</f>
        <v>0</v>
      </c>
      <c r="AX18" s="2504"/>
      <c r="AY18" s="2502"/>
      <c r="AZ18" s="2498"/>
      <c r="BA18" s="2498">
        <f t="shared" si="48"/>
        <v>0</v>
      </c>
      <c r="BB18" s="2498">
        <f>AY18</f>
        <v>0</v>
      </c>
      <c r="BC18" s="2498"/>
      <c r="BD18" s="2498">
        <f t="shared" si="58"/>
        <v>0</v>
      </c>
      <c r="BE18" s="2503">
        <f>BB18-AY18</f>
        <v>0</v>
      </c>
      <c r="BF18" s="2504"/>
      <c r="BG18" s="2502"/>
      <c r="BH18" s="2498"/>
      <c r="BI18" s="2498">
        <f t="shared" si="49"/>
        <v>0</v>
      </c>
      <c r="BJ18" s="2498">
        <f>BG18</f>
        <v>0</v>
      </c>
      <c r="BK18" s="2498"/>
      <c r="BL18" s="2498">
        <f t="shared" si="59"/>
        <v>0</v>
      </c>
      <c r="BM18" s="2503">
        <f>BJ18-BG18</f>
        <v>0</v>
      </c>
      <c r="BN18" s="2504"/>
      <c r="BO18" s="2502"/>
      <c r="BP18" s="2498"/>
      <c r="BQ18" s="2498">
        <f t="shared" si="50"/>
        <v>0</v>
      </c>
      <c r="BR18" s="2498">
        <f>BO18</f>
        <v>0</v>
      </c>
      <c r="BS18" s="2498"/>
      <c r="BT18" s="2498">
        <f t="shared" si="60"/>
        <v>0</v>
      </c>
      <c r="BU18" s="2503">
        <f>BR18-BO18</f>
        <v>0</v>
      </c>
      <c r="BV18" s="2504"/>
      <c r="BW18" s="2502"/>
      <c r="BX18" s="2498"/>
      <c r="BY18" s="2498">
        <f t="shared" si="51"/>
        <v>0</v>
      </c>
      <c r="BZ18" s="2498">
        <f>BW18</f>
        <v>0</v>
      </c>
      <c r="CA18" s="2498"/>
      <c r="CB18" s="2498">
        <f t="shared" si="61"/>
        <v>0</v>
      </c>
      <c r="CC18" s="2503">
        <f>BZ18-BW18</f>
        <v>0</v>
      </c>
      <c r="CD18" s="2504"/>
      <c r="CE18" s="2502"/>
      <c r="CF18" s="2498"/>
      <c r="CG18" s="2498">
        <f t="shared" si="52"/>
        <v>0</v>
      </c>
      <c r="CH18" s="2498">
        <f>CE18</f>
        <v>0</v>
      </c>
      <c r="CI18" s="2498"/>
      <c r="CJ18" s="2498">
        <f t="shared" si="43"/>
        <v>0</v>
      </c>
      <c r="CK18" s="2503">
        <f>CH18-CE18</f>
        <v>0</v>
      </c>
      <c r="CL18" s="2504"/>
      <c r="CM18" s="2502"/>
      <c r="CN18" s="2498"/>
      <c r="CO18" s="2498">
        <f t="shared" si="53"/>
        <v>0</v>
      </c>
      <c r="CP18" s="2498">
        <f>CM18</f>
        <v>0</v>
      </c>
      <c r="CQ18" s="2498"/>
      <c r="CR18" s="2498">
        <f t="shared" si="62"/>
        <v>0</v>
      </c>
      <c r="CS18" s="2503">
        <f>CP18-CM18</f>
        <v>0</v>
      </c>
      <c r="CT18" s="2504"/>
      <c r="CU18" s="2502"/>
      <c r="CV18" s="2498"/>
      <c r="CW18" s="2498">
        <f t="shared" si="54"/>
        <v>0</v>
      </c>
      <c r="CX18" s="2498">
        <f>CU18</f>
        <v>0</v>
      </c>
      <c r="CY18" s="2498"/>
      <c r="CZ18" s="2498">
        <f t="shared" si="63"/>
        <v>0</v>
      </c>
      <c r="DA18" s="2503">
        <f>CX18-CU18</f>
        <v>0</v>
      </c>
      <c r="DB18" s="2504"/>
    </row>
    <row r="19" spans="1:106" s="2476" customFormat="1" ht="36" hidden="1">
      <c r="A19" s="2477" t="s">
        <v>386</v>
      </c>
      <c r="B19" s="2780" t="s">
        <v>1883</v>
      </c>
      <c r="C19" s="2499">
        <f t="shared" si="37"/>
        <v>0</v>
      </c>
      <c r="D19" s="2499"/>
      <c r="E19" s="2499">
        <f t="shared" si="38"/>
        <v>0</v>
      </c>
      <c r="F19" s="2499">
        <f t="shared" si="24"/>
        <v>0</v>
      </c>
      <c r="G19" s="2499"/>
      <c r="H19" s="2499">
        <f t="shared" si="24"/>
        <v>0</v>
      </c>
      <c r="I19" s="2500">
        <f t="shared" si="39"/>
        <v>0</v>
      </c>
      <c r="J19" s="2501"/>
      <c r="K19" s="2502">
        <v>0</v>
      </c>
      <c r="L19" s="2498"/>
      <c r="M19" s="2498">
        <f t="shared" si="55"/>
        <v>0</v>
      </c>
      <c r="N19" s="2498"/>
      <c r="O19" s="2498"/>
      <c r="P19" s="2498">
        <f t="shared" si="40"/>
        <v>0</v>
      </c>
      <c r="Q19" s="2503">
        <f>N19-K19</f>
        <v>0</v>
      </c>
      <c r="R19" s="2504"/>
      <c r="S19" s="2541"/>
      <c r="T19" s="2498"/>
      <c r="U19" s="2498">
        <f t="shared" si="44"/>
        <v>0</v>
      </c>
      <c r="V19" s="2498"/>
      <c r="W19" s="2498"/>
      <c r="X19" s="2498">
        <f t="shared" si="41"/>
        <v>0</v>
      </c>
      <c r="Y19" s="2503">
        <f>V19-S19</f>
        <v>0</v>
      </c>
      <c r="Z19" s="2504"/>
      <c r="AA19" s="2502"/>
      <c r="AB19" s="2498"/>
      <c r="AC19" s="2498">
        <f t="shared" si="45"/>
        <v>0</v>
      </c>
      <c r="AD19" s="2498"/>
      <c r="AE19" s="2498"/>
      <c r="AF19" s="2498">
        <f t="shared" si="56"/>
        <v>0</v>
      </c>
      <c r="AG19" s="2503">
        <f>AD19-AA19</f>
        <v>0</v>
      </c>
      <c r="AH19" s="2504"/>
      <c r="AI19" s="2502"/>
      <c r="AJ19" s="2498"/>
      <c r="AK19" s="2498">
        <f t="shared" si="46"/>
        <v>0</v>
      </c>
      <c r="AL19" s="2498"/>
      <c r="AM19" s="2498"/>
      <c r="AN19" s="2498">
        <f t="shared" si="42"/>
        <v>0</v>
      </c>
      <c r="AO19" s="2503">
        <f>AL19-AI19</f>
        <v>0</v>
      </c>
      <c r="AP19" s="2504"/>
      <c r="AQ19" s="2502"/>
      <c r="AR19" s="2498"/>
      <c r="AS19" s="2498">
        <f t="shared" si="47"/>
        <v>0</v>
      </c>
      <c r="AT19" s="2498"/>
      <c r="AU19" s="2498"/>
      <c r="AV19" s="2498">
        <f t="shared" si="57"/>
        <v>0</v>
      </c>
      <c r="AW19" s="2503">
        <f>AT19-AQ19</f>
        <v>0</v>
      </c>
      <c r="AX19" s="2504"/>
      <c r="AY19" s="2502"/>
      <c r="AZ19" s="2498"/>
      <c r="BA19" s="2498">
        <f t="shared" si="48"/>
        <v>0</v>
      </c>
      <c r="BB19" s="2498"/>
      <c r="BC19" s="2498"/>
      <c r="BD19" s="2498">
        <f t="shared" si="58"/>
        <v>0</v>
      </c>
      <c r="BE19" s="2503">
        <f>BB19-AY19</f>
        <v>0</v>
      </c>
      <c r="BF19" s="2504"/>
      <c r="BG19" s="2502">
        <v>0</v>
      </c>
      <c r="BH19" s="2498"/>
      <c r="BI19" s="2498">
        <f t="shared" si="49"/>
        <v>0</v>
      </c>
      <c r="BJ19" s="2498"/>
      <c r="BK19" s="2498"/>
      <c r="BL19" s="2498">
        <f t="shared" si="59"/>
        <v>0</v>
      </c>
      <c r="BM19" s="2503">
        <f>BJ19-BG19</f>
        <v>0</v>
      </c>
      <c r="BN19" s="2504"/>
      <c r="BO19" s="2502">
        <v>0</v>
      </c>
      <c r="BP19" s="2498"/>
      <c r="BQ19" s="2498">
        <f t="shared" si="50"/>
        <v>0</v>
      </c>
      <c r="BR19" s="2498"/>
      <c r="BS19" s="2498"/>
      <c r="BT19" s="2498">
        <f t="shared" si="60"/>
        <v>0</v>
      </c>
      <c r="BU19" s="2503">
        <f>BR19-BO19</f>
        <v>0</v>
      </c>
      <c r="BV19" s="2504"/>
      <c r="BW19" s="2502"/>
      <c r="BX19" s="2498"/>
      <c r="BY19" s="2498">
        <f t="shared" si="51"/>
        <v>0</v>
      </c>
      <c r="BZ19" s="2498"/>
      <c r="CA19" s="2498"/>
      <c r="CB19" s="2498">
        <f t="shared" si="61"/>
        <v>0</v>
      </c>
      <c r="CC19" s="2503">
        <f>BZ19-BW19</f>
        <v>0</v>
      </c>
      <c r="CD19" s="2504"/>
      <c r="CE19" s="2502"/>
      <c r="CF19" s="2498"/>
      <c r="CG19" s="2498">
        <f t="shared" si="52"/>
        <v>0</v>
      </c>
      <c r="CH19" s="2498"/>
      <c r="CI19" s="2498"/>
      <c r="CJ19" s="2498">
        <f t="shared" si="43"/>
        <v>0</v>
      </c>
      <c r="CK19" s="2503">
        <f>CH19-CE19</f>
        <v>0</v>
      </c>
      <c r="CL19" s="2504"/>
      <c r="CM19" s="2502"/>
      <c r="CN19" s="2498"/>
      <c r="CO19" s="2498">
        <f t="shared" si="53"/>
        <v>0</v>
      </c>
      <c r="CP19" s="2498"/>
      <c r="CQ19" s="2498"/>
      <c r="CR19" s="2498">
        <f t="shared" si="62"/>
        <v>0</v>
      </c>
      <c r="CS19" s="2503">
        <f>CP19-CM19</f>
        <v>0</v>
      </c>
      <c r="CT19" s="2504"/>
      <c r="CU19" s="2502"/>
      <c r="CV19" s="2498"/>
      <c r="CW19" s="2498">
        <f t="shared" si="54"/>
        <v>0</v>
      </c>
      <c r="CX19" s="2498"/>
      <c r="CY19" s="2498"/>
      <c r="CZ19" s="2498">
        <f t="shared" si="63"/>
        <v>0</v>
      </c>
      <c r="DA19" s="2503">
        <f>CX19-CU19</f>
        <v>0</v>
      </c>
      <c r="DB19" s="2504"/>
    </row>
    <row r="20" spans="1:106" s="2476" customFormat="1" hidden="1">
      <c r="A20" s="2477" t="s">
        <v>387</v>
      </c>
      <c r="B20" s="2779" t="s">
        <v>388</v>
      </c>
      <c r="C20" s="2499">
        <f t="shared" si="37"/>
        <v>0</v>
      </c>
      <c r="D20" s="2499"/>
      <c r="E20" s="2499">
        <f t="shared" si="38"/>
        <v>0</v>
      </c>
      <c r="F20" s="2499">
        <f t="shared" si="24"/>
        <v>0</v>
      </c>
      <c r="G20" s="2499"/>
      <c r="H20" s="2499">
        <f t="shared" si="24"/>
        <v>0</v>
      </c>
      <c r="I20" s="2500">
        <f t="shared" si="39"/>
        <v>0</v>
      </c>
      <c r="J20" s="2501"/>
      <c r="K20" s="2502">
        <v>0</v>
      </c>
      <c r="L20" s="2498"/>
      <c r="M20" s="2498">
        <f t="shared" si="55"/>
        <v>0</v>
      </c>
      <c r="N20" s="2498"/>
      <c r="O20" s="2498"/>
      <c r="P20" s="2498">
        <f t="shared" si="40"/>
        <v>0</v>
      </c>
      <c r="Q20" s="2503"/>
      <c r="R20" s="2504"/>
      <c r="S20" s="2541"/>
      <c r="T20" s="2498"/>
      <c r="U20" s="2498">
        <f t="shared" si="44"/>
        <v>0</v>
      </c>
      <c r="V20" s="2498"/>
      <c r="W20" s="2498"/>
      <c r="X20" s="2498">
        <f t="shared" si="41"/>
        <v>0</v>
      </c>
      <c r="Y20" s="2503"/>
      <c r="Z20" s="2504"/>
      <c r="AA20" s="2502"/>
      <c r="AB20" s="2498"/>
      <c r="AC20" s="2498">
        <f t="shared" si="45"/>
        <v>0</v>
      </c>
      <c r="AD20" s="2498"/>
      <c r="AE20" s="2498"/>
      <c r="AF20" s="2498">
        <f t="shared" si="56"/>
        <v>0</v>
      </c>
      <c r="AG20" s="2503"/>
      <c r="AH20" s="2504"/>
      <c r="AI20" s="2502"/>
      <c r="AJ20" s="2498"/>
      <c r="AK20" s="2498">
        <f t="shared" si="46"/>
        <v>0</v>
      </c>
      <c r="AL20" s="2498"/>
      <c r="AM20" s="2498"/>
      <c r="AN20" s="2498">
        <f t="shared" si="42"/>
        <v>0</v>
      </c>
      <c r="AO20" s="2503"/>
      <c r="AP20" s="2504"/>
      <c r="AQ20" s="2502">
        <v>0</v>
      </c>
      <c r="AR20" s="2498"/>
      <c r="AS20" s="2498">
        <f t="shared" si="47"/>
        <v>0</v>
      </c>
      <c r="AT20" s="2498"/>
      <c r="AU20" s="2498"/>
      <c r="AV20" s="2498">
        <f t="shared" si="57"/>
        <v>0</v>
      </c>
      <c r="AW20" s="2503"/>
      <c r="AX20" s="2504"/>
      <c r="AY20" s="2502"/>
      <c r="AZ20" s="2498"/>
      <c r="BA20" s="2498">
        <f t="shared" si="48"/>
        <v>0</v>
      </c>
      <c r="BB20" s="2498"/>
      <c r="BC20" s="2498"/>
      <c r="BD20" s="2498">
        <f t="shared" si="58"/>
        <v>0</v>
      </c>
      <c r="BE20" s="2503"/>
      <c r="BF20" s="2504"/>
      <c r="BG20" s="2502">
        <v>0</v>
      </c>
      <c r="BH20" s="2498"/>
      <c r="BI20" s="2498">
        <f t="shared" si="49"/>
        <v>0</v>
      </c>
      <c r="BJ20" s="2498"/>
      <c r="BK20" s="2498"/>
      <c r="BL20" s="2498">
        <f t="shared" si="59"/>
        <v>0</v>
      </c>
      <c r="BM20" s="2503"/>
      <c r="BN20" s="2504"/>
      <c r="BO20" s="2502">
        <v>0</v>
      </c>
      <c r="BP20" s="2498"/>
      <c r="BQ20" s="2498">
        <f t="shared" si="50"/>
        <v>0</v>
      </c>
      <c r="BR20" s="2498"/>
      <c r="BS20" s="2498"/>
      <c r="BT20" s="2498">
        <f t="shared" si="60"/>
        <v>0</v>
      </c>
      <c r="BU20" s="2503"/>
      <c r="BV20" s="2504"/>
      <c r="BW20" s="2502"/>
      <c r="BX20" s="2498"/>
      <c r="BY20" s="2498">
        <f t="shared" si="51"/>
        <v>0</v>
      </c>
      <c r="BZ20" s="2498"/>
      <c r="CA20" s="2498"/>
      <c r="CB20" s="2498">
        <f t="shared" si="61"/>
        <v>0</v>
      </c>
      <c r="CC20" s="2503"/>
      <c r="CD20" s="2504"/>
      <c r="CE20" s="2502"/>
      <c r="CF20" s="2498"/>
      <c r="CG20" s="2498">
        <f t="shared" si="52"/>
        <v>0</v>
      </c>
      <c r="CH20" s="2498"/>
      <c r="CI20" s="2498"/>
      <c r="CJ20" s="2498">
        <f t="shared" si="43"/>
        <v>0</v>
      </c>
      <c r="CK20" s="2503"/>
      <c r="CL20" s="2504"/>
      <c r="CM20" s="2502"/>
      <c r="CN20" s="2498"/>
      <c r="CO20" s="2498">
        <f t="shared" si="53"/>
        <v>0</v>
      </c>
      <c r="CP20" s="2498"/>
      <c r="CQ20" s="2498"/>
      <c r="CR20" s="2498">
        <f t="shared" si="62"/>
        <v>0</v>
      </c>
      <c r="CS20" s="2503"/>
      <c r="CT20" s="2504"/>
      <c r="CU20" s="2502"/>
      <c r="CV20" s="2498"/>
      <c r="CW20" s="2498">
        <f t="shared" si="54"/>
        <v>0</v>
      </c>
      <c r="CX20" s="2498"/>
      <c r="CY20" s="2498"/>
      <c r="CZ20" s="2498">
        <f t="shared" si="63"/>
        <v>0</v>
      </c>
      <c r="DA20" s="2503"/>
      <c r="DB20" s="2504"/>
    </row>
    <row r="21" spans="1:106" s="2452" customFormat="1" ht="34.799999999999997">
      <c r="A21" s="2455">
        <v>4</v>
      </c>
      <c r="B21" s="2775" t="s">
        <v>2603</v>
      </c>
      <c r="C21" s="2482">
        <f>+K21+S21+AA21+AI21+AQ21+AY21+BG21+BO21+BW21+CE21+CM21+CU21</f>
        <v>0</v>
      </c>
      <c r="D21" s="2482"/>
      <c r="E21" s="2482">
        <f>+M21+U21+AC21+AK21+AS21+BA21+BI21+BQ21+BY21+CG21+CO21+CW21</f>
        <v>0</v>
      </c>
      <c r="F21" s="2482">
        <f>SUM(N21,V21,AD21,AL21,AT21,BB21,BJ21,BR21,BZ21,CH21,CP21,CX21)</f>
        <v>886000</v>
      </c>
      <c r="G21" s="2482">
        <f>SUM(O21,W21,AE21,AM21,AU21,BC21,BK21,BS21,CA21,CI21,CQ21,CY21)</f>
        <v>0</v>
      </c>
      <c r="H21" s="2482">
        <f>SUM(P21,X21,AF21,AN21,AV21,BD21,BL21,BT21,CB21,CJ21,CR21,CZ21)</f>
        <v>886000</v>
      </c>
      <c r="I21" s="2483">
        <f>F21-C21</f>
        <v>886000</v>
      </c>
      <c r="J21" s="2484"/>
      <c r="K21" s="2485">
        <v>0</v>
      </c>
      <c r="L21" s="2482"/>
      <c r="M21" s="2482">
        <f t="shared" si="55"/>
        <v>0</v>
      </c>
      <c r="N21" s="2505">
        <f>'Phụ lục 7.2-CCTL'!E6</f>
        <v>36493</v>
      </c>
      <c r="O21" s="2482"/>
      <c r="P21" s="2482">
        <f t="shared" si="40"/>
        <v>36493</v>
      </c>
      <c r="Q21" s="2483">
        <f>N21-K21</f>
        <v>36493</v>
      </c>
      <c r="R21" s="2484"/>
      <c r="S21" s="2537"/>
      <c r="T21" s="2482"/>
      <c r="U21" s="2482">
        <f t="shared" si="44"/>
        <v>0</v>
      </c>
      <c r="V21" s="2482">
        <f>'Phụ lục 7.2-CCTL'!F6</f>
        <v>0</v>
      </c>
      <c r="W21" s="2482"/>
      <c r="X21" s="2482">
        <f t="shared" si="41"/>
        <v>0</v>
      </c>
      <c r="Y21" s="2483">
        <f>V21-S21</f>
        <v>0</v>
      </c>
      <c r="Z21" s="2484"/>
      <c r="AA21" s="2485"/>
      <c r="AB21" s="2482"/>
      <c r="AC21" s="2482">
        <f t="shared" si="45"/>
        <v>0</v>
      </c>
      <c r="AD21" s="2909">
        <f>'Phụ lục 7.2-CCTL'!G6</f>
        <v>36249</v>
      </c>
      <c r="AE21" s="2482"/>
      <c r="AF21" s="2482">
        <f t="shared" si="56"/>
        <v>36249</v>
      </c>
      <c r="AG21" s="2483">
        <f>AD21-AA21</f>
        <v>36249</v>
      </c>
      <c r="AH21" s="2484"/>
      <c r="AI21" s="2485"/>
      <c r="AJ21" s="2482"/>
      <c r="AK21" s="2482">
        <f t="shared" si="46"/>
        <v>0</v>
      </c>
      <c r="AL21" s="2909">
        <f>'Phụ lục 7.2-CCTL'!H6</f>
        <v>21613</v>
      </c>
      <c r="AM21" s="2482"/>
      <c r="AN21" s="2482">
        <f t="shared" si="42"/>
        <v>21613</v>
      </c>
      <c r="AO21" s="2483">
        <f>AL21-AI21</f>
        <v>21613</v>
      </c>
      <c r="AP21" s="2484"/>
      <c r="AQ21" s="2485"/>
      <c r="AR21" s="2482"/>
      <c r="AS21" s="2482">
        <f t="shared" si="47"/>
        <v>0</v>
      </c>
      <c r="AT21" s="2482">
        <f>'Phụ lục 7.2-CCTL'!I6</f>
        <v>39471</v>
      </c>
      <c r="AU21" s="2482"/>
      <c r="AV21" s="2482">
        <f t="shared" si="57"/>
        <v>39471</v>
      </c>
      <c r="AW21" s="2483">
        <f>AT21-AQ21</f>
        <v>39471</v>
      </c>
      <c r="AX21" s="2484"/>
      <c r="AY21" s="2485"/>
      <c r="AZ21" s="2482"/>
      <c r="BA21" s="2482">
        <f t="shared" si="48"/>
        <v>0</v>
      </c>
      <c r="BB21" s="2482">
        <f>'Phụ lục 7.2-CCTL'!J6</f>
        <v>395603</v>
      </c>
      <c r="BC21" s="2482"/>
      <c r="BD21" s="2482">
        <f t="shared" si="58"/>
        <v>395603</v>
      </c>
      <c r="BE21" s="2483">
        <f>BB21-AY21</f>
        <v>395603</v>
      </c>
      <c r="BF21" s="2484"/>
      <c r="BG21" s="2485"/>
      <c r="BH21" s="2482"/>
      <c r="BI21" s="2482">
        <f t="shared" si="49"/>
        <v>0</v>
      </c>
      <c r="BJ21" s="2910">
        <f>'Phụ lục 7.2-CCTL'!K6</f>
        <v>59176</v>
      </c>
      <c r="BK21" s="2482"/>
      <c r="BL21" s="2482">
        <f t="shared" si="59"/>
        <v>59176</v>
      </c>
      <c r="BM21" s="2483">
        <f>BJ21-BG21</f>
        <v>59176</v>
      </c>
      <c r="BN21" s="2484"/>
      <c r="BO21" s="2485"/>
      <c r="BP21" s="2482"/>
      <c r="BQ21" s="2482">
        <f t="shared" si="50"/>
        <v>0</v>
      </c>
      <c r="BR21" s="2910">
        <f>'Phụ lục 7.2-CCTL'!L6</f>
        <v>26700</v>
      </c>
      <c r="BS21" s="2482"/>
      <c r="BT21" s="2482">
        <f t="shared" si="60"/>
        <v>26700</v>
      </c>
      <c r="BU21" s="2483">
        <f>BR21-BO21</f>
        <v>26700</v>
      </c>
      <c r="BV21" s="2484"/>
      <c r="BW21" s="2485"/>
      <c r="BX21" s="2482"/>
      <c r="BY21" s="2482">
        <f t="shared" si="51"/>
        <v>0</v>
      </c>
      <c r="BZ21" s="2505">
        <f>'Phụ lục 7.2-CCTL'!M6</f>
        <v>39278</v>
      </c>
      <c r="CA21" s="2482"/>
      <c r="CB21" s="2482">
        <f t="shared" si="61"/>
        <v>39278</v>
      </c>
      <c r="CC21" s="2483">
        <f>BZ21-BW21</f>
        <v>39278</v>
      </c>
      <c r="CD21" s="2484"/>
      <c r="CE21" s="2485"/>
      <c r="CF21" s="2482"/>
      <c r="CG21" s="2482">
        <f t="shared" si="52"/>
        <v>0</v>
      </c>
      <c r="CH21" s="2482">
        <f>'Phụ lục 7.2-CCTL'!N6</f>
        <v>22770</v>
      </c>
      <c r="CI21" s="2482"/>
      <c r="CJ21" s="2482">
        <f t="shared" si="43"/>
        <v>22770</v>
      </c>
      <c r="CK21" s="2483">
        <f>CH21-CE21</f>
        <v>22770</v>
      </c>
      <c r="CL21" s="2484"/>
      <c r="CM21" s="2485"/>
      <c r="CN21" s="2482"/>
      <c r="CO21" s="2482">
        <f t="shared" si="53"/>
        <v>0</v>
      </c>
      <c r="CP21" s="2482">
        <f>'Phụ lục 7.2-CCTL'!O6</f>
        <v>174966</v>
      </c>
      <c r="CQ21" s="2482"/>
      <c r="CR21" s="2482">
        <f t="shared" si="62"/>
        <v>174966</v>
      </c>
      <c r="CS21" s="2483">
        <f>CP21-CM21</f>
        <v>174966</v>
      </c>
      <c r="CT21" s="2484"/>
      <c r="CU21" s="2485"/>
      <c r="CV21" s="2482"/>
      <c r="CW21" s="2482">
        <f t="shared" si="54"/>
        <v>0</v>
      </c>
      <c r="CX21" s="2482">
        <f>'Phụ lục 7.2-CCTL'!P6</f>
        <v>33681</v>
      </c>
      <c r="CY21" s="2482"/>
      <c r="CZ21" s="2482">
        <f t="shared" si="63"/>
        <v>33681</v>
      </c>
      <c r="DA21" s="2483">
        <f>CX21-CU21</f>
        <v>33681</v>
      </c>
      <c r="DB21" s="2484"/>
    </row>
    <row r="22" spans="1:106" s="2452" customFormat="1" ht="34.799999999999997" hidden="1">
      <c r="A22" s="2455">
        <v>5</v>
      </c>
      <c r="B22" s="2775" t="s">
        <v>2591</v>
      </c>
      <c r="C22" s="2482"/>
      <c r="D22" s="2482"/>
      <c r="E22" s="2482"/>
      <c r="F22" s="2482">
        <f>SUM(N22,V22,AD22,AL22,AT22,BB22,BJ22,BR22,BZ22,CH22,CP22,CX22)</f>
        <v>0</v>
      </c>
      <c r="G22" s="2482"/>
      <c r="H22" s="2482">
        <f>F22</f>
        <v>0</v>
      </c>
      <c r="I22" s="2483"/>
      <c r="J22" s="2484"/>
      <c r="K22" s="2485"/>
      <c r="L22" s="2482"/>
      <c r="M22" s="2482"/>
      <c r="N22" s="2505"/>
      <c r="O22" s="2482"/>
      <c r="P22" s="2482">
        <f>N22</f>
        <v>0</v>
      </c>
      <c r="Q22" s="2483"/>
      <c r="R22" s="2484"/>
      <c r="S22" s="2537"/>
      <c r="T22" s="2482"/>
      <c r="U22" s="2482"/>
      <c r="V22" s="2482"/>
      <c r="W22" s="2482"/>
      <c r="X22" s="2482"/>
      <c r="Y22" s="2483"/>
      <c r="Z22" s="2484"/>
      <c r="AA22" s="2485"/>
      <c r="AB22" s="2482"/>
      <c r="AC22" s="2482"/>
      <c r="AD22" s="2482"/>
      <c r="AE22" s="2482"/>
      <c r="AF22" s="2482">
        <f>AD22</f>
        <v>0</v>
      </c>
      <c r="AG22" s="2483"/>
      <c r="AH22" s="2484"/>
      <c r="AI22" s="2485"/>
      <c r="AJ22" s="2482"/>
      <c r="AK22" s="2482"/>
      <c r="AL22" s="2482"/>
      <c r="AM22" s="2482"/>
      <c r="AN22" s="2482"/>
      <c r="AO22" s="2483"/>
      <c r="AP22" s="2484"/>
      <c r="AQ22" s="2485"/>
      <c r="AR22" s="2482"/>
      <c r="AS22" s="2482"/>
      <c r="AT22" s="2482"/>
      <c r="AU22" s="2482"/>
      <c r="AV22" s="2482"/>
      <c r="AW22" s="2483"/>
      <c r="AX22" s="2484"/>
      <c r="AY22" s="2485"/>
      <c r="AZ22" s="2482"/>
      <c r="BA22" s="2482"/>
      <c r="BB22" s="2482"/>
      <c r="BC22" s="2482"/>
      <c r="BD22" s="2482">
        <f>BB22</f>
        <v>0</v>
      </c>
      <c r="BE22" s="2483"/>
      <c r="BF22" s="2484"/>
      <c r="BG22" s="2485"/>
      <c r="BH22" s="2482"/>
      <c r="BI22" s="2482"/>
      <c r="BJ22" s="2482"/>
      <c r="BK22" s="2482"/>
      <c r="BL22" s="2482"/>
      <c r="BM22" s="2483"/>
      <c r="BN22" s="2484"/>
      <c r="BO22" s="2485"/>
      <c r="BP22" s="2482"/>
      <c r="BQ22" s="2482"/>
      <c r="BR22" s="2482"/>
      <c r="BS22" s="2482"/>
      <c r="BT22" s="2482"/>
      <c r="BU22" s="2483"/>
      <c r="BV22" s="2484"/>
      <c r="BW22" s="2485"/>
      <c r="BX22" s="2482"/>
      <c r="BY22" s="2482"/>
      <c r="BZ22" s="2482"/>
      <c r="CA22" s="2482"/>
      <c r="CB22" s="2482"/>
      <c r="CC22" s="2483"/>
      <c r="CD22" s="2484"/>
      <c r="CE22" s="2485"/>
      <c r="CF22" s="2482"/>
      <c r="CG22" s="2482"/>
      <c r="CH22" s="2482"/>
      <c r="CI22" s="2482"/>
      <c r="CJ22" s="2482"/>
      <c r="CK22" s="2483"/>
      <c r="CL22" s="2484"/>
      <c r="CM22" s="2485"/>
      <c r="CN22" s="2482"/>
      <c r="CO22" s="2482"/>
      <c r="CP22" s="2482"/>
      <c r="CQ22" s="2482"/>
      <c r="CR22" s="2482">
        <f>CP22</f>
        <v>0</v>
      </c>
      <c r="CS22" s="2483"/>
      <c r="CT22" s="2484"/>
      <c r="CU22" s="2485"/>
      <c r="CV22" s="2482"/>
      <c r="CW22" s="2482"/>
      <c r="CX22" s="2482"/>
      <c r="CY22" s="2482"/>
      <c r="CZ22" s="2482"/>
      <c r="DA22" s="2483"/>
      <c r="DB22" s="2484"/>
    </row>
    <row r="23" spans="1:106" s="2464" customFormat="1" ht="25.95" customHeight="1">
      <c r="A23" s="2462" t="s">
        <v>20</v>
      </c>
      <c r="B23" s="2463" t="s">
        <v>389</v>
      </c>
      <c r="C23" s="2506">
        <f>SUM(C24,C28,C31,C33,C32)</f>
        <v>7646071</v>
      </c>
      <c r="D23" s="2506">
        <f>D28</f>
        <v>0</v>
      </c>
      <c r="E23" s="2506">
        <f>SUM(E24,E28,E31,E33,E32)</f>
        <v>8114359.3333333321</v>
      </c>
      <c r="F23" s="2506">
        <f>SUM(F24,F28,F31,F33,F32)</f>
        <v>9908403.3480000012</v>
      </c>
      <c r="G23" s="2506">
        <f>G28</f>
        <v>830039</v>
      </c>
      <c r="H23" s="2506">
        <f>SUM(H24,H28,H31,H33,H32)</f>
        <v>9908403.3479999993</v>
      </c>
      <c r="I23" s="2479">
        <f>F23-C23</f>
        <v>2262332.3480000012</v>
      </c>
      <c r="J23" s="2480">
        <f t="shared" ref="J23:J31" si="64">F23/C23%</f>
        <v>129.58816819775805</v>
      </c>
      <c r="K23" s="2507">
        <f>SUM(K24,K28,K31,K33)</f>
        <v>564217</v>
      </c>
      <c r="L23" s="2506"/>
      <c r="M23" s="2506">
        <f>SUM(M24,M28,M31,M33)</f>
        <v>565457</v>
      </c>
      <c r="N23" s="2506">
        <f>SUM(N24,N28,N31,N33,N32)</f>
        <v>664002</v>
      </c>
      <c r="O23" s="2506"/>
      <c r="P23" s="2506">
        <f>SUM(P24,P28,P31,P33,P32)</f>
        <v>664002</v>
      </c>
      <c r="Q23" s="2479">
        <f>N23-K23</f>
        <v>99785</v>
      </c>
      <c r="R23" s="2480">
        <f t="shared" ref="R23:R31" si="65">N23/K23%</f>
        <v>117.68557133159759</v>
      </c>
      <c r="S23" s="2542">
        <f>SUM(S24,S28,S31,S33)</f>
        <v>508165</v>
      </c>
      <c r="T23" s="2506">
        <f>SUM(T28)</f>
        <v>0</v>
      </c>
      <c r="U23" s="2506">
        <f>SUM(U24,U28,U31,U33)</f>
        <v>506504.5</v>
      </c>
      <c r="V23" s="2506">
        <f>SUM(V24,V28,V31,V33,V32)</f>
        <v>675185</v>
      </c>
      <c r="W23" s="2506"/>
      <c r="X23" s="2506">
        <f>SUM(X24,X28,X31,X33,X32)</f>
        <v>675185</v>
      </c>
      <c r="Y23" s="2479">
        <f>V23-S23</f>
        <v>167020</v>
      </c>
      <c r="Z23" s="2480">
        <f t="shared" ref="Z23:Z31" si="66">V23/S23%</f>
        <v>132.86727736069977</v>
      </c>
      <c r="AA23" s="2507">
        <f>SUM(AA24,AA28,AA31,AA33)</f>
        <v>486557</v>
      </c>
      <c r="AB23" s="2506"/>
      <c r="AC23" s="2506">
        <f>SUM(AC24,AC28,AC31,AC33)</f>
        <v>521008</v>
      </c>
      <c r="AD23" s="2506">
        <f>SUM(AD24,AD28,AD31,AD33,AD32)</f>
        <v>573785.82400000002</v>
      </c>
      <c r="AE23" s="2506"/>
      <c r="AF23" s="2506">
        <f>SUM(AF24,AF28,AF31,AF33,AF32)</f>
        <v>573785.82400000002</v>
      </c>
      <c r="AG23" s="2479">
        <f>AD23-AA23</f>
        <v>87228.824000000022</v>
      </c>
      <c r="AH23" s="2480">
        <f t="shared" ref="AH23:AH31" si="67">AD23/AA23%</f>
        <v>117.92777084699225</v>
      </c>
      <c r="AI23" s="2507">
        <f>SUM(AI24,AI28,AI31,AI33)</f>
        <v>531772</v>
      </c>
      <c r="AJ23" s="2506">
        <f>SUM(AJ28)</f>
        <v>0</v>
      </c>
      <c r="AK23" s="2506">
        <f>SUM(AK24,AK28,AK31,AK33)</f>
        <v>556493</v>
      </c>
      <c r="AL23" s="2506">
        <f>SUM(AL24,AL28,AL31,AL33,AL32)</f>
        <v>629617.76</v>
      </c>
      <c r="AM23" s="2506"/>
      <c r="AN23" s="2506">
        <f>SUM(AN24,AN28,AN31,AN33,AN32)</f>
        <v>629617.76</v>
      </c>
      <c r="AO23" s="2479">
        <f>AL23-AI23</f>
        <v>97845.760000000009</v>
      </c>
      <c r="AP23" s="2480">
        <f t="shared" ref="AP23:AP31" si="68">AL23/AI23%</f>
        <v>118.39994584145084</v>
      </c>
      <c r="AQ23" s="2507">
        <f>SUM(AQ24,AQ28,AQ31,AQ33)</f>
        <v>648709</v>
      </c>
      <c r="AR23" s="2506">
        <f>SUM(AR28)</f>
        <v>0</v>
      </c>
      <c r="AS23" s="2506">
        <f>SUM(AS24,AS28,AS31,AS33)</f>
        <v>712315.66666666663</v>
      </c>
      <c r="AT23" s="2506">
        <f>SUM(AT24,AT28,AT31,AT33,AT32)</f>
        <v>767421.35199999996</v>
      </c>
      <c r="AU23" s="2506"/>
      <c r="AV23" s="2506">
        <f>SUM(AV24,AV28,AV31,AV33,AV32)</f>
        <v>767421.35199999996</v>
      </c>
      <c r="AW23" s="2479">
        <f>AT23-AQ23</f>
        <v>118712.35199999996</v>
      </c>
      <c r="AX23" s="2480">
        <f t="shared" ref="AX23:AX31" si="69">AT23/AQ23%</f>
        <v>118.2997849575079</v>
      </c>
      <c r="AY23" s="2507">
        <f>SUM(AY24,AY28,AY31,AY33)</f>
        <v>846554</v>
      </c>
      <c r="AZ23" s="2506"/>
      <c r="BA23" s="2506">
        <f>SUM(BA24,BA28,BA31,BA33)</f>
        <v>1030365</v>
      </c>
      <c r="BB23" s="2506">
        <f>SUM(BB24,BB28,BB31,BB33,BB32)</f>
        <v>1598566.2</v>
      </c>
      <c r="BC23" s="2506"/>
      <c r="BD23" s="2506">
        <f>SUM(BD24,BD28,BD31,BD33,BD32)</f>
        <v>1598566.2</v>
      </c>
      <c r="BE23" s="2479">
        <f>BB23-AY23</f>
        <v>752012.2</v>
      </c>
      <c r="BF23" s="2480">
        <f t="shared" ref="BF23:BF31" si="70">BB23/AY23%</f>
        <v>188.83215955509039</v>
      </c>
      <c r="BG23" s="2507">
        <f>SUM(BG24,BG28,BG31,BG33)</f>
        <v>799582</v>
      </c>
      <c r="BH23" s="2506">
        <f>SUM(BH28)</f>
        <v>0</v>
      </c>
      <c r="BI23" s="2506">
        <f>SUM(BI24,BI28,BI31,BI33)</f>
        <v>884809</v>
      </c>
      <c r="BJ23" s="2506">
        <f>SUM(BJ24,BJ28,BJ31,BJ33,BJ32)</f>
        <v>960665.2</v>
      </c>
      <c r="BK23" s="2506"/>
      <c r="BL23" s="2506">
        <f>SUM(BL24,BL28,BL31,BL33,BL32)</f>
        <v>960665.2</v>
      </c>
      <c r="BM23" s="2479">
        <f>BJ23-BG23</f>
        <v>161083.19999999995</v>
      </c>
      <c r="BN23" s="2480">
        <f t="shared" ref="BN23:BN31" si="71">BJ23/BG23%</f>
        <v>120.14592624646377</v>
      </c>
      <c r="BO23" s="2507">
        <f>SUM(BO24,BO28,BO31,BO33)</f>
        <v>714760</v>
      </c>
      <c r="BP23" s="2506">
        <f>SUM(BP28)</f>
        <v>0</v>
      </c>
      <c r="BQ23" s="2506">
        <f>SUM(BQ24,BQ28,BQ31,BQ33)</f>
        <v>733842.5</v>
      </c>
      <c r="BR23" s="2506">
        <f>SUM(BR24,BR28,BR31,BR33,BR32)</f>
        <v>825155.6</v>
      </c>
      <c r="BS23" s="2506"/>
      <c r="BT23" s="2506">
        <f>SUM(BT24,BT28,BT31,BT33,BT32)</f>
        <v>825155.6</v>
      </c>
      <c r="BU23" s="2479">
        <f>BR23-BO23</f>
        <v>110395.59999999998</v>
      </c>
      <c r="BV23" s="2480">
        <f t="shared" ref="BV23:BV31" si="72">BR23/BO23%</f>
        <v>115.44512843471934</v>
      </c>
      <c r="BW23" s="2507">
        <f>SUM(BW24,BW28,BW31,BW33)</f>
        <v>672489</v>
      </c>
      <c r="BX23" s="2506"/>
      <c r="BY23" s="2506">
        <f>SUM(BY24,BY28,BY31,BY33)</f>
        <v>726704.5</v>
      </c>
      <c r="BZ23" s="2506">
        <f>SUM(BZ24,BZ28,BZ31,BZ33,BZ32)</f>
        <v>829132.94799999997</v>
      </c>
      <c r="CA23" s="2506"/>
      <c r="CB23" s="2506">
        <f>SUM(CB24,CB28,CB31,CB33,CB32)</f>
        <v>829132.94799999997</v>
      </c>
      <c r="CC23" s="2479">
        <f>BZ23-BW23</f>
        <v>156643.94799999997</v>
      </c>
      <c r="CD23" s="2480">
        <f t="shared" ref="CD23:CD31" si="73">BZ23/BW23%</f>
        <v>123.2931613751303</v>
      </c>
      <c r="CE23" s="2507">
        <f>SUM(CE24,CE28,CE31,CE33)</f>
        <v>600774</v>
      </c>
      <c r="CF23" s="2506">
        <f>SUM(CF28)</f>
        <v>0</v>
      </c>
      <c r="CG23" s="2506">
        <f>SUM(CG24,CG28,CG31,CG33)</f>
        <v>651696.66666666674</v>
      </c>
      <c r="CH23" s="2506">
        <f>SUM(CH24,CH28,CH31,CH33,CH32)</f>
        <v>717257.71200000006</v>
      </c>
      <c r="CI23" s="2506"/>
      <c r="CJ23" s="2506">
        <f>SUM(CJ24,CJ28,CJ31,CJ33,CJ32)</f>
        <v>717257.71200000006</v>
      </c>
      <c r="CK23" s="2479">
        <f>CH23-CE23</f>
        <v>116483.71200000006</v>
      </c>
      <c r="CL23" s="2480">
        <f>CH23/CE23%</f>
        <v>119.38894026705552</v>
      </c>
      <c r="CM23" s="2507">
        <f>SUM(CM24,CM28,CM31,CM33)</f>
        <v>700384</v>
      </c>
      <c r="CN23" s="2506">
        <f>SUM(CN28)</f>
        <v>0</v>
      </c>
      <c r="CO23" s="2506">
        <f>SUM(CO24,CO28,CO31,CO33)</f>
        <v>651314.5</v>
      </c>
      <c r="CP23" s="2506">
        <f>SUM(CP24,CP28,CP31,CP33,CP32)</f>
        <v>953865.92</v>
      </c>
      <c r="CQ23" s="2506"/>
      <c r="CR23" s="2506">
        <f>SUM(CR24,CR28,CR31,CR33,CR32)</f>
        <v>953865.92</v>
      </c>
      <c r="CS23" s="2479">
        <f>CP23-CM23</f>
        <v>253481.92000000004</v>
      </c>
      <c r="CT23" s="2480">
        <f t="shared" ref="CT23:CT31" si="74">CP23/CM23%</f>
        <v>136.19184904281082</v>
      </c>
      <c r="CU23" s="2507">
        <f>SUM(CU24,CU28,CU31,CU33)</f>
        <v>572108</v>
      </c>
      <c r="CV23" s="2506">
        <f>SUM(CV28)</f>
        <v>0</v>
      </c>
      <c r="CW23" s="2506">
        <f>SUM(CW24,CW28,CW31,CW33)</f>
        <v>573849</v>
      </c>
      <c r="CX23" s="2506">
        <f>SUM(CX24,CX28,CX31,CX33,CX32)</f>
        <v>713747.83200000005</v>
      </c>
      <c r="CY23" s="2506"/>
      <c r="CZ23" s="2506">
        <f>SUM(CZ24,CZ28,CZ31,CZ33,CZ32)</f>
        <v>713747.83200000005</v>
      </c>
      <c r="DA23" s="2479">
        <f>CX23-CU23</f>
        <v>141639.83200000005</v>
      </c>
      <c r="DB23" s="2480">
        <f t="shared" ref="DB23:DB31" si="75">CX23/CU23%</f>
        <v>124.75753389220218</v>
      </c>
    </row>
    <row r="24" spans="1:106" s="2464" customFormat="1" ht="25.95" customHeight="1">
      <c r="A24" s="2462">
        <v>1</v>
      </c>
      <c r="B24" s="2465" t="s">
        <v>93</v>
      </c>
      <c r="C24" s="2506">
        <f>+C25+C27</f>
        <v>1321000</v>
      </c>
      <c r="D24" s="2506"/>
      <c r="E24" s="2506">
        <f>SUM(E25:E27)</f>
        <v>1517500</v>
      </c>
      <c r="F24" s="2506">
        <f>SUM(F25:F27)</f>
        <v>1724000.4089698761</v>
      </c>
      <c r="G24" s="2506"/>
      <c r="H24" s="2506">
        <f>+H25+H27</f>
        <v>1724000.4089698761</v>
      </c>
      <c r="I24" s="2479">
        <f>F24-C24</f>
        <v>403000.40896987612</v>
      </c>
      <c r="J24" s="2480">
        <f t="shared" si="64"/>
        <v>130.50722248068706</v>
      </c>
      <c r="K24" s="2507">
        <f>+K25+K27</f>
        <v>92000</v>
      </c>
      <c r="L24" s="2506"/>
      <c r="M24" s="2506">
        <f>+M25+M27</f>
        <v>92000</v>
      </c>
      <c r="N24" s="2506">
        <f>+N25+N27</f>
        <v>117999.59453397225</v>
      </c>
      <c r="O24" s="2506"/>
      <c r="P24" s="2506">
        <f>SUM(P25:P27)</f>
        <v>117999.59453397225</v>
      </c>
      <c r="Q24" s="2479">
        <f t="shared" ref="Q24:Q27" si="76">N24-K24</f>
        <v>25999.594533972253</v>
      </c>
      <c r="R24" s="2480">
        <f t="shared" si="65"/>
        <v>128.26042884127418</v>
      </c>
      <c r="S24" s="2542">
        <f>+S25+S27</f>
        <v>188000</v>
      </c>
      <c r="T24" s="2506"/>
      <c r="U24" s="2506">
        <f>+U25+U27</f>
        <v>194000</v>
      </c>
      <c r="V24" s="2506">
        <f>+V25+V27</f>
        <v>298000.23934054258</v>
      </c>
      <c r="W24" s="2506"/>
      <c r="X24" s="2506">
        <f>SUM(X25:X27)</f>
        <v>298000.23934054258</v>
      </c>
      <c r="Y24" s="2479">
        <f t="shared" ref="Y24:Y29" si="77">V24-S24</f>
        <v>110000.23934054258</v>
      </c>
      <c r="Z24" s="2480">
        <f t="shared" si="66"/>
        <v>158.51076560667158</v>
      </c>
      <c r="AA24" s="2507">
        <f>+AA25+AA27</f>
        <v>43000</v>
      </c>
      <c r="AB24" s="2506"/>
      <c r="AC24" s="2506">
        <f>+AC25+AC27</f>
        <v>64000</v>
      </c>
      <c r="AD24" s="2506">
        <f>+AD25+AD27</f>
        <v>58999.51627905004</v>
      </c>
      <c r="AE24" s="2506"/>
      <c r="AF24" s="2506">
        <f>SUM(AF25:AF27)</f>
        <v>58999.51627905004</v>
      </c>
      <c r="AG24" s="2479">
        <f t="shared" ref="AG24:AG29" si="78">AD24-AA24</f>
        <v>15999.51627905004</v>
      </c>
      <c r="AH24" s="2480">
        <f t="shared" si="67"/>
        <v>137.20817739313964</v>
      </c>
      <c r="AI24" s="2507">
        <f>+AI25+AI27</f>
        <v>50000</v>
      </c>
      <c r="AJ24" s="2506"/>
      <c r="AK24" s="2506">
        <f>+AK25+AK27</f>
        <v>72000</v>
      </c>
      <c r="AL24" s="2506">
        <f>+AL25+AL27</f>
        <v>83999.809682436709</v>
      </c>
      <c r="AM24" s="2506"/>
      <c r="AN24" s="2506">
        <f>SUM(AN25:AN27)</f>
        <v>83999.809682436709</v>
      </c>
      <c r="AO24" s="2479">
        <f t="shared" ref="AO24:AO29" si="79">AL24-AI24</f>
        <v>33999.809682436709</v>
      </c>
      <c r="AP24" s="2480">
        <f t="shared" si="68"/>
        <v>167.99961936487341</v>
      </c>
      <c r="AQ24" s="2507">
        <f>+AQ25+AQ27</f>
        <v>97000</v>
      </c>
      <c r="AR24" s="2506"/>
      <c r="AS24" s="2506">
        <f>+AS25+AS27</f>
        <v>87000</v>
      </c>
      <c r="AT24" s="2506">
        <f>+AT25+AT27</f>
        <v>106999.86288471894</v>
      </c>
      <c r="AU24" s="2506"/>
      <c r="AV24" s="2506">
        <f>SUM(AV25:AV27)</f>
        <v>106999.86288471894</v>
      </c>
      <c r="AW24" s="2479">
        <f t="shared" ref="AW24:AW28" si="80">AT24-AQ24</f>
        <v>9999.8628847189393</v>
      </c>
      <c r="AX24" s="2480">
        <f t="shared" si="69"/>
        <v>110.3091369945556</v>
      </c>
      <c r="AY24" s="2507">
        <f>+AY25+AY27</f>
        <v>220000</v>
      </c>
      <c r="AZ24" s="2506"/>
      <c r="BA24" s="2506">
        <f>+BA25+BA27</f>
        <v>280000</v>
      </c>
      <c r="BB24" s="2506">
        <f>+BB25+BB27</f>
        <v>284000.24258928356</v>
      </c>
      <c r="BC24" s="2506"/>
      <c r="BD24" s="2506">
        <f>SUM(BD25:BD27)</f>
        <v>284000.24258928356</v>
      </c>
      <c r="BE24" s="2479">
        <f t="shared" ref="BE24:BE29" si="81">BB24-AY24</f>
        <v>64000.24258928356</v>
      </c>
      <c r="BF24" s="2480">
        <f t="shared" si="70"/>
        <v>129.09101935876527</v>
      </c>
      <c r="BG24" s="2507">
        <f>+BG25+BG27</f>
        <v>76000</v>
      </c>
      <c r="BH24" s="2506"/>
      <c r="BI24" s="2506">
        <f>+BI25+BI27</f>
        <v>141000</v>
      </c>
      <c r="BJ24" s="2506">
        <f>+BJ25+BJ27</f>
        <v>101000.03850993092</v>
      </c>
      <c r="BK24" s="2506"/>
      <c r="BL24" s="2506">
        <f>SUM(BL25:BL27)</f>
        <v>101000.03850993092</v>
      </c>
      <c r="BM24" s="2479">
        <f t="shared" ref="BM24:BM29" si="82">BJ24-BG24</f>
        <v>25000.038509930921</v>
      </c>
      <c r="BN24" s="2480">
        <f t="shared" si="71"/>
        <v>132.894787513067</v>
      </c>
      <c r="BO24" s="2507">
        <f>+BO25+BO27</f>
        <v>107000</v>
      </c>
      <c r="BP24" s="2506"/>
      <c r="BQ24" s="2506">
        <f>+BQ25+BQ27</f>
        <v>127000</v>
      </c>
      <c r="BR24" s="2506">
        <f>+BR25+BR27</f>
        <v>130000.33494633662</v>
      </c>
      <c r="BS24" s="2506"/>
      <c r="BT24" s="2506">
        <f>SUM(BT25:BT27)</f>
        <v>130000.33494633662</v>
      </c>
      <c r="BU24" s="2479">
        <f t="shared" ref="BU24:BU29" si="83">BR24-BO24</f>
        <v>23000.334946336618</v>
      </c>
      <c r="BV24" s="2480">
        <f t="shared" si="72"/>
        <v>121.4956401367632</v>
      </c>
      <c r="BW24" s="2507">
        <f>+BW25+BW27</f>
        <v>66000</v>
      </c>
      <c r="BX24" s="2506"/>
      <c r="BY24" s="2506">
        <f>+BY25+BY27</f>
        <v>84000</v>
      </c>
      <c r="BZ24" s="2506">
        <f>+BZ25+BZ27</f>
        <v>96000.351400568732</v>
      </c>
      <c r="CA24" s="2506"/>
      <c r="CB24" s="2506">
        <f>SUM(CB25:CB27)</f>
        <v>96000.351400568732</v>
      </c>
      <c r="CC24" s="2479">
        <f t="shared" ref="CC24:CC29" si="84">BZ24-BW24</f>
        <v>30000.351400568732</v>
      </c>
      <c r="CD24" s="2480">
        <f t="shared" si="73"/>
        <v>145.45507787964959</v>
      </c>
      <c r="CE24" s="2507">
        <f>+CE25+CE27</f>
        <v>64000</v>
      </c>
      <c r="CF24" s="2506"/>
      <c r="CG24" s="2506">
        <f>+CG25+CG27</f>
        <v>124000</v>
      </c>
      <c r="CH24" s="2506">
        <f>+CH25+CH27</f>
        <v>96999.720817696681</v>
      </c>
      <c r="CI24" s="2506"/>
      <c r="CJ24" s="2506">
        <f>SUM(CJ25:CJ27)</f>
        <v>96999.720817696681</v>
      </c>
      <c r="CK24" s="2479">
        <f t="shared" ref="CK24:CK29" si="85">CH24-CE24</f>
        <v>32999.720817696681</v>
      </c>
      <c r="CL24" s="2480">
        <f t="shared" ref="CL24:CL29" si="86">CH24/CE24%</f>
        <v>151.56206377765108</v>
      </c>
      <c r="CM24" s="2507">
        <f>+CM25+CM27</f>
        <v>240000</v>
      </c>
      <c r="CN24" s="2506"/>
      <c r="CO24" s="2506">
        <f>+CO25+CO27</f>
        <v>174500</v>
      </c>
      <c r="CP24" s="2506">
        <f>+CP25+CP27</f>
        <v>227000.360400012</v>
      </c>
      <c r="CQ24" s="2506"/>
      <c r="CR24" s="2506">
        <f>SUM(CR25:CR27)</f>
        <v>227000.360400012</v>
      </c>
      <c r="CS24" s="2479">
        <f t="shared" ref="CS24:CS29" si="87">CP24-CM24</f>
        <v>-12999.639599988004</v>
      </c>
      <c r="CT24" s="2480">
        <f t="shared" si="74"/>
        <v>94.583483500005002</v>
      </c>
      <c r="CU24" s="2507">
        <f>+CU25+CU27</f>
        <v>78000</v>
      </c>
      <c r="CV24" s="2506"/>
      <c r="CW24" s="2506">
        <f>+CW25+CW27</f>
        <v>78000</v>
      </c>
      <c r="CX24" s="2506">
        <f>+CX25+CX27</f>
        <v>123000.33758532717</v>
      </c>
      <c r="CY24" s="2506"/>
      <c r="CZ24" s="2506">
        <f>SUM(CZ25:CZ27)</f>
        <v>123000.33758532717</v>
      </c>
      <c r="DA24" s="2479">
        <f t="shared" ref="DA24:DA28" si="88">CX24-CU24</f>
        <v>45000.337585327172</v>
      </c>
      <c r="DB24" s="2480">
        <f t="shared" si="75"/>
        <v>157.6927404940092</v>
      </c>
    </row>
    <row r="25" spans="1:106" s="2466" customFormat="1" ht="25.95" customHeight="1">
      <c r="A25" s="2455" t="s">
        <v>137</v>
      </c>
      <c r="B25" s="2246" t="s">
        <v>1305</v>
      </c>
      <c r="C25" s="2494">
        <f>+K25+S25+AA25+AI25+AQ25+AY25+BG25+BO25+BW25+CE25+CM25+CU25</f>
        <v>521000</v>
      </c>
      <c r="D25" s="2494"/>
      <c r="E25" s="2494">
        <f>+M25+U25+AC25+AK25+AS25+BA25+BI25+BQ25+BY25+CG25+CO25+CW25</f>
        <v>521000</v>
      </c>
      <c r="F25" s="2498">
        <f t="shared" ref="F25:H33" si="89">SUM(N25,V25,AD25,AL25,AT25,BB25,BJ25,BR25,BZ25,CH25,CP25,CX25)</f>
        <v>581000.40896987612</v>
      </c>
      <c r="G25" s="2494"/>
      <c r="H25" s="2494">
        <f t="shared" si="89"/>
        <v>581000.40896987612</v>
      </c>
      <c r="I25" s="2495">
        <f>F25-C25</f>
        <v>60000.408969876124</v>
      </c>
      <c r="J25" s="2496">
        <f t="shared" si="64"/>
        <v>111.51639327636778</v>
      </c>
      <c r="K25" s="2497">
        <f>27606+394</f>
        <v>28000</v>
      </c>
      <c r="L25" s="2494"/>
      <c r="M25" s="2494">
        <f>K25</f>
        <v>28000</v>
      </c>
      <c r="N25" s="2494">
        <f>K25+N38</f>
        <v>27999.594533972257</v>
      </c>
      <c r="O25" s="2494"/>
      <c r="P25" s="2494">
        <f>N25</f>
        <v>27999.594533972257</v>
      </c>
      <c r="Q25" s="2495">
        <f t="shared" si="76"/>
        <v>-0.4054660277433868</v>
      </c>
      <c r="R25" s="2496">
        <f t="shared" si="65"/>
        <v>99.998551907043776</v>
      </c>
      <c r="S25" s="2540">
        <f>27233+767</f>
        <v>28000</v>
      </c>
      <c r="T25" s="2494"/>
      <c r="U25" s="2494">
        <f>S25</f>
        <v>28000</v>
      </c>
      <c r="V25" s="2494">
        <f>S25+V38</f>
        <v>28000.239340542557</v>
      </c>
      <c r="W25" s="2494"/>
      <c r="X25" s="2494">
        <f>V25</f>
        <v>28000.239340542557</v>
      </c>
      <c r="Y25" s="2495">
        <f t="shared" si="77"/>
        <v>0.23934054255732917</v>
      </c>
      <c r="Z25" s="2496">
        <f t="shared" si="66"/>
        <v>100.00085478765199</v>
      </c>
      <c r="AA25" s="2497">
        <f>26557+1443</f>
        <v>28000</v>
      </c>
      <c r="AB25" s="2494"/>
      <c r="AC25" s="2494">
        <f>AA25</f>
        <v>28000</v>
      </c>
      <c r="AD25" s="2494">
        <f>AA25+AD38</f>
        <v>31999.51627905004</v>
      </c>
      <c r="AE25" s="2494"/>
      <c r="AF25" s="2494">
        <f>AD25</f>
        <v>31999.51627905004</v>
      </c>
      <c r="AG25" s="2495">
        <f t="shared" si="78"/>
        <v>3999.5162790500399</v>
      </c>
      <c r="AH25" s="2496">
        <f t="shared" si="67"/>
        <v>114.283986710893</v>
      </c>
      <c r="AI25" s="2497">
        <f>28751+1249</f>
        <v>30000</v>
      </c>
      <c r="AJ25" s="2494"/>
      <c r="AK25" s="2494">
        <f>AI25</f>
        <v>30000</v>
      </c>
      <c r="AL25" s="2494">
        <f>AI25+AL38</f>
        <v>29999.809682436709</v>
      </c>
      <c r="AM25" s="2494"/>
      <c r="AN25" s="2494">
        <f>AL25</f>
        <v>29999.809682436709</v>
      </c>
      <c r="AO25" s="2495">
        <f t="shared" si="79"/>
        <v>-0.19031756329059135</v>
      </c>
      <c r="AP25" s="2496">
        <f t="shared" si="68"/>
        <v>99.999365608122361</v>
      </c>
      <c r="AQ25" s="2497">
        <f>36302+698</f>
        <v>37000</v>
      </c>
      <c r="AR25" s="2494"/>
      <c r="AS25" s="2494">
        <f>AQ25</f>
        <v>37000</v>
      </c>
      <c r="AT25" s="2494">
        <f>AQ25+AT38</f>
        <v>43999.862884718939</v>
      </c>
      <c r="AU25" s="2494"/>
      <c r="AV25" s="2494">
        <f>AT25</f>
        <v>43999.862884718939</v>
      </c>
      <c r="AW25" s="2495">
        <f t="shared" si="80"/>
        <v>6999.8628847189393</v>
      </c>
      <c r="AX25" s="2496">
        <f t="shared" si="69"/>
        <v>118.91854833707822</v>
      </c>
      <c r="AY25" s="2497">
        <f>116534+3466</f>
        <v>120000</v>
      </c>
      <c r="AZ25" s="2494"/>
      <c r="BA25" s="2494">
        <f>AY25</f>
        <v>120000</v>
      </c>
      <c r="BB25" s="2494">
        <f>AY25+BB38</f>
        <v>140000.24258928356</v>
      </c>
      <c r="BC25" s="2494"/>
      <c r="BD25" s="2494">
        <f>BB25</f>
        <v>140000.24258928356</v>
      </c>
      <c r="BE25" s="2495">
        <f t="shared" si="81"/>
        <v>20000.24258928356</v>
      </c>
      <c r="BF25" s="2496">
        <f t="shared" si="70"/>
        <v>116.66686882440297</v>
      </c>
      <c r="BG25" s="2497">
        <f>39662+1338</f>
        <v>41000</v>
      </c>
      <c r="BH25" s="2494"/>
      <c r="BI25" s="2494">
        <f>BG25</f>
        <v>41000</v>
      </c>
      <c r="BJ25" s="2494">
        <f>BG25+BJ38</f>
        <v>47000.038509930921</v>
      </c>
      <c r="BK25" s="2494"/>
      <c r="BL25" s="2494">
        <f>BJ25</f>
        <v>47000.038509930921</v>
      </c>
      <c r="BM25" s="2495">
        <f t="shared" si="82"/>
        <v>6000.0385099309206</v>
      </c>
      <c r="BN25" s="2496">
        <f t="shared" si="71"/>
        <v>114.6342402681242</v>
      </c>
      <c r="BO25" s="2497">
        <f>36250+750</f>
        <v>37000</v>
      </c>
      <c r="BP25" s="2494"/>
      <c r="BQ25" s="2494">
        <f>BO25</f>
        <v>37000</v>
      </c>
      <c r="BR25" s="2494">
        <f>BO25+BR38</f>
        <v>40000.334946336618</v>
      </c>
      <c r="BS25" s="2494"/>
      <c r="BT25" s="2494">
        <f>+BR25</f>
        <v>40000.334946336618</v>
      </c>
      <c r="BU25" s="2495">
        <f t="shared" si="83"/>
        <v>3000.3349463366176</v>
      </c>
      <c r="BV25" s="2496">
        <f t="shared" si="72"/>
        <v>108.10901336847735</v>
      </c>
      <c r="BW25" s="2497">
        <f>35177+823</f>
        <v>36000</v>
      </c>
      <c r="BX25" s="2494"/>
      <c r="BY25" s="2494">
        <f>BW25</f>
        <v>36000</v>
      </c>
      <c r="BZ25" s="2494">
        <f>BW25+BZ38</f>
        <v>42000.351400568725</v>
      </c>
      <c r="CA25" s="2494"/>
      <c r="CB25" s="2494">
        <f>BZ25</f>
        <v>42000.351400568725</v>
      </c>
      <c r="CC25" s="2495">
        <f t="shared" si="84"/>
        <v>6000.3514005687248</v>
      </c>
      <c r="CD25" s="2496">
        <f t="shared" si="73"/>
        <v>116.66764277935756</v>
      </c>
      <c r="CE25" s="2497">
        <f>33432+568</f>
        <v>34000</v>
      </c>
      <c r="CF25" s="2494"/>
      <c r="CG25" s="2494">
        <f>CE25</f>
        <v>34000</v>
      </c>
      <c r="CH25" s="2494">
        <f>CE25+CH38</f>
        <v>33999.720817696674</v>
      </c>
      <c r="CI25" s="2494"/>
      <c r="CJ25" s="2494">
        <f>CH25</f>
        <v>33999.720817696674</v>
      </c>
      <c r="CK25" s="2495">
        <f t="shared" si="85"/>
        <v>-0.27918230332579697</v>
      </c>
      <c r="CL25" s="2496">
        <f>CH25/CE25%</f>
        <v>99.999178875578451</v>
      </c>
      <c r="CM25" s="2497">
        <f>71569+2431</f>
        <v>74000</v>
      </c>
      <c r="CN25" s="2494"/>
      <c r="CO25" s="2494">
        <f>CM25</f>
        <v>74000</v>
      </c>
      <c r="CP25" s="2498">
        <f>CM25+CP38</f>
        <v>83000.360400011981</v>
      </c>
      <c r="CQ25" s="2494"/>
      <c r="CR25" s="2494">
        <f>CP25</f>
        <v>83000.360400011981</v>
      </c>
      <c r="CS25" s="2495">
        <f t="shared" si="87"/>
        <v>9000.3604000119813</v>
      </c>
      <c r="CT25" s="2496">
        <f t="shared" si="74"/>
        <v>112.16264918920538</v>
      </c>
      <c r="CU25" s="2497">
        <f>26173+1827</f>
        <v>28000</v>
      </c>
      <c r="CV25" s="2494"/>
      <c r="CW25" s="2494">
        <f>CU25</f>
        <v>28000</v>
      </c>
      <c r="CX25" s="2498">
        <f>CU25+CX38</f>
        <v>33000.337585327172</v>
      </c>
      <c r="CY25" s="2494"/>
      <c r="CZ25" s="2494">
        <f>CX25</f>
        <v>33000.337585327172</v>
      </c>
      <c r="DA25" s="2495">
        <f t="shared" si="88"/>
        <v>5000.3375853271718</v>
      </c>
      <c r="DB25" s="2496">
        <f t="shared" si="75"/>
        <v>117.85834851902561</v>
      </c>
    </row>
    <row r="26" spans="1:106" s="2469" customFormat="1" ht="25.95" hidden="1" customHeight="1">
      <c r="A26" s="2467"/>
      <c r="B26" s="2468" t="s">
        <v>390</v>
      </c>
      <c r="C26" s="2486"/>
      <c r="D26" s="2486"/>
      <c r="E26" s="2486"/>
      <c r="F26" s="2486"/>
      <c r="G26" s="2486"/>
      <c r="H26" s="2486"/>
      <c r="I26" s="2487"/>
      <c r="J26" s="2488"/>
      <c r="K26" s="2489"/>
      <c r="L26" s="2486"/>
      <c r="M26" s="2486"/>
      <c r="N26" s="2486"/>
      <c r="O26" s="2486"/>
      <c r="P26" s="2486"/>
      <c r="Q26" s="2487"/>
      <c r="R26" s="2488"/>
      <c r="S26" s="2538"/>
      <c r="T26" s="2486"/>
      <c r="U26" s="2486"/>
      <c r="V26" s="2486"/>
      <c r="W26" s="2486"/>
      <c r="X26" s="2486"/>
      <c r="Y26" s="2487"/>
      <c r="Z26" s="2488"/>
      <c r="AA26" s="2489"/>
      <c r="AB26" s="2486"/>
      <c r="AC26" s="2486"/>
      <c r="AD26" s="2486"/>
      <c r="AE26" s="2486"/>
      <c r="AF26" s="2486"/>
      <c r="AG26" s="2487"/>
      <c r="AH26" s="2488"/>
      <c r="AI26" s="2489"/>
      <c r="AJ26" s="2486"/>
      <c r="AK26" s="2486"/>
      <c r="AL26" s="2486"/>
      <c r="AM26" s="2486"/>
      <c r="AN26" s="2486"/>
      <c r="AO26" s="2487"/>
      <c r="AP26" s="2488"/>
      <c r="AQ26" s="2489"/>
      <c r="AR26" s="2486"/>
      <c r="AS26" s="2486"/>
      <c r="AT26" s="2486"/>
      <c r="AU26" s="2486"/>
      <c r="AV26" s="2486"/>
      <c r="AW26" s="2487"/>
      <c r="AX26" s="2488"/>
      <c r="AY26" s="2489"/>
      <c r="AZ26" s="2486"/>
      <c r="BA26" s="2486"/>
      <c r="BB26" s="2486"/>
      <c r="BC26" s="2486"/>
      <c r="BD26" s="2486"/>
      <c r="BE26" s="2487"/>
      <c r="BF26" s="2488"/>
      <c r="BG26" s="2489"/>
      <c r="BH26" s="2486"/>
      <c r="BI26" s="2486"/>
      <c r="BJ26" s="2486"/>
      <c r="BK26" s="2486"/>
      <c r="BL26" s="2486"/>
      <c r="BM26" s="2487"/>
      <c r="BN26" s="2488"/>
      <c r="BO26" s="2489"/>
      <c r="BP26" s="2486"/>
      <c r="BQ26" s="2486"/>
      <c r="BR26" s="2486"/>
      <c r="BS26" s="2486"/>
      <c r="BT26" s="2486"/>
      <c r="BU26" s="2487"/>
      <c r="BV26" s="2488"/>
      <c r="BW26" s="2489"/>
      <c r="BX26" s="2486"/>
      <c r="BY26" s="2486"/>
      <c r="BZ26" s="2486"/>
      <c r="CA26" s="2486"/>
      <c r="CB26" s="2486"/>
      <c r="CC26" s="2487"/>
      <c r="CD26" s="2488"/>
      <c r="CE26" s="2489"/>
      <c r="CF26" s="2486"/>
      <c r="CG26" s="2486"/>
      <c r="CH26" s="2486"/>
      <c r="CI26" s="2486"/>
      <c r="CJ26" s="2486"/>
      <c r="CK26" s="2487"/>
      <c r="CL26" s="2488"/>
      <c r="CM26" s="2489"/>
      <c r="CN26" s="2486"/>
      <c r="CO26" s="2486"/>
      <c r="CP26" s="2486"/>
      <c r="CQ26" s="2486"/>
      <c r="CR26" s="2486"/>
      <c r="CS26" s="2487"/>
      <c r="CT26" s="2488"/>
      <c r="CU26" s="2489"/>
      <c r="CV26" s="2486"/>
      <c r="CW26" s="2486"/>
      <c r="CX26" s="2486"/>
      <c r="CY26" s="2486"/>
      <c r="CZ26" s="2486"/>
      <c r="DA26" s="2487"/>
      <c r="DB26" s="2488"/>
    </row>
    <row r="27" spans="1:106" s="2466" customFormat="1" ht="25.95" customHeight="1">
      <c r="A27" s="2455" t="s">
        <v>137</v>
      </c>
      <c r="B27" s="2246" t="s">
        <v>391</v>
      </c>
      <c r="C27" s="2494">
        <f>+K27+S27+AA27+AI27+AQ27+AY27+BG27+BO27+BW27+CE27+CM27+CU27</f>
        <v>800000</v>
      </c>
      <c r="D27" s="2494"/>
      <c r="E27" s="2494">
        <f>+M27+U27+AC27+AK27+AS27+BA27+BI27+BQ27+BY27+CG27+CO27+CW27</f>
        <v>996500</v>
      </c>
      <c r="F27" s="2494">
        <f t="shared" si="89"/>
        <v>1143000</v>
      </c>
      <c r="G27" s="2299"/>
      <c r="H27" s="2494">
        <f>SUM(P27,X27,AF27,AN27,AV27,BD27,BL27,BT27,CB27,CJ27,CR27,CZ27)</f>
        <v>1143000</v>
      </c>
      <c r="I27" s="2495">
        <f t="shared" ref="I27:I33" si="90">F27-C27</f>
        <v>343000</v>
      </c>
      <c r="J27" s="2496">
        <f t="shared" si="64"/>
        <v>142.875</v>
      </c>
      <c r="K27" s="2497">
        <f>K10</f>
        <v>64000</v>
      </c>
      <c r="L27" s="2494"/>
      <c r="M27" s="2494">
        <f>'Phụ lục số 5.1 Thu'!T32</f>
        <v>64000</v>
      </c>
      <c r="N27" s="2494">
        <f>N10</f>
        <v>90000</v>
      </c>
      <c r="O27" s="2299"/>
      <c r="P27" s="2494">
        <f>N27</f>
        <v>90000</v>
      </c>
      <c r="Q27" s="2495">
        <f t="shared" si="76"/>
        <v>26000</v>
      </c>
      <c r="R27" s="2496">
        <f t="shared" si="65"/>
        <v>140.625</v>
      </c>
      <c r="S27" s="2540">
        <f>S10</f>
        <v>160000</v>
      </c>
      <c r="T27" s="2494"/>
      <c r="U27" s="2494">
        <f>'Phụ lục số 5.1 Thu'!AF32</f>
        <v>166000</v>
      </c>
      <c r="V27" s="2494">
        <f>'Phụ lục số 5.1 Thu'!AH32</f>
        <v>270000</v>
      </c>
      <c r="W27" s="2299"/>
      <c r="X27" s="2494">
        <f>V27</f>
        <v>270000</v>
      </c>
      <c r="Y27" s="2495">
        <f>V27-S27</f>
        <v>110000</v>
      </c>
      <c r="Z27" s="2496">
        <f t="shared" si="66"/>
        <v>168.75</v>
      </c>
      <c r="AA27" s="2497">
        <f>AA10</f>
        <v>15000</v>
      </c>
      <c r="AB27" s="2494"/>
      <c r="AC27" s="2494">
        <f>'Phụ lục số 5.1 Thu'!AR32</f>
        <v>36000</v>
      </c>
      <c r="AD27" s="2494">
        <f>'Phụ lục số 5.1 Thu'!AT32</f>
        <v>27000</v>
      </c>
      <c r="AE27" s="2299"/>
      <c r="AF27" s="2494">
        <f>AD27</f>
        <v>27000</v>
      </c>
      <c r="AG27" s="2495">
        <f t="shared" si="78"/>
        <v>12000</v>
      </c>
      <c r="AH27" s="2496">
        <f t="shared" si="67"/>
        <v>180</v>
      </c>
      <c r="AI27" s="2497">
        <f>'Phụ lục số 5.1 Thu'!AZ32</f>
        <v>20000</v>
      </c>
      <c r="AJ27" s="2494"/>
      <c r="AK27" s="2494">
        <f>'Phụ lục số 5.1 Thu'!BD32</f>
        <v>42000</v>
      </c>
      <c r="AL27" s="2494">
        <f>'Phụ lục số 5.1 Thu'!BF32</f>
        <v>54000</v>
      </c>
      <c r="AM27" s="2299"/>
      <c r="AN27" s="2494">
        <f>AL27</f>
        <v>54000</v>
      </c>
      <c r="AO27" s="2495">
        <f t="shared" si="79"/>
        <v>34000</v>
      </c>
      <c r="AP27" s="2496">
        <f t="shared" si="68"/>
        <v>270</v>
      </c>
      <c r="AQ27" s="2497">
        <f>'Phụ lục số 5.1 Thu'!BL32</f>
        <v>60000</v>
      </c>
      <c r="AR27" s="2494"/>
      <c r="AS27" s="2494">
        <f>'Phụ lục số 5.1 Thu'!BP32</f>
        <v>50000</v>
      </c>
      <c r="AT27" s="2494">
        <f>'Phụ lục số 5.1 Thu'!BR32</f>
        <v>63000</v>
      </c>
      <c r="AU27" s="2299"/>
      <c r="AV27" s="2494">
        <f>AT27</f>
        <v>63000</v>
      </c>
      <c r="AW27" s="2495">
        <f t="shared" si="80"/>
        <v>3000</v>
      </c>
      <c r="AX27" s="2496">
        <f t="shared" si="69"/>
        <v>105</v>
      </c>
      <c r="AY27" s="2497">
        <f>'Phụ lục số 5.1 Thu'!BX32</f>
        <v>100000</v>
      </c>
      <c r="AZ27" s="2494"/>
      <c r="BA27" s="2494">
        <f>'Phụ lục số 5.1 Thu'!CB32</f>
        <v>160000</v>
      </c>
      <c r="BB27" s="2494">
        <f>'Phụ lục số 5.1 Thu'!CD32</f>
        <v>144000</v>
      </c>
      <c r="BC27" s="2299"/>
      <c r="BD27" s="2494">
        <f>BB27</f>
        <v>144000</v>
      </c>
      <c r="BE27" s="2495">
        <f t="shared" si="81"/>
        <v>44000</v>
      </c>
      <c r="BF27" s="2496">
        <f t="shared" si="70"/>
        <v>144</v>
      </c>
      <c r="BG27" s="2497">
        <f>'Phụ lục số 5.1 Thu'!CJ32</f>
        <v>35000</v>
      </c>
      <c r="BH27" s="2494"/>
      <c r="BI27" s="2494">
        <f>'Phụ lục số 5.1 Thu'!CN32</f>
        <v>100000</v>
      </c>
      <c r="BJ27" s="2494">
        <f>'Phụ lục số 5.1 Thu'!CP32</f>
        <v>54000</v>
      </c>
      <c r="BK27" s="2299"/>
      <c r="BL27" s="2494">
        <f>BJ27</f>
        <v>54000</v>
      </c>
      <c r="BM27" s="2495">
        <f t="shared" si="82"/>
        <v>19000</v>
      </c>
      <c r="BN27" s="2496">
        <f t="shared" si="71"/>
        <v>154.28571428571428</v>
      </c>
      <c r="BO27" s="2497">
        <f>'Phụ lục số 5.1 Thu'!CV32</f>
        <v>70000</v>
      </c>
      <c r="BP27" s="2494"/>
      <c r="BQ27" s="2494">
        <f>'Phụ lục số 5.1 Thu'!CZ32</f>
        <v>90000</v>
      </c>
      <c r="BR27" s="2494">
        <f>'Phụ lục số 5.1 Thu'!DB32</f>
        <v>90000</v>
      </c>
      <c r="BS27" s="2299"/>
      <c r="BT27" s="2494">
        <f>BR27</f>
        <v>90000</v>
      </c>
      <c r="BU27" s="2495">
        <f t="shared" si="83"/>
        <v>20000</v>
      </c>
      <c r="BV27" s="2496">
        <f t="shared" si="72"/>
        <v>128.57142857142858</v>
      </c>
      <c r="BW27" s="2497">
        <f>'Phụ lục số 5.1 Thu'!DH32</f>
        <v>30000</v>
      </c>
      <c r="BX27" s="2494"/>
      <c r="BY27" s="2494">
        <f>'Phụ lục số 5.1 Thu'!DL32</f>
        <v>48000</v>
      </c>
      <c r="BZ27" s="2494">
        <f>'Phụ lục số 5.1 Thu'!DN32</f>
        <v>54000</v>
      </c>
      <c r="CA27" s="2299"/>
      <c r="CB27" s="2494">
        <f>BZ27</f>
        <v>54000</v>
      </c>
      <c r="CC27" s="2495">
        <f t="shared" si="84"/>
        <v>24000</v>
      </c>
      <c r="CD27" s="2496">
        <f t="shared" si="73"/>
        <v>180</v>
      </c>
      <c r="CE27" s="2497">
        <f>'Phụ lục số 5.1 Thu'!DT32</f>
        <v>30000</v>
      </c>
      <c r="CF27" s="2494"/>
      <c r="CG27" s="2494">
        <f>'Phụ lục số 5.1 Thu'!DX32</f>
        <v>90000</v>
      </c>
      <c r="CH27" s="2494">
        <f>'Phụ lục số 5.1 Thu'!DZ32</f>
        <v>63000</v>
      </c>
      <c r="CI27" s="2299"/>
      <c r="CJ27" s="2494">
        <f>CH27</f>
        <v>63000</v>
      </c>
      <c r="CK27" s="2495">
        <f t="shared" si="85"/>
        <v>33000</v>
      </c>
      <c r="CL27" s="2496">
        <f t="shared" si="86"/>
        <v>210</v>
      </c>
      <c r="CM27" s="2497">
        <f>'Phụ lục số 5.1 Thu'!EF32</f>
        <v>166000</v>
      </c>
      <c r="CN27" s="2494"/>
      <c r="CO27" s="2494">
        <f>'Phụ lục số 5.1 Thu'!EJ32</f>
        <v>100500</v>
      </c>
      <c r="CP27" s="2494">
        <f>'Phụ lục số 5.1 Thu'!EL32</f>
        <v>144000</v>
      </c>
      <c r="CQ27" s="2299"/>
      <c r="CR27" s="2494">
        <f>CP27</f>
        <v>144000</v>
      </c>
      <c r="CS27" s="2495">
        <f t="shared" si="87"/>
        <v>-22000</v>
      </c>
      <c r="CT27" s="2496">
        <f t="shared" si="74"/>
        <v>86.746987951807228</v>
      </c>
      <c r="CU27" s="2497">
        <f>'Phụ lục số 5.1 Thu'!ER32</f>
        <v>50000</v>
      </c>
      <c r="CV27" s="2494"/>
      <c r="CW27" s="2494">
        <f>'Phụ lục số 5.1 Thu'!EV32</f>
        <v>50000</v>
      </c>
      <c r="CX27" s="2494">
        <f>'Phụ lục số 5.1 Thu'!EX32</f>
        <v>90000</v>
      </c>
      <c r="CY27" s="2299"/>
      <c r="CZ27" s="2494">
        <f>CX27</f>
        <v>90000</v>
      </c>
      <c r="DA27" s="2495">
        <f t="shared" si="88"/>
        <v>40000</v>
      </c>
      <c r="DB27" s="2496">
        <f t="shared" si="75"/>
        <v>180</v>
      </c>
    </row>
    <row r="28" spans="1:106" s="2464" customFormat="1" ht="25.95" customHeight="1">
      <c r="A28" s="2462">
        <v>2</v>
      </c>
      <c r="B28" s="2465" t="s">
        <v>392</v>
      </c>
      <c r="C28" s="2506">
        <f>SUM(C29:C30)</f>
        <v>6185830</v>
      </c>
      <c r="D28" s="2506">
        <f>SUM(L28,T28,AB28,AJ28,AR28,AZ28,BH28,BP28,BX28,CF28,CN28,CV28)</f>
        <v>0</v>
      </c>
      <c r="E28" s="2506">
        <f>SUM(E29:E30)</f>
        <v>6255007.7666666657</v>
      </c>
      <c r="F28" s="2506">
        <f>SUM(F29:F30)</f>
        <v>6540499.3947110819</v>
      </c>
      <c r="G28" s="2506">
        <f t="shared" si="89"/>
        <v>830039</v>
      </c>
      <c r="H28" s="2506">
        <f>SUM(H29:H30)</f>
        <v>7370538.3947110809</v>
      </c>
      <c r="I28" s="2479">
        <f>F28-C28</f>
        <v>354669.39471108187</v>
      </c>
      <c r="J28" s="2480">
        <f>F28/C28%</f>
        <v>105.73357810853324</v>
      </c>
      <c r="K28" s="2507">
        <f>K8-K24-K31-K33</f>
        <v>462004</v>
      </c>
      <c r="L28" s="2506"/>
      <c r="M28" s="2506">
        <f>SUM(M29:M30)</f>
        <v>462376</v>
      </c>
      <c r="N28" s="2506">
        <f>N8-N24-N31-N33-N32</f>
        <v>465435.81160976144</v>
      </c>
      <c r="O28" s="2508">
        <f>'Phụ lục 7.2-CCTL'!E23</f>
        <v>70129</v>
      </c>
      <c r="P28" s="2506">
        <f>P8-P24-P31-P33-P32</f>
        <v>535564.81160976144</v>
      </c>
      <c r="Q28" s="2479">
        <f>N28-K28</f>
        <v>3431.8116097614402</v>
      </c>
      <c r="R28" s="2480">
        <f t="shared" si="65"/>
        <v>100.74280993449439</v>
      </c>
      <c r="S28" s="2542">
        <f>S8-S24-S31-S33</f>
        <v>310530</v>
      </c>
      <c r="T28" s="2506"/>
      <c r="U28" s="2506">
        <f>SUM(U29:U30)</f>
        <v>302869.5</v>
      </c>
      <c r="V28" s="2506">
        <f>V8-V24-V31-V33-V32</f>
        <v>317185.54508638143</v>
      </c>
      <c r="W28" s="2506">
        <f>'Phụ lục 7.2-CCTL'!F23</f>
        <v>48500</v>
      </c>
      <c r="X28" s="2506">
        <f>X8-X24-X31-X33-X32</f>
        <v>365685.54508638143</v>
      </c>
      <c r="Y28" s="2479">
        <f t="shared" si="77"/>
        <v>6655.5450863814331</v>
      </c>
      <c r="Z28" s="2480">
        <f t="shared" si="66"/>
        <v>102.14328570069927</v>
      </c>
      <c r="AA28" s="2507">
        <f>AA8-AA24-AA31-AA33</f>
        <v>434807</v>
      </c>
      <c r="AB28" s="2506"/>
      <c r="AC28" s="2506">
        <f>SUM(AC29:AC30)</f>
        <v>438842.3</v>
      </c>
      <c r="AD28" s="2506">
        <f>AD8-AD24-AD31-AD33-AD32</f>
        <v>447489.08388374688</v>
      </c>
      <c r="AE28" s="2506">
        <f>'Phụ lục 7.2-CCTL'!G23</f>
        <v>56760</v>
      </c>
      <c r="AF28" s="2506">
        <f>AF8-AF24-AF31-AF33-AF32</f>
        <v>504249.08388374688</v>
      </c>
      <c r="AG28" s="2479">
        <f t="shared" si="78"/>
        <v>12682.083883746876</v>
      </c>
      <c r="AH28" s="2480">
        <f t="shared" si="67"/>
        <v>102.91671566551295</v>
      </c>
      <c r="AI28" s="2507">
        <f>AI8-AI24-AI31-AI33</f>
        <v>472371</v>
      </c>
      <c r="AJ28" s="2506"/>
      <c r="AK28" s="2506">
        <f>SUM(AK29:AK30)</f>
        <v>473187.3</v>
      </c>
      <c r="AL28" s="2844">
        <f>AL8-AL24-AL31-AL33-AL32</f>
        <v>476789.97233674373</v>
      </c>
      <c r="AM28" s="2844">
        <f>'Phụ lục 7.2-CCTL'!H23</f>
        <v>57239</v>
      </c>
      <c r="AN28" s="2506">
        <f>AN8-AN24-AN31-AN33-AN32</f>
        <v>534028.97233674373</v>
      </c>
      <c r="AO28" s="2479">
        <f t="shared" si="79"/>
        <v>4418.9723367437255</v>
      </c>
      <c r="AP28" s="2480">
        <f t="shared" si="68"/>
        <v>100.93548764355639</v>
      </c>
      <c r="AQ28" s="2507">
        <f>AQ8-AQ24-AQ31-AQ33</f>
        <v>540341</v>
      </c>
      <c r="AR28" s="2506"/>
      <c r="AS28" s="2506">
        <f>SUM(AS29:AS30)</f>
        <v>562423</v>
      </c>
      <c r="AT28" s="2506">
        <f>AT8-AT24-AT31-AT33-AT32</f>
        <v>569831.39632410579</v>
      </c>
      <c r="AU28" s="2506">
        <f>'Phụ lục 7.2-CCTL'!I23</f>
        <v>75571</v>
      </c>
      <c r="AV28" s="2506">
        <f>AV8-AV24-AV31-AV33-AV32</f>
        <v>645402.39632410579</v>
      </c>
      <c r="AW28" s="2479">
        <f t="shared" si="80"/>
        <v>29490.396324105794</v>
      </c>
      <c r="AX28" s="2480">
        <f t="shared" si="69"/>
        <v>105.4577380439585</v>
      </c>
      <c r="AY28" s="2507">
        <f>AY8-AY24-AY31-AY33</f>
        <v>610355</v>
      </c>
      <c r="AZ28" s="2506"/>
      <c r="BA28" s="2506">
        <f>SUM(BA29:BA30)</f>
        <v>647498.30000000005</v>
      </c>
      <c r="BB28" s="2506">
        <f>BB8-BB24-BB31-BB33-BB32</f>
        <v>743497.64142151806</v>
      </c>
      <c r="BC28" s="2506">
        <f>'Phụ lục 7.2-CCTL'!J23</f>
        <v>80934</v>
      </c>
      <c r="BD28" s="2506">
        <f>BD8-BD24-BD31-BD33-BD32</f>
        <v>824431.64142151806</v>
      </c>
      <c r="BE28" s="2479">
        <f t="shared" si="81"/>
        <v>133142.64142151806</v>
      </c>
      <c r="BF28" s="2480">
        <f t="shared" si="70"/>
        <v>121.81396751423648</v>
      </c>
      <c r="BG28" s="2507">
        <f>BG8-BG24-BG31-BG33</f>
        <v>709272</v>
      </c>
      <c r="BH28" s="2506"/>
      <c r="BI28" s="2506">
        <f>SUM(BI29:BI30)</f>
        <v>715340.1</v>
      </c>
      <c r="BJ28" s="2506">
        <f>BJ8-BJ24-BJ31-BJ33-BJ32</f>
        <v>744368.27048818825</v>
      </c>
      <c r="BK28" s="2506">
        <f>'Phụ lục 7.2-CCTL'!K23</f>
        <v>96972</v>
      </c>
      <c r="BL28" s="2506">
        <f>BL8-BL24-BL31-BL33-BL32</f>
        <v>841340.27048818825</v>
      </c>
      <c r="BM28" s="2479">
        <f t="shared" si="82"/>
        <v>35096.270488188253</v>
      </c>
      <c r="BN28" s="2480">
        <f t="shared" si="71"/>
        <v>104.94821034640987</v>
      </c>
      <c r="BO28" s="2507">
        <f>BO8-BO24-BO31-BO33</f>
        <v>595187</v>
      </c>
      <c r="BP28" s="2506"/>
      <c r="BQ28" s="2506">
        <f>SUM(BQ29:BQ30)</f>
        <v>594269.5</v>
      </c>
      <c r="BR28" s="2506">
        <f>BR8-BR24-BR31-BR33-BR32</f>
        <v>605183.93388392578</v>
      </c>
      <c r="BS28" s="2506">
        <f>'Phụ lục 7.2-CCTL'!L23</f>
        <v>74640</v>
      </c>
      <c r="BT28" s="2506">
        <f>BT8-BT24-BT31-BT33-BT32</f>
        <v>679823.93388392578</v>
      </c>
      <c r="BU28" s="2479">
        <f>BR28-BO28</f>
        <v>9996.9338839257834</v>
      </c>
      <c r="BV28" s="2480">
        <f t="shared" si="72"/>
        <v>101.67962907185907</v>
      </c>
      <c r="BW28" s="2507">
        <f>BW8-BW24-BW31-BW33</f>
        <v>593915</v>
      </c>
      <c r="BX28" s="2506"/>
      <c r="BY28" s="2506">
        <f>SUM(BY29:BY30)</f>
        <v>604779.65</v>
      </c>
      <c r="BZ28" s="2506">
        <f>BZ8-BZ24-BZ31-BZ33-BZ32</f>
        <v>638322.32347413257</v>
      </c>
      <c r="CA28" s="2506">
        <f>'Phụ lục 7.2-CCTL'!M23</f>
        <v>78556</v>
      </c>
      <c r="CB28" s="2506">
        <f>CB8-CB24-CB31-CB33-CB32</f>
        <v>716878.32347413257</v>
      </c>
      <c r="CC28" s="2479">
        <f t="shared" si="84"/>
        <v>44407.323474132572</v>
      </c>
      <c r="CD28" s="2480">
        <f t="shared" si="73"/>
        <v>107.47705033113031</v>
      </c>
      <c r="CE28" s="2507">
        <f>CE8-CE24-CE31-CE33</f>
        <v>525738</v>
      </c>
      <c r="CF28" s="2506"/>
      <c r="CG28" s="2506">
        <f>SUM(CG29:CG30)</f>
        <v>516660.66666666674</v>
      </c>
      <c r="CH28" s="2844">
        <f>CH8-CH24-CH31-CH33-CH32</f>
        <v>535000.9670957122</v>
      </c>
      <c r="CI28" s="2844">
        <f>'Phụ lục 7.2-CCTL'!N23</f>
        <v>73806</v>
      </c>
      <c r="CJ28" s="2506">
        <f>CJ8-CJ24-CJ31-CJ33-CJ32</f>
        <v>608806.9670957122</v>
      </c>
      <c r="CK28" s="2479">
        <f t="shared" si="85"/>
        <v>9262.9670957121998</v>
      </c>
      <c r="CL28" s="2480">
        <f t="shared" si="86"/>
        <v>101.76189795976555</v>
      </c>
      <c r="CM28" s="2507">
        <f>CM8-CM24-CM31-CM33</f>
        <v>447788</v>
      </c>
      <c r="CN28" s="2506"/>
      <c r="CO28" s="2506">
        <f>SUM(CO29:CO30)</f>
        <v>452717.15</v>
      </c>
      <c r="CP28" s="2506">
        <f>CP8-CP24-CP31-CP33-CP32</f>
        <v>487812.28403784544</v>
      </c>
      <c r="CQ28" s="2508">
        <f>'Phụ lục 7.2-CCTL'!O23</f>
        <v>49570</v>
      </c>
      <c r="CR28" s="2506">
        <f>CR8-CR24-CR31-CR33</f>
        <v>537382.28403784544</v>
      </c>
      <c r="CS28" s="2479">
        <f>CP28-CM28</f>
        <v>40024.284037845442</v>
      </c>
      <c r="CT28" s="2480">
        <f t="shared" si="74"/>
        <v>108.93822166691503</v>
      </c>
      <c r="CU28" s="2507">
        <f>CU8-CU24-CU31-CU33</f>
        <v>483522</v>
      </c>
      <c r="CV28" s="2506"/>
      <c r="CW28" s="2506">
        <f>SUM(CW29:CW30)</f>
        <v>484044.3</v>
      </c>
      <c r="CX28" s="2506">
        <f>CX8-CX24-CX31-CX33-CX32</f>
        <v>509582.16506902024</v>
      </c>
      <c r="CY28" s="2506">
        <f>'Phụ lục 7.2-CCTL'!P23</f>
        <v>67362</v>
      </c>
      <c r="CZ28" s="2506">
        <f>CZ8-CZ24-CZ31-CZ33-CZ32</f>
        <v>576944.16506902024</v>
      </c>
      <c r="DA28" s="2479">
        <f t="shared" si="88"/>
        <v>26060.165069020237</v>
      </c>
      <c r="DB28" s="2480">
        <f t="shared" si="75"/>
        <v>105.38965446639868</v>
      </c>
    </row>
    <row r="29" spans="1:106" s="2451" customFormat="1" ht="25.95" customHeight="1">
      <c r="A29" s="2456" t="s">
        <v>137</v>
      </c>
      <c r="B29" s="2471" t="s">
        <v>393</v>
      </c>
      <c r="C29" s="2494">
        <f t="shared" ref="C29:E30" si="91">+K29+S29+AA29+AI29+AQ29+AY29+BG29+BO29+BW29+CE29+CM29+CU29</f>
        <v>3162710</v>
      </c>
      <c r="D29" s="2494">
        <f t="shared" si="91"/>
        <v>0</v>
      </c>
      <c r="E29" s="2494">
        <f t="shared" si="91"/>
        <v>3162710</v>
      </c>
      <c r="F29" s="2498">
        <f>SUM(N29,V29,AD29,AL29,AT29,BB29,BJ29,BR29,BZ29,CH29,CP29,CX29)</f>
        <v>3230877.4693283848</v>
      </c>
      <c r="G29" s="2494">
        <f t="shared" si="89"/>
        <v>610392.31385136012</v>
      </c>
      <c r="H29" s="2494">
        <f>SUM(P29,X29,AF29,AN29,AV29,BD29,BL29,BT29,CB29,CJ29,CR29,CZ29)</f>
        <v>3841269.7831797441</v>
      </c>
      <c r="I29" s="2495">
        <f>F29-C29</f>
        <v>68167.469328384846</v>
      </c>
      <c r="J29" s="2496">
        <f>F29/C29%</f>
        <v>102.15534997923885</v>
      </c>
      <c r="K29" s="2497">
        <v>263281</v>
      </c>
      <c r="L29" s="2494">
        <f>ROUND(L28*75%,-1)</f>
        <v>0</v>
      </c>
      <c r="M29" s="2494">
        <f>L29+K29</f>
        <v>263281</v>
      </c>
      <c r="N29" s="2494">
        <f>K29+N39</f>
        <v>263281.42505352676</v>
      </c>
      <c r="O29" s="2498">
        <f>'Phụ lục 7.2-CCTL'!E54</f>
        <v>55760.689832119184</v>
      </c>
      <c r="P29" s="2494">
        <f>N29+O29</f>
        <v>319042.11488564592</v>
      </c>
      <c r="Q29" s="2495">
        <f>N29-K29</f>
        <v>0.42505352676380426</v>
      </c>
      <c r="R29" s="2496">
        <f t="shared" si="65"/>
        <v>100.00016144481629</v>
      </c>
      <c r="S29" s="2540">
        <f>129396+19391</f>
        <v>148787</v>
      </c>
      <c r="T29" s="2494"/>
      <c r="U29" s="2494">
        <f>T29+S29</f>
        <v>148787</v>
      </c>
      <c r="V29" s="2494">
        <f>S29+V39</f>
        <v>148787.40845576092</v>
      </c>
      <c r="W29" s="2494">
        <f>'Phụ lục 7.2-CCTL'!F43</f>
        <v>37655</v>
      </c>
      <c r="X29" s="2494">
        <f>V29+W29</f>
        <v>186442.40845576092</v>
      </c>
      <c r="Y29" s="2495">
        <f t="shared" si="77"/>
        <v>0.408455760916695</v>
      </c>
      <c r="Z29" s="2496">
        <f t="shared" si="66"/>
        <v>100.00027452382326</v>
      </c>
      <c r="AA29" s="2497">
        <f>208620+35914</f>
        <v>244534</v>
      </c>
      <c r="AB29" s="2494">
        <f>ROUND(AB28*75%,-1)</f>
        <v>0</v>
      </c>
      <c r="AC29" s="2494">
        <f>AB29+AA29</f>
        <v>244534</v>
      </c>
      <c r="AD29" s="2494">
        <f>AA29+AD39</f>
        <v>246203.85849218653</v>
      </c>
      <c r="AE29" s="2494">
        <f>39952</f>
        <v>39952</v>
      </c>
      <c r="AF29" s="2494">
        <f>AD29+AE29</f>
        <v>286155.85849218653</v>
      </c>
      <c r="AG29" s="2495">
        <f t="shared" si="78"/>
        <v>1669.8584921865258</v>
      </c>
      <c r="AH29" s="2496">
        <f t="shared" si="67"/>
        <v>100.68287374851207</v>
      </c>
      <c r="AI29" s="2497">
        <f>190080+39700</f>
        <v>229780</v>
      </c>
      <c r="AJ29" s="2494">
        <f>ROUND(AJ28*75%,-1)</f>
        <v>0</v>
      </c>
      <c r="AK29" s="2494">
        <f>AJ29+AI29</f>
        <v>229780</v>
      </c>
      <c r="AL29" s="2494">
        <f>AI29+AL39</f>
        <v>230780.02589434356</v>
      </c>
      <c r="AM29" s="2494">
        <f>'Phụ lục 7.2-CCTL'!H54</f>
        <v>36678.173579360009</v>
      </c>
      <c r="AN29" s="2494">
        <f>AL29+AM29</f>
        <v>267458.19947370357</v>
      </c>
      <c r="AO29" s="2495">
        <f t="shared" si="79"/>
        <v>1000.025894343562</v>
      </c>
      <c r="AP29" s="2496">
        <f t="shared" si="68"/>
        <v>100.43521015508031</v>
      </c>
      <c r="AQ29" s="2497">
        <f>279054+23412</f>
        <v>302466</v>
      </c>
      <c r="AR29" s="2494">
        <f>ROUND(AR28*75%,-1)</f>
        <v>0</v>
      </c>
      <c r="AS29" s="2494">
        <f>AR29+AQ29</f>
        <v>302466</v>
      </c>
      <c r="AT29" s="2494">
        <f>AQ29+AT39</f>
        <v>302466.40219701076</v>
      </c>
      <c r="AU29" s="2494">
        <f>'Phụ lục 7.2-CCTL'!I43</f>
        <v>56062</v>
      </c>
      <c r="AV29" s="2494">
        <f>AT29+AU29</f>
        <v>358528.40219701076</v>
      </c>
      <c r="AW29" s="2495">
        <f>AT29-AQ29</f>
        <v>0.40219701075693592</v>
      </c>
      <c r="AX29" s="2496">
        <f t="shared" si="69"/>
        <v>100.0001329726352</v>
      </c>
      <c r="AY29" s="2497">
        <f>275271+21890</f>
        <v>297161</v>
      </c>
      <c r="AZ29" s="2494">
        <f>ROUND(AZ28*75%,-1)</f>
        <v>0</v>
      </c>
      <c r="BA29" s="2494">
        <f>AZ29+AY29</f>
        <v>297161</v>
      </c>
      <c r="BB29" s="2494">
        <f>AY29+BB39</f>
        <v>337161.30882561742</v>
      </c>
      <c r="BC29" s="2494">
        <f>'Phụ lục 7.2-CCTL'!J54</f>
        <v>53477.622505714906</v>
      </c>
      <c r="BD29" s="2494">
        <f>BB29+BC29</f>
        <v>390638.93133133231</v>
      </c>
      <c r="BE29" s="2495">
        <f t="shared" si="81"/>
        <v>40000.308825617423</v>
      </c>
      <c r="BF29" s="2496">
        <f t="shared" si="70"/>
        <v>113.46082050659993</v>
      </c>
      <c r="BG29" s="2497">
        <f>324148+39659</f>
        <v>363807</v>
      </c>
      <c r="BH29" s="2494">
        <f>ROUND(BH28*75%,-1)</f>
        <v>0</v>
      </c>
      <c r="BI29" s="2494">
        <f>BH29+BG29</f>
        <v>363807</v>
      </c>
      <c r="BJ29" s="2494">
        <f>BG29+BJ39</f>
        <v>371196.67356542527</v>
      </c>
      <c r="BK29" s="2494">
        <f>'Phụ lục 7.2-CCTL'!K54</f>
        <v>74846.980648778554</v>
      </c>
      <c r="BL29" s="2494">
        <f>BJ29+BK29</f>
        <v>446043.65421420382</v>
      </c>
      <c r="BM29" s="2495">
        <f t="shared" si="82"/>
        <v>7389.6735654252698</v>
      </c>
      <c r="BN29" s="2496">
        <f t="shared" si="71"/>
        <v>102.03120708656657</v>
      </c>
      <c r="BO29" s="2497">
        <f>289708+25084</f>
        <v>314792</v>
      </c>
      <c r="BP29" s="2494">
        <f>ROUND(BP28*75%,-1)</f>
        <v>0</v>
      </c>
      <c r="BQ29" s="2494">
        <f>BP29+BO29</f>
        <v>314792</v>
      </c>
      <c r="BR29" s="2494">
        <f>BO29+BR39</f>
        <v>317861.80017370806</v>
      </c>
      <c r="BS29" s="2494">
        <f>'Phụ lục 7.2-CCTL'!L54</f>
        <v>54880.425503227416</v>
      </c>
      <c r="BT29" s="2494">
        <f>BR29+BS29</f>
        <v>372742.22567693546</v>
      </c>
      <c r="BU29" s="2495">
        <f t="shared" si="83"/>
        <v>3069.8001737080631</v>
      </c>
      <c r="BV29" s="2496">
        <f t="shared" si="72"/>
        <v>100.97518366848841</v>
      </c>
      <c r="BW29" s="2497">
        <f>286861+16996</f>
        <v>303857</v>
      </c>
      <c r="BX29" s="2494">
        <f>ROUND(BX28*20%,-1)</f>
        <v>0</v>
      </c>
      <c r="BY29" s="2494">
        <f>BX29+BW29</f>
        <v>303857</v>
      </c>
      <c r="BZ29" s="2494">
        <f>BW29+BZ39</f>
        <v>303856.59034785029</v>
      </c>
      <c r="CA29" s="2494">
        <f>62815</f>
        <v>62815</v>
      </c>
      <c r="CB29" s="2494">
        <f>BZ29+CA29</f>
        <v>366671.59034785029</v>
      </c>
      <c r="CC29" s="2495">
        <f t="shared" si="84"/>
        <v>-0.40965214971220121</v>
      </c>
      <c r="CD29" s="2496">
        <f t="shared" si="73"/>
        <v>99.999865182585978</v>
      </c>
      <c r="CE29" s="2497">
        <f>249845+25341</f>
        <v>275186</v>
      </c>
      <c r="CF29" s="2494">
        <f>ROUND(CF28*75%,-1)</f>
        <v>0</v>
      </c>
      <c r="CG29" s="2494">
        <f>CF29+CE29</f>
        <v>275186</v>
      </c>
      <c r="CH29" s="2494">
        <f>CE29+CH39</f>
        <v>275186.08302760811</v>
      </c>
      <c r="CI29" s="2494">
        <f>'Phụ lục 7.2-CCTL'!N54</f>
        <v>56520.421782160025</v>
      </c>
      <c r="CJ29" s="2494">
        <f>CH29+CI29</f>
        <v>331706.50480976811</v>
      </c>
      <c r="CK29" s="2495">
        <f t="shared" si="85"/>
        <v>8.3027608110569417E-2</v>
      </c>
      <c r="CL29" s="2496">
        <f t="shared" si="86"/>
        <v>100.00003017145062</v>
      </c>
      <c r="CM29" s="2497">
        <f>181007+885</f>
        <v>181892</v>
      </c>
      <c r="CN29" s="2494"/>
      <c r="CO29" s="2494">
        <f>CN29+CM29</f>
        <v>181892</v>
      </c>
      <c r="CP29" s="2498">
        <f>CM29+CP39</f>
        <v>191220.73186322945</v>
      </c>
      <c r="CQ29" s="2498">
        <v>30615</v>
      </c>
      <c r="CR29" s="2494">
        <f>CP29+CQ29</f>
        <v>221835.73186322945</v>
      </c>
      <c r="CS29" s="2495">
        <f t="shared" si="87"/>
        <v>9328.7318632294482</v>
      </c>
      <c r="CT29" s="2496">
        <f t="shared" si="74"/>
        <v>105.12872026434887</v>
      </c>
      <c r="CU29" s="2497">
        <f>212610+24557</f>
        <v>237167</v>
      </c>
      <c r="CV29" s="2494">
        <f>ROUND(CV28*75%,-1)</f>
        <v>0</v>
      </c>
      <c r="CW29" s="2494">
        <f>CV29+CU29</f>
        <v>237167</v>
      </c>
      <c r="CX29" s="2498">
        <f>CU29+CX39</f>
        <v>242875.16143211749</v>
      </c>
      <c r="CY29" s="2494">
        <f>'Phụ lục 7.2-CCTL'!P43</f>
        <v>51129</v>
      </c>
      <c r="CZ29" s="2494">
        <f>CX29+CY29</f>
        <v>294004.16143211746</v>
      </c>
      <c r="DA29" s="2495">
        <f>CX29-CU29</f>
        <v>5708.1614321174857</v>
      </c>
      <c r="DB29" s="2496">
        <f>CX29/CU29%</f>
        <v>102.4068109948338</v>
      </c>
    </row>
    <row r="30" spans="1:106" s="2451" customFormat="1" ht="25.95" customHeight="1">
      <c r="A30" s="2456" t="s">
        <v>137</v>
      </c>
      <c r="B30" s="2471" t="s">
        <v>301</v>
      </c>
      <c r="C30" s="2494">
        <f t="shared" si="91"/>
        <v>3023120</v>
      </c>
      <c r="D30" s="2494"/>
      <c r="E30" s="2494">
        <f t="shared" si="91"/>
        <v>3092297.7666666661</v>
      </c>
      <c r="F30" s="2494">
        <f t="shared" si="89"/>
        <v>3309621.925382697</v>
      </c>
      <c r="G30" s="2494">
        <f t="shared" si="89"/>
        <v>219646.68614863988</v>
      </c>
      <c r="H30" s="2494">
        <f t="shared" si="89"/>
        <v>3529268.6115313373</v>
      </c>
      <c r="I30" s="2495">
        <f>F30-C30</f>
        <v>286501.92538269702</v>
      </c>
      <c r="J30" s="2496">
        <f t="shared" si="64"/>
        <v>109.47702788452648</v>
      </c>
      <c r="K30" s="2497">
        <f>K28-K29</f>
        <v>198723</v>
      </c>
      <c r="L30" s="2494"/>
      <c r="M30" s="2494">
        <f>M8-M24-M29-M31-M33</f>
        <v>199095</v>
      </c>
      <c r="N30" s="2494">
        <f>N28-N29</f>
        <v>202154.38655623468</v>
      </c>
      <c r="O30" s="2498">
        <f>O28-O29</f>
        <v>14368.310167880816</v>
      </c>
      <c r="P30" s="2494">
        <f>P28-P29</f>
        <v>216522.69672411552</v>
      </c>
      <c r="Q30" s="2495">
        <f>N30-K30</f>
        <v>3431.3865562346764</v>
      </c>
      <c r="R30" s="2496">
        <f t="shared" si="65"/>
        <v>101.72671837494134</v>
      </c>
      <c r="S30" s="2540">
        <f>S28-S29</f>
        <v>161743</v>
      </c>
      <c r="T30" s="2494"/>
      <c r="U30" s="2494">
        <f>U8-U24-U29-U31-U33</f>
        <v>154082.5</v>
      </c>
      <c r="V30" s="2494">
        <f>V28-V29</f>
        <v>168398.13663062052</v>
      </c>
      <c r="W30" s="2494">
        <f>W28-W29</f>
        <v>10845</v>
      </c>
      <c r="X30" s="2494">
        <f>X28-X29</f>
        <v>179243.13663062052</v>
      </c>
      <c r="Y30" s="2495">
        <f>V30-S30</f>
        <v>6655.1366306205164</v>
      </c>
      <c r="Z30" s="2496">
        <f t="shared" si="66"/>
        <v>104.11463657198179</v>
      </c>
      <c r="AA30" s="2497">
        <f>AA28-AA29</f>
        <v>190273</v>
      </c>
      <c r="AB30" s="2494"/>
      <c r="AC30" s="2494">
        <f>AC8-AC24-AC29-AC31-AC33</f>
        <v>194308.3</v>
      </c>
      <c r="AD30" s="2494">
        <f>AD28-AD29</f>
        <v>201285.22539156035</v>
      </c>
      <c r="AE30" s="2494">
        <f>AE28-AE29</f>
        <v>16808</v>
      </c>
      <c r="AF30" s="2494">
        <f>AF28-AF29</f>
        <v>218093.22539156035</v>
      </c>
      <c r="AG30" s="2495">
        <f>AD30-AA30</f>
        <v>11012.225391560351</v>
      </c>
      <c r="AH30" s="2496">
        <f t="shared" si="67"/>
        <v>105.78759224459611</v>
      </c>
      <c r="AI30" s="2497">
        <f>AI28-AI29</f>
        <v>242591</v>
      </c>
      <c r="AJ30" s="2494"/>
      <c r="AK30" s="2494">
        <f>AK8-AK24-AK29-AK31-AK33</f>
        <v>243407.3</v>
      </c>
      <c r="AL30" s="2494">
        <f>AL28-AL29</f>
        <v>246009.94644240016</v>
      </c>
      <c r="AM30" s="2494">
        <f>AM28-AM29</f>
        <v>20560.826420639991</v>
      </c>
      <c r="AN30" s="2494">
        <f>AN28-AN29</f>
        <v>266570.77286304015</v>
      </c>
      <c r="AO30" s="2495">
        <f>AL30-AI30</f>
        <v>3418.9464424001635</v>
      </c>
      <c r="AP30" s="2496">
        <f t="shared" si="68"/>
        <v>101.40934595364222</v>
      </c>
      <c r="AQ30" s="2497">
        <f>AQ28-AQ29</f>
        <v>237875</v>
      </c>
      <c r="AR30" s="2494"/>
      <c r="AS30" s="2494">
        <f>AS8-AS24-AS29-AS31-AS33</f>
        <v>259956.99999999997</v>
      </c>
      <c r="AT30" s="2494">
        <f>AT28-AT29</f>
        <v>267364.99412709504</v>
      </c>
      <c r="AU30" s="2494">
        <f>AU28-AU29</f>
        <v>19509</v>
      </c>
      <c r="AV30" s="2494">
        <f>AV28-AV29</f>
        <v>286873.99412709504</v>
      </c>
      <c r="AW30" s="2495">
        <f>AT30-AQ30</f>
        <v>29489.994127095037</v>
      </c>
      <c r="AX30" s="2496">
        <f t="shared" si="69"/>
        <v>112.39726500350817</v>
      </c>
      <c r="AY30" s="2497">
        <f>AY28-AY29</f>
        <v>313194</v>
      </c>
      <c r="AZ30" s="2494"/>
      <c r="BA30" s="2494">
        <f>BA8-BA24-BA29-BA31-BA33</f>
        <v>350337.3</v>
      </c>
      <c r="BB30" s="2494">
        <f>BB28-BB29</f>
        <v>406336.33259590063</v>
      </c>
      <c r="BC30" s="2494">
        <f>BC28-BC29</f>
        <v>27456.377494285094</v>
      </c>
      <c r="BD30" s="2494">
        <f>BD28-BD29</f>
        <v>433792.71009018575</v>
      </c>
      <c r="BE30" s="2495">
        <f>BB30-AY30</f>
        <v>93142.332595900632</v>
      </c>
      <c r="BF30" s="2496">
        <f t="shared" si="70"/>
        <v>129.73950094698515</v>
      </c>
      <c r="BG30" s="2497">
        <f>BG28-BG29</f>
        <v>345465</v>
      </c>
      <c r="BH30" s="2494"/>
      <c r="BI30" s="2494">
        <f>BI8-BI24-BI29-BI31-BI33</f>
        <v>351533.1</v>
      </c>
      <c r="BJ30" s="2494">
        <f>BJ28-BJ29</f>
        <v>373171.59692276298</v>
      </c>
      <c r="BK30" s="2494">
        <f>BK28-BK29</f>
        <v>22125.019351221446</v>
      </c>
      <c r="BL30" s="2494">
        <f>BL28-BL29</f>
        <v>395296.61627398443</v>
      </c>
      <c r="BM30" s="2495">
        <f>BJ30-BG30</f>
        <v>27706.596922762983</v>
      </c>
      <c r="BN30" s="2496">
        <f t="shared" si="71"/>
        <v>108.02008797497952</v>
      </c>
      <c r="BO30" s="2497">
        <f>BO28-BO29</f>
        <v>280395</v>
      </c>
      <c r="BP30" s="2494"/>
      <c r="BQ30" s="2494">
        <f>BQ8-BQ24-BQ29-BQ31-BQ33</f>
        <v>279477.5</v>
      </c>
      <c r="BR30" s="2494">
        <f>BR28-BR29</f>
        <v>287322.13371021772</v>
      </c>
      <c r="BS30" s="2494">
        <f>BS28-BS29</f>
        <v>19759.574496772584</v>
      </c>
      <c r="BT30" s="2494">
        <f>BT28-BT29</f>
        <v>307081.70820699033</v>
      </c>
      <c r="BU30" s="2495">
        <f>BR30-BO30</f>
        <v>6927.1337102177204</v>
      </c>
      <c r="BV30" s="2496">
        <f t="shared" si="72"/>
        <v>102.47049116789448</v>
      </c>
      <c r="BW30" s="2497">
        <f>BW28-BW29</f>
        <v>290058</v>
      </c>
      <c r="BX30" s="2494"/>
      <c r="BY30" s="2494">
        <f>BY8-BY24-BY29-BY31-BY33</f>
        <v>300922.65000000002</v>
      </c>
      <c r="BZ30" s="2494">
        <f>BZ28-BZ29</f>
        <v>334465.73312628228</v>
      </c>
      <c r="CA30" s="2494">
        <f>CA28-CA29</f>
        <v>15741</v>
      </c>
      <c r="CB30" s="2494">
        <f>CB28-CB29</f>
        <v>350206.73312628228</v>
      </c>
      <c r="CC30" s="2495">
        <f>BZ30-BW30</f>
        <v>44407.733126282285</v>
      </c>
      <c r="CD30" s="2496">
        <f t="shared" si="73"/>
        <v>115.30994943296938</v>
      </c>
      <c r="CE30" s="2497">
        <f>CE28-CE29</f>
        <v>250552</v>
      </c>
      <c r="CF30" s="2494"/>
      <c r="CG30" s="2494">
        <f>CG8-CG24-CG29-CG31-CG33</f>
        <v>241474.66666666674</v>
      </c>
      <c r="CH30" s="2494">
        <f>CH28-CH29</f>
        <v>259814.88406810409</v>
      </c>
      <c r="CI30" s="2494">
        <f>CI28-CI29</f>
        <v>17285.578217839975</v>
      </c>
      <c r="CJ30" s="2494">
        <f>CJ28-CJ29</f>
        <v>277100.46228594409</v>
      </c>
      <c r="CK30" s="2495">
        <f>CH30-CE30</f>
        <v>9262.8840681040892</v>
      </c>
      <c r="CL30" s="2496">
        <f>CH30/CE30%</f>
        <v>103.69699067183822</v>
      </c>
      <c r="CM30" s="2497">
        <f>CM28-CM29</f>
        <v>265896</v>
      </c>
      <c r="CN30" s="2494"/>
      <c r="CO30" s="2494">
        <f>CO8-CO24-CO29-CO31-CO33</f>
        <v>270825.15000000002</v>
      </c>
      <c r="CP30" s="2494">
        <f>CP28-CP29</f>
        <v>296591.55217461602</v>
      </c>
      <c r="CQ30" s="2498">
        <f>CQ28-CQ29</f>
        <v>18955</v>
      </c>
      <c r="CR30" s="2494">
        <f>CR28-CR29</f>
        <v>315546.55217461602</v>
      </c>
      <c r="CS30" s="2495">
        <f>CP30-CM30</f>
        <v>30695.552174616023</v>
      </c>
      <c r="CT30" s="2496">
        <f t="shared" si="74"/>
        <v>111.54419478841955</v>
      </c>
      <c r="CU30" s="2497">
        <f>CU28-CU29</f>
        <v>246355</v>
      </c>
      <c r="CV30" s="2494"/>
      <c r="CW30" s="2494">
        <f>CW8-CW24-CW29-CW31-CW33</f>
        <v>246877.3</v>
      </c>
      <c r="CX30" s="2494">
        <f>CX28-CX29</f>
        <v>266707.00363690278</v>
      </c>
      <c r="CY30" s="2494">
        <f>CY28-CY29</f>
        <v>16233</v>
      </c>
      <c r="CZ30" s="2494">
        <f>CZ28-CZ29</f>
        <v>282940.00363690278</v>
      </c>
      <c r="DA30" s="2495">
        <f>CX30-CU30</f>
        <v>20352.00363690278</v>
      </c>
      <c r="DB30" s="2496">
        <f t="shared" si="75"/>
        <v>108.26125048685951</v>
      </c>
    </row>
    <row r="31" spans="1:106" s="2464" customFormat="1" ht="25.95" customHeight="1">
      <c r="A31" s="2462">
        <v>3</v>
      </c>
      <c r="B31" s="2465" t="s">
        <v>87</v>
      </c>
      <c r="C31" s="2506">
        <f>+K31+S31+AA31+AI31+AQ31+AY31+BG31+BO31+BW31+CE31+CM31+CU31</f>
        <v>139241</v>
      </c>
      <c r="D31" s="2506"/>
      <c r="E31" s="2506">
        <f>+M31+U31+AC31+AK31+AS31+BA31+BI31+BQ31+BY31+CG31+CO31+CW31</f>
        <v>139241</v>
      </c>
      <c r="F31" s="2508">
        <f t="shared" si="89"/>
        <v>175604.54431904212</v>
      </c>
      <c r="G31" s="2506">
        <f t="shared" si="89"/>
        <v>0</v>
      </c>
      <c r="H31" s="2506">
        <f t="shared" si="89"/>
        <v>175604.54431904212</v>
      </c>
      <c r="I31" s="2479">
        <f t="shared" si="90"/>
        <v>36363.544319042121</v>
      </c>
      <c r="J31" s="2480">
        <f t="shared" si="64"/>
        <v>126.11554378311138</v>
      </c>
      <c r="K31" s="2507">
        <f>7978+2235</f>
        <v>10213</v>
      </c>
      <c r="L31" s="2506"/>
      <c r="M31" s="2506">
        <f>K31</f>
        <v>10213</v>
      </c>
      <c r="N31" s="2506">
        <f>K31+N41</f>
        <v>10437.59385626638</v>
      </c>
      <c r="O31" s="2506"/>
      <c r="P31" s="2506">
        <f>N31</f>
        <v>10437.59385626638</v>
      </c>
      <c r="Q31" s="2479">
        <f>N31-K31</f>
        <v>224.59385626637959</v>
      </c>
      <c r="R31" s="2480">
        <f t="shared" si="65"/>
        <v>102.19909777995085</v>
      </c>
      <c r="S31" s="2542">
        <f>5409+4226</f>
        <v>9635</v>
      </c>
      <c r="T31" s="2506"/>
      <c r="U31" s="2506">
        <f>S31</f>
        <v>9635</v>
      </c>
      <c r="V31" s="2506">
        <f>S31+V41</f>
        <v>11499.215573075984</v>
      </c>
      <c r="W31" s="2506"/>
      <c r="X31" s="2506">
        <f>V31</f>
        <v>11499.215573075984</v>
      </c>
      <c r="Y31" s="2479">
        <f>V31-S31</f>
        <v>1864.2155730759841</v>
      </c>
      <c r="Z31" s="2480">
        <f t="shared" si="66"/>
        <v>119.34837128257379</v>
      </c>
      <c r="AA31" s="2507">
        <f>6796+1954</f>
        <v>8750</v>
      </c>
      <c r="AB31" s="2506"/>
      <c r="AC31" s="2506">
        <f>AA31</f>
        <v>8750</v>
      </c>
      <c r="AD31" s="2506">
        <f>AA31+AD41</f>
        <v>10537.223837203137</v>
      </c>
      <c r="AE31" s="2506"/>
      <c r="AF31" s="2506">
        <f>AD31</f>
        <v>10537.223837203137</v>
      </c>
      <c r="AG31" s="2479">
        <f>AD31-AA31</f>
        <v>1787.223837203137</v>
      </c>
      <c r="AH31" s="2480">
        <f t="shared" si="67"/>
        <v>120.42541528232157</v>
      </c>
      <c r="AI31" s="2507">
        <f>6290+3111</f>
        <v>9401</v>
      </c>
      <c r="AJ31" s="2506"/>
      <c r="AK31" s="2506">
        <f>AI31</f>
        <v>9401</v>
      </c>
      <c r="AL31" s="2506">
        <f>AI31+AL41</f>
        <v>11588.977980819584</v>
      </c>
      <c r="AM31" s="2506"/>
      <c r="AN31" s="2506">
        <f>AL31</f>
        <v>11588.977980819584</v>
      </c>
      <c r="AO31" s="2479">
        <f>AL31-AI31</f>
        <v>2187.9779808195835</v>
      </c>
      <c r="AP31" s="2480">
        <f t="shared" si="68"/>
        <v>123.27388555280909</v>
      </c>
      <c r="AQ31" s="2507">
        <f>9409+1959</f>
        <v>11368</v>
      </c>
      <c r="AR31" s="2506"/>
      <c r="AS31" s="2506">
        <f>AQ31</f>
        <v>11368</v>
      </c>
      <c r="AT31" s="2506">
        <f>AQ31+AT41</f>
        <v>15019.092791175266</v>
      </c>
      <c r="AU31" s="2506"/>
      <c r="AV31" s="2506">
        <f>AT31</f>
        <v>15019.092791175266</v>
      </c>
      <c r="AW31" s="2479">
        <f>AT31-AQ31</f>
        <v>3651.092791175266</v>
      </c>
      <c r="AX31" s="2480">
        <f t="shared" si="69"/>
        <v>132.11728352546857</v>
      </c>
      <c r="AY31" s="2507">
        <f>18928-2729</f>
        <v>16199</v>
      </c>
      <c r="AZ31" s="2506"/>
      <c r="BA31" s="2506">
        <f>AY31</f>
        <v>16199</v>
      </c>
      <c r="BB31" s="2506">
        <f>AY31+BB41</f>
        <v>24840.315989198371</v>
      </c>
      <c r="BC31" s="2506"/>
      <c r="BD31" s="2506">
        <f>BB31</f>
        <v>24840.315989198371</v>
      </c>
      <c r="BE31" s="2479">
        <f>BB31-AY31</f>
        <v>8641.3159891983705</v>
      </c>
      <c r="BF31" s="2480">
        <f t="shared" si="70"/>
        <v>153.34474960922506</v>
      </c>
      <c r="BG31" s="2507">
        <f>10837+3473</f>
        <v>14310</v>
      </c>
      <c r="BH31" s="2506"/>
      <c r="BI31" s="2506">
        <f>BG31</f>
        <v>14310</v>
      </c>
      <c r="BJ31" s="2506">
        <f>BG31+BJ41</f>
        <v>18324.891001880766</v>
      </c>
      <c r="BK31" s="2506"/>
      <c r="BL31" s="2506">
        <f>BJ31</f>
        <v>18324.891001880766</v>
      </c>
      <c r="BM31" s="2479">
        <f>BJ31-BG31</f>
        <v>4014.8910018807655</v>
      </c>
      <c r="BN31" s="2480">
        <f t="shared" si="71"/>
        <v>128.05654089364617</v>
      </c>
      <c r="BO31" s="2507">
        <f>9402+3171</f>
        <v>12573</v>
      </c>
      <c r="BP31" s="2506"/>
      <c r="BQ31" s="2506">
        <f>BO31</f>
        <v>12573</v>
      </c>
      <c r="BR31" s="2506">
        <f>BO31+BR41</f>
        <v>15331.331169737576</v>
      </c>
      <c r="BS31" s="2506"/>
      <c r="BT31" s="2506">
        <f>BR31</f>
        <v>15331.331169737576</v>
      </c>
      <c r="BU31" s="2479">
        <f>BR31-BO31</f>
        <v>2758.3311697375757</v>
      </c>
      <c r="BV31" s="2480">
        <f t="shared" si="72"/>
        <v>121.93852835232303</v>
      </c>
      <c r="BW31" s="2507">
        <f>10953+1621</f>
        <v>12574</v>
      </c>
      <c r="BX31" s="2506"/>
      <c r="BY31" s="2506">
        <f>BW31</f>
        <v>12574</v>
      </c>
      <c r="BZ31" s="2506">
        <f>BW31+BZ41</f>
        <v>16254.273125298643</v>
      </c>
      <c r="CA31" s="2506"/>
      <c r="CB31" s="2506">
        <f>BZ31</f>
        <v>16254.273125298643</v>
      </c>
      <c r="CC31" s="2479">
        <f>BZ31-BW31</f>
        <v>3680.2731252986432</v>
      </c>
      <c r="CD31" s="2480">
        <f t="shared" si="73"/>
        <v>129.26891303720888</v>
      </c>
      <c r="CE31" s="2507">
        <f>8095+2941</f>
        <v>11036</v>
      </c>
      <c r="CF31" s="2506"/>
      <c r="CG31" s="2506">
        <f>CE31</f>
        <v>11036</v>
      </c>
      <c r="CH31" s="2508">
        <f>CE31+CH41</f>
        <v>11451.024086591191</v>
      </c>
      <c r="CI31" s="2506"/>
      <c r="CJ31" s="2506">
        <f>CH31</f>
        <v>11451.024086591191</v>
      </c>
      <c r="CK31" s="2479">
        <f>CH31-CE31</f>
        <v>415.02408659119101</v>
      </c>
      <c r="CL31" s="2480">
        <f>CH31/CE31%</f>
        <v>103.76063869691184</v>
      </c>
      <c r="CM31" s="2507">
        <f>11186+1410</f>
        <v>12596</v>
      </c>
      <c r="CN31" s="2506"/>
      <c r="CO31" s="2506">
        <f>CM31</f>
        <v>12596</v>
      </c>
      <c r="CP31" s="2508">
        <f>CM31+CP41</f>
        <v>16517.275562142579</v>
      </c>
      <c r="CQ31" s="2506"/>
      <c r="CR31" s="2506">
        <f>CP31</f>
        <v>16517.275562142579</v>
      </c>
      <c r="CS31" s="2479">
        <f>CP31-CM31</f>
        <v>3921.2755621425786</v>
      </c>
      <c r="CT31" s="2480">
        <f t="shared" si="74"/>
        <v>131.1311175146283</v>
      </c>
      <c r="CU31" s="2507">
        <f>7639+2947</f>
        <v>10586</v>
      </c>
      <c r="CV31" s="2506"/>
      <c r="CW31" s="2506">
        <f>CU31</f>
        <v>10586</v>
      </c>
      <c r="CX31" s="2508">
        <f>CU31+CX41</f>
        <v>13803.329345652623</v>
      </c>
      <c r="CY31" s="2506"/>
      <c r="CZ31" s="2506">
        <f>CX31</f>
        <v>13803.329345652623</v>
      </c>
      <c r="DA31" s="2479">
        <f>CX31-CU31</f>
        <v>3217.3293456526226</v>
      </c>
      <c r="DB31" s="2480">
        <f t="shared" si="75"/>
        <v>130.39230441765184</v>
      </c>
    </row>
    <row r="32" spans="1:106" s="2464" customFormat="1" ht="25.95" customHeight="1">
      <c r="A32" s="2830">
        <v>4</v>
      </c>
      <c r="B32" s="2831" t="s">
        <v>2592</v>
      </c>
      <c r="C32" s="2832"/>
      <c r="D32" s="2832"/>
      <c r="E32" s="2832"/>
      <c r="F32" s="2506">
        <f t="shared" si="89"/>
        <v>0</v>
      </c>
      <c r="G32" s="2832"/>
      <c r="H32" s="2832">
        <f>F32</f>
        <v>0</v>
      </c>
      <c r="I32" s="2834"/>
      <c r="J32" s="2835"/>
      <c r="K32" s="2836"/>
      <c r="L32" s="2832"/>
      <c r="M32" s="2832"/>
      <c r="N32" s="2832"/>
      <c r="O32" s="2832"/>
      <c r="P32" s="2832"/>
      <c r="Q32" s="2834"/>
      <c r="R32" s="2835"/>
      <c r="S32" s="2837"/>
      <c r="T32" s="2832"/>
      <c r="U32" s="2832"/>
      <c r="V32" s="2832"/>
      <c r="W32" s="2832"/>
      <c r="X32" s="2832">
        <f>V32</f>
        <v>0</v>
      </c>
      <c r="Y32" s="2834"/>
      <c r="Z32" s="2835"/>
      <c r="AA32" s="2836"/>
      <c r="AB32" s="2832"/>
      <c r="AC32" s="2832"/>
      <c r="AD32" s="2832"/>
      <c r="AE32" s="2832"/>
      <c r="AF32" s="2832">
        <f>AD32</f>
        <v>0</v>
      </c>
      <c r="AG32" s="2834"/>
      <c r="AH32" s="2835"/>
      <c r="AI32" s="2836"/>
      <c r="AJ32" s="2832"/>
      <c r="AK32" s="2832"/>
      <c r="AL32" s="2832"/>
      <c r="AM32" s="2832"/>
      <c r="AN32" s="2832">
        <f>AL32</f>
        <v>0</v>
      </c>
      <c r="AO32" s="2834"/>
      <c r="AP32" s="2835"/>
      <c r="AQ32" s="2836"/>
      <c r="AR32" s="2832"/>
      <c r="AS32" s="2832"/>
      <c r="AT32" s="2832"/>
      <c r="AU32" s="2832"/>
      <c r="AV32" s="2832">
        <f>AT32</f>
        <v>0</v>
      </c>
      <c r="AW32" s="2834"/>
      <c r="AX32" s="2835"/>
      <c r="AY32" s="2836"/>
      <c r="AZ32" s="2832"/>
      <c r="BA32" s="2832"/>
      <c r="BB32" s="2832"/>
      <c r="BC32" s="2832"/>
      <c r="BD32" s="2832"/>
      <c r="BE32" s="2834"/>
      <c r="BF32" s="2835"/>
      <c r="BG32" s="2836"/>
      <c r="BH32" s="2832"/>
      <c r="BI32" s="2832"/>
      <c r="BJ32" s="2832"/>
      <c r="BK32" s="2832"/>
      <c r="BL32" s="2832">
        <f>BJ32</f>
        <v>0</v>
      </c>
      <c r="BM32" s="2834"/>
      <c r="BN32" s="2835"/>
      <c r="BO32" s="2836"/>
      <c r="BP32" s="2832"/>
      <c r="BQ32" s="2832"/>
      <c r="BR32" s="2832"/>
      <c r="BS32" s="2832"/>
      <c r="BT32" s="2832"/>
      <c r="BU32" s="2834"/>
      <c r="BV32" s="2835"/>
      <c r="BW32" s="2836"/>
      <c r="BX32" s="2832"/>
      <c r="BY32" s="2832"/>
      <c r="BZ32" s="2832"/>
      <c r="CA32" s="2832"/>
      <c r="CB32" s="2832"/>
      <c r="CC32" s="2834"/>
      <c r="CD32" s="2835"/>
      <c r="CE32" s="2836"/>
      <c r="CF32" s="2832"/>
      <c r="CG32" s="2832"/>
      <c r="CH32" s="2833"/>
      <c r="CI32" s="2832"/>
      <c r="CJ32" s="2832"/>
      <c r="CK32" s="2834"/>
      <c r="CL32" s="2835"/>
      <c r="CM32" s="2836"/>
      <c r="CN32" s="2832"/>
      <c r="CO32" s="2832"/>
      <c r="CP32" s="2833"/>
      <c r="CQ32" s="2832"/>
      <c r="CR32" s="2832"/>
      <c r="CS32" s="2834"/>
      <c r="CT32" s="2835"/>
      <c r="CU32" s="2836"/>
      <c r="CV32" s="2832"/>
      <c r="CW32" s="2832"/>
      <c r="CX32" s="2833"/>
      <c r="CY32" s="2832"/>
      <c r="CZ32" s="2832"/>
      <c r="DA32" s="2834"/>
      <c r="DB32" s="2835"/>
    </row>
    <row r="33" spans="1:106" s="2464" customFormat="1" ht="25.95" customHeight="1" thickBot="1">
      <c r="A33" s="2472">
        <v>5</v>
      </c>
      <c r="B33" s="2473" t="s">
        <v>143</v>
      </c>
      <c r="C33" s="2509">
        <f>+K33+S33+AA33+AI33+AQ33+AY33+BG33+BO33+BW33+CE33+CM33+CU33</f>
        <v>0</v>
      </c>
      <c r="D33" s="2509"/>
      <c r="E33" s="2509">
        <f>+M33+U33+AC33+AK33+AS33+BA33+BI33+BQ33+BY33+CG33+CO33+CW33</f>
        <v>202610.56666666668</v>
      </c>
      <c r="F33" s="2509">
        <f t="shared" si="89"/>
        <v>1468299</v>
      </c>
      <c r="G33" s="2509">
        <f t="shared" si="89"/>
        <v>0</v>
      </c>
      <c r="H33" s="2509">
        <f t="shared" si="89"/>
        <v>638260</v>
      </c>
      <c r="I33" s="2510">
        <f t="shared" si="90"/>
        <v>1468299</v>
      </c>
      <c r="J33" s="2511"/>
      <c r="K33" s="2512">
        <v>0</v>
      </c>
      <c r="L33" s="2509"/>
      <c r="M33" s="2513">
        <f>'Phụ lục số 5.1 Thu'!T43</f>
        <v>868</v>
      </c>
      <c r="N33" s="2513">
        <f>N21+N36+N15</f>
        <v>70129</v>
      </c>
      <c r="O33" s="2509"/>
      <c r="P33" s="2846">
        <f>IF('Phụ lục 7.2-CCTL'!E31&lt;0,0,'Phụ lục 7.2-CCTL'!E31)</f>
        <v>0</v>
      </c>
      <c r="Q33" s="2510">
        <f>N33-K33</f>
        <v>70129</v>
      </c>
      <c r="R33" s="2511"/>
      <c r="S33" s="2543">
        <v>0</v>
      </c>
      <c r="T33" s="2509"/>
      <c r="U33" s="2513">
        <f>'Phụ lục số 5.1 Thu'!AF43</f>
        <v>0</v>
      </c>
      <c r="V33" s="2513">
        <f>V21+V36+V15</f>
        <v>48500</v>
      </c>
      <c r="W33" s="2509"/>
      <c r="X33" s="2509">
        <f>IF('Phụ lục 7.2-CCTL'!F31&lt;0,0,'Phụ lục 7.2-CCTL'!F31)</f>
        <v>0</v>
      </c>
      <c r="Y33" s="2510">
        <f>V33-S33</f>
        <v>48500</v>
      </c>
      <c r="Z33" s="2511"/>
      <c r="AA33" s="2512">
        <v>0</v>
      </c>
      <c r="AB33" s="2509"/>
      <c r="AC33" s="2509">
        <f>'Phụ lục số 5.1 Thu'!AR43</f>
        <v>9415.6999999999989</v>
      </c>
      <c r="AD33" s="2513">
        <f>AD21+AD36+AD15</f>
        <v>56760</v>
      </c>
      <c r="AE33" s="2509"/>
      <c r="AF33" s="2509">
        <f>IF('Phụ lục 7.2-CCTL'!G31&lt;0,0,'Phụ lục 7.2-CCTL'!G31)</f>
        <v>0</v>
      </c>
      <c r="AG33" s="2510">
        <f>AD33-AA33</f>
        <v>56760</v>
      </c>
      <c r="AH33" s="2511"/>
      <c r="AI33" s="2512">
        <v>0</v>
      </c>
      <c r="AJ33" s="2509"/>
      <c r="AK33" s="2509">
        <f>'Phụ lục số 5.1 Thu'!BD43</f>
        <v>1904.6999999999998</v>
      </c>
      <c r="AL33" s="2845">
        <f>AL21+AL36+AL15</f>
        <v>57239</v>
      </c>
      <c r="AM33" s="2509"/>
      <c r="AN33" s="2509">
        <f>IF('Phụ lục 7.2-CCTL'!H31&lt;0,0,'Phụ lục 7.2-CCTL'!H31)</f>
        <v>0</v>
      </c>
      <c r="AO33" s="2510">
        <f>AL33-AI33</f>
        <v>57239</v>
      </c>
      <c r="AP33" s="2511"/>
      <c r="AQ33" s="2512">
        <v>0</v>
      </c>
      <c r="AR33" s="2509"/>
      <c r="AS33" s="2509">
        <f>'Phụ lục số 5.1 Thu'!BP43</f>
        <v>51524.666666666657</v>
      </c>
      <c r="AT33" s="2513">
        <f>AT21+AT36+AT15</f>
        <v>75571</v>
      </c>
      <c r="AU33" s="2509"/>
      <c r="AV33" s="2509">
        <f>IF('Phụ lục 7.2-CCTL'!I31&lt;0,0,'Phụ lục 7.2-CCTL'!I31)</f>
        <v>0</v>
      </c>
      <c r="AW33" s="2510">
        <f>AT33-AQ33</f>
        <v>75571</v>
      </c>
      <c r="AX33" s="2511"/>
      <c r="AY33" s="2512">
        <f>479098-479098</f>
        <v>0</v>
      </c>
      <c r="AZ33" s="2509"/>
      <c r="BA33" s="2509">
        <f>'Phụ lục số 5.1 Thu'!CB43+AY33</f>
        <v>86667.7</v>
      </c>
      <c r="BB33" s="2513">
        <f>BB21+BB36+BB15</f>
        <v>546228</v>
      </c>
      <c r="BC33" s="2509"/>
      <c r="BD33" s="2509">
        <f>IF('Phụ lục 7.2-CCTL'!J31&lt;0,0,'Phụ lục 7.2-CCTL'!J31)</f>
        <v>465294</v>
      </c>
      <c r="BE33" s="2510">
        <f>BB33-AY33</f>
        <v>546228</v>
      </c>
      <c r="BF33" s="2511"/>
      <c r="BG33" s="2512">
        <v>0</v>
      </c>
      <c r="BH33" s="2509"/>
      <c r="BI33" s="2509">
        <f>'Phụ lục số 5.1 Thu'!CN43</f>
        <v>14158.9</v>
      </c>
      <c r="BJ33" s="2513">
        <f>BJ21+BJ36+BJ15</f>
        <v>96972</v>
      </c>
      <c r="BK33" s="2509"/>
      <c r="BL33" s="2509">
        <f>IF('Phụ lục 7.2-CCTL'!K31&lt;0,0,'Phụ lục 7.2-CCTL'!K31)</f>
        <v>0</v>
      </c>
      <c r="BM33" s="2510">
        <f>BJ33-BG33</f>
        <v>96972</v>
      </c>
      <c r="BN33" s="2511"/>
      <c r="BO33" s="2512">
        <v>0</v>
      </c>
      <c r="BP33" s="2509"/>
      <c r="BQ33" s="2509">
        <f>'Phụ lục số 5.1 Thu'!CZ43</f>
        <v>0</v>
      </c>
      <c r="BR33" s="2845">
        <f>BR21+BR36+BR15</f>
        <v>74640</v>
      </c>
      <c r="BS33" s="2509"/>
      <c r="BT33" s="2509">
        <f>IF('Phụ lục 7.2-CCTL'!L31&lt;0,0,'Phụ lục 7.2-CCTL'!L31)</f>
        <v>0</v>
      </c>
      <c r="BU33" s="2510">
        <f>BR33-BO33</f>
        <v>74640</v>
      </c>
      <c r="BV33" s="2511"/>
      <c r="BW33" s="2512">
        <v>0</v>
      </c>
      <c r="BX33" s="2509"/>
      <c r="BY33" s="2509">
        <f>'Phụ lục số 5.1 Thu'!DL43</f>
        <v>25350.85</v>
      </c>
      <c r="BZ33" s="2513">
        <f>BZ21+BZ36+BZ15</f>
        <v>78556</v>
      </c>
      <c r="CA33" s="2509"/>
      <c r="CB33" s="2509">
        <f>IF('Phụ lục 7.2-CCTL'!M31&lt;0,0,'Phụ lục 7.2-CCTL'!M31)</f>
        <v>0</v>
      </c>
      <c r="CC33" s="2510">
        <f>BZ33-BW33</f>
        <v>78556</v>
      </c>
      <c r="CD33" s="2511"/>
      <c r="CE33" s="2512">
        <v>0</v>
      </c>
      <c r="CF33" s="2509"/>
      <c r="CG33" s="2509">
        <f>'Phụ lục số 5.1 Thu'!DX43</f>
        <v>0</v>
      </c>
      <c r="CH33" s="2845">
        <f>CH21+CH36+CH15</f>
        <v>73806</v>
      </c>
      <c r="CI33" s="2509"/>
      <c r="CJ33" s="2509">
        <f>IF('Phụ lục 7.2-CCTL'!N31&lt;0,0,'Phụ lục 7.2-CCTL'!N31)</f>
        <v>0</v>
      </c>
      <c r="CK33" s="2510">
        <f>CH33-CE33</f>
        <v>73806</v>
      </c>
      <c r="CL33" s="2511"/>
      <c r="CM33" s="2512">
        <f>127651-127651</f>
        <v>0</v>
      </c>
      <c r="CN33" s="2509"/>
      <c r="CO33" s="2509">
        <f>'Phụ lục số 5.1 Thu'!EJ43+CM33</f>
        <v>11501.349999999999</v>
      </c>
      <c r="CP33" s="2513">
        <f>CP21+CP36+CP15</f>
        <v>222536</v>
      </c>
      <c r="CQ33" s="2509"/>
      <c r="CR33" s="2509">
        <f>IF('Phụ lục 7.2-CCTL'!O31&lt;0,0,'Phụ lục 7.2-CCTL'!O31)</f>
        <v>172966</v>
      </c>
      <c r="CS33" s="2510">
        <f>CP33-CM33</f>
        <v>222536</v>
      </c>
      <c r="CT33" s="2511"/>
      <c r="CU33" s="2512">
        <v>0</v>
      </c>
      <c r="CV33" s="2509"/>
      <c r="CW33" s="2509">
        <f>'Phụ lục số 5.1 Thu'!EV43</f>
        <v>1218.6999999999998</v>
      </c>
      <c r="CX33" s="2513">
        <f>CX21+CX36+CX15</f>
        <v>67362</v>
      </c>
      <c r="CY33" s="2509"/>
      <c r="CZ33" s="2509">
        <f>IF('Phụ lục 7.2-CCTL'!P31&lt;0,0,'Phụ lục 7.2-CCTL'!P31)</f>
        <v>0</v>
      </c>
      <c r="DA33" s="2510">
        <f>CX33-CU33</f>
        <v>67362</v>
      </c>
      <c r="DB33" s="2511"/>
    </row>
    <row r="34" spans="1:106" ht="19.2" customHeight="1">
      <c r="CX34" s="2796"/>
      <c r="CY34" s="2796"/>
      <c r="CZ34" s="2796"/>
      <c r="DA34" s="2796"/>
    </row>
    <row r="35" spans="1:106" ht="19.2" customHeight="1">
      <c r="C35" s="791">
        <f>C23-H23</f>
        <v>-2262332.3479999993</v>
      </c>
      <c r="D35" s="2796"/>
      <c r="I35" s="2796">
        <f>I8-I33</f>
        <v>794033.3479999993</v>
      </c>
      <c r="AU35" s="2796"/>
      <c r="AV35" s="3548">
        <v>356741</v>
      </c>
      <c r="CX35" s="2796"/>
      <c r="CY35" s="2796"/>
      <c r="CZ35" s="2796"/>
      <c r="DA35" s="2796"/>
    </row>
    <row r="36" spans="1:106" ht="19.2" customHeight="1">
      <c r="B36" s="2838" t="s">
        <v>2593</v>
      </c>
      <c r="C36" s="791">
        <f>-C35</f>
        <v>2262332.3479999993</v>
      </c>
      <c r="D36" s="2796"/>
      <c r="E36" s="2839">
        <f>'Phụ lục số 2'!AB15-H28</f>
        <v>0</v>
      </c>
      <c r="F36" s="2843">
        <f t="shared" ref="F36:F43" si="92">SUM(N36,V36,AD36,AL36,AT36,BB36,BJ36,BR36,BZ36,CH36,CP36,CX36)</f>
        <v>349365</v>
      </c>
      <c r="H36" s="2796"/>
      <c r="I36" s="791">
        <f>C37-I35</f>
        <v>830039</v>
      </c>
      <c r="L36" s="2796"/>
      <c r="M36" s="2796"/>
      <c r="N36" s="2447">
        <f>IF('Phụ lục số 5.1 Thu'!V45&lt;0,0,'Phụ lục số 5.1 Thu'!V45)</f>
        <v>225</v>
      </c>
      <c r="O36" s="2796"/>
      <c r="P36" s="2796"/>
      <c r="V36" s="2839">
        <f>IF('Phụ lục số 5.1 Thu'!AH45&lt;0,0,'Phụ lục số 5.1 Thu'!AH45)</f>
        <v>2465</v>
      </c>
      <c r="W36" s="2796"/>
      <c r="AD36" s="2839">
        <f>'Phụ lục số 5.1 Thu'!AT45</f>
        <v>11545</v>
      </c>
      <c r="AL36" s="2839">
        <f>IF('Phụ lục số 5.1 Thu'!BF45&lt;0,0,'Phụ lục số 5.1 Thu'!BF45)</f>
        <v>4920</v>
      </c>
      <c r="AT36" s="2839">
        <f>IF('Phụ lục số 5.1 Thu'!BR45&lt;0,0,'Phụ lục số 5.1 Thu'!BR45)</f>
        <v>36100</v>
      </c>
      <c r="BB36" s="2839">
        <f>'Phụ lục số 5.1 Thu'!CD45</f>
        <v>150625</v>
      </c>
      <c r="BJ36" s="2839">
        <f>IF('Phụ lục số 5.1 Thu'!CP45&lt;0,0,'Phụ lục số 5.1 Thu'!CP45)</f>
        <v>27190</v>
      </c>
      <c r="BR36" s="2839">
        <f>'Phụ lục số 5.1 Thu'!DB45</f>
        <v>13145</v>
      </c>
      <c r="BS36" s="2796"/>
      <c r="BT36" s="2796"/>
      <c r="BY36" s="2827"/>
      <c r="BZ36" s="2839">
        <f>'Phụ lục số 5.1 Thu'!DN45</f>
        <v>29650</v>
      </c>
      <c r="CB36" s="2796">
        <f>BZ28+CA28</f>
        <v>716878.32347413257</v>
      </c>
      <c r="CF36" s="2827"/>
      <c r="CG36" s="2827"/>
      <c r="CH36" s="2866">
        <f>'Phụ lục số 5.1 Thu'!DZ45</f>
        <v>415</v>
      </c>
      <c r="CP36" s="2866">
        <f>'Phụ lục số 5.1 Thu'!EL45</f>
        <v>47570</v>
      </c>
      <c r="CX36" s="2866">
        <f>'Phụ lục số 5.1 Thu'!EX45</f>
        <v>25515</v>
      </c>
      <c r="CY36" s="2796"/>
      <c r="CZ36" s="2796"/>
      <c r="DA36" s="2796"/>
    </row>
    <row r="37" spans="1:106" ht="19.2" customHeight="1">
      <c r="C37" s="791">
        <f>C36-H33</f>
        <v>1624072.3479999993</v>
      </c>
      <c r="D37" s="2796"/>
      <c r="H37" s="2796"/>
      <c r="L37" s="2796"/>
      <c r="M37" s="2796"/>
      <c r="O37" s="2796"/>
      <c r="U37" s="2827"/>
      <c r="W37" s="2796"/>
      <c r="AS37" s="2827">
        <f>AQ28+AT43</f>
        <v>565790.04432410584</v>
      </c>
      <c r="BR37" s="2792"/>
      <c r="BY37" s="2827"/>
      <c r="CB37" s="2796">
        <f>CB36-CB28</f>
        <v>0</v>
      </c>
      <c r="CF37" s="2827"/>
      <c r="CG37" s="2827"/>
      <c r="CX37" s="2796"/>
      <c r="CY37" s="2796"/>
      <c r="CZ37" s="2796"/>
      <c r="DA37" s="2796"/>
    </row>
    <row r="38" spans="1:106" ht="19.2" customHeight="1">
      <c r="B38" s="792" t="s">
        <v>2594</v>
      </c>
      <c r="C38" s="1342">
        <f>C25/(C23-C27)</f>
        <v>7.6102044515752171E-2</v>
      </c>
      <c r="E38" s="2792">
        <f>'Phụ lục số 2'!AB10-F25</f>
        <v>0</v>
      </c>
      <c r="F38" s="2840">
        <f>SUM(N38,V38,AD38,AL38,AT38,BB38,BJ38,BR38,BZ38,CH38,CP38,CX38)</f>
        <v>60000.408969876153</v>
      </c>
      <c r="G38" s="1342">
        <f>F38/$F$36</f>
        <v>0.17174132775142373</v>
      </c>
      <c r="I38" s="792">
        <f>'Phụ lục số 5.1 Thu'!J44</f>
        <v>698730</v>
      </c>
      <c r="K38" s="1342">
        <f>K25/(K23-K27)</f>
        <v>5.5975706543360183E-2</v>
      </c>
      <c r="L38" s="2796"/>
      <c r="N38" s="2792">
        <f>K38*$N$36-INT(13)</f>
        <v>-0.40546602774395879</v>
      </c>
      <c r="O38" s="1342">
        <f>N38/$N$36</f>
        <v>-1.8020712344175946E-3</v>
      </c>
      <c r="S38" s="1342">
        <f>S25/(S23-S27)</f>
        <v>8.0421639165338274E-2</v>
      </c>
      <c r="U38" s="2827"/>
      <c r="V38" s="2827">
        <f>S38*$V$36-198</f>
        <v>0.23934054255883552</v>
      </c>
      <c r="W38" s="1342">
        <f>V38/$V$36</f>
        <v>9.709555479060265E-5</v>
      </c>
      <c r="AA38" s="1342">
        <f>AA25/(AA23-AA27)</f>
        <v>5.9377763451714215E-2</v>
      </c>
      <c r="AD38" s="2827">
        <f>AA38*$AD$36+INT(3314)</f>
        <v>3999.5162790500408</v>
      </c>
      <c r="AE38" s="1342">
        <f>AD38/$AD$36</f>
        <v>0.34642843473798535</v>
      </c>
      <c r="AF38" s="2827">
        <f>4000-AD38</f>
        <v>0.48372094995920634</v>
      </c>
      <c r="AI38" s="1342">
        <f>AI25/(AI23-AI27)</f>
        <v>5.8619854153802865E-2</v>
      </c>
      <c r="AL38" s="2827">
        <f>AI38*$AL$36-(288.6)</f>
        <v>-0.19031756328990923</v>
      </c>
      <c r="AM38" s="1342">
        <f>AL38/$AL$36</f>
        <v>-3.8682431562989683E-5</v>
      </c>
      <c r="AQ38" s="1342">
        <f>AQ25/(AQ23-AQ27)</f>
        <v>6.2849387388336175E-2</v>
      </c>
      <c r="AS38" s="2827">
        <f>AS37-AT28</f>
        <v>-4041.3519999999553</v>
      </c>
      <c r="AT38" s="2827">
        <f>AQ38*$AT$36+3731+1000</f>
        <v>6999.8628847189357</v>
      </c>
      <c r="AU38" s="1342">
        <f>AT38/$AT$36</f>
        <v>0.19390201896728354</v>
      </c>
      <c r="AW38" s="2827">
        <f>6000-AT38</f>
        <v>-999.86288471893567</v>
      </c>
      <c r="AY38" s="1342">
        <f>AY25/(AY23-AY27)</f>
        <v>0.16073854001184107</v>
      </c>
      <c r="BB38" s="2842">
        <f>AY38*$BB$36-4211</f>
        <v>20000.24258928356</v>
      </c>
      <c r="BC38" s="1342">
        <f>BB38/$BB$36</f>
        <v>0.13278169353881203</v>
      </c>
      <c r="BG38" s="1342">
        <f>BG25/(BG23-BG27)</f>
        <v>5.3624071715002448E-2</v>
      </c>
      <c r="BI38" s="2827">
        <f>BG28+BJ43+BJ16+BJ17</f>
        <v>744368.27048818825</v>
      </c>
      <c r="BJ38" s="2827">
        <f>BG38*$BJ$36+4542</f>
        <v>6000.0385099309169</v>
      </c>
      <c r="BK38" s="1342">
        <f>BJ38/$BJ$36</f>
        <v>0.22067078006366006</v>
      </c>
      <c r="BM38" s="2827">
        <f>7000-BJ38</f>
        <v>999.96149006908308</v>
      </c>
      <c r="BO38" s="1342">
        <f>BO25/(BO23-BO27)</f>
        <v>5.7385693901606798E-2</v>
      </c>
      <c r="BR38" s="2827">
        <f>BO38*$BR$36+2246</f>
        <v>3000.3349463366212</v>
      </c>
      <c r="BS38" s="1342">
        <f>BR38/$BR$36</f>
        <v>0.22824914007886049</v>
      </c>
      <c r="BU38" s="2796">
        <f>40000-BQ25</f>
        <v>3000</v>
      </c>
      <c r="BV38" s="2827">
        <f>BU38-BR38</f>
        <v>-0.33494633662121487</v>
      </c>
      <c r="BW38" s="1342">
        <f>BW25/(BW23-BW27)</f>
        <v>5.6032087708894625E-2</v>
      </c>
      <c r="BZ38" s="2827">
        <f>BW38*$BZ$36+4339</f>
        <v>6000.3514005687257</v>
      </c>
      <c r="CA38" s="1342">
        <f>BZ38/$BZ$36</f>
        <v>0.20237272851833812</v>
      </c>
      <c r="CC38" s="2827">
        <f>7000-BZ38</f>
        <v>999.64859943127431</v>
      </c>
      <c r="CE38" s="1342">
        <f>CE25/(CE23-CE27)</f>
        <v>5.9568235413666355E-2</v>
      </c>
      <c r="CF38" s="2827">
        <f>CF37-CH28</f>
        <v>-535000.9670957122</v>
      </c>
      <c r="CG38" s="2827"/>
      <c r="CH38" s="2827">
        <f>CE38*$CH$36-25</f>
        <v>-0.2791823033284615</v>
      </c>
      <c r="CI38" s="1342">
        <f>CH38/$CH$36</f>
        <v>-6.7272844175532886E-4</v>
      </c>
      <c r="CM38" s="1342">
        <f>CM25/(CM23-CM27)</f>
        <v>0.13847719991616517</v>
      </c>
      <c r="CP38" s="2827">
        <f>CM38*$CP$36+2413</f>
        <v>9000.3604000119776</v>
      </c>
      <c r="CQ38" s="1342">
        <f>CP38/$CP$36</f>
        <v>0.18920244692057972</v>
      </c>
      <c r="CR38" s="2827"/>
      <c r="CS38" s="2796"/>
      <c r="CT38" s="2827">
        <f>8000-CP38</f>
        <v>-1000.3604000119776</v>
      </c>
      <c r="CU38" s="1342">
        <f>CU25/(CU23-CU27)</f>
        <v>5.3628751139610964E-2</v>
      </c>
      <c r="CX38" s="2796">
        <f>CU38*$CX$36+3632</f>
        <v>5000.3375853271737</v>
      </c>
      <c r="CY38" s="1342">
        <f>CX38/$CX$36</f>
        <v>0.1959763897835459</v>
      </c>
      <c r="CZ38" s="2796"/>
      <c r="DA38" s="2796">
        <f>5000-CX38</f>
        <v>-0.33758532717365597</v>
      </c>
    </row>
    <row r="39" spans="1:106" ht="19.2" customHeight="1">
      <c r="B39" s="792" t="s">
        <v>2595</v>
      </c>
      <c r="C39" s="1342">
        <f>C29/(C23-C27)</f>
        <v>0.46197446681461529</v>
      </c>
      <c r="E39" s="2796">
        <f>'Phụ lục số 2'!AB20-H29</f>
        <v>0</v>
      </c>
      <c r="F39" s="2840">
        <f t="shared" si="92"/>
        <v>68167.469328384686</v>
      </c>
      <c r="G39" s="1342">
        <f t="shared" ref="G39:G41" si="93">F39/$F$36</f>
        <v>0.19511819824076448</v>
      </c>
      <c r="I39" s="2796">
        <f>I38-I35</f>
        <v>-95303.3479999993</v>
      </c>
      <c r="K39" s="1342">
        <f>K29/(K23-K27)</f>
        <v>0.52633357123008617</v>
      </c>
      <c r="N39" s="2792">
        <f>K39*$N$36-118</f>
        <v>0.42505352676938912</v>
      </c>
      <c r="O39" s="1342">
        <f t="shared" ref="O39:O41" si="94">N39/$N$36</f>
        <v>1.8891267856417295E-3</v>
      </c>
      <c r="S39" s="1342">
        <f>S29/(S23-S27)</f>
        <v>0.42734622951761375</v>
      </c>
      <c r="V39" s="2827">
        <f>S39*$V$36-1053</f>
        <v>0.40845576091783187</v>
      </c>
      <c r="W39" s="1342">
        <f t="shared" ref="W39:W41" si="95">V39/$V$36</f>
        <v>1.6570213424658492E-4</v>
      </c>
      <c r="AA39" s="1342">
        <f>AA29/(AA23-AA27)</f>
        <v>0.51856721456791011</v>
      </c>
      <c r="AD39" s="2827">
        <f>AA39*$AD$36-3314-1000-3</f>
        <v>1669.8584921865222</v>
      </c>
      <c r="AE39" s="1342">
        <f t="shared" ref="AE39:AE41" si="96">AD39/$AD$36</f>
        <v>0.14463910716210673</v>
      </c>
      <c r="AI39" s="1342">
        <f>AI29/(AI23-AI27)</f>
        <v>0.44898900291536076</v>
      </c>
      <c r="AL39" s="2827">
        <f>AI39*$AL$36-1209</f>
        <v>1000.0258943435751</v>
      </c>
      <c r="AM39" s="1342">
        <f t="shared" ref="AM39:AM41" si="97">AL39/$AL$36</f>
        <v>0.20325729559828762</v>
      </c>
      <c r="AQ39" s="1342">
        <f>AQ29/(AQ23-AQ27)</f>
        <v>0.51377845421082402</v>
      </c>
      <c r="AT39" s="2827">
        <f>AQ39*$AT$36-3731-2500-2000-1000-2000-310-7006</f>
        <v>0.40219701074602199</v>
      </c>
      <c r="AU39" s="1342">
        <f t="shared" ref="AU39:AU41" si="98">AT39/$AT$36</f>
        <v>1.1141191433407811E-5</v>
      </c>
      <c r="AY39" s="1342">
        <f>AY29/(AY23-AY27)</f>
        <v>0.3980435440704892</v>
      </c>
      <c r="BB39" s="2842">
        <f>AY39*$BB$36-5000-955-4000-10000</f>
        <v>40000.308825617438</v>
      </c>
      <c r="BC39" s="1342">
        <f t="shared" ref="BC39:BC41" si="99">BB39/$BB$36</f>
        <v>0.26556221626965931</v>
      </c>
      <c r="BG39" s="1342">
        <f>BG29/(BG23-BG27)</f>
        <v>0.47582469898585111</v>
      </c>
      <c r="BJ39" s="2827">
        <f>BG39*$BJ$36-4542-1000-6</f>
        <v>7389.6735654252916</v>
      </c>
      <c r="BK39" s="1342">
        <f t="shared" ref="BK39:BK41" si="100">BJ39/$BJ$36</f>
        <v>0.27177909398401218</v>
      </c>
      <c r="BO39" s="1342">
        <f>BO29/(BO23-BO27)</f>
        <v>0.48823127985607045</v>
      </c>
      <c r="BR39" s="2827">
        <f>BO39*$BR$36-2246-1100-2</f>
        <v>3069.8001737080458</v>
      </c>
      <c r="BS39" s="1342">
        <f>BR39/$BR$36</f>
        <v>0.23353367620449189</v>
      </c>
      <c r="BW39" s="1342">
        <f>BW29/(BW23-BW27)</f>
        <v>0.4729372798600443</v>
      </c>
      <c r="BZ39" s="2827">
        <f>BW39*$BZ$36-4339-1000-8684</f>
        <v>-0.40965214968673536</v>
      </c>
      <c r="CA39" s="1342">
        <f t="shared" ref="CA39:CA41" si="101">BZ39/$BZ$36</f>
        <v>-1.3816261372233908E-5</v>
      </c>
      <c r="CE39" s="1342">
        <f>CE29/(CE23-CE27)</f>
        <v>0.48212777736897616</v>
      </c>
      <c r="CG39" s="2827"/>
      <c r="CH39" s="2827">
        <f>CE39*$CH$36-200</f>
        <v>8.3027608125121333E-2</v>
      </c>
      <c r="CI39" s="1342">
        <f t="shared" ref="CI39:CI41" si="102">CH39/$CH$36</f>
        <v>2.0006652560270201E-4</v>
      </c>
      <c r="CM39" s="1342">
        <f>CM29/(CM23-CM27)</f>
        <v>0.34037695739393398</v>
      </c>
      <c r="CP39" s="2827">
        <f>CM39*$CP$36-2413-2300-2000-150</f>
        <v>9328.7318632294391</v>
      </c>
      <c r="CQ39" s="1342">
        <f t="shared" ref="CQ39:CQ41" si="103">CP39/$CP$36</f>
        <v>0.1961053576461938</v>
      </c>
      <c r="CU39" s="1342">
        <f>CU29/(CU23-CU27)</f>
        <v>0.45424892934028976</v>
      </c>
      <c r="CX39" s="2796">
        <f>CU39*$CX$36-3632-1100-1000-150</f>
        <v>5708.161432117493</v>
      </c>
      <c r="CY39" s="1342">
        <f t="shared" ref="CY39:CY41" si="104">CX39/$CX$36</f>
        <v>0.22371786917959996</v>
      </c>
      <c r="CZ39" s="2796"/>
      <c r="DA39" s="2796"/>
    </row>
    <row r="40" spans="1:106" ht="19.2" customHeight="1">
      <c r="B40" s="792" t="s">
        <v>2596</v>
      </c>
      <c r="C40" s="1342">
        <f>C30/(C23-C27)</f>
        <v>0.44158466951336028</v>
      </c>
      <c r="E40" s="2792">
        <f>'Phụ lục số 2'!AB15-'Phụ lục số 2'!AB20-H30</f>
        <v>0</v>
      </c>
      <c r="F40" s="2840">
        <f t="shared" si="92"/>
        <v>184833.07738269705</v>
      </c>
      <c r="G40" s="1342">
        <f t="shared" si="93"/>
        <v>0.52905436257981497</v>
      </c>
      <c r="I40" s="2796">
        <f>I39-F15</f>
        <v>-328237.3479999993</v>
      </c>
      <c r="K40" s="1342">
        <f>K30/(K23-K27)</f>
        <v>0.39727358326486306</v>
      </c>
      <c r="N40" s="2792">
        <f>K40*$N$36-89.5</f>
        <v>-0.1134437654058047</v>
      </c>
      <c r="O40" s="1342">
        <f t="shared" si="94"/>
        <v>-5.0419451291468752E-4</v>
      </c>
      <c r="S40" s="1342">
        <f>S30/(S23-S27)</f>
        <v>0.46455847083997531</v>
      </c>
      <c r="V40" s="2862">
        <f>S40*$V$36-545</f>
        <v>600.13663062053911</v>
      </c>
      <c r="W40" s="1342">
        <f t="shared" si="95"/>
        <v>0.24346313615437692</v>
      </c>
      <c r="AA40" s="1342">
        <f>AA30/(AA23-AA27)</f>
        <v>0.40349947090171495</v>
      </c>
      <c r="AD40" s="2827">
        <f>AA40*$AD$36-600+30</f>
        <v>4088.4013915602991</v>
      </c>
      <c r="AE40" s="1342">
        <f t="shared" si="96"/>
        <v>0.35412744838114329</v>
      </c>
      <c r="AI40" s="1342">
        <f>AI30/(AI23-AI27)</f>
        <v>0.47402163463417302</v>
      </c>
      <c r="AL40" s="2827">
        <f>AI40*$AL$36-400-200</f>
        <v>1732.1864424001315</v>
      </c>
      <c r="AM40" s="1342">
        <f t="shared" si="97"/>
        <v>0.35207041512197795</v>
      </c>
      <c r="AQ40" s="1342">
        <f>AQ30/(AQ23-AQ27)</f>
        <v>0.40406210878379639</v>
      </c>
      <c r="AT40" s="2827">
        <f>AQ40*$AT$36+2000+2000-500+310+46+7006</f>
        <v>25448.642127095052</v>
      </c>
      <c r="AU40" s="1342">
        <f t="shared" si="98"/>
        <v>0.7049485353765943</v>
      </c>
      <c r="AY40" s="1342">
        <f>AY30/(AY23-AY27)</f>
        <v>0.4195195525039046</v>
      </c>
      <c r="BB40" s="2842">
        <f>AY40*$BB$36+5000+4000+10000+495-702</f>
        <v>81983.132595900621</v>
      </c>
      <c r="BC40" s="1342">
        <f t="shared" si="99"/>
        <v>0.54428635748315768</v>
      </c>
      <c r="BG40" s="1342">
        <f>BG30/(BG23-BG27)</f>
        <v>0.45183512036642243</v>
      </c>
      <c r="BJ40" s="2827">
        <f>BG40*$BJ$36-3000+1000-500</f>
        <v>9785.3969227630259</v>
      </c>
      <c r="BK40" s="1342">
        <f t="shared" si="100"/>
        <v>0.35988955214281082</v>
      </c>
      <c r="BO40" s="1342">
        <f>BO30/(BO23-BO27)</f>
        <v>0.43488274706867669</v>
      </c>
      <c r="BR40" s="2827">
        <f>BO40*$BR$36-1100-300</f>
        <v>4316.5337102177555</v>
      </c>
      <c r="BS40" s="1342">
        <f>BR40/$BR$36</f>
        <v>0.32837837278187565</v>
      </c>
      <c r="BW40" s="1342">
        <f>BW30/(BW23-BW27)</f>
        <v>0.45145986935184884</v>
      </c>
      <c r="BZ40" s="2827">
        <f>BW40*$BZ$36-2600+1000-500+8684</f>
        <v>19969.785126282317</v>
      </c>
      <c r="CA40" s="1342">
        <f t="shared" si="101"/>
        <v>0.67351720493363632</v>
      </c>
      <c r="CE40" s="1342">
        <f>CE30/(CE23-CE27)</f>
        <v>0.43896883880485094</v>
      </c>
      <c r="CH40" s="2827">
        <f>CE40*$CH$36-182</f>
        <v>0.17206810401313533</v>
      </c>
      <c r="CI40" s="1342">
        <f t="shared" si="102"/>
        <v>4.1462193738104898E-4</v>
      </c>
      <c r="CM40" s="1342">
        <f>CM30/(CM23-CM27)</f>
        <v>0.49757477768795472</v>
      </c>
      <c r="CP40" s="2827">
        <f>CM40*$CP$36+2000-500+150</f>
        <v>25319.632174616007</v>
      </c>
      <c r="CQ40" s="1342">
        <f t="shared" si="103"/>
        <v>0.53226050398604174</v>
      </c>
      <c r="CU40" s="1342">
        <f>CU30/(CU23-CU27)</f>
        <v>0.47184682096424496</v>
      </c>
      <c r="CX40" s="2796">
        <f>CU40*$CX$36-1100+1000-500+150</f>
        <v>11589.171636902711</v>
      </c>
      <c r="CY40" s="1342">
        <f t="shared" si="104"/>
        <v>0.45421013666089399</v>
      </c>
      <c r="CZ40" s="2796"/>
      <c r="DA40" s="2796"/>
    </row>
    <row r="41" spans="1:106" ht="19.2" customHeight="1">
      <c r="B41" s="792" t="s">
        <v>2597</v>
      </c>
      <c r="C41" s="1342">
        <f>C31/(C23-C27)</f>
        <v>2.0338819156272264E-2</v>
      </c>
      <c r="E41" s="2792">
        <f>'Phụ lục số 2'!AB30-H31</f>
        <v>0</v>
      </c>
      <c r="F41" s="2840">
        <f t="shared" si="92"/>
        <v>36363.544319042099</v>
      </c>
      <c r="G41" s="1342">
        <f t="shared" si="93"/>
        <v>0.1040846802600206</v>
      </c>
      <c r="K41" s="1342">
        <f>K31/(K23-K27)</f>
        <v>2.0417138961690628E-2</v>
      </c>
      <c r="N41" s="2792">
        <f>K41*$N$36+12.5+118+89.5</f>
        <v>224.59385626638039</v>
      </c>
      <c r="O41" s="1342">
        <f t="shared" si="94"/>
        <v>0.99819491673946836</v>
      </c>
      <c r="S41" s="1342">
        <f>S31/(S23-S27)</f>
        <v>2.7673660477072651E-2</v>
      </c>
      <c r="V41" s="2862">
        <f>S41*$V$36+198+1053+545</f>
        <v>1864.2155730759841</v>
      </c>
      <c r="W41" s="1342">
        <f t="shared" si="95"/>
        <v>0.75627406615658588</v>
      </c>
      <c r="AA41" s="1342">
        <f>AA31/(AA23-AA27)</f>
        <v>1.8555551078660693E-2</v>
      </c>
      <c r="AD41" s="2827">
        <f>AA41*$AD$36+1600+3-30</f>
        <v>1787.2238372031377</v>
      </c>
      <c r="AE41" s="1342">
        <f t="shared" si="96"/>
        <v>0.15480500971876462</v>
      </c>
      <c r="AI41" s="1342">
        <f>AI31/(AI23-AI27)</f>
        <v>1.8369508296663357E-2</v>
      </c>
      <c r="AL41" s="2827">
        <f>AI41*$AL$36+288.6+1209+400+200</f>
        <v>2187.9779808195835</v>
      </c>
      <c r="AM41" s="1342">
        <f t="shared" si="97"/>
        <v>0.44471097171129748</v>
      </c>
      <c r="AQ41" s="1342">
        <f>AQ31/(AQ23-AQ27)</f>
        <v>1.9310049617043395E-2</v>
      </c>
      <c r="AT41" s="2827">
        <f>AQ41*$AT$36+2500+500-46</f>
        <v>3651.0927911752665</v>
      </c>
      <c r="AU41" s="1342">
        <f t="shared" si="98"/>
        <v>0.10113830446468883</v>
      </c>
      <c r="AY41" s="1342">
        <f>AY31/(AY23-AY27)</f>
        <v>2.1698363413765114E-2</v>
      </c>
      <c r="BB41" s="2842">
        <f>AY41*$BB$36+4211+955-495+702</f>
        <v>8641.3159891983705</v>
      </c>
      <c r="BC41" s="1342">
        <f t="shared" si="99"/>
        <v>5.7369732708370924E-2</v>
      </c>
      <c r="BG41" s="1342">
        <f>BG31/(BG23-BG27)</f>
        <v>1.8716108932724025E-2</v>
      </c>
      <c r="BJ41" s="2827">
        <f>BG41*$BJ$36+3000+500+6</f>
        <v>4014.8910018807665</v>
      </c>
      <c r="BK41" s="1342">
        <f t="shared" si="100"/>
        <v>0.14766057380951697</v>
      </c>
      <c r="BO41" s="1342">
        <f>BO31/(BO23-BO27)</f>
        <v>1.9500279173646006E-2</v>
      </c>
      <c r="BR41" s="2827">
        <f>BO41*$BR$36+2200+300+2</f>
        <v>2758.3311697375766</v>
      </c>
      <c r="BS41" s="1342">
        <f>BR41/$BR$36</f>
        <v>0.20983881093477189</v>
      </c>
      <c r="BW41" s="1342">
        <f>BW31/(BW23-BW27)</f>
        <v>1.9570763079212253E-2</v>
      </c>
      <c r="BZ41" s="2827">
        <f>BW41*$BZ$36+2600+500</f>
        <v>3680.2731252986432</v>
      </c>
      <c r="CA41" s="1342">
        <f t="shared" si="101"/>
        <v>0.12412388280939775</v>
      </c>
      <c r="CE41" s="1342">
        <f>CE31/(CE23-CE27)</f>
        <v>1.9335148412506525E-2</v>
      </c>
      <c r="CH41" s="2827">
        <f>CE41*$CH$36+25+200+182</f>
        <v>415.02408659119021</v>
      </c>
      <c r="CI41" s="1342">
        <f t="shared" si="102"/>
        <v>1.0000580399787715</v>
      </c>
      <c r="CM41" s="1342">
        <f>CM31/(CM23-CM27)</f>
        <v>2.3571065001946168E-2</v>
      </c>
      <c r="CP41" s="2827">
        <f>CM41*$CP$36+2300+500</f>
        <v>3921.2755621425795</v>
      </c>
      <c r="CQ41" s="1342">
        <f t="shared" si="103"/>
        <v>8.2431691447184763E-2</v>
      </c>
      <c r="CU41" s="1342">
        <f>CU31/(CU23-CU27)</f>
        <v>2.0275498555854345E-2</v>
      </c>
      <c r="CX41" s="2796">
        <f>CU41*$CX$36+2200+500</f>
        <v>3217.3293456526235</v>
      </c>
      <c r="CY41" s="1342">
        <f t="shared" si="104"/>
        <v>0.12609560437596015</v>
      </c>
      <c r="CZ41" s="2796"/>
      <c r="DA41" s="2796"/>
    </row>
    <row r="42" spans="1:106" ht="19.2" customHeight="1">
      <c r="B42" s="792" t="s">
        <v>2598</v>
      </c>
      <c r="F42" s="1348">
        <f>F31/(F23-F14-F13-F33)</f>
        <v>2.1620034605353462E-2</v>
      </c>
      <c r="H42" s="1348">
        <f>H31/(H23-H14-H13-H33)</f>
        <v>1.9615479239557386E-2</v>
      </c>
      <c r="N42" s="1348">
        <f>N31/(N23-N14-N13-N33-N15-N16)</f>
        <v>1.9392405595861962E-2</v>
      </c>
      <c r="P42" s="1348">
        <f>P31/(P23-P14-P13-P33-P15-P16)</f>
        <v>1.7156936445963542E-2</v>
      </c>
      <c r="V42" s="1348">
        <f>V31/(V23-V14-V13-V33-V15-V16)</f>
        <v>2.0414197841408115E-2</v>
      </c>
      <c r="X42" s="1348">
        <f>X31/(X23-X14-X13-X33-X15-X16)</f>
        <v>1.8795863930035361E-2</v>
      </c>
      <c r="AD42" s="1348">
        <f>AD31/(AD23-AD14-AD13-AD33-AD15-AD16)</f>
        <v>2.2561909225847981E-2</v>
      </c>
      <c r="AF42" s="1348">
        <f>AF31/(AF23-AF14-AF13-AF33-AF15-AF16)</f>
        <v>2.0117037619995452E-2</v>
      </c>
      <c r="AL42" s="1348">
        <f>AL31/(AL23-AL14-AL13-AL33-AL15-AL16)</f>
        <v>2.3455386270446004E-2</v>
      </c>
      <c r="AN42" s="1348">
        <f>AN31/(AN23-AN14-AN13-AN33-AN15-AN16)</f>
        <v>2.1020229412451064E-2</v>
      </c>
      <c r="AT42" s="1348">
        <f>AT31/(AT23-AT14-AT13-AT33-AT15-AT16)</f>
        <v>2.291203777080059E-2</v>
      </c>
      <c r="AV42" s="1348">
        <f>AV31/(AV23-AV14-AV13-AV33-AV15-AV16)</f>
        <v>2.0543650084635191E-2</v>
      </c>
      <c r="AW42" s="2796"/>
      <c r="BB42" s="1348">
        <f>BB31/(BB23-BB14-BB13-BB33-BB15-BB16)</f>
        <v>2.4042606353011791E-2</v>
      </c>
      <c r="BD42" s="1348">
        <f>BD31/(BD23-BD14-BD13-BD33-BD15-BD16)</f>
        <v>2.2296047159667261E-2</v>
      </c>
      <c r="BJ42" s="1348">
        <f>BJ31/(BJ23-BJ14-BJ13-BJ33-BJ15-BJ16)</f>
        <v>2.3261845525042672E-2</v>
      </c>
      <c r="BL42" s="1348">
        <f>BL31/(BL23-BL14-BL13-BL33-BL15-BL16)</f>
        <v>2.0712223281785982E-2</v>
      </c>
      <c r="BR42" s="1348">
        <f>BR31/(BR23-BR14-BR13-BR33-BR15-BR16)</f>
        <v>2.3531996699571112E-2</v>
      </c>
      <c r="BT42" s="1348">
        <f>BT31/(BT23-BT14-BT13-BT33-BT15-BT16)</f>
        <v>2.1113173820474524E-2</v>
      </c>
      <c r="BZ42" s="1348">
        <f>BZ31/(BZ23-BZ14-BZ13-BZ33-BZ15-BZ16)</f>
        <v>2.3134099986050094E-2</v>
      </c>
      <c r="CB42" s="1348">
        <f>CB31/(CB23-CB14-CB13-CB33-CB15-CB16)</f>
        <v>2.0807680208327597E-2</v>
      </c>
      <c r="CH42" s="1348">
        <f>CH31/(CH23-CH14-CH13-CH33-CH15-CH16)</f>
        <v>2.0186268371547824E-2</v>
      </c>
      <c r="CJ42" s="1348">
        <f>CJ31/(CJ23-CJ14-CJ13-CJ33-CJ15-CJ16)</f>
        <v>1.7862250046938716E-2</v>
      </c>
      <c r="CP42" s="1348">
        <f>CP31/(CP23-CP14-CP13-CP33-CP15-CP16)</f>
        <v>2.2894426480610793E-2</v>
      </c>
      <c r="CR42" s="1348">
        <f>CR31/(CR23-CR14-CR13-CR33-CR15-CR16)</f>
        <v>2.1422518056691594E-2</v>
      </c>
      <c r="CX42" s="1348">
        <f>CX31/(CX23-CX14-CX13-CX33-CX15-CX16)</f>
        <v>2.2489893142811607E-2</v>
      </c>
      <c r="CZ42" s="1348">
        <f>CZ31/(CZ23-CZ14-CZ13-CZ33-CZ15-CZ16)</f>
        <v>2.0265664804024881E-2</v>
      </c>
      <c r="DA42" s="2796"/>
    </row>
    <row r="43" spans="1:106" ht="19.2" customHeight="1">
      <c r="B43" s="2838" t="s">
        <v>2599</v>
      </c>
      <c r="F43" s="2840">
        <f t="shared" si="92"/>
        <v>253000.54671108178</v>
      </c>
      <c r="N43" s="2827">
        <f>SUM(N39:N40)</f>
        <v>0.31160976136358443</v>
      </c>
      <c r="V43" s="2827">
        <f>SUM(V39:V40)</f>
        <v>600.54508638145694</v>
      </c>
      <c r="AD43" s="2827">
        <f>SUM(AD39:AD40)</f>
        <v>5758.2598837468213</v>
      </c>
      <c r="AL43" s="2827">
        <f>SUM(AL39:AL40)</f>
        <v>2732.2123367437066</v>
      </c>
      <c r="AT43" s="2827">
        <f>SUM(AT39:AT40)</f>
        <v>25449.044324105798</v>
      </c>
      <c r="BB43" s="2827">
        <f>SUM(BB39:BB40)</f>
        <v>121983.44142151806</v>
      </c>
      <c r="BJ43" s="2827">
        <f>SUM(BJ39:BJ40)</f>
        <v>17175.070488188318</v>
      </c>
      <c r="BR43" s="2827">
        <f>SUM(BR39:BR40)</f>
        <v>7386.3338839258013</v>
      </c>
      <c r="BZ43" s="2827">
        <f>SUM(BZ39:BZ40)</f>
        <v>19969.37547413263</v>
      </c>
      <c r="CH43" s="2827">
        <f>SUM(CH39:CH40)</f>
        <v>0.25509571213825666</v>
      </c>
      <c r="CP43" s="2827">
        <f>SUM(CP39:CP40)</f>
        <v>34648.364037845444</v>
      </c>
      <c r="CX43" s="2827">
        <f>SUM(CX39:CX40)</f>
        <v>17297.333069020206</v>
      </c>
      <c r="CY43" s="2796"/>
      <c r="CZ43" s="2796"/>
      <c r="DA43" s="2796"/>
    </row>
    <row r="44" spans="1:106" ht="19.2" customHeight="1">
      <c r="B44" s="792" t="s">
        <v>2600</v>
      </c>
      <c r="F44" s="2840">
        <f t="shared" ref="F44" si="105">SUM(N44,V44,AD44,AL44,AT44,BB44,BJ44,BR44,BZ44,CH44,CP44,CX44)</f>
        <v>25300.054671108173</v>
      </c>
      <c r="N44" s="2827">
        <f>N43*10%</f>
        <v>3.1160976136358445E-2</v>
      </c>
      <c r="V44" s="2827">
        <f>V43*10%</f>
        <v>60.054508638145698</v>
      </c>
      <c r="AD44" s="2827">
        <f>AD43*10%</f>
        <v>575.8259883746822</v>
      </c>
      <c r="AL44" s="2827">
        <f>AL43*10%</f>
        <v>273.22123367437069</v>
      </c>
      <c r="AT44" s="2827">
        <f>AT43*10%</f>
        <v>2544.9044324105798</v>
      </c>
      <c r="BB44" s="2827">
        <f>BB43*10%</f>
        <v>12198.344142151807</v>
      </c>
      <c r="BJ44" s="2827">
        <f>BJ43*10%</f>
        <v>1717.5070488188319</v>
      </c>
      <c r="BR44" s="2827">
        <f>BR43*10%</f>
        <v>738.63338839258017</v>
      </c>
      <c r="BZ44" s="2827">
        <f>BZ43*10%</f>
        <v>1996.937547413263</v>
      </c>
      <c r="CH44" s="2827">
        <f>CH43*10%</f>
        <v>2.5509571213825667E-2</v>
      </c>
      <c r="CP44" s="2827">
        <f>CP43*10%</f>
        <v>3464.8364037845445</v>
      </c>
      <c r="CX44" s="2827">
        <f>CX43*10%</f>
        <v>1729.7333069020206</v>
      </c>
      <c r="CY44" s="2796"/>
      <c r="CZ44" s="2796"/>
      <c r="DA44" s="2796"/>
    </row>
    <row r="45" spans="1:106">
      <c r="CX45" s="1348"/>
    </row>
    <row r="46" spans="1:106">
      <c r="F46" s="4672" t="s">
        <v>2480</v>
      </c>
      <c r="G46" s="4672"/>
      <c r="H46" s="4672"/>
      <c r="I46" s="4672"/>
      <c r="J46" s="4672"/>
      <c r="N46" s="4672" t="s">
        <v>2480</v>
      </c>
      <c r="O46" s="4672"/>
      <c r="P46" s="4672"/>
      <c r="Q46" s="4672"/>
      <c r="R46" s="4672"/>
      <c r="V46" s="4672" t="s">
        <v>2480</v>
      </c>
      <c r="W46" s="4672"/>
      <c r="X46" s="4672"/>
      <c r="Y46" s="4672"/>
      <c r="Z46" s="4672"/>
      <c r="AD46" s="4672" t="s">
        <v>2480</v>
      </c>
      <c r="AE46" s="4672"/>
      <c r="AF46" s="4672"/>
      <c r="AG46" s="4672"/>
      <c r="AH46" s="4672"/>
      <c r="AL46" s="4672" t="s">
        <v>2480</v>
      </c>
      <c r="AM46" s="4672"/>
      <c r="AN46" s="4672"/>
      <c r="AO46" s="4672"/>
      <c r="AP46" s="4672"/>
      <c r="AT46" s="4672" t="s">
        <v>2480</v>
      </c>
      <c r="AU46" s="4672"/>
      <c r="AV46" s="4672"/>
      <c r="AW46" s="4672"/>
      <c r="AX46" s="4672"/>
      <c r="BB46" s="4672" t="s">
        <v>2480</v>
      </c>
      <c r="BC46" s="4672"/>
      <c r="BD46" s="4672"/>
      <c r="BE46" s="4672"/>
      <c r="BF46" s="4672"/>
      <c r="BJ46" s="4672" t="s">
        <v>2480</v>
      </c>
      <c r="BK46" s="4672"/>
      <c r="BL46" s="4672"/>
      <c r="BM46" s="4672"/>
      <c r="BN46" s="4672"/>
      <c r="BR46" s="4672" t="s">
        <v>2480</v>
      </c>
      <c r="BS46" s="4672"/>
      <c r="BT46" s="4672"/>
      <c r="BU46" s="4672"/>
      <c r="BV46" s="4672"/>
      <c r="BZ46" s="4672" t="s">
        <v>2480</v>
      </c>
      <c r="CA46" s="4672"/>
      <c r="CB46" s="4672"/>
      <c r="CC46" s="4672"/>
      <c r="CD46" s="4672"/>
      <c r="CH46" s="4672" t="s">
        <v>2480</v>
      </c>
      <c r="CI46" s="4672"/>
      <c r="CJ46" s="4672"/>
      <c r="CK46" s="4672"/>
      <c r="CL46" s="4672"/>
      <c r="CP46" s="4672" t="s">
        <v>2480</v>
      </c>
      <c r="CQ46" s="4672"/>
      <c r="CR46" s="4672"/>
      <c r="CS46" s="4672"/>
      <c r="CT46" s="4672"/>
      <c r="CX46" s="4672" t="s">
        <v>2480</v>
      </c>
      <c r="CY46" s="4672"/>
      <c r="CZ46" s="4672"/>
      <c r="DA46" s="4672"/>
      <c r="DB46" s="4672"/>
    </row>
    <row r="47" spans="1:106">
      <c r="B47" s="762" t="s">
        <v>2479</v>
      </c>
      <c r="F47" s="4673" t="s">
        <v>1444</v>
      </c>
      <c r="G47" s="4673"/>
      <c r="H47" s="4673"/>
      <c r="I47" s="4673"/>
      <c r="J47" s="4673"/>
      <c r="N47" s="4673" t="s">
        <v>1444</v>
      </c>
      <c r="O47" s="4673"/>
      <c r="P47" s="4673"/>
      <c r="Q47" s="4673"/>
      <c r="R47" s="4673"/>
      <c r="V47" s="4673" t="s">
        <v>1444</v>
      </c>
      <c r="W47" s="4673"/>
      <c r="X47" s="4673"/>
      <c r="Y47" s="4673"/>
      <c r="Z47" s="4673"/>
      <c r="AD47" s="4673" t="s">
        <v>1444</v>
      </c>
      <c r="AE47" s="4673"/>
      <c r="AF47" s="4673"/>
      <c r="AG47" s="4673"/>
      <c r="AH47" s="4673"/>
      <c r="AL47" s="4673" t="s">
        <v>1444</v>
      </c>
      <c r="AM47" s="4673"/>
      <c r="AN47" s="4673"/>
      <c r="AO47" s="4673"/>
      <c r="AP47" s="4673"/>
      <c r="AT47" s="4673" t="s">
        <v>1444</v>
      </c>
      <c r="AU47" s="4673"/>
      <c r="AV47" s="4673"/>
      <c r="AW47" s="4673"/>
      <c r="AX47" s="4673"/>
      <c r="BA47" s="791"/>
      <c r="BB47" s="4673" t="s">
        <v>1444</v>
      </c>
      <c r="BC47" s="4673"/>
      <c r="BD47" s="4673"/>
      <c r="BE47" s="4673"/>
      <c r="BF47" s="4673"/>
      <c r="BJ47" s="4673" t="s">
        <v>1444</v>
      </c>
      <c r="BK47" s="4673"/>
      <c r="BL47" s="4673"/>
      <c r="BM47" s="4673"/>
      <c r="BN47" s="4673"/>
      <c r="BR47" s="4673" t="s">
        <v>1444</v>
      </c>
      <c r="BS47" s="4673"/>
      <c r="BT47" s="4673"/>
      <c r="BU47" s="4673"/>
      <c r="BV47" s="4673"/>
      <c r="BZ47" s="4673" t="s">
        <v>1444</v>
      </c>
      <c r="CA47" s="4673"/>
      <c r="CB47" s="4673"/>
      <c r="CC47" s="4673"/>
      <c r="CD47" s="4673"/>
      <c r="CH47" s="4673" t="s">
        <v>1444</v>
      </c>
      <c r="CI47" s="4673"/>
      <c r="CJ47" s="4673"/>
      <c r="CK47" s="4673"/>
      <c r="CL47" s="4673"/>
      <c r="CP47" s="4673" t="s">
        <v>1444</v>
      </c>
      <c r="CQ47" s="4673"/>
      <c r="CR47" s="4673"/>
      <c r="CS47" s="4673"/>
      <c r="CT47" s="4673"/>
      <c r="CX47" s="4673" t="s">
        <v>1444</v>
      </c>
      <c r="CY47" s="4673"/>
      <c r="CZ47" s="4673"/>
      <c r="DA47" s="4673"/>
      <c r="DB47" s="4673"/>
    </row>
    <row r="48" spans="1:106">
      <c r="F48" s="791"/>
      <c r="M48" s="791"/>
      <c r="N48" s="791"/>
      <c r="P48" s="791"/>
    </row>
    <row r="49" spans="3:106">
      <c r="M49" s="791"/>
      <c r="N49" s="791"/>
      <c r="AS49" s="791"/>
      <c r="AV49" s="792">
        <f>358126</f>
        <v>358126</v>
      </c>
    </row>
    <row r="50" spans="3:106">
      <c r="M50" s="791"/>
      <c r="AV50" s="2796">
        <f>AV49-AV29</f>
        <v>-402.40219701075694</v>
      </c>
    </row>
    <row r="51" spans="3:106">
      <c r="H51" s="2792">
        <f>4650946</f>
        <v>4650946</v>
      </c>
    </row>
    <row r="52" spans="3:106">
      <c r="H52" s="2792">
        <f>'Phụ lục số 2'!AA20</f>
        <v>956676</v>
      </c>
    </row>
    <row r="53" spans="3:106">
      <c r="H53" s="2827">
        <f>H51-H52</f>
        <v>3694270</v>
      </c>
    </row>
    <row r="54" spans="3:106">
      <c r="H54" s="2796">
        <f>H29</f>
        <v>3841269.7831797441</v>
      </c>
    </row>
    <row r="55" spans="3:106">
      <c r="H55" s="2827">
        <f>H54-H53</f>
        <v>146999.78317974415</v>
      </c>
    </row>
    <row r="57" spans="3:106">
      <c r="H57" s="3147">
        <v>10432987</v>
      </c>
    </row>
    <row r="58" spans="3:106">
      <c r="H58" s="2798">
        <f>'Phụ lục số 2'!X15</f>
        <v>10664978.394711081</v>
      </c>
    </row>
    <row r="59" spans="3:106">
      <c r="H59" s="3148">
        <f>H57-H58</f>
        <v>-231991.39471108094</v>
      </c>
    </row>
    <row r="60" spans="3:106">
      <c r="H60" s="2796">
        <f>H28</f>
        <v>7370538.3947110809</v>
      </c>
    </row>
    <row r="61" spans="3:106">
      <c r="H61" s="2792">
        <f>'Phụ lục số 2'!AA15</f>
        <v>3294440</v>
      </c>
    </row>
    <row r="62" spans="3:106">
      <c r="H62" s="3149">
        <f>H61+H60</f>
        <v>10664978.394711081</v>
      </c>
    </row>
    <row r="63" spans="3:106">
      <c r="H63" s="2827">
        <f>H57-H62</f>
        <v>-231991.39471108094</v>
      </c>
      <c r="Q63" s="2796"/>
      <c r="Y63" s="2796"/>
      <c r="AG63" s="2796"/>
      <c r="AO63" s="2796"/>
      <c r="AW63" s="2796"/>
      <c r="BD63" s="2792"/>
      <c r="BE63" s="2827"/>
      <c r="BF63" s="2827"/>
      <c r="BM63" s="2796"/>
      <c r="BU63" s="2796"/>
      <c r="CC63" s="2796"/>
      <c r="CK63" s="2796"/>
      <c r="CS63" s="2827"/>
      <c r="CT63" s="2827"/>
      <c r="DA63" s="2827"/>
      <c r="DB63" s="2827"/>
    </row>
    <row r="64" spans="3:106">
      <c r="C64" s="1342"/>
      <c r="P64" s="2796"/>
      <c r="X64" s="2796"/>
      <c r="AF64" s="2796"/>
      <c r="AN64" s="2796"/>
      <c r="AV64" s="2796"/>
      <c r="BD64" s="2796"/>
      <c r="BL64" s="2796"/>
      <c r="BT64" s="2796"/>
      <c r="CB64" s="2796"/>
      <c r="CJ64" s="2796"/>
      <c r="CR64" s="2792"/>
      <c r="CZ64" s="2796"/>
      <c r="DA64" s="2796"/>
    </row>
    <row r="65" spans="3:105">
      <c r="C65" s="1342"/>
      <c r="BD65" s="2827"/>
      <c r="CR65" s="2792"/>
      <c r="CZ65" s="2792"/>
      <c r="DA65" s="2827"/>
    </row>
    <row r="66" spans="3:105">
      <c r="C66" s="1342"/>
      <c r="BD66" s="2827"/>
      <c r="CR66" s="2792"/>
      <c r="CZ66" s="2792"/>
      <c r="DA66" s="2827"/>
    </row>
    <row r="67" spans="3:105">
      <c r="C67" s="1342"/>
      <c r="BD67" s="2827"/>
      <c r="CR67" s="2792"/>
      <c r="CZ67" s="2792"/>
    </row>
    <row r="68" spans="3:105">
      <c r="C68" s="1342"/>
    </row>
  </sheetData>
  <mergeCells count="93">
    <mergeCell ref="AA4:AH4"/>
    <mergeCell ref="R5:R6"/>
    <mergeCell ref="S5:U5"/>
    <mergeCell ref="V5:X5"/>
    <mergeCell ref="Y5:Y6"/>
    <mergeCell ref="A4:A6"/>
    <mergeCell ref="B4:B6"/>
    <mergeCell ref="C4:J4"/>
    <mergeCell ref="K4:R4"/>
    <mergeCell ref="S4:Z4"/>
    <mergeCell ref="CE4:CL4"/>
    <mergeCell ref="CM4:CT4"/>
    <mergeCell ref="CU4:DB4"/>
    <mergeCell ref="C5:E5"/>
    <mergeCell ref="F5:H5"/>
    <mergeCell ref="I5:I6"/>
    <mergeCell ref="J5:J6"/>
    <mergeCell ref="K5:M5"/>
    <mergeCell ref="N5:P5"/>
    <mergeCell ref="Q5:Q6"/>
    <mergeCell ref="AI4:AP4"/>
    <mergeCell ref="AQ4:AX4"/>
    <mergeCell ref="AY4:BF4"/>
    <mergeCell ref="BG4:BN4"/>
    <mergeCell ref="BO4:BV4"/>
    <mergeCell ref="BW4:CD4"/>
    <mergeCell ref="AW5:AW6"/>
    <mergeCell ref="Z5:Z6"/>
    <mergeCell ref="AA5:AC5"/>
    <mergeCell ref="AD5:AF5"/>
    <mergeCell ref="AG5:AG6"/>
    <mergeCell ref="AH5:AH6"/>
    <mergeCell ref="AI5:AK5"/>
    <mergeCell ref="AL5:AN5"/>
    <mergeCell ref="AO5:AO6"/>
    <mergeCell ref="AP5:AP6"/>
    <mergeCell ref="AQ5:AS5"/>
    <mergeCell ref="AT5:AV5"/>
    <mergeCell ref="BU5:BU6"/>
    <mergeCell ref="AX5:AX6"/>
    <mergeCell ref="AY5:BA5"/>
    <mergeCell ref="BB5:BD5"/>
    <mergeCell ref="BE5:BE6"/>
    <mergeCell ref="BF5:BF6"/>
    <mergeCell ref="BG5:BI5"/>
    <mergeCell ref="BJ5:BL5"/>
    <mergeCell ref="BM5:BM6"/>
    <mergeCell ref="BN5:BN6"/>
    <mergeCell ref="BO5:BQ5"/>
    <mergeCell ref="BR5:BT5"/>
    <mergeCell ref="CS5:CS6"/>
    <mergeCell ref="BV5:BV6"/>
    <mergeCell ref="BW5:BY5"/>
    <mergeCell ref="BZ5:CB5"/>
    <mergeCell ref="CC5:CC6"/>
    <mergeCell ref="CD5:CD6"/>
    <mergeCell ref="CE5:CG5"/>
    <mergeCell ref="CH5:CJ5"/>
    <mergeCell ref="CK5:CK6"/>
    <mergeCell ref="CL5:CL6"/>
    <mergeCell ref="CM5:CO5"/>
    <mergeCell ref="CP5:CR5"/>
    <mergeCell ref="CT5:CT6"/>
    <mergeCell ref="CU5:CW5"/>
    <mergeCell ref="CX5:CZ5"/>
    <mergeCell ref="DA5:DA6"/>
    <mergeCell ref="DB5:DB6"/>
    <mergeCell ref="F46:J46"/>
    <mergeCell ref="F47:J47"/>
    <mergeCell ref="N46:R46"/>
    <mergeCell ref="N47:R47"/>
    <mergeCell ref="V46:Z46"/>
    <mergeCell ref="V47:Z47"/>
    <mergeCell ref="AD46:AH46"/>
    <mergeCell ref="AD47:AH47"/>
    <mergeCell ref="AL46:AP46"/>
    <mergeCell ref="AL47:AP47"/>
    <mergeCell ref="AT46:AX46"/>
    <mergeCell ref="AT47:AX47"/>
    <mergeCell ref="BB46:BF46"/>
    <mergeCell ref="BB47:BF47"/>
    <mergeCell ref="BJ46:BN46"/>
    <mergeCell ref="BJ47:BN47"/>
    <mergeCell ref="BR46:BV46"/>
    <mergeCell ref="BR47:BV47"/>
    <mergeCell ref="CX46:DB46"/>
    <mergeCell ref="CX47:DB47"/>
    <mergeCell ref="BZ46:CD46"/>
    <mergeCell ref="BZ47:CD47"/>
    <mergeCell ref="CH46:CL46"/>
    <mergeCell ref="CH47:CL47"/>
    <mergeCell ref="CP46:CT46"/>
    <mergeCell ref="CP47:CT47"/>
  </mergeCells>
  <hyperlinks>
    <hyperlink ref="A4:A6" location="'List danh mục'!A1" display="STT"/>
  </hyperlinks>
  <printOptions horizontalCentered="1"/>
  <pageMargins left="0" right="0" top="0.59055118110236227" bottom="0" header="0" footer="0"/>
  <pageSetup paperSize="9" scale="50" orientation="portrait" r:id="rId1"/>
  <headerFooter>
    <oddHeader>&amp;R&amp;A</oddHeader>
    <oddFooter>&amp;C&amp;P/&amp;N</oddFooter>
  </headerFooter>
  <legacy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24"/>
  <sheetViews>
    <sheetView topLeftCell="A13" workbookViewId="0">
      <selection activeCell="AF106" sqref="AF106"/>
    </sheetView>
  </sheetViews>
  <sheetFormatPr defaultColWidth="9" defaultRowHeight="15.6"/>
  <cols>
    <col min="1" max="1" width="5.19921875" style="245" customWidth="1"/>
    <col min="2" max="2" width="14.09765625" style="245" customWidth="1"/>
    <col min="3" max="3" width="10" style="245" customWidth="1"/>
    <col min="4" max="4" width="9.5" style="245" customWidth="1"/>
    <col min="5" max="6" width="9.8984375" style="245" customWidth="1"/>
    <col min="7" max="7" width="10.5" style="245" customWidth="1"/>
    <col min="8" max="8" width="10.09765625" style="245" customWidth="1"/>
    <col min="9" max="9" width="8.8984375" style="245" customWidth="1"/>
    <col min="10" max="16384" width="9" style="245"/>
  </cols>
  <sheetData>
    <row r="1" spans="1:10">
      <c r="A1" s="4697" t="s">
        <v>304</v>
      </c>
      <c r="B1" s="4697"/>
      <c r="C1" s="4697"/>
      <c r="D1" s="4697"/>
      <c r="E1" s="4697"/>
      <c r="F1" s="4697"/>
      <c r="G1" s="4697"/>
      <c r="H1" s="4697"/>
      <c r="I1" s="4697"/>
    </row>
    <row r="2" spans="1:10">
      <c r="B2" s="4333"/>
      <c r="C2" s="4333"/>
      <c r="D2" s="4333"/>
      <c r="E2" s="4333"/>
      <c r="F2" s="4333"/>
      <c r="G2" s="4333"/>
      <c r="H2" s="4333"/>
      <c r="I2" s="4333"/>
    </row>
    <row r="3" spans="1:10" ht="17.25" customHeight="1">
      <c r="H3" s="1092" t="s">
        <v>224</v>
      </c>
      <c r="I3" s="1166"/>
    </row>
    <row r="4" spans="1:10" s="248" customFormat="1" ht="16.5" customHeight="1">
      <c r="A4" s="4229" t="s">
        <v>244</v>
      </c>
      <c r="B4" s="4423" t="s">
        <v>305</v>
      </c>
      <c r="C4" s="4334" t="s">
        <v>306</v>
      </c>
      <c r="D4" s="4334"/>
      <c r="E4" s="4334"/>
      <c r="F4" s="4334"/>
      <c r="G4" s="4334"/>
      <c r="H4" s="4423" t="s">
        <v>1318</v>
      </c>
      <c r="I4" s="4423" t="s">
        <v>1319</v>
      </c>
    </row>
    <row r="5" spans="1:10" s="248" customFormat="1" ht="63.15" customHeight="1">
      <c r="A5" s="4206"/>
      <c r="B5" s="4698"/>
      <c r="C5" s="4698" t="s">
        <v>307</v>
      </c>
      <c r="D5" s="4698" t="s">
        <v>308</v>
      </c>
      <c r="E5" s="4698" t="s">
        <v>310</v>
      </c>
      <c r="F5" s="4694" t="s">
        <v>309</v>
      </c>
      <c r="G5" s="4695"/>
      <c r="H5" s="4698"/>
      <c r="I5" s="4698"/>
    </row>
    <row r="6" spans="1:10" s="248" customFormat="1" ht="46.8">
      <c r="A6" s="4207"/>
      <c r="B6" s="4230"/>
      <c r="C6" s="4230"/>
      <c r="D6" s="4230"/>
      <c r="E6" s="4230"/>
      <c r="F6" s="249" t="s">
        <v>238</v>
      </c>
      <c r="G6" s="249" t="s">
        <v>311</v>
      </c>
      <c r="H6" s="4230"/>
      <c r="I6" s="4230"/>
    </row>
    <row r="7" spans="1:10" s="248" customFormat="1">
      <c r="A7" s="1148">
        <v>1</v>
      </c>
      <c r="B7" s="1148">
        <v>2</v>
      </c>
      <c r="C7" s="249" t="s">
        <v>6</v>
      </c>
      <c r="D7" s="249">
        <v>4</v>
      </c>
      <c r="E7" s="285" t="s">
        <v>317</v>
      </c>
      <c r="F7" s="285">
        <v>6</v>
      </c>
      <c r="G7" s="285">
        <v>7</v>
      </c>
      <c r="H7" s="1148">
        <v>8</v>
      </c>
      <c r="I7" s="1148" t="s">
        <v>1320</v>
      </c>
    </row>
    <row r="8" spans="1:10" ht="30" customHeight="1">
      <c r="A8" s="1167">
        <v>1</v>
      </c>
      <c r="B8" s="1168" t="s">
        <v>320</v>
      </c>
      <c r="C8" s="1169">
        <f>SUM(D8:E8)</f>
        <v>564217</v>
      </c>
      <c r="D8" s="1169">
        <f>'[1]Chi NSH'!N8</f>
        <v>131450</v>
      </c>
      <c r="E8" s="1169">
        <f>SUM(F8:G8)</f>
        <v>432767</v>
      </c>
      <c r="F8" s="1169">
        <f>'[1]Chi NSH'!N10</f>
        <v>413967</v>
      </c>
      <c r="G8" s="1169">
        <f>'[1]Chi NSH'!N11</f>
        <v>18800</v>
      </c>
      <c r="H8" s="1169">
        <f>'[1]Chi NSH'!P15</f>
        <v>564217</v>
      </c>
      <c r="I8" s="1169">
        <f>INT(C8-H8)</f>
        <v>0</v>
      </c>
      <c r="J8" s="220"/>
    </row>
    <row r="9" spans="1:10" ht="30" customHeight="1">
      <c r="A9" s="1167">
        <v>2</v>
      </c>
      <c r="B9" s="1168" t="s">
        <v>290</v>
      </c>
      <c r="C9" s="1169">
        <f t="shared" ref="C9:C19" si="0">SUM(D9:E9)</f>
        <v>508165</v>
      </c>
      <c r="D9" s="1169">
        <f>'[1]Chi NSH'!V8</f>
        <v>269200</v>
      </c>
      <c r="E9" s="1169">
        <f>SUM(F9:G9)</f>
        <v>238965</v>
      </c>
      <c r="F9" s="1169">
        <f>'[1]Chi NSH'!V10</f>
        <v>225665</v>
      </c>
      <c r="G9" s="1169">
        <f>'[1]Chi NSH'!V11</f>
        <v>13300</v>
      </c>
      <c r="H9" s="1169">
        <f>'[1]Chi NSH'!X15</f>
        <v>508165</v>
      </c>
      <c r="I9" s="1169">
        <f>INT(C9-H9)</f>
        <v>0</v>
      </c>
      <c r="J9" s="220"/>
    </row>
    <row r="10" spans="1:10" ht="30" customHeight="1">
      <c r="A10" s="1167">
        <v>3</v>
      </c>
      <c r="B10" s="1168" t="s">
        <v>321</v>
      </c>
      <c r="C10" s="1169">
        <f t="shared" si="0"/>
        <v>486557</v>
      </c>
      <c r="D10" s="1169">
        <f>'[1]Chi NSH'!AD8</f>
        <v>61250</v>
      </c>
      <c r="E10" s="1169">
        <f t="shared" ref="E10:E19" si="1">SUM(F10:G10)</f>
        <v>425307</v>
      </c>
      <c r="F10" s="1169">
        <f>'[1]Chi NSH'!AD10</f>
        <v>391207</v>
      </c>
      <c r="G10" s="1169">
        <f>'[1]Chi NSH'!AD11</f>
        <v>34100</v>
      </c>
      <c r="H10" s="1169">
        <f>'[1]Chi NSH'!AF15</f>
        <v>486557</v>
      </c>
      <c r="I10" s="1169">
        <f t="shared" ref="I10:I19" si="2">INT(C10-H10)</f>
        <v>0</v>
      </c>
      <c r="J10" s="220"/>
    </row>
    <row r="11" spans="1:10" ht="30" customHeight="1">
      <c r="A11" s="1167">
        <v>4</v>
      </c>
      <c r="B11" s="1168" t="s">
        <v>291</v>
      </c>
      <c r="C11" s="1169">
        <f t="shared" si="0"/>
        <v>531772</v>
      </c>
      <c r="D11" s="1169">
        <f>'[1]Chi NSH'!AL8</f>
        <v>97100</v>
      </c>
      <c r="E11" s="1169">
        <f t="shared" si="1"/>
        <v>434672</v>
      </c>
      <c r="F11" s="1169">
        <f>'[1]Chi NSH'!AL10</f>
        <v>388772</v>
      </c>
      <c r="G11" s="1169">
        <f>'[1]Chi NSH'!AL11</f>
        <v>45900</v>
      </c>
      <c r="H11" s="1169">
        <f>'[1]Chi NSH'!AN15</f>
        <v>531772</v>
      </c>
      <c r="I11" s="1169">
        <f t="shared" si="2"/>
        <v>0</v>
      </c>
      <c r="J11" s="220"/>
    </row>
    <row r="12" spans="1:10" ht="30" customHeight="1">
      <c r="A12" s="1167">
        <v>5</v>
      </c>
      <c r="B12" s="1168" t="s">
        <v>292</v>
      </c>
      <c r="C12" s="1169">
        <f t="shared" si="0"/>
        <v>648709</v>
      </c>
      <c r="D12" s="1169">
        <f>'[1]Chi NSH'!AT8</f>
        <v>166650</v>
      </c>
      <c r="E12" s="1169">
        <f t="shared" si="1"/>
        <v>482059</v>
      </c>
      <c r="F12" s="1169">
        <f>'[1]Chi NSH'!AT10</f>
        <v>449761</v>
      </c>
      <c r="G12" s="1169">
        <f>'[1]Chi NSH'!AT11</f>
        <v>32298</v>
      </c>
      <c r="H12" s="1169">
        <f>'[1]Chi NSH'!AV15</f>
        <v>648709</v>
      </c>
      <c r="I12" s="1169">
        <f t="shared" si="2"/>
        <v>0</v>
      </c>
      <c r="J12" s="220"/>
    </row>
    <row r="13" spans="1:10" ht="30" customHeight="1">
      <c r="A13" s="1167">
        <v>6</v>
      </c>
      <c r="B13" s="1168" t="s">
        <v>293</v>
      </c>
      <c r="C13" s="1169">
        <f t="shared" si="0"/>
        <v>846554</v>
      </c>
      <c r="D13" s="1169">
        <f>'[1]Chi NSH'!BB8</f>
        <v>801200</v>
      </c>
      <c r="E13" s="1169">
        <f t="shared" si="1"/>
        <v>45354</v>
      </c>
      <c r="F13" s="1169">
        <f>'[1]Chi NSH'!BB10</f>
        <v>37354</v>
      </c>
      <c r="G13" s="1169">
        <f>'[1]Chi NSH'!BB11</f>
        <v>8000</v>
      </c>
      <c r="H13" s="1169">
        <f>'[1]Chi NSH'!BD15</f>
        <v>846554</v>
      </c>
      <c r="I13" s="1169">
        <f t="shared" si="2"/>
        <v>0</v>
      </c>
      <c r="J13" s="220"/>
    </row>
    <row r="14" spans="1:10" ht="30" customHeight="1">
      <c r="A14" s="1167">
        <v>7</v>
      </c>
      <c r="B14" s="1168" t="s">
        <v>294</v>
      </c>
      <c r="C14" s="1169">
        <f t="shared" si="0"/>
        <v>799582</v>
      </c>
      <c r="D14" s="1169">
        <f>'[1]Chi NSH'!BJ8</f>
        <v>185760</v>
      </c>
      <c r="E14" s="1169">
        <f t="shared" si="1"/>
        <v>613822</v>
      </c>
      <c r="F14" s="1169">
        <f>'[1]Chi NSH'!BJ10</f>
        <v>566422</v>
      </c>
      <c r="G14" s="1169">
        <f>'[1]Chi NSH'!BJ11</f>
        <v>47400</v>
      </c>
      <c r="H14" s="1169">
        <f>'[1]Chi NSH'!BL15</f>
        <v>799582</v>
      </c>
      <c r="I14" s="1169">
        <f t="shared" si="2"/>
        <v>0</v>
      </c>
      <c r="J14" s="220"/>
    </row>
    <row r="15" spans="1:10" ht="30" customHeight="1">
      <c r="A15" s="1167">
        <v>8</v>
      </c>
      <c r="B15" s="1168" t="s">
        <v>322</v>
      </c>
      <c r="C15" s="1169">
        <f t="shared" si="0"/>
        <v>714760</v>
      </c>
      <c r="D15" s="1169">
        <f>'[1]Chi NSH'!BR8</f>
        <v>211460</v>
      </c>
      <c r="E15" s="1169">
        <f t="shared" si="1"/>
        <v>503300</v>
      </c>
      <c r="F15" s="1169">
        <f>'[1]Chi NSH'!BR10</f>
        <v>441700</v>
      </c>
      <c r="G15" s="1169">
        <f>'[1]Chi NSH'!BR11</f>
        <v>61600</v>
      </c>
      <c r="H15" s="1169">
        <f>'[1]Chi NSH'!BT15</f>
        <v>714760</v>
      </c>
      <c r="I15" s="1169">
        <f t="shared" si="2"/>
        <v>0</v>
      </c>
      <c r="J15" s="220"/>
    </row>
    <row r="16" spans="1:10" ht="30" customHeight="1">
      <c r="A16" s="1167">
        <v>9</v>
      </c>
      <c r="B16" s="1168" t="s">
        <v>323</v>
      </c>
      <c r="C16" s="1169">
        <f t="shared" si="0"/>
        <v>672489</v>
      </c>
      <c r="D16" s="1169">
        <f>'[1]Chi NSH'!BZ8</f>
        <v>185900</v>
      </c>
      <c r="E16" s="1169">
        <f t="shared" si="1"/>
        <v>486589</v>
      </c>
      <c r="F16" s="1169">
        <f>'[1]Chi NSH'!BZ10</f>
        <v>470689</v>
      </c>
      <c r="G16" s="1169">
        <f>'[1]Chi NSH'!BZ11</f>
        <v>15900</v>
      </c>
      <c r="H16" s="1169">
        <f>'[1]Chi NSH'!CB15</f>
        <v>672489</v>
      </c>
      <c r="I16" s="1169">
        <f t="shared" si="2"/>
        <v>0</v>
      </c>
      <c r="J16" s="220"/>
    </row>
    <row r="17" spans="1:12" ht="30" customHeight="1">
      <c r="A17" s="1167">
        <v>10</v>
      </c>
      <c r="B17" s="1168" t="s">
        <v>324</v>
      </c>
      <c r="C17" s="1169">
        <f t="shared" si="0"/>
        <v>600774</v>
      </c>
      <c r="D17" s="1169">
        <f>'[1]Chi NSH'!CH8</f>
        <v>141600</v>
      </c>
      <c r="E17" s="1169">
        <f t="shared" si="1"/>
        <v>459174</v>
      </c>
      <c r="F17" s="1169">
        <f>'[1]Chi NSH'!CH10</f>
        <v>440874</v>
      </c>
      <c r="G17" s="1169">
        <f>'[1]Chi NSH'!CH11</f>
        <v>18300</v>
      </c>
      <c r="H17" s="1169">
        <f>'[1]Chi NSH'!CJ15</f>
        <v>600774</v>
      </c>
      <c r="I17" s="1169">
        <f t="shared" si="2"/>
        <v>0</v>
      </c>
      <c r="J17" s="220"/>
    </row>
    <row r="18" spans="1:12" ht="30" customHeight="1">
      <c r="A18" s="1167">
        <v>11</v>
      </c>
      <c r="B18" s="1168" t="s">
        <v>295</v>
      </c>
      <c r="C18" s="1169">
        <f t="shared" si="0"/>
        <v>700384</v>
      </c>
      <c r="D18" s="1169">
        <f>'[1]Chi NSH'!CP8</f>
        <v>471300</v>
      </c>
      <c r="E18" s="1169">
        <f t="shared" si="1"/>
        <v>229084</v>
      </c>
      <c r="F18" s="1169">
        <f>'[1]Chi NSH'!CP10</f>
        <v>224584</v>
      </c>
      <c r="G18" s="1169">
        <f>'[1]Chi NSH'!CP11</f>
        <v>4500</v>
      </c>
      <c r="H18" s="1169">
        <f>'[1]Chi NSH'!CR15</f>
        <v>700384</v>
      </c>
      <c r="I18" s="1169">
        <f t="shared" si="2"/>
        <v>0</v>
      </c>
      <c r="J18" s="220"/>
    </row>
    <row r="19" spans="1:12" ht="30" customHeight="1">
      <c r="A19" s="1167">
        <v>12</v>
      </c>
      <c r="B19" s="1168" t="s">
        <v>296</v>
      </c>
      <c r="C19" s="1169">
        <f t="shared" si="0"/>
        <v>572108</v>
      </c>
      <c r="D19" s="1169">
        <f>'[1]Chi NSH'!CX8</f>
        <v>174480</v>
      </c>
      <c r="E19" s="1169">
        <f t="shared" si="1"/>
        <v>397628</v>
      </c>
      <c r="F19" s="1169">
        <f>'[1]Chi NSH'!CX10</f>
        <v>379928</v>
      </c>
      <c r="G19" s="1169">
        <f>'[1]Chi NSH'!CX11</f>
        <v>17700</v>
      </c>
      <c r="H19" s="1169">
        <f>'[1]Chi NSH'!CZ15</f>
        <v>572108</v>
      </c>
      <c r="I19" s="1169">
        <f t="shared" si="2"/>
        <v>0</v>
      </c>
      <c r="J19" s="220"/>
    </row>
    <row r="20" spans="1:12" s="248" customFormat="1" ht="30" customHeight="1">
      <c r="A20" s="4696" t="s">
        <v>325</v>
      </c>
      <c r="B20" s="4696"/>
      <c r="C20" s="1170">
        <f>SUM(C8:C19)</f>
        <v>7646071</v>
      </c>
      <c r="D20" s="1170">
        <f t="shared" ref="D20:I20" si="3">SUM(D8:D19)</f>
        <v>2897350</v>
      </c>
      <c r="E20" s="1170">
        <f t="shared" si="3"/>
        <v>4748721</v>
      </c>
      <c r="F20" s="1170">
        <f>SUM(F8:F19)</f>
        <v>4430923</v>
      </c>
      <c r="G20" s="1170">
        <f t="shared" si="3"/>
        <v>317798</v>
      </c>
      <c r="H20" s="1170">
        <f>SUM(H8:H19)</f>
        <v>7646071</v>
      </c>
      <c r="I20" s="1170">
        <f t="shared" si="3"/>
        <v>0</v>
      </c>
      <c r="J20" s="1171"/>
    </row>
    <row r="22" spans="1:12">
      <c r="L22" s="245" t="s">
        <v>227</v>
      </c>
    </row>
    <row r="23" spans="1:12">
      <c r="F23" s="254"/>
    </row>
    <row r="24" spans="1:12">
      <c r="F24" s="254"/>
    </row>
  </sheetData>
  <mergeCells count="12">
    <mergeCell ref="F5:G5"/>
    <mergeCell ref="A20:B20"/>
    <mergeCell ref="A1:I1"/>
    <mergeCell ref="B2:I2"/>
    <mergeCell ref="A4:A6"/>
    <mergeCell ref="B4:B6"/>
    <mergeCell ref="C4:G4"/>
    <mergeCell ref="H4:H6"/>
    <mergeCell ref="I4:I6"/>
    <mergeCell ref="C5:C6"/>
    <mergeCell ref="D5:D6"/>
    <mergeCell ref="E5:E6"/>
  </mergeCells>
  <hyperlinks>
    <hyperlink ref="A4:A6" location="'List danh mục'!A1" display="STT"/>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S86"/>
  <sheetViews>
    <sheetView topLeftCell="C4" workbookViewId="0">
      <selection activeCell="D32" sqref="D32"/>
    </sheetView>
  </sheetViews>
  <sheetFormatPr defaultColWidth="9" defaultRowHeight="15.6"/>
  <cols>
    <col min="1" max="1" width="4.5" style="1172" hidden="1" customWidth="1"/>
    <col min="2" max="2" width="4.5" style="1172" customWidth="1"/>
    <col min="3" max="3" width="60.5" style="1172" bestFit="1" customWidth="1"/>
    <col min="4" max="14" width="9.19921875" style="1172" customWidth="1"/>
    <col min="15" max="15" width="9" style="1172" customWidth="1"/>
    <col min="16" max="16" width="10.5" style="1172" customWidth="1"/>
    <col min="17" max="16384" width="9" style="1172"/>
  </cols>
  <sheetData>
    <row r="1" spans="1:19">
      <c r="A1" s="4703" t="s">
        <v>1836</v>
      </c>
      <c r="B1" s="4703"/>
      <c r="C1" s="4704"/>
      <c r="D1" s="4704"/>
      <c r="E1" s="4704"/>
      <c r="F1" s="4704"/>
      <c r="G1" s="4704"/>
      <c r="H1" s="4704"/>
      <c r="I1" s="4704"/>
      <c r="J1" s="4704"/>
      <c r="K1" s="4704"/>
      <c r="L1" s="4704"/>
      <c r="M1" s="4704"/>
      <c r="N1" s="4704"/>
      <c r="O1" s="4704"/>
      <c r="P1" s="4704"/>
    </row>
    <row r="2" spans="1:19" ht="18" customHeight="1">
      <c r="D2" s="1173"/>
      <c r="E2" s="1173"/>
      <c r="F2" s="1173"/>
      <c r="G2" s="1173"/>
      <c r="H2" s="1173"/>
      <c r="I2" s="1173"/>
      <c r="J2" s="1173"/>
      <c r="K2" s="1173"/>
      <c r="L2" s="2871"/>
      <c r="M2" s="1173"/>
      <c r="N2" s="1173"/>
      <c r="P2" s="1173"/>
    </row>
    <row r="3" spans="1:19" s="1174" customFormat="1" ht="15.9" customHeight="1">
      <c r="A3" s="4702" t="s">
        <v>288</v>
      </c>
      <c r="B3" s="4705" t="s">
        <v>288</v>
      </c>
      <c r="C3" s="4702" t="s">
        <v>791</v>
      </c>
      <c r="D3" s="4702" t="s">
        <v>4</v>
      </c>
      <c r="E3" s="4707" t="s">
        <v>406</v>
      </c>
      <c r="F3" s="4702" t="s">
        <v>290</v>
      </c>
      <c r="G3" s="4702" t="s">
        <v>407</v>
      </c>
      <c r="H3" s="4702" t="s">
        <v>408</v>
      </c>
      <c r="I3" s="4702" t="s">
        <v>409</v>
      </c>
      <c r="J3" s="4702" t="s">
        <v>410</v>
      </c>
      <c r="K3" s="4702" t="s">
        <v>411</v>
      </c>
      <c r="L3" s="4702" t="s">
        <v>412</v>
      </c>
      <c r="M3" s="4702" t="s">
        <v>413</v>
      </c>
      <c r="N3" s="4702" t="s">
        <v>414</v>
      </c>
      <c r="O3" s="4702" t="s">
        <v>415</v>
      </c>
      <c r="P3" s="4702" t="s">
        <v>416</v>
      </c>
      <c r="Q3" s="4699"/>
      <c r="R3" s="4700"/>
      <c r="S3" s="4701"/>
    </row>
    <row r="4" spans="1:19" s="1174" customFormat="1" ht="38.25" customHeight="1">
      <c r="A4" s="4702"/>
      <c r="B4" s="4706"/>
      <c r="C4" s="4702"/>
      <c r="D4" s="4702"/>
      <c r="E4" s="4707"/>
      <c r="F4" s="4702"/>
      <c r="G4" s="4702"/>
      <c r="H4" s="4702"/>
      <c r="I4" s="4702"/>
      <c r="J4" s="4702"/>
      <c r="K4" s="4702"/>
      <c r="L4" s="4702"/>
      <c r="M4" s="4702"/>
      <c r="N4" s="4702"/>
      <c r="O4" s="4702"/>
      <c r="P4" s="4702"/>
      <c r="Q4" s="4699"/>
      <c r="R4" s="4700"/>
      <c r="S4" s="4701"/>
    </row>
    <row r="5" spans="1:19" s="1179" customFormat="1">
      <c r="A5" s="1175" t="s">
        <v>9</v>
      </c>
      <c r="B5" s="1176" t="s">
        <v>9</v>
      </c>
      <c r="C5" s="1177" t="s">
        <v>1321</v>
      </c>
      <c r="D5" s="1178">
        <f>SUM(E5:P5)</f>
        <v>1235365</v>
      </c>
      <c r="E5" s="1178">
        <f>INT(SUM(E6,E7,E13,E20,E21,E22))</f>
        <v>36718</v>
      </c>
      <c r="F5" s="2861">
        <f t="shared" ref="F5:P5" si="0">INT(SUM(F6,F7,F13,F20,F21,F22))</f>
        <v>2465</v>
      </c>
      <c r="G5" s="1178">
        <f t="shared" si="0"/>
        <v>47794</v>
      </c>
      <c r="H5" s="1178">
        <f t="shared" si="0"/>
        <v>26533</v>
      </c>
      <c r="I5" s="1178">
        <f t="shared" si="0"/>
        <v>75571</v>
      </c>
      <c r="J5" s="1178">
        <f t="shared" si="0"/>
        <v>546228</v>
      </c>
      <c r="K5" s="1178">
        <f t="shared" si="0"/>
        <v>86366</v>
      </c>
      <c r="L5" s="1178">
        <f t="shared" si="0"/>
        <v>39845</v>
      </c>
      <c r="M5" s="2861">
        <f t="shared" si="0"/>
        <v>68928</v>
      </c>
      <c r="N5" s="2861">
        <f t="shared" si="0"/>
        <v>23185</v>
      </c>
      <c r="O5" s="1178">
        <f t="shared" si="0"/>
        <v>222536</v>
      </c>
      <c r="P5" s="2861">
        <f t="shared" si="0"/>
        <v>59196</v>
      </c>
    </row>
    <row r="6" spans="1:19" s="1174" customFormat="1">
      <c r="A6" s="2570">
        <v>1</v>
      </c>
      <c r="B6" s="2125" t="s">
        <v>1322</v>
      </c>
      <c r="C6" s="2126" t="s">
        <v>1323</v>
      </c>
      <c r="D6" s="2127">
        <f>SUM(E6:P6)</f>
        <v>886000</v>
      </c>
      <c r="E6" s="2870">
        <f>(2393+33868+(232))</f>
        <v>36493</v>
      </c>
      <c r="F6" s="2571">
        <v>0</v>
      </c>
      <c r="G6" s="2571">
        <f>(15738+20511)</f>
        <v>36249</v>
      </c>
      <c r="H6" s="2571">
        <f>21613</f>
        <v>21613</v>
      </c>
      <c r="I6" s="2571">
        <f>(0+37786)+1685</f>
        <v>39471</v>
      </c>
      <c r="J6" s="2571">
        <f>(0+395603)</f>
        <v>395603</v>
      </c>
      <c r="K6" s="2870">
        <f>(21380+37796)</f>
        <v>59176</v>
      </c>
      <c r="L6" s="2571">
        <f>(0+26700)</f>
        <v>26700</v>
      </c>
      <c r="M6" s="2571">
        <f>0+39278</f>
        <v>39278</v>
      </c>
      <c r="N6" s="2571">
        <f>0+22770</f>
        <v>22770</v>
      </c>
      <c r="O6" s="2571">
        <f>194874-19908</f>
        <v>174966</v>
      </c>
      <c r="P6" s="2571">
        <f>0+33681</f>
        <v>33681</v>
      </c>
    </row>
    <row r="7" spans="1:19" s="1174" customFormat="1">
      <c r="A7" s="2570" t="s">
        <v>1324</v>
      </c>
      <c r="B7" s="2125" t="s">
        <v>1325</v>
      </c>
      <c r="C7" s="2126" t="s">
        <v>1326</v>
      </c>
      <c r="D7" s="2127">
        <f>SUM(E7:P7)</f>
        <v>0</v>
      </c>
      <c r="E7" s="2127">
        <f>SUM(E8:E12)</f>
        <v>0</v>
      </c>
      <c r="F7" s="2127">
        <f t="shared" ref="F7:O7" si="1">SUM(F8:F12)</f>
        <v>0</v>
      </c>
      <c r="G7" s="2127">
        <f t="shared" si="1"/>
        <v>0</v>
      </c>
      <c r="H7" s="2127">
        <f t="shared" si="1"/>
        <v>0</v>
      </c>
      <c r="I7" s="2127">
        <f t="shared" si="1"/>
        <v>0</v>
      </c>
      <c r="J7" s="2127">
        <f t="shared" si="1"/>
        <v>0</v>
      </c>
      <c r="K7" s="2127">
        <f t="shared" si="1"/>
        <v>0</v>
      </c>
      <c r="L7" s="2127">
        <f t="shared" si="1"/>
        <v>0</v>
      </c>
      <c r="M7" s="2127">
        <f t="shared" si="1"/>
        <v>0</v>
      </c>
      <c r="N7" s="2127">
        <f t="shared" si="1"/>
        <v>0</v>
      </c>
      <c r="O7" s="2127">
        <f t="shared" si="1"/>
        <v>0</v>
      </c>
      <c r="P7" s="2127">
        <f>SUM(P8:P12)</f>
        <v>0</v>
      </c>
    </row>
    <row r="8" spans="1:19" s="1188" customFormat="1">
      <c r="A8" s="1184"/>
      <c r="B8" s="1185" t="s">
        <v>34</v>
      </c>
      <c r="C8" s="1186" t="s">
        <v>397</v>
      </c>
      <c r="D8" s="1187">
        <f t="shared" ref="D8:D31" si="2">SUM(E8:P8)</f>
        <v>0</v>
      </c>
      <c r="E8" s="1187"/>
      <c r="F8" s="1187"/>
      <c r="G8" s="1187"/>
      <c r="H8" s="1187"/>
      <c r="I8" s="1187"/>
      <c r="J8" s="1187"/>
      <c r="K8" s="1187"/>
      <c r="L8" s="1187"/>
      <c r="M8" s="1187"/>
      <c r="N8" s="1187"/>
      <c r="O8" s="1187"/>
      <c r="P8" s="1187"/>
    </row>
    <row r="9" spans="1:19" s="1188" customFormat="1">
      <c r="A9" s="1184"/>
      <c r="B9" s="1185" t="s">
        <v>35</v>
      </c>
      <c r="C9" s="1189" t="s">
        <v>1842</v>
      </c>
      <c r="D9" s="1187">
        <f t="shared" si="2"/>
        <v>0</v>
      </c>
      <c r="E9" s="1187">
        <f>8796-8796</f>
        <v>0</v>
      </c>
      <c r="F9" s="1187">
        <f>6409-6409</f>
        <v>0</v>
      </c>
      <c r="G9" s="1187">
        <f>8511-8511</f>
        <v>0</v>
      </c>
      <c r="H9" s="1187">
        <f>9169-9169</f>
        <v>0</v>
      </c>
      <c r="I9" s="1187">
        <f>10215-10215</f>
        <v>0</v>
      </c>
      <c r="J9" s="1187">
        <f>12804-12804</f>
        <v>0</v>
      </c>
      <c r="K9" s="1187">
        <f>13710-13710</f>
        <v>0</v>
      </c>
      <c r="L9" s="1187">
        <f>11468-11468</f>
        <v>0</v>
      </c>
      <c r="M9" s="1187">
        <f>11760-11760</f>
        <v>0</v>
      </c>
      <c r="N9" s="1187">
        <f>10274-10274</f>
        <v>0</v>
      </c>
      <c r="O9" s="1187">
        <f>11336-11336</f>
        <v>0</v>
      </c>
      <c r="P9" s="1187">
        <f>9763-9763</f>
        <v>0</v>
      </c>
    </row>
    <row r="10" spans="1:19" s="1188" customFormat="1">
      <c r="A10" s="1184" t="s">
        <v>1325</v>
      </c>
      <c r="B10" s="1185" t="s">
        <v>36</v>
      </c>
      <c r="C10" s="1189" t="s">
        <v>1843</v>
      </c>
      <c r="D10" s="1187">
        <f t="shared" si="2"/>
        <v>0</v>
      </c>
      <c r="E10" s="1187"/>
      <c r="F10" s="1187"/>
      <c r="G10" s="1187"/>
      <c r="H10" s="1187"/>
      <c r="I10" s="1187"/>
      <c r="J10" s="1187"/>
      <c r="K10" s="1187"/>
      <c r="L10" s="1187"/>
      <c r="M10" s="1187"/>
      <c r="N10" s="1187"/>
      <c r="O10" s="1187"/>
      <c r="P10" s="1187"/>
    </row>
    <row r="11" spans="1:19" s="1188" customFormat="1" hidden="1">
      <c r="A11" s="1184"/>
      <c r="B11" s="1185" t="s">
        <v>37</v>
      </c>
      <c r="C11" s="1189" t="s">
        <v>1844</v>
      </c>
      <c r="D11" s="1187">
        <f t="shared" si="2"/>
        <v>0</v>
      </c>
      <c r="E11" s="1187"/>
      <c r="F11" s="1187"/>
      <c r="G11" s="1187"/>
      <c r="H11" s="1187"/>
      <c r="I11" s="1187"/>
      <c r="J11" s="1187"/>
      <c r="K11" s="1187"/>
      <c r="L11" s="1187"/>
      <c r="M11" s="1187"/>
      <c r="N11" s="1187"/>
      <c r="O11" s="1187"/>
      <c r="P11" s="1187"/>
    </row>
    <row r="12" spans="1:19" s="1188" customFormat="1" hidden="1">
      <c r="A12" s="1184"/>
      <c r="B12" s="1185" t="s">
        <v>1327</v>
      </c>
      <c r="C12" s="1189" t="s">
        <v>1845</v>
      </c>
      <c r="D12" s="1187">
        <f t="shared" si="2"/>
        <v>0</v>
      </c>
      <c r="E12" s="1187"/>
      <c r="F12" s="1187"/>
      <c r="G12" s="1187"/>
      <c r="H12" s="1187"/>
      <c r="I12" s="1187"/>
      <c r="J12" s="1187"/>
      <c r="K12" s="1187"/>
      <c r="L12" s="1187"/>
      <c r="M12" s="1187"/>
      <c r="N12" s="1187"/>
      <c r="O12" s="1187"/>
      <c r="P12" s="1187"/>
    </row>
    <row r="13" spans="1:19" s="2128" customFormat="1" ht="16.2">
      <c r="A13" s="2124"/>
      <c r="B13" s="2125" t="s">
        <v>1324</v>
      </c>
      <c r="C13" s="2126" t="s">
        <v>1328</v>
      </c>
      <c r="D13" s="2127">
        <f t="shared" si="2"/>
        <v>349365</v>
      </c>
      <c r="E13" s="2127">
        <f>SUM(E14:E19)</f>
        <v>225</v>
      </c>
      <c r="F13" s="2127">
        <f>SUM(F14:F19)</f>
        <v>2465</v>
      </c>
      <c r="G13" s="2127">
        <f t="shared" ref="G13:P13" si="3">SUM(G14:G19)</f>
        <v>11545</v>
      </c>
      <c r="H13" s="2127">
        <f t="shared" si="3"/>
        <v>4920</v>
      </c>
      <c r="I13" s="2127">
        <f t="shared" si="3"/>
        <v>36100</v>
      </c>
      <c r="J13" s="2127">
        <f t="shared" si="3"/>
        <v>150625</v>
      </c>
      <c r="K13" s="2127">
        <f t="shared" si="3"/>
        <v>27190</v>
      </c>
      <c r="L13" s="2127">
        <f t="shared" si="3"/>
        <v>13145</v>
      </c>
      <c r="M13" s="2127">
        <f t="shared" si="3"/>
        <v>29650</v>
      </c>
      <c r="N13" s="2127">
        <f t="shared" si="3"/>
        <v>415</v>
      </c>
      <c r="O13" s="2127">
        <f t="shared" si="3"/>
        <v>47570</v>
      </c>
      <c r="P13" s="2127">
        <f t="shared" si="3"/>
        <v>25515</v>
      </c>
    </row>
    <row r="14" spans="1:19" s="2136" customFormat="1" ht="27.6">
      <c r="A14" s="2132"/>
      <c r="B14" s="2133" t="s">
        <v>34</v>
      </c>
      <c r="C14" s="2134" t="s">
        <v>1839</v>
      </c>
      <c r="D14" s="2135">
        <f>SUM(E14:P14)</f>
        <v>0</v>
      </c>
      <c r="E14" s="2135"/>
      <c r="F14" s="2135"/>
      <c r="G14" s="2135"/>
      <c r="H14" s="2135"/>
      <c r="I14" s="2135"/>
      <c r="J14" s="2135"/>
      <c r="K14" s="2135"/>
      <c r="L14" s="2135"/>
      <c r="M14" s="2135"/>
      <c r="N14" s="2135"/>
      <c r="O14" s="2135"/>
      <c r="P14" s="2135"/>
    </row>
    <row r="15" spans="1:19" s="1188" customFormat="1" hidden="1">
      <c r="A15" s="1184" t="s">
        <v>1329</v>
      </c>
      <c r="B15" s="2129" t="s">
        <v>35</v>
      </c>
      <c r="C15" s="2131" t="s">
        <v>1331</v>
      </c>
      <c r="D15" s="2130">
        <f t="shared" si="2"/>
        <v>0</v>
      </c>
      <c r="E15" s="2130"/>
      <c r="F15" s="2130"/>
      <c r="G15" s="2130"/>
      <c r="H15" s="2130"/>
      <c r="I15" s="2130"/>
      <c r="J15" s="2130"/>
      <c r="K15" s="2130"/>
      <c r="L15" s="2130"/>
      <c r="M15" s="2130"/>
      <c r="N15" s="2130"/>
      <c r="O15" s="2130"/>
      <c r="P15" s="2130"/>
    </row>
    <row r="16" spans="1:19" hidden="1">
      <c r="A16" s="1180"/>
      <c r="B16" s="2129" t="s">
        <v>36</v>
      </c>
      <c r="C16" s="2131" t="s">
        <v>1837</v>
      </c>
      <c r="D16" s="2130">
        <f t="shared" si="2"/>
        <v>0</v>
      </c>
      <c r="E16" s="2130"/>
      <c r="F16" s="2130"/>
      <c r="G16" s="2130"/>
      <c r="H16" s="2130"/>
      <c r="I16" s="2130"/>
      <c r="J16" s="2130"/>
      <c r="K16" s="2130"/>
      <c r="L16" s="2130"/>
      <c r="M16" s="2130"/>
      <c r="N16" s="2130"/>
      <c r="O16" s="2130"/>
      <c r="P16" s="2130"/>
    </row>
    <row r="17" spans="1:19">
      <c r="A17" s="1180"/>
      <c r="B17" s="2129" t="s">
        <v>37</v>
      </c>
      <c r="C17" s="2131" t="s">
        <v>1838</v>
      </c>
      <c r="D17" s="2130">
        <f>SUM(E17:P17)</f>
        <v>349365</v>
      </c>
      <c r="E17" s="2130">
        <f>'Phụ lục số 5.1 Thu'!V45</f>
        <v>225</v>
      </c>
      <c r="F17" s="2130">
        <f>'Phụ lục số 5.1 Thu'!AH45</f>
        <v>2465</v>
      </c>
      <c r="G17" s="2130">
        <f>'Phụ lục số 5.1 Thu'!AT45</f>
        <v>11545</v>
      </c>
      <c r="H17" s="2130">
        <f>'Phụ lục số 5.1 Thu'!BF45</f>
        <v>4920</v>
      </c>
      <c r="I17" s="2130">
        <f>'Phụ lục số 5.1 Thu'!BR45</f>
        <v>36100</v>
      </c>
      <c r="J17" s="2130">
        <f>'Phụ lục số 5.1 Thu'!CD45</f>
        <v>150625</v>
      </c>
      <c r="K17" s="2130">
        <f>'Phụ lục số 5.1 Thu'!CP45</f>
        <v>27190</v>
      </c>
      <c r="L17" s="2130">
        <f>'Phụ lục số 5.1 Thu'!DB45</f>
        <v>13145</v>
      </c>
      <c r="M17" s="2130">
        <f>'Phụ lục số 5.1 Thu'!DN45</f>
        <v>29650</v>
      </c>
      <c r="N17" s="2130">
        <f>'Phụ lục số 5.1 Thu'!DZ45</f>
        <v>415</v>
      </c>
      <c r="O17" s="2130">
        <f>'Phụ lục số 5.1 Thu'!EL45</f>
        <v>47570</v>
      </c>
      <c r="P17" s="2130">
        <f>'Phụ lục số 5.1 Thu'!EX45</f>
        <v>25515</v>
      </c>
      <c r="S17" s="1172">
        <f>J17/2</f>
        <v>75312.5</v>
      </c>
    </row>
    <row r="18" spans="1:19" hidden="1">
      <c r="A18" s="1180"/>
      <c r="B18" s="1185"/>
      <c r="C18" s="1190"/>
      <c r="D18" s="1187">
        <f t="shared" si="2"/>
        <v>0</v>
      </c>
      <c r="E18" s="1187"/>
      <c r="F18" s="1187"/>
      <c r="G18" s="1187"/>
      <c r="H18" s="1187"/>
      <c r="I18" s="1187"/>
      <c r="J18" s="1187"/>
      <c r="K18" s="1187"/>
      <c r="L18" s="1187"/>
      <c r="M18" s="1187"/>
      <c r="N18" s="1187"/>
      <c r="O18" s="1187"/>
      <c r="P18" s="1187"/>
    </row>
    <row r="19" spans="1:19" hidden="1">
      <c r="A19" s="1180"/>
      <c r="B19" s="1185"/>
      <c r="C19" s="1190"/>
      <c r="D19" s="1187"/>
      <c r="E19" s="1187"/>
      <c r="F19" s="1187"/>
      <c r="G19" s="1187"/>
      <c r="H19" s="1187"/>
      <c r="I19" s="1187"/>
      <c r="J19" s="1187"/>
      <c r="K19" s="1187"/>
      <c r="L19" s="1187"/>
      <c r="M19" s="1187"/>
      <c r="N19" s="1187"/>
      <c r="O19" s="1187"/>
      <c r="P19" s="1187"/>
    </row>
    <row r="20" spans="1:19" s="1179" customFormat="1">
      <c r="A20" s="1191"/>
      <c r="B20" s="2125" t="s">
        <v>1329</v>
      </c>
      <c r="C20" s="2126" t="s">
        <v>1332</v>
      </c>
      <c r="D20" s="2127">
        <f t="shared" si="2"/>
        <v>0</v>
      </c>
      <c r="E20" s="2127">
        <f>1344.642-1344.642</f>
        <v>0</v>
      </c>
      <c r="F20" s="2127"/>
      <c r="G20" s="2127">
        <f>1266-1266</f>
        <v>0</v>
      </c>
      <c r="H20" s="2127">
        <f>2814-2814</f>
        <v>0</v>
      </c>
      <c r="I20" s="2127">
        <f>2558-2558</f>
        <v>0</v>
      </c>
      <c r="J20" s="2572">
        <f>4428-4428</f>
        <v>0</v>
      </c>
      <c r="K20" s="2127">
        <f>2035-2035</f>
        <v>0</v>
      </c>
      <c r="L20" s="2127">
        <f>2263-2263</f>
        <v>0</v>
      </c>
      <c r="M20" s="2127">
        <f>2655-2655</f>
        <v>0</v>
      </c>
      <c r="N20" s="2127">
        <f>605-605</f>
        <v>0</v>
      </c>
      <c r="O20" s="2127">
        <f>4500-4500</f>
        <v>0</v>
      </c>
      <c r="P20" s="2127">
        <f>2662-2662</f>
        <v>0</v>
      </c>
      <c r="S20" s="2872"/>
    </row>
    <row r="21" spans="1:19" s="1174" customFormat="1">
      <c r="A21" s="2570"/>
      <c r="B21" s="2125" t="s">
        <v>1330</v>
      </c>
      <c r="C21" s="2126" t="s">
        <v>1841</v>
      </c>
      <c r="D21" s="2127">
        <f t="shared" si="2"/>
        <v>0</v>
      </c>
      <c r="E21" s="2127"/>
      <c r="F21" s="2127"/>
      <c r="G21" s="2127"/>
      <c r="H21" s="2127"/>
      <c r="I21" s="2127"/>
      <c r="J21" s="2127"/>
      <c r="K21" s="2127"/>
      <c r="L21" s="2127"/>
      <c r="M21" s="2127"/>
      <c r="N21" s="2127"/>
      <c r="O21" s="2127"/>
      <c r="P21" s="2127"/>
      <c r="R21" s="2802"/>
    </row>
    <row r="22" spans="1:19" s="1174" customFormat="1">
      <c r="A22" s="2570"/>
      <c r="B22" s="2125" t="s">
        <v>1333</v>
      </c>
      <c r="C22" s="2573" t="s">
        <v>1840</v>
      </c>
      <c r="D22" s="2127">
        <f t="shared" si="2"/>
        <v>0</v>
      </c>
      <c r="E22" s="2574"/>
      <c r="F22" s="2574"/>
      <c r="G22" s="2574"/>
      <c r="H22" s="2574"/>
      <c r="I22" s="2574"/>
      <c r="J22" s="2574"/>
      <c r="K22" s="2574"/>
      <c r="L22" s="2574"/>
      <c r="M22" s="2574"/>
      <c r="N22" s="2574"/>
      <c r="O22" s="2574"/>
      <c r="P22" s="2574"/>
    </row>
    <row r="23" spans="1:19" s="1179" customFormat="1">
      <c r="A23" s="1191"/>
      <c r="B23" s="1192" t="s">
        <v>20</v>
      </c>
      <c r="C23" s="1193" t="s">
        <v>1334</v>
      </c>
      <c r="D23" s="1194">
        <f>SUM(E23:P23)</f>
        <v>830039</v>
      </c>
      <c r="E23" s="1194">
        <f t="shared" ref="E23:P23" si="4">(SUM(E25,E26,E27,E28))</f>
        <v>70129</v>
      </c>
      <c r="F23" s="1194">
        <f t="shared" si="4"/>
        <v>48500</v>
      </c>
      <c r="G23" s="1194">
        <f t="shared" si="4"/>
        <v>56760</v>
      </c>
      <c r="H23" s="1194">
        <f t="shared" si="4"/>
        <v>57239</v>
      </c>
      <c r="I23" s="1194">
        <f t="shared" si="4"/>
        <v>75571</v>
      </c>
      <c r="J23" s="1194">
        <f t="shared" si="4"/>
        <v>80934</v>
      </c>
      <c r="K23" s="1194">
        <f t="shared" si="4"/>
        <v>96972</v>
      </c>
      <c r="L23" s="1194">
        <f t="shared" si="4"/>
        <v>74640</v>
      </c>
      <c r="M23" s="1194">
        <f t="shared" si="4"/>
        <v>78556</v>
      </c>
      <c r="N23" s="1194">
        <f t="shared" si="4"/>
        <v>73806</v>
      </c>
      <c r="O23" s="1194">
        <f t="shared" si="4"/>
        <v>49570</v>
      </c>
      <c r="P23" s="1194">
        <f t="shared" si="4"/>
        <v>67362</v>
      </c>
      <c r="R23" s="2872"/>
    </row>
    <row r="24" spans="1:19">
      <c r="A24" s="1180"/>
      <c r="B24" s="1181"/>
      <c r="C24" s="1195" t="s">
        <v>718</v>
      </c>
      <c r="D24" s="1182">
        <f t="shared" si="2"/>
        <v>0</v>
      </c>
      <c r="E24" s="1182"/>
      <c r="F24" s="1182"/>
      <c r="G24" s="1182"/>
      <c r="H24" s="1182"/>
      <c r="I24" s="1182"/>
      <c r="J24" s="1182"/>
      <c r="K24" s="1182"/>
      <c r="L24" s="1182"/>
      <c r="M24" s="1182"/>
      <c r="N24" s="1182"/>
      <c r="O24" s="1182"/>
      <c r="P24" s="1182"/>
    </row>
    <row r="25" spans="1:19">
      <c r="A25" s="1180"/>
      <c r="B25" s="1181" t="s">
        <v>1322</v>
      </c>
      <c r="C25" s="1196" t="s">
        <v>1846</v>
      </c>
      <c r="D25" s="1182">
        <f>SUM(E25:P25)</f>
        <v>830039</v>
      </c>
      <c r="E25" s="2127">
        <f>75636-3507-2000</f>
        <v>70129</v>
      </c>
      <c r="F25" s="2867">
        <f>53419-2897-22-2000</f>
        <v>48500</v>
      </c>
      <c r="G25" s="2127">
        <f>60144-3384</f>
        <v>56760</v>
      </c>
      <c r="H25" s="2867">
        <f>57539-300</f>
        <v>57239</v>
      </c>
      <c r="I25" s="2127">
        <f>78586-3015</f>
        <v>75571</v>
      </c>
      <c r="J25" s="2868">
        <f>76434+(15*300)</f>
        <v>80934</v>
      </c>
      <c r="K25" s="1182">
        <f>104972-8000</f>
        <v>96972</v>
      </c>
      <c r="L25" s="1182">
        <f>76495+65-920-1000</f>
        <v>74640</v>
      </c>
      <c r="M25" s="1182">
        <f>84904-5000-348-1000</f>
        <v>78556</v>
      </c>
      <c r="N25" s="1182">
        <f>79806-5000-1000</f>
        <v>73806</v>
      </c>
      <c r="O25" s="1182">
        <f>47609+461+(5*300)</f>
        <v>49570</v>
      </c>
      <c r="P25" s="1182">
        <f>75733-7371-1000</f>
        <v>67362</v>
      </c>
    </row>
    <row r="26" spans="1:19" hidden="1">
      <c r="A26" s="1180"/>
      <c r="B26" s="1197">
        <v>2</v>
      </c>
      <c r="C26" s="1196" t="s">
        <v>1847</v>
      </c>
      <c r="D26" s="1182">
        <f t="shared" si="2"/>
        <v>0</v>
      </c>
      <c r="E26" s="1182"/>
      <c r="F26" s="1182"/>
      <c r="G26" s="1182"/>
      <c r="H26" s="1182"/>
      <c r="I26" s="1182"/>
      <c r="J26" s="1182"/>
      <c r="K26" s="1182"/>
      <c r="L26" s="1182"/>
      <c r="M26" s="1182"/>
      <c r="N26" s="1182"/>
      <c r="O26" s="1182"/>
      <c r="P26" s="1182"/>
    </row>
    <row r="27" spans="1:19" hidden="1">
      <c r="B27" s="1197">
        <v>3</v>
      </c>
      <c r="C27" s="1196" t="s">
        <v>1848</v>
      </c>
      <c r="D27" s="1182">
        <f t="shared" si="2"/>
        <v>0</v>
      </c>
      <c r="E27" s="1182"/>
      <c r="F27" s="1182"/>
      <c r="G27" s="1182"/>
      <c r="H27" s="1182"/>
      <c r="I27" s="1182"/>
      <c r="J27" s="1182"/>
      <c r="K27" s="1182"/>
      <c r="L27" s="1182"/>
      <c r="M27" s="1182"/>
      <c r="N27" s="1182"/>
      <c r="O27" s="1182"/>
      <c r="P27" s="1182"/>
    </row>
    <row r="28" spans="1:19" hidden="1">
      <c r="B28" s="1198"/>
      <c r="C28" s="1196"/>
      <c r="D28" s="1199">
        <f>SUM(E28:P28)</f>
        <v>0</v>
      </c>
      <c r="E28" s="1183"/>
      <c r="F28" s="1183"/>
      <c r="G28" s="1183"/>
      <c r="H28" s="1183"/>
      <c r="I28" s="1183"/>
      <c r="J28" s="1183"/>
      <c r="K28" s="1183"/>
      <c r="L28" s="1183"/>
      <c r="M28" s="1183"/>
      <c r="N28" s="1183"/>
      <c r="O28" s="1183"/>
      <c r="P28" s="1183"/>
    </row>
    <row r="29" spans="1:19" hidden="1">
      <c r="B29" s="1200"/>
      <c r="C29" s="1196"/>
      <c r="D29" s="1201">
        <f>SUM(E29:P29)</f>
        <v>0</v>
      </c>
      <c r="E29" s="1202"/>
      <c r="F29" s="1202"/>
      <c r="G29" s="1202"/>
      <c r="H29" s="1202"/>
      <c r="I29" s="1202"/>
      <c r="J29" s="1202"/>
      <c r="K29" s="1202"/>
      <c r="L29" s="1202"/>
      <c r="M29" s="1202"/>
      <c r="N29" s="1202"/>
      <c r="O29" s="1202"/>
      <c r="P29" s="1202"/>
    </row>
    <row r="30" spans="1:19" hidden="1">
      <c r="B30" s="1200"/>
      <c r="C30" s="1196"/>
      <c r="D30" s="1201">
        <f>SUM(E30:P30)</f>
        <v>0</v>
      </c>
      <c r="E30" s="1203"/>
      <c r="F30" s="1203"/>
      <c r="G30" s="1203"/>
      <c r="H30" s="1203"/>
      <c r="I30" s="1203"/>
      <c r="J30" s="1203"/>
      <c r="K30" s="1203"/>
      <c r="L30" s="1203"/>
      <c r="M30" s="1203"/>
      <c r="N30" s="1203"/>
      <c r="O30" s="1203"/>
      <c r="P30" s="1203"/>
    </row>
    <row r="31" spans="1:19">
      <c r="B31" s="1192" t="s">
        <v>49</v>
      </c>
      <c r="C31" s="1204" t="s">
        <v>1335</v>
      </c>
      <c r="D31" s="1194">
        <f t="shared" si="2"/>
        <v>405326</v>
      </c>
      <c r="E31" s="1194">
        <f>INT(E5-E23)</f>
        <v>-33411</v>
      </c>
      <c r="F31" s="1194">
        <f t="shared" ref="F31:P31" si="5">INT(F5-F23)</f>
        <v>-46035</v>
      </c>
      <c r="G31" s="1194">
        <f t="shared" si="5"/>
        <v>-8966</v>
      </c>
      <c r="H31" s="1194">
        <f t="shared" si="5"/>
        <v>-30706</v>
      </c>
      <c r="I31" s="1194">
        <f t="shared" si="5"/>
        <v>0</v>
      </c>
      <c r="J31" s="1194">
        <f>INT(J5-J23)</f>
        <v>465294</v>
      </c>
      <c r="K31" s="1194">
        <f t="shared" si="5"/>
        <v>-10606</v>
      </c>
      <c r="L31" s="1194">
        <f t="shared" si="5"/>
        <v>-34795</v>
      </c>
      <c r="M31" s="1194">
        <f t="shared" si="5"/>
        <v>-9628</v>
      </c>
      <c r="N31" s="1194">
        <f t="shared" si="5"/>
        <v>-50621</v>
      </c>
      <c r="O31" s="1194">
        <f t="shared" si="5"/>
        <v>172966</v>
      </c>
      <c r="P31" s="1194">
        <f t="shared" si="5"/>
        <v>-8166</v>
      </c>
    </row>
    <row r="32" spans="1:19">
      <c r="B32" s="1181" t="s">
        <v>1322</v>
      </c>
      <c r="C32" s="1195" t="s">
        <v>1336</v>
      </c>
      <c r="D32" s="2850">
        <f>SUM(E32:P32)</f>
        <v>-232934</v>
      </c>
      <c r="E32" s="2865">
        <f>INT(IF(E31&lt;0,E31,0))</f>
        <v>-33411</v>
      </c>
      <c r="F32" s="2850">
        <f t="shared" ref="F32:L32" si="6">INT(IF(F31&lt;0,F31,0))</f>
        <v>-46035</v>
      </c>
      <c r="G32" s="2850">
        <f t="shared" si="6"/>
        <v>-8966</v>
      </c>
      <c r="H32" s="2850">
        <f t="shared" si="6"/>
        <v>-30706</v>
      </c>
      <c r="I32" s="2850">
        <f t="shared" si="6"/>
        <v>0</v>
      </c>
      <c r="J32" s="2850">
        <f t="shared" si="6"/>
        <v>0</v>
      </c>
      <c r="K32" s="2850">
        <f t="shared" si="6"/>
        <v>-10606</v>
      </c>
      <c r="L32" s="2865">
        <f t="shared" si="6"/>
        <v>-34795</v>
      </c>
      <c r="M32" s="2865">
        <f>IF(M31&lt;0,M31,0)</f>
        <v>-9628</v>
      </c>
      <c r="N32" s="2865">
        <f>INT(IF(N31&lt;0,N31,0))</f>
        <v>-50621</v>
      </c>
      <c r="O32" s="2850">
        <f>INT(IF(O31&lt;0,O31,0))</f>
        <v>0</v>
      </c>
      <c r="P32" s="2850">
        <f>INT(IF(P31&lt;0,P31,0))</f>
        <v>-8166</v>
      </c>
    </row>
    <row r="33" spans="1:16">
      <c r="A33" s="2857"/>
      <c r="B33" s="2858" t="s">
        <v>1325</v>
      </c>
      <c r="C33" s="2859" t="s">
        <v>1337</v>
      </c>
      <c r="D33" s="2860">
        <f>SUM(E33:P33)</f>
        <v>638260</v>
      </c>
      <c r="E33" s="2860">
        <f>IF(E31&gt;0,E31,0)</f>
        <v>0</v>
      </c>
      <c r="F33" s="2860">
        <f>IF(F31&gt;0,F31,0)</f>
        <v>0</v>
      </c>
      <c r="G33" s="2860">
        <f>IF(G31&gt;0,G31,0)</f>
        <v>0</v>
      </c>
      <c r="H33" s="2860">
        <f t="shared" ref="H33:P33" si="7">IF(H31&gt;0,H31,0)</f>
        <v>0</v>
      </c>
      <c r="I33" s="2860">
        <f t="shared" si="7"/>
        <v>0</v>
      </c>
      <c r="J33" s="2860">
        <f>INT(IF(J31&gt;0,J31,0))</f>
        <v>465294</v>
      </c>
      <c r="K33" s="2860">
        <f t="shared" si="7"/>
        <v>0</v>
      </c>
      <c r="L33" s="2860">
        <f>IF(L31&gt;0,L31,0)</f>
        <v>0</v>
      </c>
      <c r="M33" s="2860">
        <f>INT(IF(M31&gt;0,M31,0))</f>
        <v>0</v>
      </c>
      <c r="N33" s="2860">
        <f t="shared" si="7"/>
        <v>0</v>
      </c>
      <c r="O33" s="2860">
        <f>IF(O31&gt;0,O31,0)</f>
        <v>172966</v>
      </c>
      <c r="P33" s="2860">
        <f t="shared" si="7"/>
        <v>0</v>
      </c>
    </row>
    <row r="34" spans="1:16" hidden="1">
      <c r="B34" s="2854" t="s">
        <v>50</v>
      </c>
      <c r="C34" s="2855" t="s">
        <v>2457</v>
      </c>
      <c r="D34" s="2856">
        <f>SUM(E34:P34)</f>
        <v>0</v>
      </c>
      <c r="E34" s="2856">
        <f>SUM(E35:E37)</f>
        <v>0</v>
      </c>
      <c r="F34" s="2856">
        <f>SUM(F35:F37)</f>
        <v>0</v>
      </c>
      <c r="G34" s="2856">
        <f t="shared" ref="G34:P34" si="8">SUM(G35:G37)</f>
        <v>0</v>
      </c>
      <c r="H34" s="2856">
        <f t="shared" si="8"/>
        <v>0</v>
      </c>
      <c r="I34" s="2856">
        <f t="shared" si="8"/>
        <v>0</v>
      </c>
      <c r="J34" s="2856">
        <f t="shared" si="8"/>
        <v>0</v>
      </c>
      <c r="K34" s="2856">
        <f t="shared" si="8"/>
        <v>0</v>
      </c>
      <c r="L34" s="2856">
        <f t="shared" si="8"/>
        <v>0</v>
      </c>
      <c r="M34" s="2856">
        <f t="shared" si="8"/>
        <v>0</v>
      </c>
      <c r="N34" s="2856">
        <f t="shared" si="8"/>
        <v>0</v>
      </c>
      <c r="O34" s="2856">
        <f t="shared" si="8"/>
        <v>0</v>
      </c>
      <c r="P34" s="2856">
        <f t="shared" si="8"/>
        <v>0</v>
      </c>
    </row>
    <row r="35" spans="1:16" hidden="1">
      <c r="B35" s="1181">
        <v>1</v>
      </c>
      <c r="C35" s="1195" t="s">
        <v>2456</v>
      </c>
      <c r="D35" s="2850">
        <f>SUM(E35:P35)</f>
        <v>0</v>
      </c>
      <c r="E35" s="2850"/>
      <c r="F35" s="2850"/>
      <c r="G35" s="2850"/>
      <c r="H35" s="2850"/>
      <c r="I35" s="2850"/>
      <c r="J35" s="2850"/>
      <c r="K35" s="2850"/>
      <c r="L35" s="2850"/>
      <c r="M35" s="2850"/>
      <c r="N35" s="2850"/>
      <c r="O35" s="2850"/>
      <c r="P35" s="2850"/>
    </row>
    <row r="36" spans="1:16" hidden="1">
      <c r="B36" s="1181" t="s">
        <v>1325</v>
      </c>
      <c r="C36" s="1195" t="s">
        <v>1338</v>
      </c>
      <c r="D36" s="2850">
        <f>SUM(E36:P36)</f>
        <v>0</v>
      </c>
      <c r="E36" s="2850"/>
      <c r="F36" s="2850"/>
      <c r="G36" s="2850"/>
      <c r="H36" s="2850"/>
      <c r="I36" s="2850"/>
      <c r="J36" s="2850"/>
      <c r="K36" s="2850"/>
      <c r="L36" s="2850"/>
      <c r="M36" s="2850"/>
      <c r="N36" s="2850"/>
      <c r="O36" s="2850"/>
      <c r="P36" s="2850"/>
    </row>
    <row r="37" spans="1:16" hidden="1">
      <c r="B37" s="1181" t="s">
        <v>1324</v>
      </c>
      <c r="C37" s="1195" t="s">
        <v>1339</v>
      </c>
      <c r="D37" s="2850">
        <f t="shared" ref="D37:D42" si="9">SUM(E37:P37)</f>
        <v>0</v>
      </c>
      <c r="E37" s="2850"/>
      <c r="F37" s="2850"/>
      <c r="G37" s="2850"/>
      <c r="H37" s="2850"/>
      <c r="I37" s="2850"/>
      <c r="J37" s="2850"/>
      <c r="K37" s="2850"/>
      <c r="L37" s="2850"/>
      <c r="M37" s="2850"/>
      <c r="N37" s="2850"/>
      <c r="O37" s="2850"/>
      <c r="P37" s="2850"/>
    </row>
    <row r="38" spans="1:16" s="1188" customFormat="1" hidden="1">
      <c r="B38" s="1185" t="s">
        <v>380</v>
      </c>
      <c r="C38" s="1205" t="s">
        <v>2458</v>
      </c>
      <c r="D38" s="2851">
        <f t="shared" si="9"/>
        <v>0</v>
      </c>
      <c r="E38" s="2851"/>
      <c r="F38" s="2851"/>
      <c r="G38" s="2851"/>
      <c r="H38" s="2851"/>
      <c r="I38" s="2851"/>
      <c r="J38" s="2851"/>
      <c r="K38" s="2851"/>
      <c r="L38" s="2851"/>
      <c r="M38" s="2851"/>
      <c r="N38" s="2851"/>
      <c r="O38" s="2851"/>
      <c r="P38" s="2851"/>
    </row>
    <row r="39" spans="1:16" s="1188" customFormat="1" hidden="1">
      <c r="B39" s="1185" t="s">
        <v>381</v>
      </c>
      <c r="C39" s="1205" t="s">
        <v>1340</v>
      </c>
      <c r="D39" s="2851">
        <f t="shared" si="9"/>
        <v>0</v>
      </c>
      <c r="E39" s="2851"/>
      <c r="F39" s="2851"/>
      <c r="G39" s="2851"/>
      <c r="H39" s="2851"/>
      <c r="I39" s="2851"/>
      <c r="J39" s="2851"/>
      <c r="K39" s="2851"/>
      <c r="L39" s="2851"/>
      <c r="M39" s="2851"/>
      <c r="N39" s="2851"/>
      <c r="O39" s="2851"/>
      <c r="P39" s="2851"/>
    </row>
    <row r="40" spans="1:16" s="1188" customFormat="1" hidden="1">
      <c r="B40" s="1185" t="s">
        <v>382</v>
      </c>
      <c r="C40" s="1205" t="s">
        <v>1341</v>
      </c>
      <c r="D40" s="2851">
        <f t="shared" si="9"/>
        <v>0</v>
      </c>
      <c r="E40" s="2851"/>
      <c r="F40" s="2851"/>
      <c r="G40" s="2851"/>
      <c r="H40" s="2851"/>
      <c r="I40" s="2851"/>
      <c r="J40" s="2851"/>
      <c r="K40" s="2851"/>
      <c r="L40" s="2851"/>
      <c r="M40" s="2851"/>
      <c r="N40" s="2851"/>
      <c r="O40" s="2851"/>
      <c r="P40" s="2851"/>
    </row>
    <row r="41" spans="1:16" s="1188" customFormat="1" hidden="1">
      <c r="B41" s="1185" t="s">
        <v>383</v>
      </c>
      <c r="C41" s="1205" t="s">
        <v>1342</v>
      </c>
      <c r="D41" s="2851">
        <f t="shared" si="9"/>
        <v>0</v>
      </c>
      <c r="E41" s="2851"/>
      <c r="F41" s="2851"/>
      <c r="G41" s="2851"/>
      <c r="H41" s="2851"/>
      <c r="I41" s="2851"/>
      <c r="J41" s="2851"/>
      <c r="K41" s="2851"/>
      <c r="L41" s="2851"/>
      <c r="M41" s="2851"/>
      <c r="N41" s="2851"/>
      <c r="O41" s="2851"/>
      <c r="P41" s="2851"/>
    </row>
    <row r="42" spans="1:16" s="1188" customFormat="1" hidden="1">
      <c r="B42" s="1206" t="s">
        <v>384</v>
      </c>
      <c r="C42" s="1207" t="s">
        <v>2459</v>
      </c>
      <c r="D42" s="2852">
        <f t="shared" si="9"/>
        <v>0</v>
      </c>
      <c r="E42" s="2852"/>
      <c r="F42" s="2852"/>
      <c r="G42" s="2852"/>
      <c r="H42" s="2852"/>
      <c r="I42" s="2852"/>
      <c r="J42" s="2852"/>
      <c r="K42" s="2852"/>
      <c r="L42" s="2852"/>
      <c r="M42" s="2852"/>
      <c r="N42" s="2852"/>
      <c r="O42" s="2852"/>
      <c r="P42" s="2852"/>
    </row>
    <row r="43" spans="1:16">
      <c r="D43" s="2853"/>
      <c r="E43" s="2853"/>
      <c r="F43" s="2853">
        <v>37655</v>
      </c>
      <c r="G43" s="2853">
        <v>39952</v>
      </c>
      <c r="H43" s="2853"/>
      <c r="I43" s="2853">
        <v>56062</v>
      </c>
      <c r="J43" s="2853"/>
      <c r="K43" s="2853">
        <f>96972</f>
        <v>96972</v>
      </c>
      <c r="L43" s="2853"/>
      <c r="M43" s="2853">
        <v>49815</v>
      </c>
      <c r="N43" s="2853"/>
      <c r="O43" s="2853"/>
      <c r="P43" s="2853">
        <v>51129</v>
      </c>
    </row>
    <row r="44" spans="1:16" hidden="1">
      <c r="F44" s="1208">
        <f>G44-G23</f>
        <v>0</v>
      </c>
      <c r="G44" s="1172">
        <f>56760</f>
        <v>56760</v>
      </c>
      <c r="I44" s="1208"/>
      <c r="K44" s="2869"/>
      <c r="M44" s="1208"/>
    </row>
    <row r="45" spans="1:16" s="1174" customFormat="1" hidden="1">
      <c r="C45" s="1174" t="s">
        <v>2558</v>
      </c>
      <c r="D45" s="2802"/>
    </row>
    <row r="46" spans="1:16" hidden="1">
      <c r="C46" s="1172" t="s">
        <v>2559</v>
      </c>
      <c r="D46" s="1208">
        <f>SUM(E46:P46)</f>
        <v>886000</v>
      </c>
      <c r="E46" s="1208">
        <f>E6</f>
        <v>36493</v>
      </c>
      <c r="F46" s="1208">
        <f t="shared" ref="F46:P46" si="10">F6</f>
        <v>0</v>
      </c>
      <c r="G46" s="1208">
        <f t="shared" si="10"/>
        <v>36249</v>
      </c>
      <c r="H46" s="1208">
        <f t="shared" si="10"/>
        <v>21613</v>
      </c>
      <c r="I46" s="1208">
        <f t="shared" si="10"/>
        <v>39471</v>
      </c>
      <c r="J46" s="1208">
        <f t="shared" si="10"/>
        <v>395603</v>
      </c>
      <c r="K46" s="1208">
        <f t="shared" si="10"/>
        <v>59176</v>
      </c>
      <c r="L46" s="1208">
        <f t="shared" si="10"/>
        <v>26700</v>
      </c>
      <c r="M46" s="1208">
        <f t="shared" si="10"/>
        <v>39278</v>
      </c>
      <c r="N46" s="1208">
        <f t="shared" si="10"/>
        <v>22770</v>
      </c>
      <c r="O46" s="1208">
        <f t="shared" si="10"/>
        <v>174966</v>
      </c>
      <c r="P46" s="1208">
        <f t="shared" si="10"/>
        <v>33681</v>
      </c>
    </row>
    <row r="47" spans="1:16" hidden="1">
      <c r="C47" s="1172" t="s">
        <v>2560</v>
      </c>
      <c r="D47" s="1208">
        <f>SUM(E47:P47)</f>
        <v>5625.0599999999995</v>
      </c>
      <c r="E47" s="1172">
        <f>'Phụ lục 7.3-CĐCS'!AC19</f>
        <v>1176</v>
      </c>
      <c r="F47" s="1172">
        <f>'Phụ lục 7.3-CĐCS'!AQ19</f>
        <v>11</v>
      </c>
      <c r="G47" s="1172">
        <f>'Phụ lục 7.3-CĐCS'!BE19</f>
        <v>719</v>
      </c>
      <c r="H47" s="1172">
        <f>'Phụ lục 7.3-CĐCS'!BS19</f>
        <v>314.23999999999995</v>
      </c>
      <c r="I47" s="1172">
        <f>'Phụ lục 7.3-CĐCS'!CG19</f>
        <v>1472</v>
      </c>
      <c r="J47" s="1172">
        <f>'Phụ lục 7.3-CĐCS'!CU19</f>
        <v>494.8</v>
      </c>
      <c r="K47" s="1172">
        <f>'Phụ lục 7.3-CĐCS'!DI19</f>
        <v>249.59199999999998</v>
      </c>
      <c r="L47" s="1172">
        <f>'Phụ lục 7.3-CĐCS'!DW19</f>
        <v>271.39999999999998</v>
      </c>
      <c r="M47" s="1172">
        <f>'Phụ lục 7.3-CĐCS'!EK19</f>
        <v>463.05199999999996</v>
      </c>
      <c r="N47" s="1172">
        <f>'Phụ lục 7.3-CĐCS'!EY19</f>
        <v>131.28800000000001</v>
      </c>
      <c r="O47" s="1172">
        <f>'Phụ lục 7.3-CĐCS'!FM19</f>
        <v>190.52</v>
      </c>
      <c r="P47" s="1172">
        <f>'Phụ lục 7.3-CĐCS'!GA19</f>
        <v>132.16800000000001</v>
      </c>
    </row>
    <row r="48" spans="1:16" s="1174" customFormat="1" hidden="1">
      <c r="C48" s="1174" t="s">
        <v>2561</v>
      </c>
      <c r="D48" s="2802">
        <f>D46+D47</f>
        <v>891625.06</v>
      </c>
      <c r="E48" s="2802">
        <f t="shared" ref="E48:P48" si="11">E46+E47</f>
        <v>37669</v>
      </c>
      <c r="F48" s="2802">
        <f t="shared" si="11"/>
        <v>11</v>
      </c>
      <c r="G48" s="2802">
        <f t="shared" si="11"/>
        <v>36968</v>
      </c>
      <c r="H48" s="2802">
        <f t="shared" si="11"/>
        <v>21927.24</v>
      </c>
      <c r="I48" s="2802">
        <f t="shared" si="11"/>
        <v>40943</v>
      </c>
      <c r="J48" s="2802">
        <f t="shared" si="11"/>
        <v>396097.8</v>
      </c>
      <c r="K48" s="2802">
        <f t="shared" si="11"/>
        <v>59425.591999999997</v>
      </c>
      <c r="L48" s="2802">
        <f t="shared" si="11"/>
        <v>26971.4</v>
      </c>
      <c r="M48" s="2802">
        <f t="shared" si="11"/>
        <v>39741.052000000003</v>
      </c>
      <c r="N48" s="2802">
        <f t="shared" si="11"/>
        <v>22901.288</v>
      </c>
      <c r="O48" s="2802">
        <f t="shared" si="11"/>
        <v>175156.52</v>
      </c>
      <c r="P48" s="2802">
        <f t="shared" si="11"/>
        <v>33813.167999999998</v>
      </c>
    </row>
    <row r="49" spans="3:16" hidden="1">
      <c r="D49" s="2806">
        <f t="shared" ref="D49:P49" si="12">D51-D54</f>
        <v>264423.01174420083</v>
      </c>
      <c r="E49" s="2806">
        <f t="shared" si="12"/>
        <v>19875.495100440399</v>
      </c>
      <c r="F49" s="2806">
        <f t="shared" si="12"/>
        <v>16142.156246299994</v>
      </c>
      <c r="G49" s="2806">
        <f t="shared" si="12"/>
        <v>19874.433643361917</v>
      </c>
      <c r="H49" s="2806">
        <f t="shared" si="12"/>
        <v>20742.804113230057</v>
      </c>
      <c r="I49" s="2806">
        <f t="shared" si="12"/>
        <v>22128.848982783034</v>
      </c>
      <c r="J49" s="2806">
        <f t="shared" si="12"/>
        <v>22927.060881209203</v>
      </c>
      <c r="K49" s="2806">
        <f t="shared" si="12"/>
        <v>29925.165543829266</v>
      </c>
      <c r="L49" s="2806">
        <f t="shared" si="12"/>
        <v>21614.405311647097</v>
      </c>
      <c r="M49" s="2806">
        <f t="shared" si="12"/>
        <v>22280.728087503034</v>
      </c>
      <c r="N49" s="2806">
        <f t="shared" si="12"/>
        <v>23077.044166866217</v>
      </c>
      <c r="O49" s="2806">
        <f t="shared" si="12"/>
        <v>16953.150357876832</v>
      </c>
      <c r="P49" s="2806">
        <f t="shared" si="12"/>
        <v>28881.719309153821</v>
      </c>
    </row>
    <row r="50" spans="3:16" hidden="1">
      <c r="C50" s="1174" t="s">
        <v>2570</v>
      </c>
      <c r="D50" s="1208"/>
      <c r="E50" s="1208"/>
      <c r="F50" s="1208"/>
      <c r="G50" s="1208"/>
      <c r="H50" s="1208"/>
      <c r="I50" s="1208"/>
      <c r="J50" s="1208"/>
      <c r="K50" s="1208"/>
      <c r="L50" s="1208"/>
      <c r="M50" s="1208"/>
      <c r="N50" s="1208"/>
      <c r="O50" s="1208"/>
      <c r="P50" s="1208"/>
    </row>
    <row r="51" spans="3:16" hidden="1">
      <c r="C51" s="1172" t="s">
        <v>2571</v>
      </c>
      <c r="D51" s="2802">
        <f>D54+D57+D60+D63+D66</f>
        <v>884222.46798636694</v>
      </c>
      <c r="E51" s="2802">
        <f t="shared" ref="E51:P51" si="13">E54+E57+E60+E63+E66</f>
        <v>75636.184932559583</v>
      </c>
      <c r="F51" s="2802">
        <f t="shared" si="13"/>
        <v>52507.045508619987</v>
      </c>
      <c r="G51" s="2802">
        <f t="shared" si="13"/>
        <v>69345.562003281128</v>
      </c>
      <c r="H51" s="2802">
        <f t="shared" si="13"/>
        <v>57420.977692590066</v>
      </c>
      <c r="I51" s="2802">
        <f t="shared" si="13"/>
        <v>75143.210690831824</v>
      </c>
      <c r="J51" s="2802">
        <f t="shared" si="13"/>
        <v>76404.683386924109</v>
      </c>
      <c r="K51" s="2802">
        <f t="shared" si="13"/>
        <v>104772.14619260782</v>
      </c>
      <c r="L51" s="2802">
        <f t="shared" si="13"/>
        <v>76494.830814874513</v>
      </c>
      <c r="M51" s="2802">
        <f t="shared" si="13"/>
        <v>84745.239969639137</v>
      </c>
      <c r="N51" s="2802">
        <f t="shared" si="13"/>
        <v>79597.465949026242</v>
      </c>
      <c r="O51" s="2802">
        <f t="shared" si="13"/>
        <v>53630.907417698836</v>
      </c>
      <c r="P51" s="2802">
        <f t="shared" si="13"/>
        <v>78524.213427713796</v>
      </c>
    </row>
    <row r="52" spans="3:16" hidden="1">
      <c r="C52" s="1172" t="s">
        <v>2567</v>
      </c>
      <c r="D52" s="1208">
        <f>D55+D58+D61+D64+D67</f>
        <v>743349.46798636694</v>
      </c>
      <c r="E52" s="1208">
        <f t="shared" ref="E52:P52" si="14">E55+E58+E61+E64+E67</f>
        <v>61336.184932559576</v>
      </c>
      <c r="F52" s="1208">
        <f t="shared" si="14"/>
        <v>36507.045508619987</v>
      </c>
      <c r="G52" s="1208">
        <f t="shared" si="14"/>
        <v>54775.562003281128</v>
      </c>
      <c r="H52" s="1208">
        <f t="shared" si="14"/>
        <v>54037.977692590066</v>
      </c>
      <c r="I52" s="1208">
        <f t="shared" si="14"/>
        <v>67303.210690831824</v>
      </c>
      <c r="J52" s="1208">
        <f t="shared" si="14"/>
        <v>66324.683386924109</v>
      </c>
      <c r="K52" s="1208">
        <f t="shared" si="14"/>
        <v>88772.146192607819</v>
      </c>
      <c r="L52" s="1208">
        <f t="shared" si="14"/>
        <v>72574.830814874513</v>
      </c>
      <c r="M52" s="1208">
        <f t="shared" si="14"/>
        <v>71315.239969639137</v>
      </c>
      <c r="N52" s="1208">
        <f t="shared" si="14"/>
        <v>66397.465949026227</v>
      </c>
      <c r="O52" s="1208">
        <f t="shared" si="14"/>
        <v>44830.907417698836</v>
      </c>
      <c r="P52" s="1208">
        <f t="shared" si="14"/>
        <v>59174.213427713796</v>
      </c>
    </row>
    <row r="53" spans="3:16" hidden="1">
      <c r="C53" s="1172" t="s">
        <v>2568</v>
      </c>
      <c r="D53" s="2806">
        <f>D56+D59++D62+D65+D68</f>
        <v>140873</v>
      </c>
      <c r="E53" s="2806">
        <f t="shared" ref="E53:P53" si="15">E56+E59++E62+E65+E68</f>
        <v>14300</v>
      </c>
      <c r="F53" s="2806">
        <f t="shared" si="15"/>
        <v>16000</v>
      </c>
      <c r="G53" s="2806">
        <f t="shared" si="15"/>
        <v>14570</v>
      </c>
      <c r="H53" s="2806">
        <f t="shared" si="15"/>
        <v>3383</v>
      </c>
      <c r="I53" s="2806">
        <f t="shared" si="15"/>
        <v>7840</v>
      </c>
      <c r="J53" s="2806">
        <f t="shared" si="15"/>
        <v>10080</v>
      </c>
      <c r="K53" s="2806">
        <f t="shared" si="15"/>
        <v>16000</v>
      </c>
      <c r="L53" s="2806">
        <f t="shared" si="15"/>
        <v>3920</v>
      </c>
      <c r="M53" s="2806">
        <f t="shared" si="15"/>
        <v>13430</v>
      </c>
      <c r="N53" s="2806">
        <f t="shared" si="15"/>
        <v>13200</v>
      </c>
      <c r="O53" s="2806">
        <f t="shared" si="15"/>
        <v>8800</v>
      </c>
      <c r="P53" s="2806">
        <f t="shared" si="15"/>
        <v>19350</v>
      </c>
    </row>
    <row r="54" spans="3:16" s="1174" customFormat="1" hidden="1">
      <c r="C54" s="1174" t="s">
        <v>2566</v>
      </c>
      <c r="D54" s="2805">
        <f>D55+D56</f>
        <v>619799.45624216611</v>
      </c>
      <c r="E54" s="2805">
        <f>E55+E56</f>
        <v>55760.689832119184</v>
      </c>
      <c r="F54" s="2805">
        <f>'[31]chi tiết tung sn 12 thang'!M10+'[31]chi tiết tung sn 12 thang'!M41</f>
        <v>36364.889262319994</v>
      </c>
      <c r="G54" s="2805">
        <f>'[31]chi tiết tung sn 12 thang'!N10+'[31]chi tiết tung sn 12 thang'!N41</f>
        <v>49471.12835991921</v>
      </c>
      <c r="H54" s="2805">
        <f>'[31]chi tiết tung sn 12 thang'!O10+'[31]chi tiết tung sn 12 thang'!O41</f>
        <v>36678.173579360009</v>
      </c>
      <c r="I54" s="2805">
        <f>'[31]chi tiết tung sn 12 thang'!P10+'[31]chi tiết tung sn 12 thang'!P41</f>
        <v>53014.361708048789</v>
      </c>
      <c r="J54" s="2805">
        <f>'[31]chi tiết tung sn 12 thang'!Q10+'[31]chi tiết tung sn 12 thang'!Q41</f>
        <v>53477.622505714906</v>
      </c>
      <c r="K54" s="2805">
        <f>'[31]chi tiết tung sn 12 thang'!R10+'[31]chi tiết tung sn 12 thang'!R41</f>
        <v>74846.980648778554</v>
      </c>
      <c r="L54" s="2805">
        <f>'[31]chi tiết tung sn 12 thang'!S10+'[31]chi tiết tung sn 12 thang'!S41</f>
        <v>54880.425503227416</v>
      </c>
      <c r="M54" s="2805">
        <f>'[31]chi tiết tung sn 12 thang'!T10+'[31]chi tiết tung sn 12 thang'!T41</f>
        <v>62464.511882136103</v>
      </c>
      <c r="N54" s="2805">
        <f>'[31]chi tiết tung sn 12 thang'!U10+'[31]chi tiết tung sn 12 thang'!U41</f>
        <v>56520.421782160025</v>
      </c>
      <c r="O54" s="2805">
        <f>'[31]chi tiết tung sn 12 thang'!V10+'[31]chi tiết tung sn 12 thang'!V41</f>
        <v>36677.757059822005</v>
      </c>
      <c r="P54" s="2805">
        <f>'[31]chi tiết tung sn 12 thang'!W10+'[31]chi tiết tung sn 12 thang'!W41</f>
        <v>49642.494118559975</v>
      </c>
    </row>
    <row r="55" spans="3:16" hidden="1">
      <c r="C55" s="1172" t="s">
        <v>2567</v>
      </c>
      <c r="D55" s="2805">
        <f>SUM(E55:P55)</f>
        <v>504235.45624216611</v>
      </c>
      <c r="E55" s="2804">
        <f>'[31]chi tiết tung sn 12 thang'!L10</f>
        <v>44040.689832119184</v>
      </c>
      <c r="F55" s="2804">
        <f>'[31]chi tiết tung sn 12 thang'!M10</f>
        <v>22364.889262319994</v>
      </c>
      <c r="G55" s="2804">
        <f>'[31]chi tiết tung sn 12 thang'!N10</f>
        <v>38271.12835991921</v>
      </c>
      <c r="H55" s="2804">
        <f>'[31]chi tiết tung sn 12 thang'!O10</f>
        <v>33778.173579360009</v>
      </c>
      <c r="I55" s="2804">
        <f>'[31]chi tiết tung sn 12 thang'!P10</f>
        <v>47414.361708048789</v>
      </c>
      <c r="J55" s="2804">
        <f>'[31]chi tiết tung sn 12 thang'!Q10</f>
        <v>44727.622505714906</v>
      </c>
      <c r="K55" s="2804">
        <f>'[31]chi tiết tung sn 12 thang'!R10</f>
        <v>61546.980648778546</v>
      </c>
      <c r="L55" s="2804">
        <f>'[31]chi tiết tung sn 12 thang'!S10</f>
        <v>51321.425503227416</v>
      </c>
      <c r="M55" s="2804">
        <f>'[31]chi tiết tung sn 12 thang'!T10</f>
        <v>49814.511882136103</v>
      </c>
      <c r="N55" s="2804">
        <f>'[31]chi tiết tung sn 12 thang'!U10</f>
        <v>44570.421782160025</v>
      </c>
      <c r="O55" s="2804">
        <f>'[31]chi tiết tung sn 12 thang'!V10</f>
        <v>29177.757059822005</v>
      </c>
      <c r="P55" s="2804">
        <f>'[31]chi tiết tung sn 12 thang'!W10</f>
        <v>37207.494118559975</v>
      </c>
    </row>
    <row r="56" spans="3:16" hidden="1">
      <c r="C56" s="1172" t="s">
        <v>2568</v>
      </c>
      <c r="D56" s="2805">
        <f>SUM(E56:P56)</f>
        <v>115564</v>
      </c>
      <c r="E56" s="2804">
        <f>'[31]chi tiết tung sn 12 thang'!L41</f>
        <v>11720</v>
      </c>
      <c r="F56" s="2804">
        <f>'[31]chi tiết tung sn 12 thang'!M41</f>
        <v>14000</v>
      </c>
      <c r="G56" s="2804">
        <f>'[31]chi tiết tung sn 12 thang'!N41</f>
        <v>11200</v>
      </c>
      <c r="H56" s="2804">
        <f>'[31]chi tiết tung sn 12 thang'!O41</f>
        <v>2900</v>
      </c>
      <c r="I56" s="2804">
        <f>'[31]chi tiết tung sn 12 thang'!P41</f>
        <v>5600</v>
      </c>
      <c r="J56" s="2804">
        <f>'[31]chi tiết tung sn 12 thang'!Q41</f>
        <v>8750</v>
      </c>
      <c r="K56" s="2804">
        <f>'[31]chi tiết tung sn 12 thang'!R41</f>
        <v>13300</v>
      </c>
      <c r="L56" s="2804">
        <f>'[31]chi tiết tung sn 12 thang'!S41</f>
        <v>3559</v>
      </c>
      <c r="M56" s="2804">
        <f>'[31]chi tiết tung sn 12 thang'!T41</f>
        <v>12650</v>
      </c>
      <c r="N56" s="2804">
        <f>'[31]chi tiết tung sn 12 thang'!U41</f>
        <v>11950</v>
      </c>
      <c r="O56" s="2804">
        <f>'[31]chi tiết tung sn 12 thang'!V41</f>
        <v>7500</v>
      </c>
      <c r="P56" s="2804">
        <f>'[31]chi tiết tung sn 12 thang'!W41</f>
        <v>12435</v>
      </c>
    </row>
    <row r="57" spans="3:16" hidden="1">
      <c r="C57" s="2803" t="s">
        <v>2569</v>
      </c>
      <c r="D57" s="2805">
        <f>D58+D59</f>
        <v>220750.6158635313</v>
      </c>
      <c r="E57" s="2805">
        <f t="shared" ref="E57:P57" si="16">E58+E59</f>
        <v>16526.293305320389</v>
      </c>
      <c r="F57" s="2805">
        <f t="shared" si="16"/>
        <v>11816.4216739</v>
      </c>
      <c r="G57" s="2805">
        <f t="shared" si="16"/>
        <v>15511.550046518425</v>
      </c>
      <c r="H57" s="2805">
        <f t="shared" si="16"/>
        <v>18213.737888590054</v>
      </c>
      <c r="I57" s="2805">
        <f t="shared" si="16"/>
        <v>18837.090629552153</v>
      </c>
      <c r="J57" s="2805">
        <f t="shared" si="16"/>
        <v>19099.356395209197</v>
      </c>
      <c r="K57" s="2805">
        <f t="shared" si="16"/>
        <v>26554.030886149267</v>
      </c>
      <c r="L57" s="2805">
        <f t="shared" si="16"/>
        <v>18966.828821847892</v>
      </c>
      <c r="M57" s="2805">
        <f t="shared" si="16"/>
        <v>18954.241563959407</v>
      </c>
      <c r="N57" s="2805">
        <f t="shared" si="16"/>
        <v>18919.288816266213</v>
      </c>
      <c r="O57" s="2805">
        <f t="shared" si="16"/>
        <v>13806.572142264478</v>
      </c>
      <c r="P57" s="2805">
        <f t="shared" si="16"/>
        <v>23545.203693953823</v>
      </c>
    </row>
    <row r="58" spans="3:16" hidden="1">
      <c r="C58" s="1172" t="s">
        <v>2567</v>
      </c>
      <c r="D58" s="2805">
        <f>SUM(E58:P58)</f>
        <v>203829.6158635313</v>
      </c>
      <c r="E58" s="2804">
        <f>'[31]chi tiết tung sn 12 thang'!L13</f>
        <v>14226.293305320387</v>
      </c>
      <c r="F58" s="2804">
        <f>'[31]chi tiết tung sn 12 thang'!M13</f>
        <v>10816.4216739</v>
      </c>
      <c r="G58" s="2804">
        <f>'[31]chi tiết tung sn 12 thang'!N13</f>
        <v>13511.550046518425</v>
      </c>
      <c r="H58" s="2804">
        <f>'[31]chi tiết tung sn 12 thang'!O13</f>
        <v>17730.737888590054</v>
      </c>
      <c r="I58" s="2804">
        <f>'[31]chi tiết tung sn 12 thang'!P13</f>
        <v>17277.090629552153</v>
      </c>
      <c r="J58" s="2804">
        <f>'[31]chi tiết tung sn 12 thang'!Q13</f>
        <v>18610.356395209197</v>
      </c>
      <c r="K58" s="2804">
        <f>'[31]chi tiết tung sn 12 thang'!R13</f>
        <v>23854.030886149267</v>
      </c>
      <c r="L58" s="2804">
        <f>'[31]chi tiết tung sn 12 thang'!S13</f>
        <v>18605.828821847892</v>
      </c>
      <c r="M58" s="2804">
        <f>'[31]chi tiết tung sn 12 thang'!T13</f>
        <v>18576.241563959407</v>
      </c>
      <c r="N58" s="2804">
        <f>'[31]chi tiết tung sn 12 thang'!U13</f>
        <v>18719.288816266213</v>
      </c>
      <c r="O58" s="2804">
        <f>'[31]chi tiết tung sn 12 thang'!V13</f>
        <v>12856.572142264478</v>
      </c>
      <c r="P58" s="2804">
        <f>'[31]chi tiết tung sn 12 thang'!W13</f>
        <v>19045.203693953823</v>
      </c>
    </row>
    <row r="59" spans="3:16" hidden="1">
      <c r="C59" s="1172" t="s">
        <v>2568</v>
      </c>
      <c r="D59" s="2805">
        <f>SUM(E59:P59)</f>
        <v>16921</v>
      </c>
      <c r="E59" s="2804">
        <f>'[31]chi tiết tung sn 12 thang'!L44</f>
        <v>2300</v>
      </c>
      <c r="F59" s="2804">
        <f>'[31]chi tiết tung sn 12 thang'!M44</f>
        <v>1000</v>
      </c>
      <c r="G59" s="2804">
        <f>'[31]chi tiết tung sn 12 thang'!N44</f>
        <v>2000</v>
      </c>
      <c r="H59" s="2804">
        <f>'[31]chi tiết tung sn 12 thang'!O44</f>
        <v>483</v>
      </c>
      <c r="I59" s="2804">
        <f>'[31]chi tiết tung sn 12 thang'!P44</f>
        <v>1560</v>
      </c>
      <c r="J59" s="2804">
        <f>'[31]chi tiết tung sn 12 thang'!Q44</f>
        <v>489</v>
      </c>
      <c r="K59" s="2804">
        <f>'[31]chi tiết tung sn 12 thang'!R44</f>
        <v>2700</v>
      </c>
      <c r="L59" s="2804">
        <f>'[31]chi tiết tung sn 12 thang'!S44</f>
        <v>361</v>
      </c>
      <c r="M59" s="2804">
        <f>'[31]chi tiết tung sn 12 thang'!T44</f>
        <v>378</v>
      </c>
      <c r="N59" s="2804">
        <f>'[31]chi tiết tung sn 12 thang'!U44</f>
        <v>200</v>
      </c>
      <c r="O59" s="2804">
        <f>'[31]chi tiết tung sn 12 thang'!V44</f>
        <v>950</v>
      </c>
      <c r="P59" s="2804">
        <f>'[31]chi tiết tung sn 12 thang'!W44</f>
        <v>4500</v>
      </c>
    </row>
    <row r="60" spans="3:16" hidden="1">
      <c r="C60" s="2803" t="s">
        <v>2562</v>
      </c>
      <c r="D60" s="2805">
        <f>SUM(D61:D62)</f>
        <v>3952.3958716824163</v>
      </c>
      <c r="E60" s="2805">
        <f t="shared" ref="E60:P60" si="17">SUM(E61:E62)</f>
        <v>310.82233824000014</v>
      </c>
      <c r="F60" s="2805">
        <f t="shared" si="17"/>
        <v>362.75356799999975</v>
      </c>
      <c r="G60" s="2805">
        <f t="shared" si="17"/>
        <v>315.63129384000007</v>
      </c>
      <c r="H60" s="2805">
        <f t="shared" si="17"/>
        <v>192.72427199999998</v>
      </c>
      <c r="I60" s="2805">
        <f t="shared" si="17"/>
        <v>304.59616680000045</v>
      </c>
      <c r="J60" s="2805">
        <f t="shared" si="17"/>
        <v>278.10496800000004</v>
      </c>
      <c r="K60" s="2805">
        <f t="shared" si="17"/>
        <v>374.31519407999997</v>
      </c>
      <c r="L60" s="2805">
        <f t="shared" si="17"/>
        <v>288.56420987919478</v>
      </c>
      <c r="M60" s="2805">
        <f t="shared" si="17"/>
        <v>347.88286800000003</v>
      </c>
      <c r="N60" s="2805">
        <f t="shared" si="17"/>
        <v>523.80965484000023</v>
      </c>
      <c r="O60" s="2805">
        <f t="shared" si="17"/>
        <v>306.43315248322153</v>
      </c>
      <c r="P60" s="2805">
        <f t="shared" si="17"/>
        <v>346.75818551999987</v>
      </c>
    </row>
    <row r="61" spans="3:16" hidden="1">
      <c r="C61" s="1172" t="s">
        <v>2567</v>
      </c>
      <c r="D61" s="2805">
        <f>SUM(E61:P61)</f>
        <v>3952.3958716824163</v>
      </c>
      <c r="E61" s="2804">
        <f>'[31]chi tiết tung sn 12 thang'!L16</f>
        <v>310.82233824000014</v>
      </c>
      <c r="F61" s="2804">
        <f>'[31]chi tiết tung sn 12 thang'!M16</f>
        <v>362.75356799999975</v>
      </c>
      <c r="G61" s="2804">
        <f>'[31]chi tiết tung sn 12 thang'!N16</f>
        <v>315.63129384000007</v>
      </c>
      <c r="H61" s="2804">
        <f>'[31]chi tiết tung sn 12 thang'!O16</f>
        <v>192.72427199999998</v>
      </c>
      <c r="I61" s="2804">
        <f>'[31]chi tiết tung sn 12 thang'!P16</f>
        <v>304.59616680000045</v>
      </c>
      <c r="J61" s="2804">
        <f>'[31]chi tiết tung sn 12 thang'!Q16</f>
        <v>278.10496800000004</v>
      </c>
      <c r="K61" s="2804">
        <f>'[31]chi tiết tung sn 12 thang'!R16</f>
        <v>374.31519407999997</v>
      </c>
      <c r="L61" s="2804">
        <f>'[31]chi tiết tung sn 12 thang'!S16</f>
        <v>288.56420987919478</v>
      </c>
      <c r="M61" s="2804">
        <f>'[31]chi tiết tung sn 12 thang'!T16</f>
        <v>347.88286800000003</v>
      </c>
      <c r="N61" s="2804">
        <f>'[31]chi tiết tung sn 12 thang'!U16</f>
        <v>523.80965484000023</v>
      </c>
      <c r="O61" s="2804">
        <f>'[31]chi tiết tung sn 12 thang'!V16</f>
        <v>306.43315248322153</v>
      </c>
      <c r="P61" s="2804">
        <f>'[31]chi tiết tung sn 12 thang'!W16</f>
        <v>346.75818551999987</v>
      </c>
    </row>
    <row r="62" spans="3:16" hidden="1">
      <c r="C62" s="1172" t="s">
        <v>2568</v>
      </c>
      <c r="D62" s="2804"/>
      <c r="E62" s="2804"/>
      <c r="F62" s="2804"/>
      <c r="G62" s="2804"/>
      <c r="H62" s="2804"/>
      <c r="I62" s="2804"/>
      <c r="J62" s="2804"/>
      <c r="K62" s="2804"/>
      <c r="L62" s="2804"/>
      <c r="M62" s="2804"/>
      <c r="N62" s="2804"/>
      <c r="O62" s="2804"/>
      <c r="P62" s="2804"/>
    </row>
    <row r="63" spans="3:16" hidden="1">
      <c r="C63" s="2803" t="s">
        <v>2563</v>
      </c>
      <c r="D63" s="2805">
        <f>SUM(D64:D65)</f>
        <v>14032.733942987115</v>
      </c>
      <c r="E63" s="2805">
        <f>SUM(E64:E65)</f>
        <v>828.13029687999995</v>
      </c>
      <c r="F63" s="2805">
        <f t="shared" ref="F63:P63" si="18">SUM(F64:F65)</f>
        <v>1550.4382443999998</v>
      </c>
      <c r="G63" s="2805">
        <f t="shared" si="18"/>
        <v>1812.2651430034896</v>
      </c>
      <c r="H63" s="2805">
        <f t="shared" si="18"/>
        <v>469.64223264000009</v>
      </c>
      <c r="I63" s="2805">
        <f t="shared" si="18"/>
        <v>1037.8040664308726</v>
      </c>
      <c r="J63" s="2805">
        <f t="shared" si="18"/>
        <v>1257.6998919999999</v>
      </c>
      <c r="K63" s="2805">
        <f t="shared" si="18"/>
        <v>582.12654360000022</v>
      </c>
      <c r="L63" s="2805">
        <f t="shared" si="18"/>
        <v>319.07215992000005</v>
      </c>
      <c r="M63" s="2805">
        <f t="shared" si="18"/>
        <v>887.92273554362419</v>
      </c>
      <c r="N63" s="2805">
        <f t="shared" si="18"/>
        <v>1518.41517576</v>
      </c>
      <c r="O63" s="2805">
        <f t="shared" si="18"/>
        <v>1006.664943129128</v>
      </c>
      <c r="P63" s="2805">
        <f t="shared" si="18"/>
        <v>2762.5525096800002</v>
      </c>
    </row>
    <row r="64" spans="3:16" hidden="1">
      <c r="C64" s="1172" t="s">
        <v>2567</v>
      </c>
      <c r="D64" s="2805">
        <f>SUM(E64:P64)</f>
        <v>5644.7339429871154</v>
      </c>
      <c r="E64" s="2804">
        <f>'[31]chi tiết tung sn 12 thang'!L19</f>
        <v>548.13029687999995</v>
      </c>
      <c r="F64" s="2804">
        <f>'[31]chi tiết tung sn 12 thang'!M19</f>
        <v>550.43824439999992</v>
      </c>
      <c r="G64" s="2804">
        <f>'[31]chi tiết tung sn 12 thang'!N19</f>
        <v>442.26514300348958</v>
      </c>
      <c r="H64" s="2804">
        <f>'[31]chi tiết tung sn 12 thang'!O19</f>
        <v>469.64223264000009</v>
      </c>
      <c r="I64" s="2804">
        <f>'[31]chi tiết tung sn 12 thang'!P19</f>
        <v>357.80406643087258</v>
      </c>
      <c r="J64" s="2804">
        <f>'[31]chi tiết tung sn 12 thang'!Q19</f>
        <v>416.69989199999986</v>
      </c>
      <c r="K64" s="2804">
        <f>'[31]chi tiết tung sn 12 thang'!R19</f>
        <v>582.12654360000022</v>
      </c>
      <c r="L64" s="2804">
        <f>'[31]chi tiết tung sn 12 thang'!S19</f>
        <v>319.07215992000005</v>
      </c>
      <c r="M64" s="2804">
        <f>'[31]chi tiết tung sn 12 thang'!T19</f>
        <v>485.92273554362419</v>
      </c>
      <c r="N64" s="2804">
        <f>'[31]chi tiết tung sn 12 thang'!U19</f>
        <v>468.41517576000001</v>
      </c>
      <c r="O64" s="2804">
        <f>'[31]chi tiết tung sn 12 thang'!V19</f>
        <v>656.66494312912801</v>
      </c>
      <c r="P64" s="2804">
        <f>'[31]chi tiết tung sn 12 thang'!W19</f>
        <v>347.55250968000018</v>
      </c>
    </row>
    <row r="65" spans="3:16" hidden="1">
      <c r="C65" s="1172" t="s">
        <v>2568</v>
      </c>
      <c r="D65" s="2805">
        <f>SUM(E65:P65)</f>
        <v>8388</v>
      </c>
      <c r="E65" s="2804">
        <f>'[31]chi tiết tung sn 12 thang'!L47</f>
        <v>280</v>
      </c>
      <c r="F65" s="2804">
        <f>'[31]chi tiết tung sn 12 thang'!M47</f>
        <v>1000</v>
      </c>
      <c r="G65" s="2804">
        <f>'[31]chi tiết tung sn 12 thang'!N47</f>
        <v>1370</v>
      </c>
      <c r="H65" s="2804">
        <f>'[31]chi tiết tung sn 12 thang'!O47</f>
        <v>0</v>
      </c>
      <c r="I65" s="2804">
        <f>'[31]chi tiết tung sn 12 thang'!P47</f>
        <v>680</v>
      </c>
      <c r="J65" s="2804">
        <f>'[31]chi tiết tung sn 12 thang'!Q47</f>
        <v>841</v>
      </c>
      <c r="K65" s="2804">
        <f>'[31]chi tiết tung sn 12 thang'!R47</f>
        <v>0</v>
      </c>
      <c r="L65" s="2804">
        <f>'[31]chi tiết tung sn 12 thang'!S47</f>
        <v>0</v>
      </c>
      <c r="M65" s="2804">
        <f>'[31]chi tiết tung sn 12 thang'!T47</f>
        <v>402</v>
      </c>
      <c r="N65" s="2804">
        <f>'[31]chi tiết tung sn 12 thang'!U47</f>
        <v>1050</v>
      </c>
      <c r="O65" s="2804">
        <f>'[31]chi tiết tung sn 12 thang'!V47</f>
        <v>350</v>
      </c>
      <c r="P65" s="2804">
        <f>'[31]chi tiết tung sn 12 thang'!W47</f>
        <v>2415</v>
      </c>
    </row>
    <row r="66" spans="3:16" hidden="1">
      <c r="C66" s="2803" t="s">
        <v>2564</v>
      </c>
      <c r="D66" s="2805">
        <f>SUM(D67:D68)</f>
        <v>25687.266066000011</v>
      </c>
      <c r="E66" s="2805">
        <f t="shared" ref="E66:P66" si="19">SUM(E67:E68)</f>
        <v>2210.2491600000012</v>
      </c>
      <c r="F66" s="2805">
        <f t="shared" si="19"/>
        <v>2412.5427599999998</v>
      </c>
      <c r="G66" s="2805">
        <f t="shared" si="19"/>
        <v>2234.987160000001</v>
      </c>
      <c r="H66" s="2805">
        <f t="shared" si="19"/>
        <v>1866.6997200000008</v>
      </c>
      <c r="I66" s="2805">
        <f t="shared" si="19"/>
        <v>1949.3581200000001</v>
      </c>
      <c r="J66" s="2805">
        <f t="shared" si="19"/>
        <v>2291.8996260000017</v>
      </c>
      <c r="K66" s="2805">
        <f t="shared" si="19"/>
        <v>2414.6929200000018</v>
      </c>
      <c r="L66" s="2805">
        <f t="shared" si="19"/>
        <v>2039.9401199999998</v>
      </c>
      <c r="M66" s="2805">
        <f t="shared" si="19"/>
        <v>2090.6809200000012</v>
      </c>
      <c r="N66" s="2805">
        <f t="shared" si="19"/>
        <v>2115.5305199999993</v>
      </c>
      <c r="O66" s="2805">
        <f t="shared" si="19"/>
        <v>1833.4801200000002</v>
      </c>
      <c r="P66" s="2805">
        <f t="shared" si="19"/>
        <v>2227.2049200000001</v>
      </c>
    </row>
    <row r="67" spans="3:16" hidden="1">
      <c r="C67" s="1172" t="s">
        <v>2567</v>
      </c>
      <c r="D67" s="2805">
        <f>SUM(E67:P67)</f>
        <v>25687.266066000011</v>
      </c>
      <c r="E67" s="2804">
        <f>'[31]chi tiết tung sn 12 thang'!L22</f>
        <v>2210.2491600000012</v>
      </c>
      <c r="F67" s="2804">
        <f>'[31]chi tiết tung sn 12 thang'!M22</f>
        <v>2412.5427599999998</v>
      </c>
      <c r="G67" s="2804">
        <f>'[31]chi tiết tung sn 12 thang'!N22</f>
        <v>2234.987160000001</v>
      </c>
      <c r="H67" s="2804">
        <f>'[31]chi tiết tung sn 12 thang'!O22</f>
        <v>1866.6997200000008</v>
      </c>
      <c r="I67" s="2804">
        <f>'[31]chi tiết tung sn 12 thang'!P22</f>
        <v>1949.3581200000001</v>
      </c>
      <c r="J67" s="2804">
        <f>'[31]chi tiết tung sn 12 thang'!Q22</f>
        <v>2291.8996260000017</v>
      </c>
      <c r="K67" s="2804">
        <f>'[31]chi tiết tung sn 12 thang'!R22</f>
        <v>2414.6929200000018</v>
      </c>
      <c r="L67" s="2804">
        <f>'[31]chi tiết tung sn 12 thang'!S22</f>
        <v>2039.9401199999998</v>
      </c>
      <c r="M67" s="2804">
        <f>'[31]chi tiết tung sn 12 thang'!T22</f>
        <v>2090.6809200000012</v>
      </c>
      <c r="N67" s="2804">
        <f>'[31]chi tiết tung sn 12 thang'!U22</f>
        <v>2115.5305199999993</v>
      </c>
      <c r="O67" s="2804">
        <f>'[31]chi tiết tung sn 12 thang'!V22</f>
        <v>1833.4801200000002</v>
      </c>
      <c r="P67" s="2804">
        <f>'[31]chi tiết tung sn 12 thang'!W22</f>
        <v>2227.2049200000001</v>
      </c>
    </row>
    <row r="68" spans="3:16" hidden="1">
      <c r="C68" s="1172" t="s">
        <v>2568</v>
      </c>
    </row>
    <row r="69" spans="3:16" hidden="1">
      <c r="C69" s="2803" t="s">
        <v>1423</v>
      </c>
    </row>
    <row r="70" spans="3:16" hidden="1">
      <c r="C70" s="1172" t="s">
        <v>2567</v>
      </c>
    </row>
    <row r="71" spans="3:16" hidden="1">
      <c r="C71" s="1172" t="s">
        <v>2568</v>
      </c>
    </row>
    <row r="72" spans="3:16" hidden="1">
      <c r="C72" s="2803" t="s">
        <v>2565</v>
      </c>
    </row>
    <row r="73" spans="3:16" hidden="1">
      <c r="C73" s="1172" t="s">
        <v>2567</v>
      </c>
    </row>
    <row r="74" spans="3:16" hidden="1">
      <c r="C74" s="1172" t="s">
        <v>2568</v>
      </c>
    </row>
    <row r="75" spans="3:16" hidden="1">
      <c r="C75" s="2803" t="s">
        <v>1426</v>
      </c>
    </row>
    <row r="76" spans="3:16" hidden="1">
      <c r="C76" s="1172" t="s">
        <v>2567</v>
      </c>
    </row>
    <row r="77" spans="3:16" hidden="1">
      <c r="C77" s="1172" t="s">
        <v>2568</v>
      </c>
    </row>
    <row r="78" spans="3:16" hidden="1">
      <c r="C78" s="2803" t="s">
        <v>1434</v>
      </c>
    </row>
    <row r="79" spans="3:16" hidden="1">
      <c r="C79" s="1172" t="s">
        <v>2567</v>
      </c>
    </row>
    <row r="80" spans="3:16" hidden="1">
      <c r="C80" s="1172" t="s">
        <v>2568</v>
      </c>
    </row>
    <row r="81" spans="3:16" hidden="1"/>
    <row r="82" spans="3:16" hidden="1">
      <c r="C82" s="1174" t="s">
        <v>2576</v>
      </c>
      <c r="D82" s="2804">
        <f>SUM(E82:P82)</f>
        <v>93668.347999999998</v>
      </c>
      <c r="E82" s="2804">
        <f>'Phụ lục 7.3-CĐCS'!AC11</f>
        <v>3431</v>
      </c>
      <c r="F82" s="2804">
        <f>'Phụ lục 7.3-CĐCS'!AQ11</f>
        <v>4055</v>
      </c>
      <c r="G82" s="2804">
        <f>'Phụ lục 7.3-CĐCS'!BE11</f>
        <v>6923.8239999999996</v>
      </c>
      <c r="H82" s="2804">
        <f>'Phụ lục 7.3-CĐCS'!BS11</f>
        <v>1686.76</v>
      </c>
      <c r="I82" s="2804">
        <f>'Phụ lục 7.3-CĐCS'!CG11</f>
        <v>4041.3519999999999</v>
      </c>
      <c r="J82" s="2804">
        <f>'Phụ lục 7.3-CĐCS'!CU11</f>
        <v>11159.2</v>
      </c>
      <c r="K82" s="2804">
        <f>'Phụ lục 7.3-CĐCS'!DI11</f>
        <v>17921.2</v>
      </c>
      <c r="L82" s="2804">
        <f>'Phụ lục 7.3-CĐCS'!DW11</f>
        <v>2610.6</v>
      </c>
      <c r="M82" s="2804">
        <f>'Phụ lục 7.3-CĐCS'!EK11</f>
        <v>22437.948</v>
      </c>
      <c r="N82" s="2804">
        <f>'Phụ lục 7.3-CĐCS'!EY11</f>
        <v>7262.7119999999995</v>
      </c>
      <c r="O82" s="2804">
        <f>'Phụ lục 7.3-CĐCS'!FM11</f>
        <v>5375.92</v>
      </c>
      <c r="P82" s="2804">
        <f>'Phụ lục 7.3-CĐCS'!GA11</f>
        <v>6762.8320000000003</v>
      </c>
    </row>
    <row r="83" spans="3:16" hidden="1">
      <c r="C83" s="1174" t="s">
        <v>2572</v>
      </c>
      <c r="D83" s="2804">
        <f>SUM(E83:P83)</f>
        <v>8238.16</v>
      </c>
      <c r="E83" s="2804">
        <f>'Phụ lục 7.3-CĐCS'!AC12</f>
        <v>1047</v>
      </c>
      <c r="F83" s="2804">
        <f>'Phụ lục 7.3-CĐCS'!AQ12</f>
        <v>557</v>
      </c>
      <c r="G83" s="2804">
        <f>'Phụ lục 7.3-CĐCS'!BE12</f>
        <v>2378.8239999999996</v>
      </c>
      <c r="H83" s="2804">
        <f>'Phụ lục 7.3-CĐCS'!BS12</f>
        <v>782.76</v>
      </c>
      <c r="I83" s="2804">
        <f>'Phụ lục 7.3-CĐCS'!CG12</f>
        <v>682.35199999999998</v>
      </c>
      <c r="J83" s="2804">
        <f>IF('Phụ lục 7.3-CĐCS'!CU12&lt;0,0,'Phụ lục 7.3-CĐCS'!CU12)</f>
        <v>0</v>
      </c>
      <c r="K83" s="2804">
        <f>'Phụ lục 7.3-CĐCS'!DI12</f>
        <v>1170.7919999999999</v>
      </c>
      <c r="L83" s="2804">
        <f>IF('Phụ lục 7.3-CĐCS'!DW12&lt;0,0,'Phụ lục 7.3-CĐCS'!DW12)</f>
        <v>0</v>
      </c>
      <c r="M83" s="2804">
        <f>'Phụ lục 7.3-CĐCS'!EK12</f>
        <v>568.80000000000007</v>
      </c>
      <c r="N83" s="2804">
        <f>'Phụ lục 7.3-CĐCS'!EY12</f>
        <v>182.71199999999999</v>
      </c>
      <c r="O83" s="2804">
        <f>'Phụ lục 7.3-CĐCS'!FM12</f>
        <v>867.92000000000007</v>
      </c>
      <c r="P83" s="2804">
        <f>IF('Phụ lục 7.3-CĐCS'!GA12&lt;0,0,'Phụ lục 7.3-CĐCS'!GA12)</f>
        <v>0</v>
      </c>
    </row>
    <row r="84" spans="3:16" hidden="1"/>
    <row r="85" spans="3:16">
      <c r="E85" s="1172">
        <f>33643-33868</f>
        <v>-225</v>
      </c>
    </row>
    <row r="86" spans="3:16">
      <c r="E86" s="2869">
        <f>-E32-225</f>
        <v>33186</v>
      </c>
    </row>
  </sheetData>
  <mergeCells count="20">
    <mergeCell ref="A1:P1"/>
    <mergeCell ref="A3:A4"/>
    <mergeCell ref="B3:B4"/>
    <mergeCell ref="C3:C4"/>
    <mergeCell ref="D3:D4"/>
    <mergeCell ref="E3:E4"/>
    <mergeCell ref="F3:F4"/>
    <mergeCell ref="G3:G4"/>
    <mergeCell ref="H3:H4"/>
    <mergeCell ref="I3:I4"/>
    <mergeCell ref="P3:P4"/>
    <mergeCell ref="Q3:Q4"/>
    <mergeCell ref="R3:R4"/>
    <mergeCell ref="S3:S4"/>
    <mergeCell ref="J3:J4"/>
    <mergeCell ref="K3:K4"/>
    <mergeCell ref="L3:L4"/>
    <mergeCell ref="M3:M4"/>
    <mergeCell ref="N3:N4"/>
    <mergeCell ref="O3:O4"/>
  </mergeCells>
  <hyperlinks>
    <hyperlink ref="B3:B4" location="'List danh mục'!A1" display="Số TT"/>
  </hyperlinks>
  <printOptions horizontalCentered="1"/>
  <pageMargins left="0" right="0" top="0.19685039370078741" bottom="0" header="0.19685039370078741" footer="0.19685039370078741"/>
  <pageSetup paperSize="9" scale="70" orientation="landscape" r:id="rId1"/>
  <legacyDrawing r:id="rId2"/>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GB27"/>
  <sheetViews>
    <sheetView zoomScale="60" zoomScaleNormal="60" workbookViewId="0">
      <pane xSplit="2" ySplit="10" topLeftCell="FP14" activePane="bottomRight" state="frozen"/>
      <selection activeCell="AF106" sqref="AF106"/>
      <selection pane="topRight" activeCell="AF106" sqref="AF106"/>
      <selection pane="bottomLeft" activeCell="AF106" sqref="AF106"/>
      <selection pane="bottomRight" activeCell="AC17" sqref="AC17"/>
    </sheetView>
  </sheetViews>
  <sheetFormatPr defaultColWidth="8.59765625" defaultRowHeight="18"/>
  <cols>
    <col min="1" max="1" width="5.3984375" style="1429" bestFit="1" customWidth="1"/>
    <col min="2" max="2" width="40.69921875" style="1239" customWidth="1"/>
    <col min="3" max="184" width="12.69921875" style="1239" customWidth="1"/>
    <col min="185" max="16384" width="8.59765625" style="1239"/>
  </cols>
  <sheetData>
    <row r="1" spans="1:184">
      <c r="A1" s="2"/>
      <c r="B1" s="37"/>
      <c r="C1" s="37"/>
      <c r="D1" s="37"/>
      <c r="E1" s="37"/>
      <c r="F1" s="37"/>
      <c r="G1" s="37"/>
      <c r="H1" s="37"/>
      <c r="I1" s="4717"/>
      <c r="J1" s="4717"/>
      <c r="K1" s="4717"/>
      <c r="L1" s="4717"/>
      <c r="M1" s="4717"/>
      <c r="N1" s="4717"/>
      <c r="O1" s="4717"/>
      <c r="P1" s="4717"/>
    </row>
    <row r="2" spans="1:184">
      <c r="B2" s="1319"/>
      <c r="C2" s="4191" t="s">
        <v>2474</v>
      </c>
      <c r="D2" s="4191"/>
      <c r="E2" s="4191"/>
      <c r="F2" s="4191"/>
      <c r="G2" s="4191"/>
      <c r="H2" s="4191"/>
      <c r="I2" s="4191"/>
      <c r="J2" s="4191"/>
      <c r="K2" s="4191"/>
      <c r="L2" s="4191"/>
      <c r="M2" s="4191"/>
      <c r="N2" s="4191"/>
      <c r="O2" s="4191"/>
      <c r="P2" s="4191"/>
      <c r="Q2" s="4191" t="s">
        <v>2474</v>
      </c>
      <c r="R2" s="4191"/>
      <c r="S2" s="4191"/>
      <c r="T2" s="4191"/>
      <c r="U2" s="4191"/>
      <c r="V2" s="4191"/>
      <c r="W2" s="4191"/>
      <c r="X2" s="4191"/>
      <c r="Y2" s="4191"/>
      <c r="Z2" s="4191"/>
      <c r="AA2" s="4191"/>
      <c r="AB2" s="4191"/>
      <c r="AC2" s="4191"/>
      <c r="AD2" s="4191"/>
      <c r="AE2" s="4191" t="s">
        <v>2474</v>
      </c>
      <c r="AF2" s="4191"/>
      <c r="AG2" s="4191"/>
      <c r="AH2" s="4191"/>
      <c r="AI2" s="4191"/>
      <c r="AJ2" s="4191"/>
      <c r="AK2" s="4191"/>
      <c r="AL2" s="4191"/>
      <c r="AM2" s="4191"/>
      <c r="AN2" s="4191"/>
      <c r="AO2" s="4191"/>
      <c r="AP2" s="4191"/>
      <c r="AQ2" s="4191"/>
      <c r="AR2" s="4191"/>
      <c r="AS2" s="4191" t="s">
        <v>2474</v>
      </c>
      <c r="AT2" s="4191"/>
      <c r="AU2" s="4191"/>
      <c r="AV2" s="4191"/>
      <c r="AW2" s="4191"/>
      <c r="AX2" s="4191"/>
      <c r="AY2" s="4191"/>
      <c r="AZ2" s="4191"/>
      <c r="BA2" s="4191"/>
      <c r="BB2" s="4191"/>
      <c r="BC2" s="4191"/>
      <c r="BD2" s="4191"/>
      <c r="BE2" s="4191"/>
      <c r="BF2" s="4191"/>
      <c r="BG2" s="4191" t="s">
        <v>2474</v>
      </c>
      <c r="BH2" s="4191"/>
      <c r="BI2" s="4191"/>
      <c r="BJ2" s="4191"/>
      <c r="BK2" s="4191"/>
      <c r="BL2" s="4191"/>
      <c r="BM2" s="4191"/>
      <c r="BN2" s="4191"/>
      <c r="BO2" s="4191"/>
      <c r="BP2" s="4191"/>
      <c r="BQ2" s="4191"/>
      <c r="BR2" s="4191"/>
      <c r="BS2" s="4191"/>
      <c r="BT2" s="4191"/>
      <c r="BU2" s="4191" t="s">
        <v>2474</v>
      </c>
      <c r="BV2" s="4191"/>
      <c r="BW2" s="4191"/>
      <c r="BX2" s="4191"/>
      <c r="BY2" s="4191"/>
      <c r="BZ2" s="4191"/>
      <c r="CA2" s="4191"/>
      <c r="CB2" s="4191"/>
      <c r="CC2" s="4191"/>
      <c r="CD2" s="4191"/>
      <c r="CE2" s="4191"/>
      <c r="CF2" s="4191"/>
      <c r="CG2" s="4191"/>
      <c r="CH2" s="4191"/>
      <c r="CI2" s="4191" t="s">
        <v>2474</v>
      </c>
      <c r="CJ2" s="4191"/>
      <c r="CK2" s="4191"/>
      <c r="CL2" s="4191"/>
      <c r="CM2" s="4191"/>
      <c r="CN2" s="4191"/>
      <c r="CO2" s="4191"/>
      <c r="CP2" s="4191"/>
      <c r="CQ2" s="4191"/>
      <c r="CR2" s="4191"/>
      <c r="CS2" s="4191"/>
      <c r="CT2" s="4191"/>
      <c r="CU2" s="4191"/>
      <c r="CV2" s="4191"/>
      <c r="CW2" s="4191" t="s">
        <v>2474</v>
      </c>
      <c r="CX2" s="4191"/>
      <c r="CY2" s="4191"/>
      <c r="CZ2" s="4191"/>
      <c r="DA2" s="4191"/>
      <c r="DB2" s="4191"/>
      <c r="DC2" s="4191"/>
      <c r="DD2" s="4191"/>
      <c r="DE2" s="4191"/>
      <c r="DF2" s="4191"/>
      <c r="DG2" s="4191"/>
      <c r="DH2" s="4191"/>
      <c r="DI2" s="4191"/>
      <c r="DJ2" s="4191"/>
      <c r="DK2" s="4191" t="s">
        <v>2474</v>
      </c>
      <c r="DL2" s="4191"/>
      <c r="DM2" s="4191"/>
      <c r="DN2" s="4191"/>
      <c r="DO2" s="4191"/>
      <c r="DP2" s="4191"/>
      <c r="DQ2" s="4191"/>
      <c r="DR2" s="4191"/>
      <c r="DS2" s="4191"/>
      <c r="DT2" s="4191"/>
      <c r="DU2" s="4191"/>
      <c r="DV2" s="4191"/>
      <c r="DW2" s="4191"/>
      <c r="DX2" s="4191"/>
      <c r="DY2" s="4191" t="s">
        <v>2474</v>
      </c>
      <c r="DZ2" s="4191"/>
      <c r="EA2" s="4191"/>
      <c r="EB2" s="4191"/>
      <c r="EC2" s="4191"/>
      <c r="ED2" s="4191"/>
      <c r="EE2" s="4191"/>
      <c r="EF2" s="4191"/>
      <c r="EG2" s="4191"/>
      <c r="EH2" s="4191"/>
      <c r="EI2" s="4191"/>
      <c r="EJ2" s="4191"/>
      <c r="EK2" s="4191"/>
      <c r="EL2" s="4191"/>
      <c r="EM2" s="4191" t="s">
        <v>2474</v>
      </c>
      <c r="EN2" s="4191"/>
      <c r="EO2" s="4191"/>
      <c r="EP2" s="4191"/>
      <c r="EQ2" s="4191"/>
      <c r="ER2" s="4191"/>
      <c r="ES2" s="4191"/>
      <c r="ET2" s="4191"/>
      <c r="EU2" s="4191"/>
      <c r="EV2" s="4191"/>
      <c r="EW2" s="4191"/>
      <c r="EX2" s="4191"/>
      <c r="EY2" s="4191"/>
      <c r="EZ2" s="4191"/>
      <c r="FA2" s="4191" t="s">
        <v>2474</v>
      </c>
      <c r="FB2" s="4191"/>
      <c r="FC2" s="4191"/>
      <c r="FD2" s="4191"/>
      <c r="FE2" s="4191"/>
      <c r="FF2" s="4191"/>
      <c r="FG2" s="4191"/>
      <c r="FH2" s="4191"/>
      <c r="FI2" s="4191"/>
      <c r="FJ2" s="4191"/>
      <c r="FK2" s="4191"/>
      <c r="FL2" s="4191"/>
      <c r="FM2" s="4191"/>
      <c r="FN2" s="4191"/>
      <c r="FO2" s="4191" t="s">
        <v>2474</v>
      </c>
      <c r="FP2" s="4191"/>
      <c r="FQ2" s="4191"/>
      <c r="FR2" s="4191"/>
      <c r="FS2" s="4191"/>
      <c r="FT2" s="4191"/>
      <c r="FU2" s="4191"/>
      <c r="FV2" s="4191"/>
      <c r="FW2" s="4191"/>
      <c r="FX2" s="4191"/>
      <c r="FY2" s="4191"/>
      <c r="FZ2" s="4191"/>
      <c r="GA2" s="4191"/>
      <c r="GB2" s="4191"/>
    </row>
    <row r="3" spans="1:184">
      <c r="B3" s="2351"/>
      <c r="C3" s="4718" t="s">
        <v>2485</v>
      </c>
      <c r="D3" s="4718"/>
      <c r="E3" s="4718"/>
      <c r="F3" s="4718"/>
      <c r="G3" s="4718"/>
      <c r="H3" s="4718"/>
      <c r="I3" s="4718"/>
      <c r="J3" s="4718"/>
      <c r="K3" s="4718"/>
      <c r="L3" s="4718"/>
      <c r="M3" s="4718"/>
      <c r="N3" s="4718"/>
      <c r="O3" s="4718"/>
      <c r="P3" s="4718"/>
      <c r="Q3" s="4718" t="s">
        <v>2485</v>
      </c>
      <c r="R3" s="4718"/>
      <c r="S3" s="4718"/>
      <c r="T3" s="4718"/>
      <c r="U3" s="4718"/>
      <c r="V3" s="4718"/>
      <c r="W3" s="4718"/>
      <c r="X3" s="4718"/>
      <c r="Y3" s="4718"/>
      <c r="Z3" s="4718"/>
      <c r="AA3" s="4718"/>
      <c r="AB3" s="4718"/>
      <c r="AC3" s="4718"/>
      <c r="AD3" s="4718"/>
      <c r="AE3" s="4718" t="s">
        <v>2485</v>
      </c>
      <c r="AF3" s="4718"/>
      <c r="AG3" s="4718"/>
      <c r="AH3" s="4718"/>
      <c r="AI3" s="4718"/>
      <c r="AJ3" s="4718"/>
      <c r="AK3" s="4718"/>
      <c r="AL3" s="4718"/>
      <c r="AM3" s="4718"/>
      <c r="AN3" s="4718"/>
      <c r="AO3" s="4718"/>
      <c r="AP3" s="4718"/>
      <c r="AQ3" s="4718"/>
      <c r="AR3" s="4718"/>
      <c r="AS3" s="4718" t="s">
        <v>2485</v>
      </c>
      <c r="AT3" s="4718"/>
      <c r="AU3" s="4718"/>
      <c r="AV3" s="4718"/>
      <c r="AW3" s="4718"/>
      <c r="AX3" s="4718"/>
      <c r="AY3" s="4718"/>
      <c r="AZ3" s="4718"/>
      <c r="BA3" s="4718"/>
      <c r="BB3" s="4718"/>
      <c r="BC3" s="4718"/>
      <c r="BD3" s="4718"/>
      <c r="BE3" s="4718"/>
      <c r="BF3" s="4718"/>
      <c r="BG3" s="4718" t="s">
        <v>2485</v>
      </c>
      <c r="BH3" s="4718"/>
      <c r="BI3" s="4718"/>
      <c r="BJ3" s="4718"/>
      <c r="BK3" s="4718"/>
      <c r="BL3" s="4718"/>
      <c r="BM3" s="4718"/>
      <c r="BN3" s="4718"/>
      <c r="BO3" s="4718"/>
      <c r="BP3" s="4718"/>
      <c r="BQ3" s="4718"/>
      <c r="BR3" s="4718"/>
      <c r="BS3" s="4718"/>
      <c r="BT3" s="4718"/>
      <c r="BU3" s="4718" t="s">
        <v>2485</v>
      </c>
      <c r="BV3" s="4718"/>
      <c r="BW3" s="4718"/>
      <c r="BX3" s="4718"/>
      <c r="BY3" s="4718"/>
      <c r="BZ3" s="4718"/>
      <c r="CA3" s="4718"/>
      <c r="CB3" s="4718"/>
      <c r="CC3" s="4718"/>
      <c r="CD3" s="4718"/>
      <c r="CE3" s="4718"/>
      <c r="CF3" s="4718"/>
      <c r="CG3" s="4718"/>
      <c r="CH3" s="4718"/>
      <c r="CI3" s="4718" t="s">
        <v>2485</v>
      </c>
      <c r="CJ3" s="4718"/>
      <c r="CK3" s="4718"/>
      <c r="CL3" s="4718"/>
      <c r="CM3" s="4718"/>
      <c r="CN3" s="4718"/>
      <c r="CO3" s="4718"/>
      <c r="CP3" s="4718"/>
      <c r="CQ3" s="4718"/>
      <c r="CR3" s="4718"/>
      <c r="CS3" s="4718"/>
      <c r="CT3" s="4718"/>
      <c r="CU3" s="4718"/>
      <c r="CV3" s="4718"/>
      <c r="CW3" s="4718" t="s">
        <v>2485</v>
      </c>
      <c r="CX3" s="4718"/>
      <c r="CY3" s="4718"/>
      <c r="CZ3" s="4718"/>
      <c r="DA3" s="4718"/>
      <c r="DB3" s="4718"/>
      <c r="DC3" s="4718"/>
      <c r="DD3" s="4718"/>
      <c r="DE3" s="4718"/>
      <c r="DF3" s="4718"/>
      <c r="DG3" s="4718"/>
      <c r="DH3" s="4718"/>
      <c r="DI3" s="4718"/>
      <c r="DJ3" s="4718"/>
      <c r="DK3" s="4718" t="s">
        <v>2485</v>
      </c>
      <c r="DL3" s="4718"/>
      <c r="DM3" s="4718"/>
      <c r="DN3" s="4718"/>
      <c r="DO3" s="4718"/>
      <c r="DP3" s="4718"/>
      <c r="DQ3" s="4718"/>
      <c r="DR3" s="4718"/>
      <c r="DS3" s="4718"/>
      <c r="DT3" s="4718"/>
      <c r="DU3" s="4718"/>
      <c r="DV3" s="4718"/>
      <c r="DW3" s="4718"/>
      <c r="DX3" s="4718"/>
      <c r="DY3" s="4718" t="s">
        <v>2485</v>
      </c>
      <c r="DZ3" s="4718"/>
      <c r="EA3" s="4718"/>
      <c r="EB3" s="4718"/>
      <c r="EC3" s="4718"/>
      <c r="ED3" s="4718"/>
      <c r="EE3" s="4718"/>
      <c r="EF3" s="4718"/>
      <c r="EG3" s="4718"/>
      <c r="EH3" s="4718"/>
      <c r="EI3" s="4718"/>
      <c r="EJ3" s="4718"/>
      <c r="EK3" s="4718"/>
      <c r="EL3" s="4718"/>
      <c r="EM3" s="4718" t="s">
        <v>2485</v>
      </c>
      <c r="EN3" s="4718"/>
      <c r="EO3" s="4718"/>
      <c r="EP3" s="4718"/>
      <c r="EQ3" s="4718"/>
      <c r="ER3" s="4718"/>
      <c r="ES3" s="4718"/>
      <c r="ET3" s="4718"/>
      <c r="EU3" s="4718"/>
      <c r="EV3" s="4718"/>
      <c r="EW3" s="4718"/>
      <c r="EX3" s="4718"/>
      <c r="EY3" s="4718"/>
      <c r="EZ3" s="4718"/>
      <c r="FA3" s="4718" t="s">
        <v>2485</v>
      </c>
      <c r="FB3" s="4718"/>
      <c r="FC3" s="4718"/>
      <c r="FD3" s="4718"/>
      <c r="FE3" s="4718"/>
      <c r="FF3" s="4718"/>
      <c r="FG3" s="4718"/>
      <c r="FH3" s="4718"/>
      <c r="FI3" s="4718"/>
      <c r="FJ3" s="4718"/>
      <c r="FK3" s="4718"/>
      <c r="FL3" s="4718"/>
      <c r="FM3" s="4718"/>
      <c r="FN3" s="4718"/>
      <c r="FO3" s="4718" t="s">
        <v>2485</v>
      </c>
      <c r="FP3" s="4718"/>
      <c r="FQ3" s="4718"/>
      <c r="FR3" s="4718"/>
      <c r="FS3" s="4718"/>
      <c r="FT3" s="4718"/>
      <c r="FU3" s="4718"/>
      <c r="FV3" s="4718"/>
      <c r="FW3" s="4718"/>
      <c r="FX3" s="4718"/>
      <c r="FY3" s="4718"/>
      <c r="FZ3" s="4718"/>
      <c r="GA3" s="4718"/>
      <c r="GB3" s="4718"/>
    </row>
    <row r="4" spans="1:184">
      <c r="B4" s="2351"/>
      <c r="C4" s="2404"/>
      <c r="D4" s="2404"/>
      <c r="E4" s="2404"/>
      <c r="F4" s="2404"/>
      <c r="G4" s="2404"/>
      <c r="H4" s="2404"/>
      <c r="I4" s="2404"/>
      <c r="J4" s="2404"/>
      <c r="K4" s="2404"/>
      <c r="L4" s="2404"/>
      <c r="M4" s="2404"/>
      <c r="N4" s="2404"/>
      <c r="O4" s="2404"/>
      <c r="P4" s="2404"/>
      <c r="Q4" s="2404"/>
      <c r="R4" s="2404"/>
      <c r="S4" s="2404"/>
      <c r="T4" s="2404"/>
      <c r="U4" s="2404"/>
      <c r="V4" s="2404"/>
      <c r="W4" s="2404"/>
      <c r="X4" s="2404"/>
      <c r="Y4" s="2404"/>
      <c r="Z4" s="2404"/>
      <c r="AA4" s="2404"/>
      <c r="AB4" s="2404"/>
      <c r="AC4" s="2404"/>
      <c r="AD4" s="2404"/>
      <c r="AE4" s="2404"/>
      <c r="AF4" s="2404"/>
      <c r="AG4" s="2404"/>
      <c r="AH4" s="2404"/>
      <c r="AI4" s="2404"/>
      <c r="AJ4" s="2404"/>
      <c r="AK4" s="2404"/>
      <c r="AL4" s="2404"/>
      <c r="AM4" s="2404"/>
      <c r="AN4" s="2404"/>
      <c r="AO4" s="2404"/>
      <c r="AP4" s="2404"/>
      <c r="AQ4" s="2404"/>
      <c r="AR4" s="2404"/>
      <c r="AS4" s="2404"/>
      <c r="AT4" s="2404"/>
      <c r="AU4" s="2404"/>
      <c r="AV4" s="2404"/>
      <c r="AW4" s="2404"/>
      <c r="AX4" s="2404"/>
      <c r="AY4" s="2404"/>
      <c r="AZ4" s="2404"/>
      <c r="BA4" s="2404"/>
      <c r="BB4" s="2404"/>
      <c r="BC4" s="2404"/>
      <c r="BD4" s="2404"/>
      <c r="BE4" s="2404"/>
      <c r="BF4" s="2404"/>
      <c r="BG4" s="2404"/>
      <c r="BH4" s="2404"/>
      <c r="BI4" s="2404"/>
      <c r="BJ4" s="2404"/>
      <c r="BK4" s="2404"/>
      <c r="BL4" s="2404"/>
      <c r="BM4" s="2404"/>
      <c r="BN4" s="2404"/>
      <c r="BO4" s="2404"/>
      <c r="BP4" s="2404"/>
      <c r="BQ4" s="2404"/>
      <c r="BR4" s="2404"/>
      <c r="BS4" s="2404"/>
      <c r="BT4" s="2404"/>
      <c r="BU4" s="2404"/>
      <c r="BV4" s="2404"/>
      <c r="BW4" s="2404"/>
      <c r="BX4" s="2404"/>
      <c r="BY4" s="2404"/>
      <c r="BZ4" s="2404"/>
      <c r="CA4" s="2404"/>
      <c r="CB4" s="2404"/>
      <c r="CC4" s="2404"/>
      <c r="CD4" s="2404"/>
      <c r="CE4" s="2404"/>
      <c r="CF4" s="2404"/>
      <c r="CG4" s="2404"/>
      <c r="CH4" s="2404"/>
      <c r="CI4" s="2404"/>
      <c r="CJ4" s="2404"/>
      <c r="CK4" s="2404"/>
      <c r="CL4" s="2404"/>
      <c r="CM4" s="2404"/>
      <c r="CN4" s="2404"/>
      <c r="CO4" s="2404"/>
      <c r="CP4" s="2404"/>
      <c r="CQ4" s="2404"/>
      <c r="CR4" s="2404"/>
      <c r="CS4" s="2404"/>
      <c r="CT4" s="2404"/>
      <c r="CU4" s="2404"/>
      <c r="CV4" s="2404"/>
      <c r="CW4" s="2404"/>
      <c r="CX4" s="2404"/>
      <c r="CY4" s="2404"/>
      <c r="CZ4" s="2404"/>
      <c r="DA4" s="2404"/>
      <c r="DB4" s="2404"/>
      <c r="DC4" s="2404"/>
      <c r="DD4" s="2404"/>
      <c r="DE4" s="2404"/>
      <c r="DF4" s="2404"/>
      <c r="DG4" s="2404"/>
      <c r="DH4" s="2404"/>
      <c r="DI4" s="2404"/>
      <c r="DJ4" s="2404"/>
      <c r="DK4" s="2404"/>
      <c r="DL4" s="2404"/>
      <c r="DM4" s="2404"/>
      <c r="DN4" s="2404"/>
      <c r="DO4" s="2404"/>
      <c r="DP4" s="2404"/>
      <c r="DQ4" s="2404"/>
      <c r="DR4" s="2404"/>
      <c r="DS4" s="2404"/>
      <c r="DT4" s="2404"/>
      <c r="DU4" s="2404"/>
      <c r="DV4" s="2404"/>
      <c r="DW4" s="2404"/>
      <c r="DX4" s="2404"/>
      <c r="DY4" s="2404"/>
      <c r="DZ4" s="2404"/>
      <c r="EA4" s="2404"/>
      <c r="EB4" s="2404"/>
      <c r="EC4" s="2404"/>
      <c r="ED4" s="2404"/>
      <c r="EE4" s="2404"/>
      <c r="EF4" s="2404"/>
      <c r="EG4" s="2404"/>
      <c r="EH4" s="2404"/>
      <c r="EI4" s="2404"/>
      <c r="EJ4" s="2404"/>
      <c r="EK4" s="2404"/>
      <c r="EL4" s="2404"/>
      <c r="EM4" s="2404"/>
      <c r="EN4" s="2404"/>
      <c r="EO4" s="2404"/>
      <c r="EP4" s="2404"/>
      <c r="EQ4" s="2404"/>
      <c r="ER4" s="2404"/>
      <c r="ES4" s="2404"/>
      <c r="ET4" s="2404"/>
      <c r="EU4" s="2404"/>
      <c r="EV4" s="2404"/>
      <c r="EW4" s="2404"/>
      <c r="EX4" s="2404"/>
      <c r="EY4" s="2404"/>
      <c r="EZ4" s="2404"/>
      <c r="FA4" s="2404"/>
      <c r="FB4" s="2404"/>
      <c r="FC4" s="2404"/>
      <c r="FD4" s="2404"/>
      <c r="FE4" s="2404"/>
      <c r="FF4" s="2404"/>
      <c r="FG4" s="2404"/>
      <c r="FH4" s="2404"/>
      <c r="FI4" s="2404"/>
      <c r="FJ4" s="2404"/>
      <c r="FK4" s="2404"/>
      <c r="FL4" s="2404"/>
      <c r="FM4" s="2404"/>
      <c r="FN4" s="2404"/>
      <c r="FO4" s="2404"/>
      <c r="FP4" s="2404"/>
      <c r="FQ4" s="2404"/>
      <c r="FR4" s="2404"/>
      <c r="FS4" s="2404"/>
      <c r="FT4" s="2404"/>
      <c r="FU4" s="2404"/>
      <c r="FV4" s="2404"/>
      <c r="FW4" s="2404"/>
      <c r="FX4" s="2404"/>
      <c r="FY4" s="2404"/>
      <c r="FZ4" s="2404"/>
      <c r="GA4" s="2404"/>
      <c r="GB4" s="2404"/>
    </row>
    <row r="5" spans="1:184" ht="18.600000000000001" thickBot="1">
      <c r="A5" s="2"/>
      <c r="B5" s="37"/>
      <c r="C5" s="37"/>
      <c r="D5" s="37"/>
      <c r="E5" s="37"/>
      <c r="F5" s="37"/>
      <c r="G5" s="37"/>
      <c r="H5" s="37"/>
      <c r="I5" s="4720"/>
      <c r="J5" s="4720"/>
      <c r="K5" s="4720"/>
      <c r="L5" s="152"/>
      <c r="M5" s="152"/>
      <c r="N5" s="2444"/>
      <c r="O5" s="4719" t="s">
        <v>64</v>
      </c>
      <c r="P5" s="4719"/>
      <c r="Q5" s="37"/>
      <c r="R5" s="37"/>
      <c r="S5" s="37"/>
      <c r="T5" s="37"/>
      <c r="U5" s="37"/>
      <c r="V5" s="37"/>
      <c r="W5" s="4720"/>
      <c r="X5" s="4720"/>
      <c r="Y5" s="4720"/>
      <c r="Z5" s="152"/>
      <c r="AA5" s="152"/>
      <c r="AB5" s="2444"/>
      <c r="AC5" s="4719" t="s">
        <v>64</v>
      </c>
      <c r="AD5" s="4719"/>
      <c r="AE5" s="37"/>
      <c r="AF5" s="37"/>
      <c r="AG5" s="37"/>
      <c r="AH5" s="37"/>
      <c r="AI5" s="37"/>
      <c r="AJ5" s="37"/>
      <c r="AK5" s="4720"/>
      <c r="AL5" s="4720"/>
      <c r="AM5" s="4720"/>
      <c r="AN5" s="152"/>
      <c r="AO5" s="152"/>
      <c r="AP5" s="2444"/>
      <c r="AQ5" s="4719" t="s">
        <v>64</v>
      </c>
      <c r="AR5" s="4719"/>
      <c r="AS5" s="37"/>
      <c r="AT5" s="37"/>
      <c r="AU5" s="37"/>
      <c r="AV5" s="37"/>
      <c r="AW5" s="37"/>
      <c r="AX5" s="37"/>
      <c r="AY5" s="4720"/>
      <c r="AZ5" s="4720"/>
      <c r="BA5" s="4720"/>
      <c r="BB5" s="152"/>
      <c r="BC5" s="152"/>
      <c r="BD5" s="2444"/>
      <c r="BE5" s="4719" t="s">
        <v>64</v>
      </c>
      <c r="BF5" s="4719"/>
      <c r="BG5" s="37"/>
      <c r="BH5" s="37"/>
      <c r="BI5" s="37"/>
      <c r="BJ5" s="37"/>
      <c r="BK5" s="37"/>
      <c r="BL5" s="37"/>
      <c r="BM5" s="4720"/>
      <c r="BN5" s="4720"/>
      <c r="BO5" s="4720"/>
      <c r="BP5" s="152"/>
      <c r="BQ5" s="152"/>
      <c r="BR5" s="2444"/>
      <c r="BS5" s="4719" t="s">
        <v>64</v>
      </c>
      <c r="BT5" s="4719"/>
      <c r="BU5" s="37"/>
      <c r="BV5" s="37"/>
      <c r="BW5" s="37"/>
      <c r="BX5" s="37"/>
      <c r="BY5" s="37"/>
      <c r="BZ5" s="37"/>
      <c r="CA5" s="4720"/>
      <c r="CB5" s="4720"/>
      <c r="CC5" s="4720"/>
      <c r="CD5" s="152"/>
      <c r="CE5" s="152"/>
      <c r="CF5" s="2444"/>
      <c r="CG5" s="4719" t="s">
        <v>64</v>
      </c>
      <c r="CH5" s="4719"/>
      <c r="CI5" s="37"/>
      <c r="CJ5" s="37"/>
      <c r="CK5" s="37"/>
      <c r="CL5" s="37"/>
      <c r="CM5" s="37"/>
      <c r="CN5" s="37"/>
      <c r="CO5" s="4720"/>
      <c r="CP5" s="4720"/>
      <c r="CQ5" s="4720"/>
      <c r="CR5" s="152"/>
      <c r="CS5" s="152"/>
      <c r="CT5" s="2444"/>
      <c r="CU5" s="4719" t="s">
        <v>64</v>
      </c>
      <c r="CV5" s="4719"/>
      <c r="CW5" s="37"/>
      <c r="CX5" s="37"/>
      <c r="CY5" s="37"/>
      <c r="CZ5" s="37"/>
      <c r="DA5" s="37"/>
      <c r="DB5" s="37"/>
      <c r="DC5" s="4720"/>
      <c r="DD5" s="4720"/>
      <c r="DE5" s="4720"/>
      <c r="DF5" s="152"/>
      <c r="DG5" s="152"/>
      <c r="DH5" s="2444"/>
      <c r="DI5" s="4719" t="s">
        <v>64</v>
      </c>
      <c r="DJ5" s="4719"/>
      <c r="DK5" s="37"/>
      <c r="DL5" s="37"/>
      <c r="DM5" s="37"/>
      <c r="DN5" s="37"/>
      <c r="DO5" s="37"/>
      <c r="DP5" s="37"/>
      <c r="DQ5" s="4720"/>
      <c r="DR5" s="4720"/>
      <c r="DS5" s="4720"/>
      <c r="DT5" s="152"/>
      <c r="DU5" s="152"/>
      <c r="DV5" s="2444"/>
      <c r="DW5" s="4719" t="s">
        <v>64</v>
      </c>
      <c r="DX5" s="4719"/>
      <c r="DY5" s="37"/>
      <c r="DZ5" s="37"/>
      <c r="EA5" s="37"/>
      <c r="EB5" s="37"/>
      <c r="EC5" s="37"/>
      <c r="ED5" s="37"/>
      <c r="EE5" s="4720"/>
      <c r="EF5" s="4720"/>
      <c r="EG5" s="4720"/>
      <c r="EH5" s="152"/>
      <c r="EI5" s="152"/>
      <c r="EJ5" s="2444"/>
      <c r="EK5" s="4719" t="s">
        <v>64</v>
      </c>
      <c r="EL5" s="4719"/>
      <c r="EM5" s="37"/>
      <c r="EN5" s="37"/>
      <c r="EO5" s="37"/>
      <c r="EP5" s="37"/>
      <c r="EQ5" s="37"/>
      <c r="ER5" s="37"/>
      <c r="ES5" s="4720"/>
      <c r="ET5" s="4720"/>
      <c r="EU5" s="4720"/>
      <c r="EV5" s="152"/>
      <c r="EW5" s="152"/>
      <c r="EX5" s="2444"/>
      <c r="EY5" s="4719" t="s">
        <v>64</v>
      </c>
      <c r="EZ5" s="4719"/>
      <c r="FA5" s="37"/>
      <c r="FB5" s="37"/>
      <c r="FC5" s="37"/>
      <c r="FD5" s="37"/>
      <c r="FE5" s="37"/>
      <c r="FF5" s="37"/>
      <c r="FG5" s="4720"/>
      <c r="FH5" s="4720"/>
      <c r="FI5" s="4720"/>
      <c r="FJ5" s="152"/>
      <c r="FK5" s="152"/>
      <c r="FL5" s="2444"/>
      <c r="FM5" s="4719" t="s">
        <v>64</v>
      </c>
      <c r="FN5" s="4719"/>
      <c r="FO5" s="37"/>
      <c r="FP5" s="37"/>
      <c r="FQ5" s="37"/>
      <c r="FR5" s="37"/>
      <c r="FS5" s="37"/>
      <c r="FT5" s="37"/>
      <c r="FU5" s="4720"/>
      <c r="FV5" s="4720"/>
      <c r="FW5" s="4720"/>
      <c r="FX5" s="152"/>
      <c r="FY5" s="152"/>
      <c r="FZ5" s="2444"/>
      <c r="GA5" s="4719" t="s">
        <v>64</v>
      </c>
      <c r="GB5" s="4719"/>
    </row>
    <row r="6" spans="1:184" s="1429" customFormat="1" ht="18" customHeight="1">
      <c r="A6" s="4722" t="s">
        <v>244</v>
      </c>
      <c r="B6" s="4724" t="s">
        <v>1353</v>
      </c>
      <c r="C6" s="4716" t="s">
        <v>2473</v>
      </c>
      <c r="D6" s="4709"/>
      <c r="E6" s="4709"/>
      <c r="F6" s="4709"/>
      <c r="G6" s="4709"/>
      <c r="H6" s="4709"/>
      <c r="I6" s="4709"/>
      <c r="J6" s="4709"/>
      <c r="K6" s="4709"/>
      <c r="L6" s="4709"/>
      <c r="M6" s="4709"/>
      <c r="N6" s="4709"/>
      <c r="O6" s="4709"/>
      <c r="P6" s="4710"/>
      <c r="Q6" s="4708" t="s">
        <v>1869</v>
      </c>
      <c r="R6" s="4709"/>
      <c r="S6" s="4709"/>
      <c r="T6" s="4709"/>
      <c r="U6" s="4709"/>
      <c r="V6" s="4709"/>
      <c r="W6" s="4709"/>
      <c r="X6" s="4709"/>
      <c r="Y6" s="4709"/>
      <c r="Z6" s="4709"/>
      <c r="AA6" s="4709"/>
      <c r="AB6" s="4709"/>
      <c r="AC6" s="4709"/>
      <c r="AD6" s="4710"/>
      <c r="AE6" s="4708" t="s">
        <v>364</v>
      </c>
      <c r="AF6" s="4709"/>
      <c r="AG6" s="4709"/>
      <c r="AH6" s="4709"/>
      <c r="AI6" s="4709"/>
      <c r="AJ6" s="4709"/>
      <c r="AK6" s="4709"/>
      <c r="AL6" s="4709"/>
      <c r="AM6" s="4709"/>
      <c r="AN6" s="4709"/>
      <c r="AO6" s="4709"/>
      <c r="AP6" s="4709"/>
      <c r="AQ6" s="4709"/>
      <c r="AR6" s="4710"/>
      <c r="AS6" s="4708" t="s">
        <v>1870</v>
      </c>
      <c r="AT6" s="4709"/>
      <c r="AU6" s="4709"/>
      <c r="AV6" s="4709"/>
      <c r="AW6" s="4709"/>
      <c r="AX6" s="4709"/>
      <c r="AY6" s="4709"/>
      <c r="AZ6" s="4709"/>
      <c r="BA6" s="4709"/>
      <c r="BB6" s="4709"/>
      <c r="BC6" s="4709"/>
      <c r="BD6" s="4709"/>
      <c r="BE6" s="4709"/>
      <c r="BF6" s="4710"/>
      <c r="BG6" s="4708" t="s">
        <v>1871</v>
      </c>
      <c r="BH6" s="4709"/>
      <c r="BI6" s="4709"/>
      <c r="BJ6" s="4709"/>
      <c r="BK6" s="4709"/>
      <c r="BL6" s="4709"/>
      <c r="BM6" s="4709"/>
      <c r="BN6" s="4709"/>
      <c r="BO6" s="4709"/>
      <c r="BP6" s="4709"/>
      <c r="BQ6" s="4709"/>
      <c r="BR6" s="4709"/>
      <c r="BS6" s="4709"/>
      <c r="BT6" s="4710"/>
      <c r="BU6" s="4708" t="s">
        <v>1872</v>
      </c>
      <c r="BV6" s="4709"/>
      <c r="BW6" s="4709"/>
      <c r="BX6" s="4709"/>
      <c r="BY6" s="4709"/>
      <c r="BZ6" s="4709"/>
      <c r="CA6" s="4709"/>
      <c r="CB6" s="4709"/>
      <c r="CC6" s="4709"/>
      <c r="CD6" s="4709"/>
      <c r="CE6" s="4709"/>
      <c r="CF6" s="4709"/>
      <c r="CG6" s="4709"/>
      <c r="CH6" s="4710"/>
      <c r="CI6" s="4708" t="s">
        <v>365</v>
      </c>
      <c r="CJ6" s="4709"/>
      <c r="CK6" s="4709"/>
      <c r="CL6" s="4709"/>
      <c r="CM6" s="4709"/>
      <c r="CN6" s="4709"/>
      <c r="CO6" s="4709"/>
      <c r="CP6" s="4709"/>
      <c r="CQ6" s="4709"/>
      <c r="CR6" s="4709"/>
      <c r="CS6" s="4709"/>
      <c r="CT6" s="4709"/>
      <c r="CU6" s="4709"/>
      <c r="CV6" s="4710"/>
      <c r="CW6" s="4708" t="s">
        <v>366</v>
      </c>
      <c r="CX6" s="4709"/>
      <c r="CY6" s="4709"/>
      <c r="CZ6" s="4709"/>
      <c r="DA6" s="4709"/>
      <c r="DB6" s="4709"/>
      <c r="DC6" s="4709"/>
      <c r="DD6" s="4709"/>
      <c r="DE6" s="4709"/>
      <c r="DF6" s="4709"/>
      <c r="DG6" s="4709"/>
      <c r="DH6" s="4709"/>
      <c r="DI6" s="4709"/>
      <c r="DJ6" s="4710"/>
      <c r="DK6" s="4708" t="s">
        <v>1873</v>
      </c>
      <c r="DL6" s="4709"/>
      <c r="DM6" s="4709"/>
      <c r="DN6" s="4709"/>
      <c r="DO6" s="4709"/>
      <c r="DP6" s="4709"/>
      <c r="DQ6" s="4709"/>
      <c r="DR6" s="4709"/>
      <c r="DS6" s="4709"/>
      <c r="DT6" s="4709"/>
      <c r="DU6" s="4709"/>
      <c r="DV6" s="4709"/>
      <c r="DW6" s="4709"/>
      <c r="DX6" s="4710"/>
      <c r="DY6" s="4708" t="s">
        <v>1874</v>
      </c>
      <c r="DZ6" s="4709"/>
      <c r="EA6" s="4709"/>
      <c r="EB6" s="4709"/>
      <c r="EC6" s="4709"/>
      <c r="ED6" s="4709"/>
      <c r="EE6" s="4709"/>
      <c r="EF6" s="4709"/>
      <c r="EG6" s="4709"/>
      <c r="EH6" s="4709"/>
      <c r="EI6" s="4709"/>
      <c r="EJ6" s="4709"/>
      <c r="EK6" s="4709"/>
      <c r="EL6" s="4710"/>
      <c r="EM6" s="4708" t="s">
        <v>1875</v>
      </c>
      <c r="EN6" s="4709"/>
      <c r="EO6" s="4709"/>
      <c r="EP6" s="4709"/>
      <c r="EQ6" s="4709"/>
      <c r="ER6" s="4709"/>
      <c r="ES6" s="4709"/>
      <c r="ET6" s="4709"/>
      <c r="EU6" s="4709"/>
      <c r="EV6" s="4709"/>
      <c r="EW6" s="4709"/>
      <c r="EX6" s="4709"/>
      <c r="EY6" s="4709"/>
      <c r="EZ6" s="4710"/>
      <c r="FA6" s="4708" t="s">
        <v>367</v>
      </c>
      <c r="FB6" s="4709"/>
      <c r="FC6" s="4709"/>
      <c r="FD6" s="4709"/>
      <c r="FE6" s="4709"/>
      <c r="FF6" s="4709"/>
      <c r="FG6" s="4709"/>
      <c r="FH6" s="4709"/>
      <c r="FI6" s="4709"/>
      <c r="FJ6" s="4709"/>
      <c r="FK6" s="4709"/>
      <c r="FL6" s="4709"/>
      <c r="FM6" s="4709"/>
      <c r="FN6" s="4710"/>
      <c r="FO6" s="4708" t="s">
        <v>2471</v>
      </c>
      <c r="FP6" s="4709"/>
      <c r="FQ6" s="4709"/>
      <c r="FR6" s="4709"/>
      <c r="FS6" s="4709"/>
      <c r="FT6" s="4709"/>
      <c r="FU6" s="4709"/>
      <c r="FV6" s="4709"/>
      <c r="FW6" s="4709"/>
      <c r="FX6" s="4709"/>
      <c r="FY6" s="4709"/>
      <c r="FZ6" s="4709"/>
      <c r="GA6" s="4709"/>
      <c r="GB6" s="4710"/>
    </row>
    <row r="7" spans="1:184" ht="18" customHeight="1">
      <c r="A7" s="4723"/>
      <c r="B7" s="4712"/>
      <c r="C7" s="4712" t="s">
        <v>1354</v>
      </c>
      <c r="D7" s="4712"/>
      <c r="E7" s="4712"/>
      <c r="F7" s="4712"/>
      <c r="G7" s="4712" t="s">
        <v>1355</v>
      </c>
      <c r="H7" s="4712"/>
      <c r="I7" s="4712"/>
      <c r="J7" s="4712"/>
      <c r="K7" s="4712"/>
      <c r="L7" s="4713" t="s">
        <v>450</v>
      </c>
      <c r="M7" s="4714"/>
      <c r="N7" s="4714"/>
      <c r="O7" s="4714"/>
      <c r="P7" s="4715"/>
      <c r="Q7" s="4711" t="s">
        <v>1354</v>
      </c>
      <c r="R7" s="4712"/>
      <c r="S7" s="4712"/>
      <c r="T7" s="4712"/>
      <c r="U7" s="4712" t="s">
        <v>1355</v>
      </c>
      <c r="V7" s="4712"/>
      <c r="W7" s="4712"/>
      <c r="X7" s="4712"/>
      <c r="Y7" s="4712"/>
      <c r="Z7" s="4713" t="s">
        <v>450</v>
      </c>
      <c r="AA7" s="4714"/>
      <c r="AB7" s="4714"/>
      <c r="AC7" s="4714"/>
      <c r="AD7" s="4715"/>
      <c r="AE7" s="4711" t="s">
        <v>1354</v>
      </c>
      <c r="AF7" s="4712"/>
      <c r="AG7" s="4712"/>
      <c r="AH7" s="4712"/>
      <c r="AI7" s="4712" t="s">
        <v>1355</v>
      </c>
      <c r="AJ7" s="4712"/>
      <c r="AK7" s="4712"/>
      <c r="AL7" s="4712"/>
      <c r="AM7" s="4712"/>
      <c r="AN7" s="4713" t="s">
        <v>450</v>
      </c>
      <c r="AO7" s="4714"/>
      <c r="AP7" s="4714"/>
      <c r="AQ7" s="4714"/>
      <c r="AR7" s="4715"/>
      <c r="AS7" s="4711" t="s">
        <v>1354</v>
      </c>
      <c r="AT7" s="4712"/>
      <c r="AU7" s="4712"/>
      <c r="AV7" s="4712"/>
      <c r="AW7" s="4712" t="s">
        <v>1355</v>
      </c>
      <c r="AX7" s="4712"/>
      <c r="AY7" s="4712"/>
      <c r="AZ7" s="4712"/>
      <c r="BA7" s="4712"/>
      <c r="BB7" s="4713" t="s">
        <v>450</v>
      </c>
      <c r="BC7" s="4714"/>
      <c r="BD7" s="4714"/>
      <c r="BE7" s="4714"/>
      <c r="BF7" s="4715"/>
      <c r="BG7" s="4711" t="s">
        <v>1354</v>
      </c>
      <c r="BH7" s="4712"/>
      <c r="BI7" s="4712"/>
      <c r="BJ7" s="4712"/>
      <c r="BK7" s="4712" t="s">
        <v>1355</v>
      </c>
      <c r="BL7" s="4712"/>
      <c r="BM7" s="4712"/>
      <c r="BN7" s="4712"/>
      <c r="BO7" s="4712"/>
      <c r="BP7" s="4713" t="s">
        <v>450</v>
      </c>
      <c r="BQ7" s="4714"/>
      <c r="BR7" s="4714"/>
      <c r="BS7" s="4714"/>
      <c r="BT7" s="4715"/>
      <c r="BU7" s="4711" t="s">
        <v>1354</v>
      </c>
      <c r="BV7" s="4712"/>
      <c r="BW7" s="4712"/>
      <c r="BX7" s="4712"/>
      <c r="BY7" s="4712" t="s">
        <v>1355</v>
      </c>
      <c r="BZ7" s="4712"/>
      <c r="CA7" s="4712"/>
      <c r="CB7" s="4712"/>
      <c r="CC7" s="4712"/>
      <c r="CD7" s="4713" t="s">
        <v>450</v>
      </c>
      <c r="CE7" s="4714"/>
      <c r="CF7" s="4714"/>
      <c r="CG7" s="4714"/>
      <c r="CH7" s="4715"/>
      <c r="CI7" s="4711" t="s">
        <v>1354</v>
      </c>
      <c r="CJ7" s="4712"/>
      <c r="CK7" s="4712"/>
      <c r="CL7" s="4712"/>
      <c r="CM7" s="4712" t="s">
        <v>1355</v>
      </c>
      <c r="CN7" s="4712"/>
      <c r="CO7" s="4712"/>
      <c r="CP7" s="4712"/>
      <c r="CQ7" s="4712"/>
      <c r="CR7" s="4713" t="s">
        <v>450</v>
      </c>
      <c r="CS7" s="4714"/>
      <c r="CT7" s="4714"/>
      <c r="CU7" s="4714"/>
      <c r="CV7" s="4715"/>
      <c r="CW7" s="4711" t="s">
        <v>1354</v>
      </c>
      <c r="CX7" s="4712"/>
      <c r="CY7" s="4712"/>
      <c r="CZ7" s="4712"/>
      <c r="DA7" s="4712" t="s">
        <v>1355</v>
      </c>
      <c r="DB7" s="4712"/>
      <c r="DC7" s="4712"/>
      <c r="DD7" s="4712"/>
      <c r="DE7" s="4712"/>
      <c r="DF7" s="4713" t="s">
        <v>450</v>
      </c>
      <c r="DG7" s="4714"/>
      <c r="DH7" s="4714"/>
      <c r="DI7" s="4714"/>
      <c r="DJ7" s="4715"/>
      <c r="DK7" s="4711" t="s">
        <v>1354</v>
      </c>
      <c r="DL7" s="4712"/>
      <c r="DM7" s="4712"/>
      <c r="DN7" s="4712"/>
      <c r="DO7" s="4712" t="s">
        <v>1355</v>
      </c>
      <c r="DP7" s="4712"/>
      <c r="DQ7" s="4712"/>
      <c r="DR7" s="4712"/>
      <c r="DS7" s="4712"/>
      <c r="DT7" s="4713" t="s">
        <v>450</v>
      </c>
      <c r="DU7" s="4714"/>
      <c r="DV7" s="4714"/>
      <c r="DW7" s="4714"/>
      <c r="DX7" s="4715"/>
      <c r="DY7" s="4711" t="s">
        <v>1354</v>
      </c>
      <c r="DZ7" s="4712"/>
      <c r="EA7" s="4712"/>
      <c r="EB7" s="4712"/>
      <c r="EC7" s="4712" t="s">
        <v>1355</v>
      </c>
      <c r="ED7" s="4712"/>
      <c r="EE7" s="4712"/>
      <c r="EF7" s="4712"/>
      <c r="EG7" s="4712"/>
      <c r="EH7" s="4713" t="s">
        <v>450</v>
      </c>
      <c r="EI7" s="4714"/>
      <c r="EJ7" s="4714"/>
      <c r="EK7" s="4714"/>
      <c r="EL7" s="4715"/>
      <c r="EM7" s="4711" t="s">
        <v>1354</v>
      </c>
      <c r="EN7" s="4712"/>
      <c r="EO7" s="4712"/>
      <c r="EP7" s="4712"/>
      <c r="EQ7" s="4712" t="s">
        <v>1355</v>
      </c>
      <c r="ER7" s="4712"/>
      <c r="ES7" s="4712"/>
      <c r="ET7" s="4712"/>
      <c r="EU7" s="4712"/>
      <c r="EV7" s="4713" t="s">
        <v>450</v>
      </c>
      <c r="EW7" s="4714"/>
      <c r="EX7" s="4714"/>
      <c r="EY7" s="4714"/>
      <c r="EZ7" s="4715"/>
      <c r="FA7" s="4711" t="s">
        <v>1354</v>
      </c>
      <c r="FB7" s="4712"/>
      <c r="FC7" s="4712"/>
      <c r="FD7" s="4712"/>
      <c r="FE7" s="4712" t="s">
        <v>1355</v>
      </c>
      <c r="FF7" s="4712"/>
      <c r="FG7" s="4712"/>
      <c r="FH7" s="4712"/>
      <c r="FI7" s="4712"/>
      <c r="FJ7" s="4713" t="s">
        <v>450</v>
      </c>
      <c r="FK7" s="4714"/>
      <c r="FL7" s="4714"/>
      <c r="FM7" s="4714"/>
      <c r="FN7" s="4715"/>
      <c r="FO7" s="4711" t="s">
        <v>1354</v>
      </c>
      <c r="FP7" s="4712"/>
      <c r="FQ7" s="4712"/>
      <c r="FR7" s="4712"/>
      <c r="FS7" s="4712" t="s">
        <v>1355</v>
      </c>
      <c r="FT7" s="4712"/>
      <c r="FU7" s="4712"/>
      <c r="FV7" s="4712"/>
      <c r="FW7" s="4712"/>
      <c r="FX7" s="4713" t="s">
        <v>450</v>
      </c>
      <c r="FY7" s="4714"/>
      <c r="FZ7" s="4714"/>
      <c r="GA7" s="4714"/>
      <c r="GB7" s="4715"/>
    </row>
    <row r="8" spans="1:184" s="1429" customFormat="1" ht="147.6" customHeight="1">
      <c r="A8" s="4723"/>
      <c r="B8" s="4712"/>
      <c r="C8" s="2405" t="s">
        <v>1356</v>
      </c>
      <c r="D8" s="2405" t="s">
        <v>1357</v>
      </c>
      <c r="E8" s="2405" t="s">
        <v>2464</v>
      </c>
      <c r="F8" s="2405" t="s">
        <v>2465</v>
      </c>
      <c r="G8" s="2405" t="s">
        <v>1356</v>
      </c>
      <c r="H8" s="2405" t="s">
        <v>1357</v>
      </c>
      <c r="I8" s="2405" t="s">
        <v>2466</v>
      </c>
      <c r="J8" s="2405" t="s">
        <v>2467</v>
      </c>
      <c r="K8" s="2405" t="s">
        <v>1358</v>
      </c>
      <c r="L8" s="2405" t="s">
        <v>2468</v>
      </c>
      <c r="M8" s="2405" t="s">
        <v>1357</v>
      </c>
      <c r="N8" s="2405" t="s">
        <v>2469</v>
      </c>
      <c r="O8" s="2405" t="s">
        <v>2470</v>
      </c>
      <c r="P8" s="2420" t="s">
        <v>1358</v>
      </c>
      <c r="Q8" s="2421" t="s">
        <v>1356</v>
      </c>
      <c r="R8" s="2405" t="s">
        <v>1357</v>
      </c>
      <c r="S8" s="2405" t="s">
        <v>2464</v>
      </c>
      <c r="T8" s="2405" t="s">
        <v>2465</v>
      </c>
      <c r="U8" s="2405" t="s">
        <v>1356</v>
      </c>
      <c r="V8" s="2405" t="s">
        <v>1357</v>
      </c>
      <c r="W8" s="2405" t="s">
        <v>2466</v>
      </c>
      <c r="X8" s="2405" t="s">
        <v>2467</v>
      </c>
      <c r="Y8" s="2405" t="s">
        <v>1358</v>
      </c>
      <c r="Z8" s="2405" t="s">
        <v>2468</v>
      </c>
      <c r="AA8" s="2405" t="s">
        <v>1357</v>
      </c>
      <c r="AB8" s="2405" t="s">
        <v>2469</v>
      </c>
      <c r="AC8" s="2405" t="s">
        <v>2470</v>
      </c>
      <c r="AD8" s="2420" t="s">
        <v>1358</v>
      </c>
      <c r="AE8" s="2421" t="s">
        <v>1356</v>
      </c>
      <c r="AF8" s="2405" t="s">
        <v>1357</v>
      </c>
      <c r="AG8" s="2405" t="s">
        <v>2464</v>
      </c>
      <c r="AH8" s="2405" t="s">
        <v>2465</v>
      </c>
      <c r="AI8" s="2405" t="s">
        <v>1356</v>
      </c>
      <c r="AJ8" s="2405" t="s">
        <v>1357</v>
      </c>
      <c r="AK8" s="2405" t="s">
        <v>2466</v>
      </c>
      <c r="AL8" s="2405" t="s">
        <v>2467</v>
      </c>
      <c r="AM8" s="2405" t="s">
        <v>1358</v>
      </c>
      <c r="AN8" s="2405" t="s">
        <v>2468</v>
      </c>
      <c r="AO8" s="2405" t="s">
        <v>1357</v>
      </c>
      <c r="AP8" s="2405" t="s">
        <v>2469</v>
      </c>
      <c r="AQ8" s="2405" t="s">
        <v>2470</v>
      </c>
      <c r="AR8" s="2420" t="s">
        <v>1358</v>
      </c>
      <c r="AS8" s="2421" t="s">
        <v>1356</v>
      </c>
      <c r="AT8" s="2405" t="s">
        <v>1357</v>
      </c>
      <c r="AU8" s="2405" t="s">
        <v>2464</v>
      </c>
      <c r="AV8" s="2405" t="s">
        <v>2465</v>
      </c>
      <c r="AW8" s="2405" t="s">
        <v>1356</v>
      </c>
      <c r="AX8" s="2405" t="s">
        <v>1357</v>
      </c>
      <c r="AY8" s="2405" t="s">
        <v>2466</v>
      </c>
      <c r="AZ8" s="2405" t="s">
        <v>2467</v>
      </c>
      <c r="BA8" s="2405" t="s">
        <v>1358</v>
      </c>
      <c r="BB8" s="2405" t="s">
        <v>2468</v>
      </c>
      <c r="BC8" s="2405" t="s">
        <v>1357</v>
      </c>
      <c r="BD8" s="2405" t="s">
        <v>2469</v>
      </c>
      <c r="BE8" s="2405" t="s">
        <v>2470</v>
      </c>
      <c r="BF8" s="2420" t="s">
        <v>1358</v>
      </c>
      <c r="BG8" s="2421" t="s">
        <v>1356</v>
      </c>
      <c r="BH8" s="2405" t="s">
        <v>1357</v>
      </c>
      <c r="BI8" s="2405" t="s">
        <v>2464</v>
      </c>
      <c r="BJ8" s="2405" t="s">
        <v>2465</v>
      </c>
      <c r="BK8" s="2405" t="s">
        <v>1356</v>
      </c>
      <c r="BL8" s="2405" t="s">
        <v>1357</v>
      </c>
      <c r="BM8" s="2405" t="s">
        <v>2466</v>
      </c>
      <c r="BN8" s="2405" t="s">
        <v>2467</v>
      </c>
      <c r="BO8" s="2405" t="s">
        <v>1358</v>
      </c>
      <c r="BP8" s="2405" t="s">
        <v>2468</v>
      </c>
      <c r="BQ8" s="2405" t="s">
        <v>1357</v>
      </c>
      <c r="BR8" s="2405" t="s">
        <v>2469</v>
      </c>
      <c r="BS8" s="2405" t="s">
        <v>2470</v>
      </c>
      <c r="BT8" s="2420" t="s">
        <v>1358</v>
      </c>
      <c r="BU8" s="2421" t="s">
        <v>1356</v>
      </c>
      <c r="BV8" s="2405" t="s">
        <v>1357</v>
      </c>
      <c r="BW8" s="2405" t="s">
        <v>2464</v>
      </c>
      <c r="BX8" s="2405" t="s">
        <v>2465</v>
      </c>
      <c r="BY8" s="2405" t="s">
        <v>1356</v>
      </c>
      <c r="BZ8" s="2405" t="s">
        <v>1357</v>
      </c>
      <c r="CA8" s="2405" t="s">
        <v>2466</v>
      </c>
      <c r="CB8" s="2405" t="s">
        <v>2467</v>
      </c>
      <c r="CC8" s="2405" t="s">
        <v>1358</v>
      </c>
      <c r="CD8" s="2405" t="s">
        <v>2468</v>
      </c>
      <c r="CE8" s="2405" t="s">
        <v>1357</v>
      </c>
      <c r="CF8" s="2405" t="s">
        <v>2469</v>
      </c>
      <c r="CG8" s="2405" t="s">
        <v>2470</v>
      </c>
      <c r="CH8" s="2420" t="s">
        <v>1358</v>
      </c>
      <c r="CI8" s="2421" t="s">
        <v>1356</v>
      </c>
      <c r="CJ8" s="2405" t="s">
        <v>1357</v>
      </c>
      <c r="CK8" s="2405" t="s">
        <v>2464</v>
      </c>
      <c r="CL8" s="2405" t="s">
        <v>2465</v>
      </c>
      <c r="CM8" s="2405" t="s">
        <v>1356</v>
      </c>
      <c r="CN8" s="2405" t="s">
        <v>1357</v>
      </c>
      <c r="CO8" s="2405" t="s">
        <v>2466</v>
      </c>
      <c r="CP8" s="2405" t="s">
        <v>2467</v>
      </c>
      <c r="CQ8" s="2405" t="s">
        <v>1358</v>
      </c>
      <c r="CR8" s="2405" t="s">
        <v>2468</v>
      </c>
      <c r="CS8" s="2405" t="s">
        <v>1357</v>
      </c>
      <c r="CT8" s="2405" t="s">
        <v>2469</v>
      </c>
      <c r="CU8" s="2405" t="s">
        <v>2470</v>
      </c>
      <c r="CV8" s="2420" t="s">
        <v>1358</v>
      </c>
      <c r="CW8" s="2421" t="s">
        <v>1356</v>
      </c>
      <c r="CX8" s="2405" t="s">
        <v>1357</v>
      </c>
      <c r="CY8" s="2405" t="s">
        <v>2464</v>
      </c>
      <c r="CZ8" s="2405" t="s">
        <v>2465</v>
      </c>
      <c r="DA8" s="2405" t="s">
        <v>1356</v>
      </c>
      <c r="DB8" s="2405" t="s">
        <v>1357</v>
      </c>
      <c r="DC8" s="2405" t="s">
        <v>2466</v>
      </c>
      <c r="DD8" s="2405" t="s">
        <v>2467</v>
      </c>
      <c r="DE8" s="2405" t="s">
        <v>1358</v>
      </c>
      <c r="DF8" s="2405" t="s">
        <v>2468</v>
      </c>
      <c r="DG8" s="2405" t="s">
        <v>1357</v>
      </c>
      <c r="DH8" s="2405" t="s">
        <v>2469</v>
      </c>
      <c r="DI8" s="2405" t="s">
        <v>2470</v>
      </c>
      <c r="DJ8" s="2420" t="s">
        <v>1358</v>
      </c>
      <c r="DK8" s="2421" t="s">
        <v>1356</v>
      </c>
      <c r="DL8" s="2405" t="s">
        <v>1357</v>
      </c>
      <c r="DM8" s="2405" t="s">
        <v>2464</v>
      </c>
      <c r="DN8" s="2405" t="s">
        <v>2465</v>
      </c>
      <c r="DO8" s="2405" t="s">
        <v>1356</v>
      </c>
      <c r="DP8" s="2405" t="s">
        <v>1357</v>
      </c>
      <c r="DQ8" s="2405" t="s">
        <v>2466</v>
      </c>
      <c r="DR8" s="2405" t="s">
        <v>2467</v>
      </c>
      <c r="DS8" s="2405" t="s">
        <v>1358</v>
      </c>
      <c r="DT8" s="2405" t="s">
        <v>2468</v>
      </c>
      <c r="DU8" s="2405" t="s">
        <v>1357</v>
      </c>
      <c r="DV8" s="2405" t="s">
        <v>2469</v>
      </c>
      <c r="DW8" s="2405" t="s">
        <v>2470</v>
      </c>
      <c r="DX8" s="2420" t="s">
        <v>1358</v>
      </c>
      <c r="DY8" s="2421" t="s">
        <v>1356</v>
      </c>
      <c r="DZ8" s="2405" t="s">
        <v>1357</v>
      </c>
      <c r="EA8" s="2405" t="s">
        <v>2464</v>
      </c>
      <c r="EB8" s="2405" t="s">
        <v>2465</v>
      </c>
      <c r="EC8" s="2405" t="s">
        <v>1356</v>
      </c>
      <c r="ED8" s="2405" t="s">
        <v>1357</v>
      </c>
      <c r="EE8" s="2405" t="s">
        <v>2466</v>
      </c>
      <c r="EF8" s="2405" t="s">
        <v>2467</v>
      </c>
      <c r="EG8" s="2405" t="s">
        <v>1358</v>
      </c>
      <c r="EH8" s="2405" t="s">
        <v>2468</v>
      </c>
      <c r="EI8" s="2405" t="s">
        <v>1357</v>
      </c>
      <c r="EJ8" s="2405" t="s">
        <v>2469</v>
      </c>
      <c r="EK8" s="2405" t="s">
        <v>2470</v>
      </c>
      <c r="EL8" s="2420" t="s">
        <v>1358</v>
      </c>
      <c r="EM8" s="2421" t="s">
        <v>1356</v>
      </c>
      <c r="EN8" s="2405" t="s">
        <v>1357</v>
      </c>
      <c r="EO8" s="2405" t="s">
        <v>2464</v>
      </c>
      <c r="EP8" s="2405" t="s">
        <v>2465</v>
      </c>
      <c r="EQ8" s="2405" t="s">
        <v>1356</v>
      </c>
      <c r="ER8" s="2405" t="s">
        <v>1357</v>
      </c>
      <c r="ES8" s="2405" t="s">
        <v>2466</v>
      </c>
      <c r="ET8" s="2405" t="s">
        <v>2467</v>
      </c>
      <c r="EU8" s="2405" t="s">
        <v>1358</v>
      </c>
      <c r="EV8" s="2405" t="s">
        <v>2468</v>
      </c>
      <c r="EW8" s="2405" t="s">
        <v>1357</v>
      </c>
      <c r="EX8" s="2405" t="s">
        <v>2469</v>
      </c>
      <c r="EY8" s="2405" t="s">
        <v>2470</v>
      </c>
      <c r="EZ8" s="2420" t="s">
        <v>1358</v>
      </c>
      <c r="FA8" s="2421" t="s">
        <v>1356</v>
      </c>
      <c r="FB8" s="2405" t="s">
        <v>1357</v>
      </c>
      <c r="FC8" s="2405" t="s">
        <v>2464</v>
      </c>
      <c r="FD8" s="2405" t="s">
        <v>2465</v>
      </c>
      <c r="FE8" s="2405" t="s">
        <v>1356</v>
      </c>
      <c r="FF8" s="2405" t="s">
        <v>1357</v>
      </c>
      <c r="FG8" s="2405" t="s">
        <v>2466</v>
      </c>
      <c r="FH8" s="2405" t="s">
        <v>2467</v>
      </c>
      <c r="FI8" s="2405" t="s">
        <v>1358</v>
      </c>
      <c r="FJ8" s="2405" t="s">
        <v>2468</v>
      </c>
      <c r="FK8" s="2405" t="s">
        <v>1357</v>
      </c>
      <c r="FL8" s="2405" t="s">
        <v>2469</v>
      </c>
      <c r="FM8" s="2405" t="s">
        <v>2470</v>
      </c>
      <c r="FN8" s="2420" t="s">
        <v>1358</v>
      </c>
      <c r="FO8" s="2421" t="s">
        <v>1356</v>
      </c>
      <c r="FP8" s="2405" t="s">
        <v>1357</v>
      </c>
      <c r="FQ8" s="2405" t="s">
        <v>2464</v>
      </c>
      <c r="FR8" s="2405" t="s">
        <v>2465</v>
      </c>
      <c r="FS8" s="2405" t="s">
        <v>1356</v>
      </c>
      <c r="FT8" s="2405" t="s">
        <v>1357</v>
      </c>
      <c r="FU8" s="2405" t="s">
        <v>2466</v>
      </c>
      <c r="FV8" s="2405" t="s">
        <v>2467</v>
      </c>
      <c r="FW8" s="2405" t="s">
        <v>1358</v>
      </c>
      <c r="FX8" s="2405" t="s">
        <v>2468</v>
      </c>
      <c r="FY8" s="2405" t="s">
        <v>1357</v>
      </c>
      <c r="FZ8" s="2405" t="s">
        <v>2469</v>
      </c>
      <c r="GA8" s="2405" t="s">
        <v>2470</v>
      </c>
      <c r="GB8" s="2420" t="s">
        <v>1358</v>
      </c>
    </row>
    <row r="9" spans="1:184">
      <c r="A9" s="2421" t="s">
        <v>7</v>
      </c>
      <c r="B9" s="2405" t="s">
        <v>22</v>
      </c>
      <c r="C9" s="2302">
        <v>1</v>
      </c>
      <c r="D9" s="2302">
        <v>2</v>
      </c>
      <c r="E9" s="2302">
        <v>3</v>
      </c>
      <c r="F9" s="2302" t="s">
        <v>1359</v>
      </c>
      <c r="G9" s="2302">
        <v>5</v>
      </c>
      <c r="H9" s="2302">
        <v>6</v>
      </c>
      <c r="I9" s="2302">
        <v>7</v>
      </c>
      <c r="J9" s="2302">
        <v>8</v>
      </c>
      <c r="K9" s="2302" t="s">
        <v>2472</v>
      </c>
      <c r="L9" s="2302">
        <v>10</v>
      </c>
      <c r="M9" s="2302">
        <v>11</v>
      </c>
      <c r="N9" s="2302">
        <v>12</v>
      </c>
      <c r="O9" s="2302" t="s">
        <v>2553</v>
      </c>
      <c r="P9" s="2784">
        <v>14</v>
      </c>
      <c r="Q9" s="2302">
        <v>1</v>
      </c>
      <c r="R9" s="2302">
        <v>2</v>
      </c>
      <c r="S9" s="2302">
        <v>3</v>
      </c>
      <c r="T9" s="2302" t="s">
        <v>1359</v>
      </c>
      <c r="U9" s="2302">
        <v>5</v>
      </c>
      <c r="V9" s="2302">
        <v>6</v>
      </c>
      <c r="W9" s="2302">
        <v>7</v>
      </c>
      <c r="X9" s="2302">
        <v>8</v>
      </c>
      <c r="Y9" s="2302" t="s">
        <v>2472</v>
      </c>
      <c r="Z9" s="2302">
        <v>10</v>
      </c>
      <c r="AA9" s="2302">
        <v>11</v>
      </c>
      <c r="AB9" s="2302">
        <v>12</v>
      </c>
      <c r="AC9" s="2302" t="s">
        <v>2553</v>
      </c>
      <c r="AD9" s="2784">
        <v>14</v>
      </c>
      <c r="AE9" s="2302">
        <v>1</v>
      </c>
      <c r="AF9" s="2302">
        <v>2</v>
      </c>
      <c r="AG9" s="2302">
        <v>3</v>
      </c>
      <c r="AH9" s="2302" t="s">
        <v>1359</v>
      </c>
      <c r="AI9" s="2302">
        <v>5</v>
      </c>
      <c r="AJ9" s="2302">
        <v>6</v>
      </c>
      <c r="AK9" s="2302">
        <v>7</v>
      </c>
      <c r="AL9" s="2302">
        <v>8</v>
      </c>
      <c r="AM9" s="2302" t="s">
        <v>2472</v>
      </c>
      <c r="AN9" s="2302">
        <v>10</v>
      </c>
      <c r="AO9" s="2302">
        <v>11</v>
      </c>
      <c r="AP9" s="2302">
        <v>12</v>
      </c>
      <c r="AQ9" s="2302" t="s">
        <v>2553</v>
      </c>
      <c r="AR9" s="2784">
        <v>14</v>
      </c>
      <c r="AS9" s="2302">
        <v>1</v>
      </c>
      <c r="AT9" s="2302">
        <v>2</v>
      </c>
      <c r="AU9" s="2302">
        <v>3</v>
      </c>
      <c r="AV9" s="2302" t="s">
        <v>1359</v>
      </c>
      <c r="AW9" s="2302">
        <v>5</v>
      </c>
      <c r="AX9" s="2302">
        <v>6</v>
      </c>
      <c r="AY9" s="2302">
        <v>7</v>
      </c>
      <c r="AZ9" s="2302">
        <v>8</v>
      </c>
      <c r="BA9" s="2302" t="s">
        <v>2472</v>
      </c>
      <c r="BB9" s="2302">
        <v>10</v>
      </c>
      <c r="BC9" s="2302">
        <v>11</v>
      </c>
      <c r="BD9" s="2302">
        <v>12</v>
      </c>
      <c r="BE9" s="2302" t="s">
        <v>2553</v>
      </c>
      <c r="BF9" s="2784">
        <v>14</v>
      </c>
      <c r="BG9" s="2302">
        <v>1</v>
      </c>
      <c r="BH9" s="2302">
        <v>2</v>
      </c>
      <c r="BI9" s="2302">
        <v>3</v>
      </c>
      <c r="BJ9" s="2302" t="s">
        <v>1359</v>
      </c>
      <c r="BK9" s="2302">
        <v>5</v>
      </c>
      <c r="BL9" s="2302">
        <v>6</v>
      </c>
      <c r="BM9" s="2302">
        <v>7</v>
      </c>
      <c r="BN9" s="2302">
        <v>8</v>
      </c>
      <c r="BO9" s="2302" t="s">
        <v>2472</v>
      </c>
      <c r="BP9" s="2302">
        <v>10</v>
      </c>
      <c r="BQ9" s="2302">
        <v>11</v>
      </c>
      <c r="BR9" s="2302">
        <v>12</v>
      </c>
      <c r="BS9" s="2302" t="s">
        <v>2553</v>
      </c>
      <c r="BT9" s="2784">
        <v>14</v>
      </c>
      <c r="BU9" s="2302">
        <v>1</v>
      </c>
      <c r="BV9" s="2302">
        <v>2</v>
      </c>
      <c r="BW9" s="2302">
        <v>3</v>
      </c>
      <c r="BX9" s="2302" t="s">
        <v>1359</v>
      </c>
      <c r="BY9" s="2302">
        <v>5</v>
      </c>
      <c r="BZ9" s="2302">
        <v>6</v>
      </c>
      <c r="CA9" s="2302">
        <v>7</v>
      </c>
      <c r="CB9" s="2302">
        <v>8</v>
      </c>
      <c r="CC9" s="2302" t="s">
        <v>2472</v>
      </c>
      <c r="CD9" s="2302">
        <v>10</v>
      </c>
      <c r="CE9" s="2302">
        <v>11</v>
      </c>
      <c r="CF9" s="2302">
        <v>12</v>
      </c>
      <c r="CG9" s="2302" t="s">
        <v>2553</v>
      </c>
      <c r="CH9" s="2784">
        <v>14</v>
      </c>
      <c r="CI9" s="2302">
        <v>1</v>
      </c>
      <c r="CJ9" s="2302">
        <v>2</v>
      </c>
      <c r="CK9" s="2302">
        <v>3</v>
      </c>
      <c r="CL9" s="2302" t="s">
        <v>1359</v>
      </c>
      <c r="CM9" s="2302">
        <v>5</v>
      </c>
      <c r="CN9" s="2302">
        <v>6</v>
      </c>
      <c r="CO9" s="2302">
        <v>7</v>
      </c>
      <c r="CP9" s="2302">
        <v>8</v>
      </c>
      <c r="CQ9" s="2302" t="s">
        <v>2472</v>
      </c>
      <c r="CR9" s="2302">
        <v>10</v>
      </c>
      <c r="CS9" s="2302">
        <v>11</v>
      </c>
      <c r="CT9" s="2302">
        <v>12</v>
      </c>
      <c r="CU9" s="2302" t="s">
        <v>2553</v>
      </c>
      <c r="CV9" s="2784">
        <v>14</v>
      </c>
      <c r="CW9" s="2302">
        <v>1</v>
      </c>
      <c r="CX9" s="2302">
        <v>2</v>
      </c>
      <c r="CY9" s="2302">
        <v>3</v>
      </c>
      <c r="CZ9" s="2302" t="s">
        <v>1359</v>
      </c>
      <c r="DA9" s="2302">
        <v>5</v>
      </c>
      <c r="DB9" s="2302">
        <v>6</v>
      </c>
      <c r="DC9" s="2302">
        <v>7</v>
      </c>
      <c r="DD9" s="2302">
        <v>8</v>
      </c>
      <c r="DE9" s="2302" t="s">
        <v>2472</v>
      </c>
      <c r="DF9" s="2302">
        <v>10</v>
      </c>
      <c r="DG9" s="2302">
        <v>11</v>
      </c>
      <c r="DH9" s="2302">
        <v>12</v>
      </c>
      <c r="DI9" s="2302" t="s">
        <v>2553</v>
      </c>
      <c r="DJ9" s="2784">
        <v>14</v>
      </c>
      <c r="DK9" s="2302">
        <v>1</v>
      </c>
      <c r="DL9" s="2302">
        <v>2</v>
      </c>
      <c r="DM9" s="2302">
        <v>3</v>
      </c>
      <c r="DN9" s="2302" t="s">
        <v>1359</v>
      </c>
      <c r="DO9" s="2302">
        <v>5</v>
      </c>
      <c r="DP9" s="2302">
        <v>6</v>
      </c>
      <c r="DQ9" s="2302">
        <v>7</v>
      </c>
      <c r="DR9" s="2302">
        <v>8</v>
      </c>
      <c r="DS9" s="2302" t="s">
        <v>2472</v>
      </c>
      <c r="DT9" s="2302">
        <v>10</v>
      </c>
      <c r="DU9" s="2302">
        <v>11</v>
      </c>
      <c r="DV9" s="2302">
        <v>12</v>
      </c>
      <c r="DW9" s="2302" t="s">
        <v>2553</v>
      </c>
      <c r="DX9" s="2784">
        <v>14</v>
      </c>
      <c r="DY9" s="2302">
        <v>1</v>
      </c>
      <c r="DZ9" s="2302">
        <v>2</v>
      </c>
      <c r="EA9" s="2302">
        <v>3</v>
      </c>
      <c r="EB9" s="2302" t="s">
        <v>1359</v>
      </c>
      <c r="EC9" s="2302">
        <v>5</v>
      </c>
      <c r="ED9" s="2302">
        <v>6</v>
      </c>
      <c r="EE9" s="2302">
        <v>7</v>
      </c>
      <c r="EF9" s="2302">
        <v>8</v>
      </c>
      <c r="EG9" s="2302" t="s">
        <v>2472</v>
      </c>
      <c r="EH9" s="2302">
        <v>10</v>
      </c>
      <c r="EI9" s="2302">
        <v>11</v>
      </c>
      <c r="EJ9" s="2302">
        <v>12</v>
      </c>
      <c r="EK9" s="2302" t="s">
        <v>2553</v>
      </c>
      <c r="EL9" s="2784">
        <v>14</v>
      </c>
      <c r="EM9" s="2302">
        <v>1</v>
      </c>
      <c r="EN9" s="2302">
        <v>2</v>
      </c>
      <c r="EO9" s="2302">
        <v>3</v>
      </c>
      <c r="EP9" s="2302" t="s">
        <v>1359</v>
      </c>
      <c r="EQ9" s="2302">
        <v>5</v>
      </c>
      <c r="ER9" s="2302">
        <v>6</v>
      </c>
      <c r="ES9" s="2302">
        <v>7</v>
      </c>
      <c r="ET9" s="2302">
        <v>8</v>
      </c>
      <c r="EU9" s="2302" t="s">
        <v>2472</v>
      </c>
      <c r="EV9" s="2302">
        <v>10</v>
      </c>
      <c r="EW9" s="2302">
        <v>11</v>
      </c>
      <c r="EX9" s="2302">
        <v>12</v>
      </c>
      <c r="EY9" s="2302" t="s">
        <v>2553</v>
      </c>
      <c r="EZ9" s="2784">
        <v>14</v>
      </c>
      <c r="FA9" s="2302">
        <v>1</v>
      </c>
      <c r="FB9" s="2302">
        <v>2</v>
      </c>
      <c r="FC9" s="2302">
        <v>3</v>
      </c>
      <c r="FD9" s="2302" t="s">
        <v>1359</v>
      </c>
      <c r="FE9" s="2302">
        <v>5</v>
      </c>
      <c r="FF9" s="2302">
        <v>6</v>
      </c>
      <c r="FG9" s="2302">
        <v>7</v>
      </c>
      <c r="FH9" s="2302">
        <v>8</v>
      </c>
      <c r="FI9" s="2302" t="s">
        <v>2472</v>
      </c>
      <c r="FJ9" s="2302">
        <v>10</v>
      </c>
      <c r="FK9" s="2302">
        <v>11</v>
      </c>
      <c r="FL9" s="2302">
        <v>12</v>
      </c>
      <c r="FM9" s="2302" t="s">
        <v>2553</v>
      </c>
      <c r="FN9" s="2784">
        <v>14</v>
      </c>
      <c r="FO9" s="2302">
        <v>1</v>
      </c>
      <c r="FP9" s="2302">
        <v>2</v>
      </c>
      <c r="FQ9" s="2302">
        <v>3</v>
      </c>
      <c r="FR9" s="2302" t="s">
        <v>1359</v>
      </c>
      <c r="FS9" s="2302">
        <v>5</v>
      </c>
      <c r="FT9" s="2302">
        <v>6</v>
      </c>
      <c r="FU9" s="2302">
        <v>7</v>
      </c>
      <c r="FV9" s="2302">
        <v>8</v>
      </c>
      <c r="FW9" s="2302" t="s">
        <v>2472</v>
      </c>
      <c r="FX9" s="2302">
        <v>10</v>
      </c>
      <c r="FY9" s="2302">
        <v>11</v>
      </c>
      <c r="FZ9" s="2302">
        <v>12</v>
      </c>
      <c r="GA9" s="2302" t="s">
        <v>2553</v>
      </c>
      <c r="GB9" s="2784">
        <v>14</v>
      </c>
    </row>
    <row r="10" spans="1:184">
      <c r="A10" s="2422"/>
      <c r="B10" s="2386" t="s">
        <v>363</v>
      </c>
      <c r="C10" s="2409">
        <f>C11</f>
        <v>101852.83333333334</v>
      </c>
      <c r="D10" s="2409">
        <f t="shared" ref="D10:BO10" si="0">D11</f>
        <v>489459.33299999998</v>
      </c>
      <c r="E10" s="2409">
        <f t="shared" si="0"/>
        <v>479372.90899999999</v>
      </c>
      <c r="F10" s="2409">
        <f t="shared" si="0"/>
        <v>10086.424000000001</v>
      </c>
      <c r="G10" s="2409">
        <f t="shared" si="0"/>
        <v>111450</v>
      </c>
      <c r="H10" s="2409">
        <f t="shared" si="0"/>
        <v>502622.90350000001</v>
      </c>
      <c r="I10" s="2409">
        <f t="shared" si="0"/>
        <v>430052.48800000001</v>
      </c>
      <c r="J10" s="2409">
        <f t="shared" si="0"/>
        <v>70212.218500000003</v>
      </c>
      <c r="K10" s="2409">
        <f t="shared" si="0"/>
        <v>7728.226999999999</v>
      </c>
      <c r="L10" s="2409">
        <f t="shared" si="0"/>
        <v>119752.69590643274</v>
      </c>
      <c r="M10" s="2409">
        <f t="shared" si="0"/>
        <v>523720.83600000001</v>
      </c>
      <c r="N10" s="2409">
        <f t="shared" si="0"/>
        <v>430052.48800000001</v>
      </c>
      <c r="O10" s="2409">
        <f t="shared" si="0"/>
        <v>93668.347999999998</v>
      </c>
      <c r="P10" s="2423">
        <f t="shared" si="0"/>
        <v>0</v>
      </c>
      <c r="Q10" s="2437">
        <f t="shared" si="0"/>
        <v>11012</v>
      </c>
      <c r="R10" s="2409">
        <f t="shared" si="0"/>
        <v>44364</v>
      </c>
      <c r="S10" s="2409">
        <f t="shared" si="0"/>
        <v>45098</v>
      </c>
      <c r="T10" s="2409">
        <f t="shared" si="0"/>
        <v>-734</v>
      </c>
      <c r="U10" s="2409">
        <f t="shared" si="0"/>
        <v>9686</v>
      </c>
      <c r="V10" s="2409">
        <f t="shared" si="0"/>
        <v>47512</v>
      </c>
      <c r="W10" s="2409">
        <f t="shared" si="0"/>
        <v>44364</v>
      </c>
      <c r="X10" s="2409">
        <f t="shared" si="0"/>
        <v>1206</v>
      </c>
      <c r="Y10" s="2409">
        <f t="shared" si="0"/>
        <v>-2676</v>
      </c>
      <c r="Z10" s="2409">
        <f t="shared" si="0"/>
        <v>9667</v>
      </c>
      <c r="AA10" s="2409">
        <f t="shared" si="0"/>
        <v>47795</v>
      </c>
      <c r="AB10" s="2409">
        <f t="shared" si="0"/>
        <v>44364</v>
      </c>
      <c r="AC10" s="2409">
        <f t="shared" si="0"/>
        <v>3431</v>
      </c>
      <c r="AD10" s="2423">
        <f t="shared" si="0"/>
        <v>0</v>
      </c>
      <c r="AE10" s="2437">
        <f t="shared" si="0"/>
        <v>5985</v>
      </c>
      <c r="AF10" s="2409">
        <f t="shared" si="0"/>
        <v>19801.332999999999</v>
      </c>
      <c r="AG10" s="2409">
        <f t="shared" si="0"/>
        <v>20280.868999999999</v>
      </c>
      <c r="AH10" s="2409">
        <f t="shared" si="0"/>
        <v>-479.53599999999847</v>
      </c>
      <c r="AI10" s="2409">
        <f t="shared" si="0"/>
        <v>4926</v>
      </c>
      <c r="AJ10" s="2409">
        <f t="shared" si="0"/>
        <v>20317.358</v>
      </c>
      <c r="AK10" s="2409">
        <f t="shared" si="0"/>
        <v>17351</v>
      </c>
      <c r="AL10" s="2409">
        <f t="shared" si="0"/>
        <v>3428</v>
      </c>
      <c r="AM10" s="2409">
        <f t="shared" si="0"/>
        <v>-17.893999999998442</v>
      </c>
      <c r="AN10" s="2409">
        <f t="shared" si="0"/>
        <v>4729.2222222222226</v>
      </c>
      <c r="AO10" s="2409">
        <f t="shared" si="0"/>
        <v>21406</v>
      </c>
      <c r="AP10" s="2409">
        <f t="shared" si="0"/>
        <v>17351</v>
      </c>
      <c r="AQ10" s="2409">
        <f t="shared" si="0"/>
        <v>4055</v>
      </c>
      <c r="AR10" s="2423">
        <f t="shared" si="0"/>
        <v>0</v>
      </c>
      <c r="AS10" s="2437">
        <f t="shared" si="0"/>
        <v>7555</v>
      </c>
      <c r="AT10" s="2409">
        <f t="shared" si="0"/>
        <v>23395</v>
      </c>
      <c r="AU10" s="2409">
        <f t="shared" si="0"/>
        <v>23066</v>
      </c>
      <c r="AV10" s="2409">
        <f t="shared" si="0"/>
        <v>329</v>
      </c>
      <c r="AW10" s="2409">
        <f t="shared" si="0"/>
        <v>7527</v>
      </c>
      <c r="AX10" s="2409">
        <f t="shared" si="0"/>
        <v>26621</v>
      </c>
      <c r="AY10" s="2409">
        <f t="shared" si="0"/>
        <v>21467.175999999999</v>
      </c>
      <c r="AZ10" s="2409">
        <f t="shared" si="0"/>
        <v>2061.3710000000001</v>
      </c>
      <c r="BA10" s="2409">
        <f t="shared" si="0"/>
        <v>-2763.453</v>
      </c>
      <c r="BB10" s="2409">
        <f t="shared" si="0"/>
        <v>9053</v>
      </c>
      <c r="BC10" s="2409">
        <f t="shared" si="0"/>
        <v>28391</v>
      </c>
      <c r="BD10" s="2409">
        <f t="shared" si="0"/>
        <v>21467.175999999999</v>
      </c>
      <c r="BE10" s="2409">
        <f t="shared" si="0"/>
        <v>6923.8239999999996</v>
      </c>
      <c r="BF10" s="2423">
        <f t="shared" si="0"/>
        <v>0</v>
      </c>
      <c r="BG10" s="2437">
        <f t="shared" si="0"/>
        <v>8732</v>
      </c>
      <c r="BH10" s="2409">
        <f t="shared" si="0"/>
        <v>30564</v>
      </c>
      <c r="BI10" s="2409">
        <f t="shared" si="0"/>
        <v>28092</v>
      </c>
      <c r="BJ10" s="2409">
        <f t="shared" si="0"/>
        <v>2472</v>
      </c>
      <c r="BK10" s="2409">
        <f t="shared" si="0"/>
        <v>6552</v>
      </c>
      <c r="BL10" s="2409">
        <f t="shared" si="0"/>
        <v>27594.096000000001</v>
      </c>
      <c r="BM10" s="2409">
        <f t="shared" si="0"/>
        <v>28898.240000000002</v>
      </c>
      <c r="BN10" s="2409">
        <f t="shared" si="0"/>
        <v>1798.6</v>
      </c>
      <c r="BO10" s="2409">
        <f t="shared" si="0"/>
        <v>5574.7439999999997</v>
      </c>
      <c r="BP10" s="2409">
        <f t="shared" ref="BP10:EA10" si="1">BP11</f>
        <v>7061</v>
      </c>
      <c r="BQ10" s="2409">
        <f t="shared" si="1"/>
        <v>30585</v>
      </c>
      <c r="BR10" s="2409">
        <f t="shared" si="1"/>
        <v>28898.240000000002</v>
      </c>
      <c r="BS10" s="2409">
        <f t="shared" si="1"/>
        <v>1686.76</v>
      </c>
      <c r="BT10" s="2423">
        <f t="shared" si="1"/>
        <v>0</v>
      </c>
      <c r="BU10" s="2437">
        <f t="shared" si="1"/>
        <v>10034</v>
      </c>
      <c r="BV10" s="2409">
        <f t="shared" si="1"/>
        <v>48422</v>
      </c>
      <c r="BW10" s="2409">
        <f t="shared" si="1"/>
        <v>42561</v>
      </c>
      <c r="BX10" s="2409">
        <f t="shared" si="1"/>
        <v>5861</v>
      </c>
      <c r="BY10" s="2409">
        <f t="shared" si="1"/>
        <v>9114</v>
      </c>
      <c r="BZ10" s="2409">
        <f t="shared" si="1"/>
        <v>44274.46</v>
      </c>
      <c r="CA10" s="2409">
        <f t="shared" si="1"/>
        <v>43390.648000000001</v>
      </c>
      <c r="CB10" s="2409">
        <f t="shared" si="1"/>
        <v>5530.3440000000001</v>
      </c>
      <c r="CC10" s="2409">
        <f t="shared" si="1"/>
        <v>10507.531999999999</v>
      </c>
      <c r="CD10" s="2409">
        <f t="shared" si="1"/>
        <v>9653</v>
      </c>
      <c r="CE10" s="2409">
        <f t="shared" si="1"/>
        <v>47432</v>
      </c>
      <c r="CF10" s="2409">
        <f t="shared" si="1"/>
        <v>43390.648000000001</v>
      </c>
      <c r="CG10" s="2409">
        <f t="shared" si="1"/>
        <v>4041.3519999999999</v>
      </c>
      <c r="CH10" s="2423">
        <f t="shared" si="1"/>
        <v>0</v>
      </c>
      <c r="CI10" s="2437">
        <f t="shared" si="1"/>
        <v>5344.5</v>
      </c>
      <c r="CJ10" s="2409">
        <f t="shared" si="1"/>
        <v>38273</v>
      </c>
      <c r="CK10" s="2409">
        <f t="shared" si="1"/>
        <v>38991</v>
      </c>
      <c r="CL10" s="2409">
        <f t="shared" si="1"/>
        <v>-718</v>
      </c>
      <c r="CM10" s="2409">
        <f t="shared" si="1"/>
        <v>5968</v>
      </c>
      <c r="CN10" s="2409">
        <f t="shared" si="1"/>
        <v>42451</v>
      </c>
      <c r="CO10" s="2409">
        <f t="shared" si="1"/>
        <v>31233.8</v>
      </c>
      <c r="CP10" s="2409">
        <f t="shared" si="1"/>
        <v>9896.8719999999976</v>
      </c>
      <c r="CQ10" s="2409">
        <f t="shared" si="1"/>
        <v>-2038.3280000000034</v>
      </c>
      <c r="CR10" s="2409">
        <f t="shared" si="1"/>
        <v>8235</v>
      </c>
      <c r="CS10" s="2409">
        <f t="shared" si="1"/>
        <v>42393</v>
      </c>
      <c r="CT10" s="2409">
        <f t="shared" si="1"/>
        <v>31233.8</v>
      </c>
      <c r="CU10" s="2409">
        <f t="shared" si="1"/>
        <v>11159.2</v>
      </c>
      <c r="CV10" s="2423">
        <f t="shared" si="1"/>
        <v>0</v>
      </c>
      <c r="CW10" s="2437">
        <f t="shared" si="1"/>
        <v>11778.333333333332</v>
      </c>
      <c r="CX10" s="2409">
        <f t="shared" si="1"/>
        <v>60828</v>
      </c>
      <c r="CY10" s="2409">
        <f t="shared" si="1"/>
        <v>58485</v>
      </c>
      <c r="CZ10" s="2409">
        <f t="shared" si="1"/>
        <v>2343</v>
      </c>
      <c r="DA10" s="2409">
        <f t="shared" si="1"/>
        <v>14927</v>
      </c>
      <c r="DB10" s="2409">
        <f t="shared" si="1"/>
        <v>58680.887999999999</v>
      </c>
      <c r="DC10" s="2409">
        <f t="shared" si="1"/>
        <v>41370.487999999998</v>
      </c>
      <c r="DD10" s="2409">
        <f t="shared" si="1"/>
        <v>20071.298499999997</v>
      </c>
      <c r="DE10" s="2409">
        <f t="shared" si="1"/>
        <v>5103.8984999999975</v>
      </c>
      <c r="DF10" s="2409">
        <f t="shared" si="1"/>
        <v>16248</v>
      </c>
      <c r="DG10" s="2409">
        <f t="shared" si="1"/>
        <v>59291.688000000002</v>
      </c>
      <c r="DH10" s="2409">
        <f t="shared" si="1"/>
        <v>41370.487999999998</v>
      </c>
      <c r="DI10" s="2409">
        <f t="shared" si="1"/>
        <v>17921.2</v>
      </c>
      <c r="DJ10" s="2423">
        <f t="shared" si="1"/>
        <v>0</v>
      </c>
      <c r="DK10" s="2437">
        <f t="shared" si="1"/>
        <v>5934.5</v>
      </c>
      <c r="DL10" s="2409">
        <f t="shared" si="1"/>
        <v>32295</v>
      </c>
      <c r="DM10" s="2409">
        <f t="shared" si="1"/>
        <v>30474.21</v>
      </c>
      <c r="DN10" s="2409">
        <f t="shared" si="1"/>
        <v>1820.79</v>
      </c>
      <c r="DO10" s="2409">
        <f t="shared" si="1"/>
        <v>8231</v>
      </c>
      <c r="DP10" s="2409">
        <f t="shared" si="1"/>
        <v>32604.101499999997</v>
      </c>
      <c r="DQ10" s="2409">
        <f t="shared" si="1"/>
        <v>32295.4</v>
      </c>
      <c r="DR10" s="2409">
        <f t="shared" si="1"/>
        <v>373.37299999999999</v>
      </c>
      <c r="DS10" s="2409">
        <f t="shared" si="1"/>
        <v>1885.4615000000013</v>
      </c>
      <c r="DT10" s="2409">
        <f t="shared" si="1"/>
        <v>8759.4736842105267</v>
      </c>
      <c r="DU10" s="2409">
        <f t="shared" si="1"/>
        <v>34906</v>
      </c>
      <c r="DV10" s="2409">
        <f t="shared" si="1"/>
        <v>32295.4</v>
      </c>
      <c r="DW10" s="2409">
        <f t="shared" si="1"/>
        <v>2610.6</v>
      </c>
      <c r="DX10" s="2423">
        <f t="shared" si="1"/>
        <v>0</v>
      </c>
      <c r="DY10" s="2437">
        <f t="shared" si="1"/>
        <v>10374</v>
      </c>
      <c r="DZ10" s="2409">
        <f t="shared" si="1"/>
        <v>59597</v>
      </c>
      <c r="EA10" s="2409">
        <f t="shared" si="1"/>
        <v>60979</v>
      </c>
      <c r="EB10" s="2409">
        <f t="shared" ref="EB10:GB10" si="2">EB11</f>
        <v>-1382</v>
      </c>
      <c r="EC10" s="2409">
        <f t="shared" si="2"/>
        <v>12911</v>
      </c>
      <c r="ED10" s="2409">
        <f t="shared" si="2"/>
        <v>68074</v>
      </c>
      <c r="EE10" s="2409">
        <f t="shared" si="2"/>
        <v>45992.2</v>
      </c>
      <c r="EF10" s="2409">
        <f t="shared" si="2"/>
        <v>13667.680000000002</v>
      </c>
      <c r="EG10" s="2409">
        <f t="shared" si="2"/>
        <v>-9796.119999999999</v>
      </c>
      <c r="EH10" s="2409">
        <f t="shared" si="2"/>
        <v>13026</v>
      </c>
      <c r="EI10" s="2409">
        <f t="shared" si="2"/>
        <v>68430.148000000001</v>
      </c>
      <c r="EJ10" s="2409">
        <f t="shared" si="2"/>
        <v>45992.2</v>
      </c>
      <c r="EK10" s="2409">
        <f t="shared" si="2"/>
        <v>22437.948</v>
      </c>
      <c r="EL10" s="2423">
        <f t="shared" si="2"/>
        <v>0</v>
      </c>
      <c r="EM10" s="2437">
        <f t="shared" si="2"/>
        <v>9554</v>
      </c>
      <c r="EN10" s="2409">
        <f t="shared" si="2"/>
        <v>51966</v>
      </c>
      <c r="EO10" s="2409">
        <f t="shared" si="2"/>
        <v>50073</v>
      </c>
      <c r="EP10" s="2409">
        <f t="shared" si="2"/>
        <v>1893</v>
      </c>
      <c r="EQ10" s="2409">
        <f t="shared" si="2"/>
        <v>14722</v>
      </c>
      <c r="ER10" s="2409">
        <f t="shared" si="2"/>
        <v>48876</v>
      </c>
      <c r="ES10" s="2409">
        <f t="shared" si="2"/>
        <v>44475.288</v>
      </c>
      <c r="ET10" s="2409">
        <f t="shared" si="2"/>
        <v>7491.08</v>
      </c>
      <c r="EU10" s="2409">
        <f t="shared" si="2"/>
        <v>4983.3680000000004</v>
      </c>
      <c r="EV10" s="2409">
        <f t="shared" si="2"/>
        <v>15119</v>
      </c>
      <c r="EW10" s="2409">
        <f t="shared" si="2"/>
        <v>51738</v>
      </c>
      <c r="EX10" s="2409">
        <f t="shared" si="2"/>
        <v>44475.288</v>
      </c>
      <c r="EY10" s="2409">
        <f t="shared" si="2"/>
        <v>7262.7119999999995</v>
      </c>
      <c r="EZ10" s="2423">
        <f t="shared" si="2"/>
        <v>0</v>
      </c>
      <c r="FA10" s="2437">
        <f t="shared" si="2"/>
        <v>6720</v>
      </c>
      <c r="FB10" s="2409">
        <f t="shared" si="2"/>
        <v>33112</v>
      </c>
      <c r="FC10" s="2409">
        <f t="shared" si="2"/>
        <v>32505</v>
      </c>
      <c r="FD10" s="2409">
        <f t="shared" si="2"/>
        <v>607</v>
      </c>
      <c r="FE10" s="2409">
        <f t="shared" si="2"/>
        <v>7256</v>
      </c>
      <c r="FF10" s="2409">
        <f t="shared" si="2"/>
        <v>34654</v>
      </c>
      <c r="FG10" s="2409">
        <f t="shared" si="2"/>
        <v>32372.080000000002</v>
      </c>
      <c r="FH10" s="2409">
        <f t="shared" si="2"/>
        <v>2820.2</v>
      </c>
      <c r="FI10" s="2409">
        <f t="shared" si="2"/>
        <v>1145.28</v>
      </c>
      <c r="FJ10" s="2409">
        <f t="shared" si="2"/>
        <v>7980</v>
      </c>
      <c r="FK10" s="2409">
        <f t="shared" si="2"/>
        <v>37748</v>
      </c>
      <c r="FL10" s="2409">
        <f t="shared" si="2"/>
        <v>32372.080000000002</v>
      </c>
      <c r="FM10" s="2409">
        <f t="shared" si="2"/>
        <v>5375.92</v>
      </c>
      <c r="FN10" s="2423">
        <f t="shared" si="2"/>
        <v>0</v>
      </c>
      <c r="FO10" s="2437">
        <f t="shared" si="2"/>
        <v>8829.5</v>
      </c>
      <c r="FP10" s="2409">
        <f t="shared" si="2"/>
        <v>46842</v>
      </c>
      <c r="FQ10" s="2409">
        <f t="shared" si="2"/>
        <v>48767.83</v>
      </c>
      <c r="FR10" s="2409">
        <f t="shared" si="2"/>
        <v>-1925.83</v>
      </c>
      <c r="FS10" s="2409">
        <f t="shared" si="2"/>
        <v>9630</v>
      </c>
      <c r="FT10" s="2409">
        <f t="shared" si="2"/>
        <v>50964</v>
      </c>
      <c r="FU10" s="2409">
        <f t="shared" si="2"/>
        <v>46842.167999999998</v>
      </c>
      <c r="FV10" s="2409">
        <f t="shared" si="2"/>
        <v>1867.4000000000015</v>
      </c>
      <c r="FW10" s="2409">
        <f t="shared" si="2"/>
        <v>-4180.2619999999988</v>
      </c>
      <c r="FX10" s="2409">
        <f t="shared" si="2"/>
        <v>10222</v>
      </c>
      <c r="FY10" s="2409">
        <f t="shared" si="2"/>
        <v>53605</v>
      </c>
      <c r="FZ10" s="2409">
        <f t="shared" si="2"/>
        <v>46842.167999999998</v>
      </c>
      <c r="GA10" s="2409">
        <f t="shared" si="2"/>
        <v>6762.8320000000003</v>
      </c>
      <c r="GB10" s="2423">
        <f t="shared" si="2"/>
        <v>0</v>
      </c>
    </row>
    <row r="11" spans="1:184" ht="52.2">
      <c r="A11" s="2424" t="s">
        <v>9</v>
      </c>
      <c r="B11" s="2781" t="s">
        <v>1360</v>
      </c>
      <c r="C11" s="2410">
        <f>SUM(C12,C16)</f>
        <v>101852.83333333334</v>
      </c>
      <c r="D11" s="2410">
        <f t="shared" ref="D11:BO11" si="3">SUM(D12,D16)</f>
        <v>489459.33299999998</v>
      </c>
      <c r="E11" s="2410">
        <f t="shared" si="3"/>
        <v>479372.90899999999</v>
      </c>
      <c r="F11" s="2410">
        <f t="shared" si="3"/>
        <v>10086.424000000001</v>
      </c>
      <c r="G11" s="2410">
        <f t="shared" si="3"/>
        <v>111450</v>
      </c>
      <c r="H11" s="2410">
        <f t="shared" si="3"/>
        <v>502622.90350000001</v>
      </c>
      <c r="I11" s="2410">
        <f t="shared" si="3"/>
        <v>430052.48800000001</v>
      </c>
      <c r="J11" s="2410">
        <f t="shared" si="3"/>
        <v>70212.218500000003</v>
      </c>
      <c r="K11" s="2410">
        <f t="shared" si="3"/>
        <v>7728.226999999999</v>
      </c>
      <c r="L11" s="2410">
        <f t="shared" si="3"/>
        <v>119752.69590643274</v>
      </c>
      <c r="M11" s="2410">
        <f t="shared" si="3"/>
        <v>523720.83600000001</v>
      </c>
      <c r="N11" s="2410">
        <f t="shared" si="3"/>
        <v>430052.48800000001</v>
      </c>
      <c r="O11" s="2410">
        <f>SUM(O12,O16)</f>
        <v>93668.347999999998</v>
      </c>
      <c r="P11" s="2425">
        <f t="shared" si="3"/>
        <v>0</v>
      </c>
      <c r="Q11" s="2438">
        <f t="shared" si="3"/>
        <v>11012</v>
      </c>
      <c r="R11" s="2410">
        <f t="shared" si="3"/>
        <v>44364</v>
      </c>
      <c r="S11" s="2410">
        <f t="shared" si="3"/>
        <v>45098</v>
      </c>
      <c r="T11" s="2410">
        <f t="shared" si="3"/>
        <v>-734</v>
      </c>
      <c r="U11" s="2410">
        <f t="shared" si="3"/>
        <v>9686</v>
      </c>
      <c r="V11" s="2410">
        <f t="shared" si="3"/>
        <v>47512</v>
      </c>
      <c r="W11" s="2410">
        <f t="shared" si="3"/>
        <v>44364</v>
      </c>
      <c r="X11" s="2410">
        <f t="shared" si="3"/>
        <v>1206</v>
      </c>
      <c r="Y11" s="2410">
        <f t="shared" si="3"/>
        <v>-2676</v>
      </c>
      <c r="Z11" s="2410">
        <f t="shared" si="3"/>
        <v>9667</v>
      </c>
      <c r="AA11" s="2410">
        <f t="shared" si="3"/>
        <v>47795</v>
      </c>
      <c r="AB11" s="2410">
        <f t="shared" si="3"/>
        <v>44364</v>
      </c>
      <c r="AC11" s="2410">
        <f t="shared" si="3"/>
        <v>3431</v>
      </c>
      <c r="AD11" s="2425">
        <f t="shared" si="3"/>
        <v>0</v>
      </c>
      <c r="AE11" s="2438">
        <f t="shared" si="3"/>
        <v>5985</v>
      </c>
      <c r="AF11" s="2410">
        <f t="shared" si="3"/>
        <v>19801.332999999999</v>
      </c>
      <c r="AG11" s="2410">
        <f t="shared" si="3"/>
        <v>20280.868999999999</v>
      </c>
      <c r="AH11" s="2410">
        <f t="shared" si="3"/>
        <v>-479.53599999999847</v>
      </c>
      <c r="AI11" s="2410">
        <f t="shared" si="3"/>
        <v>4926</v>
      </c>
      <c r="AJ11" s="2410">
        <f t="shared" si="3"/>
        <v>20317.358</v>
      </c>
      <c r="AK11" s="2410">
        <f t="shared" si="3"/>
        <v>17351</v>
      </c>
      <c r="AL11" s="2410">
        <f t="shared" si="3"/>
        <v>3428</v>
      </c>
      <c r="AM11" s="2410">
        <f t="shared" si="3"/>
        <v>-17.893999999998442</v>
      </c>
      <c r="AN11" s="2410">
        <f t="shared" si="3"/>
        <v>4729.2222222222226</v>
      </c>
      <c r="AO11" s="2410">
        <f t="shared" si="3"/>
        <v>21406</v>
      </c>
      <c r="AP11" s="2410">
        <f t="shared" si="3"/>
        <v>17351</v>
      </c>
      <c r="AQ11" s="2410">
        <f t="shared" si="3"/>
        <v>4055</v>
      </c>
      <c r="AR11" s="2425">
        <f t="shared" si="3"/>
        <v>0</v>
      </c>
      <c r="AS11" s="2438">
        <f t="shared" si="3"/>
        <v>7555</v>
      </c>
      <c r="AT11" s="2410">
        <f t="shared" si="3"/>
        <v>23395</v>
      </c>
      <c r="AU11" s="2410">
        <f t="shared" si="3"/>
        <v>23066</v>
      </c>
      <c r="AV11" s="2410">
        <f t="shared" si="3"/>
        <v>329</v>
      </c>
      <c r="AW11" s="2410">
        <f t="shared" si="3"/>
        <v>7527</v>
      </c>
      <c r="AX11" s="2410">
        <f t="shared" si="3"/>
        <v>26621</v>
      </c>
      <c r="AY11" s="2410">
        <f t="shared" si="3"/>
        <v>21467.175999999999</v>
      </c>
      <c r="AZ11" s="2410">
        <f t="shared" si="3"/>
        <v>2061.3710000000001</v>
      </c>
      <c r="BA11" s="2410">
        <f t="shared" si="3"/>
        <v>-2763.453</v>
      </c>
      <c r="BB11" s="2410">
        <f t="shared" si="3"/>
        <v>9053</v>
      </c>
      <c r="BC11" s="2410">
        <f t="shared" si="3"/>
        <v>28391</v>
      </c>
      <c r="BD11" s="2410">
        <f t="shared" si="3"/>
        <v>21467.175999999999</v>
      </c>
      <c r="BE11" s="2410">
        <f t="shared" si="3"/>
        <v>6923.8239999999996</v>
      </c>
      <c r="BF11" s="2425">
        <f t="shared" si="3"/>
        <v>0</v>
      </c>
      <c r="BG11" s="2438">
        <f t="shared" si="3"/>
        <v>8732</v>
      </c>
      <c r="BH11" s="2410">
        <f t="shared" si="3"/>
        <v>30564</v>
      </c>
      <c r="BI11" s="2410">
        <f t="shared" si="3"/>
        <v>28092</v>
      </c>
      <c r="BJ11" s="2410">
        <f t="shared" si="3"/>
        <v>2472</v>
      </c>
      <c r="BK11" s="2410">
        <f t="shared" si="3"/>
        <v>6552</v>
      </c>
      <c r="BL11" s="2410">
        <f t="shared" si="3"/>
        <v>27594.096000000001</v>
      </c>
      <c r="BM11" s="2410">
        <f t="shared" si="3"/>
        <v>28898.240000000002</v>
      </c>
      <c r="BN11" s="2410">
        <f t="shared" si="3"/>
        <v>1798.6</v>
      </c>
      <c r="BO11" s="2410">
        <f t="shared" si="3"/>
        <v>5574.7439999999997</v>
      </c>
      <c r="BP11" s="2410">
        <f t="shared" ref="BP11:EA11" si="4">SUM(BP12,BP16)</f>
        <v>7061</v>
      </c>
      <c r="BQ11" s="2410">
        <f t="shared" si="4"/>
        <v>30585</v>
      </c>
      <c r="BR11" s="2410">
        <f t="shared" si="4"/>
        <v>28898.240000000002</v>
      </c>
      <c r="BS11" s="2410">
        <f t="shared" si="4"/>
        <v>1686.76</v>
      </c>
      <c r="BT11" s="2425">
        <f t="shared" si="4"/>
        <v>0</v>
      </c>
      <c r="BU11" s="2438">
        <f t="shared" si="4"/>
        <v>10034</v>
      </c>
      <c r="BV11" s="2410">
        <f t="shared" si="4"/>
        <v>48422</v>
      </c>
      <c r="BW11" s="2410">
        <f t="shared" si="4"/>
        <v>42561</v>
      </c>
      <c r="BX11" s="2410">
        <f t="shared" si="4"/>
        <v>5861</v>
      </c>
      <c r="BY11" s="2410">
        <f t="shared" si="4"/>
        <v>9114</v>
      </c>
      <c r="BZ11" s="2410">
        <f t="shared" si="4"/>
        <v>44274.46</v>
      </c>
      <c r="CA11" s="2410">
        <f t="shared" si="4"/>
        <v>43390.648000000001</v>
      </c>
      <c r="CB11" s="2410">
        <f t="shared" si="4"/>
        <v>5530.3440000000001</v>
      </c>
      <c r="CC11" s="2410">
        <f t="shared" si="4"/>
        <v>10507.531999999999</v>
      </c>
      <c r="CD11" s="2410">
        <f t="shared" si="4"/>
        <v>9653</v>
      </c>
      <c r="CE11" s="2410">
        <f t="shared" si="4"/>
        <v>47432</v>
      </c>
      <c r="CF11" s="2410">
        <f t="shared" si="4"/>
        <v>43390.648000000001</v>
      </c>
      <c r="CG11" s="2410">
        <f t="shared" si="4"/>
        <v>4041.3519999999999</v>
      </c>
      <c r="CH11" s="2425">
        <f t="shared" si="4"/>
        <v>0</v>
      </c>
      <c r="CI11" s="2438">
        <f t="shared" si="4"/>
        <v>5344.5</v>
      </c>
      <c r="CJ11" s="2410">
        <f t="shared" si="4"/>
        <v>38273</v>
      </c>
      <c r="CK11" s="2410">
        <f t="shared" si="4"/>
        <v>38991</v>
      </c>
      <c r="CL11" s="2410">
        <f t="shared" si="4"/>
        <v>-718</v>
      </c>
      <c r="CM11" s="2410">
        <f t="shared" si="4"/>
        <v>5968</v>
      </c>
      <c r="CN11" s="2410">
        <f t="shared" si="4"/>
        <v>42451</v>
      </c>
      <c r="CO11" s="2410">
        <f t="shared" si="4"/>
        <v>31233.8</v>
      </c>
      <c r="CP11" s="2410">
        <f t="shared" si="4"/>
        <v>9896.8719999999976</v>
      </c>
      <c r="CQ11" s="2410">
        <f>SUM(CQ12,CQ16)</f>
        <v>-2038.3280000000034</v>
      </c>
      <c r="CR11" s="2410">
        <f t="shared" si="4"/>
        <v>8235</v>
      </c>
      <c r="CS11" s="2410">
        <f t="shared" si="4"/>
        <v>42393</v>
      </c>
      <c r="CT11" s="2410">
        <f t="shared" si="4"/>
        <v>31233.8</v>
      </c>
      <c r="CU11" s="2410">
        <f t="shared" si="4"/>
        <v>11159.2</v>
      </c>
      <c r="CV11" s="2425">
        <f t="shared" si="4"/>
        <v>0</v>
      </c>
      <c r="CW11" s="2438">
        <f t="shared" si="4"/>
        <v>11778.333333333332</v>
      </c>
      <c r="CX11" s="2410">
        <f t="shared" si="4"/>
        <v>60828</v>
      </c>
      <c r="CY11" s="2410">
        <f t="shared" si="4"/>
        <v>58485</v>
      </c>
      <c r="CZ11" s="2410">
        <f t="shared" si="4"/>
        <v>2343</v>
      </c>
      <c r="DA11" s="2410">
        <f t="shared" si="4"/>
        <v>14927</v>
      </c>
      <c r="DB11" s="2410">
        <f t="shared" si="4"/>
        <v>58680.887999999999</v>
      </c>
      <c r="DC11" s="2410">
        <f t="shared" si="4"/>
        <v>41370.487999999998</v>
      </c>
      <c r="DD11" s="2410">
        <f t="shared" si="4"/>
        <v>20071.298499999997</v>
      </c>
      <c r="DE11" s="2410">
        <f t="shared" si="4"/>
        <v>5103.8984999999975</v>
      </c>
      <c r="DF11" s="2410">
        <f t="shared" si="4"/>
        <v>16248</v>
      </c>
      <c r="DG11" s="2410">
        <f t="shared" si="4"/>
        <v>59291.688000000002</v>
      </c>
      <c r="DH11" s="2410">
        <f t="shared" si="4"/>
        <v>41370.487999999998</v>
      </c>
      <c r="DI11" s="2410">
        <f t="shared" si="4"/>
        <v>17921.2</v>
      </c>
      <c r="DJ11" s="2425">
        <f t="shared" si="4"/>
        <v>0</v>
      </c>
      <c r="DK11" s="2438">
        <f t="shared" si="4"/>
        <v>5934.5</v>
      </c>
      <c r="DL11" s="2410">
        <f t="shared" si="4"/>
        <v>32295</v>
      </c>
      <c r="DM11" s="2410">
        <f t="shared" si="4"/>
        <v>30474.21</v>
      </c>
      <c r="DN11" s="2410">
        <f t="shared" si="4"/>
        <v>1820.79</v>
      </c>
      <c r="DO11" s="2410">
        <f t="shared" si="4"/>
        <v>8231</v>
      </c>
      <c r="DP11" s="2410">
        <f t="shared" si="4"/>
        <v>32604.101499999997</v>
      </c>
      <c r="DQ11" s="2410">
        <f t="shared" si="4"/>
        <v>32295.4</v>
      </c>
      <c r="DR11" s="2410">
        <f t="shared" si="4"/>
        <v>373.37299999999999</v>
      </c>
      <c r="DS11" s="2410">
        <f t="shared" si="4"/>
        <v>1885.4615000000013</v>
      </c>
      <c r="DT11" s="2410">
        <f t="shared" si="4"/>
        <v>8759.4736842105267</v>
      </c>
      <c r="DU11" s="2410">
        <f t="shared" si="4"/>
        <v>34906</v>
      </c>
      <c r="DV11" s="2410">
        <f t="shared" si="4"/>
        <v>32295.4</v>
      </c>
      <c r="DW11" s="2410">
        <f t="shared" si="4"/>
        <v>2610.6</v>
      </c>
      <c r="DX11" s="2425">
        <f t="shared" si="4"/>
        <v>0</v>
      </c>
      <c r="DY11" s="2438">
        <f t="shared" si="4"/>
        <v>10374</v>
      </c>
      <c r="DZ11" s="2410">
        <f t="shared" si="4"/>
        <v>59597</v>
      </c>
      <c r="EA11" s="2410">
        <f t="shared" si="4"/>
        <v>60979</v>
      </c>
      <c r="EB11" s="2410">
        <f t="shared" ref="EB11:GB11" si="5">SUM(EB12,EB16)</f>
        <v>-1382</v>
      </c>
      <c r="EC11" s="2410">
        <f t="shared" si="5"/>
        <v>12911</v>
      </c>
      <c r="ED11" s="2410">
        <f t="shared" si="5"/>
        <v>68074</v>
      </c>
      <c r="EE11" s="2410">
        <f t="shared" si="5"/>
        <v>45992.2</v>
      </c>
      <c r="EF11" s="2410">
        <f t="shared" si="5"/>
        <v>13667.680000000002</v>
      </c>
      <c r="EG11" s="2410">
        <f t="shared" si="5"/>
        <v>-9796.119999999999</v>
      </c>
      <c r="EH11" s="2410">
        <f t="shared" si="5"/>
        <v>13026</v>
      </c>
      <c r="EI11" s="2410">
        <f t="shared" si="5"/>
        <v>68430.148000000001</v>
      </c>
      <c r="EJ11" s="2410">
        <f t="shared" si="5"/>
        <v>45992.2</v>
      </c>
      <c r="EK11" s="2410">
        <f t="shared" si="5"/>
        <v>22437.948</v>
      </c>
      <c r="EL11" s="2425">
        <f t="shared" si="5"/>
        <v>0</v>
      </c>
      <c r="EM11" s="2438">
        <f t="shared" si="5"/>
        <v>9554</v>
      </c>
      <c r="EN11" s="2410">
        <f t="shared" si="5"/>
        <v>51966</v>
      </c>
      <c r="EO11" s="2410">
        <f t="shared" si="5"/>
        <v>50073</v>
      </c>
      <c r="EP11" s="2410">
        <f t="shared" si="5"/>
        <v>1893</v>
      </c>
      <c r="EQ11" s="2410">
        <f t="shared" si="5"/>
        <v>14722</v>
      </c>
      <c r="ER11" s="2410">
        <f t="shared" si="5"/>
        <v>48876</v>
      </c>
      <c r="ES11" s="2410">
        <f t="shared" si="5"/>
        <v>44475.288</v>
      </c>
      <c r="ET11" s="2410">
        <f t="shared" si="5"/>
        <v>7491.08</v>
      </c>
      <c r="EU11" s="2410">
        <f t="shared" si="5"/>
        <v>4983.3680000000004</v>
      </c>
      <c r="EV11" s="2410">
        <f t="shared" si="5"/>
        <v>15119</v>
      </c>
      <c r="EW11" s="2410">
        <f t="shared" si="5"/>
        <v>51738</v>
      </c>
      <c r="EX11" s="2410">
        <f t="shared" si="5"/>
        <v>44475.288</v>
      </c>
      <c r="EY11" s="2410">
        <f t="shared" si="5"/>
        <v>7262.7119999999995</v>
      </c>
      <c r="EZ11" s="2425">
        <f t="shared" si="5"/>
        <v>0</v>
      </c>
      <c r="FA11" s="2438">
        <f t="shared" si="5"/>
        <v>6720</v>
      </c>
      <c r="FB11" s="2410">
        <f t="shared" si="5"/>
        <v>33112</v>
      </c>
      <c r="FC11" s="2410">
        <f t="shared" si="5"/>
        <v>32505</v>
      </c>
      <c r="FD11" s="2410">
        <f t="shared" si="5"/>
        <v>607</v>
      </c>
      <c r="FE11" s="2410">
        <f t="shared" si="5"/>
        <v>7256</v>
      </c>
      <c r="FF11" s="2410">
        <f t="shared" si="5"/>
        <v>34654</v>
      </c>
      <c r="FG11" s="2410">
        <f t="shared" si="5"/>
        <v>32372.080000000002</v>
      </c>
      <c r="FH11" s="2410">
        <f t="shared" si="5"/>
        <v>2820.2</v>
      </c>
      <c r="FI11" s="2410">
        <f t="shared" si="5"/>
        <v>1145.28</v>
      </c>
      <c r="FJ11" s="2410">
        <f t="shared" si="5"/>
        <v>7980</v>
      </c>
      <c r="FK11" s="2410">
        <f t="shared" si="5"/>
        <v>37748</v>
      </c>
      <c r="FL11" s="2410">
        <f t="shared" si="5"/>
        <v>32372.080000000002</v>
      </c>
      <c r="FM11" s="2410">
        <f t="shared" si="5"/>
        <v>5375.92</v>
      </c>
      <c r="FN11" s="2425">
        <f t="shared" si="5"/>
        <v>0</v>
      </c>
      <c r="FO11" s="2438">
        <f t="shared" si="5"/>
        <v>8829.5</v>
      </c>
      <c r="FP11" s="2410">
        <f t="shared" si="5"/>
        <v>46842</v>
      </c>
      <c r="FQ11" s="2410">
        <f t="shared" si="5"/>
        <v>48767.83</v>
      </c>
      <c r="FR11" s="2410">
        <f t="shared" si="5"/>
        <v>-1925.83</v>
      </c>
      <c r="FS11" s="2410">
        <f t="shared" si="5"/>
        <v>9630</v>
      </c>
      <c r="FT11" s="2410">
        <f t="shared" si="5"/>
        <v>50964</v>
      </c>
      <c r="FU11" s="2410">
        <f t="shared" si="5"/>
        <v>46842.167999999998</v>
      </c>
      <c r="FV11" s="2410">
        <f t="shared" si="5"/>
        <v>1867.4000000000015</v>
      </c>
      <c r="FW11" s="2410">
        <f t="shared" si="5"/>
        <v>-4180.2619999999988</v>
      </c>
      <c r="FX11" s="2410">
        <f t="shared" si="5"/>
        <v>10222</v>
      </c>
      <c r="FY11" s="2410">
        <f t="shared" si="5"/>
        <v>53605</v>
      </c>
      <c r="FZ11" s="2410">
        <f t="shared" si="5"/>
        <v>46842.167999999998</v>
      </c>
      <c r="GA11" s="2410">
        <f t="shared" si="5"/>
        <v>6762.8320000000003</v>
      </c>
      <c r="GB11" s="2425">
        <f t="shared" si="5"/>
        <v>0</v>
      </c>
    </row>
    <row r="12" spans="1:184" ht="34.799999999999997">
      <c r="A12" s="2424">
        <v>1</v>
      </c>
      <c r="B12" s="2781" t="s">
        <v>1361</v>
      </c>
      <c r="C12" s="2410">
        <f>SUM(C13:C15)</f>
        <v>22814</v>
      </c>
      <c r="D12" s="2410">
        <f t="shared" ref="D12:BO12" si="6">SUM(D13:D15)</f>
        <v>21146.332999999999</v>
      </c>
      <c r="E12" s="2410">
        <f t="shared" si="6"/>
        <v>14890.653</v>
      </c>
      <c r="F12" s="2410">
        <f t="shared" si="6"/>
        <v>6255.6799999999994</v>
      </c>
      <c r="G12" s="2410">
        <f t="shared" si="6"/>
        <v>24998</v>
      </c>
      <c r="H12" s="2410">
        <f t="shared" si="6"/>
        <v>18947.387500000001</v>
      </c>
      <c r="I12" s="2410">
        <f t="shared" si="6"/>
        <v>15933.488000000001</v>
      </c>
      <c r="J12" s="2410">
        <f t="shared" si="6"/>
        <v>8890.3665000000019</v>
      </c>
      <c r="K12" s="2410">
        <f t="shared" si="6"/>
        <v>12132.146999999999</v>
      </c>
      <c r="L12" s="2410">
        <f t="shared" si="6"/>
        <v>28402.333333333332</v>
      </c>
      <c r="M12" s="2410">
        <f t="shared" si="6"/>
        <v>23265.279999999999</v>
      </c>
      <c r="N12" s="2410">
        <f t="shared" si="6"/>
        <v>15933.488000000001</v>
      </c>
      <c r="O12" s="2410">
        <f>SUM(O13:O15)</f>
        <v>7331.7919999999995</v>
      </c>
      <c r="P12" s="2425">
        <f t="shared" si="6"/>
        <v>0</v>
      </c>
      <c r="Q12" s="2438">
        <f t="shared" si="6"/>
        <v>2355</v>
      </c>
      <c r="R12" s="2410">
        <f t="shared" si="6"/>
        <v>1305</v>
      </c>
      <c r="S12" s="2410">
        <f t="shared" si="6"/>
        <v>2203</v>
      </c>
      <c r="T12" s="2410">
        <f t="shared" si="6"/>
        <v>-898</v>
      </c>
      <c r="U12" s="2410">
        <f t="shared" si="6"/>
        <v>1910</v>
      </c>
      <c r="V12" s="2410">
        <f t="shared" si="6"/>
        <v>2061</v>
      </c>
      <c r="W12" s="2410">
        <f t="shared" si="6"/>
        <v>1305</v>
      </c>
      <c r="X12" s="2410">
        <f t="shared" si="6"/>
        <v>1206</v>
      </c>
      <c r="Y12" s="2410">
        <f>SUM(Y13:Y15)</f>
        <v>-448</v>
      </c>
      <c r="Z12" s="2410">
        <f t="shared" si="6"/>
        <v>1902</v>
      </c>
      <c r="AA12" s="2410">
        <f t="shared" si="6"/>
        <v>2352</v>
      </c>
      <c r="AB12" s="2410">
        <f t="shared" si="6"/>
        <v>1305</v>
      </c>
      <c r="AC12" s="2410">
        <f t="shared" si="6"/>
        <v>1047</v>
      </c>
      <c r="AD12" s="2425">
        <f t="shared" si="6"/>
        <v>0</v>
      </c>
      <c r="AE12" s="2438">
        <f t="shared" si="6"/>
        <v>1738</v>
      </c>
      <c r="AF12" s="2410">
        <f t="shared" si="6"/>
        <v>918.33299999999997</v>
      </c>
      <c r="AG12" s="2410">
        <f t="shared" si="6"/>
        <v>1078.6130000000001</v>
      </c>
      <c r="AH12" s="2410">
        <f t="shared" si="6"/>
        <v>-160.28000000000006</v>
      </c>
      <c r="AI12" s="2410">
        <f t="shared" si="6"/>
        <v>1581</v>
      </c>
      <c r="AJ12" s="2410">
        <f t="shared" si="6"/>
        <v>995.35</v>
      </c>
      <c r="AK12" s="2410">
        <f t="shared" si="6"/>
        <v>444</v>
      </c>
      <c r="AL12" s="2410">
        <f t="shared" si="6"/>
        <v>616</v>
      </c>
      <c r="AM12" s="2410">
        <f t="shared" si="6"/>
        <v>-95.630000000000081</v>
      </c>
      <c r="AN12" s="2410">
        <f t="shared" si="6"/>
        <v>1596.2222222222222</v>
      </c>
      <c r="AO12" s="2410">
        <f t="shared" si="6"/>
        <v>1001</v>
      </c>
      <c r="AP12" s="2410">
        <f t="shared" si="6"/>
        <v>444</v>
      </c>
      <c r="AQ12" s="2410">
        <f t="shared" si="6"/>
        <v>557</v>
      </c>
      <c r="AR12" s="2425">
        <f t="shared" si="6"/>
        <v>0</v>
      </c>
      <c r="AS12" s="2438">
        <f t="shared" si="6"/>
        <v>3167</v>
      </c>
      <c r="AT12" s="2410">
        <f t="shared" si="6"/>
        <v>2459</v>
      </c>
      <c r="AU12" s="2410">
        <f t="shared" si="6"/>
        <v>2115</v>
      </c>
      <c r="AV12" s="2410">
        <f t="shared" si="6"/>
        <v>344</v>
      </c>
      <c r="AW12" s="2410">
        <f t="shared" si="6"/>
        <v>3506</v>
      </c>
      <c r="AX12" s="2410">
        <f t="shared" si="6"/>
        <v>2779</v>
      </c>
      <c r="AY12" s="2410">
        <f t="shared" si="6"/>
        <v>1213.1759999999999</v>
      </c>
      <c r="AZ12" s="2410">
        <f t="shared" si="6"/>
        <v>927.37100000000009</v>
      </c>
      <c r="BA12" s="2410">
        <f t="shared" si="6"/>
        <v>-294.45299999999997</v>
      </c>
      <c r="BB12" s="2410">
        <f t="shared" si="6"/>
        <v>4385</v>
      </c>
      <c r="BC12" s="2410">
        <f t="shared" si="6"/>
        <v>3592</v>
      </c>
      <c r="BD12" s="2410">
        <f t="shared" si="6"/>
        <v>1213.1759999999999</v>
      </c>
      <c r="BE12" s="2410">
        <f t="shared" si="6"/>
        <v>2378.8239999999996</v>
      </c>
      <c r="BF12" s="2425">
        <f t="shared" si="6"/>
        <v>0</v>
      </c>
      <c r="BG12" s="2438">
        <f t="shared" si="6"/>
        <v>3245</v>
      </c>
      <c r="BH12" s="2410">
        <f t="shared" si="6"/>
        <v>2627</v>
      </c>
      <c r="BI12" s="2410">
        <f t="shared" si="6"/>
        <v>2426</v>
      </c>
      <c r="BJ12" s="2410">
        <f t="shared" si="6"/>
        <v>201</v>
      </c>
      <c r="BK12" s="2410">
        <f t="shared" si="6"/>
        <v>1754</v>
      </c>
      <c r="BL12" s="2410">
        <f t="shared" si="6"/>
        <v>1860</v>
      </c>
      <c r="BM12" s="2410">
        <f t="shared" si="6"/>
        <v>1658.24</v>
      </c>
      <c r="BN12" s="2410">
        <f t="shared" si="6"/>
        <v>1521.6</v>
      </c>
      <c r="BO12" s="2410">
        <f t="shared" si="6"/>
        <v>1520.84</v>
      </c>
      <c r="BP12" s="2410">
        <f t="shared" ref="BP12:EA12" si="7">SUM(BP13:BP15)</f>
        <v>2114</v>
      </c>
      <c r="BQ12" s="2410">
        <f t="shared" si="7"/>
        <v>2441</v>
      </c>
      <c r="BR12" s="2410">
        <f t="shared" si="7"/>
        <v>1658.24</v>
      </c>
      <c r="BS12" s="2410">
        <f t="shared" si="7"/>
        <v>782.76</v>
      </c>
      <c r="BT12" s="2425">
        <f t="shared" si="7"/>
        <v>0</v>
      </c>
      <c r="BU12" s="2438">
        <f t="shared" si="7"/>
        <v>3617</v>
      </c>
      <c r="BV12" s="2410">
        <f t="shared" si="7"/>
        <v>1775</v>
      </c>
      <c r="BW12" s="2410">
        <f t="shared" si="7"/>
        <v>1549</v>
      </c>
      <c r="BX12" s="2410">
        <f t="shared" si="7"/>
        <v>226</v>
      </c>
      <c r="BY12" s="2410">
        <f t="shared" si="7"/>
        <v>1411</v>
      </c>
      <c r="BZ12" s="2410">
        <f t="shared" si="7"/>
        <v>1445</v>
      </c>
      <c r="CA12" s="2410">
        <f t="shared" si="7"/>
        <v>1367.6480000000001</v>
      </c>
      <c r="CB12" s="2410">
        <f t="shared" si="7"/>
        <v>987.04399999999964</v>
      </c>
      <c r="CC12" s="2410">
        <f t="shared" si="7"/>
        <v>1135.6919999999998</v>
      </c>
      <c r="CD12" s="2410">
        <f t="shared" si="7"/>
        <v>1814</v>
      </c>
      <c r="CE12" s="2410">
        <f t="shared" si="7"/>
        <v>2050</v>
      </c>
      <c r="CF12" s="2410">
        <f t="shared" si="7"/>
        <v>1367.6480000000001</v>
      </c>
      <c r="CG12" s="2410">
        <f t="shared" si="7"/>
        <v>682.35199999999998</v>
      </c>
      <c r="CH12" s="2425">
        <f t="shared" si="7"/>
        <v>0</v>
      </c>
      <c r="CI12" s="2438">
        <f t="shared" si="7"/>
        <v>42</v>
      </c>
      <c r="CJ12" s="2410">
        <f t="shared" si="7"/>
        <v>977</v>
      </c>
      <c r="CK12" s="2410">
        <f t="shared" si="7"/>
        <v>48</v>
      </c>
      <c r="CL12" s="2410">
        <f t="shared" si="7"/>
        <v>929</v>
      </c>
      <c r="CM12" s="2410">
        <f t="shared" si="7"/>
        <v>366</v>
      </c>
      <c r="CN12" s="2410">
        <f t="shared" si="7"/>
        <v>463</v>
      </c>
      <c r="CO12" s="2410">
        <f t="shared" si="7"/>
        <v>976.8</v>
      </c>
      <c r="CP12" s="2410">
        <f t="shared" si="7"/>
        <v>0</v>
      </c>
      <c r="CQ12" s="2410">
        <f t="shared" si="7"/>
        <v>1442.8</v>
      </c>
      <c r="CR12" s="2410">
        <f t="shared" si="7"/>
        <v>379</v>
      </c>
      <c r="CS12" s="2410">
        <f t="shared" si="7"/>
        <v>469</v>
      </c>
      <c r="CT12" s="2410">
        <f t="shared" si="7"/>
        <v>976.8</v>
      </c>
      <c r="CU12" s="2410">
        <f t="shared" si="7"/>
        <v>-507.8</v>
      </c>
      <c r="CV12" s="2425">
        <f t="shared" si="7"/>
        <v>0</v>
      </c>
      <c r="CW12" s="2438">
        <f t="shared" si="7"/>
        <v>3502</v>
      </c>
      <c r="CX12" s="2410">
        <f t="shared" si="7"/>
        <v>3418</v>
      </c>
      <c r="CY12" s="2410">
        <f t="shared" si="7"/>
        <v>2339</v>
      </c>
      <c r="CZ12" s="2410">
        <f t="shared" si="7"/>
        <v>1079</v>
      </c>
      <c r="DA12" s="2410">
        <f t="shared" si="7"/>
        <v>4014</v>
      </c>
      <c r="DB12" s="2410">
        <f t="shared" si="7"/>
        <v>2762.96</v>
      </c>
      <c r="DC12" s="2410">
        <f t="shared" si="7"/>
        <v>2565.4879999999998</v>
      </c>
      <c r="DD12" s="2410">
        <f t="shared" si="7"/>
        <v>1477.0985000000001</v>
      </c>
      <c r="DE12" s="2410">
        <f t="shared" si="7"/>
        <v>2358.6264999999999</v>
      </c>
      <c r="DF12" s="2410">
        <f t="shared" si="7"/>
        <v>4862</v>
      </c>
      <c r="DG12" s="2410">
        <f t="shared" si="7"/>
        <v>3736.2799999999997</v>
      </c>
      <c r="DH12" s="2410">
        <f t="shared" si="7"/>
        <v>2565.4879999999998</v>
      </c>
      <c r="DI12" s="2410">
        <f t="shared" si="7"/>
        <v>1170.7919999999999</v>
      </c>
      <c r="DJ12" s="2425">
        <f t="shared" si="7"/>
        <v>0</v>
      </c>
      <c r="DK12" s="2438">
        <f t="shared" si="7"/>
        <v>611</v>
      </c>
      <c r="DL12" s="2410">
        <f t="shared" si="7"/>
        <v>1355</v>
      </c>
      <c r="DM12" s="2410">
        <f t="shared" si="7"/>
        <v>394.21000000000004</v>
      </c>
      <c r="DN12" s="2410">
        <f t="shared" si="7"/>
        <v>960.79</v>
      </c>
      <c r="DO12" s="2410">
        <f t="shared" si="7"/>
        <v>2490</v>
      </c>
      <c r="DP12" s="2410">
        <f t="shared" si="7"/>
        <v>804.07749999999999</v>
      </c>
      <c r="DQ12" s="2410">
        <f t="shared" si="7"/>
        <v>1355.4</v>
      </c>
      <c r="DR12" s="2410">
        <f t="shared" si="7"/>
        <v>373.37299999999999</v>
      </c>
      <c r="DS12" s="2410">
        <f t="shared" si="7"/>
        <v>1885.4855</v>
      </c>
      <c r="DT12" s="2410">
        <f t="shared" si="7"/>
        <v>2780.1111111111113</v>
      </c>
      <c r="DU12" s="2410">
        <f t="shared" si="7"/>
        <v>1089</v>
      </c>
      <c r="DV12" s="2410">
        <f t="shared" si="7"/>
        <v>1355.4</v>
      </c>
      <c r="DW12" s="2410">
        <f t="shared" si="7"/>
        <v>-266.39999999999998</v>
      </c>
      <c r="DX12" s="2425">
        <f t="shared" si="7"/>
        <v>0</v>
      </c>
      <c r="DY12" s="2438">
        <f t="shared" si="7"/>
        <v>1739</v>
      </c>
      <c r="DZ12" s="2410">
        <f t="shared" si="7"/>
        <v>1574</v>
      </c>
      <c r="EA12" s="2410">
        <f t="shared" si="7"/>
        <v>1253</v>
      </c>
      <c r="EB12" s="2410">
        <f t="shared" ref="EB12:GB12" si="8">SUM(EB13:EB15)</f>
        <v>321</v>
      </c>
      <c r="EC12" s="2410">
        <f t="shared" si="8"/>
        <v>1472</v>
      </c>
      <c r="ED12" s="2410">
        <f t="shared" si="8"/>
        <v>1422</v>
      </c>
      <c r="EE12" s="2410">
        <f t="shared" si="8"/>
        <v>1204.1999999999998</v>
      </c>
      <c r="EF12" s="2410">
        <f t="shared" si="8"/>
        <v>457.6</v>
      </c>
      <c r="EG12" s="2410">
        <f t="shared" si="8"/>
        <v>560.79999999999995</v>
      </c>
      <c r="EH12" s="2410">
        <f t="shared" si="8"/>
        <v>1578</v>
      </c>
      <c r="EI12" s="2410">
        <f t="shared" si="8"/>
        <v>1773</v>
      </c>
      <c r="EJ12" s="2410">
        <f t="shared" si="8"/>
        <v>1204.1999999999998</v>
      </c>
      <c r="EK12" s="2410">
        <f t="shared" si="8"/>
        <v>568.80000000000007</v>
      </c>
      <c r="EL12" s="2425">
        <f t="shared" si="8"/>
        <v>0</v>
      </c>
      <c r="EM12" s="2438">
        <f t="shared" si="8"/>
        <v>771</v>
      </c>
      <c r="EN12" s="2410">
        <f t="shared" si="8"/>
        <v>2146</v>
      </c>
      <c r="EO12" s="2410">
        <f t="shared" si="8"/>
        <v>392</v>
      </c>
      <c r="EP12" s="2410">
        <f t="shared" si="8"/>
        <v>1754</v>
      </c>
      <c r="EQ12" s="2410">
        <f t="shared" si="8"/>
        <v>3749</v>
      </c>
      <c r="ER12" s="2410">
        <f t="shared" si="8"/>
        <v>1758</v>
      </c>
      <c r="ES12" s="2410">
        <f t="shared" si="8"/>
        <v>1690.288</v>
      </c>
      <c r="ET12" s="2410">
        <f t="shared" si="8"/>
        <v>456.08</v>
      </c>
      <c r="EU12" s="2410">
        <f t="shared" si="8"/>
        <v>2142.3679999999999</v>
      </c>
      <c r="EV12" s="2410">
        <f t="shared" si="8"/>
        <v>3871</v>
      </c>
      <c r="EW12" s="2410">
        <f t="shared" si="8"/>
        <v>1873</v>
      </c>
      <c r="EX12" s="2410">
        <f t="shared" si="8"/>
        <v>1690.288</v>
      </c>
      <c r="EY12" s="2410">
        <f t="shared" si="8"/>
        <v>182.71199999999999</v>
      </c>
      <c r="EZ12" s="2425">
        <f t="shared" si="8"/>
        <v>0</v>
      </c>
      <c r="FA12" s="2438">
        <f t="shared" si="8"/>
        <v>851</v>
      </c>
      <c r="FB12" s="2410">
        <f t="shared" si="8"/>
        <v>1313</v>
      </c>
      <c r="FC12" s="2410">
        <f t="shared" si="8"/>
        <v>435</v>
      </c>
      <c r="FD12" s="2410">
        <f t="shared" si="8"/>
        <v>878</v>
      </c>
      <c r="FE12" s="2410">
        <f t="shared" si="8"/>
        <v>1445</v>
      </c>
      <c r="FF12" s="2410">
        <f t="shared" si="8"/>
        <v>1248</v>
      </c>
      <c r="FG12" s="2410">
        <f t="shared" si="8"/>
        <v>874.07999999999993</v>
      </c>
      <c r="FH12" s="2410">
        <f t="shared" si="8"/>
        <v>868.2</v>
      </c>
      <c r="FI12" s="2410">
        <f t="shared" si="8"/>
        <v>1372.28</v>
      </c>
      <c r="FJ12" s="2410">
        <f t="shared" si="8"/>
        <v>1771</v>
      </c>
      <c r="FK12" s="2410">
        <f t="shared" si="8"/>
        <v>1742</v>
      </c>
      <c r="FL12" s="2410">
        <f t="shared" si="8"/>
        <v>874.07999999999993</v>
      </c>
      <c r="FM12" s="2410">
        <f t="shared" si="8"/>
        <v>867.92000000000007</v>
      </c>
      <c r="FN12" s="2425">
        <f t="shared" si="8"/>
        <v>0</v>
      </c>
      <c r="FO12" s="2438">
        <f t="shared" si="8"/>
        <v>1176</v>
      </c>
      <c r="FP12" s="2410">
        <f t="shared" si="8"/>
        <v>1279</v>
      </c>
      <c r="FQ12" s="2410">
        <f t="shared" si="8"/>
        <v>657.83</v>
      </c>
      <c r="FR12" s="2410">
        <f t="shared" si="8"/>
        <v>621.16999999999996</v>
      </c>
      <c r="FS12" s="2410">
        <f t="shared" si="8"/>
        <v>1300</v>
      </c>
      <c r="FT12" s="2410">
        <f t="shared" si="8"/>
        <v>1349</v>
      </c>
      <c r="FU12" s="2410">
        <f t="shared" si="8"/>
        <v>1279.1679999999999</v>
      </c>
      <c r="FV12" s="2410">
        <f t="shared" si="8"/>
        <v>0</v>
      </c>
      <c r="FW12" s="2410">
        <f t="shared" si="8"/>
        <v>551.33799999999997</v>
      </c>
      <c r="FX12" s="2410">
        <f t="shared" si="8"/>
        <v>1350</v>
      </c>
      <c r="FY12" s="2410">
        <f t="shared" si="8"/>
        <v>1147</v>
      </c>
      <c r="FZ12" s="2410">
        <f t="shared" si="8"/>
        <v>1279.1679999999999</v>
      </c>
      <c r="GA12" s="2410">
        <f t="shared" si="8"/>
        <v>-132.16800000000001</v>
      </c>
      <c r="GB12" s="2425">
        <f t="shared" si="8"/>
        <v>0</v>
      </c>
    </row>
    <row r="13" spans="1:184" s="2406" customFormat="1" ht="90">
      <c r="A13" s="2424" t="s">
        <v>137</v>
      </c>
      <c r="B13" s="2782" t="s">
        <v>1362</v>
      </c>
      <c r="C13" s="2412">
        <f>SUM(Q13,AE13,AS13,BG13,BU13,CI13,CW13,DK13,DY13,EM13,FA13,FO13)</f>
        <v>19887</v>
      </c>
      <c r="D13" s="2412">
        <f t="shared" ref="D13:P13" si="9">SUM(R13,AF13,AT13,BH13,BV13,CJ13,CX13,DL13,DZ13,EN13,FB13,FP13)</f>
        <v>14834</v>
      </c>
      <c r="E13" s="2412">
        <f t="shared" si="9"/>
        <v>10721.64</v>
      </c>
      <c r="F13" s="2412">
        <f t="shared" si="9"/>
        <v>4112.3599999999997</v>
      </c>
      <c r="G13" s="2412">
        <f t="shared" si="9"/>
        <v>22749</v>
      </c>
      <c r="H13" s="2412">
        <f t="shared" si="9"/>
        <v>13821.5075</v>
      </c>
      <c r="I13" s="2412">
        <f t="shared" si="9"/>
        <v>9734</v>
      </c>
      <c r="J13" s="2412">
        <f t="shared" si="9"/>
        <v>8238.4105000000018</v>
      </c>
      <c r="K13" s="2412">
        <f t="shared" si="9"/>
        <v>8263.262999999999</v>
      </c>
      <c r="L13" s="2412">
        <f t="shared" si="9"/>
        <v>25901</v>
      </c>
      <c r="M13" s="2412">
        <f t="shared" si="9"/>
        <v>16848</v>
      </c>
      <c r="N13" s="2412">
        <f t="shared" si="9"/>
        <v>9734</v>
      </c>
      <c r="O13" s="2412">
        <f t="shared" si="9"/>
        <v>7114</v>
      </c>
      <c r="P13" s="2435">
        <f t="shared" si="9"/>
        <v>0</v>
      </c>
      <c r="Q13" s="2439">
        <v>2080</v>
      </c>
      <c r="R13" s="2664">
        <v>796</v>
      </c>
      <c r="S13" s="2412">
        <v>1504</v>
      </c>
      <c r="T13" s="2412">
        <f>R13-S13</f>
        <v>-708</v>
      </c>
      <c r="U13" s="2412">
        <v>1636</v>
      </c>
      <c r="V13" s="2412">
        <v>1282</v>
      </c>
      <c r="W13" s="2412">
        <v>796</v>
      </c>
      <c r="X13" s="2412">
        <v>799</v>
      </c>
      <c r="Y13" s="2412">
        <f>X13+W13-V13+T13</f>
        <v>-395</v>
      </c>
      <c r="Z13" s="2412">
        <v>1640</v>
      </c>
      <c r="AA13" s="2412">
        <v>1511</v>
      </c>
      <c r="AB13" s="2412">
        <f>W13</f>
        <v>796</v>
      </c>
      <c r="AC13" s="2412">
        <f>AA13-AB13</f>
        <v>715</v>
      </c>
      <c r="AD13" s="2435"/>
      <c r="AE13" s="2442">
        <v>1547</v>
      </c>
      <c r="AF13" s="2412">
        <v>796</v>
      </c>
      <c r="AG13" s="2414">
        <v>931.32</v>
      </c>
      <c r="AH13" s="2412">
        <f>AF13-AG13</f>
        <v>-135.32000000000005</v>
      </c>
      <c r="AI13" s="2412">
        <v>1485</v>
      </c>
      <c r="AJ13" s="2411">
        <f>457.35+356</f>
        <v>813.35</v>
      </c>
      <c r="AK13" s="2412">
        <v>363</v>
      </c>
      <c r="AL13" s="2415">
        <v>524</v>
      </c>
      <c r="AM13" s="2412">
        <f>AL13+AK13-AJ13+AH13</f>
        <v>-61.670000000000073</v>
      </c>
      <c r="AN13" s="2411">
        <f>755+380+385</f>
        <v>1520</v>
      </c>
      <c r="AO13" s="2411">
        <v>847</v>
      </c>
      <c r="AP13" s="2411">
        <v>363</v>
      </c>
      <c r="AQ13" s="2411">
        <f>AO13-AP13</f>
        <v>484</v>
      </c>
      <c r="AR13" s="2426"/>
      <c r="AS13" s="2442">
        <v>2842</v>
      </c>
      <c r="AT13" s="2412">
        <v>1993</v>
      </c>
      <c r="AU13" s="2414">
        <v>1596</v>
      </c>
      <c r="AV13" s="2412">
        <f>AT13-AU13</f>
        <v>397</v>
      </c>
      <c r="AW13" s="2411">
        <f>1708+826+629+25</f>
        <v>3188</v>
      </c>
      <c r="AX13" s="2411">
        <v>2085</v>
      </c>
      <c r="AY13" s="2411">
        <v>769</v>
      </c>
      <c r="AZ13" s="2411">
        <v>880.81500000000005</v>
      </c>
      <c r="BA13" s="2412">
        <f>AZ13+AY13-AX13+AV13</f>
        <v>-38.184999999999945</v>
      </c>
      <c r="BB13" s="2411">
        <f>18+1039+828+2122</f>
        <v>4007</v>
      </c>
      <c r="BC13" s="2411">
        <v>2523</v>
      </c>
      <c r="BD13" s="2411">
        <v>769</v>
      </c>
      <c r="BE13" s="2411">
        <f>BC13-BD13</f>
        <v>1754</v>
      </c>
      <c r="BF13" s="2426"/>
      <c r="BG13" s="2442">
        <v>2683</v>
      </c>
      <c r="BH13" s="2412">
        <v>1820</v>
      </c>
      <c r="BI13" s="2414">
        <v>1678</v>
      </c>
      <c r="BJ13" s="2412">
        <f>BH13-BI13</f>
        <v>142</v>
      </c>
      <c r="BK13" s="2411">
        <f>821+327+375+21</f>
        <v>1544</v>
      </c>
      <c r="BL13" s="2411">
        <f>1105+191+81</f>
        <v>1377</v>
      </c>
      <c r="BM13" s="2411">
        <v>824</v>
      </c>
      <c r="BN13" s="2411">
        <f>1465-61</f>
        <v>1404</v>
      </c>
      <c r="BO13" s="2412">
        <f>BN13+BM13-BL13+BJ13</f>
        <v>993</v>
      </c>
      <c r="BP13" s="2411">
        <f>826+475+565+26</f>
        <v>1892</v>
      </c>
      <c r="BQ13" s="2411">
        <v>1921</v>
      </c>
      <c r="BR13" s="2411">
        <v>824</v>
      </c>
      <c r="BS13" s="2411">
        <f>BQ13-BR13</f>
        <v>1097</v>
      </c>
      <c r="BT13" s="2426"/>
      <c r="BU13" s="2442">
        <v>3319</v>
      </c>
      <c r="BV13" s="2416">
        <v>1377</v>
      </c>
      <c r="BW13" s="2414">
        <v>1277</v>
      </c>
      <c r="BX13" s="2416">
        <f>BV13-BW13</f>
        <v>100</v>
      </c>
      <c r="BY13" s="2411">
        <f>514+263+377+6</f>
        <v>1160</v>
      </c>
      <c r="BZ13" s="2411">
        <v>1057</v>
      </c>
      <c r="CA13" s="2411">
        <v>970</v>
      </c>
      <c r="CB13" s="2411">
        <v>864.01999999999975</v>
      </c>
      <c r="CC13" s="2412">
        <f>CB13+CA13-BZ13+BX13</f>
        <v>877.01999999999975</v>
      </c>
      <c r="CD13" s="2411">
        <f>708+341+483+5</f>
        <v>1537</v>
      </c>
      <c r="CE13" s="2411">
        <v>1613</v>
      </c>
      <c r="CF13" s="2411">
        <v>970</v>
      </c>
      <c r="CG13" s="2411">
        <f>CE13-CF13</f>
        <v>643</v>
      </c>
      <c r="CH13" s="2426"/>
      <c r="CI13" s="2442">
        <v>2</v>
      </c>
      <c r="CJ13" s="2416">
        <v>696</v>
      </c>
      <c r="CK13" s="2414">
        <v>16</v>
      </c>
      <c r="CL13" s="2416">
        <f>CJ13-CK13</f>
        <v>680</v>
      </c>
      <c r="CM13" s="2411">
        <f>242+74+7</f>
        <v>323</v>
      </c>
      <c r="CN13" s="2411">
        <f>177+137+87</f>
        <v>401</v>
      </c>
      <c r="CO13" s="2411">
        <v>696</v>
      </c>
      <c r="CP13" s="2411"/>
      <c r="CQ13" s="2412">
        <f>CP13+CO13-CN13+CL13</f>
        <v>975</v>
      </c>
      <c r="CR13" s="2411">
        <f>252+74+8</f>
        <v>334</v>
      </c>
      <c r="CS13" s="2411">
        <f>184+121+99</f>
        <v>404</v>
      </c>
      <c r="CT13" s="2411">
        <v>696</v>
      </c>
      <c r="CU13" s="2411">
        <f>CS13-CT13</f>
        <v>-292</v>
      </c>
      <c r="CV13" s="2426"/>
      <c r="CW13" s="2442">
        <f>2144+464+536</f>
        <v>3144</v>
      </c>
      <c r="CX13" s="2416">
        <v>1880</v>
      </c>
      <c r="CY13" s="2414">
        <f>1393+329</f>
        <v>1722</v>
      </c>
      <c r="CZ13" s="2416">
        <f>CX13-CY13</f>
        <v>158</v>
      </c>
      <c r="DA13" s="2411">
        <f>1918+708+937</f>
        <v>3563</v>
      </c>
      <c r="DB13" s="2411">
        <v>1553</v>
      </c>
      <c r="DC13" s="2411">
        <v>1028</v>
      </c>
      <c r="DD13" s="2411">
        <v>1593.9625000000001</v>
      </c>
      <c r="DE13" s="2412">
        <f>DD13+DC13-DB13+CZ13</f>
        <v>1226.9625000000001</v>
      </c>
      <c r="DF13" s="2411">
        <f>2250+916+1139</f>
        <v>4305</v>
      </c>
      <c r="DG13" s="2411">
        <v>2073</v>
      </c>
      <c r="DH13" s="2411">
        <v>1028</v>
      </c>
      <c r="DI13" s="2411">
        <f>DG13-DH13</f>
        <v>1045</v>
      </c>
      <c r="DJ13" s="2426"/>
      <c r="DK13" s="2666">
        <f>6+438</f>
        <v>444</v>
      </c>
      <c r="DL13" s="2416">
        <v>1125</v>
      </c>
      <c r="DM13" s="2414">
        <f>52.13+235.36</f>
        <v>287.49</v>
      </c>
      <c r="DN13" s="2416">
        <f>DL13-DM13</f>
        <v>837.51</v>
      </c>
      <c r="DO13" s="2411">
        <v>2372</v>
      </c>
      <c r="DP13" s="2411">
        <v>634.15750000000003</v>
      </c>
      <c r="DQ13" s="2411">
        <v>1125</v>
      </c>
      <c r="DR13" s="2411">
        <v>360.41300000000001</v>
      </c>
      <c r="DS13" s="2412">
        <f>DR13+DQ13-DP13+DN13</f>
        <v>1688.7655</v>
      </c>
      <c r="DT13" s="2666">
        <v>2644</v>
      </c>
      <c r="DU13" s="2411">
        <v>893</v>
      </c>
      <c r="DV13" s="2411">
        <v>1125</v>
      </c>
      <c r="DW13" s="2411">
        <f>DU13-DV13</f>
        <v>-232</v>
      </c>
      <c r="DX13" s="2426"/>
      <c r="DY13" s="2442">
        <v>1523</v>
      </c>
      <c r="DZ13" s="2416">
        <v>815</v>
      </c>
      <c r="EA13" s="2414">
        <v>820</v>
      </c>
      <c r="EB13" s="2416">
        <f>DZ13-EA13</f>
        <v>-5</v>
      </c>
      <c r="EC13" s="2411">
        <f>527+342+480+12</f>
        <v>1361</v>
      </c>
      <c r="ED13" s="2411">
        <v>1021</v>
      </c>
      <c r="EE13" s="2411">
        <v>445</v>
      </c>
      <c r="EF13" s="2411">
        <v>456</v>
      </c>
      <c r="EG13" s="2412">
        <f>EF13+EE13-ED13+EB13</f>
        <v>-125</v>
      </c>
      <c r="EH13" s="2411">
        <f>568+373+508+12</f>
        <v>1461</v>
      </c>
      <c r="EI13" s="2411">
        <v>1234</v>
      </c>
      <c r="EJ13" s="2411">
        <v>445</v>
      </c>
      <c r="EK13" s="2411">
        <f>EI13-EJ13</f>
        <v>789</v>
      </c>
      <c r="EL13" s="2426"/>
      <c r="EM13" s="2442">
        <f>484+10</f>
        <v>494</v>
      </c>
      <c r="EN13" s="2416">
        <v>1650</v>
      </c>
      <c r="EO13" s="2414">
        <f>70+63</f>
        <v>133</v>
      </c>
      <c r="EP13" s="2416">
        <f>EN13-EO13</f>
        <v>1517</v>
      </c>
      <c r="EQ13" s="2411">
        <f>1772+969+824+16</f>
        <v>3581</v>
      </c>
      <c r="ER13" s="2411">
        <v>1511</v>
      </c>
      <c r="ES13" s="2411">
        <v>1270</v>
      </c>
      <c r="ET13" s="2411">
        <v>380</v>
      </c>
      <c r="EU13" s="2412">
        <f>ET13+ES13-ER13+EP13</f>
        <v>1656</v>
      </c>
      <c r="EV13" s="2411">
        <f>1865+948+848+20</f>
        <v>3681</v>
      </c>
      <c r="EW13" s="2411">
        <v>1584</v>
      </c>
      <c r="EX13" s="2411">
        <v>1270</v>
      </c>
      <c r="EY13" s="2411">
        <f>EW13-EX13</f>
        <v>314</v>
      </c>
      <c r="EZ13" s="2426"/>
      <c r="FA13" s="2442">
        <v>753</v>
      </c>
      <c r="FB13" s="2416">
        <v>886</v>
      </c>
      <c r="FC13" s="2414">
        <v>217</v>
      </c>
      <c r="FD13" s="2416">
        <f>FB13-FC13</f>
        <v>669</v>
      </c>
      <c r="FE13" s="2411">
        <f>626+344+387+9</f>
        <v>1366</v>
      </c>
      <c r="FF13" s="2411">
        <v>941</v>
      </c>
      <c r="FG13" s="2411">
        <v>448</v>
      </c>
      <c r="FH13" s="2411">
        <v>976.2</v>
      </c>
      <c r="FI13" s="2412">
        <f>FH13+FG13-FF13+FD13</f>
        <v>1152.2</v>
      </c>
      <c r="FJ13" s="2411">
        <f>697+436+527+10</f>
        <v>1670</v>
      </c>
      <c r="FK13" s="2411">
        <v>1318</v>
      </c>
      <c r="FL13" s="2411">
        <v>448</v>
      </c>
      <c r="FM13" s="2411">
        <f>FK13-FL13</f>
        <v>870</v>
      </c>
      <c r="FN13" s="2426"/>
      <c r="FO13" s="2442">
        <f>18+540+498</f>
        <v>1056</v>
      </c>
      <c r="FP13" s="2416">
        <v>1000</v>
      </c>
      <c r="FQ13" s="2414">
        <f>140.83+64+335</f>
        <v>539.83000000000004</v>
      </c>
      <c r="FR13" s="2416">
        <f>FP13-FQ13</f>
        <v>460.16999999999996</v>
      </c>
      <c r="FS13" s="2411">
        <f>478+265+387+40</f>
        <v>1170</v>
      </c>
      <c r="FT13" s="2411">
        <v>1146</v>
      </c>
      <c r="FU13" s="2411">
        <v>1000</v>
      </c>
      <c r="FV13" s="2411"/>
      <c r="FW13" s="2412">
        <f>FV13+FU13-FT13+FR13</f>
        <v>314.16999999999996</v>
      </c>
      <c r="FX13" s="2411">
        <f>480+272+418+40</f>
        <v>1210</v>
      </c>
      <c r="FY13" s="2411">
        <v>927</v>
      </c>
      <c r="FZ13" s="2411">
        <v>1000</v>
      </c>
      <c r="GA13" s="2411">
        <f>FY13-FZ13</f>
        <v>-73</v>
      </c>
      <c r="GB13" s="2426"/>
    </row>
    <row r="14" spans="1:184" s="2406" customFormat="1" ht="54">
      <c r="A14" s="2424" t="s">
        <v>137</v>
      </c>
      <c r="B14" s="2782" t="s">
        <v>1363</v>
      </c>
      <c r="C14" s="2412">
        <f t="shared" ref="C14:C15" si="10">SUM(Q14,AE14,AS14,BG14,BU14,CI14,CW14,DK14,DY14,EM14,FA14,FO14)</f>
        <v>2698</v>
      </c>
      <c r="D14" s="2412">
        <f t="shared" ref="D14:D15" si="11">SUM(R14,AF14,AT14,BH14,BV14,CJ14,CX14,DL14,DZ14,EN14,FB14,FP14)</f>
        <v>3628</v>
      </c>
      <c r="E14" s="2412">
        <f t="shared" ref="E14:E15" si="12">SUM(S14,AG14,AU14,BI14,BW14,CK14,CY14,DM14,EA14,EO14,FC14,FQ14)</f>
        <v>2307.6800000000003</v>
      </c>
      <c r="F14" s="2412">
        <f t="shared" ref="F14:F15" si="13">SUM(T14,AH14,AV14,BJ14,BX14,CL14,CZ14,DN14,EB14,EP14,FD14,FR14)</f>
        <v>1320.32</v>
      </c>
      <c r="G14" s="2412">
        <f t="shared" ref="G14:G15" si="14">SUM(U14,AI14,AW14,BK14,BY14,CM14,DA14,DO14,EC14,EQ14,FE14,FS14)</f>
        <v>2014</v>
      </c>
      <c r="H14" s="2412">
        <f t="shared" ref="H14:H15" si="15">SUM(V14,AJ14,AX14,BL14,BZ14,CN14,DB14,DP14,ED14,ER14,FF14,FT14)</f>
        <v>2886.88</v>
      </c>
      <c r="I14" s="2412">
        <f t="shared" ref="I14:I15" si="16">SUM(W14,AK14,AY14,BM14,CA14,CO14,DC14,DQ14,EE14,ES14,FG14,FU14)</f>
        <v>3431.88</v>
      </c>
      <c r="J14" s="2412">
        <f t="shared" ref="J14:J15" si="17">SUM(X14,AL14,AZ14,BN14,CB14,CP14,DD14,DR14,EF14,ET14,FH14,FV14)</f>
        <v>507.44000000000005</v>
      </c>
      <c r="K14" s="2412">
        <f t="shared" ref="K14:K15" si="18">SUM(Y14,AM14,BA14,BO14,CC14,CQ14,DE14,DS14,EG14,EU14,FI14,FW14)</f>
        <v>2372.7600000000002</v>
      </c>
      <c r="L14" s="2412">
        <f t="shared" ref="L14:L15" si="19">SUM(Z14,AN14,BB14,BP14,CD14,CR14,DF14,DT14,EH14,EV14,FJ14,FX14)</f>
        <v>2243.333333333333</v>
      </c>
      <c r="M14" s="2412">
        <f t="shared" ref="M14:M15" si="20">SUM(AA14,AO14,BC14,BQ14,CE14,CS14,DG14,DU14,EI14,EW14,FK14,FY14)</f>
        <v>3289.2799999999997</v>
      </c>
      <c r="N14" s="2412">
        <f t="shared" ref="N14:N15" si="21">SUM(AB14,AP14,BD14,BR14,CF14,CT14,DH14,DV14,EJ14,EX14,FL14,FZ14)</f>
        <v>3431.88</v>
      </c>
      <c r="O14" s="2412">
        <f>SUM(AC14,AQ14,BE14,BS14,CG14,CU14,DI14,DW14,EK14,EY14,FM14,GA14)</f>
        <v>-142.60000000000008</v>
      </c>
      <c r="P14" s="2435">
        <f t="shared" ref="P14:P15" si="22">SUM(AD14,AR14,BF14,BT14,CH14,CV14,DJ14,DX14,EL14,EZ14,FN14,GB14)</f>
        <v>0</v>
      </c>
      <c r="Q14" s="2439">
        <v>239</v>
      </c>
      <c r="R14" s="2664">
        <v>228</v>
      </c>
      <c r="S14" s="2412">
        <v>316</v>
      </c>
      <c r="T14" s="2412">
        <f t="shared" ref="T14:T18" si="23">R14-S14</f>
        <v>-88</v>
      </c>
      <c r="U14" s="2412">
        <v>237</v>
      </c>
      <c r="V14" s="2412">
        <v>341</v>
      </c>
      <c r="W14" s="2412">
        <v>228</v>
      </c>
      <c r="X14" s="2412">
        <v>169</v>
      </c>
      <c r="Y14" s="2412">
        <f>X14+W14-V14+T14</f>
        <v>-32</v>
      </c>
      <c r="Z14" s="2412">
        <v>225</v>
      </c>
      <c r="AA14" s="2412">
        <v>324</v>
      </c>
      <c r="AB14" s="2412">
        <f>W14</f>
        <v>228</v>
      </c>
      <c r="AC14" s="2412">
        <f>AA14-AB14</f>
        <v>96</v>
      </c>
      <c r="AD14" s="2435"/>
      <c r="AE14" s="2442">
        <v>189</v>
      </c>
      <c r="AF14" s="2412">
        <v>108</v>
      </c>
      <c r="AG14" s="2414">
        <v>132.96</v>
      </c>
      <c r="AH14" s="2412">
        <f>AF14-AG14</f>
        <v>-24.960000000000008</v>
      </c>
      <c r="AI14" s="2412">
        <v>92</v>
      </c>
      <c r="AJ14" s="2411">
        <v>132</v>
      </c>
      <c r="AK14" s="2412">
        <v>69</v>
      </c>
      <c r="AL14" s="2415">
        <v>69</v>
      </c>
      <c r="AM14" s="2412">
        <f>AL14+AK14-AJ14+AH14</f>
        <v>-18.960000000000008</v>
      </c>
      <c r="AN14" s="2411">
        <f>104/0.16/9</f>
        <v>72.222222222222229</v>
      </c>
      <c r="AO14" s="2411">
        <v>104</v>
      </c>
      <c r="AP14" s="2411">
        <v>69</v>
      </c>
      <c r="AQ14" s="2411">
        <f>AO14-AP14</f>
        <v>35</v>
      </c>
      <c r="AR14" s="2426"/>
      <c r="AS14" s="2442">
        <v>295</v>
      </c>
      <c r="AT14" s="2412">
        <v>267</v>
      </c>
      <c r="AU14" s="2414">
        <v>316</v>
      </c>
      <c r="AV14" s="2412">
        <f>AT14-AU14</f>
        <v>-49</v>
      </c>
      <c r="AW14" s="2411">
        <v>287</v>
      </c>
      <c r="AX14" s="2411">
        <v>409</v>
      </c>
      <c r="AY14" s="2411">
        <v>244.8</v>
      </c>
      <c r="AZ14" s="2411">
        <v>23</v>
      </c>
      <c r="BA14" s="2412">
        <f>AZ14+AY14-AX14+AV14</f>
        <v>-190.2</v>
      </c>
      <c r="BB14" s="2411">
        <v>344</v>
      </c>
      <c r="BC14" s="2411">
        <v>552</v>
      </c>
      <c r="BD14" s="2411">
        <v>244.8</v>
      </c>
      <c r="BE14" s="2411">
        <f>BC14-BD14</f>
        <v>307.2</v>
      </c>
      <c r="BF14" s="2426"/>
      <c r="BG14" s="2442">
        <v>532</v>
      </c>
      <c r="BH14" s="2412">
        <v>540</v>
      </c>
      <c r="BI14" s="2414">
        <v>452</v>
      </c>
      <c r="BJ14" s="2412">
        <f>BH14-BI14</f>
        <v>88</v>
      </c>
      <c r="BK14" s="2411">
        <v>194</v>
      </c>
      <c r="BL14" s="2411">
        <v>279</v>
      </c>
      <c r="BM14" s="2411">
        <v>482.4</v>
      </c>
      <c r="BN14" s="2411">
        <v>117.60000000000002</v>
      </c>
      <c r="BO14" s="2412">
        <f>BN14+BM14-BL14+BJ14</f>
        <v>409</v>
      </c>
      <c r="BP14" s="2411">
        <v>206</v>
      </c>
      <c r="BQ14" s="2411">
        <v>297</v>
      </c>
      <c r="BR14" s="2411">
        <v>482.4</v>
      </c>
      <c r="BS14" s="2411">
        <f>BQ14-BR14</f>
        <v>-185.39999999999998</v>
      </c>
      <c r="BT14" s="2426"/>
      <c r="BU14" s="2442">
        <v>295</v>
      </c>
      <c r="BV14" s="2416">
        <v>386</v>
      </c>
      <c r="BW14" s="2414">
        <v>256</v>
      </c>
      <c r="BX14" s="2416">
        <f>BV14-BW14</f>
        <v>130</v>
      </c>
      <c r="BY14" s="2411">
        <v>247</v>
      </c>
      <c r="BZ14" s="2411">
        <v>356</v>
      </c>
      <c r="CA14" s="2411">
        <v>385.92</v>
      </c>
      <c r="CB14" s="2411">
        <v>87.839999999999975</v>
      </c>
      <c r="CC14" s="2412">
        <f>CB14+CA14-BZ14+BX14</f>
        <v>247.76</v>
      </c>
      <c r="CD14" s="2411">
        <v>274</v>
      </c>
      <c r="CE14" s="2411">
        <v>395</v>
      </c>
      <c r="CF14" s="2411">
        <v>385.92</v>
      </c>
      <c r="CG14" s="2411">
        <f t="shared" ref="CG14:CG18" si="24">CE14-CF14</f>
        <v>9.0799999999999841</v>
      </c>
      <c r="CH14" s="2426"/>
      <c r="CI14" s="2442">
        <v>40</v>
      </c>
      <c r="CJ14" s="2416">
        <v>281</v>
      </c>
      <c r="CK14" s="2414">
        <v>32</v>
      </c>
      <c r="CL14" s="2416">
        <f>CJ14-CK14</f>
        <v>249</v>
      </c>
      <c r="CM14" s="2411">
        <v>43</v>
      </c>
      <c r="CN14" s="2411">
        <v>62</v>
      </c>
      <c r="CO14" s="2411">
        <v>280.8</v>
      </c>
      <c r="CP14" s="2411"/>
      <c r="CQ14" s="2412">
        <f>CP14+CO14-CN14+CL14</f>
        <v>467.8</v>
      </c>
      <c r="CR14" s="2411">
        <v>45</v>
      </c>
      <c r="CS14" s="2411">
        <v>65</v>
      </c>
      <c r="CT14" s="2411">
        <v>280.8</v>
      </c>
      <c r="CU14" s="2411">
        <f>CS14-CT14</f>
        <v>-215.8</v>
      </c>
      <c r="CV14" s="2426"/>
      <c r="CW14" s="2442">
        <v>319</v>
      </c>
      <c r="CX14" s="2416">
        <v>588</v>
      </c>
      <c r="CY14" s="2414">
        <v>221</v>
      </c>
      <c r="CZ14" s="2416">
        <f>CX14-CY14</f>
        <v>367</v>
      </c>
      <c r="DA14" s="2411">
        <v>384</v>
      </c>
      <c r="DB14" s="2411">
        <f>DA14*160*9/1000</f>
        <v>552.96</v>
      </c>
      <c r="DC14" s="2411">
        <v>587.52</v>
      </c>
      <c r="DD14" s="2411">
        <v>-23.039999999999964</v>
      </c>
      <c r="DE14" s="2412">
        <f>DD14+DC14-DB14+CZ14</f>
        <v>378.52</v>
      </c>
      <c r="DF14" s="2411">
        <v>487</v>
      </c>
      <c r="DG14" s="2411">
        <f>DF14*160*9/1000</f>
        <v>701.28</v>
      </c>
      <c r="DH14" s="2411">
        <v>587.52</v>
      </c>
      <c r="DI14" s="2411">
        <f t="shared" ref="DI14:DI18" si="25">DG14-DH14</f>
        <v>113.75999999999999</v>
      </c>
      <c r="DJ14" s="2426"/>
      <c r="DK14" s="2666">
        <v>167</v>
      </c>
      <c r="DL14" s="2416">
        <v>230</v>
      </c>
      <c r="DM14" s="2414">
        <v>106.72</v>
      </c>
      <c r="DN14" s="2416">
        <f>DL14-DM14</f>
        <v>123.28</v>
      </c>
      <c r="DO14" s="2411">
        <v>118</v>
      </c>
      <c r="DP14" s="2411">
        <f>DO14*160*9/1000</f>
        <v>169.92</v>
      </c>
      <c r="DQ14" s="2411">
        <v>230.4</v>
      </c>
      <c r="DR14" s="2411">
        <v>12.96</v>
      </c>
      <c r="DS14" s="2412">
        <f>DR14+DQ14-DP14+DN14</f>
        <v>196.72000000000003</v>
      </c>
      <c r="DT14" s="2666">
        <f>DU14/0.16/9</f>
        <v>136.11111111111111</v>
      </c>
      <c r="DU14" s="2411">
        <v>196</v>
      </c>
      <c r="DV14" s="2411">
        <v>230.4</v>
      </c>
      <c r="DW14" s="2411">
        <f>DU14-DV14</f>
        <v>-34.400000000000006</v>
      </c>
      <c r="DX14" s="2426"/>
      <c r="DY14" s="2442">
        <v>188</v>
      </c>
      <c r="DZ14" s="2416">
        <v>173</v>
      </c>
      <c r="EA14" s="2414">
        <v>119</v>
      </c>
      <c r="EB14" s="2416">
        <f>DZ14-EA14</f>
        <v>54</v>
      </c>
      <c r="EC14" s="2411">
        <v>86</v>
      </c>
      <c r="ED14" s="2411">
        <v>122</v>
      </c>
      <c r="EE14" s="2411">
        <v>172.8</v>
      </c>
      <c r="EF14" s="2411">
        <v>-10</v>
      </c>
      <c r="EG14" s="2412">
        <f>EF14+EE14-ED14+EB14</f>
        <v>94.800000000000011</v>
      </c>
      <c r="EH14" s="2411">
        <v>86</v>
      </c>
      <c r="EI14" s="2411">
        <v>122</v>
      </c>
      <c r="EJ14" s="2411">
        <v>172.8</v>
      </c>
      <c r="EK14" s="2411">
        <f>EI14-EJ14</f>
        <v>-50.800000000000011</v>
      </c>
      <c r="EL14" s="2426"/>
      <c r="EM14" s="2442">
        <v>275</v>
      </c>
      <c r="EN14" s="2416">
        <v>426</v>
      </c>
      <c r="EO14" s="2414">
        <v>235</v>
      </c>
      <c r="EP14" s="2416">
        <f>EN14-EO14</f>
        <v>191</v>
      </c>
      <c r="EQ14" s="2411">
        <v>167</v>
      </c>
      <c r="ER14" s="2411">
        <v>234</v>
      </c>
      <c r="ES14" s="2411">
        <v>349.92</v>
      </c>
      <c r="ET14" s="2411">
        <v>110.07999999999998</v>
      </c>
      <c r="EU14" s="2412">
        <f>ET14+ES14-ER14+EP14</f>
        <v>417</v>
      </c>
      <c r="EV14" s="2411">
        <v>189</v>
      </c>
      <c r="EW14" s="2411">
        <v>275</v>
      </c>
      <c r="EX14" s="2411">
        <v>349.92</v>
      </c>
      <c r="EY14" s="2411">
        <f t="shared" ref="EY14:EY18" si="26">EW14-EX14</f>
        <v>-74.920000000000016</v>
      </c>
      <c r="EZ14" s="2426"/>
      <c r="FA14" s="2442">
        <v>84</v>
      </c>
      <c r="FB14" s="2416">
        <v>192</v>
      </c>
      <c r="FC14" s="2414">
        <v>56</v>
      </c>
      <c r="FD14" s="2416">
        <f>FB14-FC14</f>
        <v>136</v>
      </c>
      <c r="FE14" s="2411">
        <f>59</f>
        <v>59</v>
      </c>
      <c r="FF14" s="2411">
        <v>85</v>
      </c>
      <c r="FG14" s="2411">
        <v>191.52</v>
      </c>
      <c r="FH14" s="2411">
        <v>-49</v>
      </c>
      <c r="FI14" s="2412">
        <f>FH14+FG14-FF14+FD14</f>
        <v>193.52</v>
      </c>
      <c r="FJ14" s="2411">
        <v>75</v>
      </c>
      <c r="FK14" s="2411">
        <v>108</v>
      </c>
      <c r="FL14" s="2411">
        <v>191.52</v>
      </c>
      <c r="FM14" s="2411">
        <f>FK14-FL14</f>
        <v>-83.52000000000001</v>
      </c>
      <c r="FN14" s="2426"/>
      <c r="FO14" s="2442">
        <f>17+12+46</f>
        <v>75</v>
      </c>
      <c r="FP14" s="2416">
        <v>209</v>
      </c>
      <c r="FQ14" s="2414">
        <v>65</v>
      </c>
      <c r="FR14" s="2416">
        <f>FP14-FQ14</f>
        <v>144</v>
      </c>
      <c r="FS14" s="2411">
        <v>100</v>
      </c>
      <c r="FT14" s="2411">
        <v>144</v>
      </c>
      <c r="FU14" s="2411">
        <v>208.8</v>
      </c>
      <c r="FV14" s="2411"/>
      <c r="FW14" s="2412">
        <f>FV14+FU14-FT14+FR14</f>
        <v>208.8</v>
      </c>
      <c r="FX14" s="2411">
        <v>104</v>
      </c>
      <c r="FY14" s="2411">
        <v>150</v>
      </c>
      <c r="FZ14" s="2411">
        <v>208.8</v>
      </c>
      <c r="GA14" s="2411">
        <f>FY14-FZ14</f>
        <v>-58.800000000000011</v>
      </c>
      <c r="GB14" s="2426"/>
    </row>
    <row r="15" spans="1:184" s="2406" customFormat="1" ht="72">
      <c r="A15" s="2424" t="s">
        <v>137</v>
      </c>
      <c r="B15" s="2782" t="s">
        <v>1364</v>
      </c>
      <c r="C15" s="2412">
        <f t="shared" si="10"/>
        <v>229</v>
      </c>
      <c r="D15" s="2412">
        <f t="shared" si="11"/>
        <v>2684.3330000000001</v>
      </c>
      <c r="E15" s="2412">
        <f t="shared" si="12"/>
        <v>1861.3330000000001</v>
      </c>
      <c r="F15" s="2412">
        <f t="shared" si="13"/>
        <v>823</v>
      </c>
      <c r="G15" s="2412">
        <f t="shared" si="14"/>
        <v>235</v>
      </c>
      <c r="H15" s="2412">
        <f t="shared" si="15"/>
        <v>2239</v>
      </c>
      <c r="I15" s="2412">
        <f t="shared" si="16"/>
        <v>2767.6079999999997</v>
      </c>
      <c r="J15" s="2412">
        <f t="shared" si="17"/>
        <v>144.51599999999996</v>
      </c>
      <c r="K15" s="2412">
        <f t="shared" si="18"/>
        <v>1496.1239999999998</v>
      </c>
      <c r="L15" s="2412">
        <f t="shared" si="19"/>
        <v>258</v>
      </c>
      <c r="M15" s="2412">
        <f t="shared" si="20"/>
        <v>3128</v>
      </c>
      <c r="N15" s="2412">
        <f t="shared" si="21"/>
        <v>2767.6079999999997</v>
      </c>
      <c r="O15" s="2412">
        <f t="shared" ref="O15" si="27">SUM(AC15,AQ15,BE15,BS15,CG15,CU15,DI15,DW15,EK15,EY15,FM15,GA15)</f>
        <v>360.39200000000011</v>
      </c>
      <c r="P15" s="2435">
        <f t="shared" si="22"/>
        <v>0</v>
      </c>
      <c r="Q15" s="2439">
        <v>36</v>
      </c>
      <c r="R15" s="2664">
        <v>281</v>
      </c>
      <c r="S15" s="2412">
        <v>383</v>
      </c>
      <c r="T15" s="2412">
        <f t="shared" si="23"/>
        <v>-102</v>
      </c>
      <c r="U15" s="2412">
        <v>37</v>
      </c>
      <c r="V15" s="2412">
        <v>438</v>
      </c>
      <c r="W15" s="2412">
        <v>281</v>
      </c>
      <c r="X15" s="2412">
        <v>238</v>
      </c>
      <c r="Y15" s="2412">
        <f>X15+W15-V15+T15</f>
        <v>-21</v>
      </c>
      <c r="Z15" s="2412">
        <v>37</v>
      </c>
      <c r="AA15" s="2412">
        <v>517</v>
      </c>
      <c r="AB15" s="2412">
        <f>W15</f>
        <v>281</v>
      </c>
      <c r="AC15" s="2412">
        <f t="shared" ref="AC15" si="28">AA15-AB15</f>
        <v>236</v>
      </c>
      <c r="AD15" s="2435"/>
      <c r="AE15" s="2442">
        <v>2</v>
      </c>
      <c r="AF15" s="2412">
        <v>14.333</v>
      </c>
      <c r="AG15" s="2665">
        <v>14.333</v>
      </c>
      <c r="AH15" s="2412">
        <f t="shared" ref="AH15" si="29">AF15-AG15</f>
        <v>0</v>
      </c>
      <c r="AI15" s="2412">
        <v>4</v>
      </c>
      <c r="AJ15" s="2411">
        <v>50</v>
      </c>
      <c r="AK15" s="2412">
        <v>12</v>
      </c>
      <c r="AL15" s="2415">
        <v>23</v>
      </c>
      <c r="AM15" s="2412">
        <f>AL15+AK15-AJ15+AH15</f>
        <v>-15</v>
      </c>
      <c r="AN15" s="2411">
        <v>4</v>
      </c>
      <c r="AO15" s="2411">
        <v>50</v>
      </c>
      <c r="AP15" s="2411">
        <v>12</v>
      </c>
      <c r="AQ15" s="2411">
        <f>AO15-AP15</f>
        <v>38</v>
      </c>
      <c r="AR15" s="2426"/>
      <c r="AS15" s="2442">
        <v>30</v>
      </c>
      <c r="AT15" s="2412">
        <v>199</v>
      </c>
      <c r="AU15" s="2417">
        <v>203</v>
      </c>
      <c r="AV15" s="2412">
        <f t="shared" ref="AV15" si="30">AT15-AU15</f>
        <v>-4</v>
      </c>
      <c r="AW15" s="2411">
        <v>31</v>
      </c>
      <c r="AX15" s="2411">
        <v>285</v>
      </c>
      <c r="AY15" s="2411">
        <v>199.376</v>
      </c>
      <c r="AZ15" s="2411">
        <v>23.555999999999983</v>
      </c>
      <c r="BA15" s="2412">
        <f>AZ15+AY15-AX15+AV15</f>
        <v>-66.068000000000012</v>
      </c>
      <c r="BB15" s="2411">
        <v>34</v>
      </c>
      <c r="BC15" s="2411">
        <v>517</v>
      </c>
      <c r="BD15" s="2411">
        <v>199.376</v>
      </c>
      <c r="BE15" s="2411">
        <f>BC15-BD15</f>
        <v>317.62400000000002</v>
      </c>
      <c r="BF15" s="2426"/>
      <c r="BG15" s="2442">
        <v>30</v>
      </c>
      <c r="BH15" s="2412">
        <v>267</v>
      </c>
      <c r="BI15" s="2419">
        <v>296</v>
      </c>
      <c r="BJ15" s="2412">
        <f t="shared" ref="BJ15" si="31">BH15-BI15</f>
        <v>-29</v>
      </c>
      <c r="BK15" s="2411">
        <v>16</v>
      </c>
      <c r="BL15" s="2411">
        <v>204</v>
      </c>
      <c r="BM15" s="2411">
        <v>351.84</v>
      </c>
      <c r="BN15" s="2411"/>
      <c r="BO15" s="2412">
        <f>BN15+BM15-BL15+BJ15</f>
        <v>118.83999999999997</v>
      </c>
      <c r="BP15" s="2411">
        <v>16</v>
      </c>
      <c r="BQ15" s="2411">
        <v>223</v>
      </c>
      <c r="BR15" s="2411">
        <v>351.84</v>
      </c>
      <c r="BS15" s="2411">
        <f>BQ15-BR15</f>
        <v>-128.83999999999997</v>
      </c>
      <c r="BT15" s="2426"/>
      <c r="BU15" s="2442">
        <v>3</v>
      </c>
      <c r="BV15" s="2416">
        <v>12</v>
      </c>
      <c r="BW15" s="2417">
        <v>16</v>
      </c>
      <c r="BX15" s="2418">
        <f t="shared" ref="BX15" si="32">BV15-BW15</f>
        <v>-4</v>
      </c>
      <c r="BY15" s="2411">
        <v>4</v>
      </c>
      <c r="BZ15" s="2411">
        <v>32</v>
      </c>
      <c r="CA15" s="2411">
        <v>11.728</v>
      </c>
      <c r="CB15" s="2411">
        <v>35.183999999999997</v>
      </c>
      <c r="CC15" s="2412">
        <f>CB15+CA15-BZ15+BX15</f>
        <v>10.911999999999999</v>
      </c>
      <c r="CD15" s="2411">
        <v>3</v>
      </c>
      <c r="CE15" s="2411">
        <v>42</v>
      </c>
      <c r="CF15" s="2411">
        <v>11.728</v>
      </c>
      <c r="CG15" s="2411">
        <f t="shared" si="24"/>
        <v>30.271999999999998</v>
      </c>
      <c r="CH15" s="2426"/>
      <c r="CI15" s="2442"/>
      <c r="CJ15" s="2416">
        <v>0</v>
      </c>
      <c r="CK15" s="2417"/>
      <c r="CL15" s="2418">
        <f t="shared" ref="CL15" si="33">CJ15-CK15</f>
        <v>0</v>
      </c>
      <c r="CM15" s="2411"/>
      <c r="CN15" s="2411"/>
      <c r="CO15" s="2411"/>
      <c r="CP15" s="2411">
        <v>0</v>
      </c>
      <c r="CQ15" s="2412">
        <f>CP15+CO15-CN15+CL15</f>
        <v>0</v>
      </c>
      <c r="CR15" s="2411"/>
      <c r="CS15" s="2411"/>
      <c r="CT15" s="2411"/>
      <c r="CU15" s="2411">
        <f>CS15-CT15</f>
        <v>0</v>
      </c>
      <c r="CV15" s="2426"/>
      <c r="CW15" s="2442">
        <v>39</v>
      </c>
      <c r="CX15" s="2416">
        <v>950</v>
      </c>
      <c r="CY15" s="2419">
        <v>396</v>
      </c>
      <c r="CZ15" s="2416">
        <f>CX15-CY15</f>
        <v>554</v>
      </c>
      <c r="DA15" s="2411">
        <v>67</v>
      </c>
      <c r="DB15" s="2411">
        <v>657</v>
      </c>
      <c r="DC15" s="2411">
        <v>949.96799999999996</v>
      </c>
      <c r="DD15" s="2411">
        <v>-93.824000000000069</v>
      </c>
      <c r="DE15" s="2412">
        <f>DD15+DC15-DB15+CZ15</f>
        <v>753.14399999999989</v>
      </c>
      <c r="DF15" s="2411">
        <v>70</v>
      </c>
      <c r="DG15" s="2411">
        <v>962</v>
      </c>
      <c r="DH15" s="2411">
        <v>949.96799999999996</v>
      </c>
      <c r="DI15" s="2411">
        <f t="shared" si="25"/>
        <v>12.032000000000039</v>
      </c>
      <c r="DJ15" s="2426"/>
      <c r="DK15" s="2442"/>
      <c r="DL15" s="2416">
        <v>0</v>
      </c>
      <c r="DM15" s="2417"/>
      <c r="DN15" s="2416">
        <f>DL15-DM15</f>
        <v>0</v>
      </c>
      <c r="DO15" s="2411"/>
      <c r="DP15" s="2411"/>
      <c r="DQ15" s="2411"/>
      <c r="DR15" s="2411">
        <v>0</v>
      </c>
      <c r="DS15" s="2412">
        <f>DR15+DQ15-DP15+DN15</f>
        <v>0</v>
      </c>
      <c r="DT15" s="2411"/>
      <c r="DU15" s="2411"/>
      <c r="DV15" s="2411"/>
      <c r="DW15" s="2411"/>
      <c r="DX15" s="2426"/>
      <c r="DY15" s="2442">
        <v>28</v>
      </c>
      <c r="DZ15" s="2416">
        <v>586</v>
      </c>
      <c r="EA15" s="2417">
        <v>314</v>
      </c>
      <c r="EB15" s="2416">
        <f>DZ15-EA15</f>
        <v>272</v>
      </c>
      <c r="EC15" s="2411">
        <v>25</v>
      </c>
      <c r="ED15" s="2411">
        <v>279</v>
      </c>
      <c r="EE15" s="2411">
        <v>586.4</v>
      </c>
      <c r="EF15" s="2411">
        <v>11.600000000000023</v>
      </c>
      <c r="EG15" s="2412">
        <f>EF15+EE15-ED15+EB15</f>
        <v>591</v>
      </c>
      <c r="EH15" s="2411">
        <v>31</v>
      </c>
      <c r="EI15" s="2411">
        <v>417</v>
      </c>
      <c r="EJ15" s="2411">
        <v>586.4</v>
      </c>
      <c r="EK15" s="2411">
        <f>EI15-EJ15</f>
        <v>-169.39999999999998</v>
      </c>
      <c r="EL15" s="2426"/>
      <c r="EM15" s="2442">
        <v>2</v>
      </c>
      <c r="EN15" s="2416">
        <v>70</v>
      </c>
      <c r="EO15" s="2417">
        <v>24</v>
      </c>
      <c r="EP15" s="2416">
        <f>EN15-EO15</f>
        <v>46</v>
      </c>
      <c r="EQ15" s="2411">
        <v>1</v>
      </c>
      <c r="ER15" s="2411">
        <v>13</v>
      </c>
      <c r="ES15" s="2411">
        <v>70.367999999999995</v>
      </c>
      <c r="ET15" s="2411">
        <v>-34</v>
      </c>
      <c r="EU15" s="2412">
        <f>ET15+ES15-ER15+EP15</f>
        <v>69.367999999999995</v>
      </c>
      <c r="EV15" s="2411">
        <v>1</v>
      </c>
      <c r="EW15" s="2411">
        <v>14</v>
      </c>
      <c r="EX15" s="2411">
        <v>70.367999999999995</v>
      </c>
      <c r="EY15" s="2411">
        <f t="shared" si="26"/>
        <v>-56.367999999999995</v>
      </c>
      <c r="EZ15" s="2426"/>
      <c r="FA15" s="2442">
        <v>14</v>
      </c>
      <c r="FB15" s="2416">
        <v>235</v>
      </c>
      <c r="FC15" s="2417">
        <v>162</v>
      </c>
      <c r="FD15" s="2416">
        <f>FB15-FC15</f>
        <v>73</v>
      </c>
      <c r="FE15" s="2411">
        <v>20</v>
      </c>
      <c r="FF15" s="2411">
        <v>222</v>
      </c>
      <c r="FG15" s="2411">
        <v>234.56</v>
      </c>
      <c r="FH15" s="2411">
        <v>-59</v>
      </c>
      <c r="FI15" s="2412">
        <f>FH15+FG15-FF15+FD15</f>
        <v>26.560000000000002</v>
      </c>
      <c r="FJ15" s="2411">
        <v>26</v>
      </c>
      <c r="FK15" s="2411">
        <v>316</v>
      </c>
      <c r="FL15" s="2411">
        <v>234.56</v>
      </c>
      <c r="FM15" s="2411">
        <f>FK15-FL15</f>
        <v>81.44</v>
      </c>
      <c r="FN15" s="2426"/>
      <c r="FO15" s="2442">
        <f>45</f>
        <v>45</v>
      </c>
      <c r="FP15" s="2416">
        <v>70</v>
      </c>
      <c r="FQ15" s="2417">
        <f>53</f>
        <v>53</v>
      </c>
      <c r="FR15" s="2416">
        <f>FP15-FQ15</f>
        <v>17</v>
      </c>
      <c r="FS15" s="2411">
        <v>30</v>
      </c>
      <c r="FT15" s="2411">
        <v>59</v>
      </c>
      <c r="FU15" s="2411">
        <v>70.367999999999995</v>
      </c>
      <c r="FV15" s="2411"/>
      <c r="FW15" s="2412">
        <f>FV15+FU15-FT15+FR15</f>
        <v>28.367999999999995</v>
      </c>
      <c r="FX15" s="2411">
        <v>36</v>
      </c>
      <c r="FY15" s="2411">
        <v>70</v>
      </c>
      <c r="FZ15" s="2411">
        <v>70.367999999999995</v>
      </c>
      <c r="GA15" s="2411">
        <f>FY15-FZ15</f>
        <v>-0.367999999999995</v>
      </c>
      <c r="GB15" s="2426"/>
    </row>
    <row r="16" spans="1:184" s="1429" customFormat="1" ht="34.799999999999997">
      <c r="A16" s="2424">
        <v>2</v>
      </c>
      <c r="B16" s="2781" t="s">
        <v>1365</v>
      </c>
      <c r="C16" s="2413">
        <f>SUM(C17:C18)</f>
        <v>79038.833333333343</v>
      </c>
      <c r="D16" s="2413">
        <f t="shared" ref="D16:BO16" si="34">SUM(D17:D18)</f>
        <v>468313</v>
      </c>
      <c r="E16" s="2413">
        <f t="shared" si="34"/>
        <v>464482.25599999999</v>
      </c>
      <c r="F16" s="2413">
        <f t="shared" si="34"/>
        <v>3830.7440000000015</v>
      </c>
      <c r="G16" s="2413">
        <f t="shared" si="34"/>
        <v>86452</v>
      </c>
      <c r="H16" s="2413">
        <f t="shared" si="34"/>
        <v>483675.516</v>
      </c>
      <c r="I16" s="2413">
        <f t="shared" si="34"/>
        <v>414119</v>
      </c>
      <c r="J16" s="2413">
        <f t="shared" si="34"/>
        <v>61321.851999999999</v>
      </c>
      <c r="K16" s="2413">
        <f t="shared" si="34"/>
        <v>-4403.92</v>
      </c>
      <c r="L16" s="2413">
        <f t="shared" si="34"/>
        <v>91350.36257309941</v>
      </c>
      <c r="M16" s="2413">
        <f t="shared" si="34"/>
        <v>500455.55599999998</v>
      </c>
      <c r="N16" s="2413">
        <f t="shared" si="34"/>
        <v>414119</v>
      </c>
      <c r="O16" s="2413">
        <f t="shared" si="34"/>
        <v>86336.555999999997</v>
      </c>
      <c r="P16" s="2427">
        <f t="shared" si="34"/>
        <v>0</v>
      </c>
      <c r="Q16" s="2440">
        <f t="shared" si="34"/>
        <v>8657</v>
      </c>
      <c r="R16" s="2413">
        <f t="shared" si="34"/>
        <v>43059</v>
      </c>
      <c r="S16" s="2413">
        <f t="shared" si="34"/>
        <v>42895</v>
      </c>
      <c r="T16" s="2413">
        <f t="shared" si="34"/>
        <v>164</v>
      </c>
      <c r="U16" s="2413">
        <f t="shared" si="34"/>
        <v>7776</v>
      </c>
      <c r="V16" s="2413">
        <f t="shared" si="34"/>
        <v>45451</v>
      </c>
      <c r="W16" s="2413">
        <f t="shared" si="34"/>
        <v>43059</v>
      </c>
      <c r="X16" s="2413">
        <f t="shared" si="34"/>
        <v>0</v>
      </c>
      <c r="Y16" s="2413">
        <f t="shared" si="34"/>
        <v>-2228</v>
      </c>
      <c r="Z16" s="2413">
        <f t="shared" si="34"/>
        <v>7765</v>
      </c>
      <c r="AA16" s="2413">
        <f t="shared" si="34"/>
        <v>45443</v>
      </c>
      <c r="AB16" s="2413">
        <f t="shared" si="34"/>
        <v>43059</v>
      </c>
      <c r="AC16" s="2413">
        <f t="shared" si="34"/>
        <v>2384</v>
      </c>
      <c r="AD16" s="2427">
        <f t="shared" si="34"/>
        <v>0</v>
      </c>
      <c r="AE16" s="2440">
        <f t="shared" si="34"/>
        <v>4247</v>
      </c>
      <c r="AF16" s="2413">
        <f t="shared" si="34"/>
        <v>18883</v>
      </c>
      <c r="AG16" s="2413">
        <f t="shared" si="34"/>
        <v>19202.255999999998</v>
      </c>
      <c r="AH16" s="2413">
        <f t="shared" si="34"/>
        <v>-319.25599999999838</v>
      </c>
      <c r="AI16" s="2413">
        <f t="shared" si="34"/>
        <v>3345</v>
      </c>
      <c r="AJ16" s="2413">
        <f t="shared" si="34"/>
        <v>19322.008000000002</v>
      </c>
      <c r="AK16" s="2413">
        <f t="shared" si="34"/>
        <v>16907</v>
      </c>
      <c r="AL16" s="2413">
        <f t="shared" si="34"/>
        <v>2812</v>
      </c>
      <c r="AM16" s="2413">
        <f t="shared" si="34"/>
        <v>77.736000000001638</v>
      </c>
      <c r="AN16" s="2413">
        <f t="shared" si="34"/>
        <v>3133</v>
      </c>
      <c r="AO16" s="2413">
        <f t="shared" si="34"/>
        <v>20405</v>
      </c>
      <c r="AP16" s="2413">
        <f t="shared" si="34"/>
        <v>16907</v>
      </c>
      <c r="AQ16" s="2413">
        <f t="shared" si="34"/>
        <v>3498</v>
      </c>
      <c r="AR16" s="2427">
        <f t="shared" si="34"/>
        <v>0</v>
      </c>
      <c r="AS16" s="2440">
        <f t="shared" si="34"/>
        <v>4388</v>
      </c>
      <c r="AT16" s="2413">
        <f t="shared" si="34"/>
        <v>20936</v>
      </c>
      <c r="AU16" s="2413">
        <f t="shared" si="34"/>
        <v>20951</v>
      </c>
      <c r="AV16" s="2413">
        <f t="shared" si="34"/>
        <v>-15</v>
      </c>
      <c r="AW16" s="2413">
        <f t="shared" si="34"/>
        <v>4021</v>
      </c>
      <c r="AX16" s="2413">
        <f t="shared" si="34"/>
        <v>23842</v>
      </c>
      <c r="AY16" s="2413">
        <f t="shared" si="34"/>
        <v>20254</v>
      </c>
      <c r="AZ16" s="2413">
        <f t="shared" si="34"/>
        <v>1134</v>
      </c>
      <c r="BA16" s="2413">
        <f t="shared" si="34"/>
        <v>-2469</v>
      </c>
      <c r="BB16" s="2413">
        <f t="shared" si="34"/>
        <v>4668</v>
      </c>
      <c r="BC16" s="2413">
        <f t="shared" si="34"/>
        <v>24799</v>
      </c>
      <c r="BD16" s="2413">
        <f t="shared" si="34"/>
        <v>20254</v>
      </c>
      <c r="BE16" s="2413">
        <f t="shared" si="34"/>
        <v>4545</v>
      </c>
      <c r="BF16" s="2427">
        <f t="shared" si="34"/>
        <v>0</v>
      </c>
      <c r="BG16" s="2440">
        <f t="shared" si="34"/>
        <v>5487</v>
      </c>
      <c r="BH16" s="2413">
        <f t="shared" si="34"/>
        <v>27937</v>
      </c>
      <c r="BI16" s="2413">
        <f t="shared" si="34"/>
        <v>25666</v>
      </c>
      <c r="BJ16" s="2413">
        <f t="shared" si="34"/>
        <v>2271</v>
      </c>
      <c r="BK16" s="2413">
        <f t="shared" si="34"/>
        <v>4798</v>
      </c>
      <c r="BL16" s="2413">
        <f t="shared" si="34"/>
        <v>25734.096000000001</v>
      </c>
      <c r="BM16" s="2413">
        <f t="shared" si="34"/>
        <v>27240</v>
      </c>
      <c r="BN16" s="2413">
        <f>SUM(BN17:BN18)</f>
        <v>277</v>
      </c>
      <c r="BO16" s="2413">
        <f t="shared" si="34"/>
        <v>4053.904</v>
      </c>
      <c r="BP16" s="2413">
        <f t="shared" ref="BP16:EA16" si="35">SUM(BP17:BP18)</f>
        <v>4947</v>
      </c>
      <c r="BQ16" s="2413">
        <f t="shared" si="35"/>
        <v>28144</v>
      </c>
      <c r="BR16" s="2413">
        <f t="shared" si="35"/>
        <v>27240</v>
      </c>
      <c r="BS16" s="2413">
        <f t="shared" si="35"/>
        <v>904</v>
      </c>
      <c r="BT16" s="2427">
        <f t="shared" si="35"/>
        <v>0</v>
      </c>
      <c r="BU16" s="2440">
        <f t="shared" si="35"/>
        <v>6417</v>
      </c>
      <c r="BV16" s="2413">
        <f t="shared" si="35"/>
        <v>46647</v>
      </c>
      <c r="BW16" s="2413">
        <f t="shared" si="35"/>
        <v>41012</v>
      </c>
      <c r="BX16" s="2413">
        <f t="shared" si="35"/>
        <v>5635</v>
      </c>
      <c r="BY16" s="2413">
        <f t="shared" si="35"/>
        <v>7703</v>
      </c>
      <c r="BZ16" s="2413">
        <f t="shared" si="35"/>
        <v>42829.46</v>
      </c>
      <c r="CA16" s="2413">
        <f t="shared" si="35"/>
        <v>42023</v>
      </c>
      <c r="CB16" s="2413">
        <f t="shared" si="35"/>
        <v>4543.3</v>
      </c>
      <c r="CC16" s="2413">
        <f t="shared" si="35"/>
        <v>9371.84</v>
      </c>
      <c r="CD16" s="2413">
        <f t="shared" si="35"/>
        <v>7839</v>
      </c>
      <c r="CE16" s="2413">
        <f t="shared" si="35"/>
        <v>45382</v>
      </c>
      <c r="CF16" s="2413">
        <f t="shared" si="35"/>
        <v>42023</v>
      </c>
      <c r="CG16" s="2413">
        <f t="shared" si="35"/>
        <v>3359</v>
      </c>
      <c r="CH16" s="2427">
        <f t="shared" si="35"/>
        <v>0</v>
      </c>
      <c r="CI16" s="2440">
        <f t="shared" si="35"/>
        <v>5302.5</v>
      </c>
      <c r="CJ16" s="2413">
        <f t="shared" si="35"/>
        <v>37296</v>
      </c>
      <c r="CK16" s="2413">
        <f t="shared" si="35"/>
        <v>38943</v>
      </c>
      <c r="CL16" s="2413">
        <f t="shared" si="35"/>
        <v>-1647</v>
      </c>
      <c r="CM16" s="2413">
        <f t="shared" si="35"/>
        <v>5602</v>
      </c>
      <c r="CN16" s="2413">
        <f t="shared" si="35"/>
        <v>41988</v>
      </c>
      <c r="CO16" s="2413">
        <f t="shared" si="35"/>
        <v>30257</v>
      </c>
      <c r="CP16" s="2413">
        <f t="shared" si="35"/>
        <v>9896.8719999999976</v>
      </c>
      <c r="CQ16" s="2413">
        <f>SUM(CQ17:CQ18)</f>
        <v>-3481.1280000000033</v>
      </c>
      <c r="CR16" s="2413">
        <f t="shared" si="35"/>
        <v>7856</v>
      </c>
      <c r="CS16" s="2413">
        <f t="shared" si="35"/>
        <v>41924</v>
      </c>
      <c r="CT16" s="2413">
        <f t="shared" si="35"/>
        <v>30257</v>
      </c>
      <c r="CU16" s="2413">
        <f>SUM(CU17:CU18)</f>
        <v>11667</v>
      </c>
      <c r="CV16" s="2427">
        <f t="shared" si="35"/>
        <v>0</v>
      </c>
      <c r="CW16" s="2440">
        <f t="shared" si="35"/>
        <v>8276.3333333333321</v>
      </c>
      <c r="CX16" s="2413">
        <f t="shared" si="35"/>
        <v>57410</v>
      </c>
      <c r="CY16" s="2413">
        <f t="shared" si="35"/>
        <v>56146</v>
      </c>
      <c r="CZ16" s="2413">
        <f t="shared" si="35"/>
        <v>1264</v>
      </c>
      <c r="DA16" s="2413">
        <f t="shared" si="35"/>
        <v>10913</v>
      </c>
      <c r="DB16" s="2413">
        <f t="shared" si="35"/>
        <v>55917.928</v>
      </c>
      <c r="DC16" s="2413">
        <f t="shared" si="35"/>
        <v>38805</v>
      </c>
      <c r="DD16" s="2413">
        <f t="shared" si="35"/>
        <v>18594.199999999997</v>
      </c>
      <c r="DE16" s="2413">
        <f t="shared" si="35"/>
        <v>2745.2719999999972</v>
      </c>
      <c r="DF16" s="2413">
        <f t="shared" si="35"/>
        <v>11386</v>
      </c>
      <c r="DG16" s="2413">
        <f t="shared" si="35"/>
        <v>55555.408000000003</v>
      </c>
      <c r="DH16" s="2413">
        <f t="shared" si="35"/>
        <v>38805</v>
      </c>
      <c r="DI16" s="2413">
        <f t="shared" si="35"/>
        <v>16750.407999999999</v>
      </c>
      <c r="DJ16" s="2427">
        <f t="shared" si="35"/>
        <v>0</v>
      </c>
      <c r="DK16" s="2440">
        <f t="shared" si="35"/>
        <v>5323.5</v>
      </c>
      <c r="DL16" s="2413">
        <f t="shared" si="35"/>
        <v>30940</v>
      </c>
      <c r="DM16" s="2413">
        <f t="shared" si="35"/>
        <v>30080</v>
      </c>
      <c r="DN16" s="2413">
        <f t="shared" si="35"/>
        <v>860</v>
      </c>
      <c r="DO16" s="2413">
        <f t="shared" si="35"/>
        <v>5741</v>
      </c>
      <c r="DP16" s="2413">
        <f t="shared" si="35"/>
        <v>31800.023999999998</v>
      </c>
      <c r="DQ16" s="2413">
        <f t="shared" si="35"/>
        <v>30940</v>
      </c>
      <c r="DR16" s="2413">
        <f t="shared" si="35"/>
        <v>0</v>
      </c>
      <c r="DS16" s="2413">
        <f t="shared" si="35"/>
        <v>-2.3999999998693511E-2</v>
      </c>
      <c r="DT16" s="2413">
        <f t="shared" si="35"/>
        <v>5979.3625730994154</v>
      </c>
      <c r="DU16" s="2413">
        <f t="shared" si="35"/>
        <v>33817</v>
      </c>
      <c r="DV16" s="2413">
        <f t="shared" si="35"/>
        <v>30940</v>
      </c>
      <c r="DW16" s="2413">
        <f t="shared" si="35"/>
        <v>2877</v>
      </c>
      <c r="DX16" s="2427">
        <f t="shared" si="35"/>
        <v>0</v>
      </c>
      <c r="DY16" s="2440">
        <f t="shared" si="35"/>
        <v>8635</v>
      </c>
      <c r="DZ16" s="2413">
        <f t="shared" si="35"/>
        <v>58023</v>
      </c>
      <c r="EA16" s="2413">
        <f t="shared" si="35"/>
        <v>59726</v>
      </c>
      <c r="EB16" s="2413">
        <f t="shared" ref="EB16:GB16" si="36">SUM(EB17:EB18)</f>
        <v>-1703</v>
      </c>
      <c r="EC16" s="2413">
        <f t="shared" si="36"/>
        <v>11439</v>
      </c>
      <c r="ED16" s="2413">
        <f t="shared" si="36"/>
        <v>66652</v>
      </c>
      <c r="EE16" s="2413">
        <f t="shared" si="36"/>
        <v>44788</v>
      </c>
      <c r="EF16" s="2413">
        <f t="shared" si="36"/>
        <v>13210.080000000002</v>
      </c>
      <c r="EG16" s="2413">
        <f t="shared" si="36"/>
        <v>-10356.919999999998</v>
      </c>
      <c r="EH16" s="2413">
        <f t="shared" si="36"/>
        <v>11448</v>
      </c>
      <c r="EI16" s="2413">
        <f t="shared" si="36"/>
        <v>66657.148000000001</v>
      </c>
      <c r="EJ16" s="2413">
        <f t="shared" si="36"/>
        <v>44788</v>
      </c>
      <c r="EK16" s="2413">
        <f t="shared" si="36"/>
        <v>21869.148000000001</v>
      </c>
      <c r="EL16" s="2427">
        <f t="shared" si="36"/>
        <v>0</v>
      </c>
      <c r="EM16" s="2440">
        <f t="shared" si="36"/>
        <v>8783</v>
      </c>
      <c r="EN16" s="2413">
        <f t="shared" si="36"/>
        <v>49820</v>
      </c>
      <c r="EO16" s="2413">
        <f t="shared" si="36"/>
        <v>49681</v>
      </c>
      <c r="EP16" s="2413">
        <f t="shared" si="36"/>
        <v>139</v>
      </c>
      <c r="EQ16" s="2413">
        <f t="shared" si="36"/>
        <v>10973</v>
      </c>
      <c r="ER16" s="2413">
        <f t="shared" si="36"/>
        <v>47118</v>
      </c>
      <c r="ES16" s="2413">
        <f t="shared" si="36"/>
        <v>42785</v>
      </c>
      <c r="ET16" s="2413">
        <f t="shared" si="36"/>
        <v>7035</v>
      </c>
      <c r="EU16" s="2413">
        <f t="shared" si="36"/>
        <v>2841</v>
      </c>
      <c r="EV16" s="2413">
        <f t="shared" si="36"/>
        <v>11248</v>
      </c>
      <c r="EW16" s="2413">
        <f t="shared" si="36"/>
        <v>49865</v>
      </c>
      <c r="EX16" s="2413">
        <f t="shared" si="36"/>
        <v>42785</v>
      </c>
      <c r="EY16" s="2413">
        <f t="shared" si="36"/>
        <v>7080</v>
      </c>
      <c r="EZ16" s="2427">
        <f t="shared" si="36"/>
        <v>0</v>
      </c>
      <c r="FA16" s="2440">
        <f t="shared" si="36"/>
        <v>5869</v>
      </c>
      <c r="FB16" s="2413">
        <f t="shared" si="36"/>
        <v>31799</v>
      </c>
      <c r="FC16" s="2413">
        <f t="shared" si="36"/>
        <v>32070</v>
      </c>
      <c r="FD16" s="2413">
        <f t="shared" si="36"/>
        <v>-271</v>
      </c>
      <c r="FE16" s="2413">
        <f t="shared" si="36"/>
        <v>5811</v>
      </c>
      <c r="FF16" s="2413">
        <f t="shared" si="36"/>
        <v>33406</v>
      </c>
      <c r="FG16" s="2413">
        <f t="shared" si="36"/>
        <v>31498</v>
      </c>
      <c r="FH16" s="2413">
        <f t="shared" si="36"/>
        <v>1952</v>
      </c>
      <c r="FI16" s="2413">
        <f t="shared" si="36"/>
        <v>-227</v>
      </c>
      <c r="FJ16" s="2413">
        <f t="shared" si="36"/>
        <v>6209</v>
      </c>
      <c r="FK16" s="2413">
        <f t="shared" si="36"/>
        <v>36006</v>
      </c>
      <c r="FL16" s="2413">
        <f t="shared" si="36"/>
        <v>31498</v>
      </c>
      <c r="FM16" s="2413">
        <f t="shared" si="36"/>
        <v>4508</v>
      </c>
      <c r="FN16" s="2427">
        <f t="shared" si="36"/>
        <v>0</v>
      </c>
      <c r="FO16" s="2440">
        <f t="shared" si="36"/>
        <v>7653.5</v>
      </c>
      <c r="FP16" s="2413">
        <f t="shared" si="36"/>
        <v>45563</v>
      </c>
      <c r="FQ16" s="2413">
        <f t="shared" si="36"/>
        <v>48110</v>
      </c>
      <c r="FR16" s="2413">
        <f t="shared" si="36"/>
        <v>-2547</v>
      </c>
      <c r="FS16" s="2413">
        <f t="shared" si="36"/>
        <v>8330</v>
      </c>
      <c r="FT16" s="2413">
        <f t="shared" si="36"/>
        <v>49615</v>
      </c>
      <c r="FU16" s="2413">
        <f t="shared" si="36"/>
        <v>45563</v>
      </c>
      <c r="FV16" s="2413">
        <f t="shared" si="36"/>
        <v>1867.4000000000015</v>
      </c>
      <c r="FW16" s="2413">
        <f t="shared" si="36"/>
        <v>-4731.5999999999985</v>
      </c>
      <c r="FX16" s="2413">
        <f t="shared" si="36"/>
        <v>8872</v>
      </c>
      <c r="FY16" s="2413">
        <f t="shared" si="36"/>
        <v>52458</v>
      </c>
      <c r="FZ16" s="2413">
        <f t="shared" si="36"/>
        <v>45563</v>
      </c>
      <c r="GA16" s="2413">
        <f t="shared" si="36"/>
        <v>6895</v>
      </c>
      <c r="GB16" s="2427">
        <f t="shared" si="36"/>
        <v>0</v>
      </c>
    </row>
    <row r="17" spans="1:184" s="2406" customFormat="1" ht="72">
      <c r="A17" s="2424" t="s">
        <v>137</v>
      </c>
      <c r="B17" s="2782" t="s">
        <v>1366</v>
      </c>
      <c r="C17" s="2412">
        <f t="shared" ref="C17" si="37">SUM(Q17,AE17,AS17,BG17,BU17,CI17,CW17,DK17,DY17,EM17,FA17,FO17)</f>
        <v>65532.833333333336</v>
      </c>
      <c r="D17" s="2412">
        <f t="shared" ref="D17" si="38">SUM(R17,AF17,AT17,BH17,BV17,CJ17,CX17,DL17,DZ17,EN17,FB17,FP17)</f>
        <v>456496</v>
      </c>
      <c r="E17" s="2412">
        <f t="shared" ref="E17" si="39">SUM(S17,AG17,AU17,BI17,BW17,CK17,CY17,DM17,EA17,EO17,FC17,FQ17)</f>
        <v>455309.26</v>
      </c>
      <c r="F17" s="2412">
        <f t="shared" ref="F17" si="40">SUM(T17,AH17,AV17,BJ17,BX17,CL17,CZ17,DN17,EB17,EP17,FD17,FR17)</f>
        <v>1186.7400000000016</v>
      </c>
      <c r="G17" s="2412">
        <f t="shared" ref="G17" si="41">SUM(U17,AI17,AW17,BK17,BY17,CM17,DA17,DO17,EC17,EQ17,FE17,FS17)</f>
        <v>74357</v>
      </c>
      <c r="H17" s="2412">
        <f t="shared" ref="H17" si="42">SUM(V17,AJ17,AX17,BL17,BZ17,CN17,DB17,DP17,ED17,ER17,FF17,FT17)</f>
        <v>475471.44</v>
      </c>
      <c r="I17" s="2412">
        <f t="shared" ref="I17" si="43">SUM(W17,AK17,AY17,BM17,CA17,CO17,DC17,DQ17,EE17,ES17,FG17,FU17)</f>
        <v>404812</v>
      </c>
      <c r="J17" s="2412">
        <f t="shared" ref="J17" si="44">SUM(X17,AL17,AZ17,BN17,CB17,CP17,DD17,DR17,EF17,ET17,FH17,FV17)</f>
        <v>60040.2</v>
      </c>
      <c r="K17" s="2412">
        <f t="shared" ref="K17" si="45">SUM(Y17,AM17,BA17,BO17,CC17,CQ17,DE17,DS17,EG17,EU17,FI17,FW17)</f>
        <v>-9432.5</v>
      </c>
      <c r="L17" s="2412">
        <f t="shared" ref="L17" si="46">SUM(Z17,AN17,BB17,BP17,CD17,CR17,DF17,DT17,EH17,EV17,FJ17,FX17)</f>
        <v>80979</v>
      </c>
      <c r="M17" s="2412">
        <f t="shared" ref="M17" si="47">SUM(AA17,AO17,BC17,BQ17,CE17,CS17,DG17,DU17,EI17,EW17,FK17,FY17)</f>
        <v>493450</v>
      </c>
      <c r="N17" s="2412">
        <f t="shared" ref="N17" si="48">SUM(AB17,AP17,BD17,BR17,CF17,CT17,DH17,DV17,EJ17,EX17,FL17,FZ17)</f>
        <v>404812</v>
      </c>
      <c r="O17" s="2412">
        <f t="shared" ref="O17" si="49">SUM(AC17,AQ17,BE17,BS17,CG17,CU17,DI17,DW17,EK17,EY17,FM17,GA17)</f>
        <v>88638</v>
      </c>
      <c r="P17" s="2435">
        <f t="shared" ref="P17" si="50">SUM(AD17,AR17,BF17,BT17,CH17,CV17,DJ17,DX17,EL17,EZ17,FN17,GB17)</f>
        <v>0</v>
      </c>
      <c r="Q17" s="2439">
        <v>6932</v>
      </c>
      <c r="R17" s="2412">
        <v>41000</v>
      </c>
      <c r="S17" s="2412">
        <v>41786</v>
      </c>
      <c r="T17" s="2412">
        <f t="shared" si="23"/>
        <v>-786</v>
      </c>
      <c r="U17" s="2412">
        <v>6474</v>
      </c>
      <c r="V17" s="2412">
        <v>44560</v>
      </c>
      <c r="W17" s="2412">
        <v>41000</v>
      </c>
      <c r="X17" s="2412"/>
      <c r="Y17" s="2412">
        <f>X17+W17-V17+T17</f>
        <v>-4346</v>
      </c>
      <c r="Z17" s="2412">
        <v>6474</v>
      </c>
      <c r="AA17" s="2412">
        <v>44560</v>
      </c>
      <c r="AB17" s="2412">
        <f>W17</f>
        <v>41000</v>
      </c>
      <c r="AC17" s="2412">
        <f>AA17-AB17</f>
        <v>3560</v>
      </c>
      <c r="AD17" s="2435"/>
      <c r="AE17" s="2442">
        <v>3120</v>
      </c>
      <c r="AF17" s="2412">
        <f>18524</f>
        <v>18524</v>
      </c>
      <c r="AG17" s="2414">
        <f>18460.26</f>
        <v>18460.259999999998</v>
      </c>
      <c r="AH17" s="2412">
        <f>AF17-AG17</f>
        <v>63.740000000001601</v>
      </c>
      <c r="AI17" s="2412">
        <v>2633</v>
      </c>
      <c r="AJ17" s="2411">
        <f>19335-500</f>
        <v>18835</v>
      </c>
      <c r="AK17" s="2412">
        <v>16548</v>
      </c>
      <c r="AL17" s="2415">
        <v>2422</v>
      </c>
      <c r="AM17" s="2412">
        <f>AL17+AK17-AJ17+AH17</f>
        <v>198.7400000000016</v>
      </c>
      <c r="AN17" s="2411">
        <v>2624</v>
      </c>
      <c r="AO17" s="2411">
        <f>22057-2000</f>
        <v>20057</v>
      </c>
      <c r="AP17" s="2411">
        <v>16548</v>
      </c>
      <c r="AQ17" s="2411">
        <f>AO17-AP17</f>
        <v>3509</v>
      </c>
      <c r="AR17" s="2426"/>
      <c r="AS17" s="2442">
        <v>3281</v>
      </c>
      <c r="AT17" s="2412">
        <v>19770</v>
      </c>
      <c r="AU17" s="2414">
        <v>20221</v>
      </c>
      <c r="AV17" s="2412">
        <f>AT17-AU17</f>
        <v>-451</v>
      </c>
      <c r="AW17" s="2411">
        <v>3217</v>
      </c>
      <c r="AX17" s="2411">
        <v>23326</v>
      </c>
      <c r="AY17" s="2411">
        <v>19088</v>
      </c>
      <c r="AZ17" s="2411">
        <v>1134</v>
      </c>
      <c r="BA17" s="2412">
        <f>AZ17+AY17-AX17+AV17</f>
        <v>-3555</v>
      </c>
      <c r="BB17" s="2411">
        <v>3943</v>
      </c>
      <c r="BC17" s="2411">
        <v>24352</v>
      </c>
      <c r="BD17" s="2411">
        <v>19088</v>
      </c>
      <c r="BE17" s="2411">
        <f>BC17-BD17</f>
        <v>5264</v>
      </c>
      <c r="BF17" s="2426"/>
      <c r="BG17" s="2442">
        <v>4100</v>
      </c>
      <c r="BH17" s="2412">
        <v>27022</v>
      </c>
      <c r="BI17" s="2414">
        <v>24758</v>
      </c>
      <c r="BJ17" s="2412">
        <f>BH17-BI17</f>
        <v>2264</v>
      </c>
      <c r="BK17" s="2411">
        <v>4004</v>
      </c>
      <c r="BL17" s="2411">
        <v>25191</v>
      </c>
      <c r="BM17" s="2411">
        <v>27022</v>
      </c>
      <c r="BN17" s="2411">
        <v>0</v>
      </c>
      <c r="BO17" s="2412">
        <f>BN17+BM17-BL17+BJ17</f>
        <v>4095</v>
      </c>
      <c r="BP17" s="2411">
        <v>4432</v>
      </c>
      <c r="BQ17" s="2411">
        <v>27792</v>
      </c>
      <c r="BR17" s="2411">
        <v>27022</v>
      </c>
      <c r="BS17" s="2411">
        <f>BQ17-BR17</f>
        <v>770</v>
      </c>
      <c r="BT17" s="2426"/>
      <c r="BU17" s="2442">
        <v>5217</v>
      </c>
      <c r="BV17" s="2416">
        <f>44624</f>
        <v>44624</v>
      </c>
      <c r="BW17" s="2414">
        <v>40093</v>
      </c>
      <c r="BX17" s="2416">
        <f>BV17-BW17</f>
        <v>4531</v>
      </c>
      <c r="BY17" s="2411">
        <v>6638</v>
      </c>
      <c r="BZ17" s="2411">
        <v>42101</v>
      </c>
      <c r="CA17" s="2411">
        <v>40000</v>
      </c>
      <c r="CB17" s="2411">
        <v>5738</v>
      </c>
      <c r="CC17" s="2412">
        <f>CB17+CA17-BZ17+BX17</f>
        <v>8168</v>
      </c>
      <c r="CD17" s="2411">
        <v>7033</v>
      </c>
      <c r="CE17" s="2411">
        <v>44831</v>
      </c>
      <c r="CF17" s="2411">
        <v>40000</v>
      </c>
      <c r="CG17" s="2411">
        <f>CE17-CF17</f>
        <v>4831</v>
      </c>
      <c r="CH17" s="2426"/>
      <c r="CI17" s="2442">
        <f>28389/6</f>
        <v>4731.5</v>
      </c>
      <c r="CJ17" s="2416">
        <v>36916</v>
      </c>
      <c r="CK17" s="2414">
        <v>38564</v>
      </c>
      <c r="CL17" s="2416">
        <f>CJ17-CK17</f>
        <v>-1648</v>
      </c>
      <c r="CM17" s="2411">
        <v>5114</v>
      </c>
      <c r="CN17" s="2411">
        <f>41654</f>
        <v>41654</v>
      </c>
      <c r="CO17" s="2411">
        <v>30000</v>
      </c>
      <c r="CP17" s="2411">
        <v>9773.5199999999968</v>
      </c>
      <c r="CQ17" s="2412">
        <f>CP17+CO17-CN17+CL17</f>
        <v>-3528.4800000000032</v>
      </c>
      <c r="CR17" s="2411">
        <v>7462</v>
      </c>
      <c r="CS17" s="2411">
        <v>41654</v>
      </c>
      <c r="CT17" s="2411">
        <v>30000</v>
      </c>
      <c r="CU17" s="2411">
        <f>CS17-CT17</f>
        <v>11654</v>
      </c>
      <c r="CV17" s="2426"/>
      <c r="CW17" s="2442">
        <f>36800/6</f>
        <v>6133.333333333333</v>
      </c>
      <c r="CX17" s="2416">
        <v>56258</v>
      </c>
      <c r="CY17" s="2414">
        <v>54657</v>
      </c>
      <c r="CZ17" s="2416">
        <f>CX17-CY17</f>
        <v>1601</v>
      </c>
      <c r="DA17" s="2411">
        <v>9571</v>
      </c>
      <c r="DB17" s="2411">
        <f>59036-4036</f>
        <v>55000</v>
      </c>
      <c r="DC17" s="2411">
        <v>38000</v>
      </c>
      <c r="DD17" s="2411">
        <v>18258.199999999997</v>
      </c>
      <c r="DE17" s="2412">
        <f>DD17+DC17-DB17+CZ17</f>
        <v>2859.1999999999971</v>
      </c>
      <c r="DF17" s="2411">
        <v>10574</v>
      </c>
      <c r="DG17" s="2411">
        <f>65180-10180</f>
        <v>55000</v>
      </c>
      <c r="DH17" s="2411">
        <v>38000</v>
      </c>
      <c r="DI17" s="2411">
        <f t="shared" si="25"/>
        <v>17000</v>
      </c>
      <c r="DJ17" s="2426"/>
      <c r="DK17" s="2442">
        <f>53718/12</f>
        <v>4476.5</v>
      </c>
      <c r="DL17" s="2416">
        <v>30471</v>
      </c>
      <c r="DM17" s="2414">
        <v>29596</v>
      </c>
      <c r="DN17" s="2416">
        <f>DL17-DM17</f>
        <v>875</v>
      </c>
      <c r="DO17" s="2411">
        <v>5015</v>
      </c>
      <c r="DP17" s="2411">
        <v>31303.439999999999</v>
      </c>
      <c r="DQ17" s="2411">
        <v>30471</v>
      </c>
      <c r="DR17" s="2411"/>
      <c r="DS17" s="2412">
        <f>DR17+DQ17-DP17+DN17</f>
        <v>42.56000000000131</v>
      </c>
      <c r="DT17" s="2666">
        <v>5301</v>
      </c>
      <c r="DU17" s="2411">
        <v>33353</v>
      </c>
      <c r="DV17" s="2411">
        <v>30471</v>
      </c>
      <c r="DW17" s="2411">
        <f>DU17-DV17</f>
        <v>2882</v>
      </c>
      <c r="DX17" s="2426"/>
      <c r="DY17" s="2442">
        <f>30528/4</f>
        <v>7632</v>
      </c>
      <c r="DZ17" s="2416">
        <v>57235</v>
      </c>
      <c r="EA17" s="2414">
        <v>59057</v>
      </c>
      <c r="EB17" s="2416">
        <f>DZ17-EA17</f>
        <v>-1822</v>
      </c>
      <c r="EC17" s="2411">
        <v>10650</v>
      </c>
      <c r="ED17" s="2411">
        <v>66112</v>
      </c>
      <c r="EE17" s="2411">
        <v>44000</v>
      </c>
      <c r="EF17" s="2411">
        <v>13235.080000000002</v>
      </c>
      <c r="EG17" s="2412">
        <f>EF17+EE17-ED17+EB17</f>
        <v>-10698.919999999998</v>
      </c>
      <c r="EH17" s="2411">
        <v>10651</v>
      </c>
      <c r="EI17" s="2411">
        <v>66112</v>
      </c>
      <c r="EJ17" s="2411">
        <v>44000</v>
      </c>
      <c r="EK17" s="2411">
        <f>EI17-EJ17</f>
        <v>22112</v>
      </c>
      <c r="EL17" s="2426"/>
      <c r="EM17" s="2442">
        <f>90408/12</f>
        <v>7534</v>
      </c>
      <c r="EN17" s="2416">
        <v>48042</v>
      </c>
      <c r="EO17" s="2414">
        <v>48690</v>
      </c>
      <c r="EP17" s="2416">
        <f>EN17-EO17</f>
        <v>-648</v>
      </c>
      <c r="EQ17" s="2411">
        <v>7940</v>
      </c>
      <c r="ER17" s="2411">
        <v>45043</v>
      </c>
      <c r="ES17" s="2411">
        <v>42350</v>
      </c>
      <c r="ET17" s="2411">
        <v>5692</v>
      </c>
      <c r="EU17" s="2412">
        <f>ET17+ES17-ER17+EP17</f>
        <v>2351</v>
      </c>
      <c r="EV17" s="2411">
        <v>8488</v>
      </c>
      <c r="EW17" s="2411">
        <v>47977</v>
      </c>
      <c r="EX17" s="2411">
        <v>42350</v>
      </c>
      <c r="EY17" s="2411">
        <f t="shared" si="26"/>
        <v>5627</v>
      </c>
      <c r="EZ17" s="2426"/>
      <c r="FA17" s="2442">
        <v>5194</v>
      </c>
      <c r="FB17" s="2416">
        <v>31301</v>
      </c>
      <c r="FC17" s="2414">
        <v>31625</v>
      </c>
      <c r="FD17" s="2416">
        <f>FB17-FC17</f>
        <v>-324</v>
      </c>
      <c r="FE17" s="2411">
        <v>5191</v>
      </c>
      <c r="FF17" s="2411">
        <v>33018</v>
      </c>
      <c r="FG17" s="2411">
        <v>31000</v>
      </c>
      <c r="FH17" s="2411">
        <v>2000</v>
      </c>
      <c r="FI17" s="2412">
        <f>FH17+FG17-FF17+FD17</f>
        <v>-342</v>
      </c>
      <c r="FJ17" s="2411">
        <v>5579</v>
      </c>
      <c r="FK17" s="2411">
        <v>35615</v>
      </c>
      <c r="FL17" s="2411">
        <v>31000</v>
      </c>
      <c r="FM17" s="2411">
        <f>FK17-FL17</f>
        <v>4615</v>
      </c>
      <c r="FN17" s="2426"/>
      <c r="FO17" s="2442">
        <f>86178/12</f>
        <v>7181.5</v>
      </c>
      <c r="FP17" s="2416">
        <v>45333</v>
      </c>
      <c r="FQ17" s="2414">
        <f>47802</f>
        <v>47802</v>
      </c>
      <c r="FR17" s="2416">
        <f>FP17-FQ17</f>
        <v>-2469</v>
      </c>
      <c r="FS17" s="2411">
        <v>7910</v>
      </c>
      <c r="FT17" s="2411">
        <v>49328</v>
      </c>
      <c r="FU17" s="2411">
        <v>45333</v>
      </c>
      <c r="FV17" s="2411">
        <v>1787.4000000000015</v>
      </c>
      <c r="FW17" s="2412">
        <f>FV17+FU17-FT17+FR17</f>
        <v>-4676.5999999999985</v>
      </c>
      <c r="FX17" s="2411">
        <v>8418</v>
      </c>
      <c r="FY17" s="2411">
        <v>52147</v>
      </c>
      <c r="FZ17" s="2411">
        <v>45333</v>
      </c>
      <c r="GA17" s="2411">
        <f>FY17-FZ17</f>
        <v>6814</v>
      </c>
      <c r="GB17" s="2426"/>
    </row>
    <row r="18" spans="1:184" s="2406" customFormat="1" ht="76.2" customHeight="1" thickBot="1">
      <c r="A18" s="2428" t="s">
        <v>137</v>
      </c>
      <c r="B18" s="2783" t="s">
        <v>1367</v>
      </c>
      <c r="C18" s="2429">
        <f t="shared" ref="C18" si="51">SUM(Q18,AE18,AS18,BG18,BU18,CI18,CW18,DK18,DY18,EM18,FA18,FO18)</f>
        <v>13506</v>
      </c>
      <c r="D18" s="2429">
        <f t="shared" ref="D18" si="52">SUM(R18,AF18,AT18,BH18,BV18,CJ18,CX18,DL18,DZ18,EN18,FB18,FP18)</f>
        <v>11817</v>
      </c>
      <c r="E18" s="2429">
        <f t="shared" ref="E18" si="53">SUM(S18,AG18,AU18,BI18,BW18,CK18,CY18,DM18,EA18,EO18,FC18,FQ18)</f>
        <v>9172.9959999999992</v>
      </c>
      <c r="F18" s="2429">
        <f t="shared" ref="F18" si="54">SUM(T18,AH18,AV18,BJ18,BX18,CL18,CZ18,DN18,EB18,EP18,FD18,FR18)</f>
        <v>2644.0039999999999</v>
      </c>
      <c r="G18" s="2429">
        <f t="shared" ref="G18" si="55">SUM(U18,AI18,AW18,BK18,BY18,CM18,DA18,DO18,EC18,EQ18,FE18,FS18)</f>
        <v>12095</v>
      </c>
      <c r="H18" s="2429">
        <f t="shared" ref="H18" si="56">SUM(V18,AJ18,AX18,BL18,BZ18,CN18,DB18,DP18,ED18,ER18,FF18,FT18)</f>
        <v>8204.0760000000009</v>
      </c>
      <c r="I18" s="2429">
        <f t="shared" ref="I18" si="57">SUM(W18,AK18,AY18,BM18,CA18,CO18,DC18,DQ18,EE18,ES18,FG18,FU18)</f>
        <v>9307</v>
      </c>
      <c r="J18" s="2429">
        <f t="shared" ref="J18" si="58">SUM(X18,AL18,AZ18,BN18,CB18,CP18,DD18,DR18,EF18,ET18,FH18,FV18)</f>
        <v>1281.652</v>
      </c>
      <c r="K18" s="2429">
        <f t="shared" ref="K18" si="59">SUM(Y18,AM18,BA18,BO18,CC18,CQ18,DE18,DS18,EG18,EU18,FI18,FW18)</f>
        <v>5028.58</v>
      </c>
      <c r="L18" s="2429">
        <f t="shared" ref="L18" si="60">SUM(Z18,AN18,BB18,BP18,CD18,CR18,DF18,DT18,EH18,EV18,FJ18,FX18)</f>
        <v>10371.362573099415</v>
      </c>
      <c r="M18" s="2429">
        <f t="shared" ref="M18" si="61">SUM(AA18,AO18,BC18,BQ18,CE18,CS18,DG18,DU18,EI18,EW18,FK18,FY18)</f>
        <v>7005.5559999999996</v>
      </c>
      <c r="N18" s="2429">
        <f t="shared" ref="N18" si="62">SUM(AB18,AP18,BD18,BR18,CF18,CT18,DH18,DV18,EJ18,EX18,FL18,FZ18)</f>
        <v>9307</v>
      </c>
      <c r="O18" s="2429">
        <f t="shared" ref="O18" si="63">SUM(AC18,AQ18,BE18,BS18,CG18,CU18,DI18,DW18,EK18,EY18,FM18,GA18)</f>
        <v>-2301.444</v>
      </c>
      <c r="P18" s="2436">
        <f t="shared" ref="P18" si="64">SUM(AD18,AR18,BF18,BT18,CH18,CV18,DJ18,DX18,EL18,EZ18,FN18,GB18)</f>
        <v>0</v>
      </c>
      <c r="Q18" s="2441">
        <v>1725</v>
      </c>
      <c r="R18" s="2429">
        <v>2059</v>
      </c>
      <c r="S18" s="2429">
        <v>1109</v>
      </c>
      <c r="T18" s="2429">
        <f t="shared" si="23"/>
        <v>950</v>
      </c>
      <c r="U18" s="2429">
        <v>1302</v>
      </c>
      <c r="V18" s="2429">
        <v>891</v>
      </c>
      <c r="W18" s="2429">
        <v>2059</v>
      </c>
      <c r="X18" s="2429"/>
      <c r="Y18" s="2429">
        <f>X18+W18-V18+T18</f>
        <v>2118</v>
      </c>
      <c r="Z18" s="2429">
        <v>1291</v>
      </c>
      <c r="AA18" s="2429">
        <v>883</v>
      </c>
      <c r="AB18" s="2429">
        <f>W18</f>
        <v>2059</v>
      </c>
      <c r="AC18" s="2429">
        <f>AA18-AB18</f>
        <v>-1176</v>
      </c>
      <c r="AD18" s="2436"/>
      <c r="AE18" s="2443">
        <v>1127</v>
      </c>
      <c r="AF18" s="2429">
        <v>359</v>
      </c>
      <c r="AG18" s="2431">
        <v>741.99599999999998</v>
      </c>
      <c r="AH18" s="2429">
        <f t="shared" ref="AH18" si="65">AF18-AG18</f>
        <v>-382.99599999999998</v>
      </c>
      <c r="AI18" s="2429">
        <v>712</v>
      </c>
      <c r="AJ18" s="2430">
        <f>AI18*57000*12/1000000</f>
        <v>487.00799999999998</v>
      </c>
      <c r="AK18" s="2429">
        <v>359</v>
      </c>
      <c r="AL18" s="2432">
        <v>390</v>
      </c>
      <c r="AM18" s="2429">
        <f>AL18+AK18-AJ18+AH18</f>
        <v>-121.00399999999996</v>
      </c>
      <c r="AN18" s="2430">
        <v>509</v>
      </c>
      <c r="AO18" s="2430">
        <v>348</v>
      </c>
      <c r="AP18" s="2430">
        <v>359</v>
      </c>
      <c r="AQ18" s="2429">
        <f>AO18-AP18</f>
        <v>-11</v>
      </c>
      <c r="AR18" s="2434"/>
      <c r="AS18" s="2443">
        <v>1107</v>
      </c>
      <c r="AT18" s="2429">
        <v>1166</v>
      </c>
      <c r="AU18" s="2431">
        <v>730</v>
      </c>
      <c r="AV18" s="2429">
        <f t="shared" ref="AV18" si="66">AT18-AU18</f>
        <v>436</v>
      </c>
      <c r="AW18" s="2430">
        <v>804</v>
      </c>
      <c r="AX18" s="2430">
        <v>516</v>
      </c>
      <c r="AY18" s="2430">
        <v>1166</v>
      </c>
      <c r="AZ18" s="2430"/>
      <c r="BA18" s="2429">
        <f>AZ18+AY18-AX18+AV18</f>
        <v>1086</v>
      </c>
      <c r="BB18" s="2430">
        <f>689+36</f>
        <v>725</v>
      </c>
      <c r="BC18" s="2430">
        <v>447</v>
      </c>
      <c r="BD18" s="2430">
        <v>1166</v>
      </c>
      <c r="BE18" s="2429">
        <f>BC18-BD18</f>
        <v>-719</v>
      </c>
      <c r="BF18" s="2434"/>
      <c r="BG18" s="2443">
        <v>1387</v>
      </c>
      <c r="BH18" s="2429">
        <v>915</v>
      </c>
      <c r="BI18" s="2431">
        <v>908</v>
      </c>
      <c r="BJ18" s="2429">
        <f t="shared" ref="BJ18" si="67">BH18-BI18</f>
        <v>7</v>
      </c>
      <c r="BK18" s="2430">
        <f>794</f>
        <v>794</v>
      </c>
      <c r="BL18" s="2430">
        <f>BK18*57*12/1000</f>
        <v>543.096</v>
      </c>
      <c r="BM18" s="2430">
        <v>218</v>
      </c>
      <c r="BN18" s="2430">
        <v>277</v>
      </c>
      <c r="BO18" s="2429">
        <f>BN18+BM18-BL18+BJ18</f>
        <v>-41.096000000000004</v>
      </c>
      <c r="BP18" s="2430">
        <v>515</v>
      </c>
      <c r="BQ18" s="2430">
        <v>352</v>
      </c>
      <c r="BR18" s="2430">
        <v>218</v>
      </c>
      <c r="BS18" s="2430">
        <f>BQ18-BR18</f>
        <v>134</v>
      </c>
      <c r="BT18" s="2434"/>
      <c r="BU18" s="2443">
        <v>1200</v>
      </c>
      <c r="BV18" s="2433">
        <v>2023</v>
      </c>
      <c r="BW18" s="2431">
        <v>919</v>
      </c>
      <c r="BX18" s="2433">
        <f t="shared" ref="BX18" si="68">BV18-BW18</f>
        <v>1104</v>
      </c>
      <c r="BY18" s="2430">
        <f>801+264</f>
        <v>1065</v>
      </c>
      <c r="BZ18" s="2430">
        <f>BY18*57*12/1000</f>
        <v>728.46</v>
      </c>
      <c r="CA18" s="2430">
        <v>2023</v>
      </c>
      <c r="CB18" s="2430">
        <v>-1194.6999999999998</v>
      </c>
      <c r="CC18" s="2429">
        <f>CB18+CA18-BZ18+BX18</f>
        <v>1203.8400000000001</v>
      </c>
      <c r="CD18" s="2430">
        <f>607+199</f>
        <v>806</v>
      </c>
      <c r="CE18" s="2430">
        <v>551</v>
      </c>
      <c r="CF18" s="2430">
        <v>2023</v>
      </c>
      <c r="CG18" s="2430">
        <f t="shared" si="24"/>
        <v>-1472</v>
      </c>
      <c r="CH18" s="2434"/>
      <c r="CI18" s="2443">
        <v>571</v>
      </c>
      <c r="CJ18" s="2433">
        <v>380</v>
      </c>
      <c r="CK18" s="2431">
        <v>379</v>
      </c>
      <c r="CL18" s="2433">
        <f t="shared" ref="CL18" si="69">CJ18-CK18</f>
        <v>1</v>
      </c>
      <c r="CM18" s="2430">
        <f>473+15</f>
        <v>488</v>
      </c>
      <c r="CN18" s="2430">
        <v>334</v>
      </c>
      <c r="CO18" s="2430">
        <v>257</v>
      </c>
      <c r="CP18" s="2430">
        <v>123.35199999999998</v>
      </c>
      <c r="CQ18" s="2429">
        <f>CP18+CO18-CN18+CL18</f>
        <v>47.351999999999975</v>
      </c>
      <c r="CR18" s="2430">
        <f>379+15</f>
        <v>394</v>
      </c>
      <c r="CS18" s="2430">
        <v>270</v>
      </c>
      <c r="CT18" s="2430">
        <v>257</v>
      </c>
      <c r="CU18" s="2430">
        <f>CS18-CT18</f>
        <v>13</v>
      </c>
      <c r="CV18" s="2434"/>
      <c r="CW18" s="2443">
        <v>2143</v>
      </c>
      <c r="CX18" s="2433">
        <v>1152</v>
      </c>
      <c r="CY18" s="2431">
        <v>1489</v>
      </c>
      <c r="CZ18" s="2433">
        <f t="shared" ref="CZ18" si="70">CX18-CY18</f>
        <v>-337</v>
      </c>
      <c r="DA18" s="2430">
        <f>1200+142</f>
        <v>1342</v>
      </c>
      <c r="DB18" s="2430">
        <f>DA18*57*12/1000</f>
        <v>917.928</v>
      </c>
      <c r="DC18" s="2430">
        <v>805</v>
      </c>
      <c r="DD18" s="2430">
        <v>336</v>
      </c>
      <c r="DE18" s="2429">
        <f>DD18+DC18-DB18+CZ18</f>
        <v>-113.928</v>
      </c>
      <c r="DF18" s="2430">
        <f>670+142</f>
        <v>812</v>
      </c>
      <c r="DG18" s="2430">
        <f>DF18*57*12/1000</f>
        <v>555.40800000000002</v>
      </c>
      <c r="DH18" s="2430">
        <v>805</v>
      </c>
      <c r="DI18" s="2430">
        <f t="shared" si="25"/>
        <v>-249.59199999999998</v>
      </c>
      <c r="DJ18" s="2434"/>
      <c r="DK18" s="2443">
        <f>640+207</f>
        <v>847</v>
      </c>
      <c r="DL18" s="2433">
        <v>469</v>
      </c>
      <c r="DM18" s="2431">
        <f>484</f>
        <v>484</v>
      </c>
      <c r="DN18" s="2433">
        <f t="shared" ref="DN18" si="71">DL18-DM18</f>
        <v>-15</v>
      </c>
      <c r="DO18" s="2430">
        <v>726</v>
      </c>
      <c r="DP18" s="2430">
        <f>DO18*57*12/1000</f>
        <v>496.584</v>
      </c>
      <c r="DQ18" s="2430">
        <v>469</v>
      </c>
      <c r="DR18" s="2430"/>
      <c r="DS18" s="2429">
        <f>DR18+DQ18-DP18+DN18</f>
        <v>-42.584000000000003</v>
      </c>
      <c r="DT18" s="2667">
        <f>DU18/0.057/12</f>
        <v>678.36257309941516</v>
      </c>
      <c r="DU18" s="2430">
        <v>464</v>
      </c>
      <c r="DV18" s="2430">
        <v>469</v>
      </c>
      <c r="DW18" s="2430">
        <f>DU18-DV18</f>
        <v>-5</v>
      </c>
      <c r="DX18" s="2434"/>
      <c r="DY18" s="2443">
        <v>1003</v>
      </c>
      <c r="DZ18" s="2433">
        <v>788</v>
      </c>
      <c r="EA18" s="2431">
        <v>669</v>
      </c>
      <c r="EB18" s="2433">
        <f t="shared" ref="EB18" si="72">DZ18-EA18</f>
        <v>119</v>
      </c>
      <c r="EC18" s="2430">
        <f>721+68</f>
        <v>789</v>
      </c>
      <c r="ED18" s="2430">
        <v>540</v>
      </c>
      <c r="EE18" s="2430">
        <v>788</v>
      </c>
      <c r="EF18" s="2430">
        <v>-25</v>
      </c>
      <c r="EG18" s="2429">
        <f>EF18+EE18-ED18+EB18</f>
        <v>342</v>
      </c>
      <c r="EH18" s="2430">
        <f>722+75</f>
        <v>797</v>
      </c>
      <c r="EI18" s="2430">
        <f>EH18*57*12/1000</f>
        <v>545.14800000000002</v>
      </c>
      <c r="EJ18" s="2430">
        <v>788</v>
      </c>
      <c r="EK18" s="2430">
        <f>EI18-EJ18</f>
        <v>-242.85199999999998</v>
      </c>
      <c r="EL18" s="2434"/>
      <c r="EM18" s="2443">
        <f>(2226+2506)/6+2762/6</f>
        <v>1249</v>
      </c>
      <c r="EN18" s="2433">
        <v>1778</v>
      </c>
      <c r="EO18" s="2431">
        <v>991</v>
      </c>
      <c r="EP18" s="2433">
        <f t="shared" ref="EP18" si="73">EN18-EO18</f>
        <v>787</v>
      </c>
      <c r="EQ18" s="2430">
        <f>1697+1336</f>
        <v>3033</v>
      </c>
      <c r="ER18" s="2430">
        <v>2075</v>
      </c>
      <c r="ES18" s="2430">
        <v>435</v>
      </c>
      <c r="ET18" s="2430">
        <v>1343</v>
      </c>
      <c r="EU18" s="2429">
        <f>ET18+ES18-ER18+EP18</f>
        <v>490</v>
      </c>
      <c r="EV18" s="2430">
        <f>1358+1402</f>
        <v>2760</v>
      </c>
      <c r="EW18" s="2430">
        <v>1888</v>
      </c>
      <c r="EX18" s="2430">
        <v>435</v>
      </c>
      <c r="EY18" s="2430">
        <f t="shared" si="26"/>
        <v>1453</v>
      </c>
      <c r="EZ18" s="2434"/>
      <c r="FA18" s="2443">
        <v>675</v>
      </c>
      <c r="FB18" s="2433">
        <v>498</v>
      </c>
      <c r="FC18" s="2431">
        <v>445</v>
      </c>
      <c r="FD18" s="2433">
        <f t="shared" ref="FD18" si="74">FB18-FC18</f>
        <v>53</v>
      </c>
      <c r="FE18" s="2430">
        <f>567+53</f>
        <v>620</v>
      </c>
      <c r="FF18" s="2430">
        <v>388</v>
      </c>
      <c r="FG18" s="2430">
        <v>498</v>
      </c>
      <c r="FH18" s="2430">
        <v>-48</v>
      </c>
      <c r="FI18" s="2429">
        <f>FH18+FG18-FF18+FD18</f>
        <v>115</v>
      </c>
      <c r="FJ18" s="2430">
        <f>572+58</f>
        <v>630</v>
      </c>
      <c r="FK18" s="2430">
        <v>391</v>
      </c>
      <c r="FL18" s="2430">
        <v>498</v>
      </c>
      <c r="FM18" s="2430">
        <f>FK18-FL18</f>
        <v>-107</v>
      </c>
      <c r="FN18" s="2434"/>
      <c r="FO18" s="2443">
        <f>472</f>
        <v>472</v>
      </c>
      <c r="FP18" s="2433">
        <v>230</v>
      </c>
      <c r="FQ18" s="2431">
        <v>308</v>
      </c>
      <c r="FR18" s="2433">
        <f t="shared" ref="FR18" si="75">FP18-FQ18</f>
        <v>-78</v>
      </c>
      <c r="FS18" s="2430">
        <v>420</v>
      </c>
      <c r="FT18" s="2430">
        <v>287</v>
      </c>
      <c r="FU18" s="2430">
        <v>230</v>
      </c>
      <c r="FV18" s="2430">
        <v>80</v>
      </c>
      <c r="FW18" s="2429">
        <f>FV18+FU18-FT18+FR18</f>
        <v>-55</v>
      </c>
      <c r="FX18" s="2430">
        <v>454</v>
      </c>
      <c r="FY18" s="2430">
        <v>311</v>
      </c>
      <c r="FZ18" s="2430">
        <v>230</v>
      </c>
      <c r="GA18" s="2430">
        <f>FY18-FZ18</f>
        <v>81</v>
      </c>
      <c r="GB18" s="2434"/>
    </row>
    <row r="19" spans="1:184" s="2406" customFormat="1">
      <c r="A19" s="4721"/>
      <c r="B19" s="4721"/>
      <c r="O19" s="2720">
        <f>SUM(AC19,AQ19,BE19,BS19,CG19,CU19,DI19,DW19,EK19,EY19,FM19,GA19)</f>
        <v>5625.0599999999995</v>
      </c>
      <c r="AC19" s="2720">
        <f>-AC18</f>
        <v>1176</v>
      </c>
      <c r="AQ19" s="2720">
        <f>-AQ18</f>
        <v>11</v>
      </c>
      <c r="BE19" s="2720">
        <f>-BE18</f>
        <v>719</v>
      </c>
      <c r="BS19" s="2720">
        <f>-BS14-BS15</f>
        <v>314.23999999999995</v>
      </c>
      <c r="CG19" s="2720">
        <f>-CG18</f>
        <v>1472</v>
      </c>
      <c r="CU19" s="2720">
        <f>-CU18-CU12</f>
        <v>494.8</v>
      </c>
      <c r="DI19" s="2720">
        <f>-DI18</f>
        <v>249.59199999999998</v>
      </c>
      <c r="DW19" s="2720">
        <f>-DW18-DW12</f>
        <v>271.39999999999998</v>
      </c>
      <c r="EK19" s="2720">
        <f>-EK18-EK15-EK14</f>
        <v>463.05199999999996</v>
      </c>
      <c r="EY19" s="2720">
        <f>-EY14-EY15</f>
        <v>131.28800000000001</v>
      </c>
      <c r="FM19" s="2720">
        <f>-FM18-FM14</f>
        <v>190.52</v>
      </c>
      <c r="GA19" s="2720">
        <f>-GA12</f>
        <v>132.16800000000001</v>
      </c>
    </row>
    <row r="20" spans="1:184" s="2406" customFormat="1">
      <c r="A20" s="2721"/>
      <c r="B20" s="2721"/>
      <c r="N20" s="2720"/>
      <c r="O20" s="2720">
        <f>O10</f>
        <v>93668.347999999998</v>
      </c>
      <c r="AC20" s="2720">
        <f>AC10</f>
        <v>3431</v>
      </c>
      <c r="AQ20" s="2720">
        <f>AQ10</f>
        <v>4055</v>
      </c>
      <c r="BE20" s="2720">
        <f>BE10</f>
        <v>6923.8239999999996</v>
      </c>
      <c r="BS20" s="2720">
        <f>BS10</f>
        <v>1686.76</v>
      </c>
      <c r="CG20" s="2720">
        <f>CG10</f>
        <v>4041.3519999999999</v>
      </c>
      <c r="CU20" s="2720">
        <f>CU10</f>
        <v>11159.2</v>
      </c>
      <c r="DI20" s="2720">
        <f>DI10</f>
        <v>17921.2</v>
      </c>
      <c r="DW20" s="2720">
        <f>DW10</f>
        <v>2610.6</v>
      </c>
      <c r="EK20" s="2720">
        <f>EK10</f>
        <v>22437.948</v>
      </c>
      <c r="EY20" s="2720">
        <f>EY10</f>
        <v>7262.7119999999995</v>
      </c>
      <c r="FM20" s="2720">
        <f>FM10</f>
        <v>5375.92</v>
      </c>
      <c r="GA20" s="2720">
        <f>GA10</f>
        <v>6762.8320000000003</v>
      </c>
    </row>
    <row r="21" spans="1:184" s="2406" customFormat="1">
      <c r="A21" s="2721"/>
      <c r="B21" s="2721"/>
      <c r="N21" s="2720"/>
      <c r="O21" s="2722">
        <f>O20+O19</f>
        <v>99293.407999999996</v>
      </c>
      <c r="AC21" s="2722">
        <f>AC20+AC19</f>
        <v>4607</v>
      </c>
      <c r="AQ21" s="2722">
        <f>AQ20+AQ19</f>
        <v>4066</v>
      </c>
      <c r="BE21" s="2722">
        <f>BE20+BE19</f>
        <v>7642.8239999999996</v>
      </c>
      <c r="BS21" s="2722">
        <f>BS20+BS19</f>
        <v>2001</v>
      </c>
      <c r="CG21" s="2722">
        <f>CG20+CG19</f>
        <v>5513.3519999999999</v>
      </c>
      <c r="CU21" s="2722">
        <f>CU20+CU19</f>
        <v>11654</v>
      </c>
      <c r="DI21" s="2722">
        <f>DI20+DI19</f>
        <v>18170.792000000001</v>
      </c>
      <c r="DW21" s="2722">
        <f>DW20+DW19</f>
        <v>2882</v>
      </c>
      <c r="EK21" s="2722">
        <f>EK20+EK19</f>
        <v>22901</v>
      </c>
      <c r="EY21" s="2722">
        <f>EY20+EY19</f>
        <v>7394</v>
      </c>
      <c r="FM21" s="2722">
        <f>FM20+FM19</f>
        <v>5566.4400000000005</v>
      </c>
      <c r="GA21" s="2722">
        <f>GA20+GA19</f>
        <v>6895</v>
      </c>
    </row>
    <row r="22" spans="1:184">
      <c r="A22" s="2407"/>
      <c r="D22" s="2400">
        <v>3.2240000000000002</v>
      </c>
      <c r="L22" s="4323" t="s">
        <v>2477</v>
      </c>
      <c r="M22" s="4323"/>
      <c r="N22" s="4323"/>
      <c r="O22" s="4323"/>
      <c r="P22" s="4323"/>
      <c r="Z22" s="4323" t="s">
        <v>2477</v>
      </c>
      <c r="AA22" s="4323"/>
      <c r="AB22" s="4323"/>
      <c r="AC22" s="4323"/>
      <c r="AD22" s="4323"/>
      <c r="AN22" s="4323" t="s">
        <v>2477</v>
      </c>
      <c r="AO22" s="4323"/>
      <c r="AP22" s="4323"/>
      <c r="AQ22" s="4323"/>
      <c r="AR22" s="4323"/>
      <c r="BB22" s="4323" t="s">
        <v>2477</v>
      </c>
      <c r="BC22" s="4323"/>
      <c r="BD22" s="4323"/>
      <c r="BE22" s="4323"/>
      <c r="BF22" s="4323"/>
      <c r="BP22" s="4323" t="s">
        <v>2477</v>
      </c>
      <c r="BQ22" s="4323"/>
      <c r="BR22" s="4323"/>
      <c r="BS22" s="4323"/>
      <c r="BT22" s="4323"/>
      <c r="CD22" s="4323" t="s">
        <v>2477</v>
      </c>
      <c r="CE22" s="4323"/>
      <c r="CF22" s="4323"/>
      <c r="CG22" s="4323"/>
      <c r="CH22" s="4323"/>
      <c r="CR22" s="4323" t="s">
        <v>2477</v>
      </c>
      <c r="CS22" s="4323"/>
      <c r="CT22" s="4323"/>
      <c r="CU22" s="4323"/>
      <c r="CV22" s="4323"/>
      <c r="DF22" s="4323" t="s">
        <v>2477</v>
      </c>
      <c r="DG22" s="4323"/>
      <c r="DH22" s="4323"/>
      <c r="DI22" s="4323"/>
      <c r="DJ22" s="4323"/>
      <c r="DT22" s="4323" t="s">
        <v>2477</v>
      </c>
      <c r="DU22" s="4323"/>
      <c r="DV22" s="4323"/>
      <c r="DW22" s="4323"/>
      <c r="DX22" s="4323"/>
      <c r="EH22" s="4323" t="s">
        <v>2477</v>
      </c>
      <c r="EI22" s="4323"/>
      <c r="EJ22" s="4323"/>
      <c r="EK22" s="4323"/>
      <c r="EL22" s="4323"/>
      <c r="EV22" s="4323" t="s">
        <v>2477</v>
      </c>
      <c r="EW22" s="4323"/>
      <c r="EX22" s="4323"/>
      <c r="EY22" s="4323"/>
      <c r="EZ22" s="4323"/>
      <c r="FJ22" s="4323" t="s">
        <v>2477</v>
      </c>
      <c r="FK22" s="4323"/>
      <c r="FL22" s="4323"/>
      <c r="FM22" s="4323"/>
      <c r="FN22" s="4323"/>
      <c r="FX22" s="4323" t="s">
        <v>2477</v>
      </c>
      <c r="FY22" s="4323"/>
      <c r="FZ22" s="4323"/>
      <c r="GA22" s="4323"/>
      <c r="GB22" s="4323"/>
    </row>
    <row r="23" spans="1:184">
      <c r="A23" s="2407"/>
      <c r="B23" s="1828" t="s">
        <v>2475</v>
      </c>
      <c r="G23" s="4325" t="s">
        <v>2476</v>
      </c>
      <c r="H23" s="4325"/>
      <c r="I23" s="4325"/>
      <c r="J23" s="4325"/>
      <c r="K23" s="4325"/>
      <c r="L23" s="4325" t="s">
        <v>2478</v>
      </c>
      <c r="M23" s="4325"/>
      <c r="N23" s="4325"/>
      <c r="O23" s="4325"/>
      <c r="P23" s="4325"/>
      <c r="U23" s="4325" t="s">
        <v>2476</v>
      </c>
      <c r="V23" s="4325"/>
      <c r="W23" s="4325"/>
      <c r="X23" s="4325"/>
      <c r="Y23" s="4325"/>
      <c r="Z23" s="4325" t="s">
        <v>2478</v>
      </c>
      <c r="AA23" s="4325"/>
      <c r="AB23" s="4325"/>
      <c r="AC23" s="4325"/>
      <c r="AD23" s="4325"/>
      <c r="AI23" s="4325" t="s">
        <v>2476</v>
      </c>
      <c r="AJ23" s="4325"/>
      <c r="AK23" s="4325"/>
      <c r="AL23" s="4325"/>
      <c r="AM23" s="4325"/>
      <c r="AN23" s="4325" t="s">
        <v>2478</v>
      </c>
      <c r="AO23" s="4325"/>
      <c r="AP23" s="4325"/>
      <c r="AQ23" s="4325"/>
      <c r="AR23" s="4325"/>
      <c r="AW23" s="4325" t="s">
        <v>2476</v>
      </c>
      <c r="AX23" s="4325"/>
      <c r="AY23" s="4325"/>
      <c r="AZ23" s="4325"/>
      <c r="BA23" s="4325"/>
      <c r="BB23" s="4325" t="s">
        <v>2478</v>
      </c>
      <c r="BC23" s="4325"/>
      <c r="BD23" s="4325"/>
      <c r="BE23" s="4325"/>
      <c r="BF23" s="4325"/>
      <c r="BK23" s="4325" t="s">
        <v>2476</v>
      </c>
      <c r="BL23" s="4325"/>
      <c r="BM23" s="4325"/>
      <c r="BN23" s="4325"/>
      <c r="BO23" s="4325"/>
      <c r="BP23" s="4325" t="s">
        <v>2478</v>
      </c>
      <c r="BQ23" s="4325"/>
      <c r="BR23" s="4325"/>
      <c r="BS23" s="4325"/>
      <c r="BT23" s="4325"/>
      <c r="BY23" s="4325" t="s">
        <v>2476</v>
      </c>
      <c r="BZ23" s="4325"/>
      <c r="CA23" s="4325"/>
      <c r="CB23" s="4325"/>
      <c r="CC23" s="4325"/>
      <c r="CD23" s="4325" t="s">
        <v>2478</v>
      </c>
      <c r="CE23" s="4325"/>
      <c r="CF23" s="4325"/>
      <c r="CG23" s="4325"/>
      <c r="CH23" s="4325"/>
      <c r="CM23" s="4325" t="s">
        <v>2476</v>
      </c>
      <c r="CN23" s="4325"/>
      <c r="CO23" s="4325"/>
      <c r="CP23" s="4325"/>
      <c r="CQ23" s="4325"/>
      <c r="CR23" s="4325" t="s">
        <v>2478</v>
      </c>
      <c r="CS23" s="4325"/>
      <c r="CT23" s="4325"/>
      <c r="CU23" s="4325"/>
      <c r="CV23" s="4325"/>
      <c r="DA23" s="4325" t="s">
        <v>2476</v>
      </c>
      <c r="DB23" s="4325"/>
      <c r="DC23" s="4325"/>
      <c r="DD23" s="4325"/>
      <c r="DE23" s="4325"/>
      <c r="DF23" s="4325" t="s">
        <v>2478</v>
      </c>
      <c r="DG23" s="4325"/>
      <c r="DH23" s="4325"/>
      <c r="DI23" s="4325"/>
      <c r="DJ23" s="4325"/>
      <c r="DO23" s="4325" t="s">
        <v>2476</v>
      </c>
      <c r="DP23" s="4325"/>
      <c r="DQ23" s="4325"/>
      <c r="DR23" s="4325"/>
      <c r="DS23" s="4325"/>
      <c r="DT23" s="4325" t="s">
        <v>2478</v>
      </c>
      <c r="DU23" s="4325"/>
      <c r="DV23" s="4325"/>
      <c r="DW23" s="4325"/>
      <c r="DX23" s="4325"/>
      <c r="EC23" s="4325" t="s">
        <v>2476</v>
      </c>
      <c r="ED23" s="4325"/>
      <c r="EE23" s="4325"/>
      <c r="EF23" s="4325"/>
      <c r="EG23" s="4325"/>
      <c r="EH23" s="4325" t="s">
        <v>2478</v>
      </c>
      <c r="EI23" s="4325"/>
      <c r="EJ23" s="4325"/>
      <c r="EK23" s="4325"/>
      <c r="EL23" s="4325"/>
      <c r="EQ23" s="4325" t="s">
        <v>2476</v>
      </c>
      <c r="ER23" s="4325"/>
      <c r="ES23" s="4325"/>
      <c r="ET23" s="4325"/>
      <c r="EU23" s="4325"/>
      <c r="EV23" s="4325" t="s">
        <v>2478</v>
      </c>
      <c r="EW23" s="4325"/>
      <c r="EX23" s="4325"/>
      <c r="EY23" s="4325"/>
      <c r="EZ23" s="4325"/>
      <c r="FE23" s="4325" t="s">
        <v>2476</v>
      </c>
      <c r="FF23" s="4325"/>
      <c r="FG23" s="4325"/>
      <c r="FH23" s="4325"/>
      <c r="FI23" s="4325"/>
      <c r="FJ23" s="4325" t="s">
        <v>2478</v>
      </c>
      <c r="FK23" s="4325"/>
      <c r="FL23" s="4325"/>
      <c r="FM23" s="4325"/>
      <c r="FN23" s="4325"/>
      <c r="FS23" s="4325" t="s">
        <v>2476</v>
      </c>
      <c r="FT23" s="4325"/>
      <c r="FU23" s="4325"/>
      <c r="FV23" s="4325"/>
      <c r="FW23" s="4325"/>
      <c r="FX23" s="4325" t="s">
        <v>2478</v>
      </c>
      <c r="FY23" s="4325"/>
      <c r="FZ23" s="4325"/>
      <c r="GA23" s="4325"/>
      <c r="GB23" s="4325"/>
    </row>
    <row r="24" spans="1:184">
      <c r="A24" s="2408"/>
    </row>
    <row r="25" spans="1:184">
      <c r="A25" s="2408"/>
    </row>
    <row r="26" spans="1:184">
      <c r="A26" s="2407"/>
    </row>
    <row r="27" spans="1:184">
      <c r="A27" s="2407"/>
    </row>
  </sheetData>
  <mergeCells count="147">
    <mergeCell ref="FO2:GB2"/>
    <mergeCell ref="FO3:GB3"/>
    <mergeCell ref="FU5:FW5"/>
    <mergeCell ref="GA5:GB5"/>
    <mergeCell ref="EM2:EZ2"/>
    <mergeCell ref="EM3:EZ3"/>
    <mergeCell ref="ES5:EU5"/>
    <mergeCell ref="EY5:EZ5"/>
    <mergeCell ref="FA2:FN2"/>
    <mergeCell ref="FA3:FN3"/>
    <mergeCell ref="FG5:FI5"/>
    <mergeCell ref="FM5:FN5"/>
    <mergeCell ref="DK2:DX2"/>
    <mergeCell ref="DK3:DX3"/>
    <mergeCell ref="DQ5:DS5"/>
    <mergeCell ref="DW5:DX5"/>
    <mergeCell ref="DY2:EL2"/>
    <mergeCell ref="DY3:EL3"/>
    <mergeCell ref="EE5:EG5"/>
    <mergeCell ref="EK5:EL5"/>
    <mergeCell ref="CI2:CV2"/>
    <mergeCell ref="CI3:CV3"/>
    <mergeCell ref="CO5:CQ5"/>
    <mergeCell ref="CU5:CV5"/>
    <mergeCell ref="CW2:DJ2"/>
    <mergeCell ref="CW3:DJ3"/>
    <mergeCell ref="DC5:DE5"/>
    <mergeCell ref="DI5:DJ5"/>
    <mergeCell ref="BG2:BT2"/>
    <mergeCell ref="BG3:BT3"/>
    <mergeCell ref="BM5:BO5"/>
    <mergeCell ref="BS5:BT5"/>
    <mergeCell ref="BU2:CH2"/>
    <mergeCell ref="BU3:CH3"/>
    <mergeCell ref="CA5:CC5"/>
    <mergeCell ref="CG5:CH5"/>
    <mergeCell ref="AE3:AR3"/>
    <mergeCell ref="AK5:AM5"/>
    <mergeCell ref="AQ5:AR5"/>
    <mergeCell ref="AS2:BF2"/>
    <mergeCell ref="AS3:BF3"/>
    <mergeCell ref="AY5:BA5"/>
    <mergeCell ref="BE5:BF5"/>
    <mergeCell ref="AE2:AR2"/>
    <mergeCell ref="I1:P1"/>
    <mergeCell ref="C2:P2"/>
    <mergeCell ref="C3:P3"/>
    <mergeCell ref="O5:P5"/>
    <mergeCell ref="Q2:AD2"/>
    <mergeCell ref="Q3:AD3"/>
    <mergeCell ref="W5:Y5"/>
    <mergeCell ref="AC5:AD5"/>
    <mergeCell ref="A19:B19"/>
    <mergeCell ref="A6:A8"/>
    <mergeCell ref="B6:B8"/>
    <mergeCell ref="I5:K5"/>
    <mergeCell ref="FO6:GB6"/>
    <mergeCell ref="FO7:FR7"/>
    <mergeCell ref="FS7:FW7"/>
    <mergeCell ref="FX7:GB7"/>
    <mergeCell ref="DY7:EB7"/>
    <mergeCell ref="DY6:EL6"/>
    <mergeCell ref="EC7:EG7"/>
    <mergeCell ref="EH7:EL7"/>
    <mergeCell ref="EM6:EZ6"/>
    <mergeCell ref="EM7:EP7"/>
    <mergeCell ref="EQ7:EU7"/>
    <mergeCell ref="EV7:EZ7"/>
    <mergeCell ref="FA6:FN6"/>
    <mergeCell ref="FA7:FD7"/>
    <mergeCell ref="FE7:FI7"/>
    <mergeCell ref="FJ7:FN7"/>
    <mergeCell ref="CR7:CV7"/>
    <mergeCell ref="CW6:DJ6"/>
    <mergeCell ref="CW7:CZ7"/>
    <mergeCell ref="DA7:DE7"/>
    <mergeCell ref="DF7:DJ7"/>
    <mergeCell ref="DK6:DX6"/>
    <mergeCell ref="DK7:DN7"/>
    <mergeCell ref="DO7:DS7"/>
    <mergeCell ref="BG6:BT6"/>
    <mergeCell ref="BG7:BJ7"/>
    <mergeCell ref="BK7:BO7"/>
    <mergeCell ref="BP7:BT7"/>
    <mergeCell ref="BU6:CH6"/>
    <mergeCell ref="BU7:BX7"/>
    <mergeCell ref="BY7:CC7"/>
    <mergeCell ref="CD7:CH7"/>
    <mergeCell ref="CI7:CL7"/>
    <mergeCell ref="CM7:CQ7"/>
    <mergeCell ref="CI6:CV6"/>
    <mergeCell ref="DT7:DX7"/>
    <mergeCell ref="AS6:BF6"/>
    <mergeCell ref="AS7:AV7"/>
    <mergeCell ref="AW7:BA7"/>
    <mergeCell ref="BB7:BF7"/>
    <mergeCell ref="AE6:AR6"/>
    <mergeCell ref="AI7:AM7"/>
    <mergeCell ref="AN7:AR7"/>
    <mergeCell ref="C6:P6"/>
    <mergeCell ref="L7:P7"/>
    <mergeCell ref="Q6:AD6"/>
    <mergeCell ref="U7:Y7"/>
    <mergeCell ref="Z7:AD7"/>
    <mergeCell ref="C7:F7"/>
    <mergeCell ref="G7:K7"/>
    <mergeCell ref="Q7:T7"/>
    <mergeCell ref="AE7:AH7"/>
    <mergeCell ref="G23:K23"/>
    <mergeCell ref="L23:P23"/>
    <mergeCell ref="L22:P22"/>
    <mergeCell ref="Z22:AD22"/>
    <mergeCell ref="U23:Y23"/>
    <mergeCell ref="Z23:AD23"/>
    <mergeCell ref="AN22:AR22"/>
    <mergeCell ref="AI23:AM23"/>
    <mergeCell ref="AN23:AR23"/>
    <mergeCell ref="BB22:BF22"/>
    <mergeCell ref="AW23:BA23"/>
    <mergeCell ref="BB23:BF23"/>
    <mergeCell ref="CR22:CV22"/>
    <mergeCell ref="CM23:CQ23"/>
    <mergeCell ref="CR23:CV23"/>
    <mergeCell ref="BP22:BT22"/>
    <mergeCell ref="BK23:BO23"/>
    <mergeCell ref="BP23:BT23"/>
    <mergeCell ref="CD22:CH22"/>
    <mergeCell ref="BY23:CC23"/>
    <mergeCell ref="CD23:CH23"/>
    <mergeCell ref="DF22:DJ22"/>
    <mergeCell ref="DA23:DE23"/>
    <mergeCell ref="DF23:DJ23"/>
    <mergeCell ref="DT22:DX22"/>
    <mergeCell ref="DO23:DS23"/>
    <mergeCell ref="DT23:DX23"/>
    <mergeCell ref="EH22:EL22"/>
    <mergeCell ref="EC23:EG23"/>
    <mergeCell ref="EH23:EL23"/>
    <mergeCell ref="EV22:EZ22"/>
    <mergeCell ref="EQ23:EU23"/>
    <mergeCell ref="EV23:EZ23"/>
    <mergeCell ref="FJ22:FN22"/>
    <mergeCell ref="FE23:FI23"/>
    <mergeCell ref="FJ23:FN23"/>
    <mergeCell ref="FX22:GB22"/>
    <mergeCell ref="FS23:FW23"/>
    <mergeCell ref="FX23:GB23"/>
  </mergeCells>
  <hyperlinks>
    <hyperlink ref="A6:A8" location="'List danh mục'!A1" display="STT"/>
  </hyperlinks>
  <printOptions horizontalCentered="1"/>
  <pageMargins left="0" right="0" top="0.39370078740157483" bottom="0" header="0" footer="0"/>
  <pageSetup paperSize="9" scale="60" orientation="landscape" r:id="rId1"/>
  <headerFooter>
    <oddHeader>&amp;R&amp;A</oddHeader>
    <oddFooter>&amp;C&amp;P/&amp;N</oddFooter>
  </headerFooter>
  <legacy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M15"/>
  <sheetViews>
    <sheetView topLeftCell="A4" workbookViewId="0">
      <selection activeCell="J98" sqref="J98"/>
    </sheetView>
  </sheetViews>
  <sheetFormatPr defaultColWidth="9" defaultRowHeight="18"/>
  <cols>
    <col min="1" max="1" width="5" style="37" bestFit="1" customWidth="1"/>
    <col min="2" max="2" width="42.8984375" style="37" customWidth="1"/>
    <col min="3" max="7" width="12.69921875" style="37" customWidth="1"/>
    <col min="8" max="8" width="11.09765625" style="37" bestFit="1" customWidth="1"/>
    <col min="9" max="16384" width="9" style="37"/>
  </cols>
  <sheetData>
    <row r="1" spans="1:13" s="2" customFormat="1" ht="17.399999999999999" hidden="1">
      <c r="A1" s="4299" t="s">
        <v>1343</v>
      </c>
      <c r="B1" s="4299"/>
      <c r="C1" s="38"/>
      <c r="D1" s="4299" t="s">
        <v>1344</v>
      </c>
      <c r="E1" s="4299"/>
      <c r="F1" s="4299"/>
    </row>
    <row r="2" spans="1:13" s="2" customFormat="1" ht="17.399999999999999" hidden="1">
      <c r="A2" s="4299" t="s">
        <v>790</v>
      </c>
      <c r="B2" s="4299"/>
      <c r="C2" s="38"/>
      <c r="D2" s="4299" t="s">
        <v>1345</v>
      </c>
      <c r="E2" s="4299"/>
      <c r="F2" s="4299"/>
    </row>
    <row r="3" spans="1:13" hidden="1">
      <c r="D3" s="2"/>
      <c r="E3" s="2"/>
      <c r="F3" s="2"/>
      <c r="G3" s="2"/>
      <c r="H3" s="2"/>
      <c r="I3" s="2"/>
      <c r="J3" s="2"/>
      <c r="K3" s="2"/>
      <c r="L3" s="2"/>
      <c r="M3" s="2"/>
    </row>
    <row r="5" spans="1:13">
      <c r="A5" s="4299" t="s">
        <v>2482</v>
      </c>
      <c r="B5" s="4299"/>
      <c r="C5" s="4299"/>
      <c r="D5" s="4299"/>
      <c r="E5" s="4299"/>
      <c r="F5" s="4299"/>
      <c r="G5" s="4299"/>
    </row>
    <row r="7" spans="1:13">
      <c r="F7" s="2"/>
    </row>
    <row r="8" spans="1:13" s="210" customFormat="1" ht="69.599999999999994">
      <c r="A8" s="2569" t="s">
        <v>244</v>
      </c>
      <c r="B8" s="2403" t="s">
        <v>326</v>
      </c>
      <c r="C8" s="2403" t="s">
        <v>1346</v>
      </c>
      <c r="D8" s="7" t="s">
        <v>449</v>
      </c>
      <c r="E8" s="7" t="s">
        <v>1699</v>
      </c>
      <c r="F8" s="7" t="s">
        <v>1700</v>
      </c>
      <c r="G8" s="2405" t="s">
        <v>2483</v>
      </c>
    </row>
    <row r="9" spans="1:13" s="2" customFormat="1">
      <c r="A9" s="2021">
        <v>1</v>
      </c>
      <c r="B9" s="2551" t="s">
        <v>1347</v>
      </c>
      <c r="C9" s="2552" t="s">
        <v>710</v>
      </c>
      <c r="D9" s="2553">
        <f>'Phụ lục số 1'!C48</f>
        <v>1600000</v>
      </c>
      <c r="E9" s="2553">
        <f>'Phụ lục số 1'!T48</f>
        <v>1950000</v>
      </c>
      <c r="F9" s="2553">
        <f>'Phụ lục số 1'!AE48</f>
        <v>1950000</v>
      </c>
      <c r="G9" s="2554">
        <f>100*F9/D9</f>
        <v>121.875</v>
      </c>
      <c r="H9" s="3"/>
    </row>
    <row r="10" spans="1:13" s="2" customFormat="1">
      <c r="A10" s="2347">
        <v>2</v>
      </c>
      <c r="B10" s="2348" t="s">
        <v>1348</v>
      </c>
      <c r="C10" s="2555" t="s">
        <v>710</v>
      </c>
      <c r="D10" s="2556">
        <f>D9</f>
        <v>1600000</v>
      </c>
      <c r="E10" s="2556">
        <f>E9</f>
        <v>1950000</v>
      </c>
      <c r="F10" s="2556">
        <f>F9</f>
        <v>1950000</v>
      </c>
      <c r="G10" s="2557">
        <f>100*F10/D10</f>
        <v>121.875</v>
      </c>
      <c r="H10" s="3"/>
    </row>
    <row r="11" spans="1:13">
      <c r="A11" s="1802"/>
      <c r="B11" s="2303" t="s">
        <v>513</v>
      </c>
      <c r="C11" s="2555"/>
      <c r="D11" s="2558"/>
      <c r="E11" s="2558"/>
      <c r="F11" s="2558"/>
      <c r="G11" s="2559"/>
      <c r="H11" s="1"/>
    </row>
    <row r="12" spans="1:13">
      <c r="A12" s="1802" t="s">
        <v>137</v>
      </c>
      <c r="B12" s="2303" t="s">
        <v>1349</v>
      </c>
      <c r="C12" s="2555" t="s">
        <v>710</v>
      </c>
      <c r="D12" s="2558">
        <v>480300</v>
      </c>
      <c r="E12" s="2560">
        <f>D12</f>
        <v>480300</v>
      </c>
      <c r="F12" s="2560">
        <f>ROUND(E12*G9/100,-3)</f>
        <v>585000</v>
      </c>
      <c r="G12" s="2559"/>
      <c r="H12" s="1"/>
    </row>
    <row r="13" spans="1:13">
      <c r="A13" s="1802" t="s">
        <v>514</v>
      </c>
      <c r="B13" s="2303" t="s">
        <v>1350</v>
      </c>
      <c r="C13" s="2555" t="s">
        <v>695</v>
      </c>
      <c r="D13" s="2561">
        <f>D12/D10*100</f>
        <v>30.018750000000001</v>
      </c>
      <c r="E13" s="2562">
        <f>E12/E10*100</f>
        <v>24.630769230769232</v>
      </c>
      <c r="F13" s="2562">
        <f>F12/F10*100</f>
        <v>30</v>
      </c>
      <c r="G13" s="2559"/>
      <c r="H13" s="2563"/>
    </row>
    <row r="14" spans="1:13">
      <c r="A14" s="1802" t="s">
        <v>137</v>
      </c>
      <c r="B14" s="2303" t="s">
        <v>1351</v>
      </c>
      <c r="C14" s="2555" t="s">
        <v>710</v>
      </c>
      <c r="D14" s="2558">
        <v>62400</v>
      </c>
      <c r="E14" s="2560">
        <f>D14</f>
        <v>62400</v>
      </c>
      <c r="F14" s="2560">
        <f>ROUND(D14*G9/100,-3)</f>
        <v>76000</v>
      </c>
      <c r="G14" s="2559"/>
      <c r="H14" s="1"/>
    </row>
    <row r="15" spans="1:13">
      <c r="A15" s="2564" t="s">
        <v>514</v>
      </c>
      <c r="B15" s="2545" t="s">
        <v>1352</v>
      </c>
      <c r="C15" s="2565" t="s">
        <v>695</v>
      </c>
      <c r="D15" s="2566">
        <f>D14/D10*100</f>
        <v>3.9</v>
      </c>
      <c r="E15" s="2567">
        <f>E14/E10*100</f>
        <v>3.2</v>
      </c>
      <c r="F15" s="2567">
        <f>F14/F10*100</f>
        <v>3.8974358974358978</v>
      </c>
      <c r="G15" s="2568"/>
      <c r="H15" s="1"/>
    </row>
  </sheetData>
  <mergeCells count="5">
    <mergeCell ref="A1:B1"/>
    <mergeCell ref="D1:F1"/>
    <mergeCell ref="A2:B2"/>
    <mergeCell ref="D2:F2"/>
    <mergeCell ref="A5:G5"/>
  </mergeCells>
  <hyperlinks>
    <hyperlink ref="A8" location="'List danh mục'!A1" display="STT"/>
  </hyperlinks>
  <printOptions horizontalCentered="1"/>
  <pageMargins left="0" right="0" top="0.39370078740157483" bottom="0" header="0" footer="0"/>
  <pageSetup paperSize="9" scale="80" orientation="portrait" verticalDpi="0" r:id="rId1"/>
  <headerFooter>
    <oddHeader>&amp;R&amp;A</oddHeader>
    <oddFooter>&amp;C&amp;P/&amp;N</oddFooter>
  </headerFooter>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3:AD62"/>
  <sheetViews>
    <sheetView topLeftCell="A25" zoomScale="60" zoomScaleNormal="60" workbookViewId="0">
      <selection activeCell="H46" sqref="H46"/>
    </sheetView>
  </sheetViews>
  <sheetFormatPr defaultRowHeight="15.6"/>
  <cols>
    <col min="1" max="1" width="6.5" customWidth="1"/>
    <col min="2" max="2" width="61.19921875" customWidth="1"/>
  </cols>
  <sheetData>
    <row r="3" spans="1:30" ht="16.2" thickBot="1"/>
    <row r="4" spans="1:30" ht="18" thickTop="1">
      <c r="A4" s="4477" t="s">
        <v>288</v>
      </c>
      <c r="B4" s="4610" t="s">
        <v>1</v>
      </c>
      <c r="C4" s="4610" t="s">
        <v>176</v>
      </c>
      <c r="D4" s="3817"/>
      <c r="E4" s="3817"/>
      <c r="F4" s="3817"/>
      <c r="G4" s="3817"/>
      <c r="H4" s="3818" t="s">
        <v>2791</v>
      </c>
      <c r="I4" s="3817"/>
      <c r="J4" s="3817"/>
      <c r="K4" s="3817"/>
      <c r="L4" s="3817"/>
      <c r="M4" s="3817"/>
      <c r="N4" s="3818" t="s">
        <v>2792</v>
      </c>
      <c r="O4" s="3817"/>
      <c r="P4" s="3817"/>
      <c r="Q4" s="3817"/>
      <c r="R4" s="3817"/>
      <c r="S4" s="3817"/>
      <c r="T4" s="3818" t="s">
        <v>2793</v>
      </c>
      <c r="U4" s="3817"/>
      <c r="V4" s="3817"/>
      <c r="W4" s="3817"/>
      <c r="X4" s="3817"/>
      <c r="Y4" s="3817"/>
      <c r="Z4" s="4725" t="s">
        <v>2794</v>
      </c>
      <c r="AA4" s="4725"/>
      <c r="AB4" s="4725"/>
      <c r="AC4" s="4725"/>
      <c r="AD4" s="4726"/>
    </row>
    <row r="5" spans="1:30" ht="17.399999999999999" customHeight="1">
      <c r="A5" s="4478"/>
      <c r="B5" s="4418"/>
      <c r="C5" s="4418"/>
      <c r="D5" s="4418" t="s">
        <v>2</v>
      </c>
      <c r="E5" s="3797" t="s">
        <v>3</v>
      </c>
      <c r="F5" s="3797"/>
      <c r="G5" s="3797"/>
      <c r="H5" s="4418" t="s">
        <v>66</v>
      </c>
      <c r="I5" s="4418" t="s">
        <v>2795</v>
      </c>
      <c r="J5" s="4418" t="s">
        <v>2</v>
      </c>
      <c r="K5" s="3797" t="s">
        <v>3</v>
      </c>
      <c r="L5" s="3797"/>
      <c r="M5" s="3797"/>
      <c r="N5" s="4418" t="s">
        <v>66</v>
      </c>
      <c r="O5" s="4418" t="s">
        <v>2795</v>
      </c>
      <c r="P5" s="4418" t="s">
        <v>2</v>
      </c>
      <c r="Q5" s="3797" t="s">
        <v>3</v>
      </c>
      <c r="R5" s="3797"/>
      <c r="S5" s="3797"/>
      <c r="T5" s="4418" t="s">
        <v>66</v>
      </c>
      <c r="U5" s="4418" t="s">
        <v>2795</v>
      </c>
      <c r="V5" s="4418" t="s">
        <v>2</v>
      </c>
      <c r="W5" s="3797" t="s">
        <v>3</v>
      </c>
      <c r="X5" s="3797"/>
      <c r="Y5" s="3797"/>
      <c r="Z5" s="4418" t="s">
        <v>66</v>
      </c>
      <c r="AA5" s="4418" t="s">
        <v>2</v>
      </c>
      <c r="AB5" s="3797" t="s">
        <v>3</v>
      </c>
      <c r="AC5" s="3797"/>
      <c r="AD5" s="3819"/>
    </row>
    <row r="6" spans="1:30" ht="52.2">
      <c r="A6" s="4478"/>
      <c r="B6" s="4418"/>
      <c r="C6" s="4418"/>
      <c r="D6" s="4400"/>
      <c r="E6" s="6" t="s">
        <v>4</v>
      </c>
      <c r="F6" s="6" t="s">
        <v>5</v>
      </c>
      <c r="G6" s="6" t="s">
        <v>69</v>
      </c>
      <c r="H6" s="4400"/>
      <c r="I6" s="4400"/>
      <c r="J6" s="4400"/>
      <c r="K6" s="6" t="s">
        <v>4</v>
      </c>
      <c r="L6" s="6" t="s">
        <v>5</v>
      </c>
      <c r="M6" s="6" t="s">
        <v>69</v>
      </c>
      <c r="N6" s="4400"/>
      <c r="O6" s="4400"/>
      <c r="P6" s="4400"/>
      <c r="Q6" s="6" t="s">
        <v>4</v>
      </c>
      <c r="R6" s="6" t="s">
        <v>5</v>
      </c>
      <c r="S6" s="6" t="s">
        <v>69</v>
      </c>
      <c r="T6" s="4400"/>
      <c r="U6" s="4400"/>
      <c r="V6" s="4400"/>
      <c r="W6" s="6" t="s">
        <v>4</v>
      </c>
      <c r="X6" s="6" t="s">
        <v>5</v>
      </c>
      <c r="Y6" s="6" t="s">
        <v>69</v>
      </c>
      <c r="Z6" s="4400"/>
      <c r="AA6" s="4400"/>
      <c r="AB6" s="6" t="s">
        <v>4</v>
      </c>
      <c r="AC6" s="6" t="s">
        <v>5</v>
      </c>
      <c r="AD6" s="3820" t="s">
        <v>69</v>
      </c>
    </row>
    <row r="7" spans="1:30" ht="18">
      <c r="A7" s="3821">
        <v>1</v>
      </c>
      <c r="B7" s="3798">
        <v>2</v>
      </c>
      <c r="C7" s="3799"/>
      <c r="D7" s="3799"/>
      <c r="E7" s="3799"/>
      <c r="F7" s="3799"/>
      <c r="G7" s="3799"/>
      <c r="H7" s="3798" t="s">
        <v>81</v>
      </c>
      <c r="I7" s="3798" t="s">
        <v>77</v>
      </c>
      <c r="J7" s="3798">
        <v>6</v>
      </c>
      <c r="K7" s="3798" t="s">
        <v>78</v>
      </c>
      <c r="L7" s="3798">
        <v>8</v>
      </c>
      <c r="M7" s="3798">
        <v>9</v>
      </c>
      <c r="N7" s="3798" t="s">
        <v>79</v>
      </c>
      <c r="O7" s="3798" t="s">
        <v>82</v>
      </c>
      <c r="P7" s="3798">
        <v>12</v>
      </c>
      <c r="Q7" s="3798" t="s">
        <v>80</v>
      </c>
      <c r="R7" s="3798">
        <v>14</v>
      </c>
      <c r="S7" s="3798">
        <v>15</v>
      </c>
      <c r="T7" s="3798"/>
      <c r="U7" s="3798"/>
      <c r="V7" s="3798"/>
      <c r="W7" s="3798"/>
      <c r="X7" s="3798"/>
      <c r="Y7" s="3798"/>
      <c r="Z7" s="3798"/>
      <c r="AA7" s="3798"/>
      <c r="AB7" s="3798"/>
      <c r="AC7" s="3798"/>
      <c r="AD7" s="3822"/>
    </row>
    <row r="8" spans="1:30" ht="17.399999999999999">
      <c r="A8" s="3823" t="s">
        <v>7</v>
      </c>
      <c r="B8" s="3800" t="s">
        <v>8</v>
      </c>
      <c r="C8" s="3799"/>
      <c r="D8" s="3799"/>
      <c r="E8" s="3799"/>
      <c r="F8" s="3799"/>
      <c r="G8" s="3799"/>
      <c r="H8" s="3801">
        <f t="shared" ref="H8" si="0">SUM(H9,H49)</f>
        <v>4087741.4</v>
      </c>
      <c r="I8" s="3802" t="e">
        <f>H8/C8*100</f>
        <v>#DIV/0!</v>
      </c>
      <c r="J8" s="3801">
        <f>SUM(J9,J49)</f>
        <v>459000</v>
      </c>
      <c r="K8" s="3801">
        <f>SUM(K9,K49)</f>
        <v>3628741.4</v>
      </c>
      <c r="L8" s="3801">
        <f>SUM(L9,L49)</f>
        <v>2038711.4</v>
      </c>
      <c r="M8" s="3801">
        <f>SUM(M9,M49)</f>
        <v>1590030</v>
      </c>
      <c r="N8" s="3801">
        <f>SUM(N9,N49)</f>
        <v>2548482.4</v>
      </c>
      <c r="O8" s="3802" t="e">
        <f>N8/C8*100</f>
        <v>#DIV/0!</v>
      </c>
      <c r="P8" s="3801">
        <f>SUM(P9,P49)</f>
        <v>262000</v>
      </c>
      <c r="Q8" s="3801">
        <f>SUM(Q9,Q49)</f>
        <v>2286482.4</v>
      </c>
      <c r="R8" s="3801">
        <f>SUM(R9,R49)</f>
        <v>1210185.3999999999</v>
      </c>
      <c r="S8" s="3801">
        <f>SUM(S9,S49)</f>
        <v>1076297</v>
      </c>
      <c r="T8" s="3801">
        <f>N8+H8</f>
        <v>6636223.7999999998</v>
      </c>
      <c r="U8" s="3801" t="e">
        <f>T8/C8*100</f>
        <v>#DIV/0!</v>
      </c>
      <c r="V8" s="3801">
        <f t="shared" ref="V8:Y8" si="1">P8+J8</f>
        <v>721000</v>
      </c>
      <c r="W8" s="3801">
        <f t="shared" si="1"/>
        <v>5915223.7999999998</v>
      </c>
      <c r="X8" s="3801">
        <f t="shared" si="1"/>
        <v>3248896.8</v>
      </c>
      <c r="Y8" s="3801">
        <f t="shared" si="1"/>
        <v>2666327</v>
      </c>
      <c r="Z8" s="3801">
        <f>T8-C8</f>
        <v>6636223.7999999998</v>
      </c>
      <c r="AA8" s="3801">
        <f>V8-D8</f>
        <v>721000</v>
      </c>
      <c r="AB8" s="3801">
        <f>W8-E8</f>
        <v>5915223.7999999998</v>
      </c>
      <c r="AC8" s="3801">
        <f t="shared" ref="AC8:AD8" si="2">X8-F8</f>
        <v>3248896.8</v>
      </c>
      <c r="AD8" s="3824">
        <f t="shared" si="2"/>
        <v>2666327</v>
      </c>
    </row>
    <row r="9" spans="1:30" ht="17.399999999999999">
      <c r="A9" s="3823" t="s">
        <v>9</v>
      </c>
      <c r="B9" s="3800" t="s">
        <v>10</v>
      </c>
      <c r="C9" s="3799"/>
      <c r="D9" s="3799"/>
      <c r="E9" s="3799"/>
      <c r="F9" s="3799"/>
      <c r="G9" s="3799"/>
      <c r="H9" s="3801">
        <f t="shared" ref="H9" si="3">SUM(H11,H17,H23,H28,H34,H35,H36,H37,H38,H39,H40,H41,H42,H43,H44,H45,H47,H48)</f>
        <v>4027741.4</v>
      </c>
      <c r="I9" s="3802" t="e">
        <f>H9/C9*100</f>
        <v>#DIV/0!</v>
      </c>
      <c r="J9" s="3801">
        <f t="shared" ref="J9:N9" si="4">SUM(J11,J17,J23,J28,J34,J35,J36,J37,J38,J39,J40,J41,J42,J43,J44,J45,J47,J48)</f>
        <v>399000</v>
      </c>
      <c r="K9" s="3801">
        <f t="shared" si="4"/>
        <v>3628741.4</v>
      </c>
      <c r="L9" s="3801">
        <f t="shared" si="4"/>
        <v>2038711.4</v>
      </c>
      <c r="M9" s="3801">
        <f t="shared" si="4"/>
        <v>1590030</v>
      </c>
      <c r="N9" s="3801">
        <f t="shared" si="4"/>
        <v>2543482.4</v>
      </c>
      <c r="O9" s="3802" t="e">
        <f>N9/C9*100</f>
        <v>#DIV/0!</v>
      </c>
      <c r="P9" s="3801">
        <f t="shared" ref="P9:T9" si="5">SUM(P11,P17,P23,P28,P34,P35,P36,P37,P38,P39,P40,P41,P42,P43,P44,P45,P47,P48)</f>
        <v>257000</v>
      </c>
      <c r="Q9" s="3801">
        <f t="shared" si="5"/>
        <v>2286482.4</v>
      </c>
      <c r="R9" s="3801">
        <f t="shared" si="5"/>
        <v>1210185.3999999999</v>
      </c>
      <c r="S9" s="3801">
        <f t="shared" si="5"/>
        <v>1076297</v>
      </c>
      <c r="T9" s="3801">
        <f t="shared" si="5"/>
        <v>6571223.7999999998</v>
      </c>
      <c r="U9" s="3801" t="e">
        <f t="shared" ref="U9:U60" si="6">T9/C9*100</f>
        <v>#DIV/0!</v>
      </c>
      <c r="V9" s="3801">
        <f t="shared" ref="V9:AD9" si="7">SUM(V11,V17,V23,V28,V34,V35,V36,V37,V38,V39,V40,V41,V42,V43,V44,V45,V47,V48)</f>
        <v>656000</v>
      </c>
      <c r="W9" s="3801">
        <f t="shared" si="7"/>
        <v>5915223.7999999998</v>
      </c>
      <c r="X9" s="3801">
        <f t="shared" si="7"/>
        <v>3248896.8</v>
      </c>
      <c r="Y9" s="3801">
        <f t="shared" si="7"/>
        <v>2666327</v>
      </c>
      <c r="Z9" s="3801">
        <f t="shared" si="7"/>
        <v>6571223.7999999998</v>
      </c>
      <c r="AA9" s="3801">
        <f t="shared" si="7"/>
        <v>656000</v>
      </c>
      <c r="AB9" s="3801">
        <f t="shared" si="7"/>
        <v>5915223.7999999998</v>
      </c>
      <c r="AC9" s="3801">
        <f t="shared" si="7"/>
        <v>3248896.8</v>
      </c>
      <c r="AD9" s="3824">
        <f t="shared" si="7"/>
        <v>2666327</v>
      </c>
    </row>
    <row r="10" spans="1:30" ht="18">
      <c r="A10" s="3825"/>
      <c r="B10" s="3803" t="s">
        <v>2761</v>
      </c>
      <c r="C10" s="3799"/>
      <c r="D10" s="3799"/>
      <c r="E10" s="3799"/>
      <c r="F10" s="3799"/>
      <c r="G10" s="3799"/>
      <c r="H10" s="3804">
        <f t="shared" ref="H10" si="8">H9-H40-H48</f>
        <v>2667515.4</v>
      </c>
      <c r="I10" s="3805" t="e">
        <f>H10/C10*100</f>
        <v>#DIV/0!</v>
      </c>
      <c r="J10" s="3804">
        <f>J9-J40-J48</f>
        <v>399000</v>
      </c>
      <c r="K10" s="3804">
        <f>K9-K40-K48</f>
        <v>2268515.4</v>
      </c>
      <c r="L10" s="3804">
        <f>L9-L40-L48</f>
        <v>1227196.3999999999</v>
      </c>
      <c r="M10" s="3804">
        <f>M9-M40-M48</f>
        <v>1041319</v>
      </c>
      <c r="N10" s="3804">
        <f>N9-N40-N48</f>
        <v>1452708.4</v>
      </c>
      <c r="O10" s="3805" t="e">
        <f>N10/C10*100</f>
        <v>#DIV/0!</v>
      </c>
      <c r="P10" s="3804">
        <f>P9-P40-P48</f>
        <v>257000</v>
      </c>
      <c r="Q10" s="3804">
        <f>Q9-Q40-Q48</f>
        <v>1195708.3999999999</v>
      </c>
      <c r="R10" s="3804">
        <f>R9-R40-R48</f>
        <v>521700.39999999991</v>
      </c>
      <c r="S10" s="3804">
        <f t="shared" ref="S10" si="9">S9-S40-S48</f>
        <v>674008</v>
      </c>
      <c r="T10" s="3804">
        <f>N10+H10</f>
        <v>4120223.8</v>
      </c>
      <c r="U10" s="3804" t="e">
        <f t="shared" si="6"/>
        <v>#DIV/0!</v>
      </c>
      <c r="V10" s="3804">
        <f t="shared" ref="V10:Y60" si="10">P10+J10</f>
        <v>656000</v>
      </c>
      <c r="W10" s="3804">
        <f t="shared" si="10"/>
        <v>3464223.8</v>
      </c>
      <c r="X10" s="3804">
        <f t="shared" si="10"/>
        <v>1748896.7999999998</v>
      </c>
      <c r="Y10" s="3804">
        <f t="shared" si="10"/>
        <v>1715327</v>
      </c>
      <c r="Z10" s="3804">
        <f t="shared" ref="Z10:Z60" si="11">T10-C10</f>
        <v>4120223.8</v>
      </c>
      <c r="AA10" s="3804">
        <f t="shared" ref="AA10:AD60" si="12">V10-D10</f>
        <v>656000</v>
      </c>
      <c r="AB10" s="3804">
        <f t="shared" si="12"/>
        <v>3464223.8</v>
      </c>
      <c r="AC10" s="3804">
        <f t="shared" si="12"/>
        <v>1748896.7999999998</v>
      </c>
      <c r="AD10" s="3826">
        <f t="shared" si="12"/>
        <v>1715327</v>
      </c>
    </row>
    <row r="11" spans="1:30" ht="17.399999999999999">
      <c r="A11" s="3827">
        <v>1</v>
      </c>
      <c r="B11" s="3806" t="s">
        <v>103</v>
      </c>
      <c r="C11" s="3799"/>
      <c r="D11" s="3799"/>
      <c r="E11" s="3799"/>
      <c r="F11" s="3799"/>
      <c r="G11" s="3799"/>
      <c r="H11" s="3807">
        <f>SUM(H12:H16)</f>
        <v>133583</v>
      </c>
      <c r="I11" s="3807" t="e">
        <f>H11/C11*100</f>
        <v>#DIV/0!</v>
      </c>
      <c r="J11" s="3807">
        <f>SUM(J12:J16)</f>
        <v>0</v>
      </c>
      <c r="K11" s="3807">
        <f>SUM(K12:K16)</f>
        <v>133583</v>
      </c>
      <c r="L11" s="3807">
        <f>SUM(L12:L16)</f>
        <v>133583</v>
      </c>
      <c r="M11" s="3807">
        <f>SUM(M12:M16)</f>
        <v>0</v>
      </c>
      <c r="N11" s="3807">
        <f>SUM(N12:N16)</f>
        <v>112418</v>
      </c>
      <c r="O11" s="3807" t="e">
        <f>N11/C11*100</f>
        <v>#DIV/0!</v>
      </c>
      <c r="P11" s="3807">
        <f>SUM(P12:P16)</f>
        <v>0</v>
      </c>
      <c r="Q11" s="3807">
        <f>SUM(Q12:Q16)</f>
        <v>112418</v>
      </c>
      <c r="R11" s="3807">
        <f>SUM(R12:R16)</f>
        <v>112418</v>
      </c>
      <c r="S11" s="3807">
        <f>SUM(S12:S16)</f>
        <v>0</v>
      </c>
      <c r="T11" s="3807">
        <f t="shared" ref="T11:T60" si="13">N11+H11</f>
        <v>246001</v>
      </c>
      <c r="U11" s="3807" t="e">
        <f t="shared" si="6"/>
        <v>#DIV/0!</v>
      </c>
      <c r="V11" s="3807">
        <f t="shared" si="10"/>
        <v>0</v>
      </c>
      <c r="W11" s="3807">
        <f t="shared" si="10"/>
        <v>246001</v>
      </c>
      <c r="X11" s="3807">
        <f t="shared" si="10"/>
        <v>246001</v>
      </c>
      <c r="Y11" s="3807">
        <f t="shared" si="10"/>
        <v>0</v>
      </c>
      <c r="Z11" s="3807">
        <f t="shared" si="11"/>
        <v>246001</v>
      </c>
      <c r="AA11" s="3807">
        <f t="shared" si="12"/>
        <v>0</v>
      </c>
      <c r="AB11" s="3807">
        <f t="shared" si="12"/>
        <v>246001</v>
      </c>
      <c r="AC11" s="3807">
        <f t="shared" si="12"/>
        <v>246001</v>
      </c>
      <c r="AD11" s="3828">
        <f t="shared" si="12"/>
        <v>0</v>
      </c>
    </row>
    <row r="12" spans="1:30" ht="18">
      <c r="A12" s="3827"/>
      <c r="B12" s="3808" t="s">
        <v>11</v>
      </c>
      <c r="C12" s="3799"/>
      <c r="D12" s="3799"/>
      <c r="E12" s="3799"/>
      <c r="F12" s="3799"/>
      <c r="G12" s="3799"/>
      <c r="H12" s="3809">
        <v>107151</v>
      </c>
      <c r="I12" s="3810"/>
      <c r="J12" s="3810">
        <f>0</f>
        <v>0</v>
      </c>
      <c r="K12" s="3810">
        <f t="shared" ref="K12:K16" si="14">H12-J12</f>
        <v>107151</v>
      </c>
      <c r="L12" s="3810">
        <f t="shared" ref="L12:L16" si="15">K12-M12</f>
        <v>107151</v>
      </c>
      <c r="M12" s="3810">
        <v>0</v>
      </c>
      <c r="N12" s="3809">
        <v>82418</v>
      </c>
      <c r="O12" s="3810"/>
      <c r="P12" s="3810">
        <f>0</f>
        <v>0</v>
      </c>
      <c r="Q12" s="3810">
        <f t="shared" ref="Q12:Q16" si="16">N12-P12</f>
        <v>82418</v>
      </c>
      <c r="R12" s="3810">
        <f t="shared" ref="R12:R16" si="17">Q12-S12</f>
        <v>82418</v>
      </c>
      <c r="S12" s="3810">
        <v>0</v>
      </c>
      <c r="T12" s="3810">
        <f t="shared" si="13"/>
        <v>189569</v>
      </c>
      <c r="U12" s="3810" t="e">
        <f t="shared" si="6"/>
        <v>#DIV/0!</v>
      </c>
      <c r="V12" s="3810">
        <f t="shared" si="10"/>
        <v>0</v>
      </c>
      <c r="W12" s="3810">
        <f t="shared" si="10"/>
        <v>189569</v>
      </c>
      <c r="X12" s="3810">
        <f t="shared" si="10"/>
        <v>189569</v>
      </c>
      <c r="Y12" s="3810">
        <f t="shared" si="10"/>
        <v>0</v>
      </c>
      <c r="Z12" s="3810">
        <f t="shared" si="11"/>
        <v>189569</v>
      </c>
      <c r="AA12" s="3810">
        <f t="shared" si="12"/>
        <v>0</v>
      </c>
      <c r="AB12" s="3810">
        <f t="shared" si="12"/>
        <v>189569</v>
      </c>
      <c r="AC12" s="3810">
        <f t="shared" si="12"/>
        <v>189569</v>
      </c>
      <c r="AD12" s="3829">
        <f t="shared" si="12"/>
        <v>0</v>
      </c>
    </row>
    <row r="13" spans="1:30" ht="18">
      <c r="A13" s="3827"/>
      <c r="B13" s="3808" t="s">
        <v>12</v>
      </c>
      <c r="C13" s="3799"/>
      <c r="D13" s="3799"/>
      <c r="E13" s="3799"/>
      <c r="F13" s="3799"/>
      <c r="G13" s="3799"/>
      <c r="H13" s="3809">
        <v>6197</v>
      </c>
      <c r="I13" s="3810"/>
      <c r="J13" s="3810">
        <f>0</f>
        <v>0</v>
      </c>
      <c r="K13" s="3810">
        <f t="shared" si="14"/>
        <v>6197</v>
      </c>
      <c r="L13" s="3810">
        <f t="shared" si="15"/>
        <v>6197</v>
      </c>
      <c r="M13" s="3810">
        <v>0</v>
      </c>
      <c r="N13" s="3809">
        <v>8000</v>
      </c>
      <c r="O13" s="3810"/>
      <c r="P13" s="3810">
        <f>0</f>
        <v>0</v>
      </c>
      <c r="Q13" s="3810">
        <f t="shared" si="16"/>
        <v>8000</v>
      </c>
      <c r="R13" s="3810">
        <f t="shared" si="17"/>
        <v>8000</v>
      </c>
      <c r="S13" s="3810">
        <v>0</v>
      </c>
      <c r="T13" s="3810">
        <f t="shared" si="13"/>
        <v>14197</v>
      </c>
      <c r="U13" s="3810" t="e">
        <f t="shared" si="6"/>
        <v>#DIV/0!</v>
      </c>
      <c r="V13" s="3810">
        <f t="shared" si="10"/>
        <v>0</v>
      </c>
      <c r="W13" s="3810">
        <f t="shared" si="10"/>
        <v>14197</v>
      </c>
      <c r="X13" s="3810">
        <f t="shared" si="10"/>
        <v>14197</v>
      </c>
      <c r="Y13" s="3810">
        <f t="shared" si="10"/>
        <v>0</v>
      </c>
      <c r="Z13" s="3810">
        <f t="shared" si="11"/>
        <v>14197</v>
      </c>
      <c r="AA13" s="3810">
        <f t="shared" si="12"/>
        <v>0</v>
      </c>
      <c r="AB13" s="3810">
        <f t="shared" si="12"/>
        <v>14197</v>
      </c>
      <c r="AC13" s="3810">
        <f>X13-F13</f>
        <v>14197</v>
      </c>
      <c r="AD13" s="3829">
        <f t="shared" si="12"/>
        <v>0</v>
      </c>
    </row>
    <row r="14" spans="1:30" ht="18">
      <c r="A14" s="3827"/>
      <c r="B14" s="3808" t="s">
        <v>13</v>
      </c>
      <c r="C14" s="3799"/>
      <c r="D14" s="3799"/>
      <c r="E14" s="3799"/>
      <c r="F14" s="3799"/>
      <c r="G14" s="3799"/>
      <c r="H14" s="3809">
        <v>20231</v>
      </c>
      <c r="I14" s="3810"/>
      <c r="J14" s="3810">
        <f>0</f>
        <v>0</v>
      </c>
      <c r="K14" s="3810">
        <f t="shared" si="14"/>
        <v>20231</v>
      </c>
      <c r="L14" s="3810">
        <f t="shared" si="15"/>
        <v>20231</v>
      </c>
      <c r="M14" s="3810">
        <v>0</v>
      </c>
      <c r="N14" s="3809">
        <v>22000</v>
      </c>
      <c r="O14" s="3810"/>
      <c r="P14" s="3810">
        <f>0</f>
        <v>0</v>
      </c>
      <c r="Q14" s="3810">
        <f t="shared" si="16"/>
        <v>22000</v>
      </c>
      <c r="R14" s="3810">
        <f t="shared" si="17"/>
        <v>22000</v>
      </c>
      <c r="S14" s="3810">
        <v>0</v>
      </c>
      <c r="T14" s="3810">
        <f t="shared" si="13"/>
        <v>42231</v>
      </c>
      <c r="U14" s="3810" t="e">
        <f t="shared" si="6"/>
        <v>#DIV/0!</v>
      </c>
      <c r="V14" s="3810">
        <f t="shared" si="10"/>
        <v>0</v>
      </c>
      <c r="W14" s="3810">
        <f t="shared" si="10"/>
        <v>42231</v>
      </c>
      <c r="X14" s="3810">
        <f t="shared" si="10"/>
        <v>42231</v>
      </c>
      <c r="Y14" s="3810">
        <f t="shared" si="10"/>
        <v>0</v>
      </c>
      <c r="Z14" s="3810">
        <f t="shared" si="11"/>
        <v>42231</v>
      </c>
      <c r="AA14" s="3810">
        <f t="shared" si="12"/>
        <v>0</v>
      </c>
      <c r="AB14" s="3810">
        <f t="shared" si="12"/>
        <v>42231</v>
      </c>
      <c r="AC14" s="3810">
        <f t="shared" si="12"/>
        <v>42231</v>
      </c>
      <c r="AD14" s="3829">
        <f t="shared" si="12"/>
        <v>0</v>
      </c>
    </row>
    <row r="15" spans="1:30" ht="18">
      <c r="A15" s="3827"/>
      <c r="B15" s="3808" t="s">
        <v>14</v>
      </c>
      <c r="C15" s="3799"/>
      <c r="D15" s="3799"/>
      <c r="E15" s="3799"/>
      <c r="F15" s="3799"/>
      <c r="G15" s="3799"/>
      <c r="H15" s="3809">
        <v>4</v>
      </c>
      <c r="I15" s="3810"/>
      <c r="J15" s="3810">
        <f>0</f>
        <v>0</v>
      </c>
      <c r="K15" s="3810">
        <f t="shared" si="14"/>
        <v>4</v>
      </c>
      <c r="L15" s="3810">
        <f t="shared" si="15"/>
        <v>4</v>
      </c>
      <c r="M15" s="3810">
        <v>0</v>
      </c>
      <c r="N15" s="3809">
        <v>0</v>
      </c>
      <c r="O15" s="3810"/>
      <c r="P15" s="3810">
        <f>0</f>
        <v>0</v>
      </c>
      <c r="Q15" s="3810">
        <f t="shared" si="16"/>
        <v>0</v>
      </c>
      <c r="R15" s="3810">
        <f t="shared" si="17"/>
        <v>0</v>
      </c>
      <c r="S15" s="3810">
        <v>0</v>
      </c>
      <c r="T15" s="3810">
        <f t="shared" si="13"/>
        <v>4</v>
      </c>
      <c r="U15" s="3810"/>
      <c r="V15" s="3810">
        <f t="shared" si="10"/>
        <v>0</v>
      </c>
      <c r="W15" s="3810">
        <f t="shared" si="10"/>
        <v>4</v>
      </c>
      <c r="X15" s="3810">
        <f t="shared" si="10"/>
        <v>4</v>
      </c>
      <c r="Y15" s="3810">
        <f t="shared" si="10"/>
        <v>0</v>
      </c>
      <c r="Z15" s="3810">
        <f t="shared" si="11"/>
        <v>4</v>
      </c>
      <c r="AA15" s="3810">
        <f t="shared" si="12"/>
        <v>0</v>
      </c>
      <c r="AB15" s="3810">
        <f t="shared" si="12"/>
        <v>4</v>
      </c>
      <c r="AC15" s="3810">
        <f t="shared" si="12"/>
        <v>4</v>
      </c>
      <c r="AD15" s="3829">
        <f t="shared" si="12"/>
        <v>0</v>
      </c>
    </row>
    <row r="16" spans="1:30" ht="18">
      <c r="A16" s="3827"/>
      <c r="B16" s="3808" t="s">
        <v>67</v>
      </c>
      <c r="C16" s="3799"/>
      <c r="D16" s="3799"/>
      <c r="E16" s="3799"/>
      <c r="F16" s="3799"/>
      <c r="G16" s="3799"/>
      <c r="H16" s="3809"/>
      <c r="I16" s="3810"/>
      <c r="J16" s="3810">
        <f>H16</f>
        <v>0</v>
      </c>
      <c r="K16" s="3810">
        <f t="shared" si="14"/>
        <v>0</v>
      </c>
      <c r="L16" s="3810">
        <f t="shared" si="15"/>
        <v>0</v>
      </c>
      <c r="M16" s="3810">
        <v>0</v>
      </c>
      <c r="N16" s="3809"/>
      <c r="O16" s="3810"/>
      <c r="P16" s="3810">
        <f>N16</f>
        <v>0</v>
      </c>
      <c r="Q16" s="3810">
        <f t="shared" si="16"/>
        <v>0</v>
      </c>
      <c r="R16" s="3810">
        <f t="shared" si="17"/>
        <v>0</v>
      </c>
      <c r="S16" s="3810">
        <v>0</v>
      </c>
      <c r="T16" s="3810">
        <f t="shared" si="13"/>
        <v>0</v>
      </c>
      <c r="U16" s="3810"/>
      <c r="V16" s="3810">
        <f t="shared" si="10"/>
        <v>0</v>
      </c>
      <c r="W16" s="3810">
        <f t="shared" si="10"/>
        <v>0</v>
      </c>
      <c r="X16" s="3810">
        <f t="shared" si="10"/>
        <v>0</v>
      </c>
      <c r="Y16" s="3810">
        <f t="shared" si="10"/>
        <v>0</v>
      </c>
      <c r="Z16" s="3810">
        <f t="shared" si="11"/>
        <v>0</v>
      </c>
      <c r="AA16" s="3810">
        <f t="shared" si="12"/>
        <v>0</v>
      </c>
      <c r="AB16" s="3810">
        <f t="shared" si="12"/>
        <v>0</v>
      </c>
      <c r="AC16" s="3810">
        <f t="shared" si="12"/>
        <v>0</v>
      </c>
      <c r="AD16" s="3829">
        <f t="shared" si="12"/>
        <v>0</v>
      </c>
    </row>
    <row r="17" spans="1:30" ht="17.399999999999999">
      <c r="A17" s="3827">
        <v>2</v>
      </c>
      <c r="B17" s="3806" t="s">
        <v>104</v>
      </c>
      <c r="C17" s="3799"/>
      <c r="D17" s="3799"/>
      <c r="E17" s="3799"/>
      <c r="F17" s="3799"/>
      <c r="G17" s="3799"/>
      <c r="H17" s="3807">
        <f>SUM(H18:H22)</f>
        <v>245568</v>
      </c>
      <c r="I17" s="3807" t="e">
        <f>H17/C17*100</f>
        <v>#DIV/0!</v>
      </c>
      <c r="J17" s="3807">
        <v>0</v>
      </c>
      <c r="K17" s="3807">
        <f>L17</f>
        <v>245568</v>
      </c>
      <c r="L17" s="3807">
        <f>H17</f>
        <v>245568</v>
      </c>
      <c r="M17" s="3807">
        <v>0</v>
      </c>
      <c r="N17" s="3807">
        <f>SUM(N18:N22)</f>
        <v>42432</v>
      </c>
      <c r="O17" s="3807" t="e">
        <f>N17/C17*100</f>
        <v>#DIV/0!</v>
      </c>
      <c r="P17" s="3807">
        <v>0</v>
      </c>
      <c r="Q17" s="3807">
        <f>N17</f>
        <v>42432</v>
      </c>
      <c r="R17" s="3807">
        <f>Q17</f>
        <v>42432</v>
      </c>
      <c r="S17" s="3807">
        <v>0</v>
      </c>
      <c r="T17" s="3807">
        <f t="shared" si="13"/>
        <v>288000</v>
      </c>
      <c r="U17" s="3807" t="e">
        <f t="shared" si="6"/>
        <v>#DIV/0!</v>
      </c>
      <c r="V17" s="3807">
        <f t="shared" si="10"/>
        <v>0</v>
      </c>
      <c r="W17" s="3807">
        <f t="shared" si="10"/>
        <v>288000</v>
      </c>
      <c r="X17" s="3807">
        <f t="shared" si="10"/>
        <v>288000</v>
      </c>
      <c r="Y17" s="3807">
        <f t="shared" si="10"/>
        <v>0</v>
      </c>
      <c r="Z17" s="3807">
        <f t="shared" si="11"/>
        <v>288000</v>
      </c>
      <c r="AA17" s="3807">
        <f t="shared" si="12"/>
        <v>0</v>
      </c>
      <c r="AB17" s="3807">
        <f t="shared" si="12"/>
        <v>288000</v>
      </c>
      <c r="AC17" s="3807">
        <f t="shared" si="12"/>
        <v>288000</v>
      </c>
      <c r="AD17" s="3828">
        <f t="shared" si="12"/>
        <v>0</v>
      </c>
    </row>
    <row r="18" spans="1:30" ht="18">
      <c r="A18" s="3827"/>
      <c r="B18" s="3808" t="s">
        <v>11</v>
      </c>
      <c r="C18" s="3799"/>
      <c r="D18" s="3799"/>
      <c r="E18" s="3799"/>
      <c r="F18" s="3799"/>
      <c r="G18" s="3799"/>
      <c r="H18" s="3809">
        <v>140464</v>
      </c>
      <c r="I18" s="3810"/>
      <c r="J18" s="3810">
        <f>0</f>
        <v>0</v>
      </c>
      <c r="K18" s="3810">
        <f t="shared" ref="K18:K22" si="18">H18-J18</f>
        <v>140464</v>
      </c>
      <c r="L18" s="3810">
        <f t="shared" ref="L18:L22" si="19">K18-M18</f>
        <v>140464</v>
      </c>
      <c r="M18" s="3810">
        <v>0</v>
      </c>
      <c r="N18" s="3809">
        <v>10000</v>
      </c>
      <c r="O18" s="3810"/>
      <c r="P18" s="3810">
        <f>0</f>
        <v>0</v>
      </c>
      <c r="Q18" s="3810">
        <f t="shared" ref="Q18:Q22" si="20">N18-P18</f>
        <v>10000</v>
      </c>
      <c r="R18" s="3810">
        <f t="shared" ref="R18:R22" si="21">Q18-S18</f>
        <v>10000</v>
      </c>
      <c r="S18" s="3810">
        <v>0</v>
      </c>
      <c r="T18" s="3810">
        <f t="shared" si="13"/>
        <v>150464</v>
      </c>
      <c r="U18" s="3810" t="e">
        <f t="shared" si="6"/>
        <v>#DIV/0!</v>
      </c>
      <c r="V18" s="3810">
        <f t="shared" si="10"/>
        <v>0</v>
      </c>
      <c r="W18" s="3810">
        <f t="shared" si="10"/>
        <v>150464</v>
      </c>
      <c r="X18" s="3810">
        <f t="shared" si="10"/>
        <v>150464</v>
      </c>
      <c r="Y18" s="3810">
        <f t="shared" si="10"/>
        <v>0</v>
      </c>
      <c r="Z18" s="3810">
        <f t="shared" si="11"/>
        <v>150464</v>
      </c>
      <c r="AA18" s="3810">
        <f t="shared" si="12"/>
        <v>0</v>
      </c>
      <c r="AB18" s="3810">
        <f t="shared" si="12"/>
        <v>150464</v>
      </c>
      <c r="AC18" s="3810">
        <f t="shared" si="12"/>
        <v>150464</v>
      </c>
      <c r="AD18" s="3829">
        <f t="shared" si="12"/>
        <v>0</v>
      </c>
    </row>
    <row r="19" spans="1:30" ht="18">
      <c r="A19" s="3827"/>
      <c r="B19" s="3808" t="s">
        <v>12</v>
      </c>
      <c r="C19" s="3799"/>
      <c r="D19" s="3799"/>
      <c r="E19" s="3799"/>
      <c r="F19" s="3799"/>
      <c r="G19" s="3799"/>
      <c r="H19" s="3809">
        <v>50947</v>
      </c>
      <c r="I19" s="3810"/>
      <c r="J19" s="3810">
        <f>0</f>
        <v>0</v>
      </c>
      <c r="K19" s="3810">
        <f t="shared" si="18"/>
        <v>50947</v>
      </c>
      <c r="L19" s="3810">
        <f t="shared" si="19"/>
        <v>50947</v>
      </c>
      <c r="M19" s="3810">
        <v>0</v>
      </c>
      <c r="N19" s="3809">
        <v>11000</v>
      </c>
      <c r="O19" s="3810"/>
      <c r="P19" s="3810">
        <f>0</f>
        <v>0</v>
      </c>
      <c r="Q19" s="3810">
        <f t="shared" si="20"/>
        <v>11000</v>
      </c>
      <c r="R19" s="3810">
        <f t="shared" si="21"/>
        <v>11000</v>
      </c>
      <c r="S19" s="3810">
        <v>0</v>
      </c>
      <c r="T19" s="3810">
        <f t="shared" si="13"/>
        <v>61947</v>
      </c>
      <c r="U19" s="3810" t="e">
        <f t="shared" si="6"/>
        <v>#DIV/0!</v>
      </c>
      <c r="V19" s="3810">
        <f t="shared" si="10"/>
        <v>0</v>
      </c>
      <c r="W19" s="3810">
        <f t="shared" si="10"/>
        <v>61947</v>
      </c>
      <c r="X19" s="3810">
        <f t="shared" si="10"/>
        <v>61947</v>
      </c>
      <c r="Y19" s="3810">
        <f t="shared" si="10"/>
        <v>0</v>
      </c>
      <c r="Z19" s="3810">
        <f t="shared" si="11"/>
        <v>61947</v>
      </c>
      <c r="AA19" s="3810">
        <f t="shared" si="12"/>
        <v>0</v>
      </c>
      <c r="AB19" s="3810">
        <f t="shared" si="12"/>
        <v>61947</v>
      </c>
      <c r="AC19" s="3810">
        <f t="shared" si="12"/>
        <v>61947</v>
      </c>
      <c r="AD19" s="3829">
        <f t="shared" si="12"/>
        <v>0</v>
      </c>
    </row>
    <row r="20" spans="1:30" ht="18">
      <c r="A20" s="3827"/>
      <c r="B20" s="3808" t="s">
        <v>13</v>
      </c>
      <c r="C20" s="3799"/>
      <c r="D20" s="3799"/>
      <c r="E20" s="3799"/>
      <c r="F20" s="3799"/>
      <c r="G20" s="3799"/>
      <c r="H20" s="3809"/>
      <c r="I20" s="3810"/>
      <c r="J20" s="3810">
        <f>0</f>
        <v>0</v>
      </c>
      <c r="K20" s="3810">
        <f t="shared" si="18"/>
        <v>0</v>
      </c>
      <c r="L20" s="3810">
        <f t="shared" si="19"/>
        <v>0</v>
      </c>
      <c r="M20" s="3810">
        <v>0</v>
      </c>
      <c r="N20" s="3809"/>
      <c r="O20" s="3810"/>
      <c r="P20" s="3810">
        <f>0</f>
        <v>0</v>
      </c>
      <c r="Q20" s="3810">
        <f t="shared" si="20"/>
        <v>0</v>
      </c>
      <c r="R20" s="3810">
        <f t="shared" si="21"/>
        <v>0</v>
      </c>
      <c r="S20" s="3810">
        <v>0</v>
      </c>
      <c r="T20" s="3810">
        <f t="shared" si="13"/>
        <v>0</v>
      </c>
      <c r="U20" s="3810"/>
      <c r="V20" s="3810">
        <f t="shared" si="10"/>
        <v>0</v>
      </c>
      <c r="W20" s="3810">
        <f t="shared" si="10"/>
        <v>0</v>
      </c>
      <c r="X20" s="3810">
        <f t="shared" si="10"/>
        <v>0</v>
      </c>
      <c r="Y20" s="3810">
        <f t="shared" si="10"/>
        <v>0</v>
      </c>
      <c r="Z20" s="3810">
        <f t="shared" si="11"/>
        <v>0</v>
      </c>
      <c r="AA20" s="3810">
        <f t="shared" si="12"/>
        <v>0</v>
      </c>
      <c r="AB20" s="3810">
        <f t="shared" si="12"/>
        <v>0</v>
      </c>
      <c r="AC20" s="3810">
        <f t="shared" si="12"/>
        <v>0</v>
      </c>
      <c r="AD20" s="3829">
        <f t="shared" si="12"/>
        <v>0</v>
      </c>
    </row>
    <row r="21" spans="1:30" ht="18">
      <c r="A21" s="3827"/>
      <c r="B21" s="3808" t="s">
        <v>14</v>
      </c>
      <c r="C21" s="3799"/>
      <c r="D21" s="3799"/>
      <c r="E21" s="3799"/>
      <c r="F21" s="3799"/>
      <c r="G21" s="3799"/>
      <c r="H21" s="3809">
        <v>54157</v>
      </c>
      <c r="I21" s="3810"/>
      <c r="J21" s="3810">
        <f>0</f>
        <v>0</v>
      </c>
      <c r="K21" s="3810">
        <f t="shared" si="18"/>
        <v>54157</v>
      </c>
      <c r="L21" s="3810">
        <f t="shared" si="19"/>
        <v>54157</v>
      </c>
      <c r="M21" s="3810">
        <v>0</v>
      </c>
      <c r="N21" s="3809">
        <v>21432</v>
      </c>
      <c r="O21" s="3810"/>
      <c r="P21" s="3810">
        <f>0</f>
        <v>0</v>
      </c>
      <c r="Q21" s="3810">
        <f t="shared" si="20"/>
        <v>21432</v>
      </c>
      <c r="R21" s="3810">
        <f t="shared" si="21"/>
        <v>21432</v>
      </c>
      <c r="S21" s="3810">
        <v>0</v>
      </c>
      <c r="T21" s="3810">
        <f t="shared" si="13"/>
        <v>75589</v>
      </c>
      <c r="U21" s="3810" t="e">
        <f t="shared" si="6"/>
        <v>#DIV/0!</v>
      </c>
      <c r="V21" s="3810">
        <f t="shared" si="10"/>
        <v>0</v>
      </c>
      <c r="W21" s="3810">
        <f t="shared" si="10"/>
        <v>75589</v>
      </c>
      <c r="X21" s="3810">
        <f t="shared" si="10"/>
        <v>75589</v>
      </c>
      <c r="Y21" s="3810">
        <f t="shared" si="10"/>
        <v>0</v>
      </c>
      <c r="Z21" s="3810">
        <f t="shared" si="11"/>
        <v>75589</v>
      </c>
      <c r="AA21" s="3810">
        <f t="shared" si="12"/>
        <v>0</v>
      </c>
      <c r="AB21" s="3810">
        <f t="shared" si="12"/>
        <v>75589</v>
      </c>
      <c r="AC21" s="3810">
        <f t="shared" si="12"/>
        <v>75589</v>
      </c>
      <c r="AD21" s="3829">
        <f t="shared" si="12"/>
        <v>0</v>
      </c>
    </row>
    <row r="22" spans="1:30" ht="18">
      <c r="A22" s="3827"/>
      <c r="B22" s="3808" t="s">
        <v>67</v>
      </c>
      <c r="C22" s="3799"/>
      <c r="D22" s="3799"/>
      <c r="E22" s="3799"/>
      <c r="F22" s="3799"/>
      <c r="G22" s="3799"/>
      <c r="H22" s="3809"/>
      <c r="I22" s="3810"/>
      <c r="J22" s="3810">
        <f>0</f>
        <v>0</v>
      </c>
      <c r="K22" s="3810">
        <f t="shared" si="18"/>
        <v>0</v>
      </c>
      <c r="L22" s="3810">
        <f t="shared" si="19"/>
        <v>0</v>
      </c>
      <c r="M22" s="3810">
        <v>0</v>
      </c>
      <c r="N22" s="3809"/>
      <c r="O22" s="3810"/>
      <c r="P22" s="3810">
        <f>0</f>
        <v>0</v>
      </c>
      <c r="Q22" s="3810">
        <f t="shared" si="20"/>
        <v>0</v>
      </c>
      <c r="R22" s="3810">
        <f t="shared" si="21"/>
        <v>0</v>
      </c>
      <c r="S22" s="3810">
        <v>0</v>
      </c>
      <c r="T22" s="3810">
        <f t="shared" si="13"/>
        <v>0</v>
      </c>
      <c r="U22" s="3810"/>
      <c r="V22" s="3810">
        <f t="shared" si="10"/>
        <v>0</v>
      </c>
      <c r="W22" s="3810">
        <f t="shared" si="10"/>
        <v>0</v>
      </c>
      <c r="X22" s="3810">
        <f t="shared" si="10"/>
        <v>0</v>
      </c>
      <c r="Y22" s="3810">
        <f t="shared" si="10"/>
        <v>0</v>
      </c>
      <c r="Z22" s="3810">
        <f t="shared" si="11"/>
        <v>0</v>
      </c>
      <c r="AA22" s="3810">
        <f t="shared" si="12"/>
        <v>0</v>
      </c>
      <c r="AB22" s="3810">
        <f t="shared" si="12"/>
        <v>0</v>
      </c>
      <c r="AC22" s="3810">
        <f t="shared" si="12"/>
        <v>0</v>
      </c>
      <c r="AD22" s="3829">
        <f t="shared" si="12"/>
        <v>0</v>
      </c>
    </row>
    <row r="23" spans="1:30" ht="17.399999999999999">
      <c r="A23" s="3827">
        <v>3</v>
      </c>
      <c r="B23" s="3806" t="s">
        <v>68</v>
      </c>
      <c r="C23" s="3799"/>
      <c r="D23" s="3799"/>
      <c r="E23" s="3799"/>
      <c r="F23" s="3799"/>
      <c r="G23" s="3799"/>
      <c r="H23" s="3807">
        <f>SUM(H24:H27)</f>
        <v>34885.4</v>
      </c>
      <c r="I23" s="3807" t="e">
        <f>H23/C23*100</f>
        <v>#DIV/0!</v>
      </c>
      <c r="J23" s="3807">
        <v>0</v>
      </c>
      <c r="K23" s="3807">
        <f>L23</f>
        <v>34885.4</v>
      </c>
      <c r="L23" s="3807">
        <f>H23</f>
        <v>34885.4</v>
      </c>
      <c r="M23" s="3807">
        <v>0</v>
      </c>
      <c r="N23" s="3807">
        <f>SUM(N24:N27)</f>
        <v>36114.400000000001</v>
      </c>
      <c r="O23" s="3807" t="e">
        <f>N23/C23*100</f>
        <v>#DIV/0!</v>
      </c>
      <c r="P23" s="3807">
        <v>0</v>
      </c>
      <c r="Q23" s="3807">
        <f>N23</f>
        <v>36114.400000000001</v>
      </c>
      <c r="R23" s="3807">
        <f>Q23</f>
        <v>36114.400000000001</v>
      </c>
      <c r="S23" s="3807">
        <v>0</v>
      </c>
      <c r="T23" s="3807">
        <f t="shared" si="13"/>
        <v>70999.8</v>
      </c>
      <c r="U23" s="3807" t="e">
        <f t="shared" si="6"/>
        <v>#DIV/0!</v>
      </c>
      <c r="V23" s="3807">
        <f t="shared" si="10"/>
        <v>0</v>
      </c>
      <c r="W23" s="3807">
        <f t="shared" si="10"/>
        <v>70999.8</v>
      </c>
      <c r="X23" s="3807">
        <f t="shared" si="10"/>
        <v>70999.8</v>
      </c>
      <c r="Y23" s="3807">
        <f t="shared" si="10"/>
        <v>0</v>
      </c>
      <c r="Z23" s="3807">
        <f t="shared" si="11"/>
        <v>70999.8</v>
      </c>
      <c r="AA23" s="3807">
        <f t="shared" si="12"/>
        <v>0</v>
      </c>
      <c r="AB23" s="3807">
        <f>W23-E23</f>
        <v>70999.8</v>
      </c>
      <c r="AC23" s="3807">
        <f t="shared" si="12"/>
        <v>70999.8</v>
      </c>
      <c r="AD23" s="3828">
        <f t="shared" si="12"/>
        <v>0</v>
      </c>
    </row>
    <row r="24" spans="1:30" ht="18">
      <c r="A24" s="3827"/>
      <c r="B24" s="3808" t="s">
        <v>11</v>
      </c>
      <c r="C24" s="3799"/>
      <c r="D24" s="3799"/>
      <c r="E24" s="3799"/>
      <c r="F24" s="3799"/>
      <c r="G24" s="3799"/>
      <c r="H24" s="3809">
        <v>9822.4</v>
      </c>
      <c r="I24" s="3810"/>
      <c r="J24" s="3810">
        <f>0</f>
        <v>0</v>
      </c>
      <c r="K24" s="3810">
        <f>H24-J24</f>
        <v>9822.4</v>
      </c>
      <c r="L24" s="3810">
        <f>K24-M24</f>
        <v>9822.4</v>
      </c>
      <c r="M24" s="3810">
        <v>0</v>
      </c>
      <c r="N24" s="3809">
        <v>5114.3999999999996</v>
      </c>
      <c r="O24" s="3810"/>
      <c r="P24" s="3810">
        <f>0</f>
        <v>0</v>
      </c>
      <c r="Q24" s="3810">
        <f>N24-P24</f>
        <v>5114.3999999999996</v>
      </c>
      <c r="R24" s="3810">
        <f>Q24-S24</f>
        <v>5114.3999999999996</v>
      </c>
      <c r="S24" s="3810">
        <v>0</v>
      </c>
      <c r="T24" s="3810">
        <f t="shared" si="13"/>
        <v>14936.8</v>
      </c>
      <c r="U24" s="3810" t="e">
        <f t="shared" si="6"/>
        <v>#DIV/0!</v>
      </c>
      <c r="V24" s="3810">
        <f t="shared" si="10"/>
        <v>0</v>
      </c>
      <c r="W24" s="3810">
        <f t="shared" si="10"/>
        <v>14936.8</v>
      </c>
      <c r="X24" s="3810">
        <f t="shared" si="10"/>
        <v>14936.8</v>
      </c>
      <c r="Y24" s="3810">
        <f t="shared" si="10"/>
        <v>0</v>
      </c>
      <c r="Z24" s="3810">
        <f t="shared" si="11"/>
        <v>14936.8</v>
      </c>
      <c r="AA24" s="3810">
        <f t="shared" si="12"/>
        <v>0</v>
      </c>
      <c r="AB24" s="3810">
        <f t="shared" si="12"/>
        <v>14936.8</v>
      </c>
      <c r="AC24" s="3810">
        <f t="shared" si="12"/>
        <v>14936.8</v>
      </c>
      <c r="AD24" s="3829">
        <f t="shared" si="12"/>
        <v>0</v>
      </c>
    </row>
    <row r="25" spans="1:30" ht="18">
      <c r="A25" s="3827"/>
      <c r="B25" s="3808" t="s">
        <v>12</v>
      </c>
      <c r="C25" s="3799"/>
      <c r="D25" s="3799"/>
      <c r="E25" s="3799"/>
      <c r="F25" s="3799"/>
      <c r="G25" s="3799"/>
      <c r="H25" s="3809">
        <v>25057</v>
      </c>
      <c r="I25" s="3810"/>
      <c r="J25" s="3810">
        <f>0</f>
        <v>0</v>
      </c>
      <c r="K25" s="3810">
        <f>H25-J25</f>
        <v>25057</v>
      </c>
      <c r="L25" s="3810">
        <f>K25-M25</f>
        <v>25057</v>
      </c>
      <c r="M25" s="3810">
        <v>0</v>
      </c>
      <c r="N25" s="3809">
        <v>31000</v>
      </c>
      <c r="O25" s="3810"/>
      <c r="P25" s="3810">
        <f>0</f>
        <v>0</v>
      </c>
      <c r="Q25" s="3810">
        <f>N25-P25</f>
        <v>31000</v>
      </c>
      <c r="R25" s="3810">
        <f>Q25-S25</f>
        <v>31000</v>
      </c>
      <c r="S25" s="3810">
        <v>0</v>
      </c>
      <c r="T25" s="3810">
        <f t="shared" si="13"/>
        <v>56057</v>
      </c>
      <c r="U25" s="3810" t="e">
        <f t="shared" si="6"/>
        <v>#DIV/0!</v>
      </c>
      <c r="V25" s="3810">
        <f t="shared" si="10"/>
        <v>0</v>
      </c>
      <c r="W25" s="3810">
        <f t="shared" si="10"/>
        <v>56057</v>
      </c>
      <c r="X25" s="3810">
        <f t="shared" si="10"/>
        <v>56057</v>
      </c>
      <c r="Y25" s="3810">
        <f t="shared" si="10"/>
        <v>0</v>
      </c>
      <c r="Z25" s="3810">
        <f t="shared" si="11"/>
        <v>56057</v>
      </c>
      <c r="AA25" s="3810">
        <f t="shared" si="12"/>
        <v>0</v>
      </c>
      <c r="AB25" s="3810">
        <f t="shared" si="12"/>
        <v>56057</v>
      </c>
      <c r="AC25" s="3810">
        <f t="shared" si="12"/>
        <v>56057</v>
      </c>
      <c r="AD25" s="3829">
        <f t="shared" si="12"/>
        <v>0</v>
      </c>
    </row>
    <row r="26" spans="1:30" ht="18">
      <c r="A26" s="3827"/>
      <c r="B26" s="3808" t="s">
        <v>14</v>
      </c>
      <c r="C26" s="3799"/>
      <c r="D26" s="3799"/>
      <c r="E26" s="3799"/>
      <c r="F26" s="3799"/>
      <c r="G26" s="3799"/>
      <c r="H26" s="3809"/>
      <c r="I26" s="3810"/>
      <c r="J26" s="3810">
        <f>0</f>
        <v>0</v>
      </c>
      <c r="K26" s="3810">
        <f>H26-J26</f>
        <v>0</v>
      </c>
      <c r="L26" s="3810">
        <f>K26-M26</f>
        <v>0</v>
      </c>
      <c r="M26" s="3810">
        <v>0</v>
      </c>
      <c r="N26" s="3809"/>
      <c r="O26" s="3810"/>
      <c r="P26" s="3810">
        <f>0</f>
        <v>0</v>
      </c>
      <c r="Q26" s="3810">
        <f>N26-P26</f>
        <v>0</v>
      </c>
      <c r="R26" s="3810">
        <f>Q26-S26</f>
        <v>0</v>
      </c>
      <c r="S26" s="3810">
        <v>0</v>
      </c>
      <c r="T26" s="3810">
        <f t="shared" si="13"/>
        <v>0</v>
      </c>
      <c r="U26" s="3810"/>
      <c r="V26" s="3810">
        <f t="shared" si="10"/>
        <v>0</v>
      </c>
      <c r="W26" s="3810">
        <f t="shared" si="10"/>
        <v>0</v>
      </c>
      <c r="X26" s="3810">
        <f t="shared" si="10"/>
        <v>0</v>
      </c>
      <c r="Y26" s="3810">
        <f t="shared" si="10"/>
        <v>0</v>
      </c>
      <c r="Z26" s="3810">
        <f t="shared" si="11"/>
        <v>0</v>
      </c>
      <c r="AA26" s="3810">
        <f t="shared" si="12"/>
        <v>0</v>
      </c>
      <c r="AB26" s="3810">
        <f t="shared" si="12"/>
        <v>0</v>
      </c>
      <c r="AC26" s="3810">
        <f t="shared" si="12"/>
        <v>0</v>
      </c>
      <c r="AD26" s="3829">
        <f t="shared" si="12"/>
        <v>0</v>
      </c>
    </row>
    <row r="27" spans="1:30" ht="18">
      <c r="A27" s="3827"/>
      <c r="B27" s="3808" t="s">
        <v>105</v>
      </c>
      <c r="C27" s="3799"/>
      <c r="D27" s="3799"/>
      <c r="E27" s="3799"/>
      <c r="F27" s="3799"/>
      <c r="G27" s="3799"/>
      <c r="H27" s="3809">
        <v>6</v>
      </c>
      <c r="I27" s="3810"/>
      <c r="J27" s="3810"/>
      <c r="K27" s="3810"/>
      <c r="L27" s="3810"/>
      <c r="M27" s="3810"/>
      <c r="N27" s="3809"/>
      <c r="O27" s="3810"/>
      <c r="P27" s="3810"/>
      <c r="Q27" s="3810"/>
      <c r="R27" s="3810"/>
      <c r="S27" s="3810"/>
      <c r="T27" s="3810">
        <f t="shared" si="13"/>
        <v>6</v>
      </c>
      <c r="U27" s="3810"/>
      <c r="V27" s="3810">
        <f t="shared" si="10"/>
        <v>0</v>
      </c>
      <c r="W27" s="3810">
        <f t="shared" si="10"/>
        <v>0</v>
      </c>
      <c r="X27" s="3810">
        <f t="shared" si="10"/>
        <v>0</v>
      </c>
      <c r="Y27" s="3810">
        <f t="shared" si="10"/>
        <v>0</v>
      </c>
      <c r="Z27" s="3810">
        <f t="shared" si="11"/>
        <v>6</v>
      </c>
      <c r="AA27" s="3810">
        <f t="shared" si="12"/>
        <v>0</v>
      </c>
      <c r="AB27" s="3810">
        <f t="shared" si="12"/>
        <v>0</v>
      </c>
      <c r="AC27" s="3810">
        <f t="shared" si="12"/>
        <v>0</v>
      </c>
      <c r="AD27" s="3829">
        <f t="shared" si="12"/>
        <v>0</v>
      </c>
    </row>
    <row r="28" spans="1:30" ht="17.399999999999999">
      <c r="A28" s="3827">
        <v>4</v>
      </c>
      <c r="B28" s="3806" t="s">
        <v>106</v>
      </c>
      <c r="C28" s="3799"/>
      <c r="D28" s="3799"/>
      <c r="E28" s="3799"/>
      <c r="F28" s="3799"/>
      <c r="G28" s="3799"/>
      <c r="H28" s="3807">
        <f t="shared" ref="H28" si="22">SUM(H29:H33)</f>
        <v>613892</v>
      </c>
      <c r="I28" s="3807" t="e">
        <f>H28/C28*100</f>
        <v>#DIV/0!</v>
      </c>
      <c r="J28" s="3807">
        <f>SUM(J29:J33)</f>
        <v>0</v>
      </c>
      <c r="K28" s="3807">
        <f>SUM(K29:K33)</f>
        <v>613892</v>
      </c>
      <c r="L28" s="3807">
        <f>SUM(L29:L33)</f>
        <v>58076</v>
      </c>
      <c r="M28" s="3807">
        <f>SUM(M29:M33)</f>
        <v>555816</v>
      </c>
      <c r="N28" s="3807">
        <f>SUM(N29:N33)</f>
        <v>486108</v>
      </c>
      <c r="O28" s="3807" t="e">
        <f>N28/C28*100</f>
        <v>#DIV/0!</v>
      </c>
      <c r="P28" s="3807">
        <v>0</v>
      </c>
      <c r="Q28" s="3807">
        <f>SUM(Q29:Q33)</f>
        <v>486108</v>
      </c>
      <c r="R28" s="3807">
        <f>SUM(R29:R33)</f>
        <v>30800</v>
      </c>
      <c r="S28" s="3807">
        <f>SUM(S29:S33)</f>
        <v>455308</v>
      </c>
      <c r="T28" s="3807">
        <f t="shared" si="13"/>
        <v>1100000</v>
      </c>
      <c r="U28" s="3807" t="e">
        <f t="shared" si="6"/>
        <v>#DIV/0!</v>
      </c>
      <c r="V28" s="3807">
        <f t="shared" si="10"/>
        <v>0</v>
      </c>
      <c r="W28" s="3807">
        <f t="shared" si="10"/>
        <v>1100000</v>
      </c>
      <c r="X28" s="3807">
        <f t="shared" si="10"/>
        <v>88876</v>
      </c>
      <c r="Y28" s="3807">
        <f t="shared" si="10"/>
        <v>1011124</v>
      </c>
      <c r="Z28" s="3807">
        <f t="shared" si="11"/>
        <v>1100000</v>
      </c>
      <c r="AA28" s="3807">
        <f t="shared" si="12"/>
        <v>0</v>
      </c>
      <c r="AB28" s="3807">
        <f t="shared" si="12"/>
        <v>1100000</v>
      </c>
      <c r="AC28" s="3807">
        <f t="shared" si="12"/>
        <v>88876</v>
      </c>
      <c r="AD28" s="3828">
        <f t="shared" si="12"/>
        <v>1011124</v>
      </c>
    </row>
    <row r="29" spans="1:30" ht="18">
      <c r="A29" s="3827"/>
      <c r="B29" s="3808" t="s">
        <v>11</v>
      </c>
      <c r="C29" s="3799"/>
      <c r="D29" s="3799"/>
      <c r="E29" s="3799"/>
      <c r="F29" s="3799"/>
      <c r="G29" s="3799"/>
      <c r="H29" s="3809">
        <v>322266</v>
      </c>
      <c r="I29" s="3810"/>
      <c r="J29" s="3810">
        <f>0</f>
        <v>0</v>
      </c>
      <c r="K29" s="3810">
        <f t="shared" ref="K29:K33" si="23">H29-J29</f>
        <v>322266</v>
      </c>
      <c r="L29" s="3810">
        <f>K29-M29</f>
        <v>0</v>
      </c>
      <c r="M29" s="3810">
        <f>H29</f>
        <v>322266</v>
      </c>
      <c r="N29" s="3809">
        <v>240308</v>
      </c>
      <c r="O29" s="3810"/>
      <c r="P29" s="3810">
        <f>0</f>
        <v>0</v>
      </c>
      <c r="Q29" s="3810">
        <f t="shared" ref="Q29:Q33" si="24">N29-P29</f>
        <v>240308</v>
      </c>
      <c r="R29" s="3810">
        <f>Q29-S29</f>
        <v>0</v>
      </c>
      <c r="S29" s="3810">
        <f>N29</f>
        <v>240308</v>
      </c>
      <c r="T29" s="3810">
        <f t="shared" si="13"/>
        <v>562574</v>
      </c>
      <c r="U29" s="3810" t="e">
        <f t="shared" si="6"/>
        <v>#DIV/0!</v>
      </c>
      <c r="V29" s="3810">
        <f t="shared" si="10"/>
        <v>0</v>
      </c>
      <c r="W29" s="3810">
        <f t="shared" si="10"/>
        <v>562574</v>
      </c>
      <c r="X29" s="3810">
        <f t="shared" si="10"/>
        <v>0</v>
      </c>
      <c r="Y29" s="3810">
        <f t="shared" si="10"/>
        <v>562574</v>
      </c>
      <c r="Z29" s="3810">
        <f t="shared" si="11"/>
        <v>562574</v>
      </c>
      <c r="AA29" s="3810">
        <f t="shared" si="12"/>
        <v>0</v>
      </c>
      <c r="AB29" s="3810">
        <f t="shared" si="12"/>
        <v>562574</v>
      </c>
      <c r="AC29" s="3810">
        <f t="shared" si="12"/>
        <v>0</v>
      </c>
      <c r="AD29" s="3829">
        <f t="shared" si="12"/>
        <v>562574</v>
      </c>
    </row>
    <row r="30" spans="1:30" ht="18">
      <c r="A30" s="3827"/>
      <c r="B30" s="3808" t="s">
        <v>12</v>
      </c>
      <c r="C30" s="3799"/>
      <c r="D30" s="3799"/>
      <c r="E30" s="3799"/>
      <c r="F30" s="3799"/>
      <c r="G30" s="3799"/>
      <c r="H30" s="3809">
        <v>233355</v>
      </c>
      <c r="I30" s="3810"/>
      <c r="J30" s="3810">
        <f>0</f>
        <v>0</v>
      </c>
      <c r="K30" s="3810">
        <f t="shared" si="23"/>
        <v>233355</v>
      </c>
      <c r="L30" s="3810">
        <f t="shared" ref="L30:L46" si="25">K30-M30</f>
        <v>0</v>
      </c>
      <c r="M30" s="3810">
        <f>H30</f>
        <v>233355</v>
      </c>
      <c r="N30" s="3809">
        <v>215000</v>
      </c>
      <c r="O30" s="3810"/>
      <c r="P30" s="3810">
        <f>0</f>
        <v>0</v>
      </c>
      <c r="Q30" s="3810">
        <f t="shared" si="24"/>
        <v>215000</v>
      </c>
      <c r="R30" s="3810">
        <f t="shared" ref="R30:R47" si="26">Q30-S30</f>
        <v>0</v>
      </c>
      <c r="S30" s="3810">
        <f t="shared" ref="S30" si="27">N30</f>
        <v>215000</v>
      </c>
      <c r="T30" s="3810">
        <f t="shared" si="13"/>
        <v>448355</v>
      </c>
      <c r="U30" s="3810" t="e">
        <f t="shared" si="6"/>
        <v>#DIV/0!</v>
      </c>
      <c r="V30" s="3810">
        <f t="shared" si="10"/>
        <v>0</v>
      </c>
      <c r="W30" s="3810">
        <f t="shared" si="10"/>
        <v>448355</v>
      </c>
      <c r="X30" s="3810">
        <f t="shared" si="10"/>
        <v>0</v>
      </c>
      <c r="Y30" s="3810">
        <f t="shared" si="10"/>
        <v>448355</v>
      </c>
      <c r="Z30" s="3810">
        <f t="shared" si="11"/>
        <v>448355</v>
      </c>
      <c r="AA30" s="3810">
        <f t="shared" si="12"/>
        <v>0</v>
      </c>
      <c r="AB30" s="3810">
        <f t="shared" si="12"/>
        <v>448355</v>
      </c>
      <c r="AC30" s="3810">
        <f t="shared" si="12"/>
        <v>0</v>
      </c>
      <c r="AD30" s="3829">
        <f t="shared" si="12"/>
        <v>448355</v>
      </c>
    </row>
    <row r="31" spans="1:30" ht="18">
      <c r="A31" s="3827"/>
      <c r="B31" s="3808" t="s">
        <v>13</v>
      </c>
      <c r="C31" s="3799"/>
      <c r="D31" s="3799"/>
      <c r="E31" s="3799"/>
      <c r="F31" s="3799"/>
      <c r="G31" s="3799"/>
      <c r="H31" s="3809">
        <v>55239</v>
      </c>
      <c r="I31" s="3810"/>
      <c r="J31" s="3810">
        <f>0</f>
        <v>0</v>
      </c>
      <c r="K31" s="3810">
        <f t="shared" si="23"/>
        <v>55239</v>
      </c>
      <c r="L31" s="3810">
        <f t="shared" si="25"/>
        <v>55239</v>
      </c>
      <c r="M31" s="3810">
        <v>0</v>
      </c>
      <c r="N31" s="3809">
        <v>27500</v>
      </c>
      <c r="O31" s="3810"/>
      <c r="P31" s="3810">
        <f>0</f>
        <v>0</v>
      </c>
      <c r="Q31" s="3810">
        <f t="shared" si="24"/>
        <v>27500</v>
      </c>
      <c r="R31" s="3810">
        <f t="shared" si="26"/>
        <v>27500</v>
      </c>
      <c r="S31" s="3810">
        <v>0</v>
      </c>
      <c r="T31" s="3810">
        <f t="shared" si="13"/>
        <v>82739</v>
      </c>
      <c r="U31" s="3810" t="e">
        <f t="shared" si="6"/>
        <v>#DIV/0!</v>
      </c>
      <c r="V31" s="3810">
        <f t="shared" si="10"/>
        <v>0</v>
      </c>
      <c r="W31" s="3810">
        <f t="shared" si="10"/>
        <v>82739</v>
      </c>
      <c r="X31" s="3810">
        <f t="shared" si="10"/>
        <v>82739</v>
      </c>
      <c r="Y31" s="3810">
        <f t="shared" si="10"/>
        <v>0</v>
      </c>
      <c r="Z31" s="3810">
        <f t="shared" si="11"/>
        <v>82739</v>
      </c>
      <c r="AA31" s="3810">
        <f t="shared" si="12"/>
        <v>0</v>
      </c>
      <c r="AB31" s="3810">
        <f t="shared" si="12"/>
        <v>82739</v>
      </c>
      <c r="AC31" s="3810">
        <f t="shared" si="12"/>
        <v>82739</v>
      </c>
      <c r="AD31" s="3829">
        <f t="shared" si="12"/>
        <v>0</v>
      </c>
    </row>
    <row r="32" spans="1:30" ht="18">
      <c r="A32" s="3827"/>
      <c r="B32" s="3808" t="s">
        <v>14</v>
      </c>
      <c r="C32" s="3799"/>
      <c r="D32" s="3799"/>
      <c r="E32" s="3799"/>
      <c r="F32" s="3799"/>
      <c r="G32" s="3799"/>
      <c r="H32" s="3809">
        <v>2837</v>
      </c>
      <c r="I32" s="3810"/>
      <c r="J32" s="3810">
        <f>0</f>
        <v>0</v>
      </c>
      <c r="K32" s="3810">
        <f t="shared" si="23"/>
        <v>2837</v>
      </c>
      <c r="L32" s="3810">
        <f t="shared" si="25"/>
        <v>2837</v>
      </c>
      <c r="M32" s="3810">
        <v>0</v>
      </c>
      <c r="N32" s="3809">
        <v>3300</v>
      </c>
      <c r="O32" s="3810"/>
      <c r="P32" s="3810">
        <f>0</f>
        <v>0</v>
      </c>
      <c r="Q32" s="3810">
        <f t="shared" si="24"/>
        <v>3300</v>
      </c>
      <c r="R32" s="3810">
        <f t="shared" si="26"/>
        <v>3300</v>
      </c>
      <c r="S32" s="3810">
        <v>0</v>
      </c>
      <c r="T32" s="3810">
        <f t="shared" si="13"/>
        <v>6137</v>
      </c>
      <c r="U32" s="3810" t="e">
        <f t="shared" si="6"/>
        <v>#DIV/0!</v>
      </c>
      <c r="V32" s="3810">
        <f t="shared" si="10"/>
        <v>0</v>
      </c>
      <c r="W32" s="3810">
        <f t="shared" si="10"/>
        <v>6137</v>
      </c>
      <c r="X32" s="3810">
        <f t="shared" si="10"/>
        <v>6137</v>
      </c>
      <c r="Y32" s="3810">
        <f t="shared" si="10"/>
        <v>0</v>
      </c>
      <c r="Z32" s="3810">
        <f t="shared" si="11"/>
        <v>6137</v>
      </c>
      <c r="AA32" s="3810">
        <f t="shared" si="12"/>
        <v>0</v>
      </c>
      <c r="AB32" s="3810">
        <f t="shared" si="12"/>
        <v>6137</v>
      </c>
      <c r="AC32" s="3810">
        <f t="shared" si="12"/>
        <v>6137</v>
      </c>
      <c r="AD32" s="3829">
        <f t="shared" si="12"/>
        <v>0</v>
      </c>
    </row>
    <row r="33" spans="1:30" ht="18">
      <c r="A33" s="3827"/>
      <c r="B33" s="3808" t="s">
        <v>15</v>
      </c>
      <c r="C33" s="3799"/>
      <c r="D33" s="3799"/>
      <c r="E33" s="3799"/>
      <c r="F33" s="3799"/>
      <c r="G33" s="3799"/>
      <c r="H33" s="3809">
        <v>195</v>
      </c>
      <c r="I33" s="3810"/>
      <c r="J33" s="3810">
        <f>0</f>
        <v>0</v>
      </c>
      <c r="K33" s="3810">
        <f t="shared" si="23"/>
        <v>195</v>
      </c>
      <c r="L33" s="3810">
        <f t="shared" si="25"/>
        <v>0</v>
      </c>
      <c r="M33" s="3810">
        <f>H33</f>
        <v>195</v>
      </c>
      <c r="N33" s="3809"/>
      <c r="O33" s="3810"/>
      <c r="P33" s="3810">
        <f>0</f>
        <v>0</v>
      </c>
      <c r="Q33" s="3810">
        <f t="shared" si="24"/>
        <v>0</v>
      </c>
      <c r="R33" s="3810">
        <f t="shared" si="26"/>
        <v>0</v>
      </c>
      <c r="S33" s="3810">
        <f>N33</f>
        <v>0</v>
      </c>
      <c r="T33" s="3810">
        <f t="shared" si="13"/>
        <v>195</v>
      </c>
      <c r="U33" s="3810"/>
      <c r="V33" s="3810">
        <f t="shared" si="10"/>
        <v>0</v>
      </c>
      <c r="W33" s="3810">
        <f t="shared" si="10"/>
        <v>195</v>
      </c>
      <c r="X33" s="3810">
        <f t="shared" si="10"/>
        <v>0</v>
      </c>
      <c r="Y33" s="3810">
        <f t="shared" si="10"/>
        <v>195</v>
      </c>
      <c r="Z33" s="3810">
        <f t="shared" si="11"/>
        <v>195</v>
      </c>
      <c r="AA33" s="3810">
        <f t="shared" si="12"/>
        <v>0</v>
      </c>
      <c r="AB33" s="3810">
        <f t="shared" si="12"/>
        <v>195</v>
      </c>
      <c r="AC33" s="3810">
        <f t="shared" si="12"/>
        <v>0</v>
      </c>
      <c r="AD33" s="3829">
        <f t="shared" si="12"/>
        <v>195</v>
      </c>
    </row>
    <row r="34" spans="1:30" ht="17.399999999999999">
      <c r="A34" s="3827">
        <v>5</v>
      </c>
      <c r="B34" s="3806" t="s">
        <v>16</v>
      </c>
      <c r="C34" s="3799"/>
      <c r="D34" s="3799"/>
      <c r="E34" s="3799"/>
      <c r="F34" s="3799"/>
      <c r="G34" s="3799"/>
      <c r="H34" s="3811">
        <v>190668</v>
      </c>
      <c r="I34" s="3807" t="e">
        <f>H34/C34*100</f>
        <v>#DIV/0!</v>
      </c>
      <c r="J34" s="3807">
        <f>0</f>
        <v>0</v>
      </c>
      <c r="K34" s="3807">
        <f>H34-J34</f>
        <v>190668</v>
      </c>
      <c r="L34" s="3807">
        <f t="shared" si="25"/>
        <v>0</v>
      </c>
      <c r="M34" s="3807">
        <f>H34</f>
        <v>190668</v>
      </c>
      <c r="N34" s="3811">
        <v>52332</v>
      </c>
      <c r="O34" s="3807" t="e">
        <f t="shared" ref="O34:O49" si="28">N34/C34*100</f>
        <v>#DIV/0!</v>
      </c>
      <c r="P34" s="3807">
        <f>0</f>
        <v>0</v>
      </c>
      <c r="Q34" s="3807">
        <f>N34-P34</f>
        <v>52332</v>
      </c>
      <c r="R34" s="3807">
        <f t="shared" si="26"/>
        <v>0</v>
      </c>
      <c r="S34" s="3807">
        <f>N34</f>
        <v>52332</v>
      </c>
      <c r="T34" s="3807">
        <f t="shared" si="13"/>
        <v>243000</v>
      </c>
      <c r="U34" s="3807" t="e">
        <f t="shared" si="6"/>
        <v>#DIV/0!</v>
      </c>
      <c r="V34" s="3807">
        <f t="shared" si="10"/>
        <v>0</v>
      </c>
      <c r="W34" s="3807">
        <f t="shared" si="10"/>
        <v>243000</v>
      </c>
      <c r="X34" s="3807">
        <f t="shared" si="10"/>
        <v>0</v>
      </c>
      <c r="Y34" s="3807">
        <f>S34+M34</f>
        <v>243000</v>
      </c>
      <c r="Z34" s="3807">
        <f t="shared" si="11"/>
        <v>243000</v>
      </c>
      <c r="AA34" s="3807">
        <f t="shared" si="12"/>
        <v>0</v>
      </c>
      <c r="AB34" s="3807">
        <f t="shared" si="12"/>
        <v>243000</v>
      </c>
      <c r="AC34" s="3807">
        <f t="shared" si="12"/>
        <v>0</v>
      </c>
      <c r="AD34" s="3828">
        <f t="shared" si="12"/>
        <v>243000</v>
      </c>
    </row>
    <row r="35" spans="1:30" ht="17.399999999999999">
      <c r="A35" s="3827">
        <v>6</v>
      </c>
      <c r="B35" s="3806" t="s">
        <v>96</v>
      </c>
      <c r="C35" s="3799"/>
      <c r="D35" s="3799"/>
      <c r="E35" s="3799"/>
      <c r="F35" s="3799"/>
      <c r="G35" s="3799"/>
      <c r="H35" s="3811">
        <v>201</v>
      </c>
      <c r="I35" s="3807"/>
      <c r="J35" s="3807">
        <f>0</f>
        <v>0</v>
      </c>
      <c r="K35" s="3807">
        <f t="shared" ref="K35:K48" si="29">H35-J35</f>
        <v>201</v>
      </c>
      <c r="L35" s="3807">
        <f t="shared" si="25"/>
        <v>0</v>
      </c>
      <c r="M35" s="3807">
        <f>H35</f>
        <v>201</v>
      </c>
      <c r="N35" s="3811">
        <v>2</v>
      </c>
      <c r="O35" s="3807"/>
      <c r="P35" s="3807">
        <f>0</f>
        <v>0</v>
      </c>
      <c r="Q35" s="3807">
        <f t="shared" ref="Q35:Q48" si="30">N35-P35</f>
        <v>2</v>
      </c>
      <c r="R35" s="3807">
        <f t="shared" si="26"/>
        <v>0</v>
      </c>
      <c r="S35" s="3807">
        <f>N35</f>
        <v>2</v>
      </c>
      <c r="T35" s="3807">
        <f t="shared" si="13"/>
        <v>203</v>
      </c>
      <c r="U35" s="3807"/>
      <c r="V35" s="3807">
        <f t="shared" si="10"/>
        <v>0</v>
      </c>
      <c r="W35" s="3807">
        <f t="shared" si="10"/>
        <v>203</v>
      </c>
      <c r="X35" s="3807">
        <f t="shared" si="10"/>
        <v>0</v>
      </c>
      <c r="Y35" s="3807">
        <f t="shared" si="10"/>
        <v>203</v>
      </c>
      <c r="Z35" s="3807">
        <f t="shared" si="11"/>
        <v>203</v>
      </c>
      <c r="AA35" s="3807">
        <f t="shared" si="12"/>
        <v>0</v>
      </c>
      <c r="AB35" s="3807">
        <f t="shared" si="12"/>
        <v>203</v>
      </c>
      <c r="AC35" s="3807">
        <f t="shared" si="12"/>
        <v>0</v>
      </c>
      <c r="AD35" s="3828">
        <f t="shared" si="12"/>
        <v>203</v>
      </c>
    </row>
    <row r="36" spans="1:30" ht="17.399999999999999">
      <c r="A36" s="3827">
        <v>7</v>
      </c>
      <c r="B36" s="3806" t="s">
        <v>119</v>
      </c>
      <c r="C36" s="3799"/>
      <c r="D36" s="3799"/>
      <c r="E36" s="3799"/>
      <c r="F36" s="3799"/>
      <c r="G36" s="3799"/>
      <c r="H36" s="3812">
        <v>5124</v>
      </c>
      <c r="I36" s="3807" t="e">
        <f t="shared" ref="I36:I54" si="31">H36/C36*100</f>
        <v>#DIV/0!</v>
      </c>
      <c r="J36" s="3807">
        <f>0</f>
        <v>0</v>
      </c>
      <c r="K36" s="3807">
        <f t="shared" si="29"/>
        <v>5124</v>
      </c>
      <c r="L36" s="3807">
        <f t="shared" si="25"/>
        <v>0</v>
      </c>
      <c r="M36" s="3807">
        <f>H36</f>
        <v>5124</v>
      </c>
      <c r="N36" s="3812">
        <v>3876</v>
      </c>
      <c r="O36" s="3807" t="e">
        <f t="shared" si="28"/>
        <v>#DIV/0!</v>
      </c>
      <c r="P36" s="3807">
        <f>0</f>
        <v>0</v>
      </c>
      <c r="Q36" s="3807">
        <f t="shared" si="30"/>
        <v>3876</v>
      </c>
      <c r="R36" s="3807">
        <f t="shared" si="26"/>
        <v>0</v>
      </c>
      <c r="S36" s="3807">
        <f>N36</f>
        <v>3876</v>
      </c>
      <c r="T36" s="3807">
        <f t="shared" si="13"/>
        <v>9000</v>
      </c>
      <c r="U36" s="3807" t="e">
        <f t="shared" si="6"/>
        <v>#DIV/0!</v>
      </c>
      <c r="V36" s="3807">
        <f t="shared" si="10"/>
        <v>0</v>
      </c>
      <c r="W36" s="3807">
        <f t="shared" si="10"/>
        <v>9000</v>
      </c>
      <c r="X36" s="3807">
        <f t="shared" si="10"/>
        <v>0</v>
      </c>
      <c r="Y36" s="3807">
        <f t="shared" si="10"/>
        <v>9000</v>
      </c>
      <c r="Z36" s="3807">
        <f t="shared" si="11"/>
        <v>9000</v>
      </c>
      <c r="AA36" s="3807">
        <f t="shared" si="12"/>
        <v>0</v>
      </c>
      <c r="AB36" s="3807">
        <f t="shared" si="12"/>
        <v>9000</v>
      </c>
      <c r="AC36" s="3807">
        <f t="shared" si="12"/>
        <v>0</v>
      </c>
      <c r="AD36" s="3828">
        <f t="shared" si="12"/>
        <v>9000</v>
      </c>
    </row>
    <row r="37" spans="1:30" ht="17.399999999999999">
      <c r="A37" s="3830">
        <v>8</v>
      </c>
      <c r="B37" s="3813" t="s">
        <v>97</v>
      </c>
      <c r="C37" s="3799"/>
      <c r="D37" s="3799"/>
      <c r="E37" s="3799"/>
      <c r="F37" s="3799"/>
      <c r="G37" s="3799"/>
      <c r="H37" s="3812">
        <v>362140</v>
      </c>
      <c r="I37" s="3807" t="e">
        <f t="shared" si="31"/>
        <v>#DIV/0!</v>
      </c>
      <c r="J37" s="3807">
        <f>0</f>
        <v>0</v>
      </c>
      <c r="K37" s="3807">
        <f t="shared" si="29"/>
        <v>362140</v>
      </c>
      <c r="L37" s="3807">
        <f t="shared" si="25"/>
        <v>362140</v>
      </c>
      <c r="M37" s="3807">
        <v>0</v>
      </c>
      <c r="N37" s="3812">
        <v>92860</v>
      </c>
      <c r="O37" s="3807" t="e">
        <f t="shared" si="28"/>
        <v>#DIV/0!</v>
      </c>
      <c r="P37" s="3807">
        <f>0</f>
        <v>0</v>
      </c>
      <c r="Q37" s="3807">
        <f t="shared" si="30"/>
        <v>92860</v>
      </c>
      <c r="R37" s="3807">
        <f t="shared" si="26"/>
        <v>92860</v>
      </c>
      <c r="S37" s="3807">
        <v>0</v>
      </c>
      <c r="T37" s="3807">
        <f t="shared" si="13"/>
        <v>455000</v>
      </c>
      <c r="U37" s="3807" t="e">
        <f t="shared" si="6"/>
        <v>#DIV/0!</v>
      </c>
      <c r="V37" s="3807">
        <f t="shared" si="10"/>
        <v>0</v>
      </c>
      <c r="W37" s="3807">
        <f t="shared" si="10"/>
        <v>455000</v>
      </c>
      <c r="X37" s="3807">
        <f t="shared" si="10"/>
        <v>455000</v>
      </c>
      <c r="Y37" s="3807">
        <f t="shared" si="10"/>
        <v>0</v>
      </c>
      <c r="Z37" s="3807">
        <f t="shared" si="11"/>
        <v>455000</v>
      </c>
      <c r="AA37" s="3807">
        <f t="shared" si="12"/>
        <v>0</v>
      </c>
      <c r="AB37" s="3807">
        <f t="shared" si="12"/>
        <v>455000</v>
      </c>
      <c r="AC37" s="3807">
        <f t="shared" si="12"/>
        <v>455000</v>
      </c>
      <c r="AD37" s="3828">
        <f t="shared" si="12"/>
        <v>0</v>
      </c>
    </row>
    <row r="38" spans="1:30" ht="17.399999999999999">
      <c r="A38" s="3827">
        <v>9</v>
      </c>
      <c r="B38" s="3806" t="s">
        <v>108</v>
      </c>
      <c r="C38" s="3799"/>
      <c r="D38" s="3799"/>
      <c r="E38" s="3799"/>
      <c r="F38" s="3799"/>
      <c r="G38" s="3799"/>
      <c r="H38" s="3812">
        <v>621429</v>
      </c>
      <c r="I38" s="3807" t="e">
        <f t="shared" si="31"/>
        <v>#DIV/0!</v>
      </c>
      <c r="J38" s="3807">
        <f>ROUND(H38*52%,-3)</f>
        <v>323000</v>
      </c>
      <c r="K38" s="3807">
        <f t="shared" si="29"/>
        <v>298429</v>
      </c>
      <c r="L38" s="3807">
        <f t="shared" si="25"/>
        <v>298429</v>
      </c>
      <c r="M38" s="3807">
        <v>0</v>
      </c>
      <c r="N38" s="3812">
        <v>396571</v>
      </c>
      <c r="O38" s="3807" t="e">
        <f t="shared" si="28"/>
        <v>#DIV/0!</v>
      </c>
      <c r="P38" s="3807">
        <f>ROUND(N38*52%,-3)</f>
        <v>206000</v>
      </c>
      <c r="Q38" s="3807">
        <f t="shared" si="30"/>
        <v>190571</v>
      </c>
      <c r="R38" s="3807">
        <f t="shared" si="26"/>
        <v>190571</v>
      </c>
      <c r="S38" s="3807">
        <v>0</v>
      </c>
      <c r="T38" s="3807">
        <f t="shared" si="13"/>
        <v>1018000</v>
      </c>
      <c r="U38" s="3807" t="e">
        <f t="shared" si="6"/>
        <v>#DIV/0!</v>
      </c>
      <c r="V38" s="3807">
        <f t="shared" si="10"/>
        <v>529000</v>
      </c>
      <c r="W38" s="3807">
        <f t="shared" si="10"/>
        <v>489000</v>
      </c>
      <c r="X38" s="3807">
        <f t="shared" si="10"/>
        <v>489000</v>
      </c>
      <c r="Y38" s="3807">
        <f t="shared" si="10"/>
        <v>0</v>
      </c>
      <c r="Z38" s="3807">
        <f t="shared" si="11"/>
        <v>1018000</v>
      </c>
      <c r="AA38" s="3807">
        <f t="shared" si="12"/>
        <v>529000</v>
      </c>
      <c r="AB38" s="3807">
        <f t="shared" si="12"/>
        <v>489000</v>
      </c>
      <c r="AC38" s="3807">
        <f t="shared" si="12"/>
        <v>489000</v>
      </c>
      <c r="AD38" s="3828">
        <f t="shared" si="12"/>
        <v>0</v>
      </c>
    </row>
    <row r="39" spans="1:30" ht="17.399999999999999">
      <c r="A39" s="3830">
        <v>10</v>
      </c>
      <c r="B39" s="3813" t="s">
        <v>17</v>
      </c>
      <c r="C39" s="3799"/>
      <c r="D39" s="3799"/>
      <c r="E39" s="3799"/>
      <c r="F39" s="3799"/>
      <c r="G39" s="3799"/>
      <c r="H39" s="3812">
        <v>106821</v>
      </c>
      <c r="I39" s="3807" t="e">
        <f t="shared" si="31"/>
        <v>#DIV/0!</v>
      </c>
      <c r="J39" s="3807">
        <v>33000</v>
      </c>
      <c r="K39" s="3807">
        <f t="shared" si="29"/>
        <v>73821</v>
      </c>
      <c r="L39" s="3807">
        <f t="shared" si="25"/>
        <v>29821</v>
      </c>
      <c r="M39" s="3807">
        <v>44000</v>
      </c>
      <c r="N39" s="3812">
        <v>51179</v>
      </c>
      <c r="O39" s="3807" t="e">
        <f t="shared" si="28"/>
        <v>#DIV/0!</v>
      </c>
      <c r="P39" s="3807">
        <v>16000</v>
      </c>
      <c r="Q39" s="3807">
        <f>N39-P39</f>
        <v>35179</v>
      </c>
      <c r="R39" s="3807">
        <f>Q39-S39</f>
        <v>3179</v>
      </c>
      <c r="S39" s="3807">
        <v>32000</v>
      </c>
      <c r="T39" s="3807">
        <f t="shared" si="13"/>
        <v>158000</v>
      </c>
      <c r="U39" s="3807" t="e">
        <f t="shared" si="6"/>
        <v>#DIV/0!</v>
      </c>
      <c r="V39" s="3807">
        <f t="shared" si="10"/>
        <v>49000</v>
      </c>
      <c r="W39" s="3807">
        <f t="shared" si="10"/>
        <v>109000</v>
      </c>
      <c r="X39" s="3807">
        <f t="shared" si="10"/>
        <v>33000</v>
      </c>
      <c r="Y39" s="3807">
        <f t="shared" si="10"/>
        <v>76000</v>
      </c>
      <c r="Z39" s="3807">
        <f t="shared" si="11"/>
        <v>158000</v>
      </c>
      <c r="AA39" s="3807">
        <f t="shared" si="12"/>
        <v>49000</v>
      </c>
      <c r="AB39" s="3807">
        <f t="shared" si="12"/>
        <v>109000</v>
      </c>
      <c r="AC39" s="3807">
        <f t="shared" si="12"/>
        <v>33000</v>
      </c>
      <c r="AD39" s="3828">
        <f t="shared" si="12"/>
        <v>76000</v>
      </c>
    </row>
    <row r="40" spans="1:30" ht="17.399999999999999">
      <c r="A40" s="3827">
        <v>11</v>
      </c>
      <c r="B40" s="3806" t="s">
        <v>18</v>
      </c>
      <c r="C40" s="3799"/>
      <c r="D40" s="3799"/>
      <c r="E40" s="3799"/>
      <c r="F40" s="3799"/>
      <c r="G40" s="3799"/>
      <c r="H40" s="3812">
        <v>559711</v>
      </c>
      <c r="I40" s="3807" t="e">
        <f>H40/C40*100</f>
        <v>#DIV/0!</v>
      </c>
      <c r="J40" s="3807">
        <f>0</f>
        <v>0</v>
      </c>
      <c r="K40" s="3807">
        <f t="shared" si="29"/>
        <v>559711</v>
      </c>
      <c r="L40" s="3807">
        <v>11000</v>
      </c>
      <c r="M40" s="3807">
        <f>H40-L40</f>
        <v>548711</v>
      </c>
      <c r="N40" s="3812">
        <v>391289</v>
      </c>
      <c r="O40" s="3807" t="e">
        <f t="shared" si="28"/>
        <v>#DIV/0!</v>
      </c>
      <c r="P40" s="3807">
        <f>0</f>
        <v>0</v>
      </c>
      <c r="Q40" s="3807">
        <f t="shared" si="30"/>
        <v>391289</v>
      </c>
      <c r="R40" s="3807">
        <f>F40-L40</f>
        <v>-11000</v>
      </c>
      <c r="S40" s="3807">
        <f>Q40-R40</f>
        <v>402289</v>
      </c>
      <c r="T40" s="3807">
        <f t="shared" si="13"/>
        <v>951000</v>
      </c>
      <c r="U40" s="3807" t="e">
        <f t="shared" si="6"/>
        <v>#DIV/0!</v>
      </c>
      <c r="V40" s="3807">
        <f t="shared" si="10"/>
        <v>0</v>
      </c>
      <c r="W40" s="3807">
        <f t="shared" si="10"/>
        <v>951000</v>
      </c>
      <c r="X40" s="3807">
        <f t="shared" si="10"/>
        <v>0</v>
      </c>
      <c r="Y40" s="3807">
        <f t="shared" si="10"/>
        <v>951000</v>
      </c>
      <c r="Z40" s="3807">
        <f t="shared" si="11"/>
        <v>951000</v>
      </c>
      <c r="AA40" s="3807">
        <f t="shared" si="12"/>
        <v>0</v>
      </c>
      <c r="AB40" s="3807">
        <f t="shared" si="12"/>
        <v>951000</v>
      </c>
      <c r="AC40" s="3807">
        <f t="shared" si="12"/>
        <v>0</v>
      </c>
      <c r="AD40" s="3828">
        <f t="shared" si="12"/>
        <v>951000</v>
      </c>
    </row>
    <row r="41" spans="1:30" ht="17.399999999999999">
      <c r="A41" s="3827">
        <v>12</v>
      </c>
      <c r="B41" s="3806" t="s">
        <v>98</v>
      </c>
      <c r="C41" s="3799"/>
      <c r="D41" s="3799"/>
      <c r="E41" s="3799"/>
      <c r="F41" s="3799"/>
      <c r="G41" s="3799"/>
      <c r="H41" s="3812">
        <v>163678</v>
      </c>
      <c r="I41" s="3807" t="e">
        <f t="shared" si="31"/>
        <v>#DIV/0!</v>
      </c>
      <c r="J41" s="3807">
        <f>0</f>
        <v>0</v>
      </c>
      <c r="K41" s="3807">
        <f t="shared" si="29"/>
        <v>163678</v>
      </c>
      <c r="L41" s="3807">
        <f t="shared" si="25"/>
        <v>0</v>
      </c>
      <c r="M41" s="3807">
        <f>H41</f>
        <v>163678</v>
      </c>
      <c r="N41" s="3812">
        <v>90322</v>
      </c>
      <c r="O41" s="3807" t="e">
        <f t="shared" si="28"/>
        <v>#DIV/0!</v>
      </c>
      <c r="P41" s="3807">
        <f>0</f>
        <v>0</v>
      </c>
      <c r="Q41" s="3807">
        <f t="shared" si="30"/>
        <v>90322</v>
      </c>
      <c r="R41" s="3807">
        <f>F41-L41</f>
        <v>0</v>
      </c>
      <c r="S41" s="3807">
        <f>Q41-R41</f>
        <v>90322</v>
      </c>
      <c r="T41" s="3807">
        <f t="shared" si="13"/>
        <v>254000</v>
      </c>
      <c r="U41" s="3807" t="e">
        <f t="shared" si="6"/>
        <v>#DIV/0!</v>
      </c>
      <c r="V41" s="3807">
        <f t="shared" si="10"/>
        <v>0</v>
      </c>
      <c r="W41" s="3807">
        <f t="shared" si="10"/>
        <v>254000</v>
      </c>
      <c r="X41" s="3807">
        <f t="shared" si="10"/>
        <v>0</v>
      </c>
      <c r="Y41" s="3807">
        <f t="shared" si="10"/>
        <v>254000</v>
      </c>
      <c r="Z41" s="3807">
        <f t="shared" si="11"/>
        <v>254000</v>
      </c>
      <c r="AA41" s="3807">
        <f t="shared" si="12"/>
        <v>0</v>
      </c>
      <c r="AB41" s="3807">
        <f t="shared" si="12"/>
        <v>254000</v>
      </c>
      <c r="AC41" s="3807">
        <f t="shared" si="12"/>
        <v>0</v>
      </c>
      <c r="AD41" s="3828">
        <f t="shared" si="12"/>
        <v>254000</v>
      </c>
    </row>
    <row r="42" spans="1:30" ht="17.399999999999999">
      <c r="A42" s="3827">
        <v>13</v>
      </c>
      <c r="B42" s="3806" t="s">
        <v>136</v>
      </c>
      <c r="C42" s="3799"/>
      <c r="D42" s="3799"/>
      <c r="E42" s="3799"/>
      <c r="F42" s="3799"/>
      <c r="G42" s="3799"/>
      <c r="H42" s="3807">
        <f>9</f>
        <v>9</v>
      </c>
      <c r="I42" s="3807"/>
      <c r="J42" s="3807"/>
      <c r="K42" s="3807">
        <f t="shared" si="29"/>
        <v>9</v>
      </c>
      <c r="L42" s="3807">
        <f t="shared" si="25"/>
        <v>9</v>
      </c>
      <c r="M42" s="3807"/>
      <c r="N42" s="3807">
        <v>11</v>
      </c>
      <c r="O42" s="3807"/>
      <c r="P42" s="3807"/>
      <c r="Q42" s="3807">
        <f t="shared" si="30"/>
        <v>11</v>
      </c>
      <c r="R42" s="3807">
        <f>Q42</f>
        <v>11</v>
      </c>
      <c r="S42" s="3807">
        <v>0</v>
      </c>
      <c r="T42" s="3807">
        <f t="shared" si="13"/>
        <v>20</v>
      </c>
      <c r="U42" s="3807"/>
      <c r="V42" s="3807">
        <f t="shared" si="10"/>
        <v>0</v>
      </c>
      <c r="W42" s="3807">
        <f t="shared" si="10"/>
        <v>20</v>
      </c>
      <c r="X42" s="3807">
        <f t="shared" si="10"/>
        <v>20</v>
      </c>
      <c r="Y42" s="3807">
        <f t="shared" si="10"/>
        <v>0</v>
      </c>
      <c r="Z42" s="3807">
        <f t="shared" si="11"/>
        <v>20</v>
      </c>
      <c r="AA42" s="3807">
        <f t="shared" si="12"/>
        <v>0</v>
      </c>
      <c r="AB42" s="3807">
        <f t="shared" si="12"/>
        <v>20</v>
      </c>
      <c r="AC42" s="3807">
        <f t="shared" si="12"/>
        <v>20</v>
      </c>
      <c r="AD42" s="3828">
        <f t="shared" si="12"/>
        <v>0</v>
      </c>
    </row>
    <row r="43" spans="1:30" ht="17.399999999999999">
      <c r="A43" s="3830">
        <v>14</v>
      </c>
      <c r="B43" s="3813" t="s">
        <v>127</v>
      </c>
      <c r="C43" s="3799"/>
      <c r="D43" s="3799"/>
      <c r="E43" s="3799"/>
      <c r="F43" s="3799"/>
      <c r="G43" s="3799"/>
      <c r="H43" s="3812">
        <v>146346</v>
      </c>
      <c r="I43" s="3807" t="e">
        <f t="shared" si="31"/>
        <v>#DIV/0!</v>
      </c>
      <c r="J43" s="3807">
        <v>43000</v>
      </c>
      <c r="K43" s="3807">
        <f t="shared" si="29"/>
        <v>103346</v>
      </c>
      <c r="L43" s="3807">
        <f t="shared" si="25"/>
        <v>23346</v>
      </c>
      <c r="M43" s="3807">
        <v>80000</v>
      </c>
      <c r="N43" s="3812">
        <v>107654</v>
      </c>
      <c r="O43" s="3807" t="e">
        <f t="shared" si="28"/>
        <v>#DIV/0!</v>
      </c>
      <c r="P43" s="3807">
        <v>35000</v>
      </c>
      <c r="Q43" s="3807">
        <f t="shared" si="30"/>
        <v>72654</v>
      </c>
      <c r="R43" s="3807">
        <f>Q43-S43</f>
        <v>33654</v>
      </c>
      <c r="S43" s="3807">
        <v>39000</v>
      </c>
      <c r="T43" s="3807">
        <f>N43+H43</f>
        <v>254000</v>
      </c>
      <c r="U43" s="3807" t="e">
        <f t="shared" si="6"/>
        <v>#DIV/0!</v>
      </c>
      <c r="V43" s="3807">
        <f t="shared" si="10"/>
        <v>78000</v>
      </c>
      <c r="W43" s="3807">
        <f t="shared" si="10"/>
        <v>176000</v>
      </c>
      <c r="X43" s="3807">
        <f t="shared" si="10"/>
        <v>57000</v>
      </c>
      <c r="Y43" s="3807">
        <f>S43+M43</f>
        <v>119000</v>
      </c>
      <c r="Z43" s="3807">
        <f t="shared" si="11"/>
        <v>254000</v>
      </c>
      <c r="AA43" s="3807">
        <f t="shared" si="12"/>
        <v>78000</v>
      </c>
      <c r="AB43" s="3807">
        <f t="shared" si="12"/>
        <v>176000</v>
      </c>
      <c r="AC43" s="3807">
        <f t="shared" si="12"/>
        <v>57000</v>
      </c>
      <c r="AD43" s="3828">
        <f t="shared" si="12"/>
        <v>119000</v>
      </c>
    </row>
    <row r="44" spans="1:30" ht="17.399999999999999">
      <c r="A44" s="3827">
        <v>15</v>
      </c>
      <c r="B44" s="3806" t="s">
        <v>128</v>
      </c>
      <c r="C44" s="3799"/>
      <c r="D44" s="3799"/>
      <c r="E44" s="3799"/>
      <c r="F44" s="3799"/>
      <c r="G44" s="3799"/>
      <c r="H44" s="3812">
        <v>1197</v>
      </c>
      <c r="I44" s="3807" t="e">
        <f t="shared" si="31"/>
        <v>#DIV/0!</v>
      </c>
      <c r="J44" s="3807">
        <f>0</f>
        <v>0</v>
      </c>
      <c r="K44" s="3807">
        <f t="shared" si="29"/>
        <v>1197</v>
      </c>
      <c r="L44" s="3807">
        <f t="shared" si="25"/>
        <v>1197</v>
      </c>
      <c r="M44" s="3807">
        <v>0</v>
      </c>
      <c r="N44" s="3812">
        <v>19803</v>
      </c>
      <c r="O44" s="3807" t="e">
        <f t="shared" si="28"/>
        <v>#DIV/0!</v>
      </c>
      <c r="P44" s="3807">
        <f>0</f>
        <v>0</v>
      </c>
      <c r="Q44" s="3807">
        <f t="shared" si="30"/>
        <v>19803</v>
      </c>
      <c r="R44" s="3807">
        <f>Q44-S44</f>
        <v>19803</v>
      </c>
      <c r="S44" s="3807">
        <v>0</v>
      </c>
      <c r="T44" s="3807">
        <f t="shared" si="13"/>
        <v>21000</v>
      </c>
      <c r="U44" s="3807" t="e">
        <f t="shared" si="6"/>
        <v>#DIV/0!</v>
      </c>
      <c r="V44" s="3807">
        <f t="shared" si="10"/>
        <v>0</v>
      </c>
      <c r="W44" s="3807">
        <f t="shared" si="10"/>
        <v>21000</v>
      </c>
      <c r="X44" s="3807">
        <f>R44+L44</f>
        <v>21000</v>
      </c>
      <c r="Y44" s="3807">
        <f t="shared" si="10"/>
        <v>0</v>
      </c>
      <c r="Z44" s="3807">
        <f t="shared" si="11"/>
        <v>21000</v>
      </c>
      <c r="AA44" s="3807">
        <f t="shared" si="12"/>
        <v>0</v>
      </c>
      <c r="AB44" s="3807">
        <f t="shared" si="12"/>
        <v>21000</v>
      </c>
      <c r="AC44" s="3807">
        <f t="shared" si="12"/>
        <v>21000</v>
      </c>
      <c r="AD44" s="3828">
        <f t="shared" si="12"/>
        <v>0</v>
      </c>
    </row>
    <row r="45" spans="1:30" ht="17.399999999999999">
      <c r="A45" s="3827">
        <v>16</v>
      </c>
      <c r="B45" s="3806" t="s">
        <v>129</v>
      </c>
      <c r="C45" s="3799"/>
      <c r="D45" s="3799"/>
      <c r="E45" s="3799"/>
      <c r="F45" s="3799"/>
      <c r="G45" s="3799"/>
      <c r="H45" s="3807">
        <f>1365+38777</f>
        <v>40142</v>
      </c>
      <c r="I45" s="3807" t="e">
        <f t="shared" si="31"/>
        <v>#DIV/0!</v>
      </c>
      <c r="J45" s="3807">
        <f>0</f>
        <v>0</v>
      </c>
      <c r="K45" s="3807">
        <f t="shared" si="29"/>
        <v>40142</v>
      </c>
      <c r="L45" s="3807">
        <f t="shared" si="25"/>
        <v>40142</v>
      </c>
      <c r="M45" s="3807">
        <v>0</v>
      </c>
      <c r="N45" s="3807">
        <f>C45-H45</f>
        <v>-40142</v>
      </c>
      <c r="O45" s="3807" t="e">
        <f t="shared" si="28"/>
        <v>#DIV/0!</v>
      </c>
      <c r="P45" s="3807">
        <f>0</f>
        <v>0</v>
      </c>
      <c r="Q45" s="3807">
        <f t="shared" si="30"/>
        <v>-40142</v>
      </c>
      <c r="R45" s="3807">
        <f t="shared" ref="R45:R46" si="32">Q45-S45</f>
        <v>-40142</v>
      </c>
      <c r="S45" s="3807">
        <v>0</v>
      </c>
      <c r="T45" s="3807">
        <f t="shared" si="13"/>
        <v>0</v>
      </c>
      <c r="U45" s="3807" t="e">
        <f t="shared" si="6"/>
        <v>#DIV/0!</v>
      </c>
      <c r="V45" s="3807">
        <f t="shared" si="10"/>
        <v>0</v>
      </c>
      <c r="W45" s="3807">
        <f t="shared" si="10"/>
        <v>0</v>
      </c>
      <c r="X45" s="3807">
        <f t="shared" si="10"/>
        <v>0</v>
      </c>
      <c r="Y45" s="3807">
        <f t="shared" si="10"/>
        <v>0</v>
      </c>
      <c r="Z45" s="3807">
        <f t="shared" si="11"/>
        <v>0</v>
      </c>
      <c r="AA45" s="3807">
        <f t="shared" si="12"/>
        <v>0</v>
      </c>
      <c r="AB45" s="3807">
        <f t="shared" si="12"/>
        <v>0</v>
      </c>
      <c r="AC45" s="3807">
        <f t="shared" si="12"/>
        <v>0</v>
      </c>
      <c r="AD45" s="3828">
        <f t="shared" si="12"/>
        <v>0</v>
      </c>
    </row>
    <row r="46" spans="1:30" ht="18">
      <c r="A46" s="3831" t="s">
        <v>137</v>
      </c>
      <c r="B46" s="3814" t="s">
        <v>138</v>
      </c>
      <c r="C46" s="3799"/>
      <c r="D46" s="3799"/>
      <c r="E46" s="3799"/>
      <c r="F46" s="3799"/>
      <c r="G46" s="3799"/>
      <c r="H46" s="3815">
        <v>38777</v>
      </c>
      <c r="I46" s="3815" t="e">
        <f t="shared" si="31"/>
        <v>#DIV/0!</v>
      </c>
      <c r="J46" s="3815"/>
      <c r="K46" s="3815">
        <f t="shared" si="29"/>
        <v>38777</v>
      </c>
      <c r="L46" s="3815">
        <f t="shared" si="25"/>
        <v>38777</v>
      </c>
      <c r="M46" s="3815">
        <v>0</v>
      </c>
      <c r="N46" s="3815">
        <f>C46-H46</f>
        <v>-38777</v>
      </c>
      <c r="O46" s="3815" t="e">
        <f t="shared" si="28"/>
        <v>#DIV/0!</v>
      </c>
      <c r="P46" s="3815"/>
      <c r="Q46" s="3815">
        <f t="shared" si="30"/>
        <v>-38777</v>
      </c>
      <c r="R46" s="3815">
        <f t="shared" si="32"/>
        <v>-38777</v>
      </c>
      <c r="S46" s="3815">
        <v>0</v>
      </c>
      <c r="T46" s="3815">
        <f t="shared" si="13"/>
        <v>0</v>
      </c>
      <c r="U46" s="3815" t="e">
        <f t="shared" si="6"/>
        <v>#DIV/0!</v>
      </c>
      <c r="V46" s="3815">
        <f t="shared" si="10"/>
        <v>0</v>
      </c>
      <c r="W46" s="3815">
        <f t="shared" si="10"/>
        <v>0</v>
      </c>
      <c r="X46" s="3815">
        <f t="shared" si="10"/>
        <v>0</v>
      </c>
      <c r="Y46" s="3815"/>
      <c r="Z46" s="3815"/>
      <c r="AA46" s="3815"/>
      <c r="AB46" s="3815"/>
      <c r="AC46" s="3815"/>
      <c r="AD46" s="3832"/>
    </row>
    <row r="47" spans="1:30" ht="17.399999999999999">
      <c r="A47" s="3827">
        <v>17</v>
      </c>
      <c r="B47" s="3806" t="s">
        <v>19</v>
      </c>
      <c r="C47" s="3799"/>
      <c r="D47" s="3799"/>
      <c r="E47" s="3799"/>
      <c r="F47" s="3799"/>
      <c r="G47" s="3799"/>
      <c r="H47" s="3807">
        <v>1832</v>
      </c>
      <c r="I47" s="3807" t="e">
        <f t="shared" si="31"/>
        <v>#DIV/0!</v>
      </c>
      <c r="J47" s="3807">
        <f>0</f>
        <v>0</v>
      </c>
      <c r="K47" s="3807">
        <f t="shared" si="29"/>
        <v>1832</v>
      </c>
      <c r="L47" s="3807">
        <f>K47-M47</f>
        <v>0</v>
      </c>
      <c r="M47" s="3807">
        <f>H47</f>
        <v>1832</v>
      </c>
      <c r="N47" s="3812">
        <v>1168</v>
      </c>
      <c r="O47" s="3807" t="e">
        <f t="shared" si="28"/>
        <v>#DIV/0!</v>
      </c>
      <c r="P47" s="3807">
        <f>0</f>
        <v>0</v>
      </c>
      <c r="Q47" s="3807">
        <f t="shared" si="30"/>
        <v>1168</v>
      </c>
      <c r="R47" s="3807">
        <f t="shared" si="26"/>
        <v>0</v>
      </c>
      <c r="S47" s="3807">
        <f>N47</f>
        <v>1168</v>
      </c>
      <c r="T47" s="3807">
        <f t="shared" si="13"/>
        <v>3000</v>
      </c>
      <c r="U47" s="3807" t="e">
        <f t="shared" si="6"/>
        <v>#DIV/0!</v>
      </c>
      <c r="V47" s="3807">
        <f t="shared" si="10"/>
        <v>0</v>
      </c>
      <c r="W47" s="3807">
        <f t="shared" si="10"/>
        <v>3000</v>
      </c>
      <c r="X47" s="3807">
        <f t="shared" si="10"/>
        <v>0</v>
      </c>
      <c r="Y47" s="3807">
        <f t="shared" si="10"/>
        <v>3000</v>
      </c>
      <c r="Z47" s="3807">
        <f t="shared" si="11"/>
        <v>3000</v>
      </c>
      <c r="AA47" s="3807">
        <f t="shared" si="12"/>
        <v>0</v>
      </c>
      <c r="AB47" s="3807">
        <f t="shared" si="12"/>
        <v>3000</v>
      </c>
      <c r="AC47" s="3807">
        <f t="shared" si="12"/>
        <v>0</v>
      </c>
      <c r="AD47" s="3828">
        <f t="shared" si="12"/>
        <v>3000</v>
      </c>
    </row>
    <row r="48" spans="1:30" ht="17.399999999999999">
      <c r="A48" s="3827">
        <v>18</v>
      </c>
      <c r="B48" s="3806" t="s">
        <v>101</v>
      </c>
      <c r="C48" s="3799"/>
      <c r="D48" s="3799"/>
      <c r="E48" s="3799"/>
      <c r="F48" s="3799"/>
      <c r="G48" s="3799"/>
      <c r="H48" s="3807">
        <v>800515</v>
      </c>
      <c r="I48" s="3807" t="e">
        <f t="shared" si="31"/>
        <v>#DIV/0!</v>
      </c>
      <c r="J48" s="3807">
        <v>0</v>
      </c>
      <c r="K48" s="3807">
        <f t="shared" si="29"/>
        <v>800515</v>
      </c>
      <c r="L48" s="3807">
        <f>H48</f>
        <v>800515</v>
      </c>
      <c r="M48" s="3807">
        <v>0</v>
      </c>
      <c r="N48" s="3812">
        <v>699485</v>
      </c>
      <c r="O48" s="3807"/>
      <c r="P48" s="3807">
        <v>0</v>
      </c>
      <c r="Q48" s="3807">
        <f t="shared" si="30"/>
        <v>699485</v>
      </c>
      <c r="R48" s="3807">
        <f>N48</f>
        <v>699485</v>
      </c>
      <c r="S48" s="3807">
        <v>0</v>
      </c>
      <c r="T48" s="3807">
        <f t="shared" si="13"/>
        <v>1500000</v>
      </c>
      <c r="U48" s="3807" t="e">
        <f t="shared" si="6"/>
        <v>#DIV/0!</v>
      </c>
      <c r="V48" s="3807">
        <f t="shared" si="10"/>
        <v>0</v>
      </c>
      <c r="W48" s="3807">
        <f t="shared" si="10"/>
        <v>1500000</v>
      </c>
      <c r="X48" s="3807">
        <f t="shared" si="10"/>
        <v>1500000</v>
      </c>
      <c r="Y48" s="3807">
        <f t="shared" si="10"/>
        <v>0</v>
      </c>
      <c r="Z48" s="3807">
        <f t="shared" si="11"/>
        <v>1500000</v>
      </c>
      <c r="AA48" s="3807">
        <f t="shared" si="12"/>
        <v>0</v>
      </c>
      <c r="AB48" s="3807">
        <f t="shared" si="12"/>
        <v>1500000</v>
      </c>
      <c r="AC48" s="3807">
        <f t="shared" si="12"/>
        <v>1500000</v>
      </c>
      <c r="AD48" s="3828">
        <f t="shared" si="12"/>
        <v>0</v>
      </c>
    </row>
    <row r="49" spans="1:30" ht="17.399999999999999">
      <c r="A49" s="3823" t="s">
        <v>20</v>
      </c>
      <c r="B49" s="3800" t="s">
        <v>107</v>
      </c>
      <c r="C49" s="3799"/>
      <c r="D49" s="3799"/>
      <c r="E49" s="3799"/>
      <c r="F49" s="3799"/>
      <c r="G49" s="3799"/>
      <c r="H49" s="3801">
        <f t="shared" ref="H49" si="33">SUM(H50:H51)</f>
        <v>60000</v>
      </c>
      <c r="I49" s="3807" t="e">
        <f t="shared" si="31"/>
        <v>#DIV/0!</v>
      </c>
      <c r="J49" s="3801">
        <f t="shared" ref="J49:N49" si="34">SUM(J50:J51)</f>
        <v>60000</v>
      </c>
      <c r="K49" s="3801">
        <f t="shared" si="34"/>
        <v>0</v>
      </c>
      <c r="L49" s="3801">
        <f t="shared" si="34"/>
        <v>0</v>
      </c>
      <c r="M49" s="3801">
        <f t="shared" si="34"/>
        <v>0</v>
      </c>
      <c r="N49" s="3801">
        <f t="shared" si="34"/>
        <v>5000</v>
      </c>
      <c r="O49" s="3807" t="e">
        <f t="shared" si="28"/>
        <v>#DIV/0!</v>
      </c>
      <c r="P49" s="3801">
        <f t="shared" ref="P49:S49" si="35">SUM(P50:P51)</f>
        <v>5000</v>
      </c>
      <c r="Q49" s="3801">
        <f t="shared" si="35"/>
        <v>0</v>
      </c>
      <c r="R49" s="3801">
        <f t="shared" si="35"/>
        <v>0</v>
      </c>
      <c r="S49" s="3801">
        <f t="shared" si="35"/>
        <v>0</v>
      </c>
      <c r="T49" s="3801">
        <f t="shared" si="13"/>
        <v>65000</v>
      </c>
      <c r="U49" s="3807" t="e">
        <f t="shared" si="6"/>
        <v>#DIV/0!</v>
      </c>
      <c r="V49" s="3801">
        <f t="shared" si="10"/>
        <v>65000</v>
      </c>
      <c r="W49" s="3801">
        <f t="shared" si="10"/>
        <v>0</v>
      </c>
      <c r="X49" s="3801">
        <f t="shared" si="10"/>
        <v>0</v>
      </c>
      <c r="Y49" s="3801">
        <f t="shared" si="10"/>
        <v>0</v>
      </c>
      <c r="Z49" s="3801">
        <f t="shared" si="11"/>
        <v>65000</v>
      </c>
      <c r="AA49" s="3801">
        <f t="shared" si="12"/>
        <v>65000</v>
      </c>
      <c r="AB49" s="3801">
        <f t="shared" si="12"/>
        <v>0</v>
      </c>
      <c r="AC49" s="3801">
        <f t="shared" si="12"/>
        <v>0</v>
      </c>
      <c r="AD49" s="3824">
        <f t="shared" si="12"/>
        <v>0</v>
      </c>
    </row>
    <row r="50" spans="1:30" ht="18">
      <c r="A50" s="3827"/>
      <c r="B50" s="3808" t="s">
        <v>120</v>
      </c>
      <c r="C50" s="3799"/>
      <c r="D50" s="3799"/>
      <c r="E50" s="3799"/>
      <c r="F50" s="3799"/>
      <c r="G50" s="3799"/>
      <c r="H50" s="3810">
        <f>C50+20000</f>
        <v>20000</v>
      </c>
      <c r="I50" s="3810"/>
      <c r="J50" s="3810">
        <f>H50</f>
        <v>20000</v>
      </c>
      <c r="K50" s="3810">
        <f>L50+M50</f>
        <v>0</v>
      </c>
      <c r="L50" s="3810"/>
      <c r="M50" s="3810"/>
      <c r="N50" s="3810">
        <f>C50/2</f>
        <v>0</v>
      </c>
      <c r="O50" s="3810"/>
      <c r="P50" s="3810">
        <f>N50</f>
        <v>0</v>
      </c>
      <c r="Q50" s="3810">
        <f>R50+S50</f>
        <v>0</v>
      </c>
      <c r="R50" s="3810"/>
      <c r="S50" s="3810"/>
      <c r="T50" s="3810">
        <f t="shared" si="13"/>
        <v>20000</v>
      </c>
      <c r="U50" s="3810" t="e">
        <f t="shared" si="6"/>
        <v>#DIV/0!</v>
      </c>
      <c r="V50" s="3810">
        <f t="shared" si="10"/>
        <v>20000</v>
      </c>
      <c r="W50" s="3810">
        <f t="shared" si="10"/>
        <v>0</v>
      </c>
      <c r="X50" s="3810">
        <f t="shared" si="10"/>
        <v>0</v>
      </c>
      <c r="Y50" s="3810">
        <f t="shared" si="10"/>
        <v>0</v>
      </c>
      <c r="Z50" s="3810">
        <f t="shared" si="11"/>
        <v>20000</v>
      </c>
      <c r="AA50" s="3810">
        <f t="shared" si="12"/>
        <v>20000</v>
      </c>
      <c r="AB50" s="3810">
        <f t="shared" si="12"/>
        <v>0</v>
      </c>
      <c r="AC50" s="3810">
        <f t="shared" si="12"/>
        <v>0</v>
      </c>
      <c r="AD50" s="3829">
        <f t="shared" si="12"/>
        <v>0</v>
      </c>
    </row>
    <row r="51" spans="1:30" ht="18">
      <c r="A51" s="3827"/>
      <c r="B51" s="3808" t="s">
        <v>21</v>
      </c>
      <c r="C51" s="3799"/>
      <c r="D51" s="3799"/>
      <c r="E51" s="3799"/>
      <c r="F51" s="3799"/>
      <c r="G51" s="3799"/>
      <c r="H51" s="3810">
        <f>C51+40000</f>
        <v>40000</v>
      </c>
      <c r="I51" s="3810"/>
      <c r="J51" s="3810">
        <f>H51</f>
        <v>40000</v>
      </c>
      <c r="K51" s="3810">
        <f>L51+M51</f>
        <v>0</v>
      </c>
      <c r="L51" s="3810"/>
      <c r="M51" s="3810"/>
      <c r="N51" s="3810">
        <f>C51/2+5000</f>
        <v>5000</v>
      </c>
      <c r="O51" s="3810"/>
      <c r="P51" s="3810">
        <f>N51</f>
        <v>5000</v>
      </c>
      <c r="Q51" s="3810">
        <f>R51+S51</f>
        <v>0</v>
      </c>
      <c r="R51" s="3810"/>
      <c r="S51" s="3810"/>
      <c r="T51" s="3810">
        <f t="shared" si="13"/>
        <v>45000</v>
      </c>
      <c r="U51" s="3810" t="e">
        <f t="shared" si="6"/>
        <v>#DIV/0!</v>
      </c>
      <c r="V51" s="3810">
        <f t="shared" si="10"/>
        <v>45000</v>
      </c>
      <c r="W51" s="3810">
        <f t="shared" si="10"/>
        <v>0</v>
      </c>
      <c r="X51" s="3810">
        <f t="shared" si="10"/>
        <v>0</v>
      </c>
      <c r="Y51" s="3810">
        <f t="shared" si="10"/>
        <v>0</v>
      </c>
      <c r="Z51" s="3810">
        <f t="shared" si="11"/>
        <v>45000</v>
      </c>
      <c r="AA51" s="3810">
        <f t="shared" si="12"/>
        <v>45000</v>
      </c>
      <c r="AB51" s="3810">
        <f t="shared" si="12"/>
        <v>0</v>
      </c>
      <c r="AC51" s="3810">
        <f t="shared" si="12"/>
        <v>0</v>
      </c>
      <c r="AD51" s="3829">
        <f t="shared" si="12"/>
        <v>0</v>
      </c>
    </row>
    <row r="52" spans="1:30" ht="17.399999999999999">
      <c r="A52" s="3823" t="s">
        <v>22</v>
      </c>
      <c r="B52" s="3800" t="s">
        <v>23</v>
      </c>
      <c r="C52" s="3799"/>
      <c r="D52" s="3799"/>
      <c r="E52" s="3799"/>
      <c r="F52" s="3799"/>
      <c r="G52" s="3799"/>
      <c r="H52" s="3801">
        <f t="shared" ref="H52:S52" si="36">SUM(H53:H54)</f>
        <v>493</v>
      </c>
      <c r="I52" s="3801" t="e">
        <f t="shared" si="31"/>
        <v>#DIV/0!</v>
      </c>
      <c r="J52" s="3801">
        <f t="shared" si="36"/>
        <v>0</v>
      </c>
      <c r="K52" s="3801">
        <f t="shared" si="36"/>
        <v>493</v>
      </c>
      <c r="L52" s="3801">
        <f t="shared" si="36"/>
        <v>493</v>
      </c>
      <c r="M52" s="3801">
        <f t="shared" si="36"/>
        <v>0</v>
      </c>
      <c r="N52" s="3801">
        <f>SUM(N53:N54)</f>
        <v>-493</v>
      </c>
      <c r="O52" s="3801" t="e">
        <f>N52/C52*100</f>
        <v>#DIV/0!</v>
      </c>
      <c r="P52" s="3801">
        <f t="shared" si="36"/>
        <v>0</v>
      </c>
      <c r="Q52" s="3801">
        <f t="shared" si="36"/>
        <v>-493</v>
      </c>
      <c r="R52" s="3801">
        <f t="shared" si="36"/>
        <v>-493</v>
      </c>
      <c r="S52" s="3801">
        <f t="shared" si="36"/>
        <v>0</v>
      </c>
      <c r="T52" s="3801">
        <f t="shared" si="13"/>
        <v>0</v>
      </c>
      <c r="U52" s="3801" t="e">
        <f t="shared" si="6"/>
        <v>#DIV/0!</v>
      </c>
      <c r="V52" s="3801">
        <f t="shared" si="10"/>
        <v>0</v>
      </c>
      <c r="W52" s="3801">
        <f t="shared" si="10"/>
        <v>0</v>
      </c>
      <c r="X52" s="3801">
        <f t="shared" si="10"/>
        <v>0</v>
      </c>
      <c r="Y52" s="3801">
        <f t="shared" si="10"/>
        <v>0</v>
      </c>
      <c r="Z52" s="3801">
        <f t="shared" si="11"/>
        <v>0</v>
      </c>
      <c r="AA52" s="3801">
        <f t="shared" si="12"/>
        <v>0</v>
      </c>
      <c r="AB52" s="3801">
        <f t="shared" si="12"/>
        <v>0</v>
      </c>
      <c r="AC52" s="3801">
        <f t="shared" si="12"/>
        <v>0</v>
      </c>
      <c r="AD52" s="3824">
        <f t="shared" si="12"/>
        <v>0</v>
      </c>
    </row>
    <row r="53" spans="1:30" ht="17.399999999999999">
      <c r="A53" s="3823" t="s">
        <v>9</v>
      </c>
      <c r="B53" s="3800" t="s">
        <v>24</v>
      </c>
      <c r="C53" s="3799"/>
      <c r="D53" s="3799"/>
      <c r="E53" s="3799"/>
      <c r="F53" s="3799"/>
      <c r="G53" s="3799"/>
      <c r="H53" s="3801">
        <f>C53*50%-244</f>
        <v>-244</v>
      </c>
      <c r="I53" s="3801" t="e">
        <f t="shared" si="31"/>
        <v>#DIV/0!</v>
      </c>
      <c r="J53" s="3801"/>
      <c r="K53" s="3801">
        <f>H53</f>
        <v>-244</v>
      </c>
      <c r="L53" s="3801">
        <f>K53</f>
        <v>-244</v>
      </c>
      <c r="M53" s="3801"/>
      <c r="N53" s="3804">
        <f>C53-H53</f>
        <v>244</v>
      </c>
      <c r="O53" s="3801" t="e">
        <f>N53/C53*100</f>
        <v>#DIV/0!</v>
      </c>
      <c r="P53" s="3801"/>
      <c r="Q53" s="3801">
        <f>N53</f>
        <v>244</v>
      </c>
      <c r="R53" s="3801">
        <f>Q53</f>
        <v>244</v>
      </c>
      <c r="S53" s="3801"/>
      <c r="T53" s="3804">
        <f t="shared" si="13"/>
        <v>0</v>
      </c>
      <c r="U53" s="3801" t="e">
        <f t="shared" si="6"/>
        <v>#DIV/0!</v>
      </c>
      <c r="V53" s="3801">
        <f t="shared" si="10"/>
        <v>0</v>
      </c>
      <c r="W53" s="3801">
        <f t="shared" si="10"/>
        <v>0</v>
      </c>
      <c r="X53" s="3801">
        <f t="shared" si="10"/>
        <v>0</v>
      </c>
      <c r="Y53" s="3801">
        <f t="shared" si="10"/>
        <v>0</v>
      </c>
      <c r="Z53" s="3804">
        <f t="shared" si="11"/>
        <v>0</v>
      </c>
      <c r="AA53" s="3804">
        <f t="shared" si="12"/>
        <v>0</v>
      </c>
      <c r="AB53" s="3804">
        <f t="shared" si="12"/>
        <v>0</v>
      </c>
      <c r="AC53" s="3804">
        <f t="shared" si="12"/>
        <v>0</v>
      </c>
      <c r="AD53" s="3826">
        <f t="shared" si="12"/>
        <v>0</v>
      </c>
    </row>
    <row r="54" spans="1:30" ht="17.399999999999999">
      <c r="A54" s="3823"/>
      <c r="B54" s="3800" t="s">
        <v>2608</v>
      </c>
      <c r="C54" s="3799"/>
      <c r="D54" s="3799"/>
      <c r="E54" s="3799"/>
      <c r="F54" s="3799"/>
      <c r="G54" s="3799"/>
      <c r="H54" s="3801">
        <f>SUM(H55:H57)</f>
        <v>737</v>
      </c>
      <c r="I54" s="3801" t="e">
        <f t="shared" si="31"/>
        <v>#DIV/0!</v>
      </c>
      <c r="J54" s="3801"/>
      <c r="K54" s="3801">
        <f>SUM(K55:K57)</f>
        <v>737</v>
      </c>
      <c r="L54" s="3801">
        <f>SUM(L55:L57)</f>
        <v>737</v>
      </c>
      <c r="M54" s="3801"/>
      <c r="N54" s="3801">
        <f>SUM(N55:N57)</f>
        <v>-737</v>
      </c>
      <c r="O54" s="3801"/>
      <c r="P54" s="3801"/>
      <c r="Q54" s="3801">
        <f>SUM(Q55:Q57)</f>
        <v>-737</v>
      </c>
      <c r="R54" s="3801">
        <f>SUM(R55:R57)</f>
        <v>-737</v>
      </c>
      <c r="S54" s="3801"/>
      <c r="T54" s="3801">
        <f t="shared" si="13"/>
        <v>0</v>
      </c>
      <c r="U54" s="3801" t="e">
        <f t="shared" si="6"/>
        <v>#DIV/0!</v>
      </c>
      <c r="V54" s="3801">
        <f t="shared" si="10"/>
        <v>0</v>
      </c>
      <c r="W54" s="3801">
        <f t="shared" si="10"/>
        <v>0</v>
      </c>
      <c r="X54" s="3801">
        <f t="shared" si="10"/>
        <v>0</v>
      </c>
      <c r="Y54" s="3801">
        <f t="shared" si="10"/>
        <v>0</v>
      </c>
      <c r="Z54" s="3801">
        <f t="shared" si="11"/>
        <v>0</v>
      </c>
      <c r="AA54" s="3801">
        <f t="shared" si="12"/>
        <v>0</v>
      </c>
      <c r="AB54" s="3801">
        <f t="shared" si="12"/>
        <v>0</v>
      </c>
      <c r="AC54" s="3801">
        <f t="shared" si="12"/>
        <v>0</v>
      </c>
      <c r="AD54" s="3824">
        <f t="shared" si="12"/>
        <v>0</v>
      </c>
    </row>
    <row r="55" spans="1:30" ht="18">
      <c r="A55" s="3823" t="s">
        <v>20</v>
      </c>
      <c r="B55" s="3800" t="s">
        <v>25</v>
      </c>
      <c r="C55" s="3799"/>
      <c r="D55" s="3799"/>
      <c r="E55" s="3799"/>
      <c r="F55" s="3799"/>
      <c r="G55" s="3799"/>
      <c r="H55" s="3816">
        <f>INT(C55/2)+500</f>
        <v>500</v>
      </c>
      <c r="I55" s="3810"/>
      <c r="J55" s="3810"/>
      <c r="K55" s="3816">
        <f>H55</f>
        <v>500</v>
      </c>
      <c r="L55" s="3816">
        <f>H55</f>
        <v>500</v>
      </c>
      <c r="M55" s="3810"/>
      <c r="N55" s="3816">
        <f>C55-H55</f>
        <v>-500</v>
      </c>
      <c r="O55" s="3810"/>
      <c r="P55" s="3816"/>
      <c r="Q55" s="3816">
        <f>N55-P55</f>
        <v>-500</v>
      </c>
      <c r="R55" s="3816">
        <f>Q55-S55</f>
        <v>-500</v>
      </c>
      <c r="S55" s="3816"/>
      <c r="T55" s="3816">
        <f t="shared" si="13"/>
        <v>0</v>
      </c>
      <c r="U55" s="3810" t="e">
        <f t="shared" si="6"/>
        <v>#DIV/0!</v>
      </c>
      <c r="V55" s="3816">
        <f t="shared" si="10"/>
        <v>0</v>
      </c>
      <c r="W55" s="3816">
        <f t="shared" si="10"/>
        <v>0</v>
      </c>
      <c r="X55" s="3816">
        <f t="shared" si="10"/>
        <v>0</v>
      </c>
      <c r="Y55" s="3816">
        <f t="shared" si="10"/>
        <v>0</v>
      </c>
      <c r="Z55" s="3816">
        <f t="shared" si="11"/>
        <v>0</v>
      </c>
      <c r="AA55" s="3816">
        <f t="shared" si="12"/>
        <v>0</v>
      </c>
      <c r="AB55" s="3816">
        <f t="shared" si="12"/>
        <v>0</v>
      </c>
      <c r="AC55" s="3816">
        <f t="shared" si="12"/>
        <v>0</v>
      </c>
      <c r="AD55" s="3833">
        <f t="shared" si="12"/>
        <v>0</v>
      </c>
    </row>
    <row r="56" spans="1:30" ht="36">
      <c r="A56" s="3827">
        <v>1</v>
      </c>
      <c r="B56" s="3808" t="s">
        <v>1798</v>
      </c>
      <c r="C56" s="3799"/>
      <c r="D56" s="3799"/>
      <c r="E56" s="3799"/>
      <c r="F56" s="3799"/>
      <c r="G56" s="3799"/>
      <c r="H56" s="3816">
        <f>INT(C56/2)+237</f>
        <v>237</v>
      </c>
      <c r="I56" s="3816"/>
      <c r="J56" s="3816"/>
      <c r="K56" s="3816">
        <f>H56</f>
        <v>237</v>
      </c>
      <c r="L56" s="3816">
        <f>H56</f>
        <v>237</v>
      </c>
      <c r="M56" s="3816"/>
      <c r="N56" s="3816">
        <f>C56-H56</f>
        <v>-237</v>
      </c>
      <c r="O56" s="3816"/>
      <c r="P56" s="3816"/>
      <c r="Q56" s="3816">
        <f>N56-P56</f>
        <v>-237</v>
      </c>
      <c r="R56" s="3816">
        <f>Q56-S56</f>
        <v>-237</v>
      </c>
      <c r="S56" s="3816"/>
      <c r="T56" s="3816">
        <f t="shared" si="13"/>
        <v>0</v>
      </c>
      <c r="U56" s="3816" t="e">
        <f t="shared" si="6"/>
        <v>#DIV/0!</v>
      </c>
      <c r="V56" s="3816">
        <f t="shared" si="10"/>
        <v>0</v>
      </c>
      <c r="W56" s="3816">
        <f t="shared" si="10"/>
        <v>0</v>
      </c>
      <c r="X56" s="3816">
        <f t="shared" si="10"/>
        <v>0</v>
      </c>
      <c r="Y56" s="3816">
        <f t="shared" si="10"/>
        <v>0</v>
      </c>
      <c r="Z56" s="3816">
        <f t="shared" si="11"/>
        <v>0</v>
      </c>
      <c r="AA56" s="3816">
        <f t="shared" si="12"/>
        <v>0</v>
      </c>
      <c r="AB56" s="3816">
        <f t="shared" si="12"/>
        <v>0</v>
      </c>
      <c r="AC56" s="3816">
        <f t="shared" si="12"/>
        <v>0</v>
      </c>
      <c r="AD56" s="3833">
        <f t="shared" si="12"/>
        <v>0</v>
      </c>
    </row>
    <row r="57" spans="1:30" ht="36">
      <c r="A57" s="3827">
        <v>2</v>
      </c>
      <c r="B57" s="3808" t="s">
        <v>1294</v>
      </c>
      <c r="C57" s="3799"/>
      <c r="D57" s="3799"/>
      <c r="E57" s="3799"/>
      <c r="F57" s="3799"/>
      <c r="G57" s="3799"/>
      <c r="H57" s="3816">
        <f>C57/2</f>
        <v>0</v>
      </c>
      <c r="I57" s="3816"/>
      <c r="J57" s="3816"/>
      <c r="K57" s="3816">
        <f>H57</f>
        <v>0</v>
      </c>
      <c r="L57" s="3816">
        <f>H57</f>
        <v>0</v>
      </c>
      <c r="M57" s="3816"/>
      <c r="N57" s="3816">
        <f>C57-H57</f>
        <v>0</v>
      </c>
      <c r="O57" s="3816"/>
      <c r="P57" s="3816"/>
      <c r="Q57" s="3816">
        <f>N57-P57</f>
        <v>0</v>
      </c>
      <c r="R57" s="3816">
        <f>N57</f>
        <v>0</v>
      </c>
      <c r="S57" s="3816"/>
      <c r="T57" s="3816">
        <f t="shared" si="13"/>
        <v>0</v>
      </c>
      <c r="U57" s="3816"/>
      <c r="V57" s="3816">
        <f t="shared" si="10"/>
        <v>0</v>
      </c>
      <c r="W57" s="3816">
        <f t="shared" si="10"/>
        <v>0</v>
      </c>
      <c r="X57" s="3816">
        <f t="shared" si="10"/>
        <v>0</v>
      </c>
      <c r="Y57" s="3816">
        <f t="shared" si="10"/>
        <v>0</v>
      </c>
      <c r="Z57" s="3816">
        <f t="shared" si="11"/>
        <v>0</v>
      </c>
      <c r="AA57" s="3816">
        <f t="shared" si="12"/>
        <v>0</v>
      </c>
      <c r="AB57" s="3816">
        <f t="shared" si="12"/>
        <v>0</v>
      </c>
      <c r="AC57" s="3816">
        <f t="shared" si="12"/>
        <v>0</v>
      </c>
      <c r="AD57" s="3833">
        <f t="shared" si="12"/>
        <v>0</v>
      </c>
    </row>
    <row r="58" spans="1:30" ht="36">
      <c r="A58" s="3827">
        <v>3</v>
      </c>
      <c r="B58" s="3808" t="s">
        <v>1787</v>
      </c>
      <c r="C58" s="3799"/>
      <c r="D58" s="3799"/>
      <c r="E58" s="3799"/>
      <c r="F58" s="3799"/>
      <c r="G58" s="3799"/>
      <c r="H58" s="3801" t="e">
        <f>L58+M58</f>
        <v>#REF!</v>
      </c>
      <c r="I58" s="3801"/>
      <c r="J58" s="3804">
        <v>0</v>
      </c>
      <c r="K58" s="3804" t="e">
        <f>H58-J58</f>
        <v>#REF!</v>
      </c>
      <c r="L58" s="3804"/>
      <c r="M58" s="3804" t="e">
        <f>INT(('[32]Chi NSĐP'!$C$82))</f>
        <v>#REF!</v>
      </c>
      <c r="N58" s="3801">
        <f>R58+S58</f>
        <v>179391</v>
      </c>
      <c r="O58" s="3804"/>
      <c r="P58" s="3801"/>
      <c r="Q58" s="3801">
        <f>N58</f>
        <v>179391</v>
      </c>
      <c r="R58" s="3801">
        <v>179391</v>
      </c>
      <c r="S58" s="3801">
        <f>ROUND(0,-1)</f>
        <v>0</v>
      </c>
      <c r="T58" s="3801" t="e">
        <f t="shared" si="13"/>
        <v>#REF!</v>
      </c>
      <c r="U58" s="3804" t="e">
        <f t="shared" si="6"/>
        <v>#REF!</v>
      </c>
      <c r="V58" s="3801">
        <f t="shared" si="10"/>
        <v>0</v>
      </c>
      <c r="W58" s="3801" t="e">
        <f t="shared" si="10"/>
        <v>#REF!</v>
      </c>
      <c r="X58" s="3801">
        <f t="shared" si="10"/>
        <v>179391</v>
      </c>
      <c r="Y58" s="3801" t="e">
        <f t="shared" si="10"/>
        <v>#REF!</v>
      </c>
      <c r="Z58" s="3801" t="e">
        <f t="shared" si="11"/>
        <v>#REF!</v>
      </c>
      <c r="AA58" s="3801">
        <f t="shared" si="12"/>
        <v>0</v>
      </c>
      <c r="AB58" s="3801" t="e">
        <f t="shared" si="12"/>
        <v>#REF!</v>
      </c>
      <c r="AC58" s="3801">
        <f t="shared" si="12"/>
        <v>179391</v>
      </c>
      <c r="AD58" s="3824" t="e">
        <f t="shared" si="12"/>
        <v>#REF!</v>
      </c>
    </row>
    <row r="59" spans="1:30" ht="17.399999999999999">
      <c r="A59" s="3823" t="s">
        <v>26</v>
      </c>
      <c r="B59" s="3800" t="s">
        <v>109</v>
      </c>
      <c r="C59" s="3799"/>
      <c r="D59" s="3799"/>
      <c r="E59" s="3799"/>
      <c r="F59" s="3799"/>
      <c r="G59" s="3799"/>
      <c r="H59" s="3801">
        <f>L59+M59</f>
        <v>150</v>
      </c>
      <c r="I59" s="3801"/>
      <c r="J59" s="3804">
        <v>0</v>
      </c>
      <c r="K59" s="3804">
        <f>H59-J59</f>
        <v>150</v>
      </c>
      <c r="L59" s="3804">
        <f>INT(C59/2)+150</f>
        <v>150</v>
      </c>
      <c r="M59" s="3804"/>
      <c r="N59" s="3801">
        <f>C59-H59</f>
        <v>-150</v>
      </c>
      <c r="O59" s="3804"/>
      <c r="P59" s="3801"/>
      <c r="Q59" s="3801">
        <f>R59+S59</f>
        <v>-150</v>
      </c>
      <c r="R59" s="3801">
        <f>F59-L59</f>
        <v>-150</v>
      </c>
      <c r="S59" s="3801">
        <f>G59-M59</f>
        <v>0</v>
      </c>
      <c r="T59" s="3801">
        <f t="shared" si="13"/>
        <v>0</v>
      </c>
      <c r="U59" s="3804" t="e">
        <f t="shared" si="6"/>
        <v>#DIV/0!</v>
      </c>
      <c r="V59" s="3801">
        <f t="shared" si="10"/>
        <v>0</v>
      </c>
      <c r="W59" s="3801">
        <f t="shared" si="10"/>
        <v>0</v>
      </c>
      <c r="X59" s="3801">
        <f t="shared" si="10"/>
        <v>0</v>
      </c>
      <c r="Y59" s="3801">
        <f t="shared" si="10"/>
        <v>0</v>
      </c>
      <c r="Z59" s="3801">
        <f t="shared" si="11"/>
        <v>0</v>
      </c>
      <c r="AA59" s="3801">
        <f t="shared" si="12"/>
        <v>0</v>
      </c>
      <c r="AB59" s="3801">
        <f t="shared" si="12"/>
        <v>0</v>
      </c>
      <c r="AC59" s="3801">
        <f t="shared" si="12"/>
        <v>0</v>
      </c>
      <c r="AD59" s="3824">
        <f t="shared" si="12"/>
        <v>0</v>
      </c>
    </row>
    <row r="60" spans="1:30" ht="17.399999999999999">
      <c r="A60" s="3823" t="s">
        <v>130</v>
      </c>
      <c r="B60" s="3800" t="s">
        <v>132</v>
      </c>
      <c r="C60" s="3799"/>
      <c r="D60" s="3799"/>
      <c r="E60" s="3799"/>
      <c r="F60" s="3799"/>
      <c r="G60" s="3799"/>
      <c r="H60" s="3801" t="e">
        <f t="shared" ref="H60" si="37">SUM(H8,H52,H58,H59)</f>
        <v>#REF!</v>
      </c>
      <c r="I60" s="3801"/>
      <c r="J60" s="3801">
        <f>SUM(J8,J52,J58,J59)</f>
        <v>459000</v>
      </c>
      <c r="K60" s="3801" t="e">
        <f>SUM(K8,K52,K58,K59)</f>
        <v>#REF!</v>
      </c>
      <c r="L60" s="3801">
        <f>SUM(L8,L52,L58,L59)</f>
        <v>2039354.4</v>
      </c>
      <c r="M60" s="3801" t="e">
        <f>SUM(M8,M52,M58,M59)</f>
        <v>#REF!</v>
      </c>
      <c r="N60" s="3801">
        <f>SUM(N8,N52,N58,N59)</f>
        <v>2727230.4</v>
      </c>
      <c r="O60" s="3801"/>
      <c r="P60" s="3801">
        <f>SUM(P8,P52,P58,P59)</f>
        <v>262000</v>
      </c>
      <c r="Q60" s="3801">
        <f>SUM(Q8,Q52,Q58,Q59)</f>
        <v>2465230.4</v>
      </c>
      <c r="R60" s="3801">
        <f>SUM(R8,R52,R58,R59)</f>
        <v>1388933.4</v>
      </c>
      <c r="S60" s="3801">
        <f>SUM(S8,S52,S58,S59)</f>
        <v>1076297</v>
      </c>
      <c r="T60" s="3801" t="e">
        <f t="shared" si="13"/>
        <v>#REF!</v>
      </c>
      <c r="U60" s="3801" t="e">
        <f t="shared" si="6"/>
        <v>#REF!</v>
      </c>
      <c r="V60" s="3801">
        <f t="shared" si="10"/>
        <v>721000</v>
      </c>
      <c r="W60" s="3801" t="e">
        <f t="shared" si="10"/>
        <v>#REF!</v>
      </c>
      <c r="X60" s="3801">
        <f t="shared" si="10"/>
        <v>3428287.8</v>
      </c>
      <c r="Y60" s="3801" t="e">
        <f t="shared" si="10"/>
        <v>#REF!</v>
      </c>
      <c r="Z60" s="3801" t="e">
        <f t="shared" si="11"/>
        <v>#REF!</v>
      </c>
      <c r="AA60" s="3801">
        <f t="shared" si="12"/>
        <v>721000</v>
      </c>
      <c r="AB60" s="3801" t="e">
        <f t="shared" si="12"/>
        <v>#REF!</v>
      </c>
      <c r="AC60" s="3801">
        <f t="shared" si="12"/>
        <v>3428287.8</v>
      </c>
      <c r="AD60" s="3824" t="e">
        <f t="shared" si="12"/>
        <v>#REF!</v>
      </c>
    </row>
    <row r="61" spans="1:30" ht="18" thickBot="1">
      <c r="A61" s="3834"/>
      <c r="B61" s="3835" t="s">
        <v>131</v>
      </c>
      <c r="C61" s="3836"/>
      <c r="D61" s="3836"/>
      <c r="E61" s="3836"/>
      <c r="F61" s="3836"/>
      <c r="G61" s="3836"/>
      <c r="H61" s="3836"/>
      <c r="I61" s="3836"/>
      <c r="J61" s="3836"/>
      <c r="K61" s="3836"/>
      <c r="L61" s="3836"/>
      <c r="M61" s="3836"/>
      <c r="N61" s="3836"/>
      <c r="O61" s="3836"/>
      <c r="P61" s="3836"/>
      <c r="Q61" s="3836"/>
      <c r="R61" s="3836"/>
      <c r="S61" s="3836"/>
      <c r="T61" s="3836"/>
      <c r="U61" s="3836"/>
      <c r="V61" s="3836"/>
      <c r="W61" s="3836"/>
      <c r="X61" s="3836"/>
      <c r="Y61" s="3836"/>
      <c r="Z61" s="3836"/>
      <c r="AA61" s="3836"/>
      <c r="AB61" s="3836"/>
      <c r="AC61" s="3836"/>
      <c r="AD61" s="3837"/>
    </row>
    <row r="62" spans="1:30" ht="16.2" thickTop="1"/>
  </sheetData>
  <mergeCells count="16">
    <mergeCell ref="D5:D6"/>
    <mergeCell ref="A4:A6"/>
    <mergeCell ref="B4:B6"/>
    <mergeCell ref="Z4:AD4"/>
    <mergeCell ref="H5:H6"/>
    <mergeCell ref="I5:I6"/>
    <mergeCell ref="J5:J6"/>
    <mergeCell ref="N5:N6"/>
    <mergeCell ref="O5:O6"/>
    <mergeCell ref="P5:P6"/>
    <mergeCell ref="T5:T6"/>
    <mergeCell ref="U5:U6"/>
    <mergeCell ref="V5:V6"/>
    <mergeCell ref="Z5:Z6"/>
    <mergeCell ref="AA5:AA6"/>
    <mergeCell ref="C4:C6"/>
  </mergeCells>
  <hyperlinks>
    <hyperlink ref="A4:A6" location="'List danh mục'!A1" display="Số TT"/>
    <hyperlink ref="A7" location="'List danh mục'!A1" display="'List danh mục'!A1"/>
  </hyperlinks>
  <pageMargins left="0.7" right="0.7" top="0.75" bottom="0.75" header="0.3" footer="0.3"/>
  <pageSetup orientation="portrait" verticalDpi="0"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DA57"/>
  <sheetViews>
    <sheetView workbookViewId="0">
      <selection activeCell="A4" sqref="A4"/>
    </sheetView>
  </sheetViews>
  <sheetFormatPr defaultColWidth="9" defaultRowHeight="15.6"/>
  <cols>
    <col min="1" max="1" width="4.09765625" style="245" customWidth="1"/>
    <col min="2" max="2" width="31.59765625" style="245" customWidth="1"/>
    <col min="3" max="6" width="8.59765625" style="245" hidden="1" customWidth="1"/>
    <col min="7" max="10" width="7.59765625" style="245" customWidth="1"/>
    <col min="11" max="11" width="8.59765625" style="245" hidden="1" customWidth="1"/>
    <col min="12" max="22" width="7.59765625" style="245" customWidth="1"/>
    <col min="23" max="16384" width="9" style="245"/>
  </cols>
  <sheetData>
    <row r="1" spans="1:105">
      <c r="A1" s="4275" t="s">
        <v>1755</v>
      </c>
      <c r="B1" s="4275"/>
      <c r="C1" s="4275"/>
      <c r="D1" s="4275"/>
      <c r="E1" s="4275"/>
      <c r="F1" s="4275"/>
      <c r="G1" s="4275"/>
      <c r="H1" s="4275"/>
      <c r="I1" s="4275"/>
      <c r="J1" s="4275"/>
      <c r="K1" s="4275"/>
      <c r="L1" s="4275"/>
      <c r="M1" s="4275"/>
      <c r="N1" s="4275"/>
      <c r="O1" s="4275"/>
      <c r="P1" s="4275"/>
      <c r="Q1" s="4275"/>
      <c r="R1" s="4275"/>
      <c r="S1" s="4275"/>
      <c r="T1" s="4275"/>
      <c r="U1" s="4275"/>
      <c r="V1" s="4275"/>
      <c r="AJ1" s="245" t="s">
        <v>635</v>
      </c>
      <c r="AO1" s="256"/>
      <c r="AW1" s="256"/>
      <c r="BE1" s="256"/>
      <c r="BM1" s="256"/>
      <c r="BU1" s="256"/>
      <c r="CC1" s="256"/>
      <c r="CK1" s="256"/>
      <c r="CS1" s="256"/>
      <c r="DA1" s="256"/>
    </row>
    <row r="2" spans="1:105">
      <c r="A2" s="246"/>
      <c r="B2" s="246"/>
      <c r="C2" s="246"/>
      <c r="D2" s="246"/>
      <c r="E2" s="246"/>
      <c r="F2" s="246"/>
      <c r="G2" s="246"/>
      <c r="H2" s="246"/>
      <c r="I2" s="246"/>
      <c r="J2" s="4276"/>
      <c r="K2" s="4276"/>
      <c r="L2" s="4276"/>
      <c r="M2" s="246"/>
    </row>
    <row r="3" spans="1:105" ht="16.2" thickBot="1">
      <c r="A3" s="246"/>
      <c r="H3" s="1765"/>
      <c r="P3" s="254"/>
      <c r="V3" s="247" t="s">
        <v>64</v>
      </c>
    </row>
    <row r="4" spans="1:105" ht="77.7" customHeight="1">
      <c r="A4" s="2145" t="s">
        <v>183</v>
      </c>
      <c r="B4" s="1551" t="s">
        <v>326</v>
      </c>
      <c r="C4" s="1551" t="s">
        <v>1730</v>
      </c>
      <c r="D4" s="1551" t="s">
        <v>1731</v>
      </c>
      <c r="E4" s="1552" t="s">
        <v>1732</v>
      </c>
      <c r="F4" s="1552" t="s">
        <v>1733</v>
      </c>
      <c r="G4" s="1552" t="s">
        <v>1734</v>
      </c>
      <c r="H4" s="1552" t="s">
        <v>1735</v>
      </c>
      <c r="I4" s="1552" t="s">
        <v>1736</v>
      </c>
      <c r="J4" s="1552" t="s">
        <v>1737</v>
      </c>
      <c r="K4" s="1553" t="s">
        <v>555</v>
      </c>
      <c r="L4" s="1552" t="s">
        <v>449</v>
      </c>
      <c r="M4" s="1552" t="s">
        <v>1738</v>
      </c>
      <c r="N4" s="1552" t="s">
        <v>450</v>
      </c>
      <c r="O4" s="1552" t="s">
        <v>451</v>
      </c>
      <c r="P4" s="1551" t="s">
        <v>1739</v>
      </c>
      <c r="Q4" s="1763" t="s">
        <v>210</v>
      </c>
      <c r="R4" s="1753" t="s">
        <v>1740</v>
      </c>
      <c r="S4" s="1553" t="s">
        <v>1741</v>
      </c>
      <c r="T4" s="1553" t="s">
        <v>1742</v>
      </c>
      <c r="U4" s="1553" t="s">
        <v>1743</v>
      </c>
      <c r="V4" s="1746" t="s">
        <v>1744</v>
      </c>
    </row>
    <row r="5" spans="1:105" s="1557" customFormat="1">
      <c r="A5" s="1554" t="s">
        <v>7</v>
      </c>
      <c r="B5" s="1555" t="s">
        <v>1265</v>
      </c>
      <c r="C5" s="1556">
        <f t="shared" ref="C5:H5" si="0">SUM(C6:C7)</f>
        <v>7085000</v>
      </c>
      <c r="D5" s="1556">
        <f t="shared" si="0"/>
        <v>8771013</v>
      </c>
      <c r="E5" s="1556">
        <f t="shared" si="0"/>
        <v>8495000</v>
      </c>
      <c r="F5" s="1556">
        <f t="shared" si="0"/>
        <v>8430824.4000000022</v>
      </c>
      <c r="G5" s="1766">
        <f t="shared" si="0"/>
        <v>8140900</v>
      </c>
      <c r="H5" s="1766">
        <f t="shared" si="0"/>
        <v>7213306</v>
      </c>
      <c r="I5" s="1766">
        <f>SUM(I6:I7)</f>
        <v>6818777</v>
      </c>
      <c r="J5" s="1766">
        <f>SUM(J6:J7)</f>
        <v>7877094.2005829997</v>
      </c>
      <c r="K5" s="1767">
        <f>J5+H5+F5</f>
        <v>23521224.600583002</v>
      </c>
      <c r="L5" s="1766">
        <f>SUM(L6:L7)</f>
        <v>7590000</v>
      </c>
      <c r="M5" s="1766">
        <f>SUM(M6:M7)</f>
        <v>8150745.3199999994</v>
      </c>
      <c r="N5" s="1766">
        <f>SUM(N6:N7)</f>
        <v>9266000</v>
      </c>
      <c r="O5" s="1766">
        <f>SUM(O6:O7)</f>
        <v>10162499.699999999</v>
      </c>
      <c r="P5" s="1768">
        <f t="shared" ref="P5:P9" si="1">O5+N5+M5+J5+H5</f>
        <v>42669645.220582999</v>
      </c>
      <c r="Q5" s="1769">
        <f>SUM(Q6:Q7)</f>
        <v>11039000</v>
      </c>
      <c r="R5" s="1754">
        <f t="shared" ref="R5:U5" si="2">SUM(R6:R7)</f>
        <v>11935999.816611201</v>
      </c>
      <c r="S5" s="1747">
        <f t="shared" si="2"/>
        <v>12893500.408798838</v>
      </c>
      <c r="T5" s="1747">
        <f t="shared" si="2"/>
        <v>13961500.026622467</v>
      </c>
      <c r="U5" s="1747">
        <f t="shared" si="2"/>
        <v>15200000.027793854</v>
      </c>
      <c r="V5" s="1748">
        <f>SUM(Q5:U5)</f>
        <v>65030000.279826358</v>
      </c>
    </row>
    <row r="6" spans="1:105" s="1559" customFormat="1">
      <c r="A6" s="1558" t="s">
        <v>9</v>
      </c>
      <c r="B6" s="1215" t="s">
        <v>10</v>
      </c>
      <c r="C6" s="328">
        <f>'[3]Thu NSNN 2021-2030'!W8</f>
        <v>7007000</v>
      </c>
      <c r="D6" s="328">
        <f>'[3]Thu NSNN 2021-2030'!X8</f>
        <v>8644723</v>
      </c>
      <c r="E6" s="328">
        <f>'[3]Thu NSNN 2021-2030'!Y8</f>
        <v>8425000</v>
      </c>
      <c r="F6" s="328">
        <f>'[3]Thu NSNN 2021-2030'!Z8</f>
        <v>8337065.4000000022</v>
      </c>
      <c r="G6" s="1770">
        <f>'PL-TổngThu21-25'!AE8</f>
        <v>8035900</v>
      </c>
      <c r="H6" s="1770">
        <f>'PL-TổngThu21-25'!AF8</f>
        <v>7016452</v>
      </c>
      <c r="I6" s="1770">
        <f>'PL-TổngThu21-25'!AG8</f>
        <v>6708777</v>
      </c>
      <c r="J6" s="1770">
        <f>'PL-TổngThu21-25'!AH8</f>
        <v>7487310.8303279998</v>
      </c>
      <c r="K6" s="1771">
        <f t="shared" ref="K6:K35" si="3">J6+H6+F6</f>
        <v>22840828.230328001</v>
      </c>
      <c r="L6" s="1770">
        <f>'PL-TổngThu21-25'!AO8</f>
        <v>7440000</v>
      </c>
      <c r="M6" s="1770">
        <f>'PL-TổngThu21-25'!AP8</f>
        <v>7999999.7999999998</v>
      </c>
      <c r="N6" s="1770">
        <f>'PL1.1'!Z9</f>
        <v>9066000</v>
      </c>
      <c r="O6" s="1770">
        <f>'PL1.1'!AF9</f>
        <v>9999999.6999999993</v>
      </c>
      <c r="P6" s="1772">
        <f>O6+N6+M6+J6+H6</f>
        <v>41569762.330328003</v>
      </c>
      <c r="Q6" s="1773">
        <f>'PL1.1'!AL9</f>
        <v>10870000</v>
      </c>
      <c r="R6" s="1755">
        <f>'[3]Phụ lục số 1-1'!AR9</f>
        <v>11760000</v>
      </c>
      <c r="S6" s="439">
        <f>'[3]Phụ lục số 1-1'!AX9</f>
        <v>12710000</v>
      </c>
      <c r="T6" s="439">
        <f>'[3]Phụ lục số 1-1'!BD9</f>
        <v>13770000</v>
      </c>
      <c r="U6" s="439">
        <f>'[3]Phụ lục số 1-1'!BJ9</f>
        <v>15000000</v>
      </c>
      <c r="V6" s="1741">
        <f t="shared" ref="V6:V35" si="4">SUM(Q6:U6)</f>
        <v>64110000</v>
      </c>
    </row>
    <row r="7" spans="1:105" s="1559" customFormat="1">
      <c r="A7" s="1558" t="s">
        <v>20</v>
      </c>
      <c r="B7" s="1215" t="s">
        <v>1266</v>
      </c>
      <c r="C7" s="328">
        <f>'[3]Thu NSNN 2021-2030'!W28</f>
        <v>78000</v>
      </c>
      <c r="D7" s="328">
        <f>'[3]Thu NSNN 2021-2030'!X28</f>
        <v>126290</v>
      </c>
      <c r="E7" s="328">
        <f>'[3]Thu NSNN 2021-2030'!Y28</f>
        <v>70000</v>
      </c>
      <c r="F7" s="326">
        <f>'[3]Thu NSNN 2021-2030'!Z28</f>
        <v>93759</v>
      </c>
      <c r="G7" s="1770">
        <f>'PL-TổngThu21-25'!AE28</f>
        <v>105000</v>
      </c>
      <c r="H7" s="1770">
        <f>'PL-TổngThu21-25'!AF28</f>
        <v>196854</v>
      </c>
      <c r="I7" s="1770">
        <f>'PL-TổngThu21-25'!AG28</f>
        <v>110000</v>
      </c>
      <c r="J7" s="1770">
        <f>'PL-TổngThu21-25'!AH28</f>
        <v>389783.37025500002</v>
      </c>
      <c r="K7" s="1771">
        <f t="shared" si="3"/>
        <v>680396.37025499996</v>
      </c>
      <c r="L7" s="1770">
        <f>'PL-TổngThu21-25'!AO28</f>
        <v>150000</v>
      </c>
      <c r="M7" s="1770">
        <f>'PL-TổngThu21-25'!AP28</f>
        <v>150745.51999999999</v>
      </c>
      <c r="N7" s="1770">
        <f>'PL1.1'!Z49</f>
        <v>200000</v>
      </c>
      <c r="O7" s="1770">
        <f>'PL1.1'!AF49</f>
        <v>162500</v>
      </c>
      <c r="P7" s="1772">
        <f>O7+N7+M7+J7+H7</f>
        <v>1099882.890255</v>
      </c>
      <c r="Q7" s="1773">
        <f>'PL1.1'!AL49</f>
        <v>169000</v>
      </c>
      <c r="R7" s="1755">
        <f>'[3]Phụ lục số 1-1'!AR49</f>
        <v>175999.81661120002</v>
      </c>
      <c r="S7" s="439">
        <f>'[3]Phụ lục số 1-1'!AX49</f>
        <v>183500.40879883713</v>
      </c>
      <c r="T7" s="439">
        <f>'[3]Phụ lục số 1-1'!BD49</f>
        <v>191500.02662246645</v>
      </c>
      <c r="U7" s="439">
        <f>'[3]Phụ lục số 1-1'!BJ49</f>
        <v>200000.027793855</v>
      </c>
      <c r="V7" s="1741">
        <f t="shared" si="4"/>
        <v>920000.27982635843</v>
      </c>
    </row>
    <row r="8" spans="1:105" s="1561" customFormat="1">
      <c r="A8" s="1560" t="s">
        <v>22</v>
      </c>
      <c r="B8" s="1218" t="s">
        <v>1745</v>
      </c>
      <c r="C8" s="319">
        <f t="shared" ref="C8:G8" si="5">SUM(C9+C15+C20)</f>
        <v>12334250</v>
      </c>
      <c r="D8" s="319">
        <f t="shared" si="5"/>
        <v>14329390.437800001</v>
      </c>
      <c r="E8" s="319">
        <f t="shared" si="5"/>
        <v>13693689.800000001</v>
      </c>
      <c r="F8" s="319">
        <f t="shared" si="5"/>
        <v>13695184.916060001</v>
      </c>
      <c r="G8" s="1774">
        <f t="shared" si="5"/>
        <v>14635784.6</v>
      </c>
      <c r="H8" s="1774">
        <f>SUM(H9+H15+H20)</f>
        <v>14431241.136</v>
      </c>
      <c r="I8" s="1774">
        <f t="shared" ref="I8:J8" si="6">SUM(I9+I15+I20)</f>
        <v>14054453</v>
      </c>
      <c r="J8" s="1774">
        <f t="shared" si="6"/>
        <v>15110637.709816001</v>
      </c>
      <c r="K8" s="1767">
        <f t="shared" si="3"/>
        <v>43237063.761876002</v>
      </c>
      <c r="L8" s="1774">
        <f t="shared" ref="L8:N8" si="7">SUM(L9,L15,L20)</f>
        <v>15819995</v>
      </c>
      <c r="M8" s="1774">
        <f t="shared" si="7"/>
        <v>16997394.799999997</v>
      </c>
      <c r="N8" s="1774">
        <f t="shared" si="7"/>
        <v>18497709</v>
      </c>
      <c r="O8" s="1774">
        <f>SUM(O9+O15+O20)</f>
        <v>19546071.282352939</v>
      </c>
      <c r="P8" s="1768">
        <f t="shared" si="1"/>
        <v>84583053.928168952</v>
      </c>
      <c r="Q8" s="1775">
        <f>SUM(Q9+Q15+Q20)</f>
        <v>20439290.143441617</v>
      </c>
      <c r="R8" s="1756">
        <f t="shared" ref="R8:U8" si="8">SUM(R9+R15+R20)</f>
        <v>20562524</v>
      </c>
      <c r="S8" s="317">
        <f t="shared" si="8"/>
        <v>21411524</v>
      </c>
      <c r="T8" s="317">
        <f t="shared" si="8"/>
        <v>22366524</v>
      </c>
      <c r="U8" s="317">
        <f t="shared" si="8"/>
        <v>23498524</v>
      </c>
      <c r="V8" s="1740">
        <f t="shared" si="4"/>
        <v>108278386.14344162</v>
      </c>
    </row>
    <row r="9" spans="1:105" s="1557" customFormat="1">
      <c r="A9" s="1558" t="s">
        <v>9</v>
      </c>
      <c r="B9" s="1152" t="s">
        <v>1746</v>
      </c>
      <c r="C9" s="328">
        <f>SUM(C10+C14+C19)+87254</f>
        <v>10895260</v>
      </c>
      <c r="D9" s="328">
        <f>SUM(D10+D14+D19)+8725</f>
        <v>12092553.437800001</v>
      </c>
      <c r="E9" s="328">
        <f>SUM(E10+E14+E19)+257157</f>
        <v>12188276.800000001</v>
      </c>
      <c r="F9" s="328">
        <f>SUM(F10+F14+F19)+257157</f>
        <v>12170871.916060001</v>
      </c>
      <c r="G9" s="1770">
        <f>SUM(G10+G14+G19)+511676</f>
        <v>12692114.6</v>
      </c>
      <c r="H9" s="1770">
        <f>SUM(H10+H14+H19)+511676</f>
        <v>12487571.136</v>
      </c>
      <c r="I9" s="1770">
        <f t="shared" ref="I9" si="9">SUM(I10+I14+I19)</f>
        <v>12792680</v>
      </c>
      <c r="J9" s="1770">
        <f t="shared" ref="J9:N9" si="10">SUM(J10,J14,J19)</f>
        <v>13848864.709816001</v>
      </c>
      <c r="K9" s="1771">
        <f>J9+H9+F9</f>
        <v>38507307.761876002</v>
      </c>
      <c r="L9" s="1770">
        <f t="shared" si="10"/>
        <v>13191488</v>
      </c>
      <c r="M9" s="1770">
        <f t="shared" si="10"/>
        <v>14368887.799999999</v>
      </c>
      <c r="N9" s="1770">
        <f t="shared" si="10"/>
        <v>15858418</v>
      </c>
      <c r="O9" s="1770">
        <f>SUM(O10+O14+O19)</f>
        <v>16449186.782352939</v>
      </c>
      <c r="P9" s="1772">
        <f t="shared" si="1"/>
        <v>73012928.428168938</v>
      </c>
      <c r="Q9" s="1773">
        <f>SUM(Q10+Q14+Q19)</f>
        <v>17409489.843441617</v>
      </c>
      <c r="R9" s="1755">
        <f t="shared" ref="R9:U9" si="11">SUM(R10+R14+R19)</f>
        <v>17205488</v>
      </c>
      <c r="S9" s="439">
        <f t="shared" si="11"/>
        <v>18054488</v>
      </c>
      <c r="T9" s="439">
        <f t="shared" si="11"/>
        <v>19009488</v>
      </c>
      <c r="U9" s="439">
        <f t="shared" si="11"/>
        <v>20141488</v>
      </c>
      <c r="V9" s="1740">
        <f t="shared" si="4"/>
        <v>91820441.84344162</v>
      </c>
    </row>
    <row r="10" spans="1:105" s="1557" customFormat="1">
      <c r="A10" s="1562">
        <v>1</v>
      </c>
      <c r="B10" s="1216" t="s">
        <v>478</v>
      </c>
      <c r="C10" s="506">
        <f>'[3]Thu NSNN 2021-2030'!W148</f>
        <v>5466580</v>
      </c>
      <c r="D10" s="506">
        <f>'[3]Thu NSNN 2021-2030'!X148</f>
        <v>7096349.4378000004</v>
      </c>
      <c r="E10" s="506">
        <f>'[3]Thu NSNN 2021-2030'!Y148</f>
        <v>6718699.7999999998</v>
      </c>
      <c r="F10" s="506">
        <f>'[3]Thu NSNN 2021-2030'!Z148</f>
        <v>7003638.9160600007</v>
      </c>
      <c r="G10" s="1777">
        <f>'[3]Thu NSNN 2021-2030'!AE148</f>
        <v>6480439.5999999996</v>
      </c>
      <c r="H10" s="1777">
        <f>'[3]Thu NSNN 2021-2030'!AF148</f>
        <v>6073702.1359999999</v>
      </c>
      <c r="I10" s="1777">
        <f>'[4]thu noi dia(HĐND)(btc)'!$F$12</f>
        <v>5809777</v>
      </c>
      <c r="J10" s="1777">
        <f>'[4]thu noi dia(HĐND)(btc)'!$I$10</f>
        <v>6865961.7098160004</v>
      </c>
      <c r="K10" s="1778">
        <f t="shared" si="3"/>
        <v>19943302.761876002</v>
      </c>
      <c r="L10" s="1777">
        <f>'PL1.1'!Q8</f>
        <v>6704000</v>
      </c>
      <c r="M10" s="1777">
        <f>'PL1.1'!W8</f>
        <v>7450399.7999999989</v>
      </c>
      <c r="N10" s="1777">
        <f>'PL1.1'!AC8</f>
        <v>8484930</v>
      </c>
      <c r="O10" s="1777">
        <f>'PL1.1'!AI8</f>
        <v>9114599.58235294</v>
      </c>
      <c r="P10" s="1779">
        <f>O10+N10+M10+J10+H10</f>
        <v>37989593.228168942</v>
      </c>
      <c r="Q10" s="1780">
        <f>'PL1.1'!AO8</f>
        <v>9911000.5332467407</v>
      </c>
      <c r="R10" s="1757">
        <f>'[3]Phụ lục số 1-1'!AU8</f>
        <v>10718000</v>
      </c>
      <c r="S10" s="485">
        <f>'[3]Phụ lục số 1-1'!BA8</f>
        <v>11567000</v>
      </c>
      <c r="T10" s="485">
        <f>'[3]Phụ lục số 1-1'!BG8</f>
        <v>12522000</v>
      </c>
      <c r="U10" s="485">
        <f>'[3]Phụ lục số 1-1'!BM8</f>
        <v>13654000</v>
      </c>
      <c r="V10" s="1742">
        <f t="shared" si="4"/>
        <v>58372000.533246741</v>
      </c>
    </row>
    <row r="11" spans="1:105" s="1565" customFormat="1">
      <c r="A11" s="1563" t="s">
        <v>34</v>
      </c>
      <c r="B11" s="1217" t="s">
        <v>1269</v>
      </c>
      <c r="C11" s="1564">
        <f t="shared" ref="C11:O11" si="12">C10-C12</f>
        <v>2563830</v>
      </c>
      <c r="D11" s="1564">
        <f t="shared" si="12"/>
        <v>3733449.4378000004</v>
      </c>
      <c r="E11" s="1564">
        <f t="shared" si="12"/>
        <v>3093524.8</v>
      </c>
      <c r="F11" s="1564">
        <f t="shared" si="12"/>
        <v>3831721.9160600007</v>
      </c>
      <c r="G11" s="1781">
        <f t="shared" si="12"/>
        <v>3144039.5999999996</v>
      </c>
      <c r="H11" s="1781">
        <f t="shared" si="12"/>
        <v>3482860.1359999999</v>
      </c>
      <c r="I11" s="1781">
        <f t="shared" si="12"/>
        <v>3155697</v>
      </c>
      <c r="J11" s="1781">
        <f t="shared" si="12"/>
        <v>4027718.471506001</v>
      </c>
      <c r="K11" s="1778">
        <f t="shared" si="3"/>
        <v>11342300.523566002</v>
      </c>
      <c r="L11" s="1781">
        <f t="shared" si="12"/>
        <v>3374730</v>
      </c>
      <c r="M11" s="1781">
        <f>M10-M12</f>
        <v>4077519.6999999993</v>
      </c>
      <c r="N11" s="1781">
        <f t="shared" si="12"/>
        <v>5004880</v>
      </c>
      <c r="O11" s="1781">
        <f t="shared" si="12"/>
        <v>4990599.58235294</v>
      </c>
      <c r="P11" s="1779">
        <f>O11+N11+M11+J11+H11</f>
        <v>21583577.889858939</v>
      </c>
      <c r="Q11" s="1782">
        <f>Q10-Q12</f>
        <v>5404000.5332467407</v>
      </c>
      <c r="R11" s="1758">
        <f t="shared" ref="R11:U11" si="13">R10-R12</f>
        <v>5544000</v>
      </c>
      <c r="S11" s="493">
        <f t="shared" si="13"/>
        <v>5856000</v>
      </c>
      <c r="T11" s="493">
        <f t="shared" si="13"/>
        <v>6224000</v>
      </c>
      <c r="U11" s="493">
        <f t="shared" si="13"/>
        <v>6677000</v>
      </c>
      <c r="V11" s="1742">
        <f t="shared" si="4"/>
        <v>29705000.533246741</v>
      </c>
    </row>
    <row r="12" spans="1:105" s="1565" customFormat="1" ht="31.2">
      <c r="A12" s="1566" t="s">
        <v>35</v>
      </c>
      <c r="B12" s="1567" t="s">
        <v>1270</v>
      </c>
      <c r="C12" s="1056">
        <v>2902750</v>
      </c>
      <c r="D12" s="395">
        <v>3362900</v>
      </c>
      <c r="E12" s="1564">
        <v>3625175</v>
      </c>
      <c r="F12" s="1568">
        <f>(135850+31432+15811+282007+94101+6507+103618+570548+123964+552201+534261+721617)</f>
        <v>3171917</v>
      </c>
      <c r="G12" s="1781">
        <f>'[13]CĐ NSĐP 2021-2025'!$C$12</f>
        <v>3336400</v>
      </c>
      <c r="H12" s="1781">
        <f>(186155+40520+18307+148040+61372+12269+58187+565671+81326+476960+453602+488433)</f>
        <v>2590842</v>
      </c>
      <c r="I12" s="1781">
        <f>'[3]Phụ lục số 1-1'!E12+'[3]Phụ lục số 1-1'!E13+'[3]Phụ lục số 1-1'!E14+'[3]Phụ lục số 1-1'!E18+'[3]Phụ lục số 1-1'!E19+'[3]Phụ lục số 1-1'!E20+'[3]Phụ lục số 1-1'!E24+'[3]Phụ lục số 1-1'!E25+'[3]Phụ lục số 1-1'!E29+'[3]Phụ lục số 1-1'!E30+'[3]Phụ lục số 1-1'!E31+'[3]Phụ lục số 1-1'!E37+'[3]Phụ lục số 1-1'!E38</f>
        <v>2654080</v>
      </c>
      <c r="J12" s="1781">
        <f>[4]thu!$I$12+[4]thu!$I$13+[4]thu!$I$18+[4]thu!$I$19+[4]thu!$I$24+[4]thu!$I$25+[4]thu!$I$29+[4]thu!$I$30+[4]thu!$I$37+[4]thu!$I$38</f>
        <v>2838243.2383099995</v>
      </c>
      <c r="K12" s="1778">
        <f t="shared" si="3"/>
        <v>8601002.2383099999</v>
      </c>
      <c r="L12" s="1781">
        <f>'PL1.1'!Q12+'PL1.1'!Q13+'PL1.1'!Q14+'PL1.1'!Q18+'PL1.1'!Q19+'PL1.1'!Q20+'PL1.1'!Q24+'PL1.1'!Q25+'PL1.1'!Q29+'PL1.1'!Q30+'PL1.1'!Q31+'PL1.1'!Q37+'PL1.1'!Q38</f>
        <v>3329270</v>
      </c>
      <c r="M12" s="1781">
        <f>'PL1.1'!W12+'PL1.1'!W13+'PL1.1'!W14+'PL1.1'!W18+'PL1.1'!W19+'PL1.1'!W20+'PL1.1'!W24+'PL1.1'!W25+'PL1.1'!W29+'PL1.1'!W30+'PL1.1'!W31+'PL1.1'!W37+'PL1.1'!W38</f>
        <v>3372880.0999999996</v>
      </c>
      <c r="N12" s="1781">
        <f>'PL1.1'!AC12+'PL1.1'!AC13+'PL1.1'!AC18+'PL1.1'!AC19+'PL1.1'!AC24+'PL1.1'!AC25+'PL1.1'!AC29+'PL1.1'!AC30+'PL1.1'!AC37+'PL1.1'!AC38</f>
        <v>3480050</v>
      </c>
      <c r="O12" s="1781">
        <f>'PL1.1'!AI12+'PL1.1'!AI13+'PL1.1'!AI18+'PL1.1'!AI19+'PL1.1'!AI24+'PL1.1'!AI25+'PL1.1'!AI29+'PL1.1'!AI30+'PL1.1'!AI37+'PL1.1'!AI38</f>
        <v>4124000</v>
      </c>
      <c r="P12" s="1779">
        <f>O12+N12+M12+J12+H12</f>
        <v>16406015.33831</v>
      </c>
      <c r="Q12" s="1782">
        <f>'PL1.1'!AO12+'PL1.1'!AO13+'PL1.1'!AO18+'PL1.1'!AO19+'PL1.1'!AO24+'PL1.1'!AO25+'PL1.1'!AO29+'PL1.1'!AO30+'PL1.1'!AO37+'PL1.1'!AO38</f>
        <v>4507000</v>
      </c>
      <c r="R12" s="1758">
        <f>'[3]Phụ lục số 1-1'!AU12+'[3]Phụ lục số 1-1'!AU13+'[3]Phụ lục số 1-1'!AU14+'[3]Phụ lục số 1-1'!AU18+'[3]Phụ lục số 1-1'!AU19+'[3]Phụ lục số 1-1'!AU24+'[3]Phụ lục số 1-1'!AU25+'[3]Phụ lục số 1-1'!AU29+'[3]Phụ lục số 1-1'!AU30+'[3]Phụ lục số 1-1'!AU37+'[3]Phụ lục số 1-1'!AU38+'[3]Phụ lục số 1-1'!AU31</f>
        <v>5174000</v>
      </c>
      <c r="S12" s="493">
        <f>'[3]Phụ lục số 1-1'!BA12+'[3]Phụ lục số 1-1'!BA13+'[3]Phụ lục số 1-1'!BA14+'[3]Phụ lục số 1-1'!BA18+'[3]Phụ lục số 1-1'!BA19+'[3]Phụ lục số 1-1'!BA24+'[3]Phụ lục số 1-1'!BA25+'[3]Phụ lục số 1-1'!BA29+'[3]Phụ lục số 1-1'!BA30+'[3]Phụ lục số 1-1'!BA31+'[3]Phụ lục số 1-1'!BA37+'[3]Phụ lục số 1-1'!BA38</f>
        <v>5711000</v>
      </c>
      <c r="T12" s="493">
        <f>'[3]Phụ lục số 1-1'!BG12+'[3]Phụ lục số 1-1'!BG13+'[3]Phụ lục số 1-1'!BG14+'[3]Phụ lục số 1-1'!BG18+'[3]Phụ lục số 1-1'!BG19+'[3]Phụ lục số 1-1'!BG24+'[3]Phụ lục số 1-1'!BG25+'[3]Phụ lục số 1-1'!BG29+'[3]Phụ lục số 1-1'!BG30+'[3]Phụ lục số 1-1'!BG31+'[3]Phụ lục số 1-1'!BG37+'[3]Phụ lục số 1-1'!BG38</f>
        <v>6298000</v>
      </c>
      <c r="U12" s="493">
        <f>'[3]Phụ lục số 1-1'!BM12+'[3]Phụ lục số 1-1'!BM13+'[3]Phụ lục số 1-1'!BM14+'[3]Phụ lục số 1-1'!BM18+'[3]Phụ lục số 1-1'!BM19+'[3]Phụ lục số 1-1'!BM24+'[3]Phụ lục số 1-1'!BM25+'[3]Phụ lục số 1-1'!BM29+'[3]Phụ lục số 1-1'!BM30+'[3]Phụ lục số 1-1'!BM31+'[3]Phụ lục số 1-1'!BM37+'[3]Phụ lục số 1-1'!BM38</f>
        <v>6977000</v>
      </c>
      <c r="V12" s="1742">
        <f t="shared" si="4"/>
        <v>28667000</v>
      </c>
    </row>
    <row r="13" spans="1:105" s="1557" customFormat="1">
      <c r="A13" s="1562">
        <v>2</v>
      </c>
      <c r="B13" s="1216" t="s">
        <v>1271</v>
      </c>
      <c r="C13" s="252">
        <f t="shared" ref="C13:H13" si="14">SUM(C14:C15)</f>
        <v>6411469</v>
      </c>
      <c r="D13" s="252">
        <f t="shared" si="14"/>
        <v>7218316</v>
      </c>
      <c r="E13" s="252">
        <f t="shared" si="14"/>
        <v>6261639</v>
      </c>
      <c r="F13" s="252">
        <f t="shared" si="14"/>
        <v>6413821</v>
      </c>
      <c r="G13" s="1777">
        <f t="shared" si="14"/>
        <v>6765596</v>
      </c>
      <c r="H13" s="1777">
        <f t="shared" si="14"/>
        <v>6967790</v>
      </c>
      <c r="I13" s="1777">
        <f>SUM(I14:I15)</f>
        <v>8016985</v>
      </c>
      <c r="J13" s="1777">
        <f t="shared" ref="J13:U13" si="15">SUM(J14:J15)</f>
        <v>8016985</v>
      </c>
      <c r="K13" s="1778">
        <f t="shared" si="3"/>
        <v>21398596</v>
      </c>
      <c r="L13" s="1777">
        <f>SUM(L14:L15)</f>
        <v>9084495</v>
      </c>
      <c r="M13" s="1777">
        <f t="shared" si="15"/>
        <v>9084495</v>
      </c>
      <c r="N13" s="1777">
        <f t="shared" si="15"/>
        <v>9126779</v>
      </c>
      <c r="O13" s="1777">
        <f t="shared" si="15"/>
        <v>9714072.5</v>
      </c>
      <c r="P13" s="1776">
        <f>SUM(P14:P15)</f>
        <v>42910121.5</v>
      </c>
      <c r="Q13" s="1780">
        <f t="shared" si="15"/>
        <v>9646988.3000000007</v>
      </c>
      <c r="R13" s="1757">
        <f t="shared" si="15"/>
        <v>9844524</v>
      </c>
      <c r="S13" s="485">
        <f t="shared" si="15"/>
        <v>9844524</v>
      </c>
      <c r="T13" s="485">
        <f t="shared" si="15"/>
        <v>9844524</v>
      </c>
      <c r="U13" s="485">
        <f t="shared" si="15"/>
        <v>9844524</v>
      </c>
      <c r="V13" s="1742">
        <f t="shared" si="4"/>
        <v>49025084.299999997</v>
      </c>
    </row>
    <row r="14" spans="1:105" s="1565" customFormat="1">
      <c r="A14" s="1563" t="s">
        <v>34</v>
      </c>
      <c r="B14" s="1217" t="s">
        <v>1272</v>
      </c>
      <c r="C14" s="494">
        <f>'[3]Thu NSNN 2021-2030'!W153</f>
        <v>4987479</v>
      </c>
      <c r="D14" s="494">
        <f>'[3]Thu NSNN 2021-2030'!X153</f>
        <v>4987479</v>
      </c>
      <c r="E14" s="494">
        <v>4787126</v>
      </c>
      <c r="F14" s="494">
        <f>'[3]Thu NSNN 2021-2030'!Z153</f>
        <v>4910076</v>
      </c>
      <c r="G14" s="1781">
        <f>'[13]CĐ NSĐP 2021-2025'!$C$14</f>
        <v>4883126</v>
      </c>
      <c r="H14" s="1781">
        <f>'[3]Thu NSNN 2021-2030'!AF153</f>
        <v>5085320</v>
      </c>
      <c r="I14" s="1781">
        <f>'PL-TổngThu21-25'!AG32</f>
        <v>6803512</v>
      </c>
      <c r="J14" s="1781">
        <f>'[3]Phụ lục số 1-1'!H53</f>
        <v>6803512</v>
      </c>
      <c r="K14" s="1778">
        <f t="shared" si="3"/>
        <v>16798908</v>
      </c>
      <c r="L14" s="1781">
        <f>'PL-TổngThu21-25'!AO32</f>
        <v>6487488</v>
      </c>
      <c r="M14" s="1781">
        <f>'PL-TổngThu21-25'!AP32</f>
        <v>6487488</v>
      </c>
      <c r="N14" s="1781">
        <f>'PL1.1'!AC53</f>
        <v>6487488</v>
      </c>
      <c r="O14" s="1781">
        <f>'PL1.1'!AI53</f>
        <v>6617188</v>
      </c>
      <c r="P14" s="1779">
        <f>O14+N14+M14+J14+H14</f>
        <v>31480996</v>
      </c>
      <c r="Q14" s="1782">
        <f>'PL1.1'!AO53</f>
        <v>6617188</v>
      </c>
      <c r="R14" s="1758">
        <f>'[3]Phụ lục số 1-1'!AR53</f>
        <v>6487488</v>
      </c>
      <c r="S14" s="493">
        <f>'[3]Phụ lục số 1-1'!AX53</f>
        <v>6487488</v>
      </c>
      <c r="T14" s="1749">
        <f>'[3]Phụ lục số 1-1'!BD53</f>
        <v>6487488</v>
      </c>
      <c r="U14" s="493">
        <f>'[3]Phụ lục số 1-1'!BJ53</f>
        <v>6487488</v>
      </c>
      <c r="V14" s="1742">
        <f t="shared" si="4"/>
        <v>32567140</v>
      </c>
    </row>
    <row r="15" spans="1:105" s="1565" customFormat="1">
      <c r="A15" s="1563" t="s">
        <v>35</v>
      </c>
      <c r="B15" s="1217" t="s">
        <v>239</v>
      </c>
      <c r="C15" s="494">
        <f>'[3]Thu NSNN 2021-2030'!W156-87254</f>
        <v>1423990</v>
      </c>
      <c r="D15" s="494">
        <f>'[3]Thu NSNN 2021-2030'!X156-8725</f>
        <v>2230837</v>
      </c>
      <c r="E15" s="494">
        <v>1474513</v>
      </c>
      <c r="F15" s="494">
        <f>'[3]Thu NSNN 2021-2030'!Z156-257157</f>
        <v>1503745</v>
      </c>
      <c r="G15" s="1781">
        <f>SUM(G16:G18)</f>
        <v>1882470</v>
      </c>
      <c r="H15" s="1781">
        <f>SUM(H16:H18)</f>
        <v>1882470</v>
      </c>
      <c r="I15" s="1781">
        <f>SUM(I16:I18)</f>
        <v>1213473</v>
      </c>
      <c r="J15" s="1781">
        <f>SUM(J16:J18)</f>
        <v>1213473</v>
      </c>
      <c r="K15" s="1778">
        <f t="shared" si="3"/>
        <v>4599688</v>
      </c>
      <c r="L15" s="1781">
        <f>SUM(L16:L18)</f>
        <v>2597007</v>
      </c>
      <c r="M15" s="1781">
        <f t="shared" ref="M15:Q15" si="16">SUM(M16:M18)</f>
        <v>2597007</v>
      </c>
      <c r="N15" s="1781">
        <f t="shared" si="16"/>
        <v>2639291</v>
      </c>
      <c r="O15" s="1781">
        <f t="shared" si="16"/>
        <v>3096884.5</v>
      </c>
      <c r="P15" s="1781">
        <f t="shared" si="16"/>
        <v>11429125.5</v>
      </c>
      <c r="Q15" s="1782">
        <f t="shared" si="16"/>
        <v>3029800.3</v>
      </c>
      <c r="R15" s="1758">
        <f>'[3]Phụ lục số 1-1'!AR54</f>
        <v>3357036</v>
      </c>
      <c r="S15" s="493">
        <f>'[3]Phụ lục số 1-1'!AX54</f>
        <v>3357036</v>
      </c>
      <c r="T15" s="493">
        <f>'[3]Phụ lục số 1-1'!BD54</f>
        <v>3357036</v>
      </c>
      <c r="U15" s="493">
        <f>'[3]Phụ lục số 1-1'!BJ54</f>
        <v>3357036</v>
      </c>
      <c r="V15" s="1742">
        <f t="shared" si="4"/>
        <v>16457944.300000001</v>
      </c>
    </row>
    <row r="16" spans="1:105" s="1565" customFormat="1" ht="18">
      <c r="A16" s="65">
        <v>1</v>
      </c>
      <c r="B16" s="11" t="s">
        <v>85</v>
      </c>
      <c r="C16" s="494"/>
      <c r="D16" s="494"/>
      <c r="E16" s="494"/>
      <c r="F16" s="494"/>
      <c r="G16" s="1781">
        <f>'PL-TổngThu21-25'!AE34</f>
        <v>1263824</v>
      </c>
      <c r="H16" s="1781">
        <f>G16</f>
        <v>1263824</v>
      </c>
      <c r="I16" s="1781">
        <f>'PL-TổngThu21-25'!AG34</f>
        <v>1127000</v>
      </c>
      <c r="J16" s="1781">
        <f>I16</f>
        <v>1127000</v>
      </c>
      <c r="K16" s="1778"/>
      <c r="L16" s="1781">
        <f>'PL-TổngThu21-25'!AO34</f>
        <v>2417971</v>
      </c>
      <c r="M16" s="1781">
        <f>L16</f>
        <v>2417971</v>
      </c>
      <c r="N16" s="1781">
        <f>'PL1.1'!AC55</f>
        <v>1814491</v>
      </c>
      <c r="O16" s="1781">
        <f>'PL1.1'!AI55</f>
        <v>2205000</v>
      </c>
      <c r="P16" s="1779">
        <f>O16+N16+M16+J16+H16</f>
        <v>8828286</v>
      </c>
      <c r="Q16" s="1782">
        <f>'PL1.1'!AO55</f>
        <v>2205000</v>
      </c>
      <c r="R16" s="1758"/>
      <c r="S16" s="493"/>
      <c r="T16" s="493"/>
      <c r="U16" s="493"/>
      <c r="V16" s="1742"/>
    </row>
    <row r="17" spans="1:24" s="1565" customFormat="1" ht="18">
      <c r="A17" s="65">
        <v>2</v>
      </c>
      <c r="B17" s="11" t="s">
        <v>1532</v>
      </c>
      <c r="C17" s="494"/>
      <c r="D17" s="494"/>
      <c r="E17" s="494"/>
      <c r="F17" s="494"/>
      <c r="G17" s="1781">
        <f>'PL-TổngThu21-25'!AE35</f>
        <v>416452</v>
      </c>
      <c r="H17" s="1781">
        <f>G17</f>
        <v>416452</v>
      </c>
      <c r="I17" s="1781">
        <f>'PL-TổngThu21-25'!AG35</f>
        <v>86473</v>
      </c>
      <c r="J17" s="1781">
        <f>I17</f>
        <v>86473</v>
      </c>
      <c r="K17" s="1778"/>
      <c r="L17" s="1781">
        <f>'PL-TổngThu21-25'!AO35</f>
        <v>179036</v>
      </c>
      <c r="M17" s="1781">
        <f>L17</f>
        <v>179036</v>
      </c>
      <c r="N17" s="1781">
        <f>'PL1.1'!AC56</f>
        <v>174485</v>
      </c>
      <c r="O17" s="1781">
        <f>'PL1.1'!AF56</f>
        <v>174485.3</v>
      </c>
      <c r="P17" s="1779">
        <f>O17+N17+M17+J17+H17</f>
        <v>1030931.3</v>
      </c>
      <c r="Q17" s="1782">
        <f>'PL1.1'!AO56</f>
        <v>174485.3</v>
      </c>
      <c r="R17" s="1758"/>
      <c r="S17" s="493"/>
      <c r="T17" s="493"/>
      <c r="U17" s="493"/>
      <c r="V17" s="1742"/>
    </row>
    <row r="18" spans="1:24" s="1565" customFormat="1" ht="18">
      <c r="A18" s="65">
        <v>3</v>
      </c>
      <c r="B18" s="11" t="s">
        <v>226</v>
      </c>
      <c r="C18" s="494"/>
      <c r="D18" s="494"/>
      <c r="E18" s="494"/>
      <c r="F18" s="494"/>
      <c r="G18" s="1781">
        <f>'PL-TổngThu21-25'!AE36</f>
        <v>202194</v>
      </c>
      <c r="H18" s="1781">
        <f>G18</f>
        <v>202194</v>
      </c>
      <c r="I18" s="1781">
        <f>'PL-TổngThu21-25'!AG36</f>
        <v>0</v>
      </c>
      <c r="J18" s="1781">
        <f>I18</f>
        <v>0</v>
      </c>
      <c r="K18" s="1778"/>
      <c r="L18" s="1781">
        <f>'PL-TổngThu21-25'!AO36</f>
        <v>0</v>
      </c>
      <c r="M18" s="1781">
        <f>L18</f>
        <v>0</v>
      </c>
      <c r="N18" s="1781">
        <f>'PL1.1'!AC57</f>
        <v>650315</v>
      </c>
      <c r="O18" s="1781">
        <f>'PL1.1'!AF58</f>
        <v>717399.2</v>
      </c>
      <c r="P18" s="1779">
        <f t="shared" ref="P18:P20" si="17">O18+N18+M18+J18+H18</f>
        <v>1569908.2</v>
      </c>
      <c r="Q18" s="1782">
        <f>'PL1.1'!AO57</f>
        <v>650315</v>
      </c>
      <c r="R18" s="1758"/>
      <c r="S18" s="493"/>
      <c r="T18" s="493"/>
      <c r="U18" s="493"/>
      <c r="V18" s="1742"/>
    </row>
    <row r="19" spans="1:24" s="1559" customFormat="1" ht="31.2">
      <c r="A19" s="1558">
        <v>3</v>
      </c>
      <c r="B19" s="263" t="s">
        <v>1295</v>
      </c>
      <c r="C19" s="326">
        <f>'[3]Thu NSNN 2021-2030'!W157</f>
        <v>353947</v>
      </c>
      <c r="D19" s="1152"/>
      <c r="E19" s="1745">
        <v>425294</v>
      </c>
      <c r="F19" s="1152"/>
      <c r="G19" s="1770">
        <f>'PL-TổngThu21-25'!AE37</f>
        <v>816873</v>
      </c>
      <c r="H19" s="1770">
        <f>'PL-TổngThu21-25'!AF37</f>
        <v>816873</v>
      </c>
      <c r="I19" s="1770">
        <f>'PL-TổngThu21-25'!AG37</f>
        <v>179391</v>
      </c>
      <c r="J19" s="1770">
        <f>I19</f>
        <v>179391</v>
      </c>
      <c r="K19" s="1771">
        <f t="shared" si="3"/>
        <v>996264</v>
      </c>
      <c r="L19" s="1770">
        <f>'PL-TổngThu21-25'!AO37</f>
        <v>0</v>
      </c>
      <c r="M19" s="1770">
        <f>'PL-TổngThu21-25'!AP37</f>
        <v>431000</v>
      </c>
      <c r="N19" s="1770">
        <f>'PL1.1'!AC58</f>
        <v>886000</v>
      </c>
      <c r="O19" s="1770">
        <f>'PL1.1'!AF58</f>
        <v>717399.2</v>
      </c>
      <c r="P19" s="1772">
        <f t="shared" si="17"/>
        <v>3030663.2</v>
      </c>
      <c r="Q19" s="1773">
        <f>'PL1.1'!AO58</f>
        <v>881301.31019487511</v>
      </c>
      <c r="R19" s="1755">
        <f>'[3]Phụ lục số 1-1'!AR57</f>
        <v>0</v>
      </c>
      <c r="S19" s="439">
        <f>'[3]Phụ lục số 1-1'!AX57</f>
        <v>0</v>
      </c>
      <c r="T19" s="439">
        <f>'[3]Phụ lục số 1-1'!BD57</f>
        <v>0</v>
      </c>
      <c r="U19" s="439">
        <f>'[3]Phụ lục số 1-1'!BJ57</f>
        <v>0</v>
      </c>
      <c r="V19" s="1741">
        <f t="shared" si="4"/>
        <v>881301.31019487511</v>
      </c>
    </row>
    <row r="20" spans="1:24" s="1559" customFormat="1" ht="31.2">
      <c r="A20" s="1558" t="s">
        <v>20</v>
      </c>
      <c r="B20" s="590" t="s">
        <v>132</v>
      </c>
      <c r="C20" s="591">
        <f>'[3]Thu NSNN 2021-2030'!W158</f>
        <v>15000</v>
      </c>
      <c r="D20" s="591">
        <f>'[3]Thu NSNN 2021-2030'!X158</f>
        <v>6000</v>
      </c>
      <c r="E20" s="591">
        <f>'[3]Thu NSNN 2021-2030'!Y158</f>
        <v>30900</v>
      </c>
      <c r="F20" s="591">
        <f>'[3]Thu NSNN 2021-2030'!Z158</f>
        <v>20568</v>
      </c>
      <c r="G20" s="424">
        <f>'PL-TổngThu21-25'!AE38</f>
        <v>61200</v>
      </c>
      <c r="H20" s="424">
        <f>'PL-TổngThu21-25'!AF38</f>
        <v>61200</v>
      </c>
      <c r="I20" s="424">
        <f>'PL-TổngThu21-25'!AG38</f>
        <v>48300</v>
      </c>
      <c r="J20" s="424">
        <f>'PL-TổngThu21-25'!AH38</f>
        <v>48300</v>
      </c>
      <c r="K20" s="1767">
        <f t="shared" si="3"/>
        <v>130068</v>
      </c>
      <c r="L20" s="1770">
        <f>'PL-TổngThu21-25'!AO38</f>
        <v>31500</v>
      </c>
      <c r="M20" s="1770">
        <f>'PL-TổngThu21-25'!AP38</f>
        <v>31500</v>
      </c>
      <c r="N20" s="1770">
        <f>'PL1.1'!AC59</f>
        <v>0</v>
      </c>
      <c r="O20" s="1770">
        <f>'PL1.1'!AF59</f>
        <v>0</v>
      </c>
      <c r="P20" s="1772">
        <f t="shared" si="17"/>
        <v>141000</v>
      </c>
      <c r="Q20" s="1773">
        <f>'PL1.1'!AO59</f>
        <v>0</v>
      </c>
      <c r="R20" s="1755">
        <f>'[3]Phụ lục số 1-1'!AR58</f>
        <v>0</v>
      </c>
      <c r="S20" s="439">
        <f>'[3]Phụ lục số 1-1'!AX58</f>
        <v>0</v>
      </c>
      <c r="T20" s="439">
        <f>'[3]Phụ lục số 1-1'!BD58</f>
        <v>0</v>
      </c>
      <c r="U20" s="439">
        <f>'[3]Phụ lục số 1-1'!BJ58</f>
        <v>0</v>
      </c>
      <c r="V20" s="1741">
        <f t="shared" si="4"/>
        <v>0</v>
      </c>
    </row>
    <row r="21" spans="1:24" s="1561" customFormat="1">
      <c r="A21" s="1560" t="s">
        <v>26</v>
      </c>
      <c r="B21" s="1218" t="s">
        <v>1273</v>
      </c>
      <c r="C21" s="319">
        <f t="shared" ref="C21:J21" si="18">+C22+C31+C35</f>
        <v>12334250</v>
      </c>
      <c r="D21" s="319">
        <f t="shared" si="18"/>
        <v>12066049.228876</v>
      </c>
      <c r="E21" s="319">
        <f t="shared" si="18"/>
        <v>13693690</v>
      </c>
      <c r="F21" s="319">
        <f t="shared" si="18"/>
        <v>14567660.645962</v>
      </c>
      <c r="G21" s="1774">
        <f t="shared" si="18"/>
        <v>14124109</v>
      </c>
      <c r="H21" s="1774">
        <f t="shared" si="18"/>
        <v>15525891</v>
      </c>
      <c r="I21" s="1774">
        <f t="shared" si="18"/>
        <v>14054453</v>
      </c>
      <c r="J21" s="1774">
        <f t="shared" si="18"/>
        <v>16064574.880484</v>
      </c>
      <c r="K21" s="1767">
        <f t="shared" si="3"/>
        <v>46158126.526446</v>
      </c>
      <c r="L21" s="1774">
        <f>SUM(L22,L31:L31,L35)</f>
        <v>15819995</v>
      </c>
      <c r="M21" s="1774">
        <f>SUM(M22,M31:M31,M35)</f>
        <v>17291694.066666666</v>
      </c>
      <c r="N21" s="1774">
        <f>SUM(N22,N31:N31,N35)</f>
        <v>18567408.915999997</v>
      </c>
      <c r="O21" s="1774">
        <f>SUM(O22+O31+O35)</f>
        <v>19418786.610194877</v>
      </c>
      <c r="P21" s="1768">
        <f>O21+N21+M21+J21+H21</f>
        <v>86868355.473345533</v>
      </c>
      <c r="Q21" s="1775">
        <f>SUM(Q22+Q31+Q35)</f>
        <v>20379289.916623373</v>
      </c>
      <c r="R21" s="1759">
        <f>SUM(R22+R31+R35)</f>
        <v>20562524.468752064</v>
      </c>
      <c r="S21" s="1750">
        <f>SUM(S22+S31+S35)</f>
        <v>21411524.287721697</v>
      </c>
      <c r="T21" s="1750">
        <f>SUM(T22+T31+T35)</f>
        <v>22366524.227051318</v>
      </c>
      <c r="U21" s="1750">
        <f>SUM(U22+U31+U35)</f>
        <v>23498523.513003781</v>
      </c>
      <c r="V21" s="1740">
        <f t="shared" si="4"/>
        <v>108218386.41315223</v>
      </c>
    </row>
    <row r="22" spans="1:24" s="1559" customFormat="1">
      <c r="A22" s="1558" t="s">
        <v>9</v>
      </c>
      <c r="B22" s="1215" t="s">
        <v>88</v>
      </c>
      <c r="C22" s="328">
        <f t="shared" ref="C22:J22" si="19">SUM(C23:C30)</f>
        <v>10895260</v>
      </c>
      <c r="D22" s="328">
        <f t="shared" si="19"/>
        <v>10978798.228876</v>
      </c>
      <c r="E22" s="328">
        <f t="shared" si="19"/>
        <v>12188277</v>
      </c>
      <c r="F22" s="328">
        <f t="shared" si="19"/>
        <v>13101800</v>
      </c>
      <c r="G22" s="1770">
        <f t="shared" si="19"/>
        <v>12692115</v>
      </c>
      <c r="H22" s="1770">
        <f t="shared" si="19"/>
        <v>14076644</v>
      </c>
      <c r="I22" s="1770">
        <f t="shared" si="19"/>
        <v>12792680</v>
      </c>
      <c r="J22" s="1770">
        <f t="shared" si="19"/>
        <v>14484679.802034</v>
      </c>
      <c r="K22" s="1771">
        <f t="shared" si="3"/>
        <v>41663123.802033998</v>
      </c>
      <c r="L22" s="1770">
        <f>SUM(L23:L30)</f>
        <v>13191488</v>
      </c>
      <c r="M22" s="1770">
        <f>SUM(M23:M30)</f>
        <v>14663187.066666666</v>
      </c>
      <c r="N22" s="1770">
        <f>SUM(N23:N30)</f>
        <v>16578432.915999997</v>
      </c>
      <c r="O22" s="1770">
        <f>SUM(O23:O30)</f>
        <v>17039301.310194876</v>
      </c>
      <c r="P22" s="1772">
        <f>O22+N22+M22+J22+H22</f>
        <v>76842245.094895542</v>
      </c>
      <c r="Q22" s="1773">
        <f>SUM(Q23:Q30)</f>
        <v>17999804.616623372</v>
      </c>
      <c r="R22" s="1760">
        <f>SUM(R23:R30)</f>
        <v>17205488.468752064</v>
      </c>
      <c r="S22" s="1751">
        <f>SUM(S23:S30)</f>
        <v>18054488.287721697</v>
      </c>
      <c r="T22" s="1751">
        <f>SUM(T23:T30)</f>
        <v>19009488.227051318</v>
      </c>
      <c r="U22" s="1751">
        <f>SUM(U23:U30)</f>
        <v>20141487.513003781</v>
      </c>
      <c r="V22" s="1741">
        <f t="shared" si="4"/>
        <v>92410757.113152236</v>
      </c>
    </row>
    <row r="23" spans="1:24" s="1557" customFormat="1">
      <c r="A23" s="1562">
        <v>1</v>
      </c>
      <c r="B23" s="1216" t="s">
        <v>93</v>
      </c>
      <c r="C23" s="506">
        <f>'[3]Chi NSĐP 2021-2030'!O11</f>
        <v>2866350</v>
      </c>
      <c r="D23" s="506">
        <f>'[3]Chi NSĐP 2021-2030'!P11</f>
        <v>2582125.2288760003</v>
      </c>
      <c r="E23" s="506">
        <v>3191485</v>
      </c>
      <c r="F23" s="506">
        <f>'[3]Chi NSĐP 2021-2030'!R11</f>
        <v>4460541</v>
      </c>
      <c r="G23" s="1777">
        <f>'PL-TổngChi21-25'!X11</f>
        <v>3381485</v>
      </c>
      <c r="H23" s="1777">
        <f>'PL-TổngChi21-25'!Y11</f>
        <v>4460541</v>
      </c>
      <c r="I23" s="1777">
        <f>'PL-TổngChi21-25'!Z11</f>
        <v>3374957</v>
      </c>
      <c r="J23" s="1777">
        <f>'[4]Chi (HĐND)'!$F$13+'[4]Chi (HĐND)'!$F$19</f>
        <v>5399002.1306710001</v>
      </c>
      <c r="K23" s="1778">
        <f t="shared" si="3"/>
        <v>14320084.130671</v>
      </c>
      <c r="L23" s="1777">
        <f>'PL2.1'!K9</f>
        <v>3561000</v>
      </c>
      <c r="M23" s="1777">
        <f>'PL2.1'!P9</f>
        <v>4091000</v>
      </c>
      <c r="N23" s="1777">
        <f>'PL2.1'!U9</f>
        <v>4863186.4089698764</v>
      </c>
      <c r="O23" s="1777">
        <f>'PL2.1'!Z9</f>
        <v>4735000</v>
      </c>
      <c r="P23" s="1779">
        <f t="shared" ref="P23:P34" si="20">O23+N23+M23+J23+H23</f>
        <v>23548729.539640874</v>
      </c>
      <c r="Q23" s="1780">
        <f>'PL2.1'!AE9</f>
        <v>5025000</v>
      </c>
      <c r="R23" s="1757">
        <f>'[3]Phụ lục số 2-1'!AJ9</f>
        <v>5099330.4687520657</v>
      </c>
      <c r="S23" s="485">
        <f>'[3]Phụ lục số 2-1'!AO9</f>
        <v>5267830.2877216972</v>
      </c>
      <c r="T23" s="485">
        <f>'[3]Phụ lục số 2-1'!AT9</f>
        <v>5407402.2270513177</v>
      </c>
      <c r="U23" s="485">
        <f>'[3]Phụ lục số 2-1'!AY9</f>
        <v>5601293.4130037781</v>
      </c>
      <c r="V23" s="1742">
        <f t="shared" si="4"/>
        <v>26400856.396528862</v>
      </c>
      <c r="W23" s="579">
        <f>U23/U22</f>
        <v>0.27809730584136161</v>
      </c>
      <c r="X23" s="579">
        <f>V23/V22</f>
        <v>0.2856902943041833</v>
      </c>
    </row>
    <row r="24" spans="1:24" s="1557" customFormat="1">
      <c r="A24" s="1562">
        <v>2</v>
      </c>
      <c r="B24" s="1216" t="s">
        <v>58</v>
      </c>
      <c r="C24" s="506">
        <f>'[3]Chi NSĐP 2021-2030'!O16</f>
        <v>7613338</v>
      </c>
      <c r="D24" s="506">
        <f>'[3]Chi NSĐP 2021-2030'!P16</f>
        <v>8394673</v>
      </c>
      <c r="E24" s="506">
        <v>8380843</v>
      </c>
      <c r="F24" s="506">
        <f>'[3]Chi NSĐP 2021-2030'!R16</f>
        <v>8639182</v>
      </c>
      <c r="G24" s="1777">
        <f>'PL-TổngChi21-25'!X16</f>
        <v>8465821</v>
      </c>
      <c r="H24" s="1777">
        <f>'PL-TổngChi21-25'!Y16</f>
        <v>9613280</v>
      </c>
      <c r="I24" s="1777">
        <f>'PL-TổngChi21-25'!Z16</f>
        <v>9140657</v>
      </c>
      <c r="J24" s="1777">
        <f>'[4]Chi (HĐND)'!$F$23</f>
        <v>9081902.7744820006</v>
      </c>
      <c r="K24" s="1778">
        <f t="shared" si="3"/>
        <v>27334364.774482001</v>
      </c>
      <c r="L24" s="1777">
        <f>'PL2.1'!K14</f>
        <v>9353865</v>
      </c>
      <c r="M24" s="1777">
        <f>'PL2.1'!P14</f>
        <v>9353865</v>
      </c>
      <c r="N24" s="1777">
        <f>'PL2.1'!U14</f>
        <v>10664978.394711081</v>
      </c>
      <c r="O24" s="1777">
        <f>'PL2.1'!Z14</f>
        <v>11071000</v>
      </c>
      <c r="P24" s="1779">
        <f t="shared" si="20"/>
        <v>49785026.169193082</v>
      </c>
      <c r="Q24" s="1780">
        <f>'PL2.1'!AE14</f>
        <v>11373000</v>
      </c>
      <c r="R24" s="1757">
        <f>'[3]Phụ lục số 2-1'!AJ14</f>
        <v>10464000</v>
      </c>
      <c r="S24" s="485">
        <f>'[3]Phụ lục số 2-1'!AO14</f>
        <v>10767000</v>
      </c>
      <c r="T24" s="485">
        <f>'[3]Phụ lục số 2-1'!AT14</f>
        <v>11101000</v>
      </c>
      <c r="U24" s="485">
        <f>'[3]Phụ lục số 2-1'!AY14</f>
        <v>11476000</v>
      </c>
      <c r="V24" s="1742">
        <f t="shared" si="4"/>
        <v>55181000</v>
      </c>
      <c r="W24" s="579">
        <f>U24/U22</f>
        <v>0.56976923837382143</v>
      </c>
      <c r="X24" s="579">
        <f>V24/V22</f>
        <v>0.59712745273186862</v>
      </c>
    </row>
    <row r="25" spans="1:24" s="1557" customFormat="1">
      <c r="A25" s="1562">
        <v>3</v>
      </c>
      <c r="B25" s="1216" t="s">
        <v>1274</v>
      </c>
      <c r="C25" s="506">
        <f>'[3]Chi NSĐP 2021-2030'!O30</f>
        <v>2000</v>
      </c>
      <c r="D25" s="506">
        <f>'[3]Chi NSĐP 2021-2030'!P30</f>
        <v>2000</v>
      </c>
      <c r="E25" s="506">
        <v>2000</v>
      </c>
      <c r="F25" s="506">
        <f>'[3]Chi NSĐP 2021-2030'!R30</f>
        <v>2000</v>
      </c>
      <c r="G25" s="1777">
        <f>'PL-TổngChi21-25'!X30</f>
        <v>2000</v>
      </c>
      <c r="H25" s="1777">
        <f>'PL-TổngChi21-25'!Y30</f>
        <v>2000</v>
      </c>
      <c r="I25" s="1777">
        <f>'PL-TổngChi21-25'!Z30</f>
        <v>2000</v>
      </c>
      <c r="J25" s="1777">
        <f>'[4]Chi (HĐND)'!$F$48</f>
        <v>2000</v>
      </c>
      <c r="K25" s="1778">
        <f t="shared" si="3"/>
        <v>6000</v>
      </c>
      <c r="L25" s="1777">
        <f>'PL2.1'!K28</f>
        <v>2000</v>
      </c>
      <c r="M25" s="1777">
        <f>'PL2.1'!P28</f>
        <v>2000</v>
      </c>
      <c r="N25" s="1777">
        <f>'PL2.1'!U28</f>
        <v>2000</v>
      </c>
      <c r="O25" s="1777">
        <f>'PL2.1'!Z28</f>
        <v>2000</v>
      </c>
      <c r="P25" s="1779">
        <f t="shared" si="20"/>
        <v>10000</v>
      </c>
      <c r="Q25" s="1780">
        <f>'PL2.1'!AE28</f>
        <v>2000</v>
      </c>
      <c r="R25" s="1757">
        <f>'[3]Phụ lục số 2-1'!AJ28</f>
        <v>2000</v>
      </c>
      <c r="S25" s="485">
        <f>'[3]Phụ lục số 2-1'!AO28</f>
        <v>2000</v>
      </c>
      <c r="T25" s="485">
        <f>'[3]Phụ lục số 2-1'!AT28</f>
        <v>2000</v>
      </c>
      <c r="U25" s="485">
        <f>'[3]Phụ lục số 2-1'!AY28</f>
        <v>2000</v>
      </c>
      <c r="V25" s="1742">
        <f t="shared" si="4"/>
        <v>10000</v>
      </c>
    </row>
    <row r="26" spans="1:24" s="1557" customFormat="1">
      <c r="A26" s="1562">
        <v>4</v>
      </c>
      <c r="B26" s="1216" t="s">
        <v>87</v>
      </c>
      <c r="C26" s="506">
        <f>'[3]Chi NSĐP 2021-2030'!O31</f>
        <v>209077</v>
      </c>
      <c r="D26" s="229"/>
      <c r="E26" s="506">
        <v>233960</v>
      </c>
      <c r="F26" s="506">
        <f>'[3]Chi NSĐP 2021-2030'!R31</f>
        <v>0</v>
      </c>
      <c r="G26" s="1777">
        <f>'PL-TổngChi21-25'!X31</f>
        <v>233960</v>
      </c>
      <c r="H26" s="1777">
        <f>'PL-TổngChi21-25'!AA31</f>
        <v>0</v>
      </c>
      <c r="I26" s="1777">
        <f>'PL-TổngChi21-25'!Z31</f>
        <v>273066</v>
      </c>
      <c r="J26" s="1777">
        <f>'[3]Chi NSĐP 2021-2030'!Z31</f>
        <v>0</v>
      </c>
      <c r="K26" s="1778">
        <f t="shared" si="3"/>
        <v>0</v>
      </c>
      <c r="L26" s="1777">
        <f>'PL2.1'!K29</f>
        <v>274623</v>
      </c>
      <c r="M26" s="1777">
        <f>'PL2.1'!P29</f>
        <v>274623</v>
      </c>
      <c r="N26" s="1777">
        <f>'PL2.1'!U29</f>
        <v>327868.91231904214</v>
      </c>
      <c r="O26" s="1777">
        <f>'PL2.1'!Z29</f>
        <v>347000</v>
      </c>
      <c r="P26" s="1779">
        <f t="shared" si="20"/>
        <v>949491.91231904214</v>
      </c>
      <c r="Q26" s="1780">
        <f>'PL2.1'!AE29</f>
        <v>361000</v>
      </c>
      <c r="R26" s="1757">
        <f>'[3]Phụ lục số 2-1'!AJ29</f>
        <v>309000</v>
      </c>
      <c r="S26" s="485">
        <f>'[3]Phụ lục số 2-1'!AO29</f>
        <v>317000</v>
      </c>
      <c r="T26" s="485">
        <f>'[3]Phụ lục số 2-1'!AT29</f>
        <v>327000</v>
      </c>
      <c r="U26" s="485">
        <f>'[3]Phụ lục số 2-1'!AY29</f>
        <v>338000</v>
      </c>
      <c r="V26" s="1742">
        <f t="shared" si="4"/>
        <v>1652000</v>
      </c>
      <c r="W26" s="579">
        <f>O24/O22</f>
        <v>0.64973321373077964</v>
      </c>
    </row>
    <row r="27" spans="1:24" s="1557" customFormat="1">
      <c r="A27" s="1562">
        <v>6</v>
      </c>
      <c r="B27" s="326" t="s">
        <v>143</v>
      </c>
      <c r="C27" s="506">
        <f>'[3]Chi NSĐP 2021-2030'!O32</f>
        <v>204195</v>
      </c>
      <c r="D27" s="506">
        <f>'[3]Chi NSĐP 2021-2030'!P32</f>
        <v>0</v>
      </c>
      <c r="E27" s="506">
        <v>378989</v>
      </c>
      <c r="F27" s="506">
        <f>'[3]Chi NSĐP 2021-2030'!R32</f>
        <v>0</v>
      </c>
      <c r="G27" s="1777">
        <f>'PL-TổngChi21-25'!X32</f>
        <v>606749</v>
      </c>
      <c r="H27" s="1777">
        <f>'PL-TổngChi21-25'!Y32</f>
        <v>0</v>
      </c>
      <c r="I27" s="1777">
        <f>'PL-TổngChi21-25'!Z32</f>
        <v>0</v>
      </c>
      <c r="J27" s="1777">
        <f>'[3]Chi NSĐP 2021-2030'!AE32</f>
        <v>0</v>
      </c>
      <c r="K27" s="1778">
        <f t="shared" si="3"/>
        <v>0</v>
      </c>
      <c r="L27" s="1777">
        <f>'PL2.1'!K30</f>
        <v>0</v>
      </c>
      <c r="M27" s="1777">
        <f>'PL2.1'!P30</f>
        <v>431000</v>
      </c>
      <c r="N27" s="1777">
        <f>'PL2.1'!U30</f>
        <v>0</v>
      </c>
      <c r="O27" s="1777">
        <f>'PL2.1'!Z30</f>
        <v>0</v>
      </c>
      <c r="P27" s="1779">
        <f t="shared" si="20"/>
        <v>431000</v>
      </c>
      <c r="Q27" s="1780">
        <f>'PL2.1'!AE30</f>
        <v>0</v>
      </c>
      <c r="R27" s="1757">
        <f>'[3]Phụ lục số 2-1'!AJ30</f>
        <v>1331158</v>
      </c>
      <c r="S27" s="485">
        <f>'[3]Phụ lục số 2-1'!AO30</f>
        <v>1700658</v>
      </c>
      <c r="T27" s="485">
        <f>'[3]Phụ lục số 2-1'!AT30</f>
        <v>2172086</v>
      </c>
      <c r="U27" s="485">
        <f>'[3]Phụ lục số 2-1'!AY30</f>
        <v>2724194.1</v>
      </c>
      <c r="V27" s="1742">
        <f t="shared" si="4"/>
        <v>7928096.0999999996</v>
      </c>
    </row>
    <row r="28" spans="1:24" s="1557" customFormat="1">
      <c r="A28" s="1562">
        <v>7</v>
      </c>
      <c r="B28" s="326" t="s">
        <v>1316</v>
      </c>
      <c r="C28" s="229"/>
      <c r="D28" s="229"/>
      <c r="E28" s="229"/>
      <c r="F28" s="229"/>
      <c r="G28" s="1777">
        <f>'PL-TổngChi21-25'!X33</f>
        <v>0</v>
      </c>
      <c r="H28" s="1777">
        <f>'PL-TổngChi21-25'!Y33</f>
        <v>0</v>
      </c>
      <c r="I28" s="1777">
        <f>'PL-TổngChi21-25'!Z33</f>
        <v>0</v>
      </c>
      <c r="J28" s="1777"/>
      <c r="K28" s="1778">
        <f t="shared" si="3"/>
        <v>0</v>
      </c>
      <c r="L28" s="1777">
        <f>'PL2.1'!K31</f>
        <v>0</v>
      </c>
      <c r="M28" s="1777">
        <f>'PL2.1'!P31</f>
        <v>357489.34666666656</v>
      </c>
      <c r="N28" s="1777">
        <f>'PL2.1'!U31</f>
        <v>717399.2</v>
      </c>
      <c r="O28" s="1777">
        <f>'PL2.1'!Z31</f>
        <v>881301.31019487511</v>
      </c>
      <c r="P28" s="1779">
        <f t="shared" si="20"/>
        <v>1956189.8568615415</v>
      </c>
      <c r="Q28" s="1780">
        <f>'PL2.1'!AE31</f>
        <v>1235804.6166233711</v>
      </c>
      <c r="R28" s="1757"/>
      <c r="S28" s="485"/>
      <c r="T28" s="485"/>
      <c r="U28" s="485"/>
      <c r="V28" s="1742">
        <f t="shared" si="4"/>
        <v>1235804.6166233711</v>
      </c>
    </row>
    <row r="29" spans="1:24" s="1557" customFormat="1">
      <c r="A29" s="1562">
        <v>8</v>
      </c>
      <c r="B29" s="326" t="s">
        <v>1754</v>
      </c>
      <c r="C29" s="229"/>
      <c r="D29" s="229"/>
      <c r="E29" s="229"/>
      <c r="F29" s="229"/>
      <c r="G29" s="1777">
        <f>'PL-TổngChi21-25'!X34</f>
        <v>0</v>
      </c>
      <c r="H29" s="1777">
        <f>'PL-TổngChi21-25'!Y34</f>
        <v>0</v>
      </c>
      <c r="I29" s="1777">
        <f>'PL-TổngChi21-25'!Z34</f>
        <v>0</v>
      </c>
      <c r="J29" s="1777"/>
      <c r="K29" s="1778"/>
      <c r="L29" s="1777">
        <f>'PL2.1'!K32</f>
        <v>0</v>
      </c>
      <c r="M29" s="1777">
        <f>'PL2.1'!P32</f>
        <v>153209.71999999997</v>
      </c>
      <c r="N29" s="1777">
        <f>'PL2.1'!U32</f>
        <v>0</v>
      </c>
      <c r="O29" s="1777">
        <f>'PL2.1'!Z32</f>
        <v>0</v>
      </c>
      <c r="P29" s="1779"/>
      <c r="Q29" s="1780">
        <f>'PL2.1'!AE32</f>
        <v>0</v>
      </c>
      <c r="R29" s="1757"/>
      <c r="S29" s="485"/>
      <c r="T29" s="485"/>
      <c r="U29" s="485"/>
      <c r="V29" s="1742"/>
    </row>
    <row r="30" spans="1:24" s="1557" customFormat="1">
      <c r="A30" s="1562">
        <v>9</v>
      </c>
      <c r="B30" s="1216" t="s">
        <v>1747</v>
      </c>
      <c r="C30" s="506">
        <f>'[3]Chi NSĐP 2021-2030'!O34</f>
        <v>300</v>
      </c>
      <c r="D30" s="506">
        <f>'[3]Chi NSĐP 2021-2030'!P34</f>
        <v>0</v>
      </c>
      <c r="E30" s="506">
        <v>1000</v>
      </c>
      <c r="F30" s="506">
        <f>'[3]Chi NSĐP 2021-2030'!R34</f>
        <v>77</v>
      </c>
      <c r="G30" s="1777">
        <f>'PL-TổngChi21-25'!X35</f>
        <v>2100</v>
      </c>
      <c r="H30" s="1777">
        <f>'PL-TổngChi21-25'!Y35</f>
        <v>823</v>
      </c>
      <c r="I30" s="1777">
        <f>'PL-TổngChi21-25'!Z35</f>
        <v>2000</v>
      </c>
      <c r="J30" s="1777">
        <f>'[10]Chi (HĐND)'!$F$53</f>
        <v>1774.8968809999999</v>
      </c>
      <c r="K30" s="1778">
        <f t="shared" si="3"/>
        <v>2674.8968809999997</v>
      </c>
      <c r="L30" s="1777">
        <f>'PL2.1'!K33</f>
        <v>0</v>
      </c>
      <c r="M30" s="1777">
        <f>'PL2.1'!P33</f>
        <v>0</v>
      </c>
      <c r="N30" s="1777">
        <f>'PL2.1'!U33</f>
        <v>3000</v>
      </c>
      <c r="O30" s="1777">
        <f>'PL2.1'!Z33</f>
        <v>3000</v>
      </c>
      <c r="P30" s="1779">
        <f t="shared" si="20"/>
        <v>8597.8968810000006</v>
      </c>
      <c r="Q30" s="1780">
        <f>'PL2.1'!AE33</f>
        <v>3000</v>
      </c>
      <c r="R30" s="1757">
        <f>'[3]Phụ lục số 2-1'!AJ31</f>
        <v>0</v>
      </c>
      <c r="S30" s="485">
        <f>'[3]Phụ lục số 2-1'!AO31</f>
        <v>0</v>
      </c>
      <c r="T30" s="485">
        <f>'[3]Phụ lục số 2-1'!AT31</f>
        <v>0</v>
      </c>
      <c r="U30" s="485">
        <f>'[3]Phụ lục số 2-1'!AY31</f>
        <v>0</v>
      </c>
      <c r="V30" s="1742">
        <f t="shared" si="4"/>
        <v>3000</v>
      </c>
    </row>
    <row r="31" spans="1:24" s="1559" customFormat="1" ht="31.2">
      <c r="A31" s="1558" t="s">
        <v>20</v>
      </c>
      <c r="B31" s="1569" t="s">
        <v>1275</v>
      </c>
      <c r="C31" s="326">
        <f>'[3]Chi NSĐP 2021-2030'!O133</f>
        <v>1423990</v>
      </c>
      <c r="D31" s="326">
        <f>'[3]Chi NSĐP 2021-2030'!P133</f>
        <v>1087251</v>
      </c>
      <c r="E31" s="326">
        <f>'[16]CĐ NSĐP 2020-2025'!$C$30</f>
        <v>1474513</v>
      </c>
      <c r="F31" s="326">
        <f>'[3]Chi NSĐP 2021-2030'!R133</f>
        <v>1365375.6459619999</v>
      </c>
      <c r="G31" s="1770">
        <f>SUM(G32:G34)</f>
        <v>1370794</v>
      </c>
      <c r="H31" s="1770">
        <f>SUM(H32:H34)</f>
        <v>1370794</v>
      </c>
      <c r="I31" s="1770">
        <f>SUM(I32:I34)</f>
        <v>1213473</v>
      </c>
      <c r="J31" s="1770">
        <f>SUM(J32:J34)</f>
        <v>1567740</v>
      </c>
      <c r="K31" s="1771">
        <f t="shared" si="3"/>
        <v>4303909.6459619999</v>
      </c>
      <c r="L31" s="1770">
        <f>SUM(L32:L34)</f>
        <v>2597007</v>
      </c>
      <c r="M31" s="1770">
        <f>SUM(M32:M34)</f>
        <v>2597007</v>
      </c>
      <c r="N31" s="1770">
        <f>SUM(N32:N34)</f>
        <v>1988976</v>
      </c>
      <c r="O31" s="1770">
        <f>SUM(O32:O34)</f>
        <v>2379485.2999999998</v>
      </c>
      <c r="P31" s="1772">
        <f t="shared" si="20"/>
        <v>9904002.3000000007</v>
      </c>
      <c r="Q31" s="1773">
        <f>SUM(Q32:Q34)</f>
        <v>2379485.2999999998</v>
      </c>
      <c r="R31" s="1755">
        <f>'[3]Phụ lục số 2-1'!AJ32</f>
        <v>3357036</v>
      </c>
      <c r="S31" s="439">
        <f>'[3]Phụ lục số 2-1'!AO32</f>
        <v>3357036</v>
      </c>
      <c r="T31" s="439">
        <f>'[3]Phụ lục số 2-1'!AT32</f>
        <v>3357036</v>
      </c>
      <c r="U31" s="439">
        <f>'[3]Phụ lục số 2-1'!AY32</f>
        <v>3357036</v>
      </c>
      <c r="V31" s="1741">
        <f t="shared" si="4"/>
        <v>15807629.300000001</v>
      </c>
    </row>
    <row r="32" spans="1:24" s="1557" customFormat="1" ht="31.2">
      <c r="A32" s="603">
        <v>1</v>
      </c>
      <c r="B32" s="604" t="s">
        <v>1306</v>
      </c>
      <c r="C32" s="1421"/>
      <c r="D32" s="1421"/>
      <c r="E32" s="1421"/>
      <c r="F32" s="1421"/>
      <c r="G32" s="1783">
        <f>'PL-TổngChi21-25'!X38</f>
        <v>1263824</v>
      </c>
      <c r="H32" s="1783">
        <f>G32</f>
        <v>1263824</v>
      </c>
      <c r="I32" s="1783">
        <f>'PL-TổngChi21-25'!Z38</f>
        <v>1127000</v>
      </c>
      <c r="J32" s="1783">
        <f>'PL-TổngChi21-25'!AA38</f>
        <v>1481267</v>
      </c>
      <c r="K32" s="1784"/>
      <c r="L32" s="1783">
        <f>'PL2.1'!K35</f>
        <v>2417971</v>
      </c>
      <c r="M32" s="1783">
        <f>'PL2.1'!P35</f>
        <v>2417971</v>
      </c>
      <c r="N32" s="1783">
        <f>'PL2.1'!U35</f>
        <v>1814491</v>
      </c>
      <c r="O32" s="1783">
        <f>'PL2.1'!Z35</f>
        <v>2205000</v>
      </c>
      <c r="P32" s="1779">
        <f t="shared" si="20"/>
        <v>9182553</v>
      </c>
      <c r="Q32" s="1785">
        <f>'PL2.1'!AE35</f>
        <v>2205000</v>
      </c>
      <c r="R32" s="1761"/>
      <c r="S32" s="1674"/>
      <c r="T32" s="1674"/>
      <c r="U32" s="1674"/>
      <c r="V32" s="1752"/>
    </row>
    <row r="33" spans="1:22" s="1557" customFormat="1" ht="31.2">
      <c r="A33" s="603">
        <v>2</v>
      </c>
      <c r="B33" s="604" t="s">
        <v>92</v>
      </c>
      <c r="C33" s="1421"/>
      <c r="D33" s="1421"/>
      <c r="E33" s="1421"/>
      <c r="F33" s="1421"/>
      <c r="G33" s="1783">
        <f>'PL-TổngChi21-25'!X39</f>
        <v>106970</v>
      </c>
      <c r="H33" s="1783">
        <f>G33</f>
        <v>106970</v>
      </c>
      <c r="I33" s="1783">
        <f>'PL-TổngChi21-25'!Z39</f>
        <v>86473</v>
      </c>
      <c r="J33" s="1783">
        <f>'PL-TổngChi21-25'!AA39</f>
        <v>86473</v>
      </c>
      <c r="K33" s="1784"/>
      <c r="L33" s="1783">
        <f>'PL2.1'!K36</f>
        <v>179036</v>
      </c>
      <c r="M33" s="1783">
        <f>'PL2.1'!P36</f>
        <v>179036</v>
      </c>
      <c r="N33" s="1783">
        <f>'PL2.1'!U36</f>
        <v>174485</v>
      </c>
      <c r="O33" s="1783">
        <f>'PL2.1'!Z36</f>
        <v>174485.3</v>
      </c>
      <c r="P33" s="1779">
        <f t="shared" si="20"/>
        <v>721449.3</v>
      </c>
      <c r="Q33" s="1785">
        <f>'PL2.1'!AE36</f>
        <v>174485.3</v>
      </c>
      <c r="R33" s="1761"/>
      <c r="S33" s="1674"/>
      <c r="T33" s="1674"/>
      <c r="U33" s="1674"/>
      <c r="V33" s="1752"/>
    </row>
    <row r="34" spans="1:22" s="1557" customFormat="1">
      <c r="A34" s="1764">
        <v>3</v>
      </c>
      <c r="B34" s="1421" t="s">
        <v>1748</v>
      </c>
      <c r="C34" s="1421"/>
      <c r="D34" s="1421"/>
      <c r="E34" s="1421"/>
      <c r="F34" s="1421"/>
      <c r="G34" s="1783">
        <f>'PL-TổngChi21-25'!X40</f>
        <v>0</v>
      </c>
      <c r="H34" s="1783">
        <f>'PL-TổngChi21-25'!Y40</f>
        <v>0</v>
      </c>
      <c r="I34" s="1783"/>
      <c r="J34" s="1783"/>
      <c r="K34" s="1784"/>
      <c r="L34" s="1783"/>
      <c r="M34" s="1783"/>
      <c r="N34" s="1783">
        <f>'PL2.1'!U37</f>
        <v>0</v>
      </c>
      <c r="O34" s="1783">
        <f>'PL2.1'!Z37</f>
        <v>0</v>
      </c>
      <c r="P34" s="1779">
        <f t="shared" si="20"/>
        <v>0</v>
      </c>
      <c r="Q34" s="1785">
        <f>'PL2.1'!AE37</f>
        <v>0</v>
      </c>
      <c r="R34" s="1761"/>
      <c r="S34" s="1674"/>
      <c r="T34" s="1674"/>
      <c r="U34" s="1674"/>
      <c r="V34" s="1752"/>
    </row>
    <row r="35" spans="1:22" s="1573" customFormat="1" ht="31.8" thickBot="1">
      <c r="A35" s="1570" t="s">
        <v>49</v>
      </c>
      <c r="B35" s="1571" t="s">
        <v>133</v>
      </c>
      <c r="C35" s="670">
        <f>'[3]Chi NSĐP 2021-2030'!O35</f>
        <v>15000</v>
      </c>
      <c r="D35" s="670">
        <f>'[3]Chi NSĐP 2021-2030'!P35</f>
        <v>0</v>
      </c>
      <c r="E35" s="670">
        <f>'[3]Chi NSĐP 2021-2030'!Q35</f>
        <v>30900</v>
      </c>
      <c r="F35" s="670">
        <f>'[3]Chi NSĐP 2021-2030'!R35</f>
        <v>100485</v>
      </c>
      <c r="G35" s="1786">
        <f>'PL-TổngChi21-25'!X41</f>
        <v>61200</v>
      </c>
      <c r="H35" s="1786">
        <f>'PL-TổngChi21-25'!Y41</f>
        <v>78453</v>
      </c>
      <c r="I35" s="1786">
        <f>'[3]Chi NSĐP 2021-2030'!Y35</f>
        <v>48300</v>
      </c>
      <c r="J35" s="1786">
        <f>'PL-TổngChi21-25'!AA41</f>
        <v>12155.078450000001</v>
      </c>
      <c r="K35" s="1787">
        <f t="shared" si="3"/>
        <v>191093.07845</v>
      </c>
      <c r="L35" s="1786">
        <f>'PL2.1'!K38</f>
        <v>31500</v>
      </c>
      <c r="M35" s="1786">
        <f>'PL2.1'!P38</f>
        <v>31500</v>
      </c>
      <c r="N35" s="1786">
        <f>'PL2.1'!U38</f>
        <v>0</v>
      </c>
      <c r="O35" s="1786">
        <f>'PL2.1'!Z38</f>
        <v>0</v>
      </c>
      <c r="P35" s="1788">
        <f>O35+N35+M35+J35+H35</f>
        <v>122108.07845</v>
      </c>
      <c r="Q35" s="1789">
        <f>'PL2.1'!AE38</f>
        <v>0</v>
      </c>
      <c r="R35" s="1762">
        <f>'[3]Phụ lục số 2-1'!AJ35</f>
        <v>0</v>
      </c>
      <c r="S35" s="673">
        <f>'[3]Phụ lục số 2-1'!AO35</f>
        <v>0</v>
      </c>
      <c r="T35" s="673">
        <f>'[3]Phụ lục số 2-1'!AT35</f>
        <v>0</v>
      </c>
      <c r="U35" s="673">
        <f>'[3]Phụ lục số 2-1'!AY35</f>
        <v>0</v>
      </c>
      <c r="V35" s="1743">
        <f t="shared" si="4"/>
        <v>0</v>
      </c>
    </row>
    <row r="36" spans="1:22" s="1577" customFormat="1" hidden="1">
      <c r="A36" s="1574" t="s">
        <v>130</v>
      </c>
      <c r="B36" s="1575" t="s">
        <v>1276</v>
      </c>
      <c r="C36" s="1575"/>
      <c r="D36" s="1575"/>
      <c r="E36" s="1575"/>
      <c r="F36" s="1575"/>
      <c r="G36" s="1575"/>
      <c r="H36" s="1575"/>
      <c r="I36" s="1576"/>
      <c r="J36" s="1576"/>
      <c r="K36" s="1576"/>
      <c r="L36" s="1576"/>
      <c r="M36" s="1576"/>
      <c r="N36" s="1576"/>
      <c r="O36" s="1576"/>
      <c r="P36" s="1556">
        <f t="shared" ref="P36:P47" si="21">O36+N36+L36+J36+H36</f>
        <v>0</v>
      </c>
    </row>
    <row r="37" spans="1:22" s="1577" customFormat="1" ht="31.2" hidden="1">
      <c r="A37" s="1578" t="s">
        <v>217</v>
      </c>
      <c r="B37" s="1579" t="s">
        <v>885</v>
      </c>
      <c r="C37" s="1579"/>
      <c r="D37" s="1579"/>
      <c r="E37" s="1579"/>
      <c r="F37" s="1579"/>
      <c r="G37" s="1579"/>
      <c r="H37" s="1579"/>
      <c r="I37" s="1580"/>
      <c r="J37" s="1580"/>
      <c r="K37" s="1580"/>
      <c r="L37" s="1580"/>
      <c r="M37" s="1580"/>
      <c r="N37" s="1580"/>
      <c r="O37" s="1580"/>
      <c r="P37" s="1556">
        <f t="shared" si="21"/>
        <v>0</v>
      </c>
    </row>
    <row r="38" spans="1:22" s="1577" customFormat="1" ht="31.2" hidden="1">
      <c r="A38" s="1578" t="s">
        <v>9</v>
      </c>
      <c r="B38" s="1579" t="s">
        <v>526</v>
      </c>
      <c r="C38" s="1579"/>
      <c r="D38" s="1579"/>
      <c r="E38" s="1579"/>
      <c r="F38" s="1579"/>
      <c r="G38" s="1579"/>
      <c r="H38" s="1579"/>
      <c r="I38" s="1580"/>
      <c r="J38" s="1580"/>
      <c r="K38" s="1580"/>
      <c r="L38" s="1580"/>
      <c r="M38" s="1580"/>
      <c r="N38" s="1580"/>
      <c r="O38" s="1580"/>
      <c r="P38" s="1556">
        <f t="shared" si="21"/>
        <v>0</v>
      </c>
    </row>
    <row r="39" spans="1:22" s="1577" customFormat="1" hidden="1">
      <c r="A39" s="1578" t="s">
        <v>20</v>
      </c>
      <c r="B39" s="1579" t="s">
        <v>527</v>
      </c>
      <c r="C39" s="1579"/>
      <c r="D39" s="1579"/>
      <c r="E39" s="1579"/>
      <c r="F39" s="1579"/>
      <c r="G39" s="1579"/>
      <c r="H39" s="1579"/>
      <c r="I39" s="1580"/>
      <c r="J39" s="1580"/>
      <c r="K39" s="1580"/>
      <c r="L39" s="1580"/>
      <c r="M39" s="1580"/>
      <c r="N39" s="1580"/>
      <c r="O39" s="1580"/>
      <c r="P39" s="1556">
        <f t="shared" si="21"/>
        <v>0</v>
      </c>
    </row>
    <row r="40" spans="1:22" s="1577" customFormat="1" hidden="1">
      <c r="A40" s="1578" t="s">
        <v>49</v>
      </c>
      <c r="B40" s="1579" t="s">
        <v>1277</v>
      </c>
      <c r="C40" s="1579"/>
      <c r="D40" s="1579"/>
      <c r="E40" s="1579"/>
      <c r="F40" s="1579"/>
      <c r="G40" s="1579"/>
      <c r="H40" s="1579"/>
      <c r="I40" s="1580"/>
      <c r="J40" s="1580"/>
      <c r="K40" s="1580"/>
      <c r="L40" s="1580"/>
      <c r="M40" s="1580"/>
      <c r="N40" s="1580"/>
      <c r="O40" s="1580"/>
      <c r="P40" s="1556">
        <f t="shared" si="21"/>
        <v>0</v>
      </c>
    </row>
    <row r="41" spans="1:22" s="1577" customFormat="1" hidden="1">
      <c r="A41" s="1581">
        <v>1</v>
      </c>
      <c r="B41" s="1582" t="s">
        <v>531</v>
      </c>
      <c r="C41" s="1582"/>
      <c r="D41" s="1582"/>
      <c r="E41" s="1582"/>
      <c r="F41" s="1582"/>
      <c r="G41" s="1582"/>
      <c r="H41" s="1582"/>
      <c r="I41" s="1583"/>
      <c r="J41" s="1583"/>
      <c r="K41" s="1583"/>
      <c r="L41" s="1583"/>
      <c r="M41" s="1583"/>
      <c r="N41" s="1583"/>
      <c r="O41" s="1583"/>
      <c r="P41" s="1556">
        <f t="shared" si="21"/>
        <v>0</v>
      </c>
    </row>
    <row r="42" spans="1:22" s="1577" customFormat="1" ht="31.2" hidden="1">
      <c r="A42" s="1581">
        <v>2</v>
      </c>
      <c r="B42" s="1582" t="s">
        <v>1278</v>
      </c>
      <c r="C42" s="1582"/>
      <c r="D42" s="1582"/>
      <c r="E42" s="1582"/>
      <c r="F42" s="1582"/>
      <c r="G42" s="1582"/>
      <c r="H42" s="1582"/>
      <c r="I42" s="1583"/>
      <c r="J42" s="1583"/>
      <c r="K42" s="1583"/>
      <c r="L42" s="1583"/>
      <c r="M42" s="1583"/>
      <c r="N42" s="1583"/>
      <c r="O42" s="1583"/>
      <c r="P42" s="1556">
        <f t="shared" si="21"/>
        <v>0</v>
      </c>
    </row>
    <row r="43" spans="1:22" s="1577" customFormat="1" hidden="1">
      <c r="A43" s="1578" t="s">
        <v>50</v>
      </c>
      <c r="B43" s="1579" t="s">
        <v>1279</v>
      </c>
      <c r="C43" s="1579"/>
      <c r="D43" s="1579"/>
      <c r="E43" s="1579"/>
      <c r="F43" s="1579"/>
      <c r="G43" s="1579"/>
      <c r="H43" s="1579"/>
      <c r="I43" s="1580"/>
      <c r="J43" s="1580"/>
      <c r="K43" s="1580"/>
      <c r="L43" s="1580"/>
      <c r="M43" s="1580"/>
      <c r="N43" s="1580"/>
      <c r="O43" s="1580"/>
      <c r="P43" s="1556">
        <f t="shared" si="21"/>
        <v>0</v>
      </c>
    </row>
    <row r="44" spans="1:22" s="1577" customFormat="1" hidden="1">
      <c r="A44" s="1581">
        <v>1</v>
      </c>
      <c r="B44" s="1582" t="s">
        <v>534</v>
      </c>
      <c r="C44" s="1582"/>
      <c r="D44" s="1582"/>
      <c r="E44" s="1582"/>
      <c r="F44" s="1582"/>
      <c r="G44" s="1582"/>
      <c r="H44" s="1582"/>
      <c r="I44" s="1583"/>
      <c r="J44" s="1583"/>
      <c r="K44" s="1583"/>
      <c r="L44" s="1583"/>
      <c r="M44" s="1583"/>
      <c r="N44" s="1583"/>
      <c r="O44" s="1583"/>
      <c r="P44" s="1556">
        <f t="shared" si="21"/>
        <v>0</v>
      </c>
    </row>
    <row r="45" spans="1:22" s="1577" customFormat="1" hidden="1">
      <c r="A45" s="1581">
        <v>2</v>
      </c>
      <c r="B45" s="1582" t="s">
        <v>535</v>
      </c>
      <c r="C45" s="1582"/>
      <c r="D45" s="1582"/>
      <c r="E45" s="1582"/>
      <c r="F45" s="1582"/>
      <c r="G45" s="1582"/>
      <c r="H45" s="1582"/>
      <c r="I45" s="1583"/>
      <c r="J45" s="1583"/>
      <c r="K45" s="1583"/>
      <c r="L45" s="1583"/>
      <c r="M45" s="1583"/>
      <c r="N45" s="1583"/>
      <c r="O45" s="1583"/>
      <c r="P45" s="1556">
        <f t="shared" si="21"/>
        <v>0</v>
      </c>
    </row>
    <row r="46" spans="1:22" s="1577" customFormat="1" hidden="1">
      <c r="A46" s="1578" t="s">
        <v>72</v>
      </c>
      <c r="B46" s="1579" t="s">
        <v>536</v>
      </c>
      <c r="C46" s="1579"/>
      <c r="D46" s="1579"/>
      <c r="E46" s="1579"/>
      <c r="F46" s="1579"/>
      <c r="G46" s="1579"/>
      <c r="H46" s="1579"/>
      <c r="I46" s="1580"/>
      <c r="J46" s="1580"/>
      <c r="K46" s="1580"/>
      <c r="L46" s="1580"/>
      <c r="M46" s="1580"/>
      <c r="N46" s="1580"/>
      <c r="O46" s="1580"/>
      <c r="P46" s="1556">
        <f t="shared" si="21"/>
        <v>0</v>
      </c>
    </row>
    <row r="47" spans="1:22" hidden="1">
      <c r="P47" s="1556">
        <f t="shared" si="21"/>
        <v>0</v>
      </c>
    </row>
    <row r="48" spans="1:22" hidden="1">
      <c r="C48" s="220">
        <f>C31-C15</f>
        <v>0</v>
      </c>
    </row>
    <row r="49" spans="3:22" hidden="1">
      <c r="C49" s="230">
        <f t="shared" ref="C49:J49" si="22">C10/C22</f>
        <v>0.50173928846122073</v>
      </c>
      <c r="D49" s="230">
        <f t="shared" si="22"/>
        <v>0.64636850863471229</v>
      </c>
      <c r="E49" s="230">
        <f t="shared" si="22"/>
        <v>0.55124278845976338</v>
      </c>
      <c r="F49" s="230">
        <f t="shared" si="22"/>
        <v>0.53455547451953167</v>
      </c>
      <c r="G49" s="230">
        <f t="shared" si="22"/>
        <v>0.51058784134874291</v>
      </c>
      <c r="H49" s="230">
        <f t="shared" si="22"/>
        <v>0.43147373308581222</v>
      </c>
      <c r="I49" s="1080">
        <f t="shared" si="22"/>
        <v>0.45414854432378515</v>
      </c>
      <c r="J49" s="230">
        <f t="shared" si="22"/>
        <v>0.47401542896735993</v>
      </c>
      <c r="K49" s="230"/>
      <c r="L49" s="230">
        <f>L10/L22</f>
        <v>0.50820650407292944</v>
      </c>
      <c r="M49" s="230"/>
      <c r="N49" s="230">
        <f t="shared" ref="N49:V49" si="23">N10/N22</f>
        <v>0.51180531012741959</v>
      </c>
      <c r="O49" s="230">
        <f t="shared" si="23"/>
        <v>0.5349162748181191</v>
      </c>
      <c r="P49" s="230">
        <f t="shared" si="23"/>
        <v>0.49438421770803398</v>
      </c>
      <c r="Q49" s="230">
        <f t="shared" si="23"/>
        <v>0.55061711748213238</v>
      </c>
      <c r="R49" s="230">
        <f t="shared" si="23"/>
        <v>0.62294075634444279</v>
      </c>
      <c r="S49" s="230">
        <f t="shared" si="23"/>
        <v>0.64067171639898324</v>
      </c>
      <c r="T49" s="230">
        <f t="shared" si="23"/>
        <v>0.65872367790420872</v>
      </c>
      <c r="U49" s="230">
        <f t="shared" si="23"/>
        <v>0.67790425067585902</v>
      </c>
      <c r="V49" s="230">
        <f t="shared" si="23"/>
        <v>0.63165807051849188</v>
      </c>
    </row>
    <row r="50" spans="3:22" hidden="1">
      <c r="C50" s="1584">
        <f t="shared" ref="C50:H50" si="24">100%-C49</f>
        <v>0.49826071153877927</v>
      </c>
      <c r="D50" s="1584">
        <f t="shared" si="24"/>
        <v>0.35363149136528771</v>
      </c>
      <c r="E50" s="1584">
        <f t="shared" si="24"/>
        <v>0.44875721154023662</v>
      </c>
      <c r="F50" s="1584">
        <f t="shared" si="24"/>
        <v>0.46544452548046833</v>
      </c>
      <c r="G50" s="1584">
        <f t="shared" si="24"/>
        <v>0.48941215865125709</v>
      </c>
      <c r="H50" s="1584">
        <f t="shared" si="24"/>
        <v>0.56852626691418773</v>
      </c>
      <c r="I50" s="1584">
        <f>100%-I49</f>
        <v>0.54585145567621485</v>
      </c>
      <c r="J50" s="1584">
        <f t="shared" ref="J50:V50" si="25">100%-J49</f>
        <v>0.52598457103264007</v>
      </c>
      <c r="K50" s="1584"/>
      <c r="L50" s="1584">
        <f t="shared" si="25"/>
        <v>0.49179349592707056</v>
      </c>
      <c r="M50" s="1584"/>
      <c r="N50" s="1584">
        <f t="shared" si="25"/>
        <v>0.48819468987258041</v>
      </c>
      <c r="O50" s="1584">
        <f t="shared" si="25"/>
        <v>0.4650837251818809</v>
      </c>
      <c r="P50" s="1584">
        <f t="shared" si="25"/>
        <v>0.50561578229196602</v>
      </c>
      <c r="Q50" s="1584">
        <f t="shared" si="25"/>
        <v>0.44938288251786762</v>
      </c>
      <c r="R50" s="1584">
        <f t="shared" si="25"/>
        <v>0.37705924365555721</v>
      </c>
      <c r="S50" s="1584">
        <f t="shared" si="25"/>
        <v>0.35932828360101676</v>
      </c>
      <c r="T50" s="1584">
        <f t="shared" si="25"/>
        <v>0.34127632209579128</v>
      </c>
      <c r="U50" s="1584">
        <f t="shared" si="25"/>
        <v>0.32209574932414098</v>
      </c>
      <c r="V50" s="1584">
        <f t="shared" si="25"/>
        <v>0.36834192948150812</v>
      </c>
    </row>
    <row r="51" spans="3:22" hidden="1">
      <c r="E51" s="254">
        <f>E9-E22</f>
        <v>-0.19999999925494194</v>
      </c>
    </row>
    <row r="52" spans="3:22" hidden="1">
      <c r="C52" s="1585">
        <f t="shared" ref="C52:I52" si="26">C9-C22</f>
        <v>0</v>
      </c>
      <c r="D52" s="1585">
        <f t="shared" si="26"/>
        <v>1113755.2089240011</v>
      </c>
      <c r="E52" s="1585">
        <f t="shared" si="26"/>
        <v>-0.19999999925494194</v>
      </c>
      <c r="F52" s="1585">
        <f t="shared" si="26"/>
        <v>-930928.08393999934</v>
      </c>
      <c r="G52" s="1585">
        <f t="shared" si="26"/>
        <v>-0.40000000037252903</v>
      </c>
      <c r="H52" s="1585">
        <f t="shared" si="26"/>
        <v>-1589072.8640000001</v>
      </c>
      <c r="I52" s="1585">
        <f t="shared" si="26"/>
        <v>0</v>
      </c>
      <c r="J52" s="1585">
        <f>J9-J22</f>
        <v>-635815.09221799858</v>
      </c>
      <c r="K52" s="1585"/>
      <c r="L52" s="1585">
        <f t="shared" ref="L52:V52" si="27">L9-L22</f>
        <v>0</v>
      </c>
      <c r="M52" s="1585"/>
      <c r="N52" s="1585">
        <f t="shared" si="27"/>
        <v>-720014.91599999741</v>
      </c>
      <c r="O52" s="1585">
        <f t="shared" si="27"/>
        <v>-590114.5278419368</v>
      </c>
      <c r="P52" s="1585">
        <f t="shared" si="27"/>
        <v>-3829316.6667266041</v>
      </c>
      <c r="Q52" s="1585">
        <f t="shared" si="27"/>
        <v>-590314.7731817551</v>
      </c>
      <c r="R52" s="1585">
        <f t="shared" si="27"/>
        <v>-0.46875206381082535</v>
      </c>
      <c r="S52" s="1585">
        <f t="shared" si="27"/>
        <v>-0.28772169724106789</v>
      </c>
      <c r="T52" s="1585">
        <f t="shared" si="27"/>
        <v>-0.22705131769180298</v>
      </c>
      <c r="U52" s="1585">
        <f t="shared" si="27"/>
        <v>0.48699621856212616</v>
      </c>
      <c r="V52" s="1585">
        <f t="shared" si="27"/>
        <v>-590315.26971061528</v>
      </c>
    </row>
    <row r="53" spans="3:22" hidden="1">
      <c r="H53" s="254">
        <f>H22-'[3]Chi NSĐP 2021-2030'!X10</f>
        <v>0</v>
      </c>
      <c r="J53" s="220"/>
      <c r="K53" s="230">
        <f>K23/K22</f>
        <v>0.34371124447398954</v>
      </c>
    </row>
    <row r="54" spans="3:22" hidden="1"/>
    <row r="56" spans="3:22">
      <c r="M56" s="1585"/>
      <c r="N56" s="1585"/>
      <c r="O56" s="552"/>
      <c r="P56" s="220"/>
    </row>
    <row r="57" spans="3:22">
      <c r="C57" s="230">
        <f>C10/C22</f>
        <v>0.50173928846122073</v>
      </c>
      <c r="D57" s="230">
        <f t="shared" ref="D57:J57" si="28">D10/D22</f>
        <v>0.64636850863471229</v>
      </c>
      <c r="E57" s="230">
        <f t="shared" si="28"/>
        <v>0.55124278845976338</v>
      </c>
      <c r="F57" s="230">
        <f t="shared" si="28"/>
        <v>0.53455547451953167</v>
      </c>
      <c r="G57" s="230">
        <f>G10/G22</f>
        <v>0.51058784134874291</v>
      </c>
      <c r="H57" s="230">
        <f>H10/H22</f>
        <v>0.43147373308581222</v>
      </c>
      <c r="I57" s="230">
        <f>I10/I22</f>
        <v>0.45414854432378515</v>
      </c>
      <c r="J57" s="230">
        <f t="shared" si="28"/>
        <v>0.47401542896735993</v>
      </c>
      <c r="K57" s="230">
        <f>K10/K22</f>
        <v>0.47867996784490674</v>
      </c>
      <c r="L57" s="230">
        <f>L10/L22</f>
        <v>0.50820650407292944</v>
      </c>
      <c r="M57" s="230">
        <f>M10/M22</f>
        <v>0.50810234951832156</v>
      </c>
      <c r="N57" s="230">
        <f>N10/N22</f>
        <v>0.51180531012741959</v>
      </c>
      <c r="O57" s="230">
        <f t="shared" ref="O57:T57" si="29">O10/O22</f>
        <v>0.5349162748181191</v>
      </c>
      <c r="P57" s="230">
        <f t="shared" si="29"/>
        <v>0.49438421770803398</v>
      </c>
      <c r="Q57" s="230">
        <f t="shared" si="29"/>
        <v>0.55061711748213238</v>
      </c>
      <c r="R57" s="230">
        <f t="shared" si="29"/>
        <v>0.62294075634444279</v>
      </c>
      <c r="S57" s="230">
        <f t="shared" si="29"/>
        <v>0.64067171639898324</v>
      </c>
      <c r="T57" s="230">
        <f t="shared" si="29"/>
        <v>0.65872367790420872</v>
      </c>
      <c r="U57" s="230">
        <f>U10/U22</f>
        <v>0.67790425067585902</v>
      </c>
    </row>
  </sheetData>
  <mergeCells count="2">
    <mergeCell ref="A1:V1"/>
    <mergeCell ref="J2:L2"/>
  </mergeCells>
  <hyperlinks>
    <hyperlink ref="A4" location="'List danh mục'!A1" display="TT"/>
  </hyperlinks>
  <pageMargins left="0.7" right="0.7" top="0.75" bottom="0.75" header="0.3" footer="0.3"/>
  <pageSetup orientation="portrait" verticalDpi="0" r:id="rId1"/>
  <legacyDrawing r:id="rId2"/>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3:W40"/>
  <sheetViews>
    <sheetView topLeftCell="F1" workbookViewId="0">
      <selection activeCell="F4" sqref="F4:J4"/>
    </sheetView>
  </sheetViews>
  <sheetFormatPr defaultRowHeight="15.6"/>
  <cols>
    <col min="2" max="2" width="49.3984375" customWidth="1"/>
  </cols>
  <sheetData>
    <row r="3" spans="1:23" ht="16.2" thickBot="1"/>
    <row r="4" spans="1:23" ht="18" thickTop="1">
      <c r="A4" s="4285" t="s">
        <v>288</v>
      </c>
      <c r="B4" s="4610" t="s">
        <v>27</v>
      </c>
      <c r="C4" s="4610" t="s">
        <v>176</v>
      </c>
      <c r="D4" s="4610"/>
      <c r="E4" s="4610"/>
      <c r="F4" s="4429" t="s">
        <v>110</v>
      </c>
      <c r="G4" s="4430"/>
      <c r="H4" s="4430"/>
      <c r="I4" s="4430"/>
      <c r="J4" s="4431"/>
      <c r="K4" s="4429" t="s">
        <v>111</v>
      </c>
      <c r="L4" s="4430"/>
      <c r="M4" s="4430"/>
      <c r="N4" s="4430"/>
      <c r="O4" s="4431"/>
      <c r="P4" s="4429" t="s">
        <v>2793</v>
      </c>
      <c r="Q4" s="4430"/>
      <c r="R4" s="4430"/>
      <c r="S4" s="4430"/>
      <c r="T4" s="4431"/>
      <c r="U4" s="4429" t="s">
        <v>139</v>
      </c>
      <c r="V4" s="4430"/>
      <c r="W4" s="4431"/>
    </row>
    <row r="5" spans="1:23" ht="52.2">
      <c r="A5" s="4285"/>
      <c r="B5" s="4318"/>
      <c r="C5" s="6" t="s">
        <v>28</v>
      </c>
      <c r="D5" s="7" t="s">
        <v>30</v>
      </c>
      <c r="E5" s="7" t="s">
        <v>71</v>
      </c>
      <c r="F5" s="6" t="s">
        <v>28</v>
      </c>
      <c r="G5" s="6" t="s">
        <v>29</v>
      </c>
      <c r="H5" s="6" t="s">
        <v>140</v>
      </c>
      <c r="I5" s="7" t="s">
        <v>30</v>
      </c>
      <c r="J5" s="7" t="s">
        <v>71</v>
      </c>
      <c r="K5" s="6" t="s">
        <v>28</v>
      </c>
      <c r="L5" s="6" t="s">
        <v>29</v>
      </c>
      <c r="M5" s="6" t="s">
        <v>140</v>
      </c>
      <c r="N5" s="7" t="s">
        <v>30</v>
      </c>
      <c r="O5" s="7" t="s">
        <v>71</v>
      </c>
      <c r="P5" s="6" t="s">
        <v>28</v>
      </c>
      <c r="Q5" s="6" t="s">
        <v>29</v>
      </c>
      <c r="R5" s="6" t="s">
        <v>140</v>
      </c>
      <c r="S5" s="7" t="s">
        <v>30</v>
      </c>
      <c r="T5" s="7" t="s">
        <v>71</v>
      </c>
      <c r="U5" s="6" t="s">
        <v>28</v>
      </c>
      <c r="V5" s="7" t="s">
        <v>30</v>
      </c>
      <c r="W5" s="7" t="s">
        <v>71</v>
      </c>
    </row>
    <row r="6" spans="1:23" ht="17.399999999999999">
      <c r="A6" s="3067">
        <v>1</v>
      </c>
      <c r="B6" s="8">
        <v>2</v>
      </c>
      <c r="F6" s="9" t="s">
        <v>74</v>
      </c>
      <c r="G6" s="8">
        <v>7</v>
      </c>
      <c r="H6" s="9" t="s">
        <v>75</v>
      </c>
      <c r="I6" s="8">
        <v>9</v>
      </c>
      <c r="J6" s="9">
        <v>10</v>
      </c>
      <c r="K6" s="9" t="s">
        <v>83</v>
      </c>
      <c r="L6" s="8">
        <v>12</v>
      </c>
      <c r="M6" s="9" t="s">
        <v>84</v>
      </c>
      <c r="N6" s="8">
        <v>14</v>
      </c>
      <c r="O6" s="9">
        <v>15</v>
      </c>
      <c r="P6" s="9"/>
      <c r="Q6" s="8"/>
      <c r="R6" s="9"/>
      <c r="S6" s="8"/>
      <c r="T6" s="9"/>
      <c r="U6" s="9"/>
      <c r="V6" s="8"/>
      <c r="W6" s="9"/>
    </row>
    <row r="7" spans="1:23" ht="17.399999999999999">
      <c r="A7" s="3616"/>
      <c r="B7" s="3611" t="s">
        <v>134</v>
      </c>
      <c r="F7" s="1409">
        <f>SUM(F8,F32,F35)</f>
        <v>1277296</v>
      </c>
      <c r="G7" s="1409">
        <f>F7/$F$7*100</f>
        <v>100</v>
      </c>
      <c r="H7" s="3838" t="e">
        <f>F7/C7%</f>
        <v>#DIV/0!</v>
      </c>
      <c r="I7" s="1409">
        <f>SUM(I8,I32,I35)</f>
        <v>1029197</v>
      </c>
      <c r="J7" s="1409">
        <f>SUM(J8,J32,J35)</f>
        <v>248099</v>
      </c>
      <c r="K7" s="1409">
        <f>SUM(K8,K32,K35)</f>
        <v>2434028</v>
      </c>
      <c r="L7" s="1409">
        <f t="shared" ref="L7:L16" si="0">K7/$K$7*100</f>
        <v>100</v>
      </c>
      <c r="M7" s="3839" t="e">
        <f>K7/C7%</f>
        <v>#DIV/0!</v>
      </c>
      <c r="N7" s="1409">
        <f>SUM(N8,N32,N35)</f>
        <v>609580</v>
      </c>
      <c r="O7" s="1409">
        <f>SUM(O8,O32,O35)</f>
        <v>697448</v>
      </c>
      <c r="P7" s="1409">
        <f>K7+F7</f>
        <v>3711324</v>
      </c>
      <c r="Q7" s="1409">
        <f>P7/$P$7*100</f>
        <v>100</v>
      </c>
      <c r="R7" s="3838" t="e">
        <f>P7/C7*100</f>
        <v>#DIV/0!</v>
      </c>
      <c r="S7" s="1409">
        <f t="shared" ref="S7:T22" si="1">N7+I7</f>
        <v>1638777</v>
      </c>
      <c r="T7" s="1409">
        <f t="shared" si="1"/>
        <v>945547</v>
      </c>
      <c r="U7" s="1409">
        <f>P7-C7</f>
        <v>3711324</v>
      </c>
      <c r="V7" s="1409">
        <f>S7-D7</f>
        <v>1638777</v>
      </c>
      <c r="W7" s="1409">
        <f>T7-E7</f>
        <v>945547</v>
      </c>
    </row>
    <row r="8" spans="1:23" ht="17.399999999999999">
      <c r="A8" s="3070" t="s">
        <v>7</v>
      </c>
      <c r="B8" s="3562" t="s">
        <v>88</v>
      </c>
      <c r="F8" s="1415">
        <f>SUM(F9,F14,F28:F31)</f>
        <v>713261</v>
      </c>
      <c r="G8" s="1415">
        <f>F8/$F$7*100</f>
        <v>55.841480753090899</v>
      </c>
      <c r="H8" s="3840" t="e">
        <f>F8/C8%</f>
        <v>#DIV/0!</v>
      </c>
      <c r="I8" s="1415">
        <f>SUM(I9,I14,I28:I31)</f>
        <v>465162</v>
      </c>
      <c r="J8" s="1415">
        <f>SUM(J9,J14,J28:J31)</f>
        <v>248099</v>
      </c>
      <c r="K8" s="1415">
        <f>SUM(K9,K14,K28:K31)</f>
        <v>1871063</v>
      </c>
      <c r="L8" s="1415">
        <f t="shared" si="0"/>
        <v>76.871054893370172</v>
      </c>
      <c r="M8" s="3840" t="e">
        <f>K8/C8%</f>
        <v>#DIV/0!</v>
      </c>
      <c r="N8" s="1415">
        <f>SUM(N9,N14,N28:N31)</f>
        <v>1173615</v>
      </c>
      <c r="O8" s="1415">
        <f>SUM(O9,O14,O28:O31)</f>
        <v>697448</v>
      </c>
      <c r="P8" s="1415">
        <f t="shared" ref="P8:P32" si="2">K8+F8</f>
        <v>2584324</v>
      </c>
      <c r="Q8" s="1415">
        <f t="shared" ref="Q8:Q35" si="3">P8/$P$7*100</f>
        <v>69.633478510633935</v>
      </c>
      <c r="R8" s="3841" t="e">
        <f t="shared" ref="R8:R35" si="4">P8/C8*100</f>
        <v>#DIV/0!</v>
      </c>
      <c r="S8" s="1415">
        <f t="shared" si="1"/>
        <v>1638777</v>
      </c>
      <c r="T8" s="1415">
        <f t="shared" si="1"/>
        <v>945547</v>
      </c>
      <c r="U8" s="1415">
        <f t="shared" ref="U8:U34" si="5">P8-C8</f>
        <v>2584324</v>
      </c>
      <c r="V8" s="1415">
        <f t="shared" ref="V8:W35" si="6">S8-D8</f>
        <v>1638777</v>
      </c>
      <c r="W8" s="1415">
        <f t="shared" si="6"/>
        <v>945547</v>
      </c>
    </row>
    <row r="9" spans="1:23" ht="17.399999999999999">
      <c r="A9" s="3072" t="s">
        <v>9</v>
      </c>
      <c r="B9" s="3612" t="s">
        <v>31</v>
      </c>
      <c r="F9" s="3842">
        <f t="shared" ref="F9" si="7">SUM(F10:F13)</f>
        <v>799330</v>
      </c>
      <c r="G9" s="3842">
        <f t="shared" ref="G9:G16" si="8">F9/$F$7*100</f>
        <v>62.5798561962145</v>
      </c>
      <c r="H9" s="3843" t="e">
        <f>F9/C9%</f>
        <v>#DIV/0!</v>
      </c>
      <c r="I9" s="3842">
        <f t="shared" ref="I9:K9" si="9">SUM(I10:I13)</f>
        <v>450946</v>
      </c>
      <c r="J9" s="3842">
        <f t="shared" si="9"/>
        <v>348384</v>
      </c>
      <c r="K9" s="3842">
        <f t="shared" si="9"/>
        <v>1690447</v>
      </c>
      <c r="L9" s="3842">
        <f t="shared" si="0"/>
        <v>69.450597938889786</v>
      </c>
      <c r="M9" s="3844" t="e">
        <f>K9/C9%</f>
        <v>#DIV/0!</v>
      </c>
      <c r="N9" s="3842">
        <f>SUM(N10:N13)</f>
        <v>1187831</v>
      </c>
      <c r="O9" s="3842">
        <f t="shared" ref="O9:P9" si="10">SUM(O10:O13)</f>
        <v>502616</v>
      </c>
      <c r="P9" s="3842">
        <f t="shared" si="10"/>
        <v>2489777</v>
      </c>
      <c r="Q9" s="3842">
        <f t="shared" si="3"/>
        <v>67.085950997541573</v>
      </c>
      <c r="R9" s="3843" t="e">
        <f t="shared" si="4"/>
        <v>#DIV/0!</v>
      </c>
      <c r="S9" s="3842">
        <f t="shared" ref="S9:W9" si="11">SUM(S10:S13)</f>
        <v>1638777</v>
      </c>
      <c r="T9" s="3842">
        <f t="shared" si="11"/>
        <v>851000</v>
      </c>
      <c r="U9" s="3842">
        <f t="shared" si="11"/>
        <v>2451000</v>
      </c>
      <c r="V9" s="3842">
        <f t="shared" si="11"/>
        <v>1638777</v>
      </c>
      <c r="W9" s="3842">
        <f t="shared" si="11"/>
        <v>851000</v>
      </c>
    </row>
    <row r="10" spans="1:23" ht="18">
      <c r="A10" s="3018">
        <v>1</v>
      </c>
      <c r="B10" s="3587" t="s">
        <v>1305</v>
      </c>
      <c r="F10" s="10">
        <f>SUM(I10,J10)</f>
        <v>327</v>
      </c>
      <c r="G10" s="10">
        <f t="shared" si="8"/>
        <v>2.5600957021708358E-2</v>
      </c>
      <c r="H10" s="3845" t="e">
        <f>F10/C10%</f>
        <v>#DIV/0!</v>
      </c>
      <c r="I10" s="10">
        <f>INT(D10*30%)+654</f>
        <v>654</v>
      </c>
      <c r="J10" s="10">
        <f>INT(E10*30%)-327</f>
        <v>-327</v>
      </c>
      <c r="K10" s="10">
        <f>SUM(N10,O10)</f>
        <v>-327</v>
      </c>
      <c r="L10" s="10">
        <f t="shared" si="0"/>
        <v>-1.3434520884722773E-2</v>
      </c>
      <c r="M10" s="3845" t="e">
        <f>K10/C10%</f>
        <v>#DIV/0!</v>
      </c>
      <c r="N10" s="10">
        <f>(D10)-I10</f>
        <v>-654</v>
      </c>
      <c r="O10" s="10">
        <f>(E10)-J10</f>
        <v>327</v>
      </c>
      <c r="P10" s="10">
        <f t="shared" si="2"/>
        <v>0</v>
      </c>
      <c r="Q10" s="10">
        <f t="shared" si="3"/>
        <v>0</v>
      </c>
      <c r="R10" s="3845" t="e">
        <f t="shared" si="4"/>
        <v>#DIV/0!</v>
      </c>
      <c r="S10" s="10">
        <f t="shared" si="1"/>
        <v>0</v>
      </c>
      <c r="T10" s="10">
        <f t="shared" si="1"/>
        <v>0</v>
      </c>
      <c r="U10" s="10">
        <f t="shared" si="5"/>
        <v>0</v>
      </c>
      <c r="V10" s="10">
        <f t="shared" si="6"/>
        <v>0</v>
      </c>
      <c r="W10" s="10">
        <f t="shared" si="6"/>
        <v>0</v>
      </c>
    </row>
    <row r="11" spans="1:23" ht="18">
      <c r="A11" s="3018">
        <v>2</v>
      </c>
      <c r="B11" s="3587" t="s">
        <v>391</v>
      </c>
      <c r="F11" s="10">
        <f>SUM(I11,J11)</f>
        <v>359711</v>
      </c>
      <c r="G11" s="10">
        <f t="shared" si="8"/>
        <v>28.161913918152099</v>
      </c>
      <c r="H11" s="3845" t="e">
        <f>F11/C11%</f>
        <v>#DIV/0!</v>
      </c>
      <c r="I11" s="10">
        <f>'[33]Thu NSNN'!L40</f>
        <v>11000</v>
      </c>
      <c r="J11" s="10">
        <f>'[33]Thu NSNN'!M40-200000</f>
        <v>348711</v>
      </c>
      <c r="K11" s="10">
        <f>SUM(N11,O11)</f>
        <v>591289</v>
      </c>
      <c r="L11" s="10">
        <f t="shared" si="0"/>
        <v>24.292612903384843</v>
      </c>
      <c r="M11" s="3845" t="e">
        <f>K11/C11%</f>
        <v>#DIV/0!</v>
      </c>
      <c r="N11" s="10">
        <f>'[33]Thu NSNN'!R40</f>
        <v>89000</v>
      </c>
      <c r="O11" s="10">
        <f>'[33]Thu NSNN'!S40+200000</f>
        <v>502289</v>
      </c>
      <c r="P11" s="10">
        <f t="shared" si="2"/>
        <v>951000</v>
      </c>
      <c r="Q11" s="10">
        <f t="shared" si="3"/>
        <v>25.624278559349712</v>
      </c>
      <c r="R11" s="3845" t="e">
        <f t="shared" si="4"/>
        <v>#DIV/0!</v>
      </c>
      <c r="S11" s="10">
        <f t="shared" si="1"/>
        <v>100000</v>
      </c>
      <c r="T11" s="10">
        <f t="shared" si="1"/>
        <v>851000</v>
      </c>
      <c r="U11" s="10">
        <f t="shared" si="5"/>
        <v>951000</v>
      </c>
      <c r="V11" s="10">
        <f t="shared" si="6"/>
        <v>100000</v>
      </c>
      <c r="W11" s="10">
        <f t="shared" si="6"/>
        <v>851000</v>
      </c>
    </row>
    <row r="12" spans="1:23" ht="18">
      <c r="A12" s="3018">
        <v>3</v>
      </c>
      <c r="B12" s="3587" t="s">
        <v>1378</v>
      </c>
      <c r="F12" s="10">
        <f t="shared" ref="F12:F13" si="12">SUM(I12,J12)</f>
        <v>400515</v>
      </c>
      <c r="G12" s="10"/>
      <c r="H12" s="3845"/>
      <c r="I12" s="10">
        <f>'[33]Thu NSNN'!L48-400000</f>
        <v>400515</v>
      </c>
      <c r="J12" s="10">
        <f>'[33]Thu NSNN'!M48</f>
        <v>0</v>
      </c>
      <c r="K12" s="10">
        <f t="shared" ref="K12:K13" si="13">SUM(N12,O12)</f>
        <v>1099485</v>
      </c>
      <c r="L12" s="10"/>
      <c r="M12" s="3845"/>
      <c r="N12" s="10">
        <f>'[33]Thu NSNN'!R48+400000</f>
        <v>1099485</v>
      </c>
      <c r="O12" s="10">
        <f>'[33]Thu NSNN'!S48</f>
        <v>0</v>
      </c>
      <c r="P12" s="10">
        <f t="shared" si="2"/>
        <v>1500000</v>
      </c>
      <c r="Q12" s="10">
        <f t="shared" si="3"/>
        <v>40.416843153548434</v>
      </c>
      <c r="R12" s="3845" t="e">
        <f t="shared" si="4"/>
        <v>#DIV/0!</v>
      </c>
      <c r="S12" s="10">
        <f t="shared" si="1"/>
        <v>1500000</v>
      </c>
      <c r="T12" s="10">
        <f t="shared" si="1"/>
        <v>0</v>
      </c>
      <c r="U12" s="10">
        <f t="shared" si="5"/>
        <v>1500000</v>
      </c>
      <c r="V12" s="10">
        <f t="shared" si="6"/>
        <v>1500000</v>
      </c>
      <c r="W12" s="10">
        <f t="shared" si="6"/>
        <v>0</v>
      </c>
    </row>
    <row r="13" spans="1:23" ht="36">
      <c r="A13" s="3018">
        <v>4</v>
      </c>
      <c r="B13" s="3587" t="s">
        <v>2756</v>
      </c>
      <c r="F13" s="13">
        <f t="shared" si="12"/>
        <v>38777</v>
      </c>
      <c r="G13" s="13"/>
      <c r="H13" s="3846"/>
      <c r="I13" s="13">
        <f>'[33]Thu NSNN'!L46</f>
        <v>38777</v>
      </c>
      <c r="J13" s="13">
        <f>'[33]Thu NSNN'!M46</f>
        <v>0</v>
      </c>
      <c r="K13" s="13">
        <f t="shared" si="13"/>
        <v>0</v>
      </c>
      <c r="L13" s="13"/>
      <c r="M13" s="3846"/>
      <c r="N13" s="13">
        <f>'[33]Thu NSNN'!R46</f>
        <v>0</v>
      </c>
      <c r="O13" s="13">
        <f>'[33]Thu NSNN'!S46</f>
        <v>0</v>
      </c>
      <c r="P13" s="13">
        <f t="shared" si="2"/>
        <v>38777</v>
      </c>
      <c r="Q13" s="13"/>
      <c r="R13" s="3846"/>
      <c r="S13" s="13">
        <f t="shared" si="1"/>
        <v>38777</v>
      </c>
      <c r="T13" s="13">
        <f t="shared" si="1"/>
        <v>0</v>
      </c>
      <c r="U13" s="13"/>
      <c r="V13" s="13">
        <f t="shared" si="6"/>
        <v>38777</v>
      </c>
      <c r="W13" s="13">
        <f t="shared" si="6"/>
        <v>0</v>
      </c>
    </row>
    <row r="14" spans="1:23" ht="36">
      <c r="A14" s="3018">
        <v>5</v>
      </c>
      <c r="B14" s="3587" t="s">
        <v>2755</v>
      </c>
      <c r="F14" s="3842">
        <f>SUM(F15:F17,F25,F26,F27)</f>
        <v>-146668</v>
      </c>
      <c r="G14" s="3842">
        <f t="shared" si="8"/>
        <v>-11.482694692537986</v>
      </c>
      <c r="H14" s="3843" t="e">
        <f t="shared" ref="H14:H20" si="14">F14/C14%</f>
        <v>#DIV/0!</v>
      </c>
      <c r="I14" s="3842">
        <f>SUM(I15:I17,I25,I26,I27)</f>
        <v>-45982</v>
      </c>
      <c r="J14" s="3842">
        <f>SUM(J15:J17,J25,J26,J27)</f>
        <v>-100686</v>
      </c>
      <c r="K14" s="3842">
        <f>SUM(K15:K17,K25,K26,K27)</f>
        <v>175033</v>
      </c>
      <c r="L14" s="3842">
        <f t="shared" si="0"/>
        <v>7.1910840795586575</v>
      </c>
      <c r="M14" s="3843" t="e">
        <f t="shared" ref="M14:M20" si="15">K14/C14%</f>
        <v>#DIV/0!</v>
      </c>
      <c r="N14" s="3842">
        <f>SUM(N15:N17,N25,N26,N27)</f>
        <v>45982</v>
      </c>
      <c r="O14" s="3842">
        <f>SUM(O15:O17,O25,O26,O27)</f>
        <v>129051</v>
      </c>
      <c r="P14" s="3842">
        <f t="shared" si="2"/>
        <v>28365</v>
      </c>
      <c r="Q14" s="3842">
        <f t="shared" si="3"/>
        <v>0.76428250403360098</v>
      </c>
      <c r="R14" s="3843" t="e">
        <f t="shared" si="4"/>
        <v>#DIV/0!</v>
      </c>
      <c r="S14" s="3842">
        <f t="shared" si="1"/>
        <v>0</v>
      </c>
      <c r="T14" s="3842">
        <f t="shared" si="1"/>
        <v>28365</v>
      </c>
      <c r="U14" s="3842">
        <f t="shared" si="5"/>
        <v>28365</v>
      </c>
      <c r="V14" s="3842">
        <f t="shared" si="6"/>
        <v>0</v>
      </c>
      <c r="W14" s="3842">
        <f t="shared" si="6"/>
        <v>28365</v>
      </c>
    </row>
    <row r="15" spans="1:23" ht="17.399999999999999">
      <c r="A15" s="3074" t="s">
        <v>20</v>
      </c>
      <c r="B15" s="3588" t="s">
        <v>33</v>
      </c>
      <c r="F15" s="3842">
        <f>(I15+J15)</f>
        <v>-372</v>
      </c>
      <c r="G15" s="3842">
        <f t="shared" si="8"/>
        <v>-2.9124024501759969E-2</v>
      </c>
      <c r="H15" s="3843" t="e">
        <f t="shared" si="14"/>
        <v>#DIV/0!</v>
      </c>
      <c r="I15" s="3842">
        <f>INT(D15/2)-200</f>
        <v>-200</v>
      </c>
      <c r="J15" s="3842">
        <f>INT(E15/2)-172</f>
        <v>-172</v>
      </c>
      <c r="K15" s="3842">
        <f>N15+O15</f>
        <v>28737</v>
      </c>
      <c r="L15" s="3842">
        <f t="shared" si="0"/>
        <v>1.1806355555482517</v>
      </c>
      <c r="M15" s="3843" t="e">
        <f t="shared" si="15"/>
        <v>#DIV/0!</v>
      </c>
      <c r="N15" s="3842">
        <f>D15-I15</f>
        <v>200</v>
      </c>
      <c r="O15" s="3842">
        <f>(E15-J15)+28365</f>
        <v>28537</v>
      </c>
      <c r="P15" s="3842">
        <f t="shared" si="2"/>
        <v>28365</v>
      </c>
      <c r="Q15" s="3842">
        <f t="shared" si="3"/>
        <v>0.76428250403360098</v>
      </c>
      <c r="R15" s="3847" t="e">
        <f t="shared" si="4"/>
        <v>#DIV/0!</v>
      </c>
      <c r="S15" s="3842">
        <f>N15+I15</f>
        <v>0</v>
      </c>
      <c r="T15" s="3842">
        <f t="shared" si="1"/>
        <v>28365</v>
      </c>
      <c r="U15" s="3842">
        <f t="shared" si="5"/>
        <v>28365</v>
      </c>
      <c r="V15" s="3842">
        <f t="shared" si="6"/>
        <v>0</v>
      </c>
      <c r="W15" s="3842">
        <f t="shared" si="6"/>
        <v>28365</v>
      </c>
    </row>
    <row r="16" spans="1:23" ht="17.399999999999999">
      <c r="A16" s="3074">
        <v>1</v>
      </c>
      <c r="B16" s="3588" t="s">
        <v>2648</v>
      </c>
      <c r="F16" s="3842">
        <f>I16+J16</f>
        <v>-442</v>
      </c>
      <c r="G16" s="3842">
        <f t="shared" si="8"/>
        <v>-3.4604351692951361E-2</v>
      </c>
      <c r="H16" s="3843" t="e">
        <f t="shared" si="14"/>
        <v>#DIV/0!</v>
      </c>
      <c r="I16" s="3842">
        <f>INT(D16/2)</f>
        <v>0</v>
      </c>
      <c r="J16" s="3842">
        <f>INT(E16/2)-442</f>
        <v>-442</v>
      </c>
      <c r="K16" s="3842">
        <f>N16+O16</f>
        <v>442</v>
      </c>
      <c r="L16" s="3842">
        <f t="shared" si="0"/>
        <v>1.8159199483325582E-2</v>
      </c>
      <c r="M16" s="3843" t="e">
        <f t="shared" si="15"/>
        <v>#DIV/0!</v>
      </c>
      <c r="N16" s="3842">
        <f>D16-I16</f>
        <v>0</v>
      </c>
      <c r="O16" s="3842">
        <f>E16-J16</f>
        <v>442</v>
      </c>
      <c r="P16" s="3842">
        <f t="shared" si="2"/>
        <v>0</v>
      </c>
      <c r="Q16" s="3842">
        <f t="shared" si="3"/>
        <v>0</v>
      </c>
      <c r="R16" s="3843" t="e">
        <f t="shared" si="4"/>
        <v>#DIV/0!</v>
      </c>
      <c r="S16" s="3842">
        <f t="shared" si="1"/>
        <v>0</v>
      </c>
      <c r="T16" s="3842">
        <f t="shared" si="1"/>
        <v>0</v>
      </c>
      <c r="U16" s="3842">
        <f t="shared" si="5"/>
        <v>0</v>
      </c>
      <c r="V16" s="3842">
        <f t="shared" si="6"/>
        <v>0</v>
      </c>
      <c r="W16" s="3842">
        <f t="shared" si="6"/>
        <v>0</v>
      </c>
    </row>
    <row r="17" spans="1:23" ht="17.399999999999999">
      <c r="A17" s="3074">
        <v>2</v>
      </c>
      <c r="B17" s="3588" t="s">
        <v>89</v>
      </c>
      <c r="F17" s="3842">
        <f>SUM(F18:F24)</f>
        <v>-145989</v>
      </c>
      <c r="G17" s="3842"/>
      <c r="H17" s="3843" t="e">
        <f t="shared" si="14"/>
        <v>#DIV/0!</v>
      </c>
      <c r="I17" s="3842">
        <f>SUM(I18:I24)</f>
        <v>-45782</v>
      </c>
      <c r="J17" s="3842">
        <f>SUM(J18:J24)</f>
        <v>-100207</v>
      </c>
      <c r="K17" s="3842">
        <f>SUM(K18:K24)</f>
        <v>145989</v>
      </c>
      <c r="L17" s="3842"/>
      <c r="M17" s="3843" t="e">
        <f t="shared" si="15"/>
        <v>#DIV/0!</v>
      </c>
      <c r="N17" s="3842">
        <f>SUM(N18:N24)</f>
        <v>45782</v>
      </c>
      <c r="O17" s="3842">
        <f>SUM(O18:O24)</f>
        <v>100207</v>
      </c>
      <c r="P17" s="3842">
        <f t="shared" si="2"/>
        <v>0</v>
      </c>
      <c r="Q17" s="3842">
        <f t="shared" si="3"/>
        <v>0</v>
      </c>
      <c r="R17" s="3843" t="e">
        <f t="shared" si="4"/>
        <v>#DIV/0!</v>
      </c>
      <c r="S17" s="3842">
        <f t="shared" si="1"/>
        <v>0</v>
      </c>
      <c r="T17" s="3842">
        <f t="shared" si="1"/>
        <v>0</v>
      </c>
      <c r="U17" s="3842">
        <f t="shared" si="5"/>
        <v>0</v>
      </c>
      <c r="V17" s="3842">
        <f t="shared" si="6"/>
        <v>0</v>
      </c>
      <c r="W17" s="3842">
        <f t="shared" si="6"/>
        <v>0</v>
      </c>
    </row>
    <row r="18" spans="1:23" ht="18">
      <c r="A18" s="3074">
        <v>3</v>
      </c>
      <c r="B18" s="3588" t="s">
        <v>38</v>
      </c>
      <c r="F18" s="10">
        <f t="shared" ref="F18:F24" si="16">I18+J18</f>
        <v>-500</v>
      </c>
      <c r="G18" s="10"/>
      <c r="H18" s="3845" t="e">
        <f t="shared" si="14"/>
        <v>#DIV/0!</v>
      </c>
      <c r="I18" s="10">
        <f>INT(D18/2)-500</f>
        <v>-500</v>
      </c>
      <c r="J18" s="10">
        <f>E18/2</f>
        <v>0</v>
      </c>
      <c r="K18" s="10">
        <f t="shared" ref="K18:K24" si="17">N18+O18</f>
        <v>500</v>
      </c>
      <c r="L18" s="10"/>
      <c r="M18" s="3845" t="e">
        <f t="shared" si="15"/>
        <v>#DIV/0!</v>
      </c>
      <c r="N18" s="10">
        <f t="shared" ref="N18:O28" si="18">D18-I18</f>
        <v>500</v>
      </c>
      <c r="O18" s="10">
        <f t="shared" si="18"/>
        <v>0</v>
      </c>
      <c r="P18" s="10">
        <f t="shared" si="2"/>
        <v>0</v>
      </c>
      <c r="Q18" s="10">
        <f t="shared" si="3"/>
        <v>0</v>
      </c>
      <c r="R18" s="3845" t="e">
        <f t="shared" si="4"/>
        <v>#DIV/0!</v>
      </c>
      <c r="S18" s="10">
        <f t="shared" si="1"/>
        <v>0</v>
      </c>
      <c r="T18" s="10">
        <f t="shared" si="1"/>
        <v>0</v>
      </c>
      <c r="U18" s="10">
        <f t="shared" si="5"/>
        <v>0</v>
      </c>
      <c r="V18" s="10">
        <f t="shared" si="6"/>
        <v>0</v>
      </c>
      <c r="W18" s="10">
        <f t="shared" si="6"/>
        <v>0</v>
      </c>
    </row>
    <row r="19" spans="1:23" ht="18">
      <c r="A19" s="3076" t="s">
        <v>34</v>
      </c>
      <c r="B19" s="3613" t="s">
        <v>99</v>
      </c>
      <c r="F19" s="10">
        <f t="shared" si="16"/>
        <v>-129871</v>
      </c>
      <c r="G19" s="10">
        <f>F19/$F$7*100</f>
        <v>-10.167651037817389</v>
      </c>
      <c r="H19" s="3845" t="e">
        <f t="shared" si="14"/>
        <v>#DIV/0!</v>
      </c>
      <c r="I19" s="10">
        <f>INT(D19/2)+218-30000</f>
        <v>-29782</v>
      </c>
      <c r="J19" s="10">
        <f>INT(E19/2)-89-100000</f>
        <v>-100089</v>
      </c>
      <c r="K19" s="10">
        <f t="shared" si="17"/>
        <v>129871</v>
      </c>
      <c r="L19" s="10">
        <f>K19/$K$7*100</f>
        <v>5.3356411676447442</v>
      </c>
      <c r="M19" s="3845" t="e">
        <f t="shared" si="15"/>
        <v>#DIV/0!</v>
      </c>
      <c r="N19" s="10">
        <f t="shared" si="18"/>
        <v>29782</v>
      </c>
      <c r="O19" s="10">
        <f t="shared" si="18"/>
        <v>100089</v>
      </c>
      <c r="P19" s="10">
        <f t="shared" si="2"/>
        <v>0</v>
      </c>
      <c r="Q19" s="10">
        <f t="shared" si="3"/>
        <v>0</v>
      </c>
      <c r="R19" s="3845" t="e">
        <f t="shared" si="4"/>
        <v>#DIV/0!</v>
      </c>
      <c r="S19" s="10">
        <f t="shared" si="1"/>
        <v>0</v>
      </c>
      <c r="T19" s="10">
        <f t="shared" si="1"/>
        <v>0</v>
      </c>
      <c r="U19" s="10">
        <f t="shared" si="5"/>
        <v>0</v>
      </c>
      <c r="V19" s="10">
        <f t="shared" si="6"/>
        <v>0</v>
      </c>
      <c r="W19" s="10">
        <f t="shared" si="6"/>
        <v>0</v>
      </c>
    </row>
    <row r="20" spans="1:23" ht="18">
      <c r="A20" s="3076" t="s">
        <v>35</v>
      </c>
      <c r="B20" s="3613" t="s">
        <v>86</v>
      </c>
      <c r="F20" s="10">
        <f t="shared" si="16"/>
        <v>-15000</v>
      </c>
      <c r="G20" s="10"/>
      <c r="H20" s="3845" t="e">
        <f t="shared" si="14"/>
        <v>#DIV/0!</v>
      </c>
      <c r="I20" s="10">
        <f>INT(D20/2)-15000</f>
        <v>-15000</v>
      </c>
      <c r="J20" s="10">
        <f t="shared" ref="J20" si="19">E20/2</f>
        <v>0</v>
      </c>
      <c r="K20" s="10">
        <f t="shared" si="17"/>
        <v>15000</v>
      </c>
      <c r="L20" s="10"/>
      <c r="M20" s="3845" t="e">
        <f t="shared" si="15"/>
        <v>#DIV/0!</v>
      </c>
      <c r="N20" s="10">
        <f>D20-I20</f>
        <v>15000</v>
      </c>
      <c r="O20" s="10">
        <f t="shared" si="18"/>
        <v>0</v>
      </c>
      <c r="P20" s="10">
        <f t="shared" si="2"/>
        <v>0</v>
      </c>
      <c r="Q20" s="10">
        <f t="shared" si="3"/>
        <v>0</v>
      </c>
      <c r="R20" s="3845" t="e">
        <f t="shared" si="4"/>
        <v>#DIV/0!</v>
      </c>
      <c r="S20" s="10">
        <f t="shared" si="1"/>
        <v>0</v>
      </c>
      <c r="T20" s="10">
        <f t="shared" si="1"/>
        <v>0</v>
      </c>
      <c r="U20" s="10">
        <f t="shared" si="5"/>
        <v>0</v>
      </c>
      <c r="V20" s="10">
        <f t="shared" si="6"/>
        <v>0</v>
      </c>
      <c r="W20" s="10">
        <f t="shared" si="6"/>
        <v>0</v>
      </c>
    </row>
    <row r="21" spans="1:23" ht="18">
      <c r="A21" s="3076" t="s">
        <v>36</v>
      </c>
      <c r="B21" s="3613" t="s">
        <v>39</v>
      </c>
      <c r="F21" s="10">
        <f t="shared" si="16"/>
        <v>-78</v>
      </c>
      <c r="G21" s="10"/>
      <c r="H21" s="3845"/>
      <c r="I21" s="10">
        <f>INT(D21/2)</f>
        <v>0</v>
      </c>
      <c r="J21" s="10">
        <f>INT(E21/2)-78</f>
        <v>-78</v>
      </c>
      <c r="K21" s="10">
        <f t="shared" si="17"/>
        <v>78</v>
      </c>
      <c r="L21" s="10"/>
      <c r="M21" s="3845"/>
      <c r="N21" s="10">
        <f t="shared" si="18"/>
        <v>0</v>
      </c>
      <c r="O21" s="10">
        <f t="shared" si="18"/>
        <v>78</v>
      </c>
      <c r="P21" s="10">
        <f t="shared" si="2"/>
        <v>0</v>
      </c>
      <c r="Q21" s="10">
        <f t="shared" si="3"/>
        <v>0</v>
      </c>
      <c r="R21" s="3845" t="e">
        <f t="shared" si="4"/>
        <v>#DIV/0!</v>
      </c>
      <c r="S21" s="10">
        <f t="shared" si="1"/>
        <v>0</v>
      </c>
      <c r="T21" s="10">
        <f t="shared" si="1"/>
        <v>0</v>
      </c>
      <c r="U21" s="10">
        <f t="shared" si="5"/>
        <v>0</v>
      </c>
      <c r="V21" s="10">
        <f t="shared" si="6"/>
        <v>0</v>
      </c>
      <c r="W21" s="10">
        <f t="shared" si="6"/>
        <v>0</v>
      </c>
    </row>
    <row r="22" spans="1:23" ht="18">
      <c r="A22" s="3076" t="s">
        <v>37</v>
      </c>
      <c r="B22" s="3613" t="s">
        <v>41</v>
      </c>
      <c r="F22" s="10">
        <f t="shared" si="16"/>
        <v>-40</v>
      </c>
      <c r="G22" s="10"/>
      <c r="H22" s="3845"/>
      <c r="I22" s="10">
        <f>INT(D22/2)</f>
        <v>0</v>
      </c>
      <c r="J22" s="10">
        <f>INT(E22/2)-40</f>
        <v>-40</v>
      </c>
      <c r="K22" s="10">
        <f t="shared" si="17"/>
        <v>40</v>
      </c>
      <c r="L22" s="10"/>
      <c r="M22" s="3845"/>
      <c r="N22" s="10">
        <f t="shared" si="18"/>
        <v>0</v>
      </c>
      <c r="O22" s="10">
        <f t="shared" si="18"/>
        <v>40</v>
      </c>
      <c r="P22" s="10">
        <f t="shared" si="2"/>
        <v>0</v>
      </c>
      <c r="Q22" s="10">
        <f t="shared" si="3"/>
        <v>0</v>
      </c>
      <c r="R22" s="3845" t="e">
        <f t="shared" si="4"/>
        <v>#DIV/0!</v>
      </c>
      <c r="S22" s="10">
        <f t="shared" si="1"/>
        <v>0</v>
      </c>
      <c r="T22" s="10">
        <f t="shared" si="1"/>
        <v>0</v>
      </c>
      <c r="U22" s="10">
        <f t="shared" si="5"/>
        <v>0</v>
      </c>
      <c r="V22" s="10">
        <f t="shared" si="6"/>
        <v>0</v>
      </c>
      <c r="W22" s="10">
        <f t="shared" si="6"/>
        <v>0</v>
      </c>
    </row>
    <row r="23" spans="1:23" ht="18">
      <c r="A23" s="3076" t="s">
        <v>40</v>
      </c>
      <c r="B23" s="3613" t="s">
        <v>43</v>
      </c>
      <c r="F23" s="10">
        <f t="shared" si="16"/>
        <v>-20</v>
      </c>
      <c r="G23" s="10"/>
      <c r="H23" s="3845"/>
      <c r="I23" s="10">
        <f>INT(D23/2)</f>
        <v>0</v>
      </c>
      <c r="J23" s="10">
        <f>INT(E23/2)-20</f>
        <v>-20</v>
      </c>
      <c r="K23" s="10">
        <f t="shared" si="17"/>
        <v>20</v>
      </c>
      <c r="L23" s="10"/>
      <c r="M23" s="3845"/>
      <c r="N23" s="10">
        <f t="shared" si="18"/>
        <v>0</v>
      </c>
      <c r="O23" s="10">
        <f t="shared" si="18"/>
        <v>20</v>
      </c>
      <c r="P23" s="10">
        <f t="shared" si="2"/>
        <v>0</v>
      </c>
      <c r="Q23" s="10">
        <f t="shared" si="3"/>
        <v>0</v>
      </c>
      <c r="R23" s="3845" t="e">
        <f t="shared" si="4"/>
        <v>#DIV/0!</v>
      </c>
      <c r="S23" s="10">
        <f t="shared" ref="S23:T35" si="20">N23+I23</f>
        <v>0</v>
      </c>
      <c r="T23" s="10">
        <f t="shared" si="20"/>
        <v>0</v>
      </c>
      <c r="U23" s="10">
        <f t="shared" si="5"/>
        <v>0</v>
      </c>
      <c r="V23" s="10">
        <f t="shared" si="6"/>
        <v>0</v>
      </c>
      <c r="W23" s="10">
        <f t="shared" si="6"/>
        <v>0</v>
      </c>
    </row>
    <row r="24" spans="1:23" ht="18">
      <c r="A24" s="3076" t="s">
        <v>42</v>
      </c>
      <c r="B24" s="3613" t="s">
        <v>45</v>
      </c>
      <c r="F24" s="10">
        <f t="shared" si="16"/>
        <v>-480</v>
      </c>
      <c r="G24" s="10"/>
      <c r="H24" s="3845"/>
      <c r="I24" s="10">
        <f>INT(D24/2)-500</f>
        <v>-500</v>
      </c>
      <c r="J24" s="10">
        <f>INT(E24/2)+20</f>
        <v>20</v>
      </c>
      <c r="K24" s="10">
        <f t="shared" si="17"/>
        <v>480</v>
      </c>
      <c r="L24" s="10"/>
      <c r="M24" s="3845"/>
      <c r="N24" s="10">
        <f>D24-I24</f>
        <v>500</v>
      </c>
      <c r="O24" s="10">
        <f>E24-J24</f>
        <v>-20</v>
      </c>
      <c r="P24" s="10">
        <f t="shared" si="2"/>
        <v>0</v>
      </c>
      <c r="Q24" s="10">
        <f t="shared" si="3"/>
        <v>0</v>
      </c>
      <c r="R24" s="3845" t="e">
        <f t="shared" si="4"/>
        <v>#DIV/0!</v>
      </c>
      <c r="S24" s="10">
        <f t="shared" si="20"/>
        <v>0</v>
      </c>
      <c r="T24" s="10">
        <f t="shared" si="20"/>
        <v>0</v>
      </c>
      <c r="U24" s="10">
        <f t="shared" si="5"/>
        <v>0</v>
      </c>
      <c r="V24" s="10">
        <f t="shared" si="6"/>
        <v>0</v>
      </c>
      <c r="W24" s="10">
        <f t="shared" si="6"/>
        <v>0</v>
      </c>
    </row>
    <row r="25" spans="1:23" ht="18">
      <c r="A25" s="3076" t="s">
        <v>44</v>
      </c>
      <c r="B25" s="3613" t="s">
        <v>46</v>
      </c>
      <c r="F25" s="3842">
        <f t="shared" ref="F25:F31" si="21">SUM(I25,J25)</f>
        <v>175</v>
      </c>
      <c r="G25" s="3842">
        <f>F25/$F$7*100</f>
        <v>1.370081797797848E-2</v>
      </c>
      <c r="H25" s="3843" t="e">
        <f>F25/C25%</f>
        <v>#DIV/0!</v>
      </c>
      <c r="I25" s="3842">
        <f>INT(D25/2)</f>
        <v>0</v>
      </c>
      <c r="J25" s="3842">
        <f>INT(E25/2)+175</f>
        <v>175</v>
      </c>
      <c r="K25" s="3842">
        <f t="shared" ref="K25:K31" si="22">SUM(N25,O25)</f>
        <v>-175</v>
      </c>
      <c r="L25" s="3842">
        <f>K25/$K$7*100</f>
        <v>-7.1897283022216672E-3</v>
      </c>
      <c r="M25" s="3843" t="e">
        <f>K25/C25%</f>
        <v>#DIV/0!</v>
      </c>
      <c r="N25" s="3842">
        <f t="shared" si="18"/>
        <v>0</v>
      </c>
      <c r="O25" s="3842">
        <f>(E25-J25)</f>
        <v>-175</v>
      </c>
      <c r="P25" s="3842">
        <f t="shared" si="2"/>
        <v>0</v>
      </c>
      <c r="Q25" s="3842">
        <f t="shared" si="3"/>
        <v>0</v>
      </c>
      <c r="R25" s="3843" t="e">
        <f t="shared" si="4"/>
        <v>#DIV/0!</v>
      </c>
      <c r="S25" s="3842">
        <f t="shared" si="20"/>
        <v>0</v>
      </c>
      <c r="T25" s="3842">
        <f t="shared" si="20"/>
        <v>0</v>
      </c>
      <c r="U25" s="3842">
        <f t="shared" si="5"/>
        <v>0</v>
      </c>
      <c r="V25" s="3842">
        <f t="shared" si="6"/>
        <v>0</v>
      </c>
      <c r="W25" s="3842">
        <f t="shared" si="6"/>
        <v>0</v>
      </c>
    </row>
    <row r="26" spans="1:23" ht="17.399999999999999">
      <c r="A26" s="3074">
        <v>4</v>
      </c>
      <c r="B26" s="3588" t="s">
        <v>47</v>
      </c>
      <c r="F26" s="3842">
        <f t="shared" si="21"/>
        <v>-188</v>
      </c>
      <c r="G26" s="3842"/>
      <c r="H26" s="3843" t="e">
        <f>F26/C26%</f>
        <v>#DIV/0!</v>
      </c>
      <c r="I26" s="3842">
        <f>INT(D26/2)</f>
        <v>0</v>
      </c>
      <c r="J26" s="3842">
        <f>INT(E26/2)-188</f>
        <v>-188</v>
      </c>
      <c r="K26" s="3842">
        <f t="shared" si="22"/>
        <v>188</v>
      </c>
      <c r="L26" s="3842"/>
      <c r="M26" s="3843" t="e">
        <f>K26/C26%</f>
        <v>#DIV/0!</v>
      </c>
      <c r="N26" s="3842">
        <f t="shared" si="18"/>
        <v>0</v>
      </c>
      <c r="O26" s="3842">
        <f t="shared" si="18"/>
        <v>188</v>
      </c>
      <c r="P26" s="3842">
        <f t="shared" si="2"/>
        <v>0</v>
      </c>
      <c r="Q26" s="3842">
        <f t="shared" si="3"/>
        <v>0</v>
      </c>
      <c r="R26" s="3843" t="e">
        <f t="shared" si="4"/>
        <v>#DIV/0!</v>
      </c>
      <c r="S26" s="3842">
        <f t="shared" si="20"/>
        <v>0</v>
      </c>
      <c r="T26" s="3842">
        <f t="shared" si="20"/>
        <v>0</v>
      </c>
      <c r="U26" s="3842">
        <f t="shared" si="5"/>
        <v>0</v>
      </c>
      <c r="V26" s="3842">
        <f t="shared" si="6"/>
        <v>0</v>
      </c>
      <c r="W26" s="3842">
        <f t="shared" si="6"/>
        <v>0</v>
      </c>
    </row>
    <row r="27" spans="1:23" ht="17.399999999999999">
      <c r="A27" s="3074">
        <v>5</v>
      </c>
      <c r="B27" s="3588" t="s">
        <v>48</v>
      </c>
      <c r="F27" s="3842">
        <f t="shared" si="21"/>
        <v>148</v>
      </c>
      <c r="G27" s="3842"/>
      <c r="H27" s="3843" t="e">
        <f>F27/C27%</f>
        <v>#DIV/0!</v>
      </c>
      <c r="I27" s="3842">
        <f>INT(D27/2)</f>
        <v>0</v>
      </c>
      <c r="J27" s="3842">
        <f>INT(E27/2)+148</f>
        <v>148</v>
      </c>
      <c r="K27" s="3842">
        <f t="shared" si="22"/>
        <v>-148</v>
      </c>
      <c r="L27" s="3842"/>
      <c r="M27" s="3843" t="e">
        <f>K27/C27%</f>
        <v>#DIV/0!</v>
      </c>
      <c r="N27" s="3842">
        <f t="shared" si="18"/>
        <v>0</v>
      </c>
      <c r="O27" s="3842">
        <f t="shared" si="18"/>
        <v>-148</v>
      </c>
      <c r="P27" s="3842">
        <f t="shared" si="2"/>
        <v>0</v>
      </c>
      <c r="Q27" s="3842">
        <f t="shared" si="3"/>
        <v>0</v>
      </c>
      <c r="R27" s="3843" t="e">
        <f t="shared" si="4"/>
        <v>#DIV/0!</v>
      </c>
      <c r="S27" s="3842">
        <f t="shared" si="20"/>
        <v>0</v>
      </c>
      <c r="T27" s="3842">
        <f t="shared" si="20"/>
        <v>0</v>
      </c>
      <c r="U27" s="3842">
        <f t="shared" si="5"/>
        <v>0</v>
      </c>
      <c r="V27" s="3842">
        <f t="shared" si="6"/>
        <v>0</v>
      </c>
      <c r="W27" s="3842">
        <f t="shared" si="6"/>
        <v>0</v>
      </c>
    </row>
    <row r="28" spans="1:23" ht="17.399999999999999">
      <c r="A28" s="3074">
        <v>6</v>
      </c>
      <c r="B28" s="3588" t="s">
        <v>90</v>
      </c>
      <c r="F28" s="3842">
        <f t="shared" si="21"/>
        <v>0</v>
      </c>
      <c r="G28" s="3842"/>
      <c r="H28" s="3843"/>
      <c r="I28" s="3842">
        <f>D28</f>
        <v>0</v>
      </c>
      <c r="J28" s="3842"/>
      <c r="K28" s="3842">
        <f t="shared" si="22"/>
        <v>0</v>
      </c>
      <c r="L28" s="3842"/>
      <c r="M28" s="3843"/>
      <c r="N28" s="3842">
        <f t="shared" si="18"/>
        <v>0</v>
      </c>
      <c r="O28" s="3842">
        <f t="shared" si="18"/>
        <v>0</v>
      </c>
      <c r="P28" s="3842">
        <f t="shared" si="2"/>
        <v>0</v>
      </c>
      <c r="Q28" s="3842">
        <f t="shared" si="3"/>
        <v>0</v>
      </c>
      <c r="R28" s="3843" t="e">
        <f t="shared" si="4"/>
        <v>#DIV/0!</v>
      </c>
      <c r="S28" s="3842">
        <f t="shared" si="20"/>
        <v>0</v>
      </c>
      <c r="T28" s="3842">
        <f t="shared" si="20"/>
        <v>0</v>
      </c>
      <c r="U28" s="3842">
        <f t="shared" si="5"/>
        <v>0</v>
      </c>
      <c r="V28" s="3842">
        <f t="shared" si="6"/>
        <v>0</v>
      </c>
      <c r="W28" s="3842">
        <f t="shared" si="6"/>
        <v>0</v>
      </c>
    </row>
    <row r="29" spans="1:23" ht="17.399999999999999">
      <c r="A29" s="3074" t="s">
        <v>49</v>
      </c>
      <c r="B29" s="3588" t="s">
        <v>65</v>
      </c>
      <c r="F29" s="3842">
        <f t="shared" si="21"/>
        <v>58599</v>
      </c>
      <c r="G29" s="3842"/>
      <c r="H29" s="3843"/>
      <c r="I29" s="3842">
        <f>48500+10000-302</f>
        <v>58198</v>
      </c>
      <c r="J29" s="3842">
        <f>INT(E29*25%)+401</f>
        <v>401</v>
      </c>
      <c r="K29" s="3842">
        <f t="shared" si="22"/>
        <v>-58599</v>
      </c>
      <c r="L29" s="3842"/>
      <c r="M29" s="3843"/>
      <c r="N29" s="3842">
        <f>D29-I29</f>
        <v>-58198</v>
      </c>
      <c r="O29" s="3842">
        <f>E29-J29</f>
        <v>-401</v>
      </c>
      <c r="P29" s="3842">
        <f t="shared" si="2"/>
        <v>0</v>
      </c>
      <c r="Q29" s="3842">
        <f t="shared" si="3"/>
        <v>0</v>
      </c>
      <c r="R29" s="3843" t="e">
        <f t="shared" si="4"/>
        <v>#DIV/0!</v>
      </c>
      <c r="S29" s="3842">
        <f t="shared" si="20"/>
        <v>0</v>
      </c>
      <c r="T29" s="3842">
        <f t="shared" si="20"/>
        <v>0</v>
      </c>
      <c r="U29" s="3842">
        <f t="shared" si="5"/>
        <v>0</v>
      </c>
      <c r="V29" s="3842">
        <f t="shared" si="6"/>
        <v>0</v>
      </c>
      <c r="W29" s="3842">
        <f t="shared" si="6"/>
        <v>0</v>
      </c>
    </row>
    <row r="30" spans="1:23" ht="17.399999999999999">
      <c r="A30" s="3074" t="s">
        <v>50</v>
      </c>
      <c r="B30" s="3588" t="s">
        <v>87</v>
      </c>
      <c r="F30" s="3842">
        <f t="shared" si="21"/>
        <v>0</v>
      </c>
      <c r="G30" s="3842">
        <f>F30/$F$7*100</f>
        <v>0</v>
      </c>
      <c r="H30" s="3843"/>
      <c r="I30" s="3842">
        <f>ROUNDUP(D30/4,-3)</f>
        <v>0</v>
      </c>
      <c r="J30" s="3842"/>
      <c r="K30" s="3842">
        <f t="shared" si="22"/>
        <v>66182</v>
      </c>
      <c r="L30" s="3842">
        <f>K30/$K$7*100</f>
        <v>2.7190319914150534</v>
      </c>
      <c r="M30" s="3843"/>
      <c r="N30" s="3842">
        <f>IF(('[33]Thu NSNN'!X10-'[33]Thu NSNN'!F10)/2,0,('[33]Thu NSNN'!X10-'[33]Thu NSNN'!F10)/2)</f>
        <v>0</v>
      </c>
      <c r="O30" s="3842">
        <f>E30+INT(('[33]Thu NSNN'!AD10*70%))</f>
        <v>66182</v>
      </c>
      <c r="P30" s="3842">
        <f t="shared" si="2"/>
        <v>66182</v>
      </c>
      <c r="Q30" s="3842">
        <f t="shared" si="3"/>
        <v>1.7832450090587617</v>
      </c>
      <c r="R30" s="3843"/>
      <c r="S30" s="3842">
        <f t="shared" si="20"/>
        <v>0</v>
      </c>
      <c r="T30" s="3842">
        <f t="shared" si="20"/>
        <v>66182</v>
      </c>
      <c r="U30" s="3842">
        <f t="shared" si="5"/>
        <v>66182</v>
      </c>
      <c r="V30" s="3842">
        <f t="shared" si="6"/>
        <v>0</v>
      </c>
      <c r="W30" s="3842">
        <f t="shared" si="6"/>
        <v>66182</v>
      </c>
    </row>
    <row r="31" spans="1:23" ht="17.399999999999999">
      <c r="A31" s="3074" t="s">
        <v>72</v>
      </c>
      <c r="B31" s="3588" t="s">
        <v>146</v>
      </c>
      <c r="F31" s="3842">
        <f t="shared" si="21"/>
        <v>2000</v>
      </c>
      <c r="G31" s="14"/>
      <c r="H31" s="3843"/>
      <c r="I31" s="3842">
        <v>2000</v>
      </c>
      <c r="J31" s="3842">
        <f>ROUNDUP(E31/2,0)</f>
        <v>0</v>
      </c>
      <c r="K31" s="3842">
        <f t="shared" si="22"/>
        <v>-2000</v>
      </c>
      <c r="L31" s="14"/>
      <c r="M31" s="3843"/>
      <c r="N31" s="3842">
        <f>D31-I31</f>
        <v>-2000</v>
      </c>
      <c r="O31" s="3842">
        <f>E31-J31</f>
        <v>0</v>
      </c>
      <c r="P31" s="3842">
        <f t="shared" si="2"/>
        <v>0</v>
      </c>
      <c r="Q31" s="14">
        <f t="shared" si="3"/>
        <v>0</v>
      </c>
      <c r="R31" s="3843" t="e">
        <f t="shared" si="4"/>
        <v>#DIV/0!</v>
      </c>
      <c r="S31" s="3842">
        <f t="shared" si="20"/>
        <v>0</v>
      </c>
      <c r="T31" s="3842">
        <f t="shared" si="20"/>
        <v>0</v>
      </c>
      <c r="U31" s="3842">
        <f t="shared" si="5"/>
        <v>0</v>
      </c>
      <c r="V31" s="3842">
        <f t="shared" si="6"/>
        <v>0</v>
      </c>
      <c r="W31" s="3842">
        <f t="shared" si="6"/>
        <v>0</v>
      </c>
    </row>
    <row r="32" spans="1:23" ht="34.799999999999997">
      <c r="A32" s="3074" t="s">
        <v>100</v>
      </c>
      <c r="B32" s="3588" t="s">
        <v>2612</v>
      </c>
      <c r="F32" s="18">
        <f>SUM(F33:F34)</f>
        <v>564485</v>
      </c>
      <c r="G32" s="18"/>
      <c r="H32" s="3848" t="e">
        <f>F32/C32%</f>
        <v>#DIV/0!</v>
      </c>
      <c r="I32" s="18">
        <f>SUM(I33:I34)</f>
        <v>564485</v>
      </c>
      <c r="J32" s="18">
        <f>SUM(J33:J34)</f>
        <v>0</v>
      </c>
      <c r="K32" s="18">
        <f>SUM(K33:K34)</f>
        <v>562515</v>
      </c>
      <c r="L32" s="18"/>
      <c r="M32" s="3848" t="e">
        <f>K32/C32%</f>
        <v>#DIV/0!</v>
      </c>
      <c r="N32" s="18">
        <f>SUM(N33:N34)</f>
        <v>-564485</v>
      </c>
      <c r="O32" s="18">
        <f>SUM(O33:O34)</f>
        <v>0</v>
      </c>
      <c r="P32" s="18">
        <f t="shared" si="2"/>
        <v>1127000</v>
      </c>
      <c r="Q32" s="18">
        <f t="shared" si="3"/>
        <v>30.366521489366061</v>
      </c>
      <c r="R32" s="3848" t="e">
        <f t="shared" si="4"/>
        <v>#DIV/0!</v>
      </c>
      <c r="S32" s="18">
        <f>N32+I32</f>
        <v>0</v>
      </c>
      <c r="T32" s="18">
        <f t="shared" si="20"/>
        <v>0</v>
      </c>
      <c r="U32" s="18">
        <f t="shared" si="5"/>
        <v>1127000</v>
      </c>
      <c r="V32" s="18">
        <f>S32-D32</f>
        <v>0</v>
      </c>
      <c r="W32" s="18">
        <f t="shared" si="6"/>
        <v>0</v>
      </c>
    </row>
    <row r="33" spans="1:23" ht="34.799999999999997">
      <c r="A33" s="3074" t="s">
        <v>151</v>
      </c>
      <c r="B33" s="3588" t="s">
        <v>231</v>
      </c>
      <c r="F33" s="13">
        <f>'[33]Thu NSNN'!H55</f>
        <v>564000</v>
      </c>
      <c r="G33" s="13"/>
      <c r="H33" s="3846"/>
      <c r="I33" s="13">
        <f>F33-J33</f>
        <v>564000</v>
      </c>
      <c r="J33" s="13"/>
      <c r="K33" s="13">
        <f>'[33]Thu NSNN'!N55</f>
        <v>563000</v>
      </c>
      <c r="L33" s="13"/>
      <c r="M33" s="3846"/>
      <c r="N33" s="13">
        <f>D33-I33</f>
        <v>-564000</v>
      </c>
      <c r="O33" s="13">
        <v>0</v>
      </c>
      <c r="P33" s="13">
        <f>K33+F33</f>
        <v>1127000</v>
      </c>
      <c r="Q33" s="13">
        <f t="shared" si="3"/>
        <v>30.366521489366061</v>
      </c>
      <c r="R33" s="3846" t="e">
        <f t="shared" si="4"/>
        <v>#DIV/0!</v>
      </c>
      <c r="S33" s="13">
        <f t="shared" si="20"/>
        <v>0</v>
      </c>
      <c r="T33" s="13">
        <f t="shared" si="20"/>
        <v>0</v>
      </c>
      <c r="U33" s="13">
        <f t="shared" si="5"/>
        <v>1127000</v>
      </c>
      <c r="V33" s="13">
        <f t="shared" si="6"/>
        <v>0</v>
      </c>
      <c r="W33" s="13">
        <f t="shared" si="6"/>
        <v>0</v>
      </c>
    </row>
    <row r="34" spans="1:23" ht="18">
      <c r="A34" s="3074" t="s">
        <v>229</v>
      </c>
      <c r="B34" s="3588" t="s">
        <v>126</v>
      </c>
      <c r="F34" s="13">
        <f>C34/2+485</f>
        <v>485</v>
      </c>
      <c r="G34" s="13"/>
      <c r="H34" s="3846"/>
      <c r="I34" s="13">
        <f>F34-J34</f>
        <v>485</v>
      </c>
      <c r="J34" s="13"/>
      <c r="K34" s="13">
        <f>N34+O34</f>
        <v>-485</v>
      </c>
      <c r="L34" s="13"/>
      <c r="M34" s="3846"/>
      <c r="N34" s="13">
        <f>D34-I34</f>
        <v>-485</v>
      </c>
      <c r="O34" s="13">
        <v>0</v>
      </c>
      <c r="P34" s="13">
        <f>K34+F34</f>
        <v>0</v>
      </c>
      <c r="Q34" s="13">
        <f t="shared" si="3"/>
        <v>0</v>
      </c>
      <c r="R34" s="3846" t="e">
        <f t="shared" si="4"/>
        <v>#DIV/0!</v>
      </c>
      <c r="S34" s="13">
        <f t="shared" si="20"/>
        <v>0</v>
      </c>
      <c r="T34" s="13">
        <f t="shared" si="20"/>
        <v>0</v>
      </c>
      <c r="U34" s="13">
        <f t="shared" si="5"/>
        <v>0</v>
      </c>
      <c r="V34" s="13">
        <f t="shared" si="6"/>
        <v>0</v>
      </c>
      <c r="W34" s="13">
        <f t="shared" si="6"/>
        <v>0</v>
      </c>
    </row>
    <row r="35" spans="1:23" ht="34.799999999999997">
      <c r="A35" s="3077" t="s">
        <v>22</v>
      </c>
      <c r="B35" s="3614" t="s">
        <v>1416</v>
      </c>
      <c r="F35" s="203">
        <f>SUM(I35:J35)</f>
        <v>-450</v>
      </c>
      <c r="G35" s="203"/>
      <c r="H35" s="3849"/>
      <c r="I35" s="203">
        <f>D35/2-450</f>
        <v>-450</v>
      </c>
      <c r="J35" s="203">
        <f>E35/2</f>
        <v>0</v>
      </c>
      <c r="K35" s="203">
        <f>SUM(N35:O35)</f>
        <v>450</v>
      </c>
      <c r="L35" s="203"/>
      <c r="M35" s="3849"/>
      <c r="N35" s="203">
        <f>D35-I35</f>
        <v>450</v>
      </c>
      <c r="O35" s="203">
        <f>E35-J35</f>
        <v>0</v>
      </c>
      <c r="P35" s="203">
        <f>K35+F35</f>
        <v>0</v>
      </c>
      <c r="Q35" s="203">
        <f t="shared" si="3"/>
        <v>0</v>
      </c>
      <c r="R35" s="3849" t="e">
        <f t="shared" si="4"/>
        <v>#DIV/0!</v>
      </c>
      <c r="S35" s="203">
        <f t="shared" si="20"/>
        <v>0</v>
      </c>
      <c r="T35" s="203">
        <f t="shared" si="20"/>
        <v>0</v>
      </c>
      <c r="U35" s="203">
        <f>P35-C35</f>
        <v>0</v>
      </c>
      <c r="V35" s="203">
        <f t="shared" si="6"/>
        <v>0</v>
      </c>
      <c r="W35" s="203">
        <f t="shared" si="6"/>
        <v>0</v>
      </c>
    </row>
    <row r="36" spans="1:23" ht="36">
      <c r="A36" s="3076">
        <v>1</v>
      </c>
      <c r="B36" s="3613" t="s">
        <v>1306</v>
      </c>
    </row>
    <row r="37" spans="1:23" ht="36">
      <c r="A37" s="3076">
        <v>2</v>
      </c>
      <c r="B37" s="3613" t="s">
        <v>92</v>
      </c>
    </row>
    <row r="38" spans="1:23" ht="36">
      <c r="A38" s="3079">
        <v>3</v>
      </c>
      <c r="B38" s="3613" t="s">
        <v>2533</v>
      </c>
    </row>
    <row r="39" spans="1:23" ht="35.4" thickBot="1">
      <c r="A39" s="3081" t="s">
        <v>26</v>
      </c>
      <c r="B39" s="3615" t="s">
        <v>133</v>
      </c>
    </row>
    <row r="40" spans="1:23" ht="16.2" thickTop="1"/>
  </sheetData>
  <mergeCells count="7">
    <mergeCell ref="K4:O4"/>
    <mergeCell ref="P4:T4"/>
    <mergeCell ref="U4:W4"/>
    <mergeCell ref="B4:B5"/>
    <mergeCell ref="A4:A5"/>
    <mergeCell ref="C4:E4"/>
    <mergeCell ref="F4:J4"/>
  </mergeCells>
  <hyperlinks>
    <hyperlink ref="A6" location="'List danh mục'!A1" display="'List danh mục'!A1"/>
  </hyperlinks>
  <pageMargins left="0.7" right="0.7" top="0.75" bottom="0.75" header="0.3" footer="0.3"/>
  <legacy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73"/>
  <sheetViews>
    <sheetView zoomScaleNormal="100" workbookViewId="0">
      <selection activeCell="B14" sqref="B14"/>
    </sheetView>
  </sheetViews>
  <sheetFormatPr defaultColWidth="9" defaultRowHeight="18"/>
  <cols>
    <col min="1" max="1" width="6.59765625" style="20" customWidth="1"/>
    <col min="2" max="2" width="55.59765625" style="37" customWidth="1"/>
    <col min="3" max="5" width="18.59765625" style="37" customWidth="1"/>
    <col min="6" max="6" width="9" style="37"/>
    <col min="7" max="7" width="15.8984375" style="37" bestFit="1" customWidth="1"/>
    <col min="8" max="10" width="9" style="37"/>
    <col min="11" max="12" width="15.59765625" style="37" bestFit="1" customWidth="1"/>
    <col min="13" max="16384" width="9" style="37"/>
  </cols>
  <sheetData>
    <row r="1" spans="1:13">
      <c r="A1" s="4475" t="s">
        <v>168</v>
      </c>
      <c r="B1" s="4475"/>
      <c r="C1" s="4475"/>
      <c r="D1" s="4475"/>
      <c r="E1" s="4475"/>
    </row>
    <row r="2" spans="1:13">
      <c r="A2" s="4515" t="str">
        <f>'PL3-CĐ6Thang-KBS'!A2:E2</f>
        <v>(Kèm theo Báo cáo số         /BC-UBND ngày      tháng 10 năm 2023 của Ủy ban nhân dân tỉnh Đồng Tháp)</v>
      </c>
      <c r="B2" s="4514"/>
      <c r="C2" s="4514"/>
      <c r="D2" s="4514"/>
      <c r="E2" s="4514"/>
    </row>
    <row r="3" spans="1:13" ht="18.600000000000001" thickBot="1">
      <c r="A3" s="38"/>
      <c r="B3" s="38"/>
      <c r="C3" s="38"/>
      <c r="D3" s="38"/>
      <c r="E3" s="39" t="s">
        <v>64</v>
      </c>
    </row>
    <row r="4" spans="1:13" s="38" customFormat="1" ht="31.2">
      <c r="A4" s="2145" t="s">
        <v>0</v>
      </c>
      <c r="B4" s="87" t="s">
        <v>52</v>
      </c>
      <c r="C4" s="87" t="s">
        <v>53</v>
      </c>
      <c r="D4" s="87" t="s">
        <v>54</v>
      </c>
      <c r="E4" s="88" t="s">
        <v>55</v>
      </c>
    </row>
    <row r="5" spans="1:13" s="43" customFormat="1">
      <c r="A5" s="89" t="s">
        <v>7</v>
      </c>
      <c r="B5" s="41" t="s">
        <v>112</v>
      </c>
      <c r="C5" s="42">
        <f>+C6+C13</f>
        <v>21807516.32</v>
      </c>
      <c r="D5" s="42">
        <f t="shared" ref="D5:E5" si="0">+D6+D13</f>
        <v>13200135.195</v>
      </c>
      <c r="E5" s="90">
        <f t="shared" si="0"/>
        <v>8607381.125</v>
      </c>
      <c r="G5" s="66">
        <f>'Phụ lục số 1'!W61</f>
        <v>16997394.800000001</v>
      </c>
    </row>
    <row r="6" spans="1:13" s="43" customFormat="1">
      <c r="A6" s="89" t="s">
        <v>9</v>
      </c>
      <c r="B6" s="41" t="s">
        <v>113</v>
      </c>
      <c r="C6" s="42">
        <f>+C7+C10+C11+C12</f>
        <v>9927472.0800000001</v>
      </c>
      <c r="D6" s="42">
        <f t="shared" ref="D6:E6" si="1">+D7+D10+D11+D12</f>
        <v>5633396.875</v>
      </c>
      <c r="E6" s="90">
        <f t="shared" si="1"/>
        <v>4294075.2050000001</v>
      </c>
      <c r="G6" s="50">
        <f>E10+E17</f>
        <v>4748721</v>
      </c>
    </row>
    <row r="7" spans="1:13" s="43" customFormat="1">
      <c r="A7" s="91">
        <v>1</v>
      </c>
      <c r="B7" s="44" t="s">
        <v>56</v>
      </c>
      <c r="C7" s="45">
        <f>D7+E7</f>
        <v>3760919.08</v>
      </c>
      <c r="D7" s="45">
        <f>'Phụ lục số 1'!L8</f>
        <v>1852764.875</v>
      </c>
      <c r="E7" s="92">
        <f>'Phụ lục số 1'!M8</f>
        <v>1908154.2050000001</v>
      </c>
      <c r="G7" s="50">
        <f>G6+G5</f>
        <v>21746115.800000001</v>
      </c>
    </row>
    <row r="8" spans="1:13" s="47" customFormat="1">
      <c r="A8" s="93"/>
      <c r="B8" s="46" t="s">
        <v>122</v>
      </c>
      <c r="C8" s="31">
        <f t="shared" ref="C8:C9" si="2">D8+E8</f>
        <v>476206</v>
      </c>
      <c r="D8" s="31">
        <f>'Phụ lục số 1'!L40</f>
        <v>30000</v>
      </c>
      <c r="E8" s="64">
        <f>'Phụ lục số 1'!M40</f>
        <v>446206</v>
      </c>
      <c r="K8" s="58">
        <f>K9+K10</f>
        <v>4748721</v>
      </c>
      <c r="L8" s="67">
        <f>L9+L10</f>
        <v>2374360.5</v>
      </c>
    </row>
    <row r="9" spans="1:13" s="47" customFormat="1">
      <c r="A9" s="93"/>
      <c r="B9" s="46" t="s">
        <v>101</v>
      </c>
      <c r="C9" s="31">
        <f t="shared" si="2"/>
        <v>939476</v>
      </c>
      <c r="D9" s="31">
        <f>'Phụ lục số 1'!L48</f>
        <v>939476</v>
      </c>
      <c r="E9" s="64">
        <f>'Phụ lục số 1'!M48</f>
        <v>0</v>
      </c>
      <c r="J9" s="37" t="s">
        <v>160</v>
      </c>
      <c r="K9" s="55">
        <f>4430923</f>
        <v>4430923</v>
      </c>
      <c r="L9" s="55">
        <f>K9/2</f>
        <v>2215461.5</v>
      </c>
    </row>
    <row r="10" spans="1:13" s="43" customFormat="1">
      <c r="A10" s="91">
        <v>2</v>
      </c>
      <c r="B10" s="44" t="s">
        <v>57</v>
      </c>
      <c r="C10" s="45">
        <f>D10+E10</f>
        <v>6150553</v>
      </c>
      <c r="D10" s="45">
        <f>'Phụ lục số 1'!H52</f>
        <v>3764632</v>
      </c>
      <c r="E10" s="100">
        <f>2218923+166998</f>
        <v>2385921</v>
      </c>
      <c r="G10" s="66">
        <f>889828125000/1000000</f>
        <v>889828.125</v>
      </c>
      <c r="J10" s="43" t="s">
        <v>161</v>
      </c>
      <c r="K10" s="66">
        <v>317798</v>
      </c>
      <c r="L10" s="66">
        <f>K10/2</f>
        <v>158899</v>
      </c>
    </row>
    <row r="11" spans="1:13" s="43" customFormat="1">
      <c r="A11" s="91">
        <v>3</v>
      </c>
      <c r="B11" s="44" t="s">
        <v>123</v>
      </c>
      <c r="C11" s="45">
        <f>D11+E11</f>
        <v>0</v>
      </c>
      <c r="D11" s="45">
        <f>'Phụ lục số 1'!L59</f>
        <v>0</v>
      </c>
      <c r="E11" s="92">
        <f>'Phụ lục số 1'!M59</f>
        <v>0</v>
      </c>
      <c r="G11" s="66">
        <f>G10/2</f>
        <v>444914.0625</v>
      </c>
      <c r="K11" s="43">
        <f>166998</f>
        <v>166998</v>
      </c>
      <c r="L11" s="43">
        <v>2218923</v>
      </c>
    </row>
    <row r="12" spans="1:13" s="43" customFormat="1">
      <c r="A12" s="91">
        <v>4</v>
      </c>
      <c r="B12" s="44" t="s">
        <v>135</v>
      </c>
      <c r="C12" s="45">
        <f>D12+E12</f>
        <v>16000</v>
      </c>
      <c r="D12" s="45">
        <f>'Phụ lục số 1'!L60</f>
        <v>16000</v>
      </c>
      <c r="E12" s="92">
        <f>'Phụ lục số 1'!M60</f>
        <v>0</v>
      </c>
      <c r="G12" s="43">
        <v>444928</v>
      </c>
      <c r="K12" s="105">
        <f>K10-K11</f>
        <v>150800</v>
      </c>
      <c r="L12" s="105">
        <f>K9-L11</f>
        <v>2212000</v>
      </c>
    </row>
    <row r="13" spans="1:13" s="48" customFormat="1" ht="17.399999999999999">
      <c r="A13" s="89" t="s">
        <v>20</v>
      </c>
      <c r="B13" s="41" t="s">
        <v>124</v>
      </c>
      <c r="C13" s="42">
        <f>+C14+C17+C18+C19</f>
        <v>11880044.24</v>
      </c>
      <c r="D13" s="42">
        <f t="shared" ref="D13:E13" si="3">+D14+D17+D18+D19</f>
        <v>7566738.3200000003</v>
      </c>
      <c r="E13" s="90">
        <f t="shared" si="3"/>
        <v>4313305.92</v>
      </c>
      <c r="G13" s="99">
        <f>G10-G12</f>
        <v>444900.125</v>
      </c>
      <c r="K13" s="48">
        <v>167</v>
      </c>
    </row>
    <row r="14" spans="1:13" s="43" customFormat="1">
      <c r="A14" s="91">
        <v>1</v>
      </c>
      <c r="B14" s="44" t="s">
        <v>56</v>
      </c>
      <c r="C14" s="45">
        <f>D14+E14</f>
        <v>3750881.24</v>
      </c>
      <c r="D14" s="45">
        <f>'Phụ lục số 1'!R8</f>
        <v>2141675.3199999998</v>
      </c>
      <c r="E14" s="92">
        <f>'Phụ lục số 1'!S8</f>
        <v>1609205.9200000002</v>
      </c>
      <c r="K14" s="43">
        <v>151</v>
      </c>
      <c r="L14" s="105">
        <f>L12/1000</f>
        <v>2212</v>
      </c>
      <c r="M14" s="105">
        <f>L14+K14</f>
        <v>2363</v>
      </c>
    </row>
    <row r="15" spans="1:13" s="47" customFormat="1">
      <c r="A15" s="93"/>
      <c r="B15" s="46" t="s">
        <v>122</v>
      </c>
      <c r="C15" s="31">
        <f t="shared" ref="C15:C16" si="4">D15+E15</f>
        <v>623794</v>
      </c>
      <c r="D15" s="31">
        <f>'Phụ lục số 1'!R40</f>
        <v>70000</v>
      </c>
      <c r="E15" s="64">
        <f>'Phụ lục số 1'!S40</f>
        <v>553794</v>
      </c>
      <c r="K15" s="47">
        <f>K14+K13</f>
        <v>318</v>
      </c>
    </row>
    <row r="16" spans="1:13" s="47" customFormat="1">
      <c r="A16" s="93"/>
      <c r="B16" s="46" t="s">
        <v>101</v>
      </c>
      <c r="C16" s="31">
        <f t="shared" si="4"/>
        <v>960524</v>
      </c>
      <c r="D16" s="31">
        <f>'Phụ lục số 1'!R48</f>
        <v>960524</v>
      </c>
      <c r="E16" s="64">
        <f>'Phụ lục số 1'!S48</f>
        <v>0</v>
      </c>
    </row>
    <row r="17" spans="1:7">
      <c r="A17" s="91">
        <v>2</v>
      </c>
      <c r="B17" s="44" t="s">
        <v>57</v>
      </c>
      <c r="C17" s="45">
        <f>D17+E17</f>
        <v>7682663</v>
      </c>
      <c r="D17" s="45">
        <f>'Phụ lục số 1'!R52</f>
        <v>5319863</v>
      </c>
      <c r="E17" s="92">
        <f>INT(4748721)-E10</f>
        <v>2362800</v>
      </c>
      <c r="G17" s="54"/>
    </row>
    <row r="18" spans="1:7">
      <c r="A18" s="91">
        <v>3</v>
      </c>
      <c r="B18" s="44" t="s">
        <v>123</v>
      </c>
      <c r="C18" s="45">
        <f>D18+E18</f>
        <v>431000</v>
      </c>
      <c r="D18" s="45">
        <f>'Phụ lục số 1'!R59</f>
        <v>89700</v>
      </c>
      <c r="E18" s="92">
        <f>'Phụ lục số 1'!S59</f>
        <v>341300</v>
      </c>
    </row>
    <row r="19" spans="1:7">
      <c r="A19" s="91">
        <v>4</v>
      </c>
      <c r="B19" s="44" t="s">
        <v>135</v>
      </c>
      <c r="C19" s="45">
        <f>D19+E19</f>
        <v>15500</v>
      </c>
      <c r="D19" s="45">
        <f>'Phụ lục số 1'!R60</f>
        <v>15500</v>
      </c>
      <c r="E19" s="92">
        <f>'Phụ lục số 1'!S60</f>
        <v>0</v>
      </c>
    </row>
    <row r="20" spans="1:7">
      <c r="A20" s="89" t="s">
        <v>22</v>
      </c>
      <c r="B20" s="41" t="s">
        <v>114</v>
      </c>
      <c r="C20" s="42">
        <f>C21+C42</f>
        <v>21983208</v>
      </c>
      <c r="D20" s="42">
        <f t="shared" ref="D20:E20" si="5">D21+D42</f>
        <v>13312345</v>
      </c>
      <c r="E20" s="90">
        <f t="shared" si="5"/>
        <v>8670863</v>
      </c>
    </row>
    <row r="21" spans="1:7" s="43" customFormat="1">
      <c r="A21" s="89" t="s">
        <v>9</v>
      </c>
      <c r="B21" s="41" t="s">
        <v>115</v>
      </c>
      <c r="C21" s="42">
        <f>C22+C29+C30+C34+C35+C36+C37+C38+C39+C40</f>
        <v>8999864.9000000004</v>
      </c>
      <c r="D21" s="42">
        <f t="shared" ref="D21:E21" si="6">D22+D29+D30+D34+D35+D36+D37+D38+D39+D40</f>
        <v>5208223.5999999996</v>
      </c>
      <c r="E21" s="90">
        <f t="shared" si="6"/>
        <v>3791641.3</v>
      </c>
    </row>
    <row r="22" spans="1:7" s="43" customFormat="1">
      <c r="A22" s="91">
        <v>1</v>
      </c>
      <c r="B22" s="44" t="s">
        <v>93</v>
      </c>
      <c r="C22" s="45">
        <f>SUM(C23:C28)</f>
        <v>1729400</v>
      </c>
      <c r="D22" s="45">
        <f t="shared" ref="D22:E22" si="7">SUM(D23:D28)</f>
        <v>1075000</v>
      </c>
      <c r="E22" s="92">
        <f t="shared" si="7"/>
        <v>654400</v>
      </c>
    </row>
    <row r="23" spans="1:7" s="43" customFormat="1">
      <c r="A23" s="94" t="s">
        <v>34</v>
      </c>
      <c r="B23" s="16" t="s">
        <v>32</v>
      </c>
      <c r="C23" s="10">
        <f>D23+E23</f>
        <v>424400</v>
      </c>
      <c r="D23" s="10">
        <f>'Phụ lục số 2'!I10</f>
        <v>216000</v>
      </c>
      <c r="E23" s="63">
        <f>'Phụ lục số 2'!J10</f>
        <v>208400</v>
      </c>
    </row>
    <row r="24" spans="1:7" s="43" customFormat="1">
      <c r="A24" s="94" t="s">
        <v>35</v>
      </c>
      <c r="B24" s="16" t="s">
        <v>76</v>
      </c>
      <c r="C24" s="10">
        <f t="shared" ref="C24:C28" si="8">D24+E24</f>
        <v>476000</v>
      </c>
      <c r="D24" s="10">
        <f>'Phụ lục số 2'!I11</f>
        <v>30000</v>
      </c>
      <c r="E24" s="63">
        <f>'Phụ lục số 2'!J11</f>
        <v>446000</v>
      </c>
    </row>
    <row r="25" spans="1:7" s="43" customFormat="1">
      <c r="A25" s="94" t="s">
        <v>36</v>
      </c>
      <c r="B25" s="11" t="s">
        <v>121</v>
      </c>
      <c r="C25" s="10">
        <f t="shared" si="8"/>
        <v>829000</v>
      </c>
      <c r="D25" s="10">
        <f>'Phụ lục số 2'!I12</f>
        <v>829000</v>
      </c>
      <c r="E25" s="63">
        <f>'Phụ lục số 2'!J12</f>
        <v>0</v>
      </c>
    </row>
    <row r="26" spans="1:7" s="43" customFormat="1" hidden="1">
      <c r="A26" s="94" t="s">
        <v>37</v>
      </c>
      <c r="B26" s="11" t="s">
        <v>125</v>
      </c>
      <c r="C26" s="10">
        <f t="shared" si="8"/>
        <v>0</v>
      </c>
      <c r="D26" s="10"/>
      <c r="E26" s="63"/>
    </row>
    <row r="27" spans="1:7" s="47" customFormat="1" hidden="1">
      <c r="A27" s="94" t="s">
        <v>40</v>
      </c>
      <c r="B27" s="15" t="s">
        <v>118</v>
      </c>
      <c r="C27" s="10">
        <f t="shared" si="8"/>
        <v>0</v>
      </c>
      <c r="D27" s="10"/>
      <c r="E27" s="63"/>
    </row>
    <row r="28" spans="1:7" s="47" customFormat="1">
      <c r="A28" s="94" t="s">
        <v>37</v>
      </c>
      <c r="B28" s="12" t="s">
        <v>142</v>
      </c>
      <c r="C28" s="10">
        <f t="shared" si="8"/>
        <v>0</v>
      </c>
      <c r="D28" s="10">
        <f>'Phụ lục số 2'!I13</f>
        <v>0</v>
      </c>
      <c r="E28" s="63">
        <f>'Phụ lục số 2'!J13</f>
        <v>0</v>
      </c>
    </row>
    <row r="29" spans="1:7" s="47" customFormat="1">
      <c r="A29" s="91">
        <v>2</v>
      </c>
      <c r="B29" s="44" t="s">
        <v>58</v>
      </c>
      <c r="C29" s="45">
        <f t="shared" ref="C29:C32" si="9">D29+E29</f>
        <v>4678535</v>
      </c>
      <c r="D29" s="45">
        <f>'Phụ lục số 2'!I15</f>
        <v>1583535</v>
      </c>
      <c r="E29" s="92">
        <f>'Phụ lục số 2'!J15</f>
        <v>3095000</v>
      </c>
    </row>
    <row r="30" spans="1:7" s="49" customFormat="1">
      <c r="A30" s="91">
        <v>3</v>
      </c>
      <c r="B30" s="44" t="s">
        <v>59</v>
      </c>
      <c r="C30" s="45">
        <f>SUM(C31:C33)</f>
        <v>105386</v>
      </c>
      <c r="D30" s="45">
        <f t="shared" ref="D30:E30" si="10">SUM(D31:D33)</f>
        <v>105386</v>
      </c>
      <c r="E30" s="92">
        <f t="shared" si="10"/>
        <v>0</v>
      </c>
    </row>
    <row r="31" spans="1:7" s="43" customFormat="1">
      <c r="A31" s="93" t="s">
        <v>34</v>
      </c>
      <c r="B31" s="46" t="s">
        <v>94</v>
      </c>
      <c r="C31" s="31">
        <f t="shared" si="9"/>
        <v>0</v>
      </c>
      <c r="D31" s="31">
        <f>'Phụ lục số 2'!I36</f>
        <v>0</v>
      </c>
      <c r="E31" s="64">
        <f>'Phụ lục số 2'!J36</f>
        <v>0</v>
      </c>
    </row>
    <row r="32" spans="1:7" s="43" customFormat="1">
      <c r="A32" s="93" t="s">
        <v>35</v>
      </c>
      <c r="B32" s="46" t="s">
        <v>95</v>
      </c>
      <c r="C32" s="31">
        <f t="shared" si="9"/>
        <v>105386</v>
      </c>
      <c r="D32" s="31">
        <f>'Phụ lục số 2'!I37</f>
        <v>105386</v>
      </c>
      <c r="E32" s="64">
        <f>'Phụ lục số 2'!J37</f>
        <v>0</v>
      </c>
    </row>
    <row r="33" spans="1:5" s="43" customFormat="1">
      <c r="A33" s="93" t="s">
        <v>36</v>
      </c>
      <c r="B33" s="46" t="s">
        <v>102</v>
      </c>
      <c r="C33" s="31">
        <f t="shared" ref="C33:C41" si="11">D33+E33</f>
        <v>0</v>
      </c>
      <c r="D33" s="31">
        <f>'Phụ lục số 2'!I39-'Phụ lục số 2'!I39</f>
        <v>0</v>
      </c>
      <c r="E33" s="64">
        <f>'Phụ lục số 2'!J39</f>
        <v>0</v>
      </c>
    </row>
    <row r="34" spans="1:5">
      <c r="A34" s="91">
        <v>4</v>
      </c>
      <c r="B34" s="44" t="s">
        <v>60</v>
      </c>
      <c r="C34" s="45">
        <f t="shared" si="11"/>
        <v>2000</v>
      </c>
      <c r="D34" s="45">
        <f>'Phụ lục số 2'!I29</f>
        <v>2000</v>
      </c>
      <c r="E34" s="92">
        <f>'Phụ lục số 2'!J29</f>
        <v>0</v>
      </c>
    </row>
    <row r="35" spans="1:5">
      <c r="A35" s="91">
        <v>5</v>
      </c>
      <c r="B35" s="44" t="s">
        <v>61</v>
      </c>
      <c r="C35" s="45">
        <f t="shared" si="11"/>
        <v>82622.899999999994</v>
      </c>
      <c r="D35" s="45">
        <f>'Phụ lục số 2'!I30</f>
        <v>40381.599999999999</v>
      </c>
      <c r="E35" s="92">
        <f>'Phụ lục số 2'!J30</f>
        <v>42241.299999999996</v>
      </c>
    </row>
    <row r="36" spans="1:5">
      <c r="A36" s="91">
        <v>6</v>
      </c>
      <c r="B36" s="44" t="s">
        <v>152</v>
      </c>
      <c r="C36" s="45">
        <f t="shared" si="11"/>
        <v>0</v>
      </c>
      <c r="D36" s="45">
        <f>'Phụ lục số 2'!I31</f>
        <v>0</v>
      </c>
      <c r="E36" s="92">
        <f>'Phụ lục số 2'!J31</f>
        <v>0</v>
      </c>
    </row>
    <row r="37" spans="1:5">
      <c r="A37" s="91">
        <v>7</v>
      </c>
      <c r="B37" s="44" t="s">
        <v>143</v>
      </c>
      <c r="C37" s="45">
        <f t="shared" si="11"/>
        <v>0</v>
      </c>
      <c r="D37" s="45">
        <f>'Phụ lục số 2'!I32</f>
        <v>0</v>
      </c>
      <c r="E37" s="92">
        <f>'Phụ lục số 2'!J32</f>
        <v>0</v>
      </c>
    </row>
    <row r="38" spans="1:5">
      <c r="A38" s="91">
        <v>8</v>
      </c>
      <c r="B38" s="44" t="s">
        <v>126</v>
      </c>
      <c r="C38" s="45">
        <f t="shared" si="11"/>
        <v>0</v>
      </c>
      <c r="D38" s="45">
        <f>'Phụ lục số 2'!I34</f>
        <v>0</v>
      </c>
      <c r="E38" s="92">
        <f>'Phụ lục số 2'!J34</f>
        <v>0</v>
      </c>
    </row>
    <row r="39" spans="1:5">
      <c r="A39" s="91">
        <v>9</v>
      </c>
      <c r="B39" s="44" t="s">
        <v>133</v>
      </c>
      <c r="C39" s="45">
        <f t="shared" si="11"/>
        <v>16000</v>
      </c>
      <c r="D39" s="45">
        <f>'Phụ lục số 2'!I39</f>
        <v>16000</v>
      </c>
      <c r="E39" s="92"/>
    </row>
    <row r="40" spans="1:5">
      <c r="A40" s="91">
        <v>10</v>
      </c>
      <c r="B40" s="44" t="s">
        <v>144</v>
      </c>
      <c r="C40" s="45">
        <f t="shared" si="11"/>
        <v>2385921</v>
      </c>
      <c r="D40" s="45">
        <f>E10</f>
        <v>2385921</v>
      </c>
      <c r="E40" s="92">
        <v>0</v>
      </c>
    </row>
    <row r="41" spans="1:5">
      <c r="A41" s="89"/>
      <c r="B41" s="40" t="s">
        <v>116</v>
      </c>
      <c r="C41" s="42">
        <f t="shared" si="11"/>
        <v>927607.18000000063</v>
      </c>
      <c r="D41" s="42">
        <f>D6-D21</f>
        <v>425173.27500000037</v>
      </c>
      <c r="E41" s="90">
        <f>E6-E21</f>
        <v>502433.90500000026</v>
      </c>
    </row>
    <row r="42" spans="1:5">
      <c r="A42" s="89" t="s">
        <v>20</v>
      </c>
      <c r="B42" s="41" t="s">
        <v>117</v>
      </c>
      <c r="C42" s="42">
        <f>C43+C50+C51+C55+C56+C57+C58+C59+C60+C61</f>
        <v>12983343.1</v>
      </c>
      <c r="D42" s="42">
        <f t="shared" ref="D42:E42" si="12">D43+D50+D51+D55+D56+D57+D58+D59+D60+D61</f>
        <v>8104121.4000000004</v>
      </c>
      <c r="E42" s="90">
        <f t="shared" si="12"/>
        <v>4879221.7</v>
      </c>
    </row>
    <row r="43" spans="1:5">
      <c r="A43" s="91">
        <v>1</v>
      </c>
      <c r="B43" s="44" t="s">
        <v>93</v>
      </c>
      <c r="C43" s="45">
        <f t="shared" ref="C43:D43" si="13">SUM(C44:C49)</f>
        <v>2394600</v>
      </c>
      <c r="D43" s="45">
        <f t="shared" si="13"/>
        <v>1465000</v>
      </c>
      <c r="E43" s="92">
        <f>SUM(E44:E49)</f>
        <v>929600</v>
      </c>
    </row>
    <row r="44" spans="1:5">
      <c r="A44" s="94" t="s">
        <v>34</v>
      </c>
      <c r="B44" s="16" t="s">
        <v>32</v>
      </c>
      <c r="C44" s="10">
        <f>D44+E44</f>
        <v>636600</v>
      </c>
      <c r="D44" s="10">
        <f>'Phụ lục số 2'!N10</f>
        <v>324000</v>
      </c>
      <c r="E44" s="63">
        <f>'Phụ lục số 2'!O10</f>
        <v>312600</v>
      </c>
    </row>
    <row r="45" spans="1:5">
      <c r="A45" s="94" t="s">
        <v>35</v>
      </c>
      <c r="B45" s="16" t="s">
        <v>76</v>
      </c>
      <c r="C45" s="10">
        <f>D45+E45</f>
        <v>624000</v>
      </c>
      <c r="D45" s="10">
        <f>'Phụ lục số 2'!N11</f>
        <v>70000</v>
      </c>
      <c r="E45" s="63">
        <f>'Phụ lục số 2'!O11</f>
        <v>554000</v>
      </c>
    </row>
    <row r="46" spans="1:5">
      <c r="A46" s="94" t="s">
        <v>36</v>
      </c>
      <c r="B46" s="11" t="s">
        <v>121</v>
      </c>
      <c r="C46" s="10">
        <f t="shared" ref="C46:C49" si="14">D46+E46</f>
        <v>1071000</v>
      </c>
      <c r="D46" s="10">
        <f>'Phụ lục số 2'!N12</f>
        <v>1071000</v>
      </c>
      <c r="E46" s="63">
        <f>'Phụ lục số 2'!O12</f>
        <v>0</v>
      </c>
    </row>
    <row r="47" spans="1:5" hidden="1">
      <c r="A47" s="94" t="s">
        <v>37</v>
      </c>
      <c r="B47" s="11" t="s">
        <v>125</v>
      </c>
      <c r="C47" s="10">
        <f t="shared" si="14"/>
        <v>0</v>
      </c>
      <c r="D47" s="10"/>
      <c r="E47" s="63"/>
    </row>
    <row r="48" spans="1:5" hidden="1">
      <c r="A48" s="94" t="s">
        <v>40</v>
      </c>
      <c r="B48" s="15" t="s">
        <v>118</v>
      </c>
      <c r="C48" s="10">
        <f t="shared" si="14"/>
        <v>0</v>
      </c>
      <c r="D48" s="10"/>
      <c r="E48" s="63"/>
    </row>
    <row r="49" spans="1:5">
      <c r="A49" s="94" t="s">
        <v>37</v>
      </c>
      <c r="B49" s="12" t="s">
        <v>142</v>
      </c>
      <c r="C49" s="10">
        <f t="shared" si="14"/>
        <v>63000</v>
      </c>
      <c r="D49" s="10">
        <f>'Phụ lục số 2'!N13</f>
        <v>0</v>
      </c>
      <c r="E49" s="63">
        <f>'Phụ lục số 2'!O13</f>
        <v>63000</v>
      </c>
    </row>
    <row r="50" spans="1:5">
      <c r="A50" s="91">
        <v>2</v>
      </c>
      <c r="B50" s="44" t="s">
        <v>58</v>
      </c>
      <c r="C50" s="45">
        <f>D50+E50</f>
        <v>4738340</v>
      </c>
      <c r="D50" s="45">
        <f>'Phụ lục số 2'!N15</f>
        <v>1584500</v>
      </c>
      <c r="E50" s="92">
        <f>'Phụ lục số 2'!O15</f>
        <v>3153840</v>
      </c>
    </row>
    <row r="51" spans="1:5">
      <c r="A51" s="91">
        <v>3</v>
      </c>
      <c r="B51" s="44" t="s">
        <v>59</v>
      </c>
      <c r="C51" s="45">
        <f>SUM(C52:C54)</f>
        <v>2491621</v>
      </c>
      <c r="D51" s="45">
        <f t="shared" ref="D51:E51" si="15">SUM(D52:D54)</f>
        <v>2491621</v>
      </c>
      <c r="E51" s="92">
        <f t="shared" si="15"/>
        <v>0</v>
      </c>
    </row>
    <row r="52" spans="1:5">
      <c r="A52" s="93" t="s">
        <v>34</v>
      </c>
      <c r="B52" s="46" t="s">
        <v>94</v>
      </c>
      <c r="C52" s="31">
        <f t="shared" ref="C52:C54" si="16">D52+E52</f>
        <v>2417971</v>
      </c>
      <c r="D52" s="31">
        <f>'Phụ lục số 2'!N36</f>
        <v>2417971</v>
      </c>
      <c r="E52" s="64">
        <f>'Phụ lục số 2'!O36</f>
        <v>0</v>
      </c>
    </row>
    <row r="53" spans="1:5">
      <c r="A53" s="93" t="s">
        <v>35</v>
      </c>
      <c r="B53" s="46" t="s">
        <v>95</v>
      </c>
      <c r="C53" s="31">
        <f t="shared" si="16"/>
        <v>73650</v>
      </c>
      <c r="D53" s="31">
        <f>'Phụ lục số 2'!N37</f>
        <v>73650</v>
      </c>
      <c r="E53" s="64">
        <f>'Phụ lục số 2'!O37</f>
        <v>0</v>
      </c>
    </row>
    <row r="54" spans="1:5">
      <c r="A54" s="93" t="s">
        <v>36</v>
      </c>
      <c r="B54" s="46" t="s">
        <v>102</v>
      </c>
      <c r="C54" s="31">
        <f t="shared" si="16"/>
        <v>0</v>
      </c>
      <c r="D54" s="31">
        <f>'Phụ lục số 2'!N39-'Phụ lục số 2'!N39</f>
        <v>0</v>
      </c>
      <c r="E54" s="64">
        <f>'Phụ lục số 2'!O39</f>
        <v>0</v>
      </c>
    </row>
    <row r="55" spans="1:5">
      <c r="A55" s="91">
        <v>4</v>
      </c>
      <c r="B55" s="44" t="s">
        <v>60</v>
      </c>
      <c r="C55" s="45">
        <f t="shared" ref="C55:C62" si="17">D55+E55</f>
        <v>0</v>
      </c>
      <c r="D55" s="45">
        <f>'Phụ lục số 2'!N29</f>
        <v>0</v>
      </c>
      <c r="E55" s="92">
        <f>'Phụ lục số 2'!O29</f>
        <v>0</v>
      </c>
    </row>
    <row r="56" spans="1:5">
      <c r="A56" s="91">
        <v>5</v>
      </c>
      <c r="B56" s="44" t="s">
        <v>61</v>
      </c>
      <c r="C56" s="45">
        <f t="shared" si="17"/>
        <v>192000.1</v>
      </c>
      <c r="D56" s="45">
        <f>'Phụ lục số 2'!N30</f>
        <v>95000.4</v>
      </c>
      <c r="E56" s="92">
        <f>'Phụ lục số 2'!O30</f>
        <v>96999.700000000012</v>
      </c>
    </row>
    <row r="57" spans="1:5">
      <c r="A57" s="91">
        <v>6</v>
      </c>
      <c r="B57" s="44" t="s">
        <v>152</v>
      </c>
      <c r="C57" s="45">
        <f t="shared" si="17"/>
        <v>431000</v>
      </c>
      <c r="D57" s="45">
        <f>'Phụ lục số 2'!N31</f>
        <v>89700</v>
      </c>
      <c r="E57" s="92">
        <f>'Phụ lục số 2'!O31</f>
        <v>341300</v>
      </c>
    </row>
    <row r="58" spans="1:5">
      <c r="A58" s="91">
        <v>7</v>
      </c>
      <c r="B58" s="44" t="s">
        <v>143</v>
      </c>
      <c r="C58" s="45">
        <f t="shared" si="17"/>
        <v>357482</v>
      </c>
      <c r="D58" s="45">
        <f>'Phụ lục số 2'!N32</f>
        <v>0</v>
      </c>
      <c r="E58" s="92">
        <f>'Phụ lục số 2'!O32</f>
        <v>357482</v>
      </c>
    </row>
    <row r="59" spans="1:5">
      <c r="A59" s="91">
        <v>8</v>
      </c>
      <c r="B59" s="44" t="s">
        <v>126</v>
      </c>
      <c r="C59" s="45">
        <f t="shared" si="17"/>
        <v>0</v>
      </c>
      <c r="D59" s="45">
        <f>'Phụ lục số 2'!N34</f>
        <v>0</v>
      </c>
      <c r="E59" s="92">
        <f>'Phụ lục số 2'!O34</f>
        <v>0</v>
      </c>
    </row>
    <row r="60" spans="1:5">
      <c r="A60" s="91">
        <v>9</v>
      </c>
      <c r="B60" s="44" t="s">
        <v>133</v>
      </c>
      <c r="C60" s="45">
        <f t="shared" si="17"/>
        <v>15500</v>
      </c>
      <c r="D60" s="45">
        <f>'Phụ lục số 2'!N39</f>
        <v>15500</v>
      </c>
      <c r="E60" s="92"/>
    </row>
    <row r="61" spans="1:5">
      <c r="A61" s="91">
        <v>10</v>
      </c>
      <c r="B61" s="44" t="s">
        <v>144</v>
      </c>
      <c r="C61" s="45">
        <f t="shared" si="17"/>
        <v>2362800</v>
      </c>
      <c r="D61" s="45">
        <f>E17</f>
        <v>2362800</v>
      </c>
      <c r="E61" s="92">
        <v>0</v>
      </c>
    </row>
    <row r="62" spans="1:5" s="48" customFormat="1" thickBot="1">
      <c r="A62" s="95"/>
      <c r="B62" s="96" t="s">
        <v>62</v>
      </c>
      <c r="C62" s="97">
        <f t="shared" si="17"/>
        <v>-175691.6799999997</v>
      </c>
      <c r="D62" s="97">
        <f>D5-D20</f>
        <v>-112209.8049999997</v>
      </c>
      <c r="E62" s="98">
        <f>E5-E20</f>
        <v>-63481.875</v>
      </c>
    </row>
    <row r="64" spans="1:5">
      <c r="C64" s="54"/>
      <c r="D64" s="54"/>
      <c r="E64" s="54"/>
    </row>
    <row r="66" spans="3:5">
      <c r="C66" s="54">
        <f>-C62</f>
        <v>175691.6799999997</v>
      </c>
      <c r="D66" s="55">
        <f>-'Phụ lục số 1'!AC10</f>
        <v>294299.2666666666</v>
      </c>
    </row>
    <row r="67" spans="3:5">
      <c r="C67" s="55">
        <f>-'Phụ lục số 1'!AC10</f>
        <v>294299.2666666666</v>
      </c>
      <c r="D67" s="55">
        <v>45000</v>
      </c>
    </row>
    <row r="68" spans="3:5">
      <c r="C68" s="58">
        <f>C67-C66</f>
        <v>118607.5866666669</v>
      </c>
      <c r="D68" s="58">
        <f>D66-D67</f>
        <v>249299.2666666666</v>
      </c>
    </row>
    <row r="69" spans="3:5">
      <c r="D69" s="58">
        <f>D68-89730</f>
        <v>159569.2666666666</v>
      </c>
    </row>
    <row r="71" spans="3:5">
      <c r="C71" s="54">
        <f>C6-C21</f>
        <v>927607.1799999997</v>
      </c>
      <c r="D71" s="54">
        <f t="shared" ref="D71:E71" si="18">D6-D21</f>
        <v>425173.27500000037</v>
      </c>
      <c r="E71" s="54">
        <f t="shared" si="18"/>
        <v>502433.90500000026</v>
      </c>
    </row>
    <row r="72" spans="3:5">
      <c r="C72" s="54">
        <f>C13-C42</f>
        <v>-1103298.8599999994</v>
      </c>
      <c r="D72" s="54">
        <f t="shared" ref="D72:E72" si="19">D13-D42</f>
        <v>-537383.08000000007</v>
      </c>
      <c r="E72" s="54">
        <f t="shared" si="19"/>
        <v>-565915.78000000026</v>
      </c>
    </row>
    <row r="73" spans="3:5">
      <c r="C73" s="54">
        <f>C71+C72</f>
        <v>-175691.6799999997</v>
      </c>
      <c r="D73" s="54">
        <f t="shared" ref="D73:E73" si="20">D71+D72</f>
        <v>-112209.8049999997</v>
      </c>
      <c r="E73" s="54">
        <f t="shared" si="20"/>
        <v>-63481.875</v>
      </c>
    </row>
  </sheetData>
  <mergeCells count="2">
    <mergeCell ref="A1:E1"/>
    <mergeCell ref="A2:E2"/>
  </mergeCells>
  <hyperlinks>
    <hyperlink ref="A4" location="'List danh mục'!A1" display="SỐ TT"/>
  </hyperlinks>
  <printOptions horizontalCentered="1"/>
  <pageMargins left="0" right="0" top="0.8" bottom="0" header="0" footer="0"/>
  <pageSetup paperSize="9" scale="70" orientation="portrait" r:id="rId1"/>
  <headerFooter alignWithMargins="0">
    <oddHeader>&amp;R&amp;"Times New Roman,Bold"Phụ lục số 3 CĐ</oddHeader>
    <oddFooter>&amp;C&amp;P/&amp;N</oddFooter>
  </headerFooter>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G72"/>
  <sheetViews>
    <sheetView topLeftCell="A49" zoomScaleNormal="100" workbookViewId="0">
      <selection activeCell="C66" sqref="C66"/>
    </sheetView>
  </sheetViews>
  <sheetFormatPr defaultColWidth="9" defaultRowHeight="18"/>
  <cols>
    <col min="1" max="1" width="6.59765625" style="20" customWidth="1"/>
    <col min="2" max="2" width="55.59765625" style="37" customWidth="1"/>
    <col min="3" max="5" width="18.59765625" style="37" customWidth="1"/>
    <col min="6" max="6" width="9" style="37"/>
    <col min="7" max="7" width="10.19921875" style="37" customWidth="1"/>
    <col min="8" max="16384" width="9" style="37"/>
  </cols>
  <sheetData>
    <row r="1" spans="1:7" ht="34.200000000000003" customHeight="1">
      <c r="A1" s="4475" t="s">
        <v>170</v>
      </c>
      <c r="B1" s="4475"/>
      <c r="C1" s="4475"/>
      <c r="D1" s="4475"/>
      <c r="E1" s="4475"/>
    </row>
    <row r="2" spans="1:7">
      <c r="A2" s="4515" t="str">
        <f>'Phụ lục số 2'!A2:O2</f>
        <v>(Kèm theo Báo cáo số         /BC-UBND ngày      tháng 10 năm 2023 của Ủy ban nhân dân tỉnh Đồng Tháp)</v>
      </c>
      <c r="B2" s="4514"/>
      <c r="C2" s="4514"/>
      <c r="D2" s="4514"/>
      <c r="E2" s="4514"/>
    </row>
    <row r="3" spans="1:7" ht="18.600000000000001" thickBot="1">
      <c r="A3" s="38"/>
      <c r="B3" s="38"/>
      <c r="C3" s="38"/>
      <c r="D3" s="38"/>
      <c r="E3" s="39" t="s">
        <v>64</v>
      </c>
    </row>
    <row r="4" spans="1:7" s="38" customFormat="1" ht="31.2">
      <c r="A4" s="2145" t="s">
        <v>0</v>
      </c>
      <c r="B4" s="87" t="s">
        <v>52</v>
      </c>
      <c r="C4" s="87" t="s">
        <v>53</v>
      </c>
      <c r="D4" s="87" t="s">
        <v>54</v>
      </c>
      <c r="E4" s="88" t="s">
        <v>55</v>
      </c>
    </row>
    <row r="5" spans="1:7" s="43" customFormat="1">
      <c r="A5" s="89" t="s">
        <v>7</v>
      </c>
      <c r="B5" s="41" t="s">
        <v>112</v>
      </c>
      <c r="C5" s="42">
        <f>+C6+C13</f>
        <v>17058795.32</v>
      </c>
      <c r="D5" s="42">
        <f t="shared" ref="D5:E5" si="0">+D6+D13</f>
        <v>13200135.195</v>
      </c>
      <c r="E5" s="90">
        <f t="shared" si="0"/>
        <v>3858660.125</v>
      </c>
      <c r="G5" s="50">
        <f>C5-C20</f>
        <v>-175691.6799999997</v>
      </c>
    </row>
    <row r="6" spans="1:7" s="43" customFormat="1">
      <c r="A6" s="89" t="s">
        <v>9</v>
      </c>
      <c r="B6" s="41" t="s">
        <v>113</v>
      </c>
      <c r="C6" s="42">
        <f>+C7+C10+C11+C12</f>
        <v>7541551.0800000001</v>
      </c>
      <c r="D6" s="42">
        <f t="shared" ref="D6:E6" si="1">+D7+D10+D11+D12</f>
        <v>5633396.875</v>
      </c>
      <c r="E6" s="90">
        <f t="shared" si="1"/>
        <v>1908154.2050000001</v>
      </c>
    </row>
    <row r="7" spans="1:7" s="43" customFormat="1">
      <c r="A7" s="91">
        <v>1</v>
      </c>
      <c r="B7" s="44" t="s">
        <v>56</v>
      </c>
      <c r="C7" s="45">
        <f>D7+E7</f>
        <v>3760919.08</v>
      </c>
      <c r="D7" s="45">
        <f>'Phụ lục số 1'!L8</f>
        <v>1852764.875</v>
      </c>
      <c r="E7" s="92">
        <f>'Phụ lục số 1'!M8</f>
        <v>1908154.2050000001</v>
      </c>
    </row>
    <row r="8" spans="1:7" s="47" customFormat="1">
      <c r="A8" s="93"/>
      <c r="B8" s="46" t="s">
        <v>122</v>
      </c>
      <c r="C8" s="31">
        <f t="shared" ref="C8:C9" si="2">D8+E8</f>
        <v>476206</v>
      </c>
      <c r="D8" s="31">
        <f>'Phụ lục số 1'!L40</f>
        <v>30000</v>
      </c>
      <c r="E8" s="64">
        <f>'Phụ lục số 1'!M40</f>
        <v>446206</v>
      </c>
    </row>
    <row r="9" spans="1:7" s="47" customFormat="1">
      <c r="A9" s="93"/>
      <c r="B9" s="46" t="s">
        <v>101</v>
      </c>
      <c r="C9" s="31">
        <f t="shared" si="2"/>
        <v>939476</v>
      </c>
      <c r="D9" s="31">
        <f>'Phụ lục số 1'!L48</f>
        <v>939476</v>
      </c>
      <c r="E9" s="64">
        <f>'Phụ lục số 1'!M48</f>
        <v>0</v>
      </c>
    </row>
    <row r="10" spans="1:7" s="43" customFormat="1">
      <c r="A10" s="91">
        <v>2</v>
      </c>
      <c r="B10" s="44" t="s">
        <v>57</v>
      </c>
      <c r="C10" s="45">
        <f>D10+E10</f>
        <v>3764632</v>
      </c>
      <c r="D10" s="45">
        <f>'Phụ lục số 1'!H52</f>
        <v>3764632</v>
      </c>
      <c r="E10" s="92">
        <f>INT(5063957/2)-21-(INT(5063957/2)-21)</f>
        <v>0</v>
      </c>
    </row>
    <row r="11" spans="1:7" s="43" customFormat="1">
      <c r="A11" s="91">
        <v>3</v>
      </c>
      <c r="B11" s="44" t="s">
        <v>123</v>
      </c>
      <c r="C11" s="45">
        <f>D11+E11</f>
        <v>0</v>
      </c>
      <c r="D11" s="45">
        <f>'Phụ lục số 1'!L59</f>
        <v>0</v>
      </c>
      <c r="E11" s="92">
        <f>'Phụ lục số 1'!M59</f>
        <v>0</v>
      </c>
    </row>
    <row r="12" spans="1:7" s="43" customFormat="1">
      <c r="A12" s="91">
        <v>4</v>
      </c>
      <c r="B12" s="44" t="s">
        <v>135</v>
      </c>
      <c r="C12" s="45">
        <f>D12+E12</f>
        <v>16000</v>
      </c>
      <c r="D12" s="45">
        <f>'Phụ lục số 1'!L60</f>
        <v>16000</v>
      </c>
      <c r="E12" s="92">
        <f>'Phụ lục số 1'!M60</f>
        <v>0</v>
      </c>
    </row>
    <row r="13" spans="1:7" s="48" customFormat="1" ht="17.399999999999999">
      <c r="A13" s="89" t="s">
        <v>20</v>
      </c>
      <c r="B13" s="41" t="s">
        <v>124</v>
      </c>
      <c r="C13" s="42">
        <f>+C14+C17+C18+C19</f>
        <v>9517244.2400000002</v>
      </c>
      <c r="D13" s="42">
        <f t="shared" ref="D13:E13" si="3">+D14+D17+D18+D19</f>
        <v>7566738.3200000003</v>
      </c>
      <c r="E13" s="90">
        <f t="shared" si="3"/>
        <v>1950505.9200000002</v>
      </c>
    </row>
    <row r="14" spans="1:7" s="43" customFormat="1">
      <c r="A14" s="91">
        <v>1</v>
      </c>
      <c r="B14" s="44" t="s">
        <v>56</v>
      </c>
      <c r="C14" s="45">
        <f>D14+E14</f>
        <v>3750881.24</v>
      </c>
      <c r="D14" s="45">
        <f>'Phụ lục số 1'!R8</f>
        <v>2141675.3199999998</v>
      </c>
      <c r="E14" s="92">
        <f>'Phụ lục số 1'!S8</f>
        <v>1609205.9200000002</v>
      </c>
    </row>
    <row r="15" spans="1:7" s="47" customFormat="1">
      <c r="A15" s="93"/>
      <c r="B15" s="46" t="s">
        <v>122</v>
      </c>
      <c r="C15" s="31">
        <f t="shared" ref="C15:C16" si="4">D15+E15</f>
        <v>623794</v>
      </c>
      <c r="D15" s="31">
        <f>'Phụ lục số 1'!R40</f>
        <v>70000</v>
      </c>
      <c r="E15" s="64">
        <f>'Phụ lục số 1'!S40</f>
        <v>553794</v>
      </c>
    </row>
    <row r="16" spans="1:7" s="47" customFormat="1">
      <c r="A16" s="93"/>
      <c r="B16" s="46" t="s">
        <v>101</v>
      </c>
      <c r="C16" s="31">
        <f t="shared" si="4"/>
        <v>960524</v>
      </c>
      <c r="D16" s="31">
        <f>'Phụ lục số 1'!R48</f>
        <v>960524</v>
      </c>
      <c r="E16" s="64">
        <f>'Phụ lục số 1'!S48</f>
        <v>0</v>
      </c>
    </row>
    <row r="17" spans="1:5">
      <c r="A17" s="91">
        <v>2</v>
      </c>
      <c r="B17" s="44" t="s">
        <v>57</v>
      </c>
      <c r="C17" s="45">
        <f>D17+E17</f>
        <v>5319863</v>
      </c>
      <c r="D17" s="45">
        <f>'Phụ lục số 1'!R52</f>
        <v>5319863</v>
      </c>
      <c r="E17" s="92"/>
    </row>
    <row r="18" spans="1:5">
      <c r="A18" s="91">
        <v>3</v>
      </c>
      <c r="B18" s="44" t="s">
        <v>123</v>
      </c>
      <c r="C18" s="45">
        <f>D18+E18</f>
        <v>431000</v>
      </c>
      <c r="D18" s="45">
        <f>'Phụ lục số 1'!R59</f>
        <v>89700</v>
      </c>
      <c r="E18" s="92">
        <f>'Phụ lục số 1'!S59</f>
        <v>341300</v>
      </c>
    </row>
    <row r="19" spans="1:5">
      <c r="A19" s="91">
        <v>4</v>
      </c>
      <c r="B19" s="44" t="s">
        <v>135</v>
      </c>
      <c r="C19" s="45">
        <f>D19+E19</f>
        <v>15500</v>
      </c>
      <c r="D19" s="45">
        <f>'Phụ lục số 1'!R60</f>
        <v>15500</v>
      </c>
      <c r="E19" s="92">
        <f>'Phụ lục số 1'!S60</f>
        <v>0</v>
      </c>
    </row>
    <row r="20" spans="1:5">
      <c r="A20" s="89" t="s">
        <v>22</v>
      </c>
      <c r="B20" s="41" t="s">
        <v>114</v>
      </c>
      <c r="C20" s="42">
        <f>C21+C42</f>
        <v>17234487</v>
      </c>
      <c r="D20" s="42">
        <f t="shared" ref="D20:E20" si="5">D21+D42</f>
        <v>8563624</v>
      </c>
      <c r="E20" s="90">
        <f t="shared" si="5"/>
        <v>8670863</v>
      </c>
    </row>
    <row r="21" spans="1:5" s="43" customFormat="1">
      <c r="A21" s="89" t="s">
        <v>9</v>
      </c>
      <c r="B21" s="41" t="s">
        <v>115</v>
      </c>
      <c r="C21" s="42">
        <f>C22+C29+C30+C34+C35+C36+C37+C39+C40</f>
        <v>6613943.9000000004</v>
      </c>
      <c r="D21" s="42">
        <f t="shared" ref="D21:E21" si="6">D22+D29+D30+D34+D35+D36+D37+D39+D40</f>
        <v>2822302.6</v>
      </c>
      <c r="E21" s="90">
        <f t="shared" si="6"/>
        <v>3791641.3</v>
      </c>
    </row>
    <row r="22" spans="1:5" s="43" customFormat="1">
      <c r="A22" s="91">
        <v>1</v>
      </c>
      <c r="B22" s="44" t="s">
        <v>93</v>
      </c>
      <c r="C22" s="45">
        <f>SUM(C23:C28)</f>
        <v>1729400</v>
      </c>
      <c r="D22" s="45">
        <f>SUM(D23:D28)</f>
        <v>1075000</v>
      </c>
      <c r="E22" s="92">
        <f>SUM(E23:E28)</f>
        <v>654400</v>
      </c>
    </row>
    <row r="23" spans="1:5" s="43" customFormat="1">
      <c r="A23" s="94" t="s">
        <v>34</v>
      </c>
      <c r="B23" s="16" t="s">
        <v>32</v>
      </c>
      <c r="C23" s="10">
        <f>D23+E23</f>
        <v>424400</v>
      </c>
      <c r="D23" s="10">
        <f>'Phụ lục số 2'!I10</f>
        <v>216000</v>
      </c>
      <c r="E23" s="63">
        <f>'Phụ lục số 2'!J10</f>
        <v>208400</v>
      </c>
    </row>
    <row r="24" spans="1:5" s="43" customFormat="1">
      <c r="A24" s="94" t="s">
        <v>35</v>
      </c>
      <c r="B24" s="16" t="s">
        <v>76</v>
      </c>
      <c r="C24" s="10">
        <f t="shared" ref="C24:C40" si="7">D24+E24</f>
        <v>476000</v>
      </c>
      <c r="D24" s="10">
        <f>'Phụ lục số 2'!I11</f>
        <v>30000</v>
      </c>
      <c r="E24" s="63">
        <f>'Phụ lục số 2'!J11</f>
        <v>446000</v>
      </c>
    </row>
    <row r="25" spans="1:5" s="43" customFormat="1">
      <c r="A25" s="94" t="s">
        <v>36</v>
      </c>
      <c r="B25" s="11" t="s">
        <v>121</v>
      </c>
      <c r="C25" s="10">
        <f t="shared" si="7"/>
        <v>829000</v>
      </c>
      <c r="D25" s="10">
        <f>'Phụ lục số 2'!I12</f>
        <v>829000</v>
      </c>
      <c r="E25" s="63">
        <f>'Phụ lục số 2'!J12</f>
        <v>0</v>
      </c>
    </row>
    <row r="26" spans="1:5" s="43" customFormat="1" hidden="1">
      <c r="A26" s="94" t="s">
        <v>37</v>
      </c>
      <c r="B26" s="11" t="s">
        <v>125</v>
      </c>
      <c r="C26" s="10">
        <f t="shared" si="7"/>
        <v>0</v>
      </c>
      <c r="D26" s="10"/>
      <c r="E26" s="63"/>
    </row>
    <row r="27" spans="1:5" s="47" customFormat="1" hidden="1">
      <c r="A27" s="94" t="s">
        <v>40</v>
      </c>
      <c r="B27" s="15" t="s">
        <v>118</v>
      </c>
      <c r="C27" s="10">
        <f t="shared" si="7"/>
        <v>0</v>
      </c>
      <c r="D27" s="10"/>
      <c r="E27" s="63"/>
    </row>
    <row r="28" spans="1:5" s="47" customFormat="1">
      <c r="A28" s="94" t="s">
        <v>37</v>
      </c>
      <c r="B28" s="12" t="s">
        <v>142</v>
      </c>
      <c r="C28" s="10">
        <f t="shared" si="7"/>
        <v>0</v>
      </c>
      <c r="D28" s="10">
        <f>'Phụ lục số 2'!I13</f>
        <v>0</v>
      </c>
      <c r="E28" s="63">
        <f>'Phụ lục số 2'!J13</f>
        <v>0</v>
      </c>
    </row>
    <row r="29" spans="1:5" s="47" customFormat="1">
      <c r="A29" s="91">
        <v>2</v>
      </c>
      <c r="B29" s="44" t="s">
        <v>58</v>
      </c>
      <c r="C29" s="45">
        <f t="shared" si="7"/>
        <v>4678535</v>
      </c>
      <c r="D29" s="45">
        <f>'Phụ lục số 2'!I15</f>
        <v>1583535</v>
      </c>
      <c r="E29" s="92">
        <f>'Phụ lục số 2'!J15</f>
        <v>3095000</v>
      </c>
    </row>
    <row r="30" spans="1:5" s="49" customFormat="1">
      <c r="A30" s="91">
        <v>3</v>
      </c>
      <c r="B30" s="44" t="s">
        <v>59</v>
      </c>
      <c r="C30" s="45">
        <f>SUM(C31:C33)</f>
        <v>105386</v>
      </c>
      <c r="D30" s="45">
        <f>SUM(D31:D33)</f>
        <v>105386</v>
      </c>
      <c r="E30" s="92">
        <f>SUM(E31:E33)</f>
        <v>0</v>
      </c>
    </row>
    <row r="31" spans="1:5" s="43" customFormat="1">
      <c r="A31" s="93" t="s">
        <v>34</v>
      </c>
      <c r="B31" s="46" t="s">
        <v>94</v>
      </c>
      <c r="C31" s="31">
        <f t="shared" si="7"/>
        <v>0</v>
      </c>
      <c r="D31" s="31">
        <f>'Phụ lục số 2'!I36</f>
        <v>0</v>
      </c>
      <c r="E31" s="64">
        <f>'Phụ lục số 2'!J36</f>
        <v>0</v>
      </c>
    </row>
    <row r="32" spans="1:5" s="43" customFormat="1">
      <c r="A32" s="93" t="s">
        <v>35</v>
      </c>
      <c r="B32" s="46" t="s">
        <v>95</v>
      </c>
      <c r="C32" s="31">
        <f t="shared" si="7"/>
        <v>105386</v>
      </c>
      <c r="D32" s="31">
        <f>'Phụ lục số 2'!I37</f>
        <v>105386</v>
      </c>
      <c r="E32" s="64">
        <f>'Phụ lục số 2'!J37</f>
        <v>0</v>
      </c>
    </row>
    <row r="33" spans="1:5" s="43" customFormat="1">
      <c r="A33" s="93" t="s">
        <v>36</v>
      </c>
      <c r="B33" s="46" t="s">
        <v>102</v>
      </c>
      <c r="C33" s="31">
        <f t="shared" si="7"/>
        <v>0</v>
      </c>
      <c r="D33" s="31">
        <f>'Phụ lục số 2'!I39-'Phụ lục số 2'!I39</f>
        <v>0</v>
      </c>
      <c r="E33" s="64">
        <f>'Phụ lục số 2'!J39</f>
        <v>0</v>
      </c>
    </row>
    <row r="34" spans="1:5">
      <c r="A34" s="91">
        <v>4</v>
      </c>
      <c r="B34" s="44" t="s">
        <v>60</v>
      </c>
      <c r="C34" s="45">
        <f t="shared" si="7"/>
        <v>2000</v>
      </c>
      <c r="D34" s="45">
        <f>'Phụ lục số 2'!I29</f>
        <v>2000</v>
      </c>
      <c r="E34" s="92">
        <f>'Phụ lục số 2'!J29</f>
        <v>0</v>
      </c>
    </row>
    <row r="35" spans="1:5">
      <c r="A35" s="91">
        <v>5</v>
      </c>
      <c r="B35" s="44" t="s">
        <v>61</v>
      </c>
      <c r="C35" s="45">
        <f t="shared" si="7"/>
        <v>82622.899999999994</v>
      </c>
      <c r="D35" s="45">
        <f>'Phụ lục số 2'!I30</f>
        <v>40381.599999999999</v>
      </c>
      <c r="E35" s="92">
        <f>'Phụ lục số 2'!J30</f>
        <v>42241.299999999996</v>
      </c>
    </row>
    <row r="36" spans="1:5">
      <c r="A36" s="91">
        <v>6</v>
      </c>
      <c r="B36" s="44" t="s">
        <v>152</v>
      </c>
      <c r="C36" s="45">
        <f t="shared" si="7"/>
        <v>0</v>
      </c>
      <c r="D36" s="45">
        <f>'Phụ lục số 2'!I31</f>
        <v>0</v>
      </c>
      <c r="E36" s="92">
        <f>'Phụ lục số 2'!J31</f>
        <v>0</v>
      </c>
    </row>
    <row r="37" spans="1:5">
      <c r="A37" s="91">
        <v>6</v>
      </c>
      <c r="B37" s="44" t="s">
        <v>143</v>
      </c>
      <c r="C37" s="45">
        <f t="shared" si="7"/>
        <v>0</v>
      </c>
      <c r="D37" s="45">
        <f>'Phụ lục số 2'!I32</f>
        <v>0</v>
      </c>
      <c r="E37" s="92">
        <f>'Phụ lục số 2'!J32</f>
        <v>0</v>
      </c>
    </row>
    <row r="38" spans="1:5">
      <c r="A38" s="91">
        <v>7</v>
      </c>
      <c r="B38" s="44" t="s">
        <v>126</v>
      </c>
      <c r="C38" s="45">
        <f t="shared" si="7"/>
        <v>0</v>
      </c>
      <c r="D38" s="45">
        <f>'Phụ lục số 2'!I34</f>
        <v>0</v>
      </c>
      <c r="E38" s="92">
        <f>'Phụ lục số 2'!J34</f>
        <v>0</v>
      </c>
    </row>
    <row r="39" spans="1:5">
      <c r="A39" s="91">
        <v>8</v>
      </c>
      <c r="B39" s="44" t="s">
        <v>133</v>
      </c>
      <c r="C39" s="45">
        <f t="shared" si="7"/>
        <v>16000</v>
      </c>
      <c r="D39" s="45">
        <f>'Phụ lục số 2'!I39</f>
        <v>16000</v>
      </c>
      <c r="E39" s="92"/>
    </row>
    <row r="40" spans="1:5">
      <c r="A40" s="91">
        <v>9</v>
      </c>
      <c r="B40" s="44" t="s">
        <v>144</v>
      </c>
      <c r="C40" s="45">
        <f t="shared" si="7"/>
        <v>0</v>
      </c>
      <c r="D40" s="45">
        <f>E10</f>
        <v>0</v>
      </c>
      <c r="E40" s="92">
        <v>0</v>
      </c>
    </row>
    <row r="41" spans="1:5">
      <c r="A41" s="89"/>
      <c r="B41" s="40" t="s">
        <v>116</v>
      </c>
      <c r="C41" s="42">
        <f>D41+E41</f>
        <v>927607.18000000017</v>
      </c>
      <c r="D41" s="42">
        <f>D6-D21</f>
        <v>2811094.2749999999</v>
      </c>
      <c r="E41" s="90">
        <f>E6-E21</f>
        <v>-1883487.0949999997</v>
      </c>
    </row>
    <row r="42" spans="1:5">
      <c r="A42" s="89" t="s">
        <v>20</v>
      </c>
      <c r="B42" s="41" t="s">
        <v>117</v>
      </c>
      <c r="C42" s="42">
        <f>C43+C50+C55+C56+C57+C58+C59+C60+C61+C51</f>
        <v>10620543.1</v>
      </c>
      <c r="D42" s="42">
        <f t="shared" ref="D42:E42" si="8">D43+D50+D55+D56+D57+D58+D59+D60+D61+D51</f>
        <v>5741321.4000000004</v>
      </c>
      <c r="E42" s="90">
        <f t="shared" si="8"/>
        <v>4879221.7</v>
      </c>
    </row>
    <row r="43" spans="1:5">
      <c r="A43" s="91">
        <v>1</v>
      </c>
      <c r="B43" s="44" t="s">
        <v>93</v>
      </c>
      <c r="C43" s="45">
        <f>SUM(C44:C49)</f>
        <v>2394600</v>
      </c>
      <c r="D43" s="45">
        <f>SUM(D44:D49)</f>
        <v>1465000</v>
      </c>
      <c r="E43" s="92">
        <f>SUM(E44:E49)</f>
        <v>929600</v>
      </c>
    </row>
    <row r="44" spans="1:5">
      <c r="A44" s="94" t="s">
        <v>34</v>
      </c>
      <c r="B44" s="16" t="s">
        <v>32</v>
      </c>
      <c r="C44" s="10">
        <f>D44+E44</f>
        <v>636600</v>
      </c>
      <c r="D44" s="10">
        <f>'Phụ lục số 2'!N10</f>
        <v>324000</v>
      </c>
      <c r="E44" s="63">
        <f>'Phụ lục số 2'!O10</f>
        <v>312600</v>
      </c>
    </row>
    <row r="45" spans="1:5">
      <c r="A45" s="94" t="s">
        <v>35</v>
      </c>
      <c r="B45" s="16" t="s">
        <v>76</v>
      </c>
      <c r="C45" s="10">
        <f>D45+E45</f>
        <v>624000</v>
      </c>
      <c r="D45" s="10">
        <f>'Phụ lục số 2'!N11</f>
        <v>70000</v>
      </c>
      <c r="E45" s="63">
        <f>'Phụ lục số 2'!O11</f>
        <v>554000</v>
      </c>
    </row>
    <row r="46" spans="1:5">
      <c r="A46" s="94" t="s">
        <v>36</v>
      </c>
      <c r="B46" s="11" t="s">
        <v>121</v>
      </c>
      <c r="C46" s="10">
        <f t="shared" ref="C46:C49" si="9">D46+E46</f>
        <v>1071000</v>
      </c>
      <c r="D46" s="10">
        <f>'Phụ lục số 2'!N12</f>
        <v>1071000</v>
      </c>
      <c r="E46" s="63">
        <f>'Phụ lục số 2'!O12</f>
        <v>0</v>
      </c>
    </row>
    <row r="47" spans="1:5" hidden="1">
      <c r="A47" s="94" t="s">
        <v>37</v>
      </c>
      <c r="B47" s="11" t="s">
        <v>125</v>
      </c>
      <c r="C47" s="10">
        <f t="shared" si="9"/>
        <v>0</v>
      </c>
      <c r="D47" s="10"/>
      <c r="E47" s="63"/>
    </row>
    <row r="48" spans="1:5" hidden="1">
      <c r="A48" s="94" t="s">
        <v>40</v>
      </c>
      <c r="B48" s="15" t="s">
        <v>118</v>
      </c>
      <c r="C48" s="10">
        <f t="shared" si="9"/>
        <v>0</v>
      </c>
      <c r="D48" s="10"/>
      <c r="E48" s="63"/>
    </row>
    <row r="49" spans="1:5">
      <c r="A49" s="94" t="s">
        <v>37</v>
      </c>
      <c r="B49" s="12" t="s">
        <v>142</v>
      </c>
      <c r="C49" s="10">
        <f t="shared" si="9"/>
        <v>63000</v>
      </c>
      <c r="D49" s="10">
        <f>'Phụ lục số 2'!N13</f>
        <v>0</v>
      </c>
      <c r="E49" s="63">
        <f>'Phụ lục số 2'!O13</f>
        <v>63000</v>
      </c>
    </row>
    <row r="50" spans="1:5">
      <c r="A50" s="91">
        <v>2</v>
      </c>
      <c r="B50" s="44" t="s">
        <v>58</v>
      </c>
      <c r="C50" s="45">
        <f>D50+E50</f>
        <v>4738340</v>
      </c>
      <c r="D50" s="45">
        <f>'Phụ lục số 2'!N15</f>
        <v>1584500</v>
      </c>
      <c r="E50" s="92">
        <f>'Phụ lục số 2'!O15</f>
        <v>3153840</v>
      </c>
    </row>
    <row r="51" spans="1:5">
      <c r="A51" s="91">
        <v>3</v>
      </c>
      <c r="B51" s="44" t="s">
        <v>59</v>
      </c>
      <c r="C51" s="45">
        <f>SUM(C52:C54)</f>
        <v>2491621</v>
      </c>
      <c r="D51" s="45">
        <f t="shared" ref="D51:E51" si="10">SUM(D52:D54)</f>
        <v>2491621</v>
      </c>
      <c r="E51" s="92">
        <f t="shared" si="10"/>
        <v>0</v>
      </c>
    </row>
    <row r="52" spans="1:5">
      <c r="A52" s="93" t="s">
        <v>34</v>
      </c>
      <c r="B52" s="46" t="s">
        <v>94</v>
      </c>
      <c r="C52" s="31">
        <f t="shared" ref="C52:C53" si="11">D52+E52</f>
        <v>2417971</v>
      </c>
      <c r="D52" s="31">
        <f>'Phụ lục số 2'!N36</f>
        <v>2417971</v>
      </c>
      <c r="E52" s="64">
        <f>'Phụ lục số 2'!O36</f>
        <v>0</v>
      </c>
    </row>
    <row r="53" spans="1:5">
      <c r="A53" s="93" t="s">
        <v>35</v>
      </c>
      <c r="B53" s="46" t="s">
        <v>95</v>
      </c>
      <c r="C53" s="31">
        <f t="shared" si="11"/>
        <v>73650</v>
      </c>
      <c r="D53" s="31">
        <f>'Phụ lục số 2'!N37</f>
        <v>73650</v>
      </c>
      <c r="E53" s="64">
        <f>'Phụ lục số 2'!O37</f>
        <v>0</v>
      </c>
    </row>
    <row r="54" spans="1:5">
      <c r="A54" s="93" t="s">
        <v>36</v>
      </c>
      <c r="B54" s="46" t="s">
        <v>102</v>
      </c>
      <c r="C54" s="31">
        <f t="shared" ref="C54:C62" si="12">D54+E54</f>
        <v>0</v>
      </c>
      <c r="D54" s="31">
        <f>'Phụ lục số 2'!N39-'Phụ lục số 2'!N39</f>
        <v>0</v>
      </c>
      <c r="E54" s="64">
        <f>'Phụ lục số 2'!O39</f>
        <v>0</v>
      </c>
    </row>
    <row r="55" spans="1:5">
      <c r="A55" s="91">
        <v>4</v>
      </c>
      <c r="B55" s="44" t="s">
        <v>60</v>
      </c>
      <c r="C55" s="45">
        <f t="shared" si="12"/>
        <v>0</v>
      </c>
      <c r="D55" s="45">
        <f>'Phụ lục số 2'!N29</f>
        <v>0</v>
      </c>
      <c r="E55" s="92">
        <f>'Phụ lục số 2'!O29</f>
        <v>0</v>
      </c>
    </row>
    <row r="56" spans="1:5">
      <c r="A56" s="91">
        <v>5</v>
      </c>
      <c r="B56" s="44" t="s">
        <v>61</v>
      </c>
      <c r="C56" s="45">
        <f t="shared" si="12"/>
        <v>192000.1</v>
      </c>
      <c r="D56" s="45">
        <f>'Phụ lục số 2'!N30</f>
        <v>95000.4</v>
      </c>
      <c r="E56" s="92">
        <f>'Phụ lục số 2'!O30</f>
        <v>96999.700000000012</v>
      </c>
    </row>
    <row r="57" spans="1:5">
      <c r="A57" s="91">
        <v>6</v>
      </c>
      <c r="B57" s="44" t="s">
        <v>152</v>
      </c>
      <c r="C57" s="45">
        <f t="shared" si="12"/>
        <v>431000</v>
      </c>
      <c r="D57" s="45">
        <f>'Phụ lục số 2'!N31</f>
        <v>89700</v>
      </c>
      <c r="E57" s="92">
        <f>'Phụ lục số 2'!O31</f>
        <v>341300</v>
      </c>
    </row>
    <row r="58" spans="1:5">
      <c r="A58" s="91">
        <v>7</v>
      </c>
      <c r="B58" s="44" t="s">
        <v>143</v>
      </c>
      <c r="C58" s="45">
        <f t="shared" si="12"/>
        <v>357482</v>
      </c>
      <c r="D58" s="45">
        <f>'Phụ lục số 2'!N32</f>
        <v>0</v>
      </c>
      <c r="E58" s="92">
        <f>'Phụ lục số 2'!O32</f>
        <v>357482</v>
      </c>
    </row>
    <row r="59" spans="1:5">
      <c r="A59" s="91">
        <v>8</v>
      </c>
      <c r="B59" s="44" t="s">
        <v>126</v>
      </c>
      <c r="C59" s="45">
        <f t="shared" si="12"/>
        <v>0</v>
      </c>
      <c r="D59" s="45">
        <f>'Phụ lục số 2'!N34</f>
        <v>0</v>
      </c>
      <c r="E59" s="92">
        <f>'Phụ lục số 2'!O34</f>
        <v>0</v>
      </c>
    </row>
    <row r="60" spans="1:5">
      <c r="A60" s="91">
        <v>9</v>
      </c>
      <c r="B60" s="44" t="s">
        <v>133</v>
      </c>
      <c r="C60" s="45">
        <f t="shared" si="12"/>
        <v>15500</v>
      </c>
      <c r="D60" s="45">
        <f>'Phụ lục số 2'!N39</f>
        <v>15500</v>
      </c>
      <c r="E60" s="92"/>
    </row>
    <row r="61" spans="1:5">
      <c r="A61" s="91">
        <v>10</v>
      </c>
      <c r="B61" s="44" t="s">
        <v>144</v>
      </c>
      <c r="C61" s="45">
        <f t="shared" si="12"/>
        <v>0</v>
      </c>
      <c r="D61" s="45">
        <v>0</v>
      </c>
      <c r="E61" s="92">
        <v>0</v>
      </c>
    </row>
    <row r="62" spans="1:5" s="48" customFormat="1" thickBot="1">
      <c r="A62" s="95"/>
      <c r="B62" s="96" t="s">
        <v>62</v>
      </c>
      <c r="C62" s="97">
        <f t="shared" si="12"/>
        <v>-175691.6799999997</v>
      </c>
      <c r="D62" s="97">
        <f>D5-D20</f>
        <v>4636511.1950000003</v>
      </c>
      <c r="E62" s="98">
        <f>E5-E20</f>
        <v>-4812202.875</v>
      </c>
    </row>
    <row r="68" spans="3:5">
      <c r="C68" s="55">
        <f>-'Phụ lục số 1'!AC10</f>
        <v>294299.2666666666</v>
      </c>
      <c r="E68" s="55">
        <f>4748721</f>
        <v>4748721</v>
      </c>
    </row>
    <row r="69" spans="3:5">
      <c r="C69" s="55">
        <f>-C62</f>
        <v>175691.6799999997</v>
      </c>
      <c r="E69" s="58">
        <f>E68-'PL3-CĐ6Thang'!E62</f>
        <v>4812202.875</v>
      </c>
    </row>
    <row r="70" spans="3:5">
      <c r="C70" s="55">
        <f>C68-C69</f>
        <v>118607.5866666669</v>
      </c>
      <c r="D70" s="54"/>
      <c r="E70" s="55">
        <f>'Phụ lục số 2'!P7</f>
        <v>17291694.066666666</v>
      </c>
    </row>
    <row r="71" spans="3:5">
      <c r="C71" s="55">
        <f>-C70</f>
        <v>-118607.5866666669</v>
      </c>
      <c r="E71" s="54">
        <f>C20</f>
        <v>17234487</v>
      </c>
    </row>
    <row r="72" spans="3:5">
      <c r="C72" s="58"/>
      <c r="E72" s="58">
        <f>E70-E71</f>
        <v>57207.066666666418</v>
      </c>
    </row>
  </sheetData>
  <mergeCells count="2">
    <mergeCell ref="A1:E1"/>
    <mergeCell ref="A2:E2"/>
  </mergeCells>
  <hyperlinks>
    <hyperlink ref="A4" location="'List danh mục'!A1" display="SỐ TT"/>
  </hyperlinks>
  <printOptions horizontalCentered="1"/>
  <pageMargins left="0" right="0" top="0.8" bottom="0" header="0" footer="0"/>
  <pageSetup paperSize="9" scale="70" orientation="portrait" r:id="rId1"/>
  <headerFooter alignWithMargins="0">
    <oddHeader xml:space="preserve">&amp;R&amp;"Times New Roman,Bold"Phụ lục số 3 CĐ - </oddHeader>
    <oddFooter>&amp;C&amp;P/&amp;N</oddFooter>
  </headerFooter>
  <legacy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F50"/>
  <sheetViews>
    <sheetView topLeftCell="A7" workbookViewId="0">
      <selection activeCell="Y35" sqref="Y35"/>
    </sheetView>
  </sheetViews>
  <sheetFormatPr defaultColWidth="8.59765625" defaultRowHeight="18"/>
  <cols>
    <col min="1" max="1" width="5.69921875" style="37" customWidth="1"/>
    <col min="2" max="2" width="75.69921875" style="37" customWidth="1"/>
    <col min="3" max="3" width="16.69921875" style="37" customWidth="1"/>
    <col min="4" max="4" width="8.59765625" style="37"/>
    <col min="5" max="5" width="8.8984375" style="37" bestFit="1" customWidth="1"/>
    <col min="6" max="6" width="10.09765625" style="37" bestFit="1" customWidth="1"/>
    <col min="7" max="16384" width="8.59765625" style="37"/>
  </cols>
  <sheetData>
    <row r="1" spans="1:3" s="2" customFormat="1" ht="17.399999999999999" hidden="1">
      <c r="B1" s="2208" t="s">
        <v>1368</v>
      </c>
    </row>
    <row r="2" spans="1:3" s="2" customFormat="1" ht="17.399999999999999" hidden="1">
      <c r="B2" s="2208" t="s">
        <v>1369</v>
      </c>
    </row>
    <row r="3" spans="1:3" s="2" customFormat="1" ht="17.399999999999999" hidden="1">
      <c r="C3" s="38"/>
    </row>
    <row r="4" spans="1:3">
      <c r="A4" s="4316" t="s">
        <v>2348</v>
      </c>
      <c r="B4" s="4299"/>
      <c r="C4" s="4299"/>
    </row>
    <row r="5" spans="1:3">
      <c r="A5" s="4727" t="s">
        <v>2347</v>
      </c>
      <c r="B5" s="4727"/>
      <c r="C5" s="4727"/>
    </row>
    <row r="6" spans="1:3">
      <c r="A6" s="20"/>
      <c r="B6" s="20"/>
      <c r="C6" s="20"/>
    </row>
    <row r="7" spans="1:3" ht="18.600000000000001" thickBot="1">
      <c r="A7" s="1425"/>
      <c r="B7" s="4729" t="s">
        <v>64</v>
      </c>
      <c r="C7" s="4729"/>
    </row>
    <row r="8" spans="1:3" s="70" customFormat="1" ht="35.4" thickTop="1">
      <c r="A8" s="2925" t="s">
        <v>1370</v>
      </c>
      <c r="B8" s="2926" t="s">
        <v>791</v>
      </c>
      <c r="C8" s="2927" t="s">
        <v>1700</v>
      </c>
    </row>
    <row r="9" spans="1:3" s="48" customFormat="1" ht="19.95" customHeight="1">
      <c r="A9" s="2928" t="s">
        <v>7</v>
      </c>
      <c r="B9" s="2929" t="s">
        <v>1371</v>
      </c>
      <c r="C9" s="2978">
        <f>SUM(C10,C14)</f>
        <v>9266000</v>
      </c>
    </row>
    <row r="10" spans="1:3" s="2" customFormat="1" ht="19.95" customHeight="1">
      <c r="A10" s="2930" t="s">
        <v>9</v>
      </c>
      <c r="B10" s="2055" t="s">
        <v>10</v>
      </c>
      <c r="C10" s="2979">
        <f>'Phụ lục số 1'!AE9</f>
        <v>9066000</v>
      </c>
    </row>
    <row r="11" spans="1:3" ht="19.95" customHeight="1">
      <c r="A11" s="2931"/>
      <c r="B11" s="1438" t="s">
        <v>718</v>
      </c>
      <c r="C11" s="2980"/>
    </row>
    <row r="12" spans="1:3" s="47" customFormat="1" ht="19.95" customHeight="1">
      <c r="A12" s="2932" t="s">
        <v>137</v>
      </c>
      <c r="B12" s="1440" t="s">
        <v>357</v>
      </c>
      <c r="C12" s="2981">
        <f>'Phụ lục số 1'!AE40</f>
        <v>1770000</v>
      </c>
    </row>
    <row r="13" spans="1:3" s="47" customFormat="1" ht="19.95" customHeight="1">
      <c r="A13" s="2932" t="s">
        <v>137</v>
      </c>
      <c r="B13" s="1440" t="s">
        <v>101</v>
      </c>
      <c r="C13" s="2981">
        <f>'Phụ lục số 1'!AE48</f>
        <v>1950000</v>
      </c>
    </row>
    <row r="14" spans="1:3" s="2" customFormat="1" ht="19.95" customHeight="1">
      <c r="A14" s="2930" t="s">
        <v>20</v>
      </c>
      <c r="B14" s="2055" t="s">
        <v>1372</v>
      </c>
      <c r="C14" s="2979">
        <f>'Phụ lục số 1'!AE49</f>
        <v>200000</v>
      </c>
    </row>
    <row r="15" spans="1:3" s="48" customFormat="1" ht="19.95" customHeight="1">
      <c r="A15" s="2933" t="s">
        <v>22</v>
      </c>
      <c r="B15" s="2256" t="s">
        <v>1373</v>
      </c>
      <c r="C15" s="2945">
        <f>SUM(C16,C19,C23,C22)</f>
        <v>18627409</v>
      </c>
    </row>
    <row r="16" spans="1:3" s="2" customFormat="1" ht="19.95" customHeight="1">
      <c r="A16" s="2930" t="s">
        <v>9</v>
      </c>
      <c r="B16" s="2055" t="s">
        <v>1374</v>
      </c>
      <c r="C16" s="2979">
        <f>'Phụ lục số 1'!AH8</f>
        <v>8484930</v>
      </c>
    </row>
    <row r="17" spans="1:6" s="47" customFormat="1" ht="19.95" customHeight="1">
      <c r="A17" s="2932" t="s">
        <v>34</v>
      </c>
      <c r="B17" s="1440" t="s">
        <v>1269</v>
      </c>
      <c r="C17" s="2981">
        <f>C16-C18</f>
        <v>4901430</v>
      </c>
    </row>
    <row r="18" spans="1:6" s="47" customFormat="1" ht="19.95" customHeight="1">
      <c r="A18" s="2934" t="s">
        <v>35</v>
      </c>
      <c r="B18" s="2935" t="s">
        <v>1375</v>
      </c>
      <c r="C18" s="2981">
        <f>'Phụ lục số 1'!AH12+'Phụ lục số 1'!AH13+'Phụ lục số 1'!AH14+'Phụ lục số 1'!AH18+'Phụ lục số 1'!AH19+'Phụ lục số 1'!AH20+'Phụ lục số 1'!AH24+'Phụ lục số 1'!AH25+'Phụ lục số 1'!AH29+'Phụ lục số 1'!AH30+'Phụ lục số 1'!AH31+'Phụ lục số 1'!AH37+'Phụ lục số 1'!AH38</f>
        <v>3583500</v>
      </c>
    </row>
    <row r="19" spans="1:6" s="2" customFormat="1" ht="19.95" customHeight="1">
      <c r="A19" s="2930" t="s">
        <v>20</v>
      </c>
      <c r="B19" s="2055" t="s">
        <v>1271</v>
      </c>
      <c r="C19" s="2979">
        <f>SUM(C20:C21)</f>
        <v>9256479</v>
      </c>
    </row>
    <row r="20" spans="1:6" s="47" customFormat="1" ht="19.95" customHeight="1">
      <c r="A20" s="2932" t="s">
        <v>34</v>
      </c>
      <c r="B20" s="1440" t="s">
        <v>238</v>
      </c>
      <c r="C20" s="2981">
        <f>'Phụ lục số 1'!AH53</f>
        <v>6617188</v>
      </c>
    </row>
    <row r="21" spans="1:6" s="47" customFormat="1" ht="19.95" customHeight="1">
      <c r="A21" s="2932" t="s">
        <v>35</v>
      </c>
      <c r="B21" s="1440" t="s">
        <v>239</v>
      </c>
      <c r="C21" s="2981">
        <f>'Phụ lục số 1'!AH55</f>
        <v>2639291</v>
      </c>
    </row>
    <row r="22" spans="1:6" s="47" customFormat="1" ht="19.95" customHeight="1">
      <c r="A22" s="2930" t="s">
        <v>49</v>
      </c>
      <c r="B22" s="2055" t="s">
        <v>1702</v>
      </c>
      <c r="C22" s="2979">
        <f>'Phụ lục số 1'!AH59</f>
        <v>886000</v>
      </c>
    </row>
    <row r="23" spans="1:6" s="2" customFormat="1" ht="19.95" customHeight="1">
      <c r="A23" s="2930" t="s">
        <v>50</v>
      </c>
      <c r="B23" s="2055" t="s">
        <v>1376</v>
      </c>
      <c r="C23" s="2979">
        <f>'Phụ lục số 1'!AH60</f>
        <v>0</v>
      </c>
    </row>
    <row r="24" spans="1:6" s="48" customFormat="1" ht="19.95" customHeight="1">
      <c r="A24" s="2933" t="s">
        <v>26</v>
      </c>
      <c r="B24" s="2256" t="s">
        <v>1377</v>
      </c>
      <c r="C24" s="2945">
        <f>SUM(C25,C41,C44)</f>
        <v>18627408.915999997</v>
      </c>
      <c r="F24" s="2215"/>
    </row>
    <row r="25" spans="1:6" s="2" customFormat="1" ht="19.95" customHeight="1">
      <c r="A25" s="2930" t="s">
        <v>9</v>
      </c>
      <c r="B25" s="2055" t="s">
        <v>88</v>
      </c>
      <c r="C25" s="2979">
        <f>SUM(C26,C32,C37,C38,C39,C40)</f>
        <v>16638432.915999997</v>
      </c>
    </row>
    <row r="26" spans="1:6" s="2" customFormat="1" ht="19.95" customHeight="1">
      <c r="A26" s="2930">
        <v>1</v>
      </c>
      <c r="B26" s="2055" t="s">
        <v>880</v>
      </c>
      <c r="C26" s="2979">
        <f>'Phụ lục số 2'!X9</f>
        <v>4923186.4089698764</v>
      </c>
      <c r="D26" s="2228"/>
      <c r="E26" s="2228"/>
    </row>
    <row r="27" spans="1:6" s="47" customFormat="1" ht="19.95" customHeight="1">
      <c r="A27" s="2932" t="s">
        <v>34</v>
      </c>
      <c r="B27" s="1440" t="s">
        <v>1305</v>
      </c>
      <c r="C27" s="2981">
        <f>'Phụ lục số 2'!X10</f>
        <v>1143186.4089698761</v>
      </c>
    </row>
    <row r="28" spans="1:6" s="47" customFormat="1" ht="19.95" customHeight="1">
      <c r="A28" s="2932" t="s">
        <v>35</v>
      </c>
      <c r="B28" s="1440" t="s">
        <v>391</v>
      </c>
      <c r="C28" s="2981">
        <f>'Phụ lục số 2'!X11</f>
        <v>1770000</v>
      </c>
    </row>
    <row r="29" spans="1:6" s="47" customFormat="1" ht="19.95" customHeight="1">
      <c r="A29" s="2932" t="s">
        <v>36</v>
      </c>
      <c r="B29" s="1440" t="s">
        <v>1378</v>
      </c>
      <c r="C29" s="2981">
        <f>'Phụ lục số 2'!X12</f>
        <v>1950000</v>
      </c>
    </row>
    <row r="30" spans="1:6" s="47" customFormat="1" ht="19.95" customHeight="1">
      <c r="A30" s="2932" t="s">
        <v>37</v>
      </c>
      <c r="B30" s="1443" t="s">
        <v>1792</v>
      </c>
      <c r="C30" s="2981">
        <f>'Phụ lục số 2'!X13</f>
        <v>0</v>
      </c>
    </row>
    <row r="31" spans="1:6" s="47" customFormat="1" ht="19.95" customHeight="1">
      <c r="A31" s="2932" t="s">
        <v>1327</v>
      </c>
      <c r="B31" s="1441" t="str">
        <f>'Phụ lục số 2'!B14</f>
        <v>Chi đầu tư phát triển khác (Ủy thác qua NH Chính sách xã hội chi nhánh tỉnh Đồng Tháp)</v>
      </c>
      <c r="C31" s="2981">
        <f>'Phụ lục số 2'!X14</f>
        <v>60000</v>
      </c>
    </row>
    <row r="32" spans="1:6" s="2" customFormat="1" ht="19.95" customHeight="1">
      <c r="A32" s="2930">
        <v>2</v>
      </c>
      <c r="B32" s="2055" t="s">
        <v>58</v>
      </c>
      <c r="C32" s="2979">
        <f>'Phụ lục số 2'!X15</f>
        <v>10664978.394711081</v>
      </c>
    </row>
    <row r="33" spans="1:3" ht="19.95" customHeight="1">
      <c r="A33" s="2931" t="s">
        <v>137</v>
      </c>
      <c r="B33" s="1438" t="s">
        <v>299</v>
      </c>
      <c r="C33" s="2980"/>
    </row>
    <row r="34" spans="1:3" s="47" customFormat="1" ht="19.95" customHeight="1">
      <c r="A34" s="2932" t="s">
        <v>34</v>
      </c>
      <c r="B34" s="1440" t="s">
        <v>1379</v>
      </c>
      <c r="C34" s="2981">
        <f>'Phụ lục số 2'!X20</f>
        <v>4797945.7831797441</v>
      </c>
    </row>
    <row r="35" spans="1:3" s="47" customFormat="1" ht="19.95" customHeight="1">
      <c r="A35" s="2932" t="s">
        <v>35</v>
      </c>
      <c r="B35" s="1440" t="s">
        <v>1380</v>
      </c>
      <c r="C35" s="2981">
        <f>'Phụ lục số 2'!X19</f>
        <v>31218</v>
      </c>
    </row>
    <row r="36" spans="1:3" s="47" customFormat="1" ht="19.95" customHeight="1">
      <c r="A36" s="2932" t="s">
        <v>37</v>
      </c>
      <c r="B36" s="1440" t="s">
        <v>301</v>
      </c>
      <c r="C36" s="2981">
        <f>C32-C34-C35</f>
        <v>5835814.6115313368</v>
      </c>
    </row>
    <row r="37" spans="1:3" s="2" customFormat="1" ht="19.95" customHeight="1">
      <c r="A37" s="2930">
        <v>3</v>
      </c>
      <c r="B37" s="2055" t="s">
        <v>1381</v>
      </c>
      <c r="C37" s="2979">
        <f>'Phụ lục số 2'!X29</f>
        <v>2000</v>
      </c>
    </row>
    <row r="38" spans="1:3" s="2" customFormat="1" ht="19.95" customHeight="1">
      <c r="A38" s="2930">
        <v>4</v>
      </c>
      <c r="B38" s="2055" t="s">
        <v>87</v>
      </c>
      <c r="C38" s="2979">
        <f>'Phụ lục số 2'!X30</f>
        <v>327868.91231904214</v>
      </c>
    </row>
    <row r="39" spans="1:3" s="2" customFormat="1" ht="19.95" customHeight="1">
      <c r="A39" s="2930">
        <v>5</v>
      </c>
      <c r="B39" s="2055" t="s">
        <v>302</v>
      </c>
      <c r="C39" s="2979">
        <f>'Phụ lục số 2'!X32</f>
        <v>717399.2</v>
      </c>
    </row>
    <row r="40" spans="1:3" s="2" customFormat="1" ht="19.95" customHeight="1">
      <c r="A40" s="2930">
        <v>6</v>
      </c>
      <c r="B40" s="76" t="s">
        <v>2071</v>
      </c>
      <c r="C40" s="2979">
        <f>'Phụ lục số 2'!X34</f>
        <v>3000</v>
      </c>
    </row>
    <row r="41" spans="1:3" s="2" customFormat="1" ht="19.95" customHeight="1">
      <c r="A41" s="2930" t="s">
        <v>20</v>
      </c>
      <c r="B41" s="1434" t="s">
        <v>2545</v>
      </c>
      <c r="C41" s="2979">
        <f>SUM(C42:C43)</f>
        <v>1988976</v>
      </c>
    </row>
    <row r="42" spans="1:3" s="2" customFormat="1" ht="19.95" customHeight="1">
      <c r="A42" s="2931">
        <v>1</v>
      </c>
      <c r="B42" s="206" t="s">
        <v>1306</v>
      </c>
      <c r="C42" s="2980">
        <f>'Phụ lục số 2'!X36</f>
        <v>1814491</v>
      </c>
    </row>
    <row r="43" spans="1:3" s="2" customFormat="1" ht="19.95" customHeight="1">
      <c r="A43" s="2931">
        <v>2</v>
      </c>
      <c r="B43" s="206" t="s">
        <v>92</v>
      </c>
      <c r="C43" s="2980">
        <f>'Phụ lục số 2'!X37</f>
        <v>174485</v>
      </c>
    </row>
    <row r="44" spans="1:3" s="2" customFormat="1" ht="19.95" customHeight="1" thickBot="1">
      <c r="A44" s="2936" t="s">
        <v>49</v>
      </c>
      <c r="B44" s="2937" t="s">
        <v>133</v>
      </c>
      <c r="C44" s="2982">
        <f>'Phụ lục số 2'!X39</f>
        <v>0</v>
      </c>
    </row>
    <row r="45" spans="1:3" ht="19.95" customHeight="1" thickTop="1">
      <c r="B45" s="4728" t="s">
        <v>2639</v>
      </c>
      <c r="C45" s="4728"/>
    </row>
    <row r="50" spans="3:3">
      <c r="C50" s="162"/>
    </row>
  </sheetData>
  <mergeCells count="4">
    <mergeCell ref="A4:C4"/>
    <mergeCell ref="A5:C5"/>
    <mergeCell ref="B45:C45"/>
    <mergeCell ref="B7:C7"/>
  </mergeCells>
  <hyperlinks>
    <hyperlink ref="A8" location="'List danh mục'!A1" display="'List danh mục'!A1"/>
  </hyperlinks>
  <printOptions horizontalCentered="1"/>
  <pageMargins left="0" right="0" top="0.59055118110236227" bottom="0.19685039370078741" header="0.19685039370078741" footer="0.19685039370078741"/>
  <pageSetup paperSize="9" scale="90" orientation="portrait" r:id="rId1"/>
  <headerFooter>
    <oddHeader>&amp;R&amp;A</oddHeader>
    <oddFooter>&amp;C&amp;P/&amp;N</oddFooter>
  </headerFooter>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00FF"/>
  </sheetPr>
  <dimension ref="A1:F51"/>
  <sheetViews>
    <sheetView topLeftCell="A3" workbookViewId="0">
      <selection activeCell="Y35" sqref="Y35"/>
    </sheetView>
  </sheetViews>
  <sheetFormatPr defaultColWidth="8.59765625" defaultRowHeight="18"/>
  <cols>
    <col min="1" max="1" width="5.5" style="37" customWidth="1"/>
    <col min="2" max="2" width="73.3984375" style="37" customWidth="1"/>
    <col min="3" max="3" width="18.69921875" style="37" customWidth="1"/>
    <col min="4" max="4" width="9.5" style="37" customWidth="1"/>
    <col min="5" max="5" width="8.8984375" style="37" bestFit="1" customWidth="1"/>
    <col min="6" max="6" width="11.19921875" style="37" customWidth="1"/>
    <col min="7" max="16384" width="8.59765625" style="37"/>
  </cols>
  <sheetData>
    <row r="1" spans="1:4" s="2" customFormat="1" ht="17.399999999999999" hidden="1">
      <c r="A1" s="4730" t="s">
        <v>2538</v>
      </c>
      <c r="B1" s="4730"/>
      <c r="C1" s="4730"/>
    </row>
    <row r="2" spans="1:4" hidden="1">
      <c r="A2" s="2"/>
      <c r="B2" s="2"/>
      <c r="C2" s="2"/>
    </row>
    <row r="3" spans="1:4">
      <c r="A3" s="4475" t="s">
        <v>2351</v>
      </c>
      <c r="B3" s="4191"/>
      <c r="C3" s="4191"/>
    </row>
    <row r="4" spans="1:4">
      <c r="A4" s="4514" t="str">
        <f>'Phụ lục 1-HĐND'!A5:C5</f>
        <v>(Kèm Theo Nghị quyết số         /NQ-HĐND ngày     /12/2023 của Hội đồng nhân dân Tỉnh)</v>
      </c>
      <c r="B4" s="4514"/>
      <c r="C4" s="4514"/>
    </row>
    <row r="5" spans="1:4">
      <c r="A5" s="2207"/>
      <c r="B5" s="2207"/>
      <c r="C5" s="2207"/>
    </row>
    <row r="6" spans="1:4" ht="18.600000000000001" thickBot="1">
      <c r="C6" s="39" t="s">
        <v>64</v>
      </c>
    </row>
    <row r="7" spans="1:4" s="70" customFormat="1" ht="34.200000000000003" customHeight="1" thickTop="1">
      <c r="A7" s="2920" t="s">
        <v>1370</v>
      </c>
      <c r="B7" s="2921" t="s">
        <v>52</v>
      </c>
      <c r="C7" s="2922" t="s">
        <v>1700</v>
      </c>
    </row>
    <row r="8" spans="1:4" s="48" customFormat="1" ht="15.6" customHeight="1">
      <c r="A8" s="2938"/>
      <c r="B8" s="2209" t="s">
        <v>1382</v>
      </c>
      <c r="C8" s="2946">
        <f>SUM(C9,C12,C16,C15)</f>
        <v>13802329</v>
      </c>
      <c r="D8" s="2210"/>
    </row>
    <row r="9" spans="1:4" s="48" customFormat="1" ht="16.2" customHeight="1">
      <c r="A9" s="2924" t="s">
        <v>9</v>
      </c>
      <c r="B9" s="2211" t="s">
        <v>1383</v>
      </c>
      <c r="C9" s="2947">
        <f>'Phụ lục số 1'!AI8</f>
        <v>4545850</v>
      </c>
    </row>
    <row r="10" spans="1:4" s="47" customFormat="1" ht="16.2" customHeight="1">
      <c r="A10" s="2923">
        <v>1</v>
      </c>
      <c r="B10" s="2213" t="s">
        <v>1384</v>
      </c>
      <c r="C10" s="2948">
        <f>C9-C11</f>
        <v>2914430</v>
      </c>
    </row>
    <row r="11" spans="1:4" s="47" customFormat="1" ht="16.2" customHeight="1">
      <c r="A11" s="2923">
        <v>2</v>
      </c>
      <c r="B11" s="2214" t="s">
        <v>1270</v>
      </c>
      <c r="C11" s="2948">
        <f>'Phụ lục số 1'!AI12+'Phụ lục số 1'!AI13+'Phụ lục số 1'!AI14+'Phụ lục số 1'!AI18+'Phụ lục số 1'!AI19+'Phụ lục số 1'!AI20+'Phụ lục số 1'!AI24+'Phụ lục số 1'!AI25+'Phụ lục số 1'!AI29+'Phụ lục số 1'!AI30+'Phụ lục số 1'!AI31+'Phụ lục số 1'!AI37+'Phụ lục số 1'!AI38</f>
        <v>1631420</v>
      </c>
    </row>
    <row r="12" spans="1:4" s="48" customFormat="1" ht="16.2" customHeight="1">
      <c r="A12" s="2924" t="s">
        <v>20</v>
      </c>
      <c r="B12" s="2211" t="s">
        <v>1385</v>
      </c>
      <c r="C12" s="2947">
        <f>SUM(C13:C14)</f>
        <v>9256479</v>
      </c>
      <c r="D12" s="2210"/>
    </row>
    <row r="13" spans="1:4" s="47" customFormat="1" ht="16.2" customHeight="1">
      <c r="A13" s="2923">
        <v>1</v>
      </c>
      <c r="B13" s="2213" t="s">
        <v>238</v>
      </c>
      <c r="C13" s="2948">
        <f>'Phụ lục số 1'!AI53</f>
        <v>6617188</v>
      </c>
    </row>
    <row r="14" spans="1:4" s="47" customFormat="1" ht="16.2" customHeight="1">
      <c r="A14" s="2923">
        <v>2</v>
      </c>
      <c r="B14" s="2213" t="s">
        <v>25</v>
      </c>
      <c r="C14" s="2948">
        <f>'Phụ lục số 1'!AI55</f>
        <v>2639291</v>
      </c>
    </row>
    <row r="15" spans="1:4" s="49" customFormat="1" ht="16.2" customHeight="1">
      <c r="A15" s="2924" t="s">
        <v>49</v>
      </c>
      <c r="B15" s="2211" t="s">
        <v>1702</v>
      </c>
      <c r="C15" s="2947">
        <f>'Phụ lục số 1'!AI59</f>
        <v>0</v>
      </c>
    </row>
    <row r="16" spans="1:4" s="48" customFormat="1" ht="16.2" customHeight="1">
      <c r="A16" s="2924" t="s">
        <v>50</v>
      </c>
      <c r="B16" s="29" t="s">
        <v>132</v>
      </c>
      <c r="C16" s="2947">
        <f>'Phụ lục số 1'!AI60</f>
        <v>0</v>
      </c>
    </row>
    <row r="17" spans="1:6" s="48" customFormat="1" ht="16.2" customHeight="1">
      <c r="A17" s="2924" t="s">
        <v>22</v>
      </c>
      <c r="B17" s="2211" t="s">
        <v>1386</v>
      </c>
      <c r="C17" s="2945">
        <f>SUM(C18,C46,C47,C48)</f>
        <v>13802329.316</v>
      </c>
      <c r="D17" s="2210"/>
      <c r="F17" s="2847"/>
    </row>
    <row r="18" spans="1:6" s="2217" customFormat="1" ht="16.2" customHeight="1">
      <c r="A18" s="2939" t="s">
        <v>9</v>
      </c>
      <c r="B18" s="2216" t="s">
        <v>1387</v>
      </c>
      <c r="C18" s="2949">
        <f>SUM(C19,C25,C42,C43,C44,C45)</f>
        <v>6730029.9680000003</v>
      </c>
      <c r="D18" s="33"/>
      <c r="F18" s="2848"/>
    </row>
    <row r="19" spans="1:6" s="2217" customFormat="1" ht="16.2" customHeight="1">
      <c r="A19" s="2940">
        <v>1</v>
      </c>
      <c r="B19" s="29" t="s">
        <v>31</v>
      </c>
      <c r="C19" s="2949">
        <f>'Phụ lục số 2'!AA9</f>
        <v>3199186</v>
      </c>
      <c r="D19" s="33"/>
      <c r="F19" s="2848"/>
    </row>
    <row r="20" spans="1:6" s="2219" customFormat="1" ht="16.2" customHeight="1">
      <c r="A20" s="2941" t="s">
        <v>34</v>
      </c>
      <c r="B20" s="2213" t="s">
        <v>1305</v>
      </c>
      <c r="C20" s="2950">
        <f>'Phụ lục số 2'!AA10</f>
        <v>562186</v>
      </c>
      <c r="D20" s="2218"/>
      <c r="F20" s="2849"/>
    </row>
    <row r="21" spans="1:6" s="2219" customFormat="1" ht="16.2" customHeight="1">
      <c r="A21" s="2941" t="s">
        <v>35</v>
      </c>
      <c r="B21" s="2213" t="s">
        <v>391</v>
      </c>
      <c r="C21" s="2950">
        <f>'Phụ lục số 2'!AA11</f>
        <v>627000</v>
      </c>
      <c r="D21" s="2218"/>
      <c r="F21" s="2849"/>
    </row>
    <row r="22" spans="1:6" s="2219" customFormat="1" ht="16.2" customHeight="1">
      <c r="A22" s="2941" t="s">
        <v>36</v>
      </c>
      <c r="B22" s="2213" t="s">
        <v>1378</v>
      </c>
      <c r="C22" s="2950">
        <f>'Phụ lục số 2'!AA12</f>
        <v>1950000</v>
      </c>
      <c r="D22" s="2218"/>
    </row>
    <row r="23" spans="1:6" s="2219" customFormat="1" ht="16.2" customHeight="1">
      <c r="A23" s="2923" t="s">
        <v>37</v>
      </c>
      <c r="B23" s="2214" t="s">
        <v>1792</v>
      </c>
      <c r="C23" s="2950">
        <f>'Phụ lục số 2'!AA13</f>
        <v>0</v>
      </c>
      <c r="D23" s="2218"/>
    </row>
    <row r="24" spans="1:6" s="2219" customFormat="1" ht="16.2" customHeight="1">
      <c r="A24" s="2923" t="s">
        <v>1327</v>
      </c>
      <c r="B24" s="1400" t="str">
        <f>'Phụ lục 4-HĐND'!B18</f>
        <v>Chi đầu tư phát triển khác (Ủy thác qua NH Chính sách xã hội chi nhánh tỉnh Đồng Tháp)</v>
      </c>
      <c r="C24" s="2950">
        <f>'Phụ lục số 2'!AA14</f>
        <v>60000</v>
      </c>
      <c r="D24" s="2218"/>
    </row>
    <row r="25" spans="1:6" s="2217" customFormat="1" ht="16.2" customHeight="1">
      <c r="A25" s="2940">
        <v>2</v>
      </c>
      <c r="B25" s="29" t="s">
        <v>58</v>
      </c>
      <c r="C25" s="2949">
        <f>SUM(C26,C27,C28,C36,C37,C41)</f>
        <v>3294440.4</v>
      </c>
      <c r="D25" s="33"/>
      <c r="E25" s="2220"/>
    </row>
    <row r="26" spans="1:6" s="125" customFormat="1" ht="16.2" customHeight="1">
      <c r="A26" s="2942" t="s">
        <v>236</v>
      </c>
      <c r="B26" s="17" t="str">
        <f>'Phụ lục số 2'!B16</f>
        <v>Chi các hoạt động kinh tế</v>
      </c>
      <c r="C26" s="2951">
        <f>'Phụ lục số 2'!AA16</f>
        <v>545710</v>
      </c>
      <c r="D26" s="2221"/>
    </row>
    <row r="27" spans="1:6" s="125" customFormat="1" ht="16.2" customHeight="1">
      <c r="A27" s="2942" t="s">
        <v>237</v>
      </c>
      <c r="B27" s="17" t="s">
        <v>89</v>
      </c>
      <c r="C27" s="2951">
        <f>'Phụ lục số 2'!AA17</f>
        <v>67965</v>
      </c>
      <c r="D27" s="2221"/>
    </row>
    <row r="28" spans="1:6" s="125" customFormat="1" ht="16.2" customHeight="1">
      <c r="A28" s="2942" t="s">
        <v>1388</v>
      </c>
      <c r="B28" s="17" t="s">
        <v>38</v>
      </c>
      <c r="C28" s="2951">
        <f>SUM(C29:C35)</f>
        <v>1996980</v>
      </c>
      <c r="D28" s="2221"/>
    </row>
    <row r="29" spans="1:6" s="2219" customFormat="1" ht="16.2" customHeight="1">
      <c r="A29" s="2941" t="s">
        <v>34</v>
      </c>
      <c r="B29" s="1400" t="s">
        <v>597</v>
      </c>
      <c r="C29" s="2950">
        <f>'Phụ lục số 2'!AA19</f>
        <v>31218</v>
      </c>
      <c r="D29" s="2218"/>
    </row>
    <row r="30" spans="1:6" s="2219" customFormat="1" ht="16.2" customHeight="1">
      <c r="A30" s="2941" t="s">
        <v>35</v>
      </c>
      <c r="B30" s="1400" t="s">
        <v>86</v>
      </c>
      <c r="C30" s="2950">
        <f>'Phụ lục số 2'!AA20</f>
        <v>956676</v>
      </c>
      <c r="D30" s="2218"/>
    </row>
    <row r="31" spans="1:6" s="2219" customFormat="1" ht="16.2" customHeight="1">
      <c r="A31" s="2941" t="s">
        <v>36</v>
      </c>
      <c r="B31" s="1400" t="s">
        <v>39</v>
      </c>
      <c r="C31" s="2950">
        <f>'Phụ lục số 2'!AA21</f>
        <v>828538</v>
      </c>
      <c r="D31" s="2218"/>
    </row>
    <row r="32" spans="1:6" s="2219" customFormat="1" ht="16.2" customHeight="1">
      <c r="A32" s="2941" t="s">
        <v>37</v>
      </c>
      <c r="B32" s="1400" t="s">
        <v>41</v>
      </c>
      <c r="C32" s="2950">
        <f>'Phụ lục số 2'!AA22</f>
        <v>47888</v>
      </c>
      <c r="D32" s="2218"/>
    </row>
    <row r="33" spans="1:4" s="2219" customFormat="1" ht="16.2" customHeight="1">
      <c r="A33" s="2941" t="s">
        <v>40</v>
      </c>
      <c r="B33" s="1400" t="s">
        <v>43</v>
      </c>
      <c r="C33" s="2950">
        <f>'Phụ lục số 2'!AA23</f>
        <v>18073</v>
      </c>
      <c r="D33" s="2218"/>
    </row>
    <row r="34" spans="1:4" s="2219" customFormat="1" ht="16.2" customHeight="1">
      <c r="A34" s="2941" t="s">
        <v>42</v>
      </c>
      <c r="B34" s="1400" t="s">
        <v>45</v>
      </c>
      <c r="C34" s="2950">
        <f>'Phụ lục số 2'!AA24</f>
        <v>37202</v>
      </c>
      <c r="D34" s="2218"/>
    </row>
    <row r="35" spans="1:4" s="2219" customFormat="1" ht="16.2" customHeight="1">
      <c r="A35" s="2941" t="s">
        <v>44</v>
      </c>
      <c r="B35" s="1400" t="s">
        <v>1389</v>
      </c>
      <c r="C35" s="2950">
        <f>'Phụ lục số 2'!AA25</f>
        <v>77385</v>
      </c>
      <c r="D35" s="2218"/>
    </row>
    <row r="36" spans="1:4" s="125" customFormat="1" ht="16.2" customHeight="1">
      <c r="A36" s="2942" t="s">
        <v>1390</v>
      </c>
      <c r="B36" s="17" t="s">
        <v>47</v>
      </c>
      <c r="C36" s="2951">
        <f>'Phụ lục số 2'!AA26</f>
        <v>515458</v>
      </c>
      <c r="D36" s="2221"/>
    </row>
    <row r="37" spans="1:4" s="125" customFormat="1" ht="16.2" customHeight="1">
      <c r="A37" s="2942" t="s">
        <v>1391</v>
      </c>
      <c r="B37" s="17" t="s">
        <v>48</v>
      </c>
      <c r="C37" s="2951">
        <f>'Phụ lục số 4'!U56</f>
        <v>148327.4</v>
      </c>
      <c r="D37" s="2221"/>
    </row>
    <row r="38" spans="1:4" s="2219" customFormat="1" ht="16.2" customHeight="1">
      <c r="A38" s="2941" t="s">
        <v>34</v>
      </c>
      <c r="B38" s="1400" t="s">
        <v>1392</v>
      </c>
      <c r="C38" s="2952">
        <f>'Phụ lục số 4'!U57</f>
        <v>51000</v>
      </c>
      <c r="D38" s="2218"/>
    </row>
    <row r="39" spans="1:4" s="2219" customFormat="1" ht="16.2" customHeight="1">
      <c r="A39" s="2941" t="s">
        <v>35</v>
      </c>
      <c r="B39" s="1400" t="s">
        <v>1393</v>
      </c>
      <c r="C39" s="2952">
        <f>C37-C38-C40</f>
        <v>83000</v>
      </c>
      <c r="D39" s="2218"/>
    </row>
    <row r="40" spans="1:4" s="2219" customFormat="1" ht="16.2" customHeight="1">
      <c r="A40" s="2941" t="s">
        <v>36</v>
      </c>
      <c r="B40" s="1400" t="s">
        <v>1394</v>
      </c>
      <c r="C40" s="2952">
        <f>'Phụ lục số 4'!U59</f>
        <v>14327.4</v>
      </c>
      <c r="D40" s="2218"/>
    </row>
    <row r="41" spans="1:4" s="125" customFormat="1" ht="16.2" customHeight="1">
      <c r="A41" s="2942" t="s">
        <v>1395</v>
      </c>
      <c r="B41" s="17" t="s">
        <v>90</v>
      </c>
      <c r="C41" s="2951">
        <f>'Phụ lục số 2'!AA28</f>
        <v>20000</v>
      </c>
      <c r="D41" s="2221"/>
    </row>
    <row r="42" spans="1:4" s="2217" customFormat="1" ht="16.2" customHeight="1">
      <c r="A42" s="2940">
        <v>3</v>
      </c>
      <c r="B42" s="29" t="s">
        <v>1396</v>
      </c>
      <c r="C42" s="2949">
        <f>'Phụ lục số 2'!AA29</f>
        <v>2000</v>
      </c>
      <c r="D42" s="33"/>
    </row>
    <row r="43" spans="1:4" s="2217" customFormat="1" ht="16.2" customHeight="1">
      <c r="A43" s="2940">
        <v>4</v>
      </c>
      <c r="B43" s="29" t="s">
        <v>87</v>
      </c>
      <c r="C43" s="2949">
        <f>'Phụ lục số 2'!AA30</f>
        <v>152264.36799999999</v>
      </c>
      <c r="D43" s="33"/>
    </row>
    <row r="44" spans="1:4" s="2217" customFormat="1" ht="16.2" customHeight="1">
      <c r="A44" s="2940">
        <v>5</v>
      </c>
      <c r="B44" s="29" t="s">
        <v>302</v>
      </c>
      <c r="C44" s="2949">
        <f>'Phụ lục số 2'!AA32</f>
        <v>79139.200000000012</v>
      </c>
      <c r="D44" s="33"/>
    </row>
    <row r="45" spans="1:4" s="2217" customFormat="1" ht="16.2" customHeight="1">
      <c r="A45" s="2924">
        <v>6</v>
      </c>
      <c r="B45" s="29" t="s">
        <v>2071</v>
      </c>
      <c r="C45" s="2949">
        <f>'Phụ lục số 2'!AA34</f>
        <v>3000</v>
      </c>
      <c r="D45" s="33"/>
    </row>
    <row r="46" spans="1:4" s="2217" customFormat="1" ht="17.399999999999999">
      <c r="A46" s="2939" t="s">
        <v>20</v>
      </c>
      <c r="B46" s="2216" t="s">
        <v>1416</v>
      </c>
      <c r="C46" s="2949">
        <f>'Phụ lục số 2'!AA35</f>
        <v>1988976</v>
      </c>
      <c r="D46" s="33"/>
    </row>
    <row r="47" spans="1:4" s="2217" customFormat="1" ht="17.399999999999999">
      <c r="A47" s="2939" t="s">
        <v>49</v>
      </c>
      <c r="B47" s="2222" t="s">
        <v>133</v>
      </c>
      <c r="C47" s="2949">
        <f>'Phụ lục số 2'!AA39</f>
        <v>0</v>
      </c>
      <c r="D47" s="33"/>
    </row>
    <row r="48" spans="1:4" s="48" customFormat="1" ht="17.399999999999999">
      <c r="A48" s="2924" t="s">
        <v>50</v>
      </c>
      <c r="B48" s="2211" t="s">
        <v>1397</v>
      </c>
      <c r="C48" s="2947">
        <f>SUM(C49:C50)</f>
        <v>5083323.3480000002</v>
      </c>
    </row>
    <row r="49" spans="1:3" s="47" customFormat="1" ht="16.2" customHeight="1">
      <c r="A49" s="2923">
        <v>1</v>
      </c>
      <c r="B49" s="2213" t="s">
        <v>238</v>
      </c>
      <c r="C49" s="2948">
        <f>'Phụ lục số 5'!E37</f>
        <v>4430923</v>
      </c>
    </row>
    <row r="50" spans="1:3" s="47" customFormat="1" ht="16.2" customHeight="1" thickBot="1">
      <c r="A50" s="2943">
        <v>2</v>
      </c>
      <c r="B50" s="2944" t="s">
        <v>25</v>
      </c>
      <c r="C50" s="2953">
        <f>'Phụ lục số 5'!E38</f>
        <v>652400.348</v>
      </c>
    </row>
    <row r="51" spans="1:3" ht="18.600000000000001" thickTop="1"/>
  </sheetData>
  <mergeCells count="3">
    <mergeCell ref="A3:C3"/>
    <mergeCell ref="A4:C4"/>
    <mergeCell ref="A1:C1"/>
  </mergeCells>
  <hyperlinks>
    <hyperlink ref="A7" location="'List danh mục'!A1" display="'List danh mục'!A1"/>
  </hyperlinks>
  <printOptions horizontalCentered="1"/>
  <pageMargins left="0" right="0" top="0.59055118110236227" bottom="0.19685039370078741" header="0.19685039370078741" footer="0.19685039370078741"/>
  <pageSetup paperSize="9" scale="90" orientation="portrait" r:id="rId1"/>
  <headerFooter>
    <oddHeader>&amp;R&amp;A</oddHeader>
    <oddFooter>&amp;C&amp;P/&amp;N</oddFooter>
  </headerFooter>
  <legacyDrawing r:id="rId2"/>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00FF"/>
  </sheetPr>
  <dimension ref="A1:C39"/>
  <sheetViews>
    <sheetView topLeftCell="A10" workbookViewId="0">
      <selection activeCell="Y35" sqref="Y35"/>
    </sheetView>
  </sheetViews>
  <sheetFormatPr defaultColWidth="9" defaultRowHeight="18"/>
  <cols>
    <col min="1" max="1" width="3.8984375" style="2230" bestFit="1" customWidth="1"/>
    <col min="2" max="2" width="75" style="2230" customWidth="1"/>
    <col min="3" max="3" width="17.5" style="2230" customWidth="1"/>
    <col min="4" max="16384" width="9" style="2230"/>
  </cols>
  <sheetData>
    <row r="1" spans="1:3" s="2229" customFormat="1" ht="21" hidden="1" customHeight="1">
      <c r="B1" s="2208" t="s">
        <v>1368</v>
      </c>
      <c r="C1" s="2"/>
    </row>
    <row r="2" spans="1:3" s="2229" customFormat="1" ht="21" hidden="1" customHeight="1">
      <c r="B2" s="2208" t="s">
        <v>1369</v>
      </c>
      <c r="C2" s="2"/>
    </row>
    <row r="3" spans="1:3" hidden="1">
      <c r="B3" s="2231"/>
      <c r="C3" s="2232"/>
    </row>
    <row r="4" spans="1:3" s="2229" customFormat="1" ht="17.399999999999999">
      <c r="A4" s="4738" t="s">
        <v>2353</v>
      </c>
      <c r="B4" s="4738"/>
      <c r="C4" s="4738"/>
    </row>
    <row r="5" spans="1:3" s="2229" customFormat="1">
      <c r="A5" s="4737" t="str">
        <f>'Phụ lục 2-HĐND'!A4:C4</f>
        <v>(Kèm Theo Nghị quyết số         /NQ-HĐND ngày     /12/2023 của Hội đồng nhân dân Tỉnh)</v>
      </c>
      <c r="B5" s="4737"/>
      <c r="C5" s="4737"/>
    </row>
    <row r="6" spans="1:3" s="2229" customFormat="1">
      <c r="A6" s="2232"/>
      <c r="B6" s="2232"/>
      <c r="C6" s="2232"/>
    </row>
    <row r="7" spans="1:3" s="2229" customFormat="1" thickBot="1">
      <c r="A7" s="2233"/>
      <c r="B7" s="4739" t="s">
        <v>64</v>
      </c>
      <c r="C7" s="4739"/>
    </row>
    <row r="8" spans="1:3" s="2234" customFormat="1" thickTop="1">
      <c r="A8" s="4731" t="s">
        <v>1370</v>
      </c>
      <c r="B8" s="4733" t="s">
        <v>52</v>
      </c>
      <c r="C8" s="4735" t="s">
        <v>1700</v>
      </c>
    </row>
    <row r="9" spans="1:3" s="2234" customFormat="1" ht="42" customHeight="1">
      <c r="A9" s="4732"/>
      <c r="B9" s="4734"/>
      <c r="C9" s="4736"/>
    </row>
    <row r="10" spans="1:3" s="2240" customFormat="1" ht="24" customHeight="1">
      <c r="A10" s="2983" t="s">
        <v>7</v>
      </c>
      <c r="B10" s="2235" t="s">
        <v>1371</v>
      </c>
      <c r="C10" s="2984">
        <f>SUM(C11,C28)</f>
        <v>9266000</v>
      </c>
    </row>
    <row r="11" spans="1:3" s="2240" customFormat="1" ht="24" customHeight="1">
      <c r="A11" s="2985" t="s">
        <v>9</v>
      </c>
      <c r="B11" s="2236" t="s">
        <v>10</v>
      </c>
      <c r="C11" s="2986">
        <f>SUM(C12:C27)</f>
        <v>9066000</v>
      </c>
    </row>
    <row r="12" spans="1:3" s="2241" customFormat="1" ht="24" customHeight="1">
      <c r="A12" s="2987">
        <v>1</v>
      </c>
      <c r="B12" s="2237" t="s">
        <v>1398</v>
      </c>
      <c r="C12" s="2988">
        <f>'Phụ lục số 1'!AE11</f>
        <v>230000</v>
      </c>
    </row>
    <row r="13" spans="1:3" s="2241" customFormat="1" ht="24" customHeight="1">
      <c r="A13" s="2987">
        <v>2</v>
      </c>
      <c r="B13" s="2237" t="s">
        <v>1399</v>
      </c>
      <c r="C13" s="2988">
        <f>'Phụ lục số 1'!AE17</f>
        <v>300000</v>
      </c>
    </row>
    <row r="14" spans="1:3" s="2241" customFormat="1" ht="24" customHeight="1">
      <c r="A14" s="2987">
        <v>3</v>
      </c>
      <c r="B14" s="2237" t="s">
        <v>1400</v>
      </c>
      <c r="C14" s="2988">
        <f>'Phụ lục số 1'!AE23</f>
        <v>75000</v>
      </c>
    </row>
    <row r="15" spans="1:3" s="2242" customFormat="1" ht="24" customHeight="1">
      <c r="A15" s="2987">
        <v>4</v>
      </c>
      <c r="B15" s="2237" t="s">
        <v>352</v>
      </c>
      <c r="C15" s="2988">
        <f>'Phụ lục số 1'!AE28</f>
        <v>1701000</v>
      </c>
    </row>
    <row r="16" spans="1:3" s="2241" customFormat="1" ht="24" customHeight="1">
      <c r="A16" s="2987">
        <v>5</v>
      </c>
      <c r="B16" s="2237" t="s">
        <v>16</v>
      </c>
      <c r="C16" s="2988">
        <f>'Phụ lục số 1'!AE34</f>
        <v>350000</v>
      </c>
    </row>
    <row r="17" spans="1:3" s="2241" customFormat="1" ht="24" customHeight="1">
      <c r="A17" s="2987">
        <v>6</v>
      </c>
      <c r="B17" s="2237" t="s">
        <v>271</v>
      </c>
      <c r="C17" s="2988">
        <f>'Phụ lục số 1'!AE36</f>
        <v>15000</v>
      </c>
    </row>
    <row r="18" spans="1:3" s="2241" customFormat="1" ht="24" customHeight="1">
      <c r="A18" s="2987">
        <v>7</v>
      </c>
      <c r="B18" s="2237" t="s">
        <v>97</v>
      </c>
      <c r="C18" s="2988">
        <f>'Phụ lục số 1'!AE37</f>
        <v>730000</v>
      </c>
    </row>
    <row r="19" spans="1:3" s="2241" customFormat="1" ht="24" customHeight="1">
      <c r="A19" s="2987">
        <v>8</v>
      </c>
      <c r="B19" s="2237" t="s">
        <v>1288</v>
      </c>
      <c r="C19" s="2988">
        <f>'Phụ lục số 1'!AE38</f>
        <v>1065000</v>
      </c>
    </row>
    <row r="20" spans="1:3" s="2241" customFormat="1" ht="24" customHeight="1">
      <c r="A20" s="2987">
        <v>9</v>
      </c>
      <c r="B20" s="2237" t="s">
        <v>1401</v>
      </c>
      <c r="C20" s="2989">
        <f>'Phụ lục số 1'!AE39</f>
        <v>170000</v>
      </c>
    </row>
    <row r="21" spans="1:3" s="2241" customFormat="1" ht="24" customHeight="1">
      <c r="A21" s="2987">
        <v>10</v>
      </c>
      <c r="B21" s="2237" t="s">
        <v>18</v>
      </c>
      <c r="C21" s="2988">
        <f>'Phụ lục số 1'!AE40</f>
        <v>1770000</v>
      </c>
    </row>
    <row r="22" spans="1:3" s="2241" customFormat="1" ht="24" customHeight="1">
      <c r="A22" s="2987">
        <v>11</v>
      </c>
      <c r="B22" s="2237" t="s">
        <v>98</v>
      </c>
      <c r="C22" s="2988">
        <f>'Phụ lục số 1'!AE41</f>
        <v>315000</v>
      </c>
    </row>
    <row r="23" spans="1:3" s="2241" customFormat="1" ht="24" customHeight="1">
      <c r="A23" s="2987">
        <v>12</v>
      </c>
      <c r="B23" s="2237" t="s">
        <v>279</v>
      </c>
      <c r="C23" s="2988">
        <f>'Phụ lục số 1'!AE43</f>
        <v>326000</v>
      </c>
    </row>
    <row r="24" spans="1:3" s="2241" customFormat="1" ht="24" customHeight="1">
      <c r="A24" s="2987">
        <v>13</v>
      </c>
      <c r="B24" s="2237" t="s">
        <v>1402</v>
      </c>
      <c r="C24" s="2988">
        <f>'Phụ lục số 1'!AE47</f>
        <v>2000</v>
      </c>
    </row>
    <row r="25" spans="1:3" s="2241" customFormat="1" ht="24" customHeight="1">
      <c r="A25" s="2987">
        <v>14</v>
      </c>
      <c r="B25" s="11" t="s">
        <v>1403</v>
      </c>
      <c r="C25" s="2988">
        <f>'Phụ lục số 1'!AE48</f>
        <v>1950000</v>
      </c>
    </row>
    <row r="26" spans="1:3" s="2241" customFormat="1" ht="24" customHeight="1">
      <c r="A26" s="2987">
        <v>15</v>
      </c>
      <c r="B26" s="11" t="s">
        <v>1404</v>
      </c>
      <c r="C26" s="2988">
        <f>'Phụ lục số 1'!AE44</f>
        <v>30000</v>
      </c>
    </row>
    <row r="27" spans="1:3" s="2241" customFormat="1" ht="24" customHeight="1">
      <c r="A27" s="2987">
        <v>16</v>
      </c>
      <c r="B27" s="11" t="s">
        <v>1405</v>
      </c>
      <c r="C27" s="2988">
        <f>'Phụ lục số 1'!AE45</f>
        <v>37000</v>
      </c>
    </row>
    <row r="28" spans="1:3" s="2243" customFormat="1" ht="24" customHeight="1">
      <c r="A28" s="2985" t="s">
        <v>20</v>
      </c>
      <c r="B28" s="2236" t="s">
        <v>107</v>
      </c>
      <c r="C28" s="2990">
        <f>'Phụ lục số 1'!AE49</f>
        <v>200000</v>
      </c>
    </row>
    <row r="29" spans="1:3" s="2240" customFormat="1" ht="24" customHeight="1">
      <c r="A29" s="2991"/>
      <c r="B29" s="2245" t="s">
        <v>1378</v>
      </c>
      <c r="C29" s="2992">
        <f>'[1]Phụ lục số 1'!N57</f>
        <v>0</v>
      </c>
    </row>
    <row r="30" spans="1:3" s="2243" customFormat="1" ht="24" customHeight="1">
      <c r="A30" s="2985" t="s">
        <v>22</v>
      </c>
      <c r="B30" s="2244" t="s">
        <v>2618</v>
      </c>
      <c r="C30" s="2990">
        <f>SUM(C31,C34,C38,C37)</f>
        <v>18627409</v>
      </c>
    </row>
    <row r="31" spans="1:3" s="2242" customFormat="1" ht="24" customHeight="1">
      <c r="A31" s="2993" t="s">
        <v>9</v>
      </c>
      <c r="B31" s="2238" t="s">
        <v>478</v>
      </c>
      <c r="C31" s="2994">
        <f>SUM(C32:C33)</f>
        <v>8484930</v>
      </c>
    </row>
    <row r="32" spans="1:3" s="2241" customFormat="1" ht="24" customHeight="1">
      <c r="A32" s="2987">
        <v>1</v>
      </c>
      <c r="B32" s="2237" t="s">
        <v>1407</v>
      </c>
      <c r="C32" s="2988">
        <f>'Phụ lục 1-HĐND'!C17</f>
        <v>4901430</v>
      </c>
    </row>
    <row r="33" spans="1:3" s="2241" customFormat="1" ht="24" customHeight="1">
      <c r="A33" s="2987">
        <v>2</v>
      </c>
      <c r="B33" s="2237" t="s">
        <v>1408</v>
      </c>
      <c r="C33" s="2988">
        <f>'Phụ lục 1-HĐND'!C18</f>
        <v>3583500</v>
      </c>
    </row>
    <row r="34" spans="1:3" s="2242" customFormat="1" ht="24" customHeight="1">
      <c r="A34" s="2993" t="s">
        <v>20</v>
      </c>
      <c r="B34" s="2238" t="s">
        <v>23</v>
      </c>
      <c r="C34" s="2995">
        <f>SUM(C35:C36)</f>
        <v>9256479</v>
      </c>
    </row>
    <row r="35" spans="1:3" s="2241" customFormat="1" ht="24" customHeight="1">
      <c r="A35" s="2987">
        <v>1</v>
      </c>
      <c r="B35" s="2237" t="s">
        <v>238</v>
      </c>
      <c r="C35" s="2988">
        <f>'Phụ lục 1-HĐND'!C20</f>
        <v>6617188</v>
      </c>
    </row>
    <row r="36" spans="1:3" s="2241" customFormat="1" ht="24" customHeight="1">
      <c r="A36" s="2987">
        <v>2</v>
      </c>
      <c r="B36" s="2237" t="s">
        <v>239</v>
      </c>
      <c r="C36" s="2988">
        <f>'Phụ lục 1-HĐND'!C21</f>
        <v>2639291</v>
      </c>
    </row>
    <row r="37" spans="1:3" s="2242" customFormat="1" ht="24" customHeight="1">
      <c r="A37" s="2996" t="s">
        <v>49</v>
      </c>
      <c r="B37" s="2239" t="str">
        <f>'Phụ lục 2-HĐND'!B15</f>
        <v>Thu chuyển nguồn từ năm trước chuyển sang</v>
      </c>
      <c r="C37" s="2997">
        <f>'Phụ lục 1-HĐND'!C22</f>
        <v>886000</v>
      </c>
    </row>
    <row r="38" spans="1:3" s="2242" customFormat="1" ht="24" customHeight="1" thickBot="1">
      <c r="A38" s="2998" t="s">
        <v>50</v>
      </c>
      <c r="B38" s="2999" t="s">
        <v>132</v>
      </c>
      <c r="C38" s="3000">
        <f>'Phụ lục 1-HĐND'!C23</f>
        <v>0</v>
      </c>
    </row>
    <row r="39" spans="1:3" ht="18.600000000000001" thickTop="1"/>
  </sheetData>
  <mergeCells count="6">
    <mergeCell ref="A8:A9"/>
    <mergeCell ref="B8:B9"/>
    <mergeCell ref="C8:C9"/>
    <mergeCell ref="A5:C5"/>
    <mergeCell ref="A4:C4"/>
    <mergeCell ref="B7:C7"/>
  </mergeCells>
  <hyperlinks>
    <hyperlink ref="A8:A9" location="'List danh mục'!A1" display="'List danh mục'!A1"/>
  </hyperlinks>
  <printOptions horizontalCentered="1"/>
  <pageMargins left="0" right="0" top="0.59055118110236227" bottom="0" header="0.19685039370078741" footer="0.19685039370078741"/>
  <pageSetup paperSize="9" scale="90" orientation="portrait" r:id="rId1"/>
  <headerFooter>
    <oddHeader>&amp;R&amp;A</oddHeader>
    <oddFooter>&amp;C&amp;P/&amp;N</oddFooter>
  </headerFooter>
  <legacy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E47"/>
  <sheetViews>
    <sheetView topLeftCell="A28" workbookViewId="0">
      <selection activeCell="B32" sqref="B32"/>
    </sheetView>
  </sheetViews>
  <sheetFormatPr defaultColWidth="9" defaultRowHeight="18"/>
  <cols>
    <col min="1" max="1" width="5.69921875" style="37" customWidth="1"/>
    <col min="2" max="2" width="59.69921875" style="37" customWidth="1"/>
    <col min="3" max="5" width="12.69921875" style="37" customWidth="1"/>
    <col min="6" max="16384" width="9" style="37"/>
  </cols>
  <sheetData>
    <row r="1" spans="1:5" s="2" customFormat="1" ht="17.399999999999999" hidden="1">
      <c r="B1" s="4568" t="s">
        <v>1368</v>
      </c>
      <c r="C1" s="4568"/>
      <c r="D1" s="4568"/>
    </row>
    <row r="2" spans="1:5" s="2" customFormat="1" ht="17.399999999999999" hidden="1">
      <c r="B2" s="4568" t="s">
        <v>1369</v>
      </c>
      <c r="C2" s="4568"/>
      <c r="D2" s="4568"/>
    </row>
    <row r="3" spans="1:5" s="2" customFormat="1" ht="17.399999999999999" hidden="1">
      <c r="B3" s="38"/>
      <c r="C3" s="4299"/>
      <c r="D3" s="4299"/>
      <c r="E3" s="4299"/>
    </row>
    <row r="4" spans="1:5" s="2" customFormat="1" ht="17.399999999999999">
      <c r="A4" s="4316" t="s">
        <v>2355</v>
      </c>
      <c r="B4" s="4299"/>
      <c r="C4" s="4299"/>
      <c r="D4" s="4299"/>
      <c r="E4" s="4299"/>
    </row>
    <row r="5" spans="1:5" s="2" customFormat="1">
      <c r="A5" s="4523" t="str">
        <f>'Phụ lục 3-HĐND'!A5:C5</f>
        <v>(Kèm Theo Nghị quyết số         /NQ-HĐND ngày     /12/2023 của Hội đồng nhân dân Tỉnh)</v>
      </c>
      <c r="B5" s="4571"/>
      <c r="C5" s="4571"/>
      <c r="D5" s="4571"/>
      <c r="E5" s="4571"/>
    </row>
    <row r="6" spans="1:5" s="2" customFormat="1" ht="17.399999999999999">
      <c r="A6" s="2206"/>
      <c r="B6" s="38"/>
      <c r="C6" s="38"/>
      <c r="D6" s="38"/>
      <c r="E6" s="38"/>
    </row>
    <row r="7" spans="1:5" ht="18.600000000000001" thickBot="1">
      <c r="B7" s="4516" t="s">
        <v>64</v>
      </c>
      <c r="C7" s="4516"/>
      <c r="D7" s="4516"/>
      <c r="E7" s="4516"/>
    </row>
    <row r="8" spans="1:5" s="2" customFormat="1" thickTop="1">
      <c r="A8" s="4731" t="s">
        <v>1370</v>
      </c>
      <c r="B8" s="4479" t="s">
        <v>791</v>
      </c>
      <c r="C8" s="4650" t="s">
        <v>1700</v>
      </c>
      <c r="D8" s="4650"/>
      <c r="E8" s="4651"/>
    </row>
    <row r="9" spans="1:5" s="2" customFormat="1" ht="17.399999999999999">
      <c r="A9" s="4740"/>
      <c r="B9" s="4480"/>
      <c r="C9" s="4480" t="s">
        <v>4</v>
      </c>
      <c r="D9" s="4362" t="s">
        <v>1409</v>
      </c>
      <c r="E9" s="4741"/>
    </row>
    <row r="10" spans="1:5" s="70" customFormat="1" ht="78.75" customHeight="1">
      <c r="A10" s="4740"/>
      <c r="B10" s="4480"/>
      <c r="C10" s="4480"/>
      <c r="D10" s="7" t="s">
        <v>1410</v>
      </c>
      <c r="E10" s="3001" t="s">
        <v>1411</v>
      </c>
    </row>
    <row r="11" spans="1:5" s="48" customFormat="1" ht="20.100000000000001" customHeight="1">
      <c r="A11" s="3002"/>
      <c r="B11" s="2253" t="s">
        <v>1412</v>
      </c>
      <c r="C11" s="2254">
        <f>SUM(C12,C19,C24,C25,C28,C32,C26,C27)</f>
        <v>18627408.915999997</v>
      </c>
      <c r="D11" s="2254">
        <f>SUM(D12,D19,D24,D25,D28,D32,D26,D27)</f>
        <v>8719005.568</v>
      </c>
      <c r="E11" s="3003">
        <f>SUM(E12,E19,E24,E25,E28,E32,E26,E27)</f>
        <v>9908403.3479999993</v>
      </c>
    </row>
    <row r="12" spans="1:5" s="48" customFormat="1" ht="20.100000000000001" customHeight="1">
      <c r="A12" s="2933" t="s">
        <v>9</v>
      </c>
      <c r="B12" s="2256" t="s">
        <v>1413</v>
      </c>
      <c r="C12" s="1445">
        <f>SUM(C14:C18)</f>
        <v>4923186.4089698764</v>
      </c>
      <c r="D12" s="1445">
        <f>SUM(D14:D18)</f>
        <v>3199186</v>
      </c>
      <c r="E12" s="3004">
        <f>SUM(E14:E18)</f>
        <v>1724000.4089698761</v>
      </c>
    </row>
    <row r="13" spans="1:5" ht="20.100000000000001" customHeight="1">
      <c r="A13" s="2931"/>
      <c r="B13" s="1438" t="s">
        <v>299</v>
      </c>
      <c r="C13" s="78"/>
      <c r="D13" s="78"/>
      <c r="E13" s="3005"/>
    </row>
    <row r="14" spans="1:5" ht="20.100000000000001" customHeight="1">
      <c r="A14" s="2931">
        <v>1</v>
      </c>
      <c r="B14" s="78" t="str">
        <f>'Phụ lục số 2'!B10</f>
        <v>Chi đầu tư xây dựng cơ bản</v>
      </c>
      <c r="C14" s="78">
        <f t="shared" ref="C14:C19" si="0">SUM(D14:E14)</f>
        <v>1143186.4089698761</v>
      </c>
      <c r="D14" s="78">
        <f>'Phụ lục số 2'!AA10</f>
        <v>562186</v>
      </c>
      <c r="E14" s="3005">
        <f>'Phụ lục số 2'!AB10</f>
        <v>581000.40896987612</v>
      </c>
    </row>
    <row r="15" spans="1:5" ht="20.100000000000001" customHeight="1">
      <c r="A15" s="2931">
        <v>2</v>
      </c>
      <c r="B15" s="78" t="str">
        <f>'Phụ lục số 2'!B11</f>
        <v>Chi đầu tư từ nguồn thu tiền sử dụng đất</v>
      </c>
      <c r="C15" s="78">
        <f t="shared" si="0"/>
        <v>1770000</v>
      </c>
      <c r="D15" s="78">
        <f>'Phụ lục số 2'!AA11</f>
        <v>627000</v>
      </c>
      <c r="E15" s="3005">
        <f>'Phụ lục số 2'!AB11</f>
        <v>1143000</v>
      </c>
    </row>
    <row r="16" spans="1:5" ht="20.100000000000001" customHeight="1">
      <c r="A16" s="2931">
        <v>3</v>
      </c>
      <c r="B16" s="78" t="str">
        <f>'Phụ lục số 2'!B12</f>
        <v>Chi đầu tư từ nguồn thu xổ số kiến thiết</v>
      </c>
      <c r="C16" s="78">
        <f t="shared" si="0"/>
        <v>1950000</v>
      </c>
      <c r="D16" s="78">
        <f>'Phụ lục số 2'!AA12</f>
        <v>1950000</v>
      </c>
      <c r="E16" s="3005">
        <f>'Phụ lục số 2'!AB12</f>
        <v>0</v>
      </c>
    </row>
    <row r="17" spans="1:5" s="2406" customFormat="1" ht="20.100000000000001" hidden="1" customHeight="1">
      <c r="A17" s="3868">
        <v>4</v>
      </c>
      <c r="B17" s="2342" t="str">
        <f>'Phụ lục số 2'!B13</f>
        <v>Chi đầu tư từ nguồn thu thoái vốn doanh nghiệp nhà nước địa phương quản lý;…</v>
      </c>
      <c r="C17" s="2342">
        <f t="shared" si="0"/>
        <v>0</v>
      </c>
      <c r="D17" s="2342">
        <f>'Phụ lục số 2'!AA13</f>
        <v>0</v>
      </c>
      <c r="E17" s="3307">
        <f>'Phụ lục số 2'!AB13</f>
        <v>0</v>
      </c>
    </row>
    <row r="18" spans="1:5" ht="20.100000000000001" customHeight="1">
      <c r="A18" s="3006">
        <v>4</v>
      </c>
      <c r="B18" s="78" t="str">
        <f>'Phụ lục số 2'!B14</f>
        <v>Chi đầu tư phát triển khác (Ủy thác qua NH Chính sách xã hội chi nhánh tỉnh Đồng Tháp)</v>
      </c>
      <c r="C18" s="78">
        <f t="shared" si="0"/>
        <v>60000</v>
      </c>
      <c r="D18" s="78">
        <f>'Phụ lục số 2'!AA14</f>
        <v>60000</v>
      </c>
      <c r="E18" s="3005">
        <f>'Phụ lục số 2'!AB14</f>
        <v>0</v>
      </c>
    </row>
    <row r="19" spans="1:5" s="2247" customFormat="1" ht="20.100000000000001" customHeight="1">
      <c r="A19" s="2933" t="s">
        <v>20</v>
      </c>
      <c r="B19" s="2256" t="s">
        <v>1414</v>
      </c>
      <c r="C19" s="1445">
        <f t="shared" si="0"/>
        <v>10664978.394711081</v>
      </c>
      <c r="D19" s="1445">
        <f>'Phụ lục số 2'!AA15</f>
        <v>3294440</v>
      </c>
      <c r="E19" s="3004">
        <f>'Phụ lục số 2'!AB15</f>
        <v>7370538.3947110809</v>
      </c>
    </row>
    <row r="20" spans="1:5" s="2248" customFormat="1" ht="20.100000000000001" customHeight="1">
      <c r="A20" s="2930"/>
      <c r="B20" s="1438" t="s">
        <v>299</v>
      </c>
      <c r="C20" s="76"/>
      <c r="D20" s="76"/>
      <c r="E20" s="3007"/>
    </row>
    <row r="21" spans="1:5" s="2249" customFormat="1" ht="20.100000000000001" customHeight="1">
      <c r="A21" s="2931" t="s">
        <v>34</v>
      </c>
      <c r="B21" s="1438" t="s">
        <v>1415</v>
      </c>
      <c r="C21" s="78">
        <f t="shared" ref="C21:C32" si="1">SUM(D21:E21)</f>
        <v>4797945.7831797441</v>
      </c>
      <c r="D21" s="78">
        <f>'Phụ lục số 2'!AA20</f>
        <v>956676</v>
      </c>
      <c r="E21" s="3005">
        <f>'Phụ lục số 2'!AB20</f>
        <v>3841269.7831797441</v>
      </c>
    </row>
    <row r="22" spans="1:5" s="2249" customFormat="1" ht="20.100000000000001" customHeight="1">
      <c r="A22" s="2931" t="s">
        <v>35</v>
      </c>
      <c r="B22" s="1438" t="s">
        <v>1038</v>
      </c>
      <c r="C22" s="78">
        <f t="shared" si="1"/>
        <v>31218</v>
      </c>
      <c r="D22" s="78">
        <f>'Phụ lục số 2'!AA19</f>
        <v>31218</v>
      </c>
      <c r="E22" s="3005">
        <f>'[1]Phụ lục số 2'!O18</f>
        <v>0</v>
      </c>
    </row>
    <row r="23" spans="1:5" s="2249" customFormat="1" ht="20.100000000000001" customHeight="1">
      <c r="A23" s="2931" t="s">
        <v>36</v>
      </c>
      <c r="B23" s="1438" t="s">
        <v>301</v>
      </c>
      <c r="C23" s="78">
        <f>SUM(D23:E23)</f>
        <v>5835814.6115313368</v>
      </c>
      <c r="D23" s="78">
        <f>D19-D21-D22</f>
        <v>2306546</v>
      </c>
      <c r="E23" s="3005">
        <f>E19-E21-E22</f>
        <v>3529268.6115313368</v>
      </c>
    </row>
    <row r="24" spans="1:5" s="2247" customFormat="1" ht="20.100000000000001" customHeight="1">
      <c r="A24" s="2933" t="s">
        <v>49</v>
      </c>
      <c r="B24" s="2258" t="s">
        <v>1274</v>
      </c>
      <c r="C24" s="1445">
        <f>SUM(D24:E24)</f>
        <v>2000</v>
      </c>
      <c r="D24" s="1445">
        <f>'Phụ lục số 2'!AA29</f>
        <v>2000</v>
      </c>
      <c r="E24" s="3004">
        <f>'Phụ lục số 2'!AB29</f>
        <v>0</v>
      </c>
    </row>
    <row r="25" spans="1:5" s="2247" customFormat="1" ht="20.100000000000001" customHeight="1">
      <c r="A25" s="2933" t="s">
        <v>50</v>
      </c>
      <c r="B25" s="2256" t="s">
        <v>87</v>
      </c>
      <c r="C25" s="1445">
        <f>SUM(D25:E25)</f>
        <v>327868.91231904214</v>
      </c>
      <c r="D25" s="1445">
        <f>'Phụ lục số 2'!AA30</f>
        <v>152264.36799999999</v>
      </c>
      <c r="E25" s="3004">
        <f>'Phụ lục số 2'!AB30</f>
        <v>175604.54431904212</v>
      </c>
    </row>
    <row r="26" spans="1:5" s="2247" customFormat="1" ht="20.100000000000001" customHeight="1">
      <c r="A26" s="2933" t="s">
        <v>72</v>
      </c>
      <c r="B26" s="1896" t="s">
        <v>228</v>
      </c>
      <c r="C26" s="1445">
        <f>SUM(D26:E26)</f>
        <v>717399.2</v>
      </c>
      <c r="D26" s="1445">
        <f>'Phụ lục số 2'!AA32</f>
        <v>79139.200000000012</v>
      </c>
      <c r="E26" s="3004">
        <f>'Phụ lục số 2'!AB32</f>
        <v>638260</v>
      </c>
    </row>
    <row r="27" spans="1:5" s="2247" customFormat="1" ht="20.100000000000001" customHeight="1">
      <c r="A27" s="2933" t="s">
        <v>100</v>
      </c>
      <c r="B27" s="29" t="s">
        <v>2071</v>
      </c>
      <c r="C27" s="1445">
        <f>SUM(D27:E27)</f>
        <v>3000</v>
      </c>
      <c r="D27" s="1445">
        <f>'Phụ lục số 2'!AA34</f>
        <v>3000</v>
      </c>
      <c r="E27" s="3004">
        <f>'Phụ lục số 2'!AB34</f>
        <v>0</v>
      </c>
    </row>
    <row r="28" spans="1:5" s="2247" customFormat="1" ht="17.399999999999999">
      <c r="A28" s="3008" t="s">
        <v>151</v>
      </c>
      <c r="B28" s="2260" t="s">
        <v>1416</v>
      </c>
      <c r="C28" s="1445">
        <f>SUM(C29:C31)</f>
        <v>1988976</v>
      </c>
      <c r="D28" s="1445">
        <f>SUM(D29:D31)</f>
        <v>1988976</v>
      </c>
      <c r="E28" s="3004">
        <f>SUM(E29:E31)</f>
        <v>0</v>
      </c>
    </row>
    <row r="29" spans="1:5">
      <c r="A29" s="3009" t="s">
        <v>34</v>
      </c>
      <c r="B29" s="78" t="str">
        <f>'Phụ lục số 2'!B36</f>
        <v>Chi thực hiện mục tiêu, nhiệm vụ quan trọng (vốn đầu tư phát triển)</v>
      </c>
      <c r="C29" s="2262">
        <f>SUM(D29:E29)</f>
        <v>1814491</v>
      </c>
      <c r="D29" s="2262">
        <f>'Phụ lục số 2'!AA36</f>
        <v>1814491</v>
      </c>
      <c r="E29" s="3010"/>
    </row>
    <row r="30" spans="1:5">
      <c r="A30" s="3009" t="s">
        <v>35</v>
      </c>
      <c r="B30" s="78" t="str">
        <f>'Phụ lục số 2'!B37</f>
        <v>Chi thực hiện mục tiêu, nhiệm vụ quan trọng (kinh phí sự nghiệp)</v>
      </c>
      <c r="C30" s="2262">
        <f t="shared" ref="C30:C31" si="2">SUM(D30:E30)</f>
        <v>174485</v>
      </c>
      <c r="D30" s="2262">
        <f>'Phụ lục số 2'!AA37</f>
        <v>174485</v>
      </c>
      <c r="E30" s="3010"/>
    </row>
    <row r="31" spans="1:5" hidden="1">
      <c r="A31" s="3009" t="s">
        <v>36</v>
      </c>
      <c r="B31" s="78" t="str">
        <f>'Phụ lục số 2'!B38</f>
        <v>Chi bổ sung có mục tiêu nhiệm vụ quan trọng khác (nếu có)</v>
      </c>
      <c r="C31" s="2262">
        <f t="shared" si="2"/>
        <v>0</v>
      </c>
      <c r="D31" s="2262"/>
      <c r="E31" s="3010"/>
    </row>
    <row r="32" spans="1:5" s="2" customFormat="1" ht="20.100000000000001" customHeight="1" thickBot="1">
      <c r="A32" s="3011" t="s">
        <v>229</v>
      </c>
      <c r="B32" s="2937" t="s">
        <v>133</v>
      </c>
      <c r="C32" s="3012">
        <f t="shared" si="1"/>
        <v>0</v>
      </c>
      <c r="D32" s="3012">
        <f>'Phụ lục số 2'!AA39</f>
        <v>0</v>
      </c>
      <c r="E32" s="3013">
        <f>'Phụ lục số 2'!AB39</f>
        <v>0</v>
      </c>
    </row>
    <row r="33" spans="1:5" s="48" customFormat="1" ht="20.100000000000001" customHeight="1" thickTop="1">
      <c r="A33" s="2251"/>
      <c r="B33" s="2221"/>
      <c r="C33" s="2252"/>
      <c r="D33" s="2252"/>
      <c r="E33" s="2252"/>
    </row>
    <row r="34" spans="1:5">
      <c r="B34" s="48" t="s">
        <v>1050</v>
      </c>
    </row>
    <row r="35" spans="1:5" s="154" customFormat="1" ht="36">
      <c r="B35" s="3014" t="s">
        <v>2543</v>
      </c>
      <c r="D35" s="191">
        <f>'Phụ lục số 5'!E36</f>
        <v>5083323.3480000002</v>
      </c>
      <c r="E35" s="2146" t="s">
        <v>1417</v>
      </c>
    </row>
    <row r="36" spans="1:5" s="154" customFormat="1">
      <c r="B36" s="3014" t="s">
        <v>299</v>
      </c>
      <c r="D36" s="191"/>
      <c r="E36" s="2146"/>
    </row>
    <row r="37" spans="1:5" s="2351" customFormat="1">
      <c r="B37" s="3015" t="s">
        <v>2356</v>
      </c>
      <c r="D37" s="2671">
        <f>'Phụ lục số 5'!E37</f>
        <v>4430923</v>
      </c>
      <c r="E37" s="3016" t="s">
        <v>1417</v>
      </c>
    </row>
    <row r="38" spans="1:5" s="2351" customFormat="1" ht="54">
      <c r="B38" s="3015" t="s">
        <v>2619</v>
      </c>
      <c r="D38" s="2671">
        <f>'Phụ lục số 5'!E38</f>
        <v>652400.348</v>
      </c>
      <c r="E38" s="3016" t="s">
        <v>1417</v>
      </c>
    </row>
    <row r="39" spans="1:5" s="154" customFormat="1" ht="36">
      <c r="B39" s="3014" t="s">
        <v>2544</v>
      </c>
      <c r="D39" s="166">
        <f>13000</f>
        <v>13000</v>
      </c>
      <c r="E39" s="3017" t="s">
        <v>1417</v>
      </c>
    </row>
    <row r="43" spans="1:5">
      <c r="D43" s="1"/>
    </row>
    <row r="44" spans="1:5">
      <c r="D44" s="34">
        <f>D11+D35</f>
        <v>13802328.916000001</v>
      </c>
      <c r="E44" s="1">
        <f>D35+E11</f>
        <v>14991726.695999999</v>
      </c>
    </row>
    <row r="45" spans="1:5">
      <c r="D45" s="1">
        <f>E44-D44</f>
        <v>1189397.7799999975</v>
      </c>
      <c r="E45" s="1"/>
    </row>
    <row r="46" spans="1:5">
      <c r="D46" s="1"/>
      <c r="E46" s="1"/>
    </row>
    <row r="47" spans="1:5">
      <c r="E47" s="1"/>
    </row>
  </sheetData>
  <mergeCells count="11">
    <mergeCell ref="B1:D1"/>
    <mergeCell ref="B2:D2"/>
    <mergeCell ref="C3:E3"/>
    <mergeCell ref="A4:E4"/>
    <mergeCell ref="A8:A10"/>
    <mergeCell ref="B8:B10"/>
    <mergeCell ref="C8:E8"/>
    <mergeCell ref="C9:C10"/>
    <mergeCell ref="D9:E9"/>
    <mergeCell ref="A5:E5"/>
    <mergeCell ref="B7:E7"/>
  </mergeCells>
  <hyperlinks>
    <hyperlink ref="A8:A10" location="'List danh mục'!A1" display="'List danh mục'!A1"/>
  </hyperlinks>
  <printOptions horizontalCentered="1"/>
  <pageMargins left="0" right="0" top="0.39370078740157483" bottom="0" header="0.19685039370078741" footer="0.19685039370078741"/>
  <pageSetup paperSize="9" scale="90" orientation="portrait" r:id="rId1"/>
  <headerFooter>
    <oddHeader>&amp;R&amp;A</oddHeader>
    <oddFooter>&amp;C&amp;P/&amp;N</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AR53"/>
  <sheetViews>
    <sheetView workbookViewId="0">
      <pane xSplit="5" ySplit="6" topLeftCell="F42" activePane="bottomRight" state="frozen"/>
      <selection activeCell="Y35" sqref="Y35"/>
      <selection pane="topRight" activeCell="Y35" sqref="Y35"/>
      <selection pane="bottomLeft" activeCell="Y35" sqref="Y35"/>
      <selection pane="bottomRight" activeCell="Y35" sqref="Y35"/>
    </sheetView>
  </sheetViews>
  <sheetFormatPr defaultColWidth="10.5" defaultRowHeight="18"/>
  <cols>
    <col min="1" max="1" width="5.19921875" style="3228" bestFit="1" customWidth="1"/>
    <col min="2" max="2" width="53.69921875" style="1462" customWidth="1"/>
    <col min="3" max="41" width="7.69921875" style="1462" customWidth="1"/>
    <col min="42" max="16384" width="10.5" style="1462"/>
  </cols>
  <sheetData>
    <row r="1" spans="1:44" ht="15.6" customHeight="1">
      <c r="B1" s="3229"/>
      <c r="C1" s="4746" t="s">
        <v>2358</v>
      </c>
      <c r="D1" s="4746"/>
      <c r="E1" s="4746"/>
      <c r="F1" s="4746"/>
      <c r="G1" s="4746"/>
      <c r="H1" s="4746"/>
      <c r="I1" s="4746"/>
      <c r="J1" s="4746"/>
      <c r="K1" s="4746"/>
      <c r="L1" s="4746"/>
      <c r="M1" s="4746"/>
      <c r="N1" s="4746"/>
      <c r="O1" s="4746"/>
      <c r="P1" s="4746"/>
      <c r="Q1" s="4746"/>
      <c r="R1" s="4746"/>
      <c r="S1" s="4746"/>
      <c r="T1" s="4746"/>
      <c r="U1" s="4746"/>
      <c r="V1" s="4746"/>
      <c r="W1" s="4746"/>
      <c r="X1" s="4746" t="str">
        <f>C1</f>
        <v>DỰ TOÁN THU NSNN NĂM 2024 TRÊN ĐỊA BÀN HUYỆN, THÀNH PHỐ</v>
      </c>
      <c r="Y1" s="4746"/>
      <c r="Z1" s="4746"/>
      <c r="AA1" s="4746"/>
      <c r="AB1" s="4746"/>
      <c r="AC1" s="4746"/>
      <c r="AD1" s="4746"/>
      <c r="AE1" s="4746"/>
      <c r="AF1" s="4746"/>
      <c r="AG1" s="4746"/>
      <c r="AH1" s="4746"/>
      <c r="AI1" s="4746"/>
      <c r="AJ1" s="4746"/>
      <c r="AK1" s="4746"/>
      <c r="AL1" s="4746"/>
      <c r="AM1" s="4746"/>
      <c r="AN1" s="4746"/>
      <c r="AO1" s="4746"/>
      <c r="AP1" s="3229"/>
      <c r="AQ1" s="3229"/>
      <c r="AR1" s="3229"/>
    </row>
    <row r="2" spans="1:44" ht="15.6" customHeight="1">
      <c r="A2" s="3230"/>
      <c r="B2" s="3230"/>
      <c r="C2" s="4420" t="str">
        <f>'Phụ lục 4-HĐND'!A5</f>
        <v>(Kèm Theo Nghị quyết số         /NQ-HĐND ngày     /12/2023 của Hội đồng nhân dân Tỉnh)</v>
      </c>
      <c r="D2" s="4420"/>
      <c r="E2" s="4420"/>
      <c r="F2" s="4420"/>
      <c r="G2" s="4420"/>
      <c r="H2" s="4420"/>
      <c r="I2" s="4420"/>
      <c r="J2" s="4420"/>
      <c r="K2" s="4420"/>
      <c r="L2" s="4420"/>
      <c r="M2" s="4420"/>
      <c r="N2" s="4420"/>
      <c r="O2" s="4420"/>
      <c r="P2" s="4420"/>
      <c r="Q2" s="4420"/>
      <c r="R2" s="4420"/>
      <c r="S2" s="4420"/>
      <c r="T2" s="4420"/>
      <c r="U2" s="4420"/>
      <c r="V2" s="4420"/>
      <c r="W2" s="4420"/>
      <c r="X2" s="4420" t="str">
        <f>C2</f>
        <v>(Kèm Theo Nghị quyết số         /NQ-HĐND ngày     /12/2023 của Hội đồng nhân dân Tỉnh)</v>
      </c>
      <c r="Y2" s="4420"/>
      <c r="Z2" s="4420"/>
      <c r="AA2" s="4420"/>
      <c r="AB2" s="4420"/>
      <c r="AC2" s="4420"/>
      <c r="AD2" s="4420"/>
      <c r="AE2" s="4420"/>
      <c r="AF2" s="4420"/>
      <c r="AG2" s="4420"/>
      <c r="AH2" s="4420"/>
      <c r="AI2" s="4420"/>
      <c r="AJ2" s="4420"/>
      <c r="AK2" s="4420"/>
      <c r="AL2" s="4420"/>
      <c r="AM2" s="4420"/>
      <c r="AN2" s="4420"/>
      <c r="AO2" s="4420"/>
    </row>
    <row r="3" spans="1:44">
      <c r="A3" s="3231"/>
      <c r="B3" s="3231"/>
      <c r="C3" s="3231"/>
      <c r="D3" s="3231"/>
      <c r="E3" s="3231"/>
      <c r="F3" s="3231"/>
      <c r="G3" s="3231"/>
      <c r="H3" s="3231"/>
      <c r="I3" s="3231"/>
      <c r="J3" s="3231"/>
      <c r="K3" s="3231"/>
      <c r="L3" s="3231"/>
      <c r="M3" s="3231"/>
      <c r="N3" s="3231"/>
      <c r="O3" s="3231"/>
      <c r="P3" s="3231"/>
      <c r="Q3" s="3231"/>
      <c r="R3" s="3231"/>
      <c r="S3" s="3231"/>
      <c r="T3" s="3231"/>
      <c r="U3" s="3231"/>
      <c r="V3" s="3231"/>
      <c r="W3" s="3231"/>
      <c r="X3" s="3231"/>
      <c r="Y3" s="3231"/>
      <c r="Z3" s="3231"/>
      <c r="AA3" s="3231"/>
      <c r="AB3" s="3231"/>
      <c r="AC3" s="3231"/>
      <c r="AD3" s="3232"/>
      <c r="AE3" s="3232"/>
      <c r="AF3" s="3232"/>
      <c r="AG3" s="3232"/>
      <c r="AH3" s="3232"/>
      <c r="AI3" s="3232"/>
      <c r="AJ3" s="3232"/>
      <c r="AK3" s="3232"/>
      <c r="AL3" s="3232"/>
      <c r="AM3" s="3232"/>
      <c r="AN3" s="3232"/>
      <c r="AO3" s="3232"/>
    </row>
    <row r="4" spans="1:44" ht="18.600000000000001" thickBot="1">
      <c r="D4" s="3233"/>
      <c r="E4" s="3233"/>
      <c r="F4" s="3234"/>
      <c r="T4" s="4745" t="s">
        <v>64</v>
      </c>
      <c r="U4" s="4745"/>
      <c r="V4" s="4745"/>
      <c r="W4" s="4745"/>
      <c r="X4" s="3235"/>
      <c r="AD4" s="4745"/>
      <c r="AE4" s="4745"/>
      <c r="AF4" s="4745"/>
      <c r="AL4" s="4745" t="str">
        <f>T4</f>
        <v>Đơn vị tính: Triệu đồng</v>
      </c>
      <c r="AM4" s="4745"/>
      <c r="AN4" s="4745"/>
      <c r="AO4" s="4745"/>
    </row>
    <row r="5" spans="1:44" ht="18.600000000000001" thickTop="1">
      <c r="A5" s="4747" t="s">
        <v>244</v>
      </c>
      <c r="B5" s="4749" t="s">
        <v>246</v>
      </c>
      <c r="C5" s="4742" t="s">
        <v>247</v>
      </c>
      <c r="D5" s="4742"/>
      <c r="E5" s="4742"/>
      <c r="F5" s="4742" t="s">
        <v>248</v>
      </c>
      <c r="G5" s="4742"/>
      <c r="H5" s="4742"/>
      <c r="I5" s="4742" t="s">
        <v>249</v>
      </c>
      <c r="J5" s="4742"/>
      <c r="K5" s="4742"/>
      <c r="L5" s="4742" t="s">
        <v>250</v>
      </c>
      <c r="M5" s="4742"/>
      <c r="N5" s="4742"/>
      <c r="O5" s="4742" t="s">
        <v>251</v>
      </c>
      <c r="P5" s="4742"/>
      <c r="Q5" s="4742"/>
      <c r="R5" s="4742" t="s">
        <v>252</v>
      </c>
      <c r="S5" s="4742"/>
      <c r="T5" s="4742"/>
      <c r="U5" s="4742" t="s">
        <v>253</v>
      </c>
      <c r="V5" s="4742"/>
      <c r="W5" s="4743"/>
      <c r="X5" s="4744" t="s">
        <v>254</v>
      </c>
      <c r="Y5" s="4742"/>
      <c r="Z5" s="4742"/>
      <c r="AA5" s="4742" t="s">
        <v>255</v>
      </c>
      <c r="AB5" s="4742"/>
      <c r="AC5" s="4742"/>
      <c r="AD5" s="4742" t="s">
        <v>256</v>
      </c>
      <c r="AE5" s="4742"/>
      <c r="AF5" s="4742"/>
      <c r="AG5" s="4742" t="s">
        <v>257</v>
      </c>
      <c r="AH5" s="4742"/>
      <c r="AI5" s="4742"/>
      <c r="AJ5" s="4742" t="s">
        <v>258</v>
      </c>
      <c r="AK5" s="4742"/>
      <c r="AL5" s="4742"/>
      <c r="AM5" s="4742" t="s">
        <v>259</v>
      </c>
      <c r="AN5" s="4742"/>
      <c r="AO5" s="4751"/>
    </row>
    <row r="6" spans="1:44" s="3240" customFormat="1" ht="27.75" customHeight="1">
      <c r="A6" s="4748"/>
      <c r="B6" s="4750"/>
      <c r="C6" s="3236" t="s">
        <v>260</v>
      </c>
      <c r="D6" s="3236" t="s">
        <v>261</v>
      </c>
      <c r="E6" s="3236" t="s">
        <v>262</v>
      </c>
      <c r="F6" s="3236" t="s">
        <v>260</v>
      </c>
      <c r="G6" s="3236" t="s">
        <v>261</v>
      </c>
      <c r="H6" s="3236" t="s">
        <v>262</v>
      </c>
      <c r="I6" s="3236" t="s">
        <v>260</v>
      </c>
      <c r="J6" s="3236" t="s">
        <v>261</v>
      </c>
      <c r="K6" s="3236" t="s">
        <v>262</v>
      </c>
      <c r="L6" s="3236" t="s">
        <v>260</v>
      </c>
      <c r="M6" s="3236" t="s">
        <v>261</v>
      </c>
      <c r="N6" s="3236" t="s">
        <v>262</v>
      </c>
      <c r="O6" s="3236" t="s">
        <v>260</v>
      </c>
      <c r="P6" s="3236" t="s">
        <v>261</v>
      </c>
      <c r="Q6" s="3236" t="s">
        <v>262</v>
      </c>
      <c r="R6" s="3236" t="s">
        <v>260</v>
      </c>
      <c r="S6" s="3236" t="s">
        <v>261</v>
      </c>
      <c r="T6" s="3236" t="s">
        <v>262</v>
      </c>
      <c r="U6" s="3236" t="s">
        <v>260</v>
      </c>
      <c r="V6" s="3236" t="s">
        <v>261</v>
      </c>
      <c r="W6" s="3237" t="s">
        <v>262</v>
      </c>
      <c r="X6" s="3238" t="s">
        <v>260</v>
      </c>
      <c r="Y6" s="3236" t="s">
        <v>261</v>
      </c>
      <c r="Z6" s="3236" t="s">
        <v>262</v>
      </c>
      <c r="AA6" s="3236" t="s">
        <v>260</v>
      </c>
      <c r="AB6" s="3236" t="s">
        <v>261</v>
      </c>
      <c r="AC6" s="3236" t="s">
        <v>262</v>
      </c>
      <c r="AD6" s="3236" t="s">
        <v>260</v>
      </c>
      <c r="AE6" s="3236" t="s">
        <v>261</v>
      </c>
      <c r="AF6" s="3236" t="s">
        <v>262</v>
      </c>
      <c r="AG6" s="3236" t="s">
        <v>260</v>
      </c>
      <c r="AH6" s="3236" t="s">
        <v>261</v>
      </c>
      <c r="AI6" s="3236" t="s">
        <v>262</v>
      </c>
      <c r="AJ6" s="3236" t="s">
        <v>260</v>
      </c>
      <c r="AK6" s="3236" t="s">
        <v>261</v>
      </c>
      <c r="AL6" s="3236" t="s">
        <v>262</v>
      </c>
      <c r="AM6" s="3236" t="s">
        <v>260</v>
      </c>
      <c r="AN6" s="3236" t="s">
        <v>261</v>
      </c>
      <c r="AO6" s="3239" t="s">
        <v>262</v>
      </c>
    </row>
    <row r="7" spans="1:44" s="3246" customFormat="1">
      <c r="A7" s="3241" t="s">
        <v>9</v>
      </c>
      <c r="B7" s="3242" t="s">
        <v>263</v>
      </c>
      <c r="C7" s="3169">
        <f>SUM(C9,C15,C18,C19,C20,C21,C25,C28,C31,C35)</f>
        <v>4836300</v>
      </c>
      <c r="D7" s="3169"/>
      <c r="E7" s="3169">
        <f>SUM(E9,E15,E18,E19,E20,E21,E25,E28,E31,E35)</f>
        <v>3939080</v>
      </c>
      <c r="F7" s="3169">
        <f>SUM(F9,F15,F18,F19,F20,F21,F25,F28,F31,F35)</f>
        <v>189200</v>
      </c>
      <c r="G7" s="3169"/>
      <c r="H7" s="3169">
        <f>SUM(H9,H15,H18,H19,H20,H21,H25,H28,H31,H35)</f>
        <v>157900</v>
      </c>
      <c r="I7" s="3169">
        <f>SUM(I9,I15,I18,I19,I20,I21,I25,I28,I31,I35)</f>
        <v>430350</v>
      </c>
      <c r="J7" s="3169"/>
      <c r="K7" s="3169">
        <f>SUM(K9,K15,K18,K19,K20,K21,K25,K28,K31,K35)</f>
        <v>384130</v>
      </c>
      <c r="L7" s="3169">
        <f>SUM(L9,L15,L18,L19,L20,L21,L25,L28,L31,L35)</f>
        <v>101150</v>
      </c>
      <c r="M7" s="3169"/>
      <c r="N7" s="3169">
        <f>SUM(N9,N15,N18,N19,N20,N21,N25,N28,N31,N35)</f>
        <v>96340</v>
      </c>
      <c r="O7" s="3169">
        <f>SUM(O9,O15,O18,O19,O20,O21,O25,O28,O31,O35)</f>
        <v>155300</v>
      </c>
      <c r="P7" s="3169"/>
      <c r="Q7" s="3169">
        <f>SUM(Q9,Q15,Q18,Q19,Q20,Q21,Q25,Q28,Q31,Q35)</f>
        <v>140940</v>
      </c>
      <c r="R7" s="3169">
        <f>SUM(R9,R15,R18,R19,R20,R21,R25,R28,R31,R35)</f>
        <v>260000</v>
      </c>
      <c r="S7" s="3169"/>
      <c r="T7" s="3169">
        <f>SUM(T9,T15,T18,T19,T20,T21,T25,T28,T31,T35)</f>
        <v>241850</v>
      </c>
      <c r="U7" s="3169">
        <f>SUM(U9,U15,U18,U19,U20,U21,U25,U28,U31,U35)</f>
        <v>1450250</v>
      </c>
      <c r="V7" s="3169"/>
      <c r="W7" s="3243">
        <f>SUM(W9,W15,W18,W19,W20,W21,W25,W28,W31,W35)</f>
        <v>1146450</v>
      </c>
      <c r="X7" s="3244">
        <f>SUM(X9,X15,X18,X19,X20,X21,X25,X28,X31,X35)</f>
        <v>280250</v>
      </c>
      <c r="Y7" s="3169"/>
      <c r="Z7" s="3169">
        <f>SUM(Z9,Z15,Z18,Z19,Z20,Z21,Z25,Z28,Z31,Z35)</f>
        <v>259140</v>
      </c>
      <c r="AA7" s="3169">
        <f>SUM(AA9,AA15,AA18,AA19,AA20,AA21,AA25,AA28,AA31,AA35)</f>
        <v>275700</v>
      </c>
      <c r="AB7" s="3169"/>
      <c r="AC7" s="3169">
        <f>SUM(AC9,AC15,AC18,AC19,AC20,AC21,AC25,AC28,AC31,AC35)</f>
        <v>257750</v>
      </c>
      <c r="AD7" s="3169">
        <f>SUM(AD9,AD15,AD18,AD19,AD20,AD21,AD25,AD28,AD31,AD35)</f>
        <v>284000</v>
      </c>
      <c r="AE7" s="3169"/>
      <c r="AF7" s="3169">
        <f>SUM(AF9,AF15,AF18,AF19,AF20,AF21,AF25,AF28,AF31,AF35)</f>
        <v>269200</v>
      </c>
      <c r="AG7" s="3169">
        <f>SUM(AG9,AG15,AG18,AG19,AG20,AG21,AG25,AG28,AG31,AG35)</f>
        <v>195000</v>
      </c>
      <c r="AH7" s="3169"/>
      <c r="AI7" s="3169">
        <f>SUM(AI9,AI15,AI18,AI19,AI20,AI21,AI25,AI28,AI31,AI35)</f>
        <v>175430</v>
      </c>
      <c r="AJ7" s="3169">
        <f>SUM(AJ9,AJ15,AJ18,AJ19,AJ20,AJ21,AJ25,AJ28,AJ31,AJ35)</f>
        <v>930100</v>
      </c>
      <c r="AK7" s="3169"/>
      <c r="AL7" s="3169">
        <f>SUM(AL9,AL15,AL18,AL19,AL20,AL21,AL25,AL28,AL31,AL35)</f>
        <v>544440</v>
      </c>
      <c r="AM7" s="3242">
        <f>SUM(AM9,AM15,AM18,AM19,AM20,AM21,AM25,AM28,AM31,AM35)</f>
        <v>285000</v>
      </c>
      <c r="AN7" s="3242"/>
      <c r="AO7" s="3245">
        <f>SUM(AO9,AO15,AO18,AO19,AO20,AO21,AO25,AO28,AO31,AO35)</f>
        <v>265510</v>
      </c>
    </row>
    <row r="8" spans="1:44" s="3253" customFormat="1">
      <c r="A8" s="3247"/>
      <c r="B8" s="3248" t="s">
        <v>264</v>
      </c>
      <c r="C8" s="3249">
        <f>C7-C28</f>
        <v>3066300</v>
      </c>
      <c r="D8" s="3249"/>
      <c r="E8" s="3249">
        <f t="shared" ref="E8:AO8" si="0">E7-E28</f>
        <v>2796080</v>
      </c>
      <c r="F8" s="3249">
        <f t="shared" si="0"/>
        <v>89200</v>
      </c>
      <c r="G8" s="3249"/>
      <c r="H8" s="3249">
        <f t="shared" si="0"/>
        <v>67900</v>
      </c>
      <c r="I8" s="3249">
        <f t="shared" si="0"/>
        <v>130350</v>
      </c>
      <c r="J8" s="3249"/>
      <c r="K8" s="3249">
        <f t="shared" si="0"/>
        <v>114130</v>
      </c>
      <c r="L8" s="3249">
        <f t="shared" si="0"/>
        <v>71150</v>
      </c>
      <c r="M8" s="3249"/>
      <c r="N8" s="3249">
        <f t="shared" si="0"/>
        <v>69340</v>
      </c>
      <c r="O8" s="3249">
        <f t="shared" si="0"/>
        <v>95300</v>
      </c>
      <c r="P8" s="3249"/>
      <c r="Q8" s="3249">
        <f t="shared" si="0"/>
        <v>86940</v>
      </c>
      <c r="R8" s="3249">
        <f t="shared" si="0"/>
        <v>190000</v>
      </c>
      <c r="S8" s="3249"/>
      <c r="T8" s="3249">
        <f t="shared" si="0"/>
        <v>178850</v>
      </c>
      <c r="U8" s="3249">
        <f t="shared" si="0"/>
        <v>1140250</v>
      </c>
      <c r="V8" s="3249"/>
      <c r="W8" s="3250">
        <f t="shared" si="0"/>
        <v>1002450</v>
      </c>
      <c r="X8" s="3251">
        <f t="shared" si="0"/>
        <v>220250</v>
      </c>
      <c r="Y8" s="3249"/>
      <c r="Z8" s="3249">
        <f t="shared" si="0"/>
        <v>205140</v>
      </c>
      <c r="AA8" s="3249">
        <f t="shared" si="0"/>
        <v>175700</v>
      </c>
      <c r="AB8" s="3249"/>
      <c r="AC8" s="3249">
        <f t="shared" si="0"/>
        <v>167750</v>
      </c>
      <c r="AD8" s="3249">
        <f t="shared" si="0"/>
        <v>224000</v>
      </c>
      <c r="AE8" s="3249"/>
      <c r="AF8" s="3249">
        <f t="shared" si="0"/>
        <v>215200</v>
      </c>
      <c r="AG8" s="3249">
        <f t="shared" si="0"/>
        <v>125000</v>
      </c>
      <c r="AH8" s="3249"/>
      <c r="AI8" s="3249">
        <f t="shared" si="0"/>
        <v>112430</v>
      </c>
      <c r="AJ8" s="3249">
        <f t="shared" si="0"/>
        <v>420100</v>
      </c>
      <c r="AK8" s="3249"/>
      <c r="AL8" s="3249">
        <f t="shared" si="0"/>
        <v>400440</v>
      </c>
      <c r="AM8" s="3248">
        <f t="shared" si="0"/>
        <v>185000</v>
      </c>
      <c r="AN8" s="3248"/>
      <c r="AO8" s="3252">
        <f t="shared" si="0"/>
        <v>175510</v>
      </c>
    </row>
    <row r="9" spans="1:44" s="3246" customFormat="1">
      <c r="A9" s="3254">
        <v>1</v>
      </c>
      <c r="B9" s="3255" t="s">
        <v>265</v>
      </c>
      <c r="C9" s="3183">
        <f>SUM(F9,L9,O9,R9,U9,X9,AA9,AD9,AG9,AJ9,AM9,I9)</f>
        <v>1701000</v>
      </c>
      <c r="D9" s="3183"/>
      <c r="E9" s="3183">
        <f>SUM(H9,N9,Q9,T9,W9,Z9,AC9,AF9,AI9,AL9,AO9,K9)</f>
        <v>1630080</v>
      </c>
      <c r="F9" s="3183">
        <f>SUM(F10:F14)</f>
        <v>19500</v>
      </c>
      <c r="G9" s="3183"/>
      <c r="H9" s="3183">
        <f>SUM(H10:H14)</f>
        <v>18500</v>
      </c>
      <c r="I9" s="3183">
        <f>SUM(I10:I14)</f>
        <v>54000</v>
      </c>
      <c r="J9" s="3183"/>
      <c r="K9" s="3183">
        <f>SUM(K10:K14)</f>
        <v>51680</v>
      </c>
      <c r="L9" s="3183">
        <f>SUM(L10:L14)</f>
        <v>30000</v>
      </c>
      <c r="M9" s="3183"/>
      <c r="N9" s="3183">
        <f>SUM(N10:N14)</f>
        <v>29900</v>
      </c>
      <c r="O9" s="3183">
        <f>SUM(O10:O14)</f>
        <v>37000</v>
      </c>
      <c r="P9" s="3183"/>
      <c r="Q9" s="3183">
        <f>SUM(Q10:Q14)</f>
        <v>36300</v>
      </c>
      <c r="R9" s="3183">
        <f>SUM(R10:R14)</f>
        <v>104000</v>
      </c>
      <c r="S9" s="3183"/>
      <c r="T9" s="3183">
        <f>SUM(T10:T14)</f>
        <v>103600</v>
      </c>
      <c r="U9" s="3183">
        <f>SUM(U10:U14)</f>
        <v>763000</v>
      </c>
      <c r="V9" s="3183"/>
      <c r="W9" s="3256">
        <f>SUM(W10:W14)</f>
        <v>701200</v>
      </c>
      <c r="X9" s="3257">
        <f>SUM(X10:X14)</f>
        <v>96000</v>
      </c>
      <c r="Y9" s="3183"/>
      <c r="Z9" s="3183">
        <f>SUM(Z10:Z14)</f>
        <v>95390</v>
      </c>
      <c r="AA9" s="3183">
        <f>SUM(AA10:AA14)</f>
        <v>78000</v>
      </c>
      <c r="AB9" s="3183"/>
      <c r="AC9" s="3183">
        <f>SUM(AC10:AC14)</f>
        <v>77550</v>
      </c>
      <c r="AD9" s="3183">
        <f>SUM(AD10:AD14)</f>
        <v>138300</v>
      </c>
      <c r="AE9" s="3183"/>
      <c r="AF9" s="3183">
        <f>SUM(AF10:AF14)</f>
        <v>137600</v>
      </c>
      <c r="AG9" s="3183">
        <f>SUM(AG10:AG14)</f>
        <v>48800</v>
      </c>
      <c r="AH9" s="3183"/>
      <c r="AI9" s="3183">
        <f>SUM(AI10:AI14)</f>
        <v>47200</v>
      </c>
      <c r="AJ9" s="3183">
        <f>SUM(AJ10:AJ14)</f>
        <v>252200</v>
      </c>
      <c r="AK9" s="3183"/>
      <c r="AL9" s="3183">
        <f>SUM(AL10:AL14)</f>
        <v>251200</v>
      </c>
      <c r="AM9" s="3255">
        <f>SUM(AM10:AM14)</f>
        <v>80200</v>
      </c>
      <c r="AN9" s="3255"/>
      <c r="AO9" s="3258">
        <f>SUM(AO10:AO14)</f>
        <v>79960</v>
      </c>
    </row>
    <row r="10" spans="1:44">
      <c r="A10" s="3259" t="s">
        <v>137</v>
      </c>
      <c r="B10" s="75" t="s">
        <v>266</v>
      </c>
      <c r="C10" s="3186">
        <f>SUM(F10,L10,O10,R10,U10,X10,AA10,AD10,AG10,AJ10,AM10,I10)</f>
        <v>724290</v>
      </c>
      <c r="D10" s="3186">
        <f>AVERAGE(G10,J10,M10,P10,S10,V10,Y10,AB10,AE10,AH10,AK10,AN10)</f>
        <v>100</v>
      </c>
      <c r="E10" s="3186">
        <f t="shared" ref="E10:E20" si="1">SUM(H10,N10,Q10,T10,W10,Z10,AC10,AF10,AI10,AL10,AO10,K10)</f>
        <v>724290</v>
      </c>
      <c r="F10" s="3186">
        <f>'Phụ lục số 5'!F10</f>
        <v>14100</v>
      </c>
      <c r="G10" s="3186">
        <v>100</v>
      </c>
      <c r="H10" s="3186">
        <f>F10*G10/100</f>
        <v>14100</v>
      </c>
      <c r="I10" s="3186">
        <f>'Phụ lục số 5'!I10</f>
        <v>45500</v>
      </c>
      <c r="J10" s="3186">
        <v>100</v>
      </c>
      <c r="K10" s="3186">
        <f t="shared" ref="K10:K20" si="2">I10*J10/100</f>
        <v>45500</v>
      </c>
      <c r="L10" s="3186">
        <f>'Phụ lục số 5'!L10</f>
        <v>28900</v>
      </c>
      <c r="M10" s="3186">
        <v>100</v>
      </c>
      <c r="N10" s="3186">
        <f t="shared" ref="N10:N20" si="3">L10*M10/100</f>
        <v>28900</v>
      </c>
      <c r="O10" s="3186">
        <f>'Phụ lục số 5'!O10</f>
        <v>29300</v>
      </c>
      <c r="P10" s="3186">
        <v>100</v>
      </c>
      <c r="Q10" s="3186">
        <f>O10*P10/100</f>
        <v>29300</v>
      </c>
      <c r="R10" s="3186">
        <f>'Phụ lục số 5'!R10</f>
        <v>20100</v>
      </c>
      <c r="S10" s="3186">
        <v>100</v>
      </c>
      <c r="T10" s="3186">
        <f t="shared" ref="T10:T20" si="4">R10*S10/100</f>
        <v>20100</v>
      </c>
      <c r="U10" s="3186">
        <f>'Phụ lục số 5'!U10</f>
        <v>261600</v>
      </c>
      <c r="V10" s="3186">
        <v>100</v>
      </c>
      <c r="W10" s="3260">
        <f t="shared" ref="W10:W20" si="5">U10*V10/100</f>
        <v>261600</v>
      </c>
      <c r="X10" s="3261">
        <f>'Phụ lục số 5'!X10</f>
        <v>45390</v>
      </c>
      <c r="Y10" s="3186">
        <v>100</v>
      </c>
      <c r="Z10" s="3186">
        <f t="shared" ref="Z10:Z20" si="6">X10*Y10/100</f>
        <v>45390</v>
      </c>
      <c r="AA10" s="3186">
        <f>'Phụ lục số 5'!AA10</f>
        <v>63900</v>
      </c>
      <c r="AB10" s="3186">
        <v>100</v>
      </c>
      <c r="AC10" s="3186">
        <f t="shared" ref="AC10:AC20" si="7">AA10*AB10/100</f>
        <v>63900</v>
      </c>
      <c r="AD10" s="3186">
        <f>'Phụ lục số 5'!AD10</f>
        <v>38600</v>
      </c>
      <c r="AE10" s="3186">
        <v>100</v>
      </c>
      <c r="AF10" s="3186">
        <f t="shared" ref="AF10:AF20" si="8">AD10*AE10/100</f>
        <v>38600</v>
      </c>
      <c r="AG10" s="3186">
        <f>'Phụ lục số 5'!AG10</f>
        <v>30900</v>
      </c>
      <c r="AH10" s="3186">
        <v>100</v>
      </c>
      <c r="AI10" s="3186">
        <f t="shared" ref="AI10:AI20" si="9">AG10*AH10/100</f>
        <v>30900</v>
      </c>
      <c r="AJ10" s="3186">
        <f>'Phụ lục số 5'!AJ10</f>
        <v>100000</v>
      </c>
      <c r="AK10" s="3186">
        <v>100</v>
      </c>
      <c r="AL10" s="3186">
        <f t="shared" ref="AL10:AL20" si="10">AJ10*AK10/100</f>
        <v>100000</v>
      </c>
      <c r="AM10" s="75">
        <f>'Phụ lục số 5'!AM10</f>
        <v>46000</v>
      </c>
      <c r="AN10" s="75">
        <v>100</v>
      </c>
      <c r="AO10" s="3262">
        <f t="shared" ref="AO10:AO20" si="11">AM10*AN10/100</f>
        <v>46000</v>
      </c>
    </row>
    <row r="11" spans="1:44">
      <c r="A11" s="3259" t="s">
        <v>137</v>
      </c>
      <c r="B11" s="75" t="s">
        <v>267</v>
      </c>
      <c r="C11" s="3186">
        <f t="shared" ref="C11:C20" si="12">SUM(F11,L11,O11,R11,U11,X11,AA11,AD11,AG11,AJ11,AM11,I11)</f>
        <v>905790</v>
      </c>
      <c r="D11" s="3186">
        <f t="shared" ref="D11:D35" si="13">AVERAGE(G11,J11,M11,P11,S11,V11,Y11,AB11,AE11,AH11,AK11,AN11)</f>
        <v>100</v>
      </c>
      <c r="E11" s="3186">
        <f t="shared" si="1"/>
        <v>905790</v>
      </c>
      <c r="F11" s="3186">
        <f>'Phụ lục số 5'!F11</f>
        <v>4400</v>
      </c>
      <c r="G11" s="3186">
        <v>100</v>
      </c>
      <c r="H11" s="3186">
        <f t="shared" ref="H11:H34" si="14">F11*G11/100</f>
        <v>4400</v>
      </c>
      <c r="I11" s="3186">
        <f>'Phụ lục số 5'!I11</f>
        <v>6180</v>
      </c>
      <c r="J11" s="3186">
        <v>100</v>
      </c>
      <c r="K11" s="3186">
        <f t="shared" si="2"/>
        <v>6180</v>
      </c>
      <c r="L11" s="3186">
        <f>'Phụ lục số 5'!L11</f>
        <v>1000</v>
      </c>
      <c r="M11" s="3186">
        <v>100</v>
      </c>
      <c r="N11" s="3186">
        <f t="shared" si="3"/>
        <v>1000</v>
      </c>
      <c r="O11" s="3186">
        <f>'Phụ lục số 5'!O11</f>
        <v>7000</v>
      </c>
      <c r="P11" s="3186">
        <v>100</v>
      </c>
      <c r="Q11" s="3186">
        <f t="shared" ref="Q11:Q20" si="15">O11*P11/100</f>
        <v>7000</v>
      </c>
      <c r="R11" s="3186">
        <f>'Phụ lục số 5'!R11</f>
        <v>83500</v>
      </c>
      <c r="S11" s="3186">
        <v>100</v>
      </c>
      <c r="T11" s="3186">
        <f t="shared" si="4"/>
        <v>83500</v>
      </c>
      <c r="U11" s="3186">
        <f>'Phụ lục số 5'!U11</f>
        <v>439600</v>
      </c>
      <c r="V11" s="3186">
        <v>100</v>
      </c>
      <c r="W11" s="3260">
        <f t="shared" si="5"/>
        <v>439600</v>
      </c>
      <c r="X11" s="3261">
        <f>'Phụ lục số 5'!X11</f>
        <v>50000</v>
      </c>
      <c r="Y11" s="3186">
        <v>100</v>
      </c>
      <c r="Z11" s="3186">
        <f t="shared" si="6"/>
        <v>50000</v>
      </c>
      <c r="AA11" s="3186">
        <f>'Phụ lục số 5'!AA11</f>
        <v>13650</v>
      </c>
      <c r="AB11" s="3186">
        <v>100</v>
      </c>
      <c r="AC11" s="3186">
        <f t="shared" si="7"/>
        <v>13650</v>
      </c>
      <c r="AD11" s="3186">
        <f>'Phụ lục số 5'!AD11</f>
        <v>99000</v>
      </c>
      <c r="AE11" s="3186">
        <v>100</v>
      </c>
      <c r="AF11" s="3186">
        <f t="shared" si="8"/>
        <v>99000</v>
      </c>
      <c r="AG11" s="3186">
        <f>'Phụ lục số 5'!AG11</f>
        <v>16300</v>
      </c>
      <c r="AH11" s="3186">
        <v>100</v>
      </c>
      <c r="AI11" s="3186">
        <f t="shared" si="9"/>
        <v>16300</v>
      </c>
      <c r="AJ11" s="3186">
        <f>'Phụ lục số 5'!AJ11</f>
        <v>151200</v>
      </c>
      <c r="AK11" s="3186">
        <v>100</v>
      </c>
      <c r="AL11" s="3186">
        <f t="shared" si="10"/>
        <v>151200</v>
      </c>
      <c r="AM11" s="75">
        <f>'Phụ lục số 5'!AM11</f>
        <v>33960</v>
      </c>
      <c r="AN11" s="75">
        <v>100</v>
      </c>
      <c r="AO11" s="3262">
        <f t="shared" si="11"/>
        <v>33960</v>
      </c>
    </row>
    <row r="12" spans="1:44">
      <c r="A12" s="3259" t="s">
        <v>137</v>
      </c>
      <c r="B12" s="75" t="s">
        <v>268</v>
      </c>
      <c r="C12" s="3186">
        <f t="shared" si="12"/>
        <v>63450</v>
      </c>
      <c r="D12" s="3186">
        <f t="shared" si="13"/>
        <v>0</v>
      </c>
      <c r="E12" s="3186">
        <f t="shared" si="1"/>
        <v>0</v>
      </c>
      <c r="F12" s="3186">
        <f>'Phụ lục số 5'!F12</f>
        <v>0</v>
      </c>
      <c r="G12" s="3186">
        <v>0</v>
      </c>
      <c r="H12" s="3186">
        <f t="shared" si="14"/>
        <v>0</v>
      </c>
      <c r="I12" s="3186">
        <f>'Phụ lục số 5'!I12</f>
        <v>800</v>
      </c>
      <c r="J12" s="3186">
        <v>0</v>
      </c>
      <c r="K12" s="3186">
        <f t="shared" si="2"/>
        <v>0</v>
      </c>
      <c r="L12" s="3186">
        <f>'Phụ lục số 5'!L12</f>
        <v>50</v>
      </c>
      <c r="M12" s="3186">
        <v>0</v>
      </c>
      <c r="N12" s="3186">
        <f t="shared" si="3"/>
        <v>0</v>
      </c>
      <c r="O12" s="3186">
        <f>'Phụ lục số 5'!O12</f>
        <v>200</v>
      </c>
      <c r="P12" s="3186">
        <v>0</v>
      </c>
      <c r="Q12" s="3186">
        <f t="shared" si="15"/>
        <v>0</v>
      </c>
      <c r="R12" s="3186">
        <f>'Phụ lục số 5'!R12</f>
        <v>100</v>
      </c>
      <c r="S12" s="3186">
        <v>0</v>
      </c>
      <c r="T12" s="3186">
        <f t="shared" si="4"/>
        <v>0</v>
      </c>
      <c r="U12" s="3186">
        <f>'Phụ lục số 5'!U12</f>
        <v>61200</v>
      </c>
      <c r="V12" s="3186">
        <v>0</v>
      </c>
      <c r="W12" s="3260">
        <f t="shared" si="5"/>
        <v>0</v>
      </c>
      <c r="X12" s="3261">
        <f>'Phụ lục số 5'!X12</f>
        <v>100</v>
      </c>
      <c r="Y12" s="3186">
        <v>0</v>
      </c>
      <c r="Z12" s="3186">
        <f t="shared" si="6"/>
        <v>0</v>
      </c>
      <c r="AA12" s="3186">
        <f>'Phụ lục số 5'!AA12</f>
        <v>100</v>
      </c>
      <c r="AB12" s="3186">
        <v>0</v>
      </c>
      <c r="AC12" s="3186">
        <f t="shared" si="7"/>
        <v>0</v>
      </c>
      <c r="AD12" s="3186">
        <f>'Phụ lục số 5'!AD12</f>
        <v>100</v>
      </c>
      <c r="AE12" s="3186">
        <v>0</v>
      </c>
      <c r="AF12" s="3186">
        <f t="shared" si="8"/>
        <v>0</v>
      </c>
      <c r="AG12" s="3186">
        <f>'Phụ lục số 5'!AG12</f>
        <v>200</v>
      </c>
      <c r="AH12" s="3186">
        <v>0</v>
      </c>
      <c r="AI12" s="3186">
        <f t="shared" si="9"/>
        <v>0</v>
      </c>
      <c r="AJ12" s="3186">
        <f>'Phụ lục số 5'!AJ12</f>
        <v>500</v>
      </c>
      <c r="AK12" s="3186">
        <v>0</v>
      </c>
      <c r="AL12" s="3186">
        <f t="shared" si="10"/>
        <v>0</v>
      </c>
      <c r="AM12" s="75">
        <f>'Phụ lục số 5'!AM12</f>
        <v>100</v>
      </c>
      <c r="AN12" s="75">
        <v>0</v>
      </c>
      <c r="AO12" s="3262">
        <f t="shared" si="11"/>
        <v>0</v>
      </c>
    </row>
    <row r="13" spans="1:44">
      <c r="A13" s="3259" t="s">
        <v>137</v>
      </c>
      <c r="B13" s="75" t="s">
        <v>14</v>
      </c>
      <c r="C13" s="3186">
        <f t="shared" si="12"/>
        <v>5970</v>
      </c>
      <c r="D13" s="3186">
        <f t="shared" si="13"/>
        <v>0</v>
      </c>
      <c r="E13" s="3186">
        <f t="shared" si="1"/>
        <v>0</v>
      </c>
      <c r="F13" s="3186">
        <f>'Phụ lục số 5'!F13</f>
        <v>1000</v>
      </c>
      <c r="G13" s="3186">
        <v>0</v>
      </c>
      <c r="H13" s="3186">
        <f t="shared" si="14"/>
        <v>0</v>
      </c>
      <c r="I13" s="3186">
        <f>'Phụ lục số 5'!I13</f>
        <v>20</v>
      </c>
      <c r="J13" s="3186">
        <v>0</v>
      </c>
      <c r="K13" s="3186">
        <f t="shared" si="2"/>
        <v>0</v>
      </c>
      <c r="L13" s="3186">
        <f>'Phụ lục số 5'!L13</f>
        <v>50</v>
      </c>
      <c r="M13" s="3186">
        <v>0</v>
      </c>
      <c r="N13" s="3186">
        <f t="shared" si="3"/>
        <v>0</v>
      </c>
      <c r="O13" s="3186">
        <f>'Phụ lục số 5'!O13</f>
        <v>500</v>
      </c>
      <c r="P13" s="3186">
        <v>0</v>
      </c>
      <c r="Q13" s="3186">
        <f t="shared" si="15"/>
        <v>0</v>
      </c>
      <c r="R13" s="3186">
        <f>'Phụ lục số 5'!R13</f>
        <v>300</v>
      </c>
      <c r="S13" s="3186">
        <v>0</v>
      </c>
      <c r="T13" s="3186">
        <f t="shared" si="4"/>
        <v>0</v>
      </c>
      <c r="U13" s="3186">
        <f>'Phụ lục số 5'!U13</f>
        <v>600</v>
      </c>
      <c r="V13" s="3186">
        <v>0</v>
      </c>
      <c r="W13" s="3260">
        <f t="shared" si="5"/>
        <v>0</v>
      </c>
      <c r="X13" s="3261">
        <f>'Phụ lục số 5'!X13</f>
        <v>510</v>
      </c>
      <c r="Y13" s="3186">
        <v>0</v>
      </c>
      <c r="Z13" s="3186">
        <f t="shared" si="6"/>
        <v>0</v>
      </c>
      <c r="AA13" s="3186">
        <f>'Phụ lục số 5'!AA13</f>
        <v>350</v>
      </c>
      <c r="AB13" s="3186">
        <v>0</v>
      </c>
      <c r="AC13" s="3186">
        <f t="shared" si="7"/>
        <v>0</v>
      </c>
      <c r="AD13" s="3186">
        <f>'Phụ lục số 5'!AD13</f>
        <v>600</v>
      </c>
      <c r="AE13" s="3186">
        <v>0</v>
      </c>
      <c r="AF13" s="3186">
        <f t="shared" si="8"/>
        <v>0</v>
      </c>
      <c r="AG13" s="3186">
        <f>'Phụ lục số 5'!AG13</f>
        <v>1400</v>
      </c>
      <c r="AH13" s="3186">
        <v>0</v>
      </c>
      <c r="AI13" s="3186">
        <f t="shared" si="9"/>
        <v>0</v>
      </c>
      <c r="AJ13" s="3186">
        <f>'Phụ lục số 5'!AJ13</f>
        <v>500</v>
      </c>
      <c r="AK13" s="3186">
        <v>0</v>
      </c>
      <c r="AL13" s="3186">
        <f t="shared" si="10"/>
        <v>0</v>
      </c>
      <c r="AM13" s="75">
        <f>'Phụ lục số 5'!AM13</f>
        <v>140</v>
      </c>
      <c r="AN13" s="75">
        <v>0</v>
      </c>
      <c r="AO13" s="3262">
        <f t="shared" si="11"/>
        <v>0</v>
      </c>
    </row>
    <row r="14" spans="1:44">
      <c r="A14" s="3259" t="s">
        <v>137</v>
      </c>
      <c r="B14" s="75" t="s">
        <v>269</v>
      </c>
      <c r="C14" s="3186">
        <f t="shared" si="12"/>
        <v>1500</v>
      </c>
      <c r="D14" s="3186"/>
      <c r="E14" s="3186">
        <f t="shared" si="1"/>
        <v>0</v>
      </c>
      <c r="F14" s="3186">
        <f>'Phụ lục số 5'!F14</f>
        <v>0</v>
      </c>
      <c r="G14" s="3186">
        <v>100</v>
      </c>
      <c r="H14" s="3186">
        <f t="shared" si="14"/>
        <v>0</v>
      </c>
      <c r="I14" s="3186">
        <f>'Phụ lục số 5'!I14</f>
        <v>1500</v>
      </c>
      <c r="J14" s="3186"/>
      <c r="K14" s="3186">
        <f t="shared" si="2"/>
        <v>0</v>
      </c>
      <c r="L14" s="3186">
        <f>'Phụ lục số 5'!L14</f>
        <v>0</v>
      </c>
      <c r="M14" s="3186"/>
      <c r="N14" s="3186">
        <f t="shared" si="3"/>
        <v>0</v>
      </c>
      <c r="O14" s="3186">
        <f>'Phụ lục số 5'!O14</f>
        <v>0</v>
      </c>
      <c r="P14" s="3186"/>
      <c r="Q14" s="3186">
        <f t="shared" si="15"/>
        <v>0</v>
      </c>
      <c r="R14" s="3186">
        <f>'Phụ lục số 5'!R14</f>
        <v>0</v>
      </c>
      <c r="S14" s="3186"/>
      <c r="T14" s="3186">
        <f t="shared" si="4"/>
        <v>0</v>
      </c>
      <c r="U14" s="3186">
        <f>'Phụ lục số 5'!U14</f>
        <v>0</v>
      </c>
      <c r="V14" s="3186"/>
      <c r="W14" s="3260">
        <f t="shared" si="5"/>
        <v>0</v>
      </c>
      <c r="X14" s="3261">
        <f>'Phụ lục số 5'!X14</f>
        <v>0</v>
      </c>
      <c r="Y14" s="3186"/>
      <c r="Z14" s="3186">
        <f t="shared" si="6"/>
        <v>0</v>
      </c>
      <c r="AA14" s="3186">
        <f>'Phụ lục số 5'!AA14</f>
        <v>0</v>
      </c>
      <c r="AB14" s="3186"/>
      <c r="AC14" s="3186">
        <f t="shared" si="7"/>
        <v>0</v>
      </c>
      <c r="AD14" s="3186">
        <f>'Phụ lục số 5'!AD14</f>
        <v>0</v>
      </c>
      <c r="AE14" s="3186"/>
      <c r="AF14" s="3186">
        <f t="shared" si="8"/>
        <v>0</v>
      </c>
      <c r="AG14" s="3186">
        <f>'Phụ lục số 5'!AG14</f>
        <v>0</v>
      </c>
      <c r="AH14" s="3186"/>
      <c r="AI14" s="3186">
        <f t="shared" si="9"/>
        <v>0</v>
      </c>
      <c r="AJ14" s="3186">
        <f>'Phụ lục số 5'!AJ14</f>
        <v>0</v>
      </c>
      <c r="AK14" s="3186"/>
      <c r="AL14" s="3186">
        <f t="shared" si="10"/>
        <v>0</v>
      </c>
      <c r="AM14" s="75">
        <f>'Phụ lục số 5'!AM14</f>
        <v>0</v>
      </c>
      <c r="AN14" s="75"/>
      <c r="AO14" s="3262">
        <f t="shared" si="11"/>
        <v>0</v>
      </c>
    </row>
    <row r="15" spans="1:44" s="3027" customFormat="1" ht="17.399999999999999">
      <c r="A15" s="3254">
        <v>2</v>
      </c>
      <c r="B15" s="3255" t="s">
        <v>97</v>
      </c>
      <c r="C15" s="3183">
        <f>SUM(C16:C17)</f>
        <v>322000</v>
      </c>
      <c r="D15" s="3183">
        <f t="shared" si="13"/>
        <v>100</v>
      </c>
      <c r="E15" s="3183">
        <f>SUM(E16:E17)</f>
        <v>322000</v>
      </c>
      <c r="F15" s="3183">
        <f>SUM(F16:F17)</f>
        <v>12000</v>
      </c>
      <c r="G15" s="3183">
        <v>100</v>
      </c>
      <c r="H15" s="3183">
        <f>SUM(H16:H17)</f>
        <v>12000</v>
      </c>
      <c r="I15" s="3183">
        <f>SUM(I16:I17)</f>
        <v>20000</v>
      </c>
      <c r="J15" s="3183">
        <v>100</v>
      </c>
      <c r="K15" s="3183">
        <f>SUM(K16:K17)</f>
        <v>20000</v>
      </c>
      <c r="L15" s="3183">
        <f>SUM(L16:L17)</f>
        <v>15000</v>
      </c>
      <c r="M15" s="3183">
        <v>100</v>
      </c>
      <c r="N15" s="3183">
        <f>SUM(N16:N17)</f>
        <v>15000</v>
      </c>
      <c r="O15" s="3183">
        <f>SUM(O16:O17)</f>
        <v>18000</v>
      </c>
      <c r="P15" s="3183">
        <v>100</v>
      </c>
      <c r="Q15" s="3183">
        <f>SUM(Q16:Q17)</f>
        <v>18000</v>
      </c>
      <c r="R15" s="3183">
        <f>SUM(R16:R17)</f>
        <v>17000</v>
      </c>
      <c r="S15" s="3183">
        <v>100</v>
      </c>
      <c r="T15" s="3183">
        <f>SUM(T16:T17)</f>
        <v>17000</v>
      </c>
      <c r="U15" s="3183">
        <f>SUM(U16:U17)</f>
        <v>70000</v>
      </c>
      <c r="V15" s="3183">
        <v>100</v>
      </c>
      <c r="W15" s="3256">
        <f>SUM(W16:W17)</f>
        <v>70000</v>
      </c>
      <c r="X15" s="3257">
        <f>SUM(X16:X17)</f>
        <v>32000</v>
      </c>
      <c r="Y15" s="3183">
        <v>100</v>
      </c>
      <c r="Z15" s="3183">
        <f>SUM(Z16:Z17)</f>
        <v>32000</v>
      </c>
      <c r="AA15" s="3183">
        <f>SUM(AA16:AA17)</f>
        <v>31000</v>
      </c>
      <c r="AB15" s="3183">
        <v>100</v>
      </c>
      <c r="AC15" s="3183">
        <f>SUM(AC16:AC17)</f>
        <v>31000</v>
      </c>
      <c r="AD15" s="3183">
        <f>SUM(AD16:AD17)</f>
        <v>25000</v>
      </c>
      <c r="AE15" s="3183">
        <v>100</v>
      </c>
      <c r="AF15" s="3183">
        <f>SUM(AF16:AF17)</f>
        <v>25000</v>
      </c>
      <c r="AG15" s="3183">
        <f>SUM(AG16:AG17)</f>
        <v>24000</v>
      </c>
      <c r="AH15" s="3183">
        <v>100</v>
      </c>
      <c r="AI15" s="3183">
        <f>SUM(AI16:AI17)</f>
        <v>24000</v>
      </c>
      <c r="AJ15" s="3183">
        <f>SUM(AJ16:AJ17)</f>
        <v>39000</v>
      </c>
      <c r="AK15" s="3183">
        <v>100</v>
      </c>
      <c r="AL15" s="3183">
        <f>SUM(AL16:AL17)</f>
        <v>39000</v>
      </c>
      <c r="AM15" s="3183">
        <f>SUM(AM16:AM17)</f>
        <v>19000</v>
      </c>
      <c r="AN15" s="3183">
        <v>100</v>
      </c>
      <c r="AO15" s="3185">
        <f>SUM(AO16:AO17)</f>
        <v>19000</v>
      </c>
    </row>
    <row r="16" spans="1:44" s="3027" customFormat="1" hidden="1">
      <c r="A16" s="3263" t="s">
        <v>137</v>
      </c>
      <c r="B16" s="1444" t="s">
        <v>276</v>
      </c>
      <c r="C16" s="3186">
        <f>SUM(F16,L16,O16,R16,U16,X16,AA16,AD16,AG16,AJ16,AM16,I16)</f>
        <v>0</v>
      </c>
      <c r="D16" s="3186" t="str">
        <f>IF(E16=0,"",E16/C16*100)</f>
        <v/>
      </c>
      <c r="E16" s="3186">
        <f t="shared" si="1"/>
        <v>0</v>
      </c>
      <c r="F16" s="3183">
        <f>'Phụ lục số 5'!F16</f>
        <v>0</v>
      </c>
      <c r="G16" s="3183"/>
      <c r="H16" s="3183"/>
      <c r="I16" s="3183"/>
      <c r="J16" s="3183"/>
      <c r="K16" s="3183"/>
      <c r="L16" s="3186">
        <f>'Phụ lục số 5'!L16</f>
        <v>0</v>
      </c>
      <c r="M16" s="3183"/>
      <c r="N16" s="3183"/>
      <c r="O16" s="3183"/>
      <c r="P16" s="3183"/>
      <c r="Q16" s="3183"/>
      <c r="R16" s="3186">
        <f>'Phụ lục số 5'!R16</f>
        <v>0</v>
      </c>
      <c r="S16" s="3183"/>
      <c r="T16" s="3183"/>
      <c r="U16" s="3186">
        <f>'Phụ lục số 5'!U16</f>
        <v>0</v>
      </c>
      <c r="V16" s="3183"/>
      <c r="W16" s="3256"/>
      <c r="X16" s="3261">
        <f>'Phụ lục số 5'!X16</f>
        <v>0</v>
      </c>
      <c r="Y16" s="3183"/>
      <c r="Z16" s="3183"/>
      <c r="AA16" s="3186">
        <f>'Phụ lục số 5'!AA16</f>
        <v>0</v>
      </c>
      <c r="AB16" s="3183"/>
      <c r="AC16" s="3183"/>
      <c r="AD16" s="3186">
        <f>'Phụ lục số 5'!AD16</f>
        <v>0</v>
      </c>
      <c r="AE16" s="3183"/>
      <c r="AF16" s="3183"/>
      <c r="AG16" s="3186">
        <f>'Phụ lục số 5'!AG16</f>
        <v>0</v>
      </c>
      <c r="AH16" s="3183"/>
      <c r="AI16" s="3183"/>
      <c r="AJ16" s="3186">
        <f>'Phụ lục số 5'!AJ16</f>
        <v>0</v>
      </c>
      <c r="AK16" s="3183"/>
      <c r="AL16" s="3183"/>
      <c r="AM16" s="75">
        <f>'Phụ lục số 5'!AM16</f>
        <v>0</v>
      </c>
      <c r="AN16" s="3255"/>
      <c r="AO16" s="3258"/>
    </row>
    <row r="17" spans="1:41" hidden="1">
      <c r="A17" s="3259" t="s">
        <v>137</v>
      </c>
      <c r="B17" s="1444" t="s">
        <v>277</v>
      </c>
      <c r="C17" s="3186">
        <f>SUM(F17,L17,O17,R17,U17,X17,AA17,AD17,AG17,AJ17,AM17,I17)</f>
        <v>322000</v>
      </c>
      <c r="D17" s="3186">
        <f>IF(E17=0,"",E17/C17*100)</f>
        <v>100</v>
      </c>
      <c r="E17" s="3186">
        <f t="shared" si="1"/>
        <v>322000</v>
      </c>
      <c r="F17" s="3172">
        <f>'Phụ lục số 5'!F17</f>
        <v>12000</v>
      </c>
      <c r="G17" s="3186">
        <v>100</v>
      </c>
      <c r="H17" s="3186">
        <f>F17/G17*100</f>
        <v>12000</v>
      </c>
      <c r="I17" s="3186">
        <f>'Phụ lục số 5'!I17</f>
        <v>20000</v>
      </c>
      <c r="J17" s="3186">
        <v>100</v>
      </c>
      <c r="K17" s="3186">
        <f>I17/J17*100</f>
        <v>20000</v>
      </c>
      <c r="L17" s="3186">
        <f>'Phụ lục số 5'!L17</f>
        <v>15000</v>
      </c>
      <c r="M17" s="3186">
        <v>100</v>
      </c>
      <c r="N17" s="3186">
        <f>L17/M17*100</f>
        <v>15000</v>
      </c>
      <c r="O17" s="3186">
        <f>'Phụ lục số 5'!O17</f>
        <v>18000</v>
      </c>
      <c r="P17" s="3186">
        <v>100</v>
      </c>
      <c r="Q17" s="3186">
        <f>O17/P17*100</f>
        <v>18000</v>
      </c>
      <c r="R17" s="3186">
        <f>'Phụ lục số 5'!R17</f>
        <v>17000</v>
      </c>
      <c r="S17" s="3186">
        <v>100</v>
      </c>
      <c r="T17" s="3186">
        <f>R17/S17*100</f>
        <v>17000</v>
      </c>
      <c r="U17" s="3186">
        <f>'Phụ lục số 5'!U17</f>
        <v>70000</v>
      </c>
      <c r="V17" s="3186">
        <v>100</v>
      </c>
      <c r="W17" s="3260">
        <f>U17/V17*100</f>
        <v>70000</v>
      </c>
      <c r="X17" s="3261">
        <f>'Phụ lục số 5'!X17</f>
        <v>32000</v>
      </c>
      <c r="Y17" s="3186">
        <v>100</v>
      </c>
      <c r="Z17" s="3186">
        <f>X17/Y17*100</f>
        <v>32000</v>
      </c>
      <c r="AA17" s="3186">
        <f>'Phụ lục số 5'!AA17</f>
        <v>31000</v>
      </c>
      <c r="AB17" s="3186">
        <v>100</v>
      </c>
      <c r="AC17" s="3186">
        <f>AA17/AB17*100</f>
        <v>31000</v>
      </c>
      <c r="AD17" s="3186">
        <f>'Phụ lục số 5'!AD17</f>
        <v>25000</v>
      </c>
      <c r="AE17" s="3186">
        <v>100</v>
      </c>
      <c r="AF17" s="3186">
        <f>AD17/AE17*100</f>
        <v>25000</v>
      </c>
      <c r="AG17" s="3186">
        <f>'Phụ lục số 5'!AG17</f>
        <v>24000</v>
      </c>
      <c r="AH17" s="3186">
        <v>100</v>
      </c>
      <c r="AI17" s="3186">
        <f>AG17/AH17*100</f>
        <v>24000</v>
      </c>
      <c r="AJ17" s="3186">
        <f>'Phụ lục số 5'!AJ17</f>
        <v>39000</v>
      </c>
      <c r="AK17" s="3186">
        <v>100</v>
      </c>
      <c r="AL17" s="3186">
        <f>AJ17/AK17*100</f>
        <v>39000</v>
      </c>
      <c r="AM17" s="75">
        <f>'Phụ lục số 5'!AM17</f>
        <v>19000</v>
      </c>
      <c r="AN17" s="75">
        <v>100</v>
      </c>
      <c r="AO17" s="3262">
        <f>AM17/AN17*100</f>
        <v>19000</v>
      </c>
    </row>
    <row r="18" spans="1:41" s="3246" customFormat="1">
      <c r="A18" s="3254">
        <v>3</v>
      </c>
      <c r="B18" s="3255" t="s">
        <v>16</v>
      </c>
      <c r="C18" s="3183">
        <f t="shared" si="12"/>
        <v>350000</v>
      </c>
      <c r="D18" s="3183">
        <f t="shared" si="13"/>
        <v>100</v>
      </c>
      <c r="E18" s="3183">
        <f t="shared" si="1"/>
        <v>350000</v>
      </c>
      <c r="F18" s="3183">
        <f>'Phụ lục số 5'!F18</f>
        <v>15000</v>
      </c>
      <c r="G18" s="3183">
        <v>100</v>
      </c>
      <c r="H18" s="3183">
        <f t="shared" si="14"/>
        <v>15000</v>
      </c>
      <c r="I18" s="3183">
        <f>'Phụ lục số 5'!I18</f>
        <v>24000</v>
      </c>
      <c r="J18" s="3183">
        <v>100</v>
      </c>
      <c r="K18" s="3183">
        <f t="shared" si="2"/>
        <v>24000</v>
      </c>
      <c r="L18" s="3183">
        <f>'Phụ lục số 5'!L18</f>
        <v>15000</v>
      </c>
      <c r="M18" s="3183">
        <v>100</v>
      </c>
      <c r="N18" s="3183">
        <f t="shared" si="3"/>
        <v>15000</v>
      </c>
      <c r="O18" s="3183">
        <f>'Phụ lục số 5'!O18</f>
        <v>20000</v>
      </c>
      <c r="P18" s="3183">
        <v>100</v>
      </c>
      <c r="Q18" s="3183">
        <f t="shared" si="15"/>
        <v>20000</v>
      </c>
      <c r="R18" s="3183">
        <f>'Phụ lục số 5'!R18</f>
        <v>26000</v>
      </c>
      <c r="S18" s="3183">
        <v>100</v>
      </c>
      <c r="T18" s="3183">
        <f t="shared" si="4"/>
        <v>26000</v>
      </c>
      <c r="U18" s="3183">
        <f>'Phụ lục số 5'!U18</f>
        <v>72000</v>
      </c>
      <c r="V18" s="3183">
        <v>100</v>
      </c>
      <c r="W18" s="3256">
        <f t="shared" si="5"/>
        <v>72000</v>
      </c>
      <c r="X18" s="3257">
        <f>'Phụ lục số 5'!X18</f>
        <v>38000</v>
      </c>
      <c r="Y18" s="3183">
        <v>100</v>
      </c>
      <c r="Z18" s="3183">
        <f t="shared" si="6"/>
        <v>38000</v>
      </c>
      <c r="AA18" s="3183">
        <f>'Phụ lục số 5'!AA18</f>
        <v>33000</v>
      </c>
      <c r="AB18" s="3183">
        <v>100</v>
      </c>
      <c r="AC18" s="3183">
        <f t="shared" si="7"/>
        <v>33000</v>
      </c>
      <c r="AD18" s="3183">
        <f>'Phụ lục số 5'!AD18</f>
        <v>25000</v>
      </c>
      <c r="AE18" s="3183">
        <v>100</v>
      </c>
      <c r="AF18" s="3183">
        <f t="shared" si="8"/>
        <v>25000</v>
      </c>
      <c r="AG18" s="3183">
        <f>'Phụ lục số 5'!AG18</f>
        <v>24000</v>
      </c>
      <c r="AH18" s="3183">
        <v>100</v>
      </c>
      <c r="AI18" s="3183">
        <f t="shared" si="9"/>
        <v>24000</v>
      </c>
      <c r="AJ18" s="3183">
        <f>'Phụ lục số 5'!AJ18</f>
        <v>33000</v>
      </c>
      <c r="AK18" s="3183">
        <v>100</v>
      </c>
      <c r="AL18" s="3183">
        <f t="shared" si="10"/>
        <v>33000</v>
      </c>
      <c r="AM18" s="3255">
        <f>'Phụ lục số 5'!AM18</f>
        <v>25000</v>
      </c>
      <c r="AN18" s="3255">
        <v>100</v>
      </c>
      <c r="AO18" s="3258">
        <f t="shared" si="11"/>
        <v>25000</v>
      </c>
    </row>
    <row r="19" spans="1:41" s="3246" customFormat="1">
      <c r="A19" s="3254">
        <v>4</v>
      </c>
      <c r="B19" s="3255" t="s">
        <v>270</v>
      </c>
      <c r="C19" s="3183">
        <f t="shared" si="12"/>
        <v>0</v>
      </c>
      <c r="D19" s="3183">
        <f t="shared" si="13"/>
        <v>100</v>
      </c>
      <c r="E19" s="3183">
        <f t="shared" si="1"/>
        <v>0</v>
      </c>
      <c r="F19" s="3183">
        <f>'Phụ lục số 5'!F19</f>
        <v>0</v>
      </c>
      <c r="G19" s="3183">
        <v>100</v>
      </c>
      <c r="H19" s="3183">
        <f t="shared" si="14"/>
        <v>0</v>
      </c>
      <c r="I19" s="3183">
        <f>'Phụ lục số 5'!I19</f>
        <v>0</v>
      </c>
      <c r="J19" s="3183">
        <v>100</v>
      </c>
      <c r="K19" s="3183">
        <f t="shared" si="2"/>
        <v>0</v>
      </c>
      <c r="L19" s="3183">
        <f>'Phụ lục số 5'!L19</f>
        <v>0</v>
      </c>
      <c r="M19" s="3183">
        <v>100</v>
      </c>
      <c r="N19" s="3183">
        <f t="shared" si="3"/>
        <v>0</v>
      </c>
      <c r="O19" s="3183">
        <f>'Phụ lục số 5'!O19</f>
        <v>0</v>
      </c>
      <c r="P19" s="3183">
        <v>100</v>
      </c>
      <c r="Q19" s="3183">
        <f t="shared" si="15"/>
        <v>0</v>
      </c>
      <c r="R19" s="3183">
        <f>'Phụ lục số 5'!R19</f>
        <v>0</v>
      </c>
      <c r="S19" s="3183">
        <v>100</v>
      </c>
      <c r="T19" s="3183">
        <f t="shared" si="4"/>
        <v>0</v>
      </c>
      <c r="U19" s="3183">
        <f>'Phụ lục số 5'!U19</f>
        <v>0</v>
      </c>
      <c r="V19" s="3183">
        <v>100</v>
      </c>
      <c r="W19" s="3256">
        <f t="shared" si="5"/>
        <v>0</v>
      </c>
      <c r="X19" s="3257">
        <f>'Phụ lục số 5'!X19</f>
        <v>0</v>
      </c>
      <c r="Y19" s="3183">
        <v>100</v>
      </c>
      <c r="Z19" s="3183">
        <f t="shared" si="6"/>
        <v>0</v>
      </c>
      <c r="AA19" s="3183">
        <f>'Phụ lục số 5'!AA19</f>
        <v>0</v>
      </c>
      <c r="AB19" s="3183">
        <v>100</v>
      </c>
      <c r="AC19" s="3183">
        <f t="shared" si="7"/>
        <v>0</v>
      </c>
      <c r="AD19" s="3183">
        <f>'Phụ lục số 5'!AD19</f>
        <v>0</v>
      </c>
      <c r="AE19" s="3183">
        <v>100</v>
      </c>
      <c r="AF19" s="3183">
        <f t="shared" si="8"/>
        <v>0</v>
      </c>
      <c r="AG19" s="3183">
        <f>'Phụ lục số 5'!AG19</f>
        <v>0</v>
      </c>
      <c r="AH19" s="3183">
        <v>100</v>
      </c>
      <c r="AI19" s="3183">
        <f t="shared" si="9"/>
        <v>0</v>
      </c>
      <c r="AJ19" s="3183">
        <f>'Phụ lục số 5'!AJ19</f>
        <v>0</v>
      </c>
      <c r="AK19" s="3183">
        <v>100</v>
      </c>
      <c r="AL19" s="3183">
        <f t="shared" si="10"/>
        <v>0</v>
      </c>
      <c r="AM19" s="3255">
        <f>'Phụ lục số 5'!AM19</f>
        <v>0</v>
      </c>
      <c r="AN19" s="3255">
        <v>100</v>
      </c>
      <c r="AO19" s="3258">
        <f t="shared" si="11"/>
        <v>0</v>
      </c>
    </row>
    <row r="20" spans="1:41" s="3246" customFormat="1">
      <c r="A20" s="3254">
        <v>4</v>
      </c>
      <c r="B20" s="3255" t="s">
        <v>271</v>
      </c>
      <c r="C20" s="3183">
        <f t="shared" si="12"/>
        <v>15000</v>
      </c>
      <c r="D20" s="3183">
        <f t="shared" si="13"/>
        <v>100</v>
      </c>
      <c r="E20" s="3183">
        <f t="shared" si="1"/>
        <v>15000</v>
      </c>
      <c r="F20" s="3183">
        <f>'Phụ lục số 5'!F20</f>
        <v>0</v>
      </c>
      <c r="G20" s="3183">
        <v>100</v>
      </c>
      <c r="H20" s="3183">
        <f t="shared" si="14"/>
        <v>0</v>
      </c>
      <c r="I20" s="3183">
        <f>'Phụ lục số 5'!I20</f>
        <v>250</v>
      </c>
      <c r="J20" s="3183">
        <v>100</v>
      </c>
      <c r="K20" s="3183">
        <f t="shared" si="2"/>
        <v>250</v>
      </c>
      <c r="L20" s="3183">
        <f>'Phụ lục số 5'!L20</f>
        <v>250</v>
      </c>
      <c r="M20" s="3183">
        <v>100</v>
      </c>
      <c r="N20" s="3183">
        <f t="shared" si="3"/>
        <v>250</v>
      </c>
      <c r="O20" s="3183">
        <f>'Phụ lục số 5'!O20</f>
        <v>200</v>
      </c>
      <c r="P20" s="3183">
        <v>100</v>
      </c>
      <c r="Q20" s="3183">
        <f t="shared" si="15"/>
        <v>200</v>
      </c>
      <c r="R20" s="3183">
        <f>'Phụ lục số 5'!R20</f>
        <v>1000</v>
      </c>
      <c r="S20" s="3183">
        <v>100</v>
      </c>
      <c r="T20" s="3183">
        <f t="shared" si="4"/>
        <v>1000</v>
      </c>
      <c r="U20" s="3183">
        <f>'Phụ lục số 5'!U20</f>
        <v>4150</v>
      </c>
      <c r="V20" s="3183">
        <v>100</v>
      </c>
      <c r="W20" s="3256">
        <f t="shared" si="5"/>
        <v>4150</v>
      </c>
      <c r="X20" s="3257">
        <f>'Phụ lục số 5'!X20</f>
        <v>2000</v>
      </c>
      <c r="Y20" s="3183">
        <v>100</v>
      </c>
      <c r="Z20" s="3183">
        <f t="shared" si="6"/>
        <v>2000</v>
      </c>
      <c r="AA20" s="3183">
        <f>'Phụ lục số 5'!AA20</f>
        <v>1900</v>
      </c>
      <c r="AB20" s="3183">
        <v>100</v>
      </c>
      <c r="AC20" s="3183">
        <f t="shared" si="7"/>
        <v>1900</v>
      </c>
      <c r="AD20" s="3183">
        <f>'Phụ lục số 5'!AD20</f>
        <v>700</v>
      </c>
      <c r="AE20" s="3183">
        <v>100</v>
      </c>
      <c r="AF20" s="3183">
        <f t="shared" si="8"/>
        <v>700</v>
      </c>
      <c r="AG20" s="3183">
        <f>'Phụ lục số 5'!AG20</f>
        <v>1000</v>
      </c>
      <c r="AH20" s="3183">
        <v>100</v>
      </c>
      <c r="AI20" s="3183">
        <f t="shared" si="9"/>
        <v>1000</v>
      </c>
      <c r="AJ20" s="3183">
        <f>'Phụ lục số 5'!AJ20</f>
        <v>2800</v>
      </c>
      <c r="AK20" s="3183">
        <v>100</v>
      </c>
      <c r="AL20" s="3183">
        <f t="shared" si="10"/>
        <v>2800</v>
      </c>
      <c r="AM20" s="3255">
        <f>'Phụ lục số 5'!AM20</f>
        <v>750</v>
      </c>
      <c r="AN20" s="3255">
        <v>100</v>
      </c>
      <c r="AO20" s="3258">
        <f t="shared" si="11"/>
        <v>750</v>
      </c>
    </row>
    <row r="21" spans="1:41" s="3246" customFormat="1">
      <c r="A21" s="3254">
        <v>5</v>
      </c>
      <c r="B21" s="3255" t="s">
        <v>272</v>
      </c>
      <c r="C21" s="3183">
        <f>SUM(C22:C24)</f>
        <v>99300</v>
      </c>
      <c r="D21" s="3183"/>
      <c r="E21" s="3183">
        <f>SUM(E22:E24)</f>
        <v>62400</v>
      </c>
      <c r="F21" s="3183">
        <f>SUM(F22:F24)</f>
        <v>4500</v>
      </c>
      <c r="G21" s="3183"/>
      <c r="H21" s="3183">
        <f>SUM(H22:H24)</f>
        <v>2000</v>
      </c>
      <c r="I21" s="3183">
        <f>SUM(I22:I24)</f>
        <v>6000</v>
      </c>
      <c r="J21" s="3183"/>
      <c r="K21" s="3183">
        <f>SUM(K22:K24)</f>
        <v>3000</v>
      </c>
      <c r="L21" s="3183">
        <f>SUM(L22:L24)</f>
        <v>3300</v>
      </c>
      <c r="M21" s="3183"/>
      <c r="N21" s="3183">
        <f>SUM(N22:N24)</f>
        <v>1650</v>
      </c>
      <c r="O21" s="3183">
        <f>SUM(O22:O24)</f>
        <v>4500</v>
      </c>
      <c r="P21" s="3183"/>
      <c r="Q21" s="3183">
        <f>SUM(Q22:Q24)</f>
        <v>2500</v>
      </c>
      <c r="R21" s="3183">
        <f>SUM(R22:R24)</f>
        <v>7000</v>
      </c>
      <c r="S21" s="3183"/>
      <c r="T21" s="3183">
        <f>SUM(T22:T24)</f>
        <v>3750</v>
      </c>
      <c r="U21" s="3183">
        <f>SUM(U22:U24)</f>
        <v>16000</v>
      </c>
      <c r="V21" s="3183"/>
      <c r="W21" s="3256">
        <f>SUM(W22:W24)</f>
        <v>12000</v>
      </c>
      <c r="X21" s="3257">
        <f>SUM(X22:X24)</f>
        <v>11000</v>
      </c>
      <c r="Y21" s="3183"/>
      <c r="Z21" s="3183">
        <f>SUM(Z22:Z24)</f>
        <v>8000</v>
      </c>
      <c r="AA21" s="3183">
        <f>SUM(AA22:AA24)</f>
        <v>9000</v>
      </c>
      <c r="AB21" s="3183"/>
      <c r="AC21" s="3183">
        <f>SUM(AC22:AC24)</f>
        <v>6500</v>
      </c>
      <c r="AD21" s="3183">
        <f>SUM(AD22:AD24)</f>
        <v>11000</v>
      </c>
      <c r="AE21" s="3183"/>
      <c r="AF21" s="3183">
        <f>SUM(AF22:AF24)</f>
        <v>7500</v>
      </c>
      <c r="AG21" s="3183">
        <f>SUM(AG22:AG24)</f>
        <v>7000</v>
      </c>
      <c r="AH21" s="3183"/>
      <c r="AI21" s="3183">
        <f>SUM(AI22:AI24)</f>
        <v>4250</v>
      </c>
      <c r="AJ21" s="3183">
        <f>SUM(AJ22:AJ24)</f>
        <v>13000</v>
      </c>
      <c r="AK21" s="3183"/>
      <c r="AL21" s="3183">
        <f>SUM(AL22:AL24)</f>
        <v>7000</v>
      </c>
      <c r="AM21" s="3255">
        <f>SUM(AM22:AM24)</f>
        <v>7000</v>
      </c>
      <c r="AN21" s="3255"/>
      <c r="AO21" s="3258">
        <f>SUM(AO22:AO24)</f>
        <v>4250</v>
      </c>
    </row>
    <row r="22" spans="1:41">
      <c r="A22" s="3264" t="s">
        <v>137</v>
      </c>
      <c r="B22" s="1444" t="s">
        <v>273</v>
      </c>
      <c r="C22" s="3186">
        <f>SUM(F22,L22,O22,R22,U22,X22,AA22,AD22,AG22,AJ22,AM22,I22)</f>
        <v>34000</v>
      </c>
      <c r="D22" s="3186">
        <f t="shared" si="13"/>
        <v>0</v>
      </c>
      <c r="E22" s="3186">
        <f>SUM(H22,N22,Q22,T22,W22,Z22,AC22,AF22,AI22,AL22,AO22,K22)</f>
        <v>0</v>
      </c>
      <c r="F22" s="3186">
        <f>'Phụ lục số 5'!F22</f>
        <v>2000</v>
      </c>
      <c r="G22" s="3186">
        <v>0</v>
      </c>
      <c r="H22" s="3186">
        <f t="shared" si="14"/>
        <v>0</v>
      </c>
      <c r="I22" s="3186">
        <f>'Phụ lục số 5'!I22</f>
        <v>3000</v>
      </c>
      <c r="J22" s="3186">
        <v>0</v>
      </c>
      <c r="K22" s="3186">
        <f>I22*J22/100</f>
        <v>0</v>
      </c>
      <c r="L22" s="3186">
        <f>'Phụ lục số 5'!L22</f>
        <v>1500</v>
      </c>
      <c r="M22" s="3186">
        <v>0</v>
      </c>
      <c r="N22" s="3186">
        <f>L22*M22/100</f>
        <v>0</v>
      </c>
      <c r="O22" s="3186">
        <f>'Phụ lục số 5'!O22</f>
        <v>2000</v>
      </c>
      <c r="P22" s="3186">
        <v>0</v>
      </c>
      <c r="Q22" s="3186">
        <f>O22*P22/100</f>
        <v>0</v>
      </c>
      <c r="R22" s="3186">
        <f>'Phụ lục số 5'!R22</f>
        <v>3000</v>
      </c>
      <c r="S22" s="3186">
        <v>0</v>
      </c>
      <c r="T22" s="3186">
        <f>R22*S22/100</f>
        <v>0</v>
      </c>
      <c r="U22" s="3186">
        <f>'Phụ lục số 5'!U22</f>
        <v>4000</v>
      </c>
      <c r="V22" s="3186">
        <v>0</v>
      </c>
      <c r="W22" s="3260">
        <f>U22*V22/100</f>
        <v>0</v>
      </c>
      <c r="X22" s="3261">
        <f>'Phụ lục số 5'!X22</f>
        <v>3000</v>
      </c>
      <c r="Y22" s="3186">
        <v>0</v>
      </c>
      <c r="Z22" s="3186">
        <f>X22*Y22/100</f>
        <v>0</v>
      </c>
      <c r="AA22" s="3186">
        <f>'Phụ lục số 5'!AA22</f>
        <v>2500</v>
      </c>
      <c r="AB22" s="3186">
        <v>0</v>
      </c>
      <c r="AC22" s="3186">
        <f>AA22*AB22/100</f>
        <v>0</v>
      </c>
      <c r="AD22" s="3186">
        <f>'Phụ lục số 5'!AD22</f>
        <v>3500</v>
      </c>
      <c r="AE22" s="3186">
        <v>0</v>
      </c>
      <c r="AF22" s="3186">
        <f>AD22*AE22/100</f>
        <v>0</v>
      </c>
      <c r="AG22" s="3186">
        <f>'Phụ lục số 5'!AG22</f>
        <v>2500</v>
      </c>
      <c r="AH22" s="3186">
        <v>0</v>
      </c>
      <c r="AI22" s="3186">
        <f>AG22*AH22/100</f>
        <v>0</v>
      </c>
      <c r="AJ22" s="3186">
        <f>'Phụ lục số 5'!AJ22</f>
        <v>4500</v>
      </c>
      <c r="AK22" s="3186">
        <v>0</v>
      </c>
      <c r="AL22" s="3186">
        <f>AJ22*AK22/100</f>
        <v>0</v>
      </c>
      <c r="AM22" s="75">
        <f>'Phụ lục số 5'!AM22</f>
        <v>2500</v>
      </c>
      <c r="AN22" s="75">
        <v>0</v>
      </c>
      <c r="AO22" s="3262">
        <f>AM22*AN22/100</f>
        <v>0</v>
      </c>
    </row>
    <row r="23" spans="1:41">
      <c r="A23" s="3264" t="s">
        <v>137</v>
      </c>
      <c r="B23" s="1444" t="s">
        <v>274</v>
      </c>
      <c r="C23" s="3186">
        <f>SUM(F23,L23,O23,R23,U23,X23,AA23,AD23,AG23,AJ23,AM23,I23)</f>
        <v>2900</v>
      </c>
      <c r="D23" s="3186">
        <f t="shared" si="13"/>
        <v>0</v>
      </c>
      <c r="E23" s="3186">
        <f>SUM(H23,N23,Q23,T23,W23,Z23,AC23,AF23,AI23,AL23,AO23,K23)</f>
        <v>0</v>
      </c>
      <c r="F23" s="3186">
        <f>'Phụ lục số 5'!F23</f>
        <v>500</v>
      </c>
      <c r="G23" s="3186">
        <v>0</v>
      </c>
      <c r="H23" s="3186">
        <f t="shared" si="14"/>
        <v>0</v>
      </c>
      <c r="I23" s="3186">
        <f>'Phụ lục số 5'!I23</f>
        <v>0</v>
      </c>
      <c r="J23" s="3186">
        <v>0</v>
      </c>
      <c r="K23" s="3186">
        <f>I23*J23/100</f>
        <v>0</v>
      </c>
      <c r="L23" s="3186">
        <f>'Phụ lục số 5'!L23</f>
        <v>150</v>
      </c>
      <c r="M23" s="3186">
        <v>0</v>
      </c>
      <c r="N23" s="3186">
        <f>L23*M23/100</f>
        <v>0</v>
      </c>
      <c r="O23" s="3186">
        <f>'Phụ lục số 5'!O23</f>
        <v>0</v>
      </c>
      <c r="P23" s="3186">
        <v>0</v>
      </c>
      <c r="Q23" s="3186">
        <f>O23*P23/100</f>
        <v>0</v>
      </c>
      <c r="R23" s="3186">
        <f>'Phụ lục số 5'!R23</f>
        <v>250</v>
      </c>
      <c r="S23" s="3186">
        <v>0</v>
      </c>
      <c r="T23" s="3186">
        <f>R23*S23/100</f>
        <v>0</v>
      </c>
      <c r="U23" s="3186">
        <f>'Phụ lục số 5'!U23</f>
        <v>0</v>
      </c>
      <c r="V23" s="3186">
        <v>0</v>
      </c>
      <c r="W23" s="3260">
        <f>U23*V23/100</f>
        <v>0</v>
      </c>
      <c r="X23" s="3261">
        <f>'Phụ lục số 5'!X23</f>
        <v>0</v>
      </c>
      <c r="Y23" s="3186">
        <v>0</v>
      </c>
      <c r="Z23" s="3186">
        <f>X23*Y23/100</f>
        <v>0</v>
      </c>
      <c r="AA23" s="3186">
        <f>'Phụ lục số 5'!AA23</f>
        <v>0</v>
      </c>
      <c r="AB23" s="3186">
        <v>0</v>
      </c>
      <c r="AC23" s="3186">
        <f>AA23*AB23/100</f>
        <v>0</v>
      </c>
      <c r="AD23" s="3186">
        <f>'Phụ lục số 5'!AD23</f>
        <v>0</v>
      </c>
      <c r="AE23" s="3186">
        <v>0</v>
      </c>
      <c r="AF23" s="3186">
        <f>AD23*AE23/100</f>
        <v>0</v>
      </c>
      <c r="AG23" s="3186">
        <f>'Phụ lục số 5'!AG23</f>
        <v>250</v>
      </c>
      <c r="AH23" s="3186">
        <v>0</v>
      </c>
      <c r="AI23" s="3186">
        <f>AG23*AH23/100</f>
        <v>0</v>
      </c>
      <c r="AJ23" s="3186">
        <f>'Phụ lục số 5'!AJ23</f>
        <v>1500</v>
      </c>
      <c r="AK23" s="3186">
        <v>0</v>
      </c>
      <c r="AL23" s="3186">
        <f>AJ23*AK23/100</f>
        <v>0</v>
      </c>
      <c r="AM23" s="75">
        <f>'Phụ lục số 5'!AM23</f>
        <v>250</v>
      </c>
      <c r="AN23" s="75">
        <v>0</v>
      </c>
      <c r="AO23" s="3262">
        <f>AM23*AN23/100</f>
        <v>0</v>
      </c>
    </row>
    <row r="24" spans="1:41">
      <c r="A24" s="3264" t="s">
        <v>137</v>
      </c>
      <c r="B24" s="1444" t="s">
        <v>275</v>
      </c>
      <c r="C24" s="3186">
        <f>SUM(F24,L24,O24,R24,U24,X24,AA24,AD24,AG24,AJ24,AM24,I24)</f>
        <v>62400</v>
      </c>
      <c r="D24" s="3186">
        <f t="shared" si="13"/>
        <v>100</v>
      </c>
      <c r="E24" s="3186">
        <f>SUM(H24,N24,Q24,T24,W24,Z24,AC24,AF24,AI24,AL24,AO24,K24)</f>
        <v>62400</v>
      </c>
      <c r="F24" s="3186">
        <f>'Phụ lục số 5'!F24</f>
        <v>2000</v>
      </c>
      <c r="G24" s="3186">
        <v>100</v>
      </c>
      <c r="H24" s="3186">
        <f t="shared" si="14"/>
        <v>2000</v>
      </c>
      <c r="I24" s="3186">
        <f>'Phụ lục số 5'!I24</f>
        <v>3000</v>
      </c>
      <c r="J24" s="3186">
        <v>100</v>
      </c>
      <c r="K24" s="3186">
        <f>I24*J24/100</f>
        <v>3000</v>
      </c>
      <c r="L24" s="3186">
        <f>'Phụ lục số 5'!L24</f>
        <v>1650</v>
      </c>
      <c r="M24" s="3186">
        <v>100</v>
      </c>
      <c r="N24" s="3186">
        <f>L24*M24/100</f>
        <v>1650</v>
      </c>
      <c r="O24" s="3186">
        <f>'Phụ lục số 5'!O24</f>
        <v>2500</v>
      </c>
      <c r="P24" s="3186">
        <v>100</v>
      </c>
      <c r="Q24" s="3186">
        <f>O24*P24/100</f>
        <v>2500</v>
      </c>
      <c r="R24" s="3186">
        <f>'Phụ lục số 5'!R24</f>
        <v>3750</v>
      </c>
      <c r="S24" s="3186">
        <v>100</v>
      </c>
      <c r="T24" s="3186">
        <f>R24*S24/100</f>
        <v>3750</v>
      </c>
      <c r="U24" s="3186">
        <f>'Phụ lục số 5'!U24</f>
        <v>12000</v>
      </c>
      <c r="V24" s="3186">
        <v>100</v>
      </c>
      <c r="W24" s="3260">
        <f>U24*V24/100</f>
        <v>12000</v>
      </c>
      <c r="X24" s="3261">
        <f>'Phụ lục số 5'!X24</f>
        <v>8000</v>
      </c>
      <c r="Y24" s="3186">
        <v>100</v>
      </c>
      <c r="Z24" s="3186">
        <f>X24*Y24/100</f>
        <v>8000</v>
      </c>
      <c r="AA24" s="3186">
        <f>'Phụ lục số 5'!AA24</f>
        <v>6500</v>
      </c>
      <c r="AB24" s="3186">
        <v>100</v>
      </c>
      <c r="AC24" s="3186">
        <f>AA24*AB24/100</f>
        <v>6500</v>
      </c>
      <c r="AD24" s="3186">
        <f>'Phụ lục số 5'!AD24</f>
        <v>7500</v>
      </c>
      <c r="AE24" s="3186">
        <v>100</v>
      </c>
      <c r="AF24" s="3186">
        <f>AD24*AE24/100</f>
        <v>7500</v>
      </c>
      <c r="AG24" s="3186">
        <f>'Phụ lục số 5'!AG24</f>
        <v>4250</v>
      </c>
      <c r="AH24" s="3186">
        <v>100</v>
      </c>
      <c r="AI24" s="3186">
        <f>AG24*AH24/100</f>
        <v>4250</v>
      </c>
      <c r="AJ24" s="3186">
        <f>'Phụ lục số 5'!AJ24</f>
        <v>7000</v>
      </c>
      <c r="AK24" s="3186">
        <v>100</v>
      </c>
      <c r="AL24" s="3186">
        <f>AJ24*AK24/100</f>
        <v>7000</v>
      </c>
      <c r="AM24" s="75">
        <f>'Phụ lục số 5'!AM24</f>
        <v>4250</v>
      </c>
      <c r="AN24" s="75">
        <v>100</v>
      </c>
      <c r="AO24" s="3262">
        <f>AM24*AN24/100</f>
        <v>4250</v>
      </c>
    </row>
    <row r="25" spans="1:41" s="3246" customFormat="1">
      <c r="A25" s="3254">
        <v>6</v>
      </c>
      <c r="B25" s="3255" t="s">
        <v>98</v>
      </c>
      <c r="C25" s="3183">
        <f>SUM(C26:C27)</f>
        <v>315000</v>
      </c>
      <c r="D25" s="3183"/>
      <c r="E25" s="3183">
        <f>SUM(E26:E27)</f>
        <v>269100</v>
      </c>
      <c r="F25" s="3183">
        <f>SUM(F26:F27)</f>
        <v>24000</v>
      </c>
      <c r="G25" s="3183"/>
      <c r="H25" s="3183">
        <f>SUM(H26:H27)</f>
        <v>7200</v>
      </c>
      <c r="I25" s="3183">
        <f>SUM(I26:I27)</f>
        <v>9000</v>
      </c>
      <c r="J25" s="3183"/>
      <c r="K25" s="3183">
        <f>SUM(K26:K27)</f>
        <v>8100</v>
      </c>
      <c r="L25" s="3183">
        <f>SUM(L26:L27)</f>
        <v>600</v>
      </c>
      <c r="M25" s="3183"/>
      <c r="N25" s="3183">
        <f>SUM(N26:N27)</f>
        <v>540</v>
      </c>
      <c r="O25" s="3183">
        <f>SUM(O26:O27)</f>
        <v>1600</v>
      </c>
      <c r="P25" s="3183"/>
      <c r="Q25" s="3183">
        <f>SUM(Q26:Q27)</f>
        <v>1440</v>
      </c>
      <c r="R25" s="3183">
        <f>SUM(R26:R27)</f>
        <v>10000</v>
      </c>
      <c r="S25" s="3183"/>
      <c r="T25" s="3183">
        <f>SUM(T26:T27)</f>
        <v>9000</v>
      </c>
      <c r="U25" s="3183">
        <f>SUM(U26:U27)</f>
        <v>135000</v>
      </c>
      <c r="V25" s="3183"/>
      <c r="W25" s="3256">
        <f>SUM(W26:W27)</f>
        <v>121500</v>
      </c>
      <c r="X25" s="3257">
        <f>SUM(X26:X27)</f>
        <v>15000</v>
      </c>
      <c r="Y25" s="3183"/>
      <c r="Z25" s="3183">
        <f>SUM(Z26:Z27)</f>
        <v>13500</v>
      </c>
      <c r="AA25" s="3183">
        <f>SUM(AA26:AA27)</f>
        <v>10000</v>
      </c>
      <c r="AB25" s="3183"/>
      <c r="AC25" s="3183">
        <f>SUM(AC26:AC27)</f>
        <v>9000</v>
      </c>
      <c r="AD25" s="3183">
        <f>SUM(AD26:AD27)</f>
        <v>6000</v>
      </c>
      <c r="AE25" s="3183"/>
      <c r="AF25" s="3183">
        <f>SUM(AF26:AF27)</f>
        <v>5400</v>
      </c>
      <c r="AG25" s="3183">
        <f>SUM(AG26:AG27)</f>
        <v>2200</v>
      </c>
      <c r="AH25" s="3183"/>
      <c r="AI25" s="3183">
        <f>SUM(AI26:AI27)</f>
        <v>1980</v>
      </c>
      <c r="AJ25" s="3183">
        <f>SUM(AJ26:AJ27)</f>
        <v>61600</v>
      </c>
      <c r="AK25" s="3183"/>
      <c r="AL25" s="3183">
        <f>SUM(AL26:AL27)</f>
        <v>55440</v>
      </c>
      <c r="AM25" s="3255">
        <f>SUM(AM26:AM27)</f>
        <v>40000</v>
      </c>
      <c r="AN25" s="3255"/>
      <c r="AO25" s="3258">
        <f>SUM(AO26:AO27)</f>
        <v>36000</v>
      </c>
    </row>
    <row r="26" spans="1:41">
      <c r="A26" s="3264" t="s">
        <v>137</v>
      </c>
      <c r="B26" s="1444" t="s">
        <v>276</v>
      </c>
      <c r="C26" s="3186">
        <f>SUM(F26,L26,O26,R26,U26,X26,AA26,AD26,AG26,AJ26,AM26,I26)</f>
        <v>16000</v>
      </c>
      <c r="D26" s="3186">
        <f t="shared" si="13"/>
        <v>0</v>
      </c>
      <c r="E26" s="3186">
        <f>SUM(H26,N26,Q26,T26,W26,Z26,AC26,AF26,AI26,AL26,AO26,K26)</f>
        <v>0</v>
      </c>
      <c r="F26" s="3186">
        <f>'Phụ lục số 5'!F26</f>
        <v>16000</v>
      </c>
      <c r="G26" s="3186">
        <v>0</v>
      </c>
      <c r="H26" s="3186">
        <f t="shared" si="14"/>
        <v>0</v>
      </c>
      <c r="I26" s="3186">
        <f>'Phụ lục số 5'!I26</f>
        <v>0</v>
      </c>
      <c r="J26" s="3186">
        <v>0</v>
      </c>
      <c r="K26" s="3186">
        <f>I26*J26/100</f>
        <v>0</v>
      </c>
      <c r="L26" s="3186">
        <f>'Phụ lục số 5'!L26</f>
        <v>0</v>
      </c>
      <c r="M26" s="3186">
        <v>0</v>
      </c>
      <c r="N26" s="3186">
        <f>L26*M26/100</f>
        <v>0</v>
      </c>
      <c r="O26" s="3186">
        <f>'Phụ lục số 5'!O26</f>
        <v>0</v>
      </c>
      <c r="P26" s="3186">
        <v>0</v>
      </c>
      <c r="Q26" s="3186">
        <f>O26*P26/100</f>
        <v>0</v>
      </c>
      <c r="R26" s="3186">
        <f>'Phụ lục số 5'!R26</f>
        <v>0</v>
      </c>
      <c r="S26" s="3186"/>
      <c r="T26" s="3186"/>
      <c r="U26" s="3186">
        <f>'Phụ lục số 5'!U26</f>
        <v>0</v>
      </c>
      <c r="V26" s="3186"/>
      <c r="W26" s="3260"/>
      <c r="X26" s="3261">
        <f>'Phụ lục số 5'!X26</f>
        <v>0</v>
      </c>
      <c r="Y26" s="3186"/>
      <c r="Z26" s="3186"/>
      <c r="AA26" s="3186">
        <f>'Phụ lục số 5'!AA26</f>
        <v>0</v>
      </c>
      <c r="AB26" s="3186"/>
      <c r="AC26" s="3186"/>
      <c r="AD26" s="3186">
        <f>'Phụ lục số 5'!AD26</f>
        <v>0</v>
      </c>
      <c r="AE26" s="3186">
        <v>0</v>
      </c>
      <c r="AF26" s="3186">
        <f>AD26*AE26/100</f>
        <v>0</v>
      </c>
      <c r="AG26" s="3186">
        <f>'Phụ lục số 5'!AG26</f>
        <v>0</v>
      </c>
      <c r="AH26" s="3186">
        <v>0</v>
      </c>
      <c r="AI26" s="3186">
        <f>AG26*AH26/100</f>
        <v>0</v>
      </c>
      <c r="AJ26" s="3186">
        <f>'Phụ lục số 5'!AJ26</f>
        <v>0</v>
      </c>
      <c r="AK26" s="3186">
        <v>0</v>
      </c>
      <c r="AL26" s="3186">
        <f>AJ26*AK26/100</f>
        <v>0</v>
      </c>
      <c r="AM26" s="75">
        <f>'Phụ lục số 5'!AM26</f>
        <v>0</v>
      </c>
      <c r="AN26" s="75">
        <v>0</v>
      </c>
      <c r="AO26" s="3262">
        <f>AM26*AN26/100</f>
        <v>0</v>
      </c>
    </row>
    <row r="27" spans="1:41">
      <c r="A27" s="3264" t="s">
        <v>137</v>
      </c>
      <c r="B27" s="1444" t="s">
        <v>277</v>
      </c>
      <c r="C27" s="3186">
        <f>SUM(F27,L27,O27,R27,U27,X27,AA27,AD27,AG27,AJ27,AM27,I27)</f>
        <v>299000</v>
      </c>
      <c r="D27" s="3186">
        <f t="shared" si="13"/>
        <v>90</v>
      </c>
      <c r="E27" s="3186">
        <f>SUM(H27,N27,Q27,T27,W27,Z27,AC27,AF27,AI27,AL27,AO27,K27)</f>
        <v>269100</v>
      </c>
      <c r="F27" s="3186">
        <f>'Phụ lục số 5'!F27</f>
        <v>8000</v>
      </c>
      <c r="G27" s="3186">
        <f>'Phụ lục số 5'!G27</f>
        <v>90</v>
      </c>
      <c r="H27" s="3186">
        <f t="shared" si="14"/>
        <v>7200</v>
      </c>
      <c r="I27" s="3186">
        <f>'Phụ lục số 5'!I27</f>
        <v>9000</v>
      </c>
      <c r="J27" s="3186">
        <f>G27</f>
        <v>90</v>
      </c>
      <c r="K27" s="3186">
        <f>I27*J27/100</f>
        <v>8100</v>
      </c>
      <c r="L27" s="3186">
        <f>'Phụ lục số 5'!L27</f>
        <v>600</v>
      </c>
      <c r="M27" s="3186">
        <f>J27</f>
        <v>90</v>
      </c>
      <c r="N27" s="3186">
        <f>L27*M27/100</f>
        <v>540</v>
      </c>
      <c r="O27" s="3186">
        <f>'Phụ lục số 5'!O27</f>
        <v>1600</v>
      </c>
      <c r="P27" s="3186">
        <f>M27</f>
        <v>90</v>
      </c>
      <c r="Q27" s="3186">
        <f>O27*P27/100</f>
        <v>1440</v>
      </c>
      <c r="R27" s="3186">
        <f>'Phụ lục số 5'!R27</f>
        <v>10000</v>
      </c>
      <c r="S27" s="3186">
        <f>P27</f>
        <v>90</v>
      </c>
      <c r="T27" s="3186">
        <f>R27*S27/100</f>
        <v>9000</v>
      </c>
      <c r="U27" s="3186">
        <f>'Phụ lục số 5'!U27</f>
        <v>135000</v>
      </c>
      <c r="V27" s="3186">
        <f>S27</f>
        <v>90</v>
      </c>
      <c r="W27" s="3260">
        <f>U27*V27/100</f>
        <v>121500</v>
      </c>
      <c r="X27" s="3261">
        <f>'Phụ lục số 5'!X27</f>
        <v>15000</v>
      </c>
      <c r="Y27" s="3186">
        <f>V27</f>
        <v>90</v>
      </c>
      <c r="Z27" s="3186">
        <f>X27*Y27/100</f>
        <v>13500</v>
      </c>
      <c r="AA27" s="3186">
        <f>'Phụ lục số 5'!AA27</f>
        <v>10000</v>
      </c>
      <c r="AB27" s="3186">
        <f>Y27</f>
        <v>90</v>
      </c>
      <c r="AC27" s="3186">
        <f>AA27*AB27/100</f>
        <v>9000</v>
      </c>
      <c r="AD27" s="3186">
        <f>'Phụ lục số 5'!AD27</f>
        <v>6000</v>
      </c>
      <c r="AE27" s="3186">
        <f>AB27</f>
        <v>90</v>
      </c>
      <c r="AF27" s="3186">
        <f>AD27*AE27/100</f>
        <v>5400</v>
      </c>
      <c r="AG27" s="3186">
        <f>'Phụ lục số 5'!AG27</f>
        <v>2200</v>
      </c>
      <c r="AH27" s="3186">
        <f>AE27</f>
        <v>90</v>
      </c>
      <c r="AI27" s="3186">
        <f>AG27*AH27/100</f>
        <v>1980</v>
      </c>
      <c r="AJ27" s="3186">
        <f>'Phụ lục số 5'!AJ27</f>
        <v>61600</v>
      </c>
      <c r="AK27" s="3186">
        <f>AH27</f>
        <v>90</v>
      </c>
      <c r="AL27" s="3186">
        <f>AJ27*AK27/100</f>
        <v>55440</v>
      </c>
      <c r="AM27" s="75">
        <f>'Phụ lục số 5'!AM27</f>
        <v>40000</v>
      </c>
      <c r="AN27" s="75">
        <f>AK27</f>
        <v>90</v>
      </c>
      <c r="AO27" s="3262">
        <f>AM27*AN27/100</f>
        <v>36000</v>
      </c>
    </row>
    <row r="28" spans="1:41" s="3246" customFormat="1">
      <c r="A28" s="3254">
        <v>7</v>
      </c>
      <c r="B28" s="3255" t="s">
        <v>278</v>
      </c>
      <c r="C28" s="3183">
        <f>SUM(C29:C30)</f>
        <v>1770000</v>
      </c>
      <c r="D28" s="3183"/>
      <c r="E28" s="3183">
        <f>SUM(E29:E30)</f>
        <v>1143000</v>
      </c>
      <c r="F28" s="3183">
        <f>SUM(F29:F30)</f>
        <v>100000</v>
      </c>
      <c r="G28" s="3183"/>
      <c r="H28" s="3183">
        <f>SUM(H29:H30)</f>
        <v>90000</v>
      </c>
      <c r="I28" s="3183">
        <f>SUM(I29:I30)</f>
        <v>300000</v>
      </c>
      <c r="J28" s="3183"/>
      <c r="K28" s="3183">
        <f>SUM(K29:K30)</f>
        <v>270000</v>
      </c>
      <c r="L28" s="3183">
        <f>SUM(L29:L30)</f>
        <v>30000</v>
      </c>
      <c r="M28" s="3183"/>
      <c r="N28" s="3183">
        <f>SUM(N29:N30)</f>
        <v>27000</v>
      </c>
      <c r="O28" s="3183">
        <f>SUM(O29:O30)</f>
        <v>60000</v>
      </c>
      <c r="P28" s="3183"/>
      <c r="Q28" s="3183">
        <f>SUM(Q29:Q30)</f>
        <v>54000</v>
      </c>
      <c r="R28" s="3183">
        <f>SUM(R29:R30)</f>
        <v>70000</v>
      </c>
      <c r="S28" s="3183"/>
      <c r="T28" s="3183">
        <f>SUM(T29:T30)</f>
        <v>63000</v>
      </c>
      <c r="U28" s="3183">
        <f>SUM(U29:U30)</f>
        <v>310000</v>
      </c>
      <c r="V28" s="3183"/>
      <c r="W28" s="3256">
        <f>SUM(W29:W30)</f>
        <v>144000</v>
      </c>
      <c r="X28" s="3257">
        <f>SUM(X29:X30)</f>
        <v>60000</v>
      </c>
      <c r="Y28" s="3183"/>
      <c r="Z28" s="3183">
        <f>SUM(Z29:Z30)</f>
        <v>54000</v>
      </c>
      <c r="AA28" s="3183">
        <f>SUM(AA29:AA30)</f>
        <v>100000</v>
      </c>
      <c r="AB28" s="3183"/>
      <c r="AC28" s="3183">
        <f>SUM(AC29:AC30)</f>
        <v>90000</v>
      </c>
      <c r="AD28" s="3183">
        <f>SUM(AD29:AD30)</f>
        <v>60000</v>
      </c>
      <c r="AE28" s="3183"/>
      <c r="AF28" s="3183">
        <f>SUM(AF29:AF30)</f>
        <v>54000</v>
      </c>
      <c r="AG28" s="3183">
        <f>SUM(AG29:AG30)</f>
        <v>70000</v>
      </c>
      <c r="AH28" s="3183"/>
      <c r="AI28" s="3183">
        <f>SUM(AI29:AI30)</f>
        <v>63000</v>
      </c>
      <c r="AJ28" s="3183">
        <f>SUM(AJ29:AJ30)</f>
        <v>510000</v>
      </c>
      <c r="AK28" s="3183"/>
      <c r="AL28" s="3183">
        <f>SUM(AL29:AL30)</f>
        <v>144000</v>
      </c>
      <c r="AM28" s="3255">
        <f>SUM(AM29:AM30)</f>
        <v>100000</v>
      </c>
      <c r="AN28" s="3255"/>
      <c r="AO28" s="3258">
        <f>SUM(AO29:AO30)</f>
        <v>90000</v>
      </c>
    </row>
    <row r="29" spans="1:41">
      <c r="A29" s="3264" t="s">
        <v>137</v>
      </c>
      <c r="B29" s="1444" t="s">
        <v>276</v>
      </c>
      <c r="C29" s="3186">
        <f>SUM(F29,L29,O29,R29,U29,X29,AA29,AD29,AG29,AJ29,AM29,I29)</f>
        <v>500000</v>
      </c>
      <c r="D29" s="3186">
        <f t="shared" si="13"/>
        <v>0</v>
      </c>
      <c r="E29" s="3186">
        <f>SUM(H29,N29,Q29,T29,W29,Z29,AC29,AF29,AI29,AL29,AO29,K29)</f>
        <v>0</v>
      </c>
      <c r="F29" s="3186">
        <f>'Phụ lục số 5'!F29</f>
        <v>0</v>
      </c>
      <c r="G29" s="3186">
        <v>0</v>
      </c>
      <c r="H29" s="3186">
        <f t="shared" si="14"/>
        <v>0</v>
      </c>
      <c r="I29" s="3186">
        <f>'Phụ lục số 5'!I29</f>
        <v>0</v>
      </c>
      <c r="J29" s="3186">
        <v>0</v>
      </c>
      <c r="K29" s="3186">
        <f>I29*J29/100</f>
        <v>0</v>
      </c>
      <c r="L29" s="3186">
        <f>'Phụ lục số 5'!L29</f>
        <v>0</v>
      </c>
      <c r="M29" s="3186">
        <v>0</v>
      </c>
      <c r="N29" s="3186">
        <f>L29*M29/100</f>
        <v>0</v>
      </c>
      <c r="O29" s="3186">
        <f>'Phụ lục số 5'!O29</f>
        <v>0</v>
      </c>
      <c r="P29" s="3186">
        <v>0</v>
      </c>
      <c r="Q29" s="3186">
        <f>O29*P29/100</f>
        <v>0</v>
      </c>
      <c r="R29" s="3186">
        <f>'Phụ lục số 5'!R29</f>
        <v>0</v>
      </c>
      <c r="S29" s="3186">
        <v>0</v>
      </c>
      <c r="T29" s="3186">
        <f>R29*S29/100</f>
        <v>0</v>
      </c>
      <c r="U29" s="3186">
        <f>'Phụ lục số 5'!U29</f>
        <v>150000</v>
      </c>
      <c r="V29" s="3186">
        <v>0</v>
      </c>
      <c r="W29" s="3260">
        <f>U29*V29/100</f>
        <v>0</v>
      </c>
      <c r="X29" s="3261">
        <f>'Phụ lục số 5'!X29</f>
        <v>0</v>
      </c>
      <c r="Y29" s="3186">
        <v>0</v>
      </c>
      <c r="Z29" s="3186">
        <f>X29*Y29/100</f>
        <v>0</v>
      </c>
      <c r="AA29" s="3186">
        <f>'Phụ lục số 5'!AA29</f>
        <v>0</v>
      </c>
      <c r="AB29" s="3186">
        <v>0</v>
      </c>
      <c r="AC29" s="3186">
        <f>AA29*AB29/100</f>
        <v>0</v>
      </c>
      <c r="AD29" s="3186">
        <f>'Phụ lục số 5'!AD29</f>
        <v>0</v>
      </c>
      <c r="AE29" s="3186">
        <v>0</v>
      </c>
      <c r="AF29" s="3186">
        <f>AD29*AE29/100</f>
        <v>0</v>
      </c>
      <c r="AG29" s="3186">
        <f>'Phụ lục số 5'!AG29</f>
        <v>0</v>
      </c>
      <c r="AH29" s="3186">
        <v>0</v>
      </c>
      <c r="AI29" s="3186">
        <f>AG29*AH29/100</f>
        <v>0</v>
      </c>
      <c r="AJ29" s="3186">
        <f>'Phụ lục số 5'!AJ29</f>
        <v>350000</v>
      </c>
      <c r="AK29" s="3186">
        <v>0</v>
      </c>
      <c r="AL29" s="3186">
        <f>AJ29*AK29/100</f>
        <v>0</v>
      </c>
      <c r="AM29" s="75">
        <f>'Phụ lục số 5'!AM29</f>
        <v>0</v>
      </c>
      <c r="AN29" s="75">
        <v>0</v>
      </c>
      <c r="AO29" s="3262">
        <f>AM29*AN29/100</f>
        <v>0</v>
      </c>
    </row>
    <row r="30" spans="1:41">
      <c r="A30" s="3264" t="s">
        <v>137</v>
      </c>
      <c r="B30" s="1444" t="s">
        <v>277</v>
      </c>
      <c r="C30" s="3186">
        <f>SUM(F30,L30,O30,R30,U30,X30,AA30,AD30,AG30,AJ30,AM30,I30)</f>
        <v>1270000</v>
      </c>
      <c r="D30" s="3186">
        <f t="shared" si="13"/>
        <v>90</v>
      </c>
      <c r="E30" s="3186">
        <f>SUM(H30,N30,Q30,T30,W30,Z30,AC30,AF30,AI30,AL30,AO30,K30)</f>
        <v>1143000</v>
      </c>
      <c r="F30" s="3186">
        <f>'Phụ lục số 5'!F30</f>
        <v>100000</v>
      </c>
      <c r="G30" s="3186">
        <f>'Phụ lục số 5'!G30</f>
        <v>90</v>
      </c>
      <c r="H30" s="3186">
        <f t="shared" si="14"/>
        <v>90000</v>
      </c>
      <c r="I30" s="3186">
        <f>'Phụ lục số 5'!I30</f>
        <v>300000</v>
      </c>
      <c r="J30" s="3186">
        <f>G30</f>
        <v>90</v>
      </c>
      <c r="K30" s="3186">
        <f>I30*J30/100</f>
        <v>270000</v>
      </c>
      <c r="L30" s="3186">
        <f>'Phụ lục số 5'!L30</f>
        <v>30000</v>
      </c>
      <c r="M30" s="3186">
        <f>J30</f>
        <v>90</v>
      </c>
      <c r="N30" s="3186">
        <f>L30*M30/100</f>
        <v>27000</v>
      </c>
      <c r="O30" s="3186">
        <f>'Phụ lục số 5'!O30</f>
        <v>60000</v>
      </c>
      <c r="P30" s="3186">
        <f>M30</f>
        <v>90</v>
      </c>
      <c r="Q30" s="3186">
        <f>O30*P30/100</f>
        <v>54000</v>
      </c>
      <c r="R30" s="3186">
        <f>'Phụ lục số 5'!R30</f>
        <v>70000</v>
      </c>
      <c r="S30" s="3186">
        <f>P30</f>
        <v>90</v>
      </c>
      <c r="T30" s="3186">
        <f>R30*S30/100</f>
        <v>63000</v>
      </c>
      <c r="U30" s="3186">
        <f>'Phụ lục số 5'!U30</f>
        <v>160000</v>
      </c>
      <c r="V30" s="3186">
        <f>S30</f>
        <v>90</v>
      </c>
      <c r="W30" s="3260">
        <f>U30*V30/100</f>
        <v>144000</v>
      </c>
      <c r="X30" s="3261">
        <f>'Phụ lục số 5'!X30</f>
        <v>60000</v>
      </c>
      <c r="Y30" s="3186">
        <f>V30</f>
        <v>90</v>
      </c>
      <c r="Z30" s="3186">
        <f>X30*Y30/100</f>
        <v>54000</v>
      </c>
      <c r="AA30" s="3186">
        <f>'Phụ lục số 5'!AA30</f>
        <v>100000</v>
      </c>
      <c r="AB30" s="3186">
        <f>Y30</f>
        <v>90</v>
      </c>
      <c r="AC30" s="3186">
        <f>AA30*AB30/100</f>
        <v>90000</v>
      </c>
      <c r="AD30" s="3186">
        <f>'Phụ lục số 5'!AD30</f>
        <v>60000</v>
      </c>
      <c r="AE30" s="3186">
        <f>AB30</f>
        <v>90</v>
      </c>
      <c r="AF30" s="3186">
        <f>AD30*AE30/100</f>
        <v>54000</v>
      </c>
      <c r="AG30" s="3186">
        <f>'Phụ lục số 5'!AG30</f>
        <v>70000</v>
      </c>
      <c r="AH30" s="3186">
        <f>AE30</f>
        <v>90</v>
      </c>
      <c r="AI30" s="3186">
        <f>AG30*AH30/100</f>
        <v>63000</v>
      </c>
      <c r="AJ30" s="3186">
        <f>'Phụ lục số 5'!AJ30</f>
        <v>160000</v>
      </c>
      <c r="AK30" s="3186">
        <f>AH30</f>
        <v>90</v>
      </c>
      <c r="AL30" s="3186">
        <f>AJ30*AK30/100</f>
        <v>144000</v>
      </c>
      <c r="AM30" s="75">
        <f>'Phụ lục số 5'!AM30</f>
        <v>100000</v>
      </c>
      <c r="AN30" s="75">
        <f>AK30</f>
        <v>90</v>
      </c>
      <c r="AO30" s="3262">
        <f>AM30*AN30/100</f>
        <v>90000</v>
      </c>
    </row>
    <row r="31" spans="1:41" s="3246" customFormat="1">
      <c r="A31" s="3254">
        <v>8</v>
      </c>
      <c r="B31" s="3255" t="s">
        <v>279</v>
      </c>
      <c r="C31" s="3183">
        <f>SUM(C32:C34)</f>
        <v>262000</v>
      </c>
      <c r="D31" s="3183"/>
      <c r="E31" s="3183">
        <f>SUM(E32:E34)</f>
        <v>145500</v>
      </c>
      <c r="F31" s="3183">
        <f>SUM(F32:F34)</f>
        <v>14000</v>
      </c>
      <c r="G31" s="3183"/>
      <c r="H31" s="3183">
        <f>SUM(H32:H34)</f>
        <v>13000</v>
      </c>
      <c r="I31" s="3183">
        <f>SUM(I32:I34)</f>
        <v>17000</v>
      </c>
      <c r="J31" s="3183"/>
      <c r="K31" s="3183">
        <f>SUM(K32:K34)</f>
        <v>7000</v>
      </c>
      <c r="L31" s="3183">
        <f>SUM(L32:L34)</f>
        <v>7000</v>
      </c>
      <c r="M31" s="3183"/>
      <c r="N31" s="3183">
        <f>SUM(N32:N34)</f>
        <v>7000</v>
      </c>
      <c r="O31" s="3183">
        <f>SUM(O32:O34)</f>
        <v>14000</v>
      </c>
      <c r="P31" s="3183"/>
      <c r="Q31" s="3183">
        <f>SUM(Q32:Q34)</f>
        <v>8500</v>
      </c>
      <c r="R31" s="3183">
        <f>SUM(R32:R34)</f>
        <v>25000</v>
      </c>
      <c r="S31" s="3183"/>
      <c r="T31" s="3183">
        <f>SUM(T32:T34)</f>
        <v>18500</v>
      </c>
      <c r="U31" s="3183">
        <f>SUM(U32:U34)</f>
        <v>80000</v>
      </c>
      <c r="V31" s="3183"/>
      <c r="W31" s="3256">
        <f>SUM(W32:W34)</f>
        <v>21500</v>
      </c>
      <c r="X31" s="3257">
        <f>SUM(X32:X34)</f>
        <v>26000</v>
      </c>
      <c r="Y31" s="3183"/>
      <c r="Z31" s="3183">
        <f>SUM(Z32:Z34)</f>
        <v>16000</v>
      </c>
      <c r="AA31" s="3183">
        <f>SUM(AA32:AA34)</f>
        <v>12000</v>
      </c>
      <c r="AB31" s="3183"/>
      <c r="AC31" s="3183">
        <f>SUM(AC32:AC34)</f>
        <v>8000</v>
      </c>
      <c r="AD31" s="3183">
        <f>SUM(AD32:AD34)</f>
        <v>18000</v>
      </c>
      <c r="AE31" s="3183"/>
      <c r="AF31" s="3183">
        <f>SUM(AF32:AF34)</f>
        <v>14000</v>
      </c>
      <c r="AG31" s="3183">
        <f>SUM(AG32:AG34)</f>
        <v>18000</v>
      </c>
      <c r="AH31" s="3183"/>
      <c r="AI31" s="3183">
        <f>SUM(AI32:AI34)</f>
        <v>10000</v>
      </c>
      <c r="AJ31" s="3183">
        <f>SUM(AJ32:AJ34)</f>
        <v>18000</v>
      </c>
      <c r="AK31" s="3183"/>
      <c r="AL31" s="3183">
        <f>SUM(AL32:AL34)</f>
        <v>11500</v>
      </c>
      <c r="AM31" s="3255">
        <f>SUM(AM32:AM34)</f>
        <v>13000</v>
      </c>
      <c r="AN31" s="3255"/>
      <c r="AO31" s="3258">
        <f>SUM(AO32:AO34)</f>
        <v>10500</v>
      </c>
    </row>
    <row r="32" spans="1:41">
      <c r="A32" s="3264" t="s">
        <v>137</v>
      </c>
      <c r="B32" s="1444" t="s">
        <v>280</v>
      </c>
      <c r="C32" s="3186">
        <f t="shared" ref="C32:C37" si="16">SUM(F32,L32,O32,R32,U32,X32,AA32,AD32,AG32,AJ32,AM32,I32)</f>
        <v>84000</v>
      </c>
      <c r="D32" s="3186">
        <f t="shared" si="13"/>
        <v>0</v>
      </c>
      <c r="E32" s="3186">
        <f t="shared" ref="E32:E37" si="17">SUM(H32,N32,Q32,T32,W32,Z32,AC32,AF32,AI32,AL32,AO32,K32)</f>
        <v>0</v>
      </c>
      <c r="F32" s="3186">
        <f>'Phụ lục số 5'!F32</f>
        <v>1000</v>
      </c>
      <c r="G32" s="3186">
        <v>0</v>
      </c>
      <c r="H32" s="3186">
        <f t="shared" si="14"/>
        <v>0</v>
      </c>
      <c r="I32" s="3186">
        <f>'Phụ lục số 5'!I32</f>
        <v>6000</v>
      </c>
      <c r="J32" s="3186">
        <v>0</v>
      </c>
      <c r="K32" s="3186">
        <f>I32*J32/100</f>
        <v>0</v>
      </c>
      <c r="L32" s="3186">
        <f>'Phụ lục số 5'!L32</f>
        <v>0</v>
      </c>
      <c r="M32" s="3186">
        <v>0</v>
      </c>
      <c r="N32" s="3186">
        <f>L32*M32/100</f>
        <v>0</v>
      </c>
      <c r="O32" s="3186">
        <f>'Phụ lục số 5'!O32</f>
        <v>2500</v>
      </c>
      <c r="P32" s="3186">
        <v>0</v>
      </c>
      <c r="Q32" s="3186">
        <f>O32*P32/100</f>
        <v>0</v>
      </c>
      <c r="R32" s="3186">
        <f>'Phụ lục số 5'!R32</f>
        <v>3500</v>
      </c>
      <c r="S32" s="3186">
        <v>0</v>
      </c>
      <c r="T32" s="3186">
        <f>R32*S32/100</f>
        <v>0</v>
      </c>
      <c r="U32" s="3186">
        <f>'Phụ lục số 5'!U32</f>
        <v>50000</v>
      </c>
      <c r="V32" s="3186">
        <v>0</v>
      </c>
      <c r="W32" s="3260">
        <f>U32*V32/100</f>
        <v>0</v>
      </c>
      <c r="X32" s="3261">
        <f>'Phụ lục số 5'!X32</f>
        <v>5500</v>
      </c>
      <c r="Y32" s="3186">
        <v>0</v>
      </c>
      <c r="Z32" s="3186">
        <f>X32*Y32/100</f>
        <v>0</v>
      </c>
      <c r="AA32" s="3186">
        <f>'Phụ lục số 5'!AA32</f>
        <v>3000</v>
      </c>
      <c r="AB32" s="3186">
        <v>0</v>
      </c>
      <c r="AC32" s="3186">
        <f>AA32*AB32/100</f>
        <v>0</v>
      </c>
      <c r="AD32" s="3186">
        <f>'Phụ lục số 5'!AD32</f>
        <v>2500</v>
      </c>
      <c r="AE32" s="3186">
        <v>0</v>
      </c>
      <c r="AF32" s="3186">
        <f>AD32*AE32/100</f>
        <v>0</v>
      </c>
      <c r="AG32" s="3186">
        <f>'Phụ lục số 5'!AG32</f>
        <v>4000</v>
      </c>
      <c r="AH32" s="3186">
        <v>0</v>
      </c>
      <c r="AI32" s="3186">
        <f>AG32*AH32/100</f>
        <v>0</v>
      </c>
      <c r="AJ32" s="3186">
        <f>'Phụ lục số 5'!AJ32</f>
        <v>4000</v>
      </c>
      <c r="AK32" s="3186">
        <v>0</v>
      </c>
      <c r="AL32" s="3186">
        <f>AJ32*AK32/100</f>
        <v>0</v>
      </c>
      <c r="AM32" s="75">
        <f>'Phụ lục số 5'!AM32</f>
        <v>2000</v>
      </c>
      <c r="AN32" s="75">
        <v>0</v>
      </c>
      <c r="AO32" s="3262">
        <f>AM32*AN32/100</f>
        <v>0</v>
      </c>
    </row>
    <row r="33" spans="1:41">
      <c r="A33" s="3264" t="s">
        <v>137</v>
      </c>
      <c r="B33" s="1444" t="s">
        <v>281</v>
      </c>
      <c r="C33" s="3186">
        <f t="shared" si="16"/>
        <v>32500</v>
      </c>
      <c r="D33" s="3186">
        <f t="shared" si="13"/>
        <v>0</v>
      </c>
      <c r="E33" s="3186">
        <f t="shared" si="17"/>
        <v>0</v>
      </c>
      <c r="F33" s="3186">
        <f>'Phụ lục số 5'!F33</f>
        <v>0</v>
      </c>
      <c r="G33" s="3186">
        <v>0</v>
      </c>
      <c r="H33" s="3186">
        <f t="shared" si="14"/>
        <v>0</v>
      </c>
      <c r="I33" s="3186">
        <f>'Phụ lục số 5'!I33</f>
        <v>4000</v>
      </c>
      <c r="J33" s="3186">
        <v>0</v>
      </c>
      <c r="K33" s="3186">
        <f>I33*J33/100</f>
        <v>0</v>
      </c>
      <c r="L33" s="3186">
        <f>'Phụ lục số 5'!L33</f>
        <v>0</v>
      </c>
      <c r="M33" s="3186">
        <v>0</v>
      </c>
      <c r="N33" s="3186">
        <f>L33*M33/100</f>
        <v>0</v>
      </c>
      <c r="O33" s="3186">
        <f>'Phụ lục số 5'!O33</f>
        <v>3000</v>
      </c>
      <c r="P33" s="3186">
        <v>0</v>
      </c>
      <c r="Q33" s="3186">
        <f>O33*P33/100</f>
        <v>0</v>
      </c>
      <c r="R33" s="3186">
        <f>'Phụ lục số 5'!R33</f>
        <v>3000</v>
      </c>
      <c r="S33" s="3186">
        <v>0</v>
      </c>
      <c r="T33" s="3186">
        <f>R33*S33/100</f>
        <v>0</v>
      </c>
      <c r="U33" s="3186">
        <f>'Phụ lục số 5'!U33</f>
        <v>8500</v>
      </c>
      <c r="V33" s="3186">
        <v>0</v>
      </c>
      <c r="W33" s="3260">
        <f>U33*V33/100</f>
        <v>0</v>
      </c>
      <c r="X33" s="3261">
        <f>'Phụ lục số 5'!X33</f>
        <v>4500</v>
      </c>
      <c r="Y33" s="3186">
        <v>0</v>
      </c>
      <c r="Z33" s="3186">
        <f>X33*Y33/100</f>
        <v>0</v>
      </c>
      <c r="AA33" s="3186">
        <f>'Phụ lục số 5'!AA33</f>
        <v>1000</v>
      </c>
      <c r="AB33" s="3186">
        <v>0</v>
      </c>
      <c r="AC33" s="3186">
        <f>AA33*AB33/100</f>
        <v>0</v>
      </c>
      <c r="AD33" s="3186">
        <f>'Phụ lục số 5'!AD33</f>
        <v>1500</v>
      </c>
      <c r="AE33" s="3186">
        <v>0</v>
      </c>
      <c r="AF33" s="3186">
        <f>AD33*AE33/100</f>
        <v>0</v>
      </c>
      <c r="AG33" s="3186">
        <f>'Phụ lục số 5'!AG33</f>
        <v>4000</v>
      </c>
      <c r="AH33" s="3186">
        <v>0</v>
      </c>
      <c r="AI33" s="3186">
        <f>AG33*AH33/100</f>
        <v>0</v>
      </c>
      <c r="AJ33" s="3186">
        <f>'Phụ lục số 5'!AJ33</f>
        <v>2500</v>
      </c>
      <c r="AK33" s="3186">
        <v>0</v>
      </c>
      <c r="AL33" s="3186">
        <f>AJ33*AK33/100</f>
        <v>0</v>
      </c>
      <c r="AM33" s="75">
        <f>'Phụ lục số 5'!AM33</f>
        <v>500</v>
      </c>
      <c r="AN33" s="75">
        <v>0</v>
      </c>
      <c r="AO33" s="3262">
        <f>AM33*AN33/100</f>
        <v>0</v>
      </c>
    </row>
    <row r="34" spans="1:41">
      <c r="A34" s="3264" t="s">
        <v>137</v>
      </c>
      <c r="B34" s="1444" t="s">
        <v>282</v>
      </c>
      <c r="C34" s="3186">
        <f t="shared" si="16"/>
        <v>145500</v>
      </c>
      <c r="D34" s="3186">
        <f t="shared" si="13"/>
        <v>100</v>
      </c>
      <c r="E34" s="3186">
        <f t="shared" si="17"/>
        <v>145500</v>
      </c>
      <c r="F34" s="3186">
        <f>'Phụ lục số 5'!F34</f>
        <v>13000</v>
      </c>
      <c r="G34" s="3186">
        <v>100</v>
      </c>
      <c r="H34" s="3186">
        <f t="shared" si="14"/>
        <v>13000</v>
      </c>
      <c r="I34" s="3186">
        <f>'Phụ lục số 5'!I34</f>
        <v>7000</v>
      </c>
      <c r="J34" s="3186">
        <v>100</v>
      </c>
      <c r="K34" s="3186">
        <f>I34*J34/100</f>
        <v>7000</v>
      </c>
      <c r="L34" s="3186">
        <f>'Phụ lục số 5'!L34</f>
        <v>7000</v>
      </c>
      <c r="M34" s="3186">
        <v>100</v>
      </c>
      <c r="N34" s="3186">
        <f>L34*M34/100</f>
        <v>7000</v>
      </c>
      <c r="O34" s="3186">
        <f>'Phụ lục số 5'!O34</f>
        <v>8500</v>
      </c>
      <c r="P34" s="3186">
        <v>100</v>
      </c>
      <c r="Q34" s="3186">
        <f>O34*P34/100</f>
        <v>8500</v>
      </c>
      <c r="R34" s="3186">
        <f>'Phụ lục số 5'!R34</f>
        <v>18500</v>
      </c>
      <c r="S34" s="3186">
        <v>100</v>
      </c>
      <c r="T34" s="3186">
        <f>R34*S34/100</f>
        <v>18500</v>
      </c>
      <c r="U34" s="3186">
        <f>'Phụ lục số 5'!U34</f>
        <v>21500</v>
      </c>
      <c r="V34" s="3186">
        <v>100</v>
      </c>
      <c r="W34" s="3260">
        <f>U34*V34/100</f>
        <v>21500</v>
      </c>
      <c r="X34" s="3261">
        <f>'Phụ lục số 5'!X34</f>
        <v>16000</v>
      </c>
      <c r="Y34" s="3186">
        <v>100</v>
      </c>
      <c r="Z34" s="3186">
        <f>X34*Y34/100</f>
        <v>16000</v>
      </c>
      <c r="AA34" s="3186">
        <f>'Phụ lục số 5'!AA34</f>
        <v>8000</v>
      </c>
      <c r="AB34" s="3186">
        <v>100</v>
      </c>
      <c r="AC34" s="3186">
        <f>AA34*AB34/100</f>
        <v>8000</v>
      </c>
      <c r="AD34" s="3186">
        <f>'Phụ lục số 5'!AD34</f>
        <v>14000</v>
      </c>
      <c r="AE34" s="3186">
        <v>100</v>
      </c>
      <c r="AF34" s="3186">
        <f>AD34*AE34/100</f>
        <v>14000</v>
      </c>
      <c r="AG34" s="3186">
        <f>'Phụ lục số 5'!AG34</f>
        <v>10000</v>
      </c>
      <c r="AH34" s="3186">
        <v>100</v>
      </c>
      <c r="AI34" s="3186">
        <f>AG34*AH34/100</f>
        <v>10000</v>
      </c>
      <c r="AJ34" s="3186">
        <f>'Phụ lục số 5'!AJ34</f>
        <v>11500</v>
      </c>
      <c r="AK34" s="3186">
        <v>100</v>
      </c>
      <c r="AL34" s="3186">
        <f>AJ34*AK34/100</f>
        <v>11500</v>
      </c>
      <c r="AM34" s="75">
        <f>'Phụ lục số 5'!AM34</f>
        <v>10500</v>
      </c>
      <c r="AN34" s="75">
        <v>100</v>
      </c>
      <c r="AO34" s="3262">
        <f>AM34*AN34/100</f>
        <v>10500</v>
      </c>
    </row>
    <row r="35" spans="1:41" s="3027" customFormat="1" ht="17.399999999999999">
      <c r="A35" s="3254">
        <v>9</v>
      </c>
      <c r="B35" s="3255" t="s">
        <v>19</v>
      </c>
      <c r="C35" s="3183">
        <f t="shared" si="16"/>
        <v>2000</v>
      </c>
      <c r="D35" s="3183">
        <f t="shared" si="13"/>
        <v>100</v>
      </c>
      <c r="E35" s="3183">
        <f t="shared" si="17"/>
        <v>2000</v>
      </c>
      <c r="F35" s="3172">
        <f>'Phụ lục số 5'!F35</f>
        <v>200</v>
      </c>
      <c r="G35" s="3183">
        <v>100</v>
      </c>
      <c r="H35" s="3183">
        <f>F35*G35/100</f>
        <v>200</v>
      </c>
      <c r="I35" s="3183">
        <f>'Phụ lục số 5'!I35</f>
        <v>100</v>
      </c>
      <c r="J35" s="3183">
        <v>100</v>
      </c>
      <c r="K35" s="3183">
        <f>I35*J35/100</f>
        <v>100</v>
      </c>
      <c r="L35" s="3183">
        <f>'Phụ lục số 5'!L35</f>
        <v>0</v>
      </c>
      <c r="M35" s="3183">
        <v>100</v>
      </c>
      <c r="N35" s="3183">
        <f>L35*M35/100</f>
        <v>0</v>
      </c>
      <c r="O35" s="3183">
        <f>'Phụ lục số 5'!O35</f>
        <v>0</v>
      </c>
      <c r="P35" s="3183">
        <v>100</v>
      </c>
      <c r="Q35" s="3183">
        <f>O35*P35/100</f>
        <v>0</v>
      </c>
      <c r="R35" s="3183">
        <f>'Phụ lục số 5'!R35</f>
        <v>0</v>
      </c>
      <c r="S35" s="3183">
        <v>100</v>
      </c>
      <c r="T35" s="3183">
        <f>R35*S35/100</f>
        <v>0</v>
      </c>
      <c r="U35" s="3183">
        <f>'Phụ lục số 5'!U35</f>
        <v>100</v>
      </c>
      <c r="V35" s="3183">
        <v>100</v>
      </c>
      <c r="W35" s="3256">
        <f>U35*V35/100</f>
        <v>100</v>
      </c>
      <c r="X35" s="3257">
        <f>'Phụ lục số 5'!X35</f>
        <v>250</v>
      </c>
      <c r="Y35" s="3183">
        <v>100</v>
      </c>
      <c r="Z35" s="3183">
        <f>X35*Y35/100</f>
        <v>250</v>
      </c>
      <c r="AA35" s="3265">
        <f>'Phụ lục số 5'!AA35</f>
        <v>800</v>
      </c>
      <c r="AB35" s="3183">
        <v>100</v>
      </c>
      <c r="AC35" s="3183">
        <f>AA35*AB35/100</f>
        <v>800</v>
      </c>
      <c r="AD35" s="3183">
        <f>'Phụ lục số 5'!AD35</f>
        <v>0</v>
      </c>
      <c r="AE35" s="3183">
        <v>100</v>
      </c>
      <c r="AF35" s="3183">
        <f>AD35*AE35/100</f>
        <v>0</v>
      </c>
      <c r="AG35" s="3183">
        <f>'Phụ lục số 5'!AG35</f>
        <v>0</v>
      </c>
      <c r="AH35" s="3183">
        <v>100</v>
      </c>
      <c r="AI35" s="3183">
        <f>AG35*AH35/100</f>
        <v>0</v>
      </c>
      <c r="AJ35" s="3183">
        <f>'Phụ lục số 5'!AJ35</f>
        <v>500</v>
      </c>
      <c r="AK35" s="3183">
        <v>100</v>
      </c>
      <c r="AL35" s="3183">
        <f>AJ35*AK35/100</f>
        <v>500</v>
      </c>
      <c r="AM35" s="3255">
        <f>'Phụ lục số 5'!AM35</f>
        <v>50</v>
      </c>
      <c r="AN35" s="3255">
        <v>100</v>
      </c>
      <c r="AO35" s="3258">
        <f>AM35*AN35/100</f>
        <v>50</v>
      </c>
    </row>
    <row r="36" spans="1:41" s="3246" customFormat="1">
      <c r="A36" s="3254" t="s">
        <v>20</v>
      </c>
      <c r="B36" s="3255" t="s">
        <v>283</v>
      </c>
      <c r="C36" s="3183">
        <f t="shared" si="16"/>
        <v>5083323.3480000002</v>
      </c>
      <c r="D36" s="3183"/>
      <c r="E36" s="3183">
        <f t="shared" si="17"/>
        <v>5083323.3480000002</v>
      </c>
      <c r="F36" s="3183">
        <f>F37+F38</f>
        <v>469609</v>
      </c>
      <c r="G36" s="3183"/>
      <c r="H36" s="3183">
        <f>F36</f>
        <v>469609</v>
      </c>
      <c r="I36" s="3183">
        <f>I37+I38</f>
        <v>291055</v>
      </c>
      <c r="J36" s="3183"/>
      <c r="K36" s="3183">
        <f>I36</f>
        <v>291055</v>
      </c>
      <c r="L36" s="3183">
        <f>L37+L38</f>
        <v>441196.82400000002</v>
      </c>
      <c r="M36" s="3183"/>
      <c r="N36" s="3183">
        <f>L36</f>
        <v>441196.82400000002</v>
      </c>
      <c r="O36" s="3183">
        <f>O37+O38</f>
        <v>467064.76</v>
      </c>
      <c r="P36" s="3183"/>
      <c r="Q36" s="3183">
        <f>O36</f>
        <v>467064.76</v>
      </c>
      <c r="R36" s="3183">
        <f>R37+R38</f>
        <v>486100.35200000001</v>
      </c>
      <c r="S36" s="3183"/>
      <c r="T36" s="3183">
        <f>R36</f>
        <v>486100.35200000001</v>
      </c>
      <c r="U36" s="3183">
        <f>U37+U38</f>
        <v>56513.2</v>
      </c>
      <c r="V36" s="3183"/>
      <c r="W36" s="3256">
        <f>U36</f>
        <v>56513.2</v>
      </c>
      <c r="X36" s="3257">
        <f>X37+X38</f>
        <v>642349.19999999995</v>
      </c>
      <c r="Y36" s="3183"/>
      <c r="Z36" s="3183">
        <f>X36</f>
        <v>642349.19999999995</v>
      </c>
      <c r="AA36" s="3183">
        <f>AA37+AA38</f>
        <v>540705.6</v>
      </c>
      <c r="AB36" s="3183"/>
      <c r="AC36" s="3183">
        <f>AA36</f>
        <v>540705.6</v>
      </c>
      <c r="AD36" s="3183">
        <f>AD37+AD38</f>
        <v>520654.94799999997</v>
      </c>
      <c r="AE36" s="3183"/>
      <c r="AF36" s="3183">
        <f>AD36</f>
        <v>520654.94799999997</v>
      </c>
      <c r="AG36" s="3183">
        <f>AG37+AG38</f>
        <v>519057.712</v>
      </c>
      <c r="AH36" s="3183"/>
      <c r="AI36" s="3183">
        <f>AG36</f>
        <v>519057.712</v>
      </c>
      <c r="AJ36" s="3183">
        <f>AJ37+AJ38</f>
        <v>234459.92</v>
      </c>
      <c r="AK36" s="3183"/>
      <c r="AL36" s="3183">
        <f>AJ36</f>
        <v>234459.92</v>
      </c>
      <c r="AM36" s="3255">
        <f>AM37+AM38</f>
        <v>414556.83199999999</v>
      </c>
      <c r="AN36" s="3255"/>
      <c r="AO36" s="3258">
        <f>AM36</f>
        <v>414556.83199999999</v>
      </c>
    </row>
    <row r="37" spans="1:41" s="3027" customFormat="1" ht="17.399999999999999">
      <c r="A37" s="3254">
        <v>1</v>
      </c>
      <c r="B37" s="3255" t="s">
        <v>284</v>
      </c>
      <c r="C37" s="3183">
        <f t="shared" si="16"/>
        <v>4430923</v>
      </c>
      <c r="D37" s="3183"/>
      <c r="E37" s="3183">
        <f t="shared" si="17"/>
        <v>4430923</v>
      </c>
      <c r="F37" s="3183">
        <f>'Phụ lục số 5'!F37</f>
        <v>413967</v>
      </c>
      <c r="G37" s="3183"/>
      <c r="H37" s="3183">
        <f>F37</f>
        <v>413967</v>
      </c>
      <c r="I37" s="3183">
        <f>'Phụ lục số 5'!I37</f>
        <v>225665</v>
      </c>
      <c r="J37" s="3183"/>
      <c r="K37" s="3183">
        <f>I37</f>
        <v>225665</v>
      </c>
      <c r="L37" s="3183">
        <f>'Phụ lục số 5'!L37</f>
        <v>391207</v>
      </c>
      <c r="M37" s="3183"/>
      <c r="N37" s="3183">
        <f>L37</f>
        <v>391207</v>
      </c>
      <c r="O37" s="3183">
        <f>'Phụ lục số 5'!O37</f>
        <v>388772</v>
      </c>
      <c r="P37" s="3183"/>
      <c r="Q37" s="3183">
        <f>O37</f>
        <v>388772</v>
      </c>
      <c r="R37" s="3183">
        <f>'Phụ lục số 5'!R37</f>
        <v>449761</v>
      </c>
      <c r="S37" s="3183"/>
      <c r="T37" s="3183">
        <f>R37</f>
        <v>449761</v>
      </c>
      <c r="U37" s="3183">
        <f>'Phụ lục số 5'!U37</f>
        <v>37354</v>
      </c>
      <c r="V37" s="3183"/>
      <c r="W37" s="3256">
        <f>U37</f>
        <v>37354</v>
      </c>
      <c r="X37" s="3257">
        <f>'Phụ lục số 5'!X37</f>
        <v>566422</v>
      </c>
      <c r="Y37" s="3183"/>
      <c r="Z37" s="3183">
        <f>X37</f>
        <v>566422</v>
      </c>
      <c r="AA37" s="3265">
        <f>'Phụ lục số 5'!AA37</f>
        <v>441700</v>
      </c>
      <c r="AB37" s="3183"/>
      <c r="AC37" s="3183">
        <f>AA37</f>
        <v>441700</v>
      </c>
      <c r="AD37" s="3183">
        <f>'Phụ lục số 5'!AD37</f>
        <v>470689</v>
      </c>
      <c r="AE37" s="3183"/>
      <c r="AF37" s="3183">
        <f>AD37</f>
        <v>470689</v>
      </c>
      <c r="AG37" s="3183">
        <f>'Phụ lục số 5'!AG37</f>
        <v>440874</v>
      </c>
      <c r="AH37" s="3183"/>
      <c r="AI37" s="3183">
        <f>AG37</f>
        <v>440874</v>
      </c>
      <c r="AJ37" s="3183">
        <f>'Phụ lục số 5'!AJ37</f>
        <v>224584</v>
      </c>
      <c r="AK37" s="3183"/>
      <c r="AL37" s="3183">
        <f>AJ37</f>
        <v>224584</v>
      </c>
      <c r="AM37" s="3255">
        <f>'Phụ lục số 5'!AM37</f>
        <v>379928</v>
      </c>
      <c r="AN37" s="3255"/>
      <c r="AO37" s="3258">
        <f>AM37</f>
        <v>379928</v>
      </c>
    </row>
    <row r="38" spans="1:41" s="3027" customFormat="1" ht="17.399999999999999">
      <c r="A38" s="3254">
        <v>2</v>
      </c>
      <c r="B38" s="3255" t="s">
        <v>285</v>
      </c>
      <c r="C38" s="3183">
        <f>SUM(F38,L38,O38,R38,U38,X38,AA38,AD38,AG38,AJ38,AM38,I38)</f>
        <v>652400.348</v>
      </c>
      <c r="D38" s="3183"/>
      <c r="E38" s="3183">
        <f>SUM(H38,N38,Q38,T38,W38,Z38,AC38,AF38,AI38,AL38,AO38,K38)</f>
        <v>652400.348</v>
      </c>
      <c r="F38" s="3183">
        <f>SUM(F39:F43)</f>
        <v>55642</v>
      </c>
      <c r="G38" s="3183"/>
      <c r="H38" s="3183">
        <f>SUM(H39:H43)</f>
        <v>55642</v>
      </c>
      <c r="I38" s="3183">
        <f>SUM(I39:I43)</f>
        <v>65390</v>
      </c>
      <c r="J38" s="3183"/>
      <c r="K38" s="3183">
        <f>SUM(K39:K43)</f>
        <v>65390</v>
      </c>
      <c r="L38" s="3183">
        <f>SUM(L39:L43)</f>
        <v>49989.824000000001</v>
      </c>
      <c r="M38" s="3183"/>
      <c r="N38" s="3183">
        <f>SUM(N39:N43)</f>
        <v>49989.824000000001</v>
      </c>
      <c r="O38" s="3183">
        <f>SUM(O39:O43)</f>
        <v>78292.759999999995</v>
      </c>
      <c r="P38" s="3183"/>
      <c r="Q38" s="3183">
        <f>SUM(Q39:Q43)</f>
        <v>78292.759999999995</v>
      </c>
      <c r="R38" s="3183">
        <f>SUM(R39:R43)</f>
        <v>36339.351999999999</v>
      </c>
      <c r="S38" s="3183"/>
      <c r="T38" s="3183">
        <f>SUM(T39:T43)</f>
        <v>36339.351999999999</v>
      </c>
      <c r="U38" s="3183">
        <f>SUM(U39:U43)</f>
        <v>19159.2</v>
      </c>
      <c r="V38" s="3183"/>
      <c r="W38" s="3183">
        <f>SUM(W39:W43)</f>
        <v>19159.2</v>
      </c>
      <c r="X38" s="3183">
        <f>SUM(X39:X43)</f>
        <v>75927.199999999997</v>
      </c>
      <c r="Y38" s="3183"/>
      <c r="Z38" s="3183">
        <f>SUM(Z39:Z43)</f>
        <v>75927.199999999997</v>
      </c>
      <c r="AA38" s="3183">
        <f>SUM(AA39:AA43)</f>
        <v>99005.6</v>
      </c>
      <c r="AB38" s="3183"/>
      <c r="AC38" s="3183">
        <f>SUM(AC39:AC43)</f>
        <v>99005.6</v>
      </c>
      <c r="AD38" s="3183">
        <f>SUM(AD39:AD43)</f>
        <v>49965.948000000004</v>
      </c>
      <c r="AE38" s="3183"/>
      <c r="AF38" s="3183">
        <f>SUM(AF39:AF43)</f>
        <v>49965.948000000004</v>
      </c>
      <c r="AG38" s="3183">
        <f>SUM(AG39:AG43)</f>
        <v>78183.712</v>
      </c>
      <c r="AH38" s="3183"/>
      <c r="AI38" s="3183">
        <f>SUM(AI39:AI43)</f>
        <v>78183.712</v>
      </c>
      <c r="AJ38" s="3183">
        <f>SUM(AJ39:AJ43)</f>
        <v>9875.92</v>
      </c>
      <c r="AK38" s="3183"/>
      <c r="AL38" s="3183">
        <f>SUM(AL39:AL43)</f>
        <v>9875.92</v>
      </c>
      <c r="AM38" s="3183">
        <f>SUM(AM39:AM43)</f>
        <v>34628.832000000002</v>
      </c>
      <c r="AN38" s="3183"/>
      <c r="AO38" s="3185">
        <f>SUM(AO39:AO43)</f>
        <v>34628.832000000002</v>
      </c>
    </row>
    <row r="39" spans="1:41" s="3027" customFormat="1" ht="54">
      <c r="A39" s="3076" t="s">
        <v>34</v>
      </c>
      <c r="B39" s="3266" t="str">
        <f>'Phụ lục số 5'!B39</f>
        <v>Kinh phí hỗ trợ giá sản phẩm, dịch vụ công ích thủy lợi theo quy định tại Nghị định số 96/2018/NĐ-CP ngày 30/6/2018 của Chính phủ</v>
      </c>
      <c r="C39" s="3178">
        <f>SUM(F39,L39,O39,R39,U39,X39,AA39,AD39,AG39,AJ39,AM39,I39)</f>
        <v>148700</v>
      </c>
      <c r="D39" s="3178"/>
      <c r="E39" s="3178">
        <f>SUM(H39,N39,Q39,T39,W39,Z39,AC39,AF39,AI39,AL39,AO39,K39)</f>
        <v>148700</v>
      </c>
      <c r="F39" s="3178">
        <f>'Phụ lục số 5'!F39</f>
        <v>9300</v>
      </c>
      <c r="G39" s="3178"/>
      <c r="H39" s="3178">
        <f>F39</f>
        <v>9300</v>
      </c>
      <c r="I39" s="3178">
        <f>'Phụ lục số 5'!I39</f>
        <v>5800</v>
      </c>
      <c r="J39" s="3178"/>
      <c r="K39" s="3178">
        <f>I39</f>
        <v>5800</v>
      </c>
      <c r="L39" s="3178">
        <f>'Phụ lục số 5'!L39</f>
        <v>16100</v>
      </c>
      <c r="M39" s="3178"/>
      <c r="N39" s="3178">
        <f>L39</f>
        <v>16100</v>
      </c>
      <c r="O39" s="3178">
        <f>'Phụ lục số 5'!O39</f>
        <v>18900</v>
      </c>
      <c r="P39" s="3178"/>
      <c r="Q39" s="3178">
        <f>O39</f>
        <v>18900</v>
      </c>
      <c r="R39" s="3178">
        <f>'Phụ lục số 5'!R39</f>
        <v>13200</v>
      </c>
      <c r="S39" s="3178"/>
      <c r="T39" s="3178">
        <f>R39</f>
        <v>13200</v>
      </c>
      <c r="U39" s="3178">
        <f>'Phụ lục số 5'!U39</f>
        <v>5000</v>
      </c>
      <c r="V39" s="3178"/>
      <c r="W39" s="3267">
        <f>U39</f>
        <v>5000</v>
      </c>
      <c r="X39" s="3268">
        <f>'Phụ lục số 5'!X39</f>
        <v>21400</v>
      </c>
      <c r="Y39" s="3178"/>
      <c r="Z39" s="3178">
        <f>X39</f>
        <v>21400</v>
      </c>
      <c r="AA39" s="3178">
        <f>'Phụ lục số 5'!AA39</f>
        <v>28600</v>
      </c>
      <c r="AB39" s="3178"/>
      <c r="AC39" s="3178">
        <f>AA39</f>
        <v>28600</v>
      </c>
      <c r="AD39" s="3178">
        <f>'Phụ lục số 5'!AD39</f>
        <v>8900</v>
      </c>
      <c r="AE39" s="3178"/>
      <c r="AF39" s="3178">
        <f>AD39</f>
        <v>8900</v>
      </c>
      <c r="AG39" s="3178">
        <f>'Phụ lục số 5'!AG39</f>
        <v>11300</v>
      </c>
      <c r="AH39" s="3178"/>
      <c r="AI39" s="3178">
        <f>AG39</f>
        <v>11300</v>
      </c>
      <c r="AJ39" s="3178">
        <f>'Phụ lục số 5'!AJ39</f>
        <v>3000</v>
      </c>
      <c r="AK39" s="3178"/>
      <c r="AL39" s="3178">
        <f>AJ39</f>
        <v>3000</v>
      </c>
      <c r="AM39" s="78">
        <f>'Phụ lục số 5'!AM39</f>
        <v>7200</v>
      </c>
      <c r="AN39" s="78"/>
      <c r="AO39" s="3005">
        <f>AM39</f>
        <v>7200</v>
      </c>
    </row>
    <row r="40" spans="1:41" s="3027" customFormat="1" ht="90">
      <c r="A40" s="3076" t="s">
        <v>35</v>
      </c>
      <c r="B40" s="3266" t="str">
        <f>'Phụ lục số 5'!B40</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0" s="3178">
        <f>SUM(F40,L40,O40,R40,U40,X40,AA40,AD40,AG40,AJ40,AM40,I40)</f>
        <v>169098</v>
      </c>
      <c r="D40" s="3178"/>
      <c r="E40" s="3178">
        <f>SUM(H40,N40,Q40,T40,W40,Z40,AC40,AF40,AI40,AL40,AO40,K40)</f>
        <v>169098</v>
      </c>
      <c r="F40" s="3178">
        <f>'Phụ lục số 5'!F40</f>
        <v>9500</v>
      </c>
      <c r="G40" s="3178"/>
      <c r="H40" s="3178">
        <f>F40</f>
        <v>9500</v>
      </c>
      <c r="I40" s="3178">
        <f>'Phụ lục số 5'!I40</f>
        <v>7500</v>
      </c>
      <c r="J40" s="3178"/>
      <c r="K40" s="3178">
        <f>I40</f>
        <v>7500</v>
      </c>
      <c r="L40" s="3178">
        <f>'Phụ lục số 5'!L40</f>
        <v>18000</v>
      </c>
      <c r="M40" s="3178"/>
      <c r="N40" s="3178">
        <f>L40</f>
        <v>18000</v>
      </c>
      <c r="O40" s="3178">
        <f>'Phụ lục số 5'!O40</f>
        <v>27000</v>
      </c>
      <c r="P40" s="3178"/>
      <c r="Q40" s="3178">
        <f>O40</f>
        <v>27000</v>
      </c>
      <c r="R40" s="3178">
        <f>'Phụ lục số 5'!R40</f>
        <v>19098</v>
      </c>
      <c r="S40" s="3178"/>
      <c r="T40" s="3178">
        <f>R40</f>
        <v>19098</v>
      </c>
      <c r="U40" s="3178">
        <f>'Phụ lục số 5'!U40</f>
        <v>3000</v>
      </c>
      <c r="V40" s="3178"/>
      <c r="W40" s="3267">
        <f>U40</f>
        <v>3000</v>
      </c>
      <c r="X40" s="3268">
        <f>'Phụ lục số 5'!X40</f>
        <v>26000</v>
      </c>
      <c r="Y40" s="3178"/>
      <c r="Z40" s="3178">
        <f>X40</f>
        <v>26000</v>
      </c>
      <c r="AA40" s="3178">
        <f>'Phụ lục số 5'!AA40</f>
        <v>33000</v>
      </c>
      <c r="AB40" s="3178"/>
      <c r="AC40" s="3178">
        <f>AA40</f>
        <v>33000</v>
      </c>
      <c r="AD40" s="3178">
        <f>'Phụ lục số 5'!AD40</f>
        <v>7000</v>
      </c>
      <c r="AE40" s="3178"/>
      <c r="AF40" s="3178">
        <f>AD40</f>
        <v>7000</v>
      </c>
      <c r="AG40" s="3178">
        <f>'Phụ lục số 5'!AG40</f>
        <v>7000</v>
      </c>
      <c r="AH40" s="3178"/>
      <c r="AI40" s="3178">
        <f>AG40</f>
        <v>7000</v>
      </c>
      <c r="AJ40" s="3178">
        <f>'Phụ lục số 5'!AJ40</f>
        <v>1500</v>
      </c>
      <c r="AK40" s="3178"/>
      <c r="AL40" s="3178">
        <f>AJ40</f>
        <v>1500</v>
      </c>
      <c r="AM40" s="78">
        <f>'Phụ lục số 5'!AM40</f>
        <v>10500</v>
      </c>
      <c r="AN40" s="78"/>
      <c r="AO40" s="3005">
        <f>AM40</f>
        <v>10500</v>
      </c>
    </row>
    <row r="41" spans="1:41" s="3027" customFormat="1" ht="36">
      <c r="A41" s="3076" t="s">
        <v>36</v>
      </c>
      <c r="B41" s="3266" t="str">
        <f>'Phụ lục số 5'!B41</f>
        <v>Bổ sung nguồn thực hiện điều chỉnh tiền lương cơ sở tăng thêm đến 1,8 triệu đồng/tháng (12 tháng)</v>
      </c>
      <c r="C41" s="3178">
        <f t="shared" ref="C41:C43" si="18">SUM(F41,L41,O41,R41,U41,X41,AA41,AD41,AG41,AJ41,AM41,I41)</f>
        <v>232934</v>
      </c>
      <c r="D41" s="3269"/>
      <c r="E41" s="3178">
        <f t="shared" ref="E41:E43" si="19">SUM(H41,N41,Q41,T41,W41,Z41,AC41,AF41,AI41,AL41,AO41,K41)</f>
        <v>232934</v>
      </c>
      <c r="F41" s="3178">
        <f>'Phụ lục số 5'!F41</f>
        <v>33411</v>
      </c>
      <c r="G41" s="3269"/>
      <c r="H41" s="3178">
        <f t="shared" ref="H41:H42" si="20">F41</f>
        <v>33411</v>
      </c>
      <c r="I41" s="3178">
        <f>'Phụ lục số 5'!I41</f>
        <v>46035</v>
      </c>
      <c r="J41" s="3269"/>
      <c r="K41" s="3178">
        <f t="shared" ref="K41:K42" si="21">I41</f>
        <v>46035</v>
      </c>
      <c r="L41" s="3178">
        <f>'Phụ lục số 5'!L41</f>
        <v>8966</v>
      </c>
      <c r="M41" s="3269"/>
      <c r="N41" s="3178">
        <f t="shared" ref="N41:N42" si="22">L41</f>
        <v>8966</v>
      </c>
      <c r="O41" s="3178">
        <f>'Phụ lục số 5'!O41</f>
        <v>30706</v>
      </c>
      <c r="P41" s="3178"/>
      <c r="Q41" s="3178">
        <f t="shared" ref="Q41:Q42" si="23">O41</f>
        <v>30706</v>
      </c>
      <c r="R41" s="3178">
        <f>'Phụ lục số 5'!R41</f>
        <v>0</v>
      </c>
      <c r="S41" s="3178"/>
      <c r="T41" s="3178">
        <f t="shared" ref="T41:T42" si="24">R41</f>
        <v>0</v>
      </c>
      <c r="U41" s="3178">
        <f>'Phụ lục số 5'!U41</f>
        <v>0</v>
      </c>
      <c r="V41" s="3178"/>
      <c r="W41" s="3267">
        <f t="shared" ref="W41:W42" si="25">U41</f>
        <v>0</v>
      </c>
      <c r="X41" s="3268">
        <f>'Phụ lục số 5'!X41</f>
        <v>10606</v>
      </c>
      <c r="Y41" s="3178"/>
      <c r="Z41" s="3178">
        <f t="shared" ref="Z41:Z42" si="26">X41</f>
        <v>10606</v>
      </c>
      <c r="AA41" s="3178">
        <f>'Phụ lục số 5'!AA41</f>
        <v>34795</v>
      </c>
      <c r="AB41" s="3178"/>
      <c r="AC41" s="3178">
        <f t="shared" ref="AC41:AC42" si="27">AA41</f>
        <v>34795</v>
      </c>
      <c r="AD41" s="3178">
        <f>'Phụ lục số 5'!AD41</f>
        <v>9628</v>
      </c>
      <c r="AE41" s="3178"/>
      <c r="AF41" s="3178">
        <f t="shared" ref="AF41:AF42" si="28">AD41</f>
        <v>9628</v>
      </c>
      <c r="AG41" s="3178">
        <f>'Phụ lục số 5'!AG41</f>
        <v>50621</v>
      </c>
      <c r="AH41" s="3178"/>
      <c r="AI41" s="3178">
        <f t="shared" ref="AI41:AI42" si="29">AG41</f>
        <v>50621</v>
      </c>
      <c r="AJ41" s="3178">
        <f>'Phụ lục số 5'!AJ41</f>
        <v>0</v>
      </c>
      <c r="AK41" s="3178"/>
      <c r="AL41" s="3178">
        <f t="shared" ref="AL41:AL42" si="30">AJ41</f>
        <v>0</v>
      </c>
      <c r="AM41" s="78">
        <f>'Phụ lục số 5'!AM41</f>
        <v>8166</v>
      </c>
      <c r="AN41" s="78"/>
      <c r="AO41" s="3005">
        <f t="shared" ref="AO41" si="31">AM41</f>
        <v>8166</v>
      </c>
    </row>
    <row r="42" spans="1:41" s="3027" customFormat="1" ht="36">
      <c r="A42" s="3076" t="s">
        <v>37</v>
      </c>
      <c r="B42" s="3266" t="str">
        <f>'Phụ lục số 5'!B42</f>
        <v>Bổ sung có mục tiêu thực hiện chính sách an sinh xã hội (ngoài chính sách tiền lương)</v>
      </c>
      <c r="C42" s="3178">
        <f t="shared" si="18"/>
        <v>93668.347999999998</v>
      </c>
      <c r="D42" s="3269"/>
      <c r="E42" s="3178">
        <f t="shared" si="19"/>
        <v>93668.347999999998</v>
      </c>
      <c r="F42" s="3178">
        <f>'Phụ lục số 5'!F42</f>
        <v>3431</v>
      </c>
      <c r="G42" s="3269"/>
      <c r="H42" s="3178">
        <f t="shared" si="20"/>
        <v>3431</v>
      </c>
      <c r="I42" s="3178">
        <f>'Phụ lục số 5'!I42</f>
        <v>4055</v>
      </c>
      <c r="J42" s="3269"/>
      <c r="K42" s="3178">
        <f t="shared" si="21"/>
        <v>4055</v>
      </c>
      <c r="L42" s="3178">
        <f>'Phụ lục số 5'!L42</f>
        <v>6923.8239999999996</v>
      </c>
      <c r="M42" s="3269"/>
      <c r="N42" s="3178">
        <f t="shared" si="22"/>
        <v>6923.8239999999996</v>
      </c>
      <c r="O42" s="3178">
        <f>'Phụ lục số 5'!O42</f>
        <v>1686.76</v>
      </c>
      <c r="P42" s="3178"/>
      <c r="Q42" s="3178">
        <f t="shared" si="23"/>
        <v>1686.76</v>
      </c>
      <c r="R42" s="3178">
        <f>'Phụ lục số 5'!R42</f>
        <v>4041.3519999999999</v>
      </c>
      <c r="S42" s="3178"/>
      <c r="T42" s="3178">
        <f t="shared" si="24"/>
        <v>4041.3519999999999</v>
      </c>
      <c r="U42" s="3178">
        <f>'Phụ lục số 5'!U42</f>
        <v>11159.2</v>
      </c>
      <c r="V42" s="3178"/>
      <c r="W42" s="3267">
        <f t="shared" si="25"/>
        <v>11159.2</v>
      </c>
      <c r="X42" s="3268">
        <f>'Phụ lục số 5'!X42</f>
        <v>17921.2</v>
      </c>
      <c r="Y42" s="3178"/>
      <c r="Z42" s="3178">
        <f t="shared" si="26"/>
        <v>17921.2</v>
      </c>
      <c r="AA42" s="3178">
        <f>'Phụ lục số 5'!AA42</f>
        <v>2610.6</v>
      </c>
      <c r="AB42" s="3178"/>
      <c r="AC42" s="3178">
        <f t="shared" si="27"/>
        <v>2610.6</v>
      </c>
      <c r="AD42" s="3178">
        <f>'Phụ lục số 5'!AD42</f>
        <v>22437.948</v>
      </c>
      <c r="AE42" s="3178"/>
      <c r="AF42" s="3178">
        <f t="shared" si="28"/>
        <v>22437.948</v>
      </c>
      <c r="AG42" s="3178">
        <f>'Phụ lục số 5'!AG42</f>
        <v>7262.7119999999995</v>
      </c>
      <c r="AH42" s="3178"/>
      <c r="AI42" s="3178">
        <f t="shared" si="29"/>
        <v>7262.7119999999995</v>
      </c>
      <c r="AJ42" s="3178">
        <f>'Phụ lục số 5'!AJ42</f>
        <v>5375.92</v>
      </c>
      <c r="AK42" s="3178"/>
      <c r="AL42" s="3178">
        <f t="shared" si="30"/>
        <v>5375.92</v>
      </c>
      <c r="AM42" s="78">
        <f>'Phụ lục số 5'!AM42</f>
        <v>6762.8320000000003</v>
      </c>
      <c r="AN42" s="78"/>
      <c r="AO42" s="3005">
        <f>AM42</f>
        <v>6762.8320000000003</v>
      </c>
    </row>
    <row r="43" spans="1:41" s="3027" customFormat="1" ht="36">
      <c r="A43" s="3079" t="s">
        <v>1327</v>
      </c>
      <c r="B43" s="3266" t="str">
        <f>'Phụ lục số 5'!B43</f>
        <v>Bổ sung có mục tiêu kinh phí diễn tập khu vực phòng thủ cấp huyện năm 2024</v>
      </c>
      <c r="C43" s="3178">
        <f t="shared" si="18"/>
        <v>8000</v>
      </c>
      <c r="D43" s="3269"/>
      <c r="E43" s="3178">
        <f t="shared" si="19"/>
        <v>8000</v>
      </c>
      <c r="F43" s="3178">
        <f>'Phụ lục số 5'!F43</f>
        <v>0</v>
      </c>
      <c r="G43" s="3269"/>
      <c r="H43" s="3178">
        <f t="shared" ref="H43" si="32">F43</f>
        <v>0</v>
      </c>
      <c r="I43" s="3178">
        <f>'Phụ lục số 5'!I43</f>
        <v>2000</v>
      </c>
      <c r="J43" s="3269"/>
      <c r="K43" s="3178">
        <f t="shared" ref="K43" si="33">I43</f>
        <v>2000</v>
      </c>
      <c r="L43" s="3178">
        <f>'Phụ lục số 5'!L43</f>
        <v>0</v>
      </c>
      <c r="M43" s="3269"/>
      <c r="N43" s="3178">
        <f t="shared" ref="N43" si="34">L43</f>
        <v>0</v>
      </c>
      <c r="O43" s="3178">
        <f>'Phụ lục số 5'!O43</f>
        <v>0</v>
      </c>
      <c r="P43" s="3178"/>
      <c r="Q43" s="3178">
        <f t="shared" ref="Q43" si="35">O43</f>
        <v>0</v>
      </c>
      <c r="R43" s="3178">
        <f>'Phụ lục số 5'!R43</f>
        <v>0</v>
      </c>
      <c r="S43" s="3178"/>
      <c r="T43" s="3178">
        <f t="shared" ref="T43" si="36">R43</f>
        <v>0</v>
      </c>
      <c r="U43" s="3178">
        <f>'Phụ lục số 5'!U43</f>
        <v>0</v>
      </c>
      <c r="V43" s="3178"/>
      <c r="W43" s="3267">
        <f t="shared" ref="W43" si="37">U43</f>
        <v>0</v>
      </c>
      <c r="X43" s="3268">
        <f>'Phụ lục số 5'!X43</f>
        <v>0</v>
      </c>
      <c r="Y43" s="3178"/>
      <c r="Z43" s="3178">
        <f t="shared" ref="Z43" si="38">X43</f>
        <v>0</v>
      </c>
      <c r="AA43" s="3178">
        <f>'Phụ lục số 5'!AA43</f>
        <v>0</v>
      </c>
      <c r="AB43" s="3178"/>
      <c r="AC43" s="3178">
        <f t="shared" ref="AC43" si="39">AA43</f>
        <v>0</v>
      </c>
      <c r="AD43" s="3178">
        <f>'Phụ lục số 5'!AD43</f>
        <v>2000</v>
      </c>
      <c r="AE43" s="3178"/>
      <c r="AF43" s="3178">
        <f t="shared" ref="AF43" si="40">AD43</f>
        <v>2000</v>
      </c>
      <c r="AG43" s="3178">
        <f>'Phụ lục số 5'!AG43</f>
        <v>2000</v>
      </c>
      <c r="AH43" s="3178"/>
      <c r="AI43" s="3178">
        <f t="shared" ref="AI43" si="41">AG43</f>
        <v>2000</v>
      </c>
      <c r="AJ43" s="3178">
        <f>'Phụ lục số 5'!AJ43</f>
        <v>0</v>
      </c>
      <c r="AK43" s="3178"/>
      <c r="AL43" s="3178">
        <f t="shared" ref="AL43" si="42">AJ43</f>
        <v>0</v>
      </c>
      <c r="AM43" s="78">
        <f>'Phụ lục số 5'!AM43</f>
        <v>2000</v>
      </c>
      <c r="AN43" s="78"/>
      <c r="AO43" s="3005">
        <f>AM43</f>
        <v>2000</v>
      </c>
    </row>
    <row r="44" spans="1:41" s="3027" customFormat="1" ht="17.399999999999999">
      <c r="A44" s="3270" t="s">
        <v>49</v>
      </c>
      <c r="B44" s="3271" t="s">
        <v>2360</v>
      </c>
      <c r="C44" s="3265">
        <f>SUM(F44,L44,O44,R44,U44,X44,AA44,AD44,AG44,AJ44,AM44,I44)</f>
        <v>886000</v>
      </c>
      <c r="D44" s="3272"/>
      <c r="E44" s="3265">
        <f>SUM(H44,N44,Q44,T44,W44,Z44,AC44,AF44,AI44,AL44,AO44,K44)</f>
        <v>886000</v>
      </c>
      <c r="F44" s="3272">
        <f>'Phụ lục số 5'!F44</f>
        <v>36493</v>
      </c>
      <c r="G44" s="3272"/>
      <c r="H44" s="3272">
        <f>F44</f>
        <v>36493</v>
      </c>
      <c r="I44" s="3272">
        <f>'Phụ lục số 5'!I44</f>
        <v>0</v>
      </c>
      <c r="J44" s="3272"/>
      <c r="K44" s="3272">
        <f>I44</f>
        <v>0</v>
      </c>
      <c r="L44" s="3272">
        <f>'Phụ lục số 5'!L44</f>
        <v>36249</v>
      </c>
      <c r="M44" s="3272"/>
      <c r="N44" s="3272">
        <f>L44</f>
        <v>36249</v>
      </c>
      <c r="O44" s="3272">
        <f>'Phụ lục số 5'!O44</f>
        <v>21613</v>
      </c>
      <c r="P44" s="3272"/>
      <c r="Q44" s="3272">
        <f>O44</f>
        <v>21613</v>
      </c>
      <c r="R44" s="3272">
        <f>'Phụ lục số 5'!R44</f>
        <v>39471</v>
      </c>
      <c r="S44" s="3272"/>
      <c r="T44" s="3272">
        <f>R44</f>
        <v>39471</v>
      </c>
      <c r="U44" s="3272">
        <f>'Phụ lục số 5'!U44</f>
        <v>395603</v>
      </c>
      <c r="V44" s="3272"/>
      <c r="W44" s="3273">
        <f>U44</f>
        <v>395603</v>
      </c>
      <c r="X44" s="3274">
        <f>'Phụ lục số 5'!X44</f>
        <v>59176</v>
      </c>
      <c r="Y44" s="3272"/>
      <c r="Z44" s="3272">
        <f>X44</f>
        <v>59176</v>
      </c>
      <c r="AA44" s="3272">
        <f>'Phụ lục số 5'!AA44</f>
        <v>26700</v>
      </c>
      <c r="AB44" s="3272"/>
      <c r="AC44" s="3272">
        <f>AA44</f>
        <v>26700</v>
      </c>
      <c r="AD44" s="3272">
        <f>'Phụ lục số 5'!AD44</f>
        <v>39278</v>
      </c>
      <c r="AE44" s="3272"/>
      <c r="AF44" s="3272">
        <f>AD44</f>
        <v>39278</v>
      </c>
      <c r="AG44" s="3272">
        <f>'Phụ lục số 5'!AG44</f>
        <v>22770</v>
      </c>
      <c r="AH44" s="3272"/>
      <c r="AI44" s="3272">
        <f>AG44</f>
        <v>22770</v>
      </c>
      <c r="AJ44" s="3272">
        <f>'Phụ lục số 5'!AJ44</f>
        <v>174966</v>
      </c>
      <c r="AK44" s="3272"/>
      <c r="AL44" s="3272">
        <f>AJ44</f>
        <v>174966</v>
      </c>
      <c r="AM44" s="3275">
        <f>'Phụ lục số 5'!AM44</f>
        <v>33681</v>
      </c>
      <c r="AN44" s="3275"/>
      <c r="AO44" s="3276">
        <f>AM44</f>
        <v>33681</v>
      </c>
    </row>
    <row r="45" spans="1:41" s="3032" customFormat="1" ht="18.600000000000001" thickBot="1">
      <c r="A45" s="3277"/>
      <c r="B45" s="3278" t="s">
        <v>1418</v>
      </c>
      <c r="C45" s="3190"/>
      <c r="D45" s="3190"/>
      <c r="E45" s="3190">
        <f>SUM(H45,N45,Q45,T45,W45,Z45,AC45,AF45,AI45,AL45,AO45,K45)</f>
        <v>9908403.3480000012</v>
      </c>
      <c r="F45" s="3190"/>
      <c r="G45" s="3190"/>
      <c r="H45" s="3190">
        <f>SUM(H7,H36,H44)</f>
        <v>664002</v>
      </c>
      <c r="I45" s="3190"/>
      <c r="J45" s="3190"/>
      <c r="K45" s="3190">
        <f>SUM(K7,K36,K44)</f>
        <v>675185</v>
      </c>
      <c r="L45" s="3190"/>
      <c r="M45" s="3190"/>
      <c r="N45" s="3190">
        <f>SUM(N7,N36,N44)</f>
        <v>573785.82400000002</v>
      </c>
      <c r="O45" s="3190"/>
      <c r="P45" s="3190"/>
      <c r="Q45" s="3190">
        <f>SUM(Q7,Q36,Q44)</f>
        <v>629617.76</v>
      </c>
      <c r="R45" s="3190"/>
      <c r="S45" s="3190"/>
      <c r="T45" s="3190">
        <f>SUM(T7,T36,T44)</f>
        <v>767421.35199999996</v>
      </c>
      <c r="U45" s="3190"/>
      <c r="V45" s="3190"/>
      <c r="W45" s="3279">
        <f>SUM(W7,W36,W44)</f>
        <v>1598566.2</v>
      </c>
      <c r="X45" s="3280"/>
      <c r="Y45" s="3190"/>
      <c r="Z45" s="3190">
        <f>SUM(Z7,Z36,Z44)</f>
        <v>960665.2</v>
      </c>
      <c r="AA45" s="3190"/>
      <c r="AB45" s="3190"/>
      <c r="AC45" s="3190">
        <f>SUM(AC7,AC36,AC44)</f>
        <v>825155.6</v>
      </c>
      <c r="AD45" s="3190"/>
      <c r="AE45" s="3190"/>
      <c r="AF45" s="3190">
        <f>SUM(AF7,AF36,AF44)</f>
        <v>829132.94799999997</v>
      </c>
      <c r="AG45" s="3190"/>
      <c r="AH45" s="3190"/>
      <c r="AI45" s="3190">
        <f>SUM(AI7,AI36,AI44)</f>
        <v>717257.71200000006</v>
      </c>
      <c r="AJ45" s="3190"/>
      <c r="AK45" s="3190"/>
      <c r="AL45" s="3190">
        <f>SUM(AL7,AL36,AL44)</f>
        <v>953865.92</v>
      </c>
      <c r="AM45" s="3065"/>
      <c r="AN45" s="3065"/>
      <c r="AO45" s="3281">
        <f>SUM(AO7,AO36,AO44)</f>
        <v>713747.83199999994</v>
      </c>
    </row>
    <row r="46" spans="1:41" ht="18.600000000000001" thickTop="1">
      <c r="E46" s="3282">
        <f>E7/C7</f>
        <v>0.81448214544176334</v>
      </c>
      <c r="H46" s="3282">
        <f>H7/F7</f>
        <v>0.83456659619450313</v>
      </c>
      <c r="K46" s="3282">
        <f>K7/I7</f>
        <v>0.89259904728709194</v>
      </c>
      <c r="N46" s="3282">
        <f>N7/L7</f>
        <v>0.95244686109738008</v>
      </c>
      <c r="Q46" s="3282">
        <f>Q7/O7</f>
        <v>0.90753380553766905</v>
      </c>
      <c r="T46" s="3282">
        <f>T7/R7</f>
        <v>0.93019230769230765</v>
      </c>
      <c r="W46" s="3282">
        <f>W7/U7</f>
        <v>0.79051887605585247</v>
      </c>
      <c r="Z46" s="3282">
        <f>Z7/X7</f>
        <v>0.92467439785905436</v>
      </c>
      <c r="AC46" s="3282">
        <f>AC7/AA7</f>
        <v>0.93489299963728689</v>
      </c>
      <c r="AF46" s="3282">
        <f>AF7/AD7</f>
        <v>0.94788732394366193</v>
      </c>
      <c r="AI46" s="3282">
        <f>AI7/AG7</f>
        <v>0.89964102564102566</v>
      </c>
      <c r="AL46" s="3282">
        <f>AL7/AJ7</f>
        <v>0.58535641328889365</v>
      </c>
      <c r="AO46" s="3282">
        <f>AO7/AM7</f>
        <v>0.93161403508771934</v>
      </c>
    </row>
    <row r="47" spans="1:41">
      <c r="C47" s="3240"/>
    </row>
    <row r="48" spans="1:41">
      <c r="C48" s="3240"/>
    </row>
    <row r="49" spans="3:3">
      <c r="C49" s="3240"/>
    </row>
    <row r="50" spans="3:3">
      <c r="C50" s="3240"/>
    </row>
    <row r="51" spans="3:3">
      <c r="C51" s="3240"/>
    </row>
    <row r="52" spans="3:3">
      <c r="C52" s="3240"/>
    </row>
    <row r="53" spans="3:3">
      <c r="C53" s="3240"/>
    </row>
  </sheetData>
  <mergeCells count="22">
    <mergeCell ref="T4:W4"/>
    <mergeCell ref="X2:AO2"/>
    <mergeCell ref="C2:W2"/>
    <mergeCell ref="X1:AO1"/>
    <mergeCell ref="A5:A6"/>
    <mergeCell ref="B5:B6"/>
    <mergeCell ref="C5:E5"/>
    <mergeCell ref="F5:H5"/>
    <mergeCell ref="I5:K5"/>
    <mergeCell ref="AD4:AF4"/>
    <mergeCell ref="C1:W1"/>
    <mergeCell ref="AL4:AO4"/>
    <mergeCell ref="AD5:AF5"/>
    <mergeCell ref="AG5:AI5"/>
    <mergeCell ref="AJ5:AL5"/>
    <mergeCell ref="AM5:AO5"/>
    <mergeCell ref="AA5:AC5"/>
    <mergeCell ref="L5:N5"/>
    <mergeCell ref="O5:Q5"/>
    <mergeCell ref="R5:T5"/>
    <mergeCell ref="U5:W5"/>
    <mergeCell ref="X5:Z5"/>
  </mergeCells>
  <hyperlinks>
    <hyperlink ref="A5:A6" location="'List danh mục'!A1" display="STT"/>
  </hyperlinks>
  <printOptions horizontalCentered="1"/>
  <pageMargins left="0" right="0" top="0.19685039370078741" bottom="0.19685039370078741" header="0" footer="0"/>
  <pageSetup paperSize="9" scale="60" orientation="landscape" r:id="rId1"/>
  <headerFooter>
    <oddHeader>&amp;R&amp;A</oddHeader>
    <oddFooter>&amp;C&amp;P/&amp;N</oddFooter>
  </headerFooter>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00FF"/>
  </sheetPr>
  <dimension ref="A1:O82"/>
  <sheetViews>
    <sheetView topLeftCell="A4" workbookViewId="0">
      <selection activeCell="Y35" sqref="Y35"/>
    </sheetView>
  </sheetViews>
  <sheetFormatPr defaultColWidth="9" defaultRowHeight="18"/>
  <cols>
    <col min="1" max="1" width="4.5" style="19" customWidth="1"/>
    <col min="2" max="2" width="25.69921875" style="1" customWidth="1"/>
    <col min="3" max="15" width="9.19921875" style="1" customWidth="1"/>
    <col min="16" max="16384" width="9" style="1"/>
  </cols>
  <sheetData>
    <row r="1" spans="1:15">
      <c r="A1" s="4752" t="s">
        <v>2361</v>
      </c>
      <c r="B1" s="4442"/>
      <c r="C1" s="4442"/>
      <c r="D1" s="4442"/>
      <c r="E1" s="4442"/>
      <c r="F1" s="4442"/>
      <c r="G1" s="4442"/>
      <c r="H1" s="4442"/>
      <c r="I1" s="4442"/>
      <c r="J1" s="4442"/>
      <c r="K1" s="4442"/>
      <c r="L1" s="4442"/>
      <c r="M1" s="4442"/>
      <c r="N1" s="4442"/>
      <c r="O1" s="4442"/>
    </row>
    <row r="2" spans="1:15">
      <c r="A2" s="4523" t="str">
        <f>'Phụ lục 4-HĐND'!A5:E5</f>
        <v>(Kèm Theo Nghị quyết số         /NQ-HĐND ngày     /12/2023 của Hội đồng nhân dân Tỉnh)</v>
      </c>
      <c r="B2" s="4523"/>
      <c r="C2" s="4523"/>
      <c r="D2" s="4523"/>
      <c r="E2" s="4523"/>
      <c r="F2" s="4523"/>
      <c r="G2" s="4523"/>
      <c r="H2" s="4523"/>
      <c r="I2" s="4523"/>
      <c r="J2" s="4523"/>
      <c r="K2" s="4523"/>
      <c r="L2" s="4523"/>
      <c r="M2" s="4523"/>
      <c r="N2" s="4523"/>
      <c r="O2" s="4523"/>
    </row>
    <row r="3" spans="1:15">
      <c r="A3" s="2292"/>
      <c r="B3" s="2292"/>
      <c r="C3" s="2292"/>
      <c r="D3" s="2292"/>
      <c r="E3" s="2292"/>
      <c r="F3" s="2292"/>
      <c r="G3" s="2292"/>
      <c r="H3" s="2292"/>
      <c r="I3" s="2292"/>
      <c r="J3" s="2292"/>
      <c r="K3" s="2292"/>
      <c r="L3" s="2292"/>
      <c r="M3" s="2292"/>
      <c r="N3" s="2292"/>
      <c r="O3" s="2292"/>
    </row>
    <row r="4" spans="1:15" ht="18.75" customHeight="1" thickBot="1">
      <c r="L4" s="4396" t="s">
        <v>64</v>
      </c>
      <c r="M4" s="4396"/>
      <c r="N4" s="4396"/>
      <c r="O4" s="4396"/>
    </row>
    <row r="5" spans="1:15" ht="69" customHeight="1" thickTop="1">
      <c r="A5" s="3019" t="s">
        <v>288</v>
      </c>
      <c r="B5" s="3020" t="s">
        <v>289</v>
      </c>
      <c r="C5" s="3021" t="s">
        <v>53</v>
      </c>
      <c r="D5" s="3021" t="s">
        <v>2362</v>
      </c>
      <c r="E5" s="3021" t="s">
        <v>290</v>
      </c>
      <c r="F5" s="3021" t="s">
        <v>2363</v>
      </c>
      <c r="G5" s="3021" t="s">
        <v>2364</v>
      </c>
      <c r="H5" s="3021" t="s">
        <v>2365</v>
      </c>
      <c r="I5" s="3021" t="s">
        <v>2366</v>
      </c>
      <c r="J5" s="3021" t="s">
        <v>294</v>
      </c>
      <c r="K5" s="3021" t="s">
        <v>2367</v>
      </c>
      <c r="L5" s="3021" t="s">
        <v>413</v>
      </c>
      <c r="M5" s="3021" t="s">
        <v>2368</v>
      </c>
      <c r="N5" s="3021" t="s">
        <v>2369</v>
      </c>
      <c r="O5" s="3022" t="s">
        <v>2370</v>
      </c>
    </row>
    <row r="6" spans="1:15" s="3027" customFormat="1" ht="18.75" customHeight="1">
      <c r="A6" s="3023"/>
      <c r="B6" s="3024" t="s">
        <v>2620</v>
      </c>
      <c r="C6" s="3025">
        <f>SUM(C7,C11,C15,C16,C17)</f>
        <v>9908403.3480000012</v>
      </c>
      <c r="D6" s="3025">
        <f>SUM(D7,D11,D15,D16,D17)</f>
        <v>664002</v>
      </c>
      <c r="E6" s="3025">
        <f t="shared" ref="E6:O6" si="0">SUM(E7,E11,E15,E16,E17)</f>
        <v>675185</v>
      </c>
      <c r="F6" s="3025">
        <f t="shared" si="0"/>
        <v>573785.82400000002</v>
      </c>
      <c r="G6" s="3025">
        <f t="shared" si="0"/>
        <v>629617.76</v>
      </c>
      <c r="H6" s="3025">
        <f t="shared" si="0"/>
        <v>767421.35199999996</v>
      </c>
      <c r="I6" s="3025">
        <f t="shared" si="0"/>
        <v>1598566.2</v>
      </c>
      <c r="J6" s="3025">
        <f t="shared" si="0"/>
        <v>960665.2</v>
      </c>
      <c r="K6" s="3025">
        <f t="shared" si="0"/>
        <v>825155.6</v>
      </c>
      <c r="L6" s="3025">
        <f t="shared" si="0"/>
        <v>829132.94799999997</v>
      </c>
      <c r="M6" s="3025">
        <f t="shared" si="0"/>
        <v>717257.71200000006</v>
      </c>
      <c r="N6" s="3025">
        <f t="shared" si="0"/>
        <v>953865.92</v>
      </c>
      <c r="O6" s="3026">
        <f t="shared" si="0"/>
        <v>713747.83200000005</v>
      </c>
    </row>
    <row r="7" spans="1:15" s="3029" customFormat="1" ht="28.95" customHeight="1">
      <c r="A7" s="3028" t="s">
        <v>9</v>
      </c>
      <c r="B7" s="1445" t="s">
        <v>93</v>
      </c>
      <c r="C7" s="77">
        <f t="shared" ref="C7:O7" si="1">SUM(C9:C10)</f>
        <v>1724000.4089698761</v>
      </c>
      <c r="D7" s="77">
        <f>SUM(D9:D10)</f>
        <v>117999.59453397225</v>
      </c>
      <c r="E7" s="77">
        <f t="shared" si="1"/>
        <v>298000.23934054258</v>
      </c>
      <c r="F7" s="77">
        <f t="shared" si="1"/>
        <v>58999.51627905004</v>
      </c>
      <c r="G7" s="77">
        <f t="shared" si="1"/>
        <v>83999.809682436709</v>
      </c>
      <c r="H7" s="77">
        <f t="shared" si="1"/>
        <v>106999.86288471894</v>
      </c>
      <c r="I7" s="77">
        <f t="shared" si="1"/>
        <v>284000.24258928356</v>
      </c>
      <c r="J7" s="77">
        <f t="shared" si="1"/>
        <v>101000.03850993092</v>
      </c>
      <c r="K7" s="77">
        <f t="shared" si="1"/>
        <v>130000.33494633662</v>
      </c>
      <c r="L7" s="77">
        <f t="shared" si="1"/>
        <v>96000.351400568732</v>
      </c>
      <c r="M7" s="77">
        <f t="shared" si="1"/>
        <v>96999.720817696681</v>
      </c>
      <c r="N7" s="77">
        <f t="shared" si="1"/>
        <v>227000.360400012</v>
      </c>
      <c r="O7" s="2081">
        <f t="shared" si="1"/>
        <v>123000.33758532717</v>
      </c>
    </row>
    <row r="8" spans="1:15" s="1924" customFormat="1" ht="28.95" customHeight="1">
      <c r="A8" s="3030"/>
      <c r="B8" s="1441" t="s">
        <v>299</v>
      </c>
      <c r="C8" s="184">
        <f t="shared" ref="C8:C15" si="2">SUM(D8:O8)</f>
        <v>0</v>
      </c>
      <c r="D8" s="184"/>
      <c r="E8" s="184"/>
      <c r="F8" s="184"/>
      <c r="G8" s="184"/>
      <c r="H8" s="184"/>
      <c r="I8" s="184"/>
      <c r="J8" s="184"/>
      <c r="K8" s="184"/>
      <c r="L8" s="184"/>
      <c r="M8" s="184"/>
      <c r="N8" s="184"/>
      <c r="O8" s="2088"/>
    </row>
    <row r="9" spans="1:15" s="3032" customFormat="1" ht="28.95" customHeight="1">
      <c r="A9" s="3031">
        <v>1</v>
      </c>
      <c r="B9" s="78" t="str">
        <f>'Phụ lục số 2'!B10</f>
        <v>Chi đầu tư xây dựng cơ bản</v>
      </c>
      <c r="C9" s="30">
        <f>SUM(D9:O9)</f>
        <v>581000.40896987612</v>
      </c>
      <c r="D9" s="30">
        <f>'Phụ lục số 6'!D8</f>
        <v>27999.594533972257</v>
      </c>
      <c r="E9" s="30">
        <f>'Phụ lục số 6'!E8</f>
        <v>28000.239340542557</v>
      </c>
      <c r="F9" s="30">
        <f>'Phụ lục số 6'!F8</f>
        <v>31999.51627905004</v>
      </c>
      <c r="G9" s="30">
        <f>'Phụ lục số 6'!G8</f>
        <v>29999.809682436709</v>
      </c>
      <c r="H9" s="30">
        <f>'Phụ lục số 6'!H8</f>
        <v>43999.862884718939</v>
      </c>
      <c r="I9" s="30">
        <f>'Phụ lục số 6'!I8</f>
        <v>140000.24258928356</v>
      </c>
      <c r="J9" s="30">
        <f>'Phụ lục số 6'!J8</f>
        <v>47000.038509930921</v>
      </c>
      <c r="K9" s="30">
        <f>'Phụ lục số 6'!K8</f>
        <v>40000.334946336618</v>
      </c>
      <c r="L9" s="30">
        <f>'Phụ lục số 6'!L8</f>
        <v>42000.351400568725</v>
      </c>
      <c r="M9" s="30">
        <f>'Phụ lục số 6'!M8</f>
        <v>33999.720817696674</v>
      </c>
      <c r="N9" s="30">
        <f>'Phụ lục số 6'!N8</f>
        <v>83000.360400011981</v>
      </c>
      <c r="O9" s="2085">
        <f>'Phụ lục số 6'!O8</f>
        <v>33000.337585327172</v>
      </c>
    </row>
    <row r="10" spans="1:15" s="3032" customFormat="1" ht="28.95" customHeight="1">
      <c r="A10" s="3031">
        <v>2</v>
      </c>
      <c r="B10" s="78" t="str">
        <f>'Phụ lục số 2'!B11</f>
        <v>Chi đầu tư từ nguồn thu tiền sử dụng đất</v>
      </c>
      <c r="C10" s="30">
        <f>SUM(D10:O10)</f>
        <v>1143000</v>
      </c>
      <c r="D10" s="30">
        <f>'Phụ lục số 6'!D9</f>
        <v>90000</v>
      </c>
      <c r="E10" s="30">
        <f>'Phụ lục số 6'!E9</f>
        <v>270000</v>
      </c>
      <c r="F10" s="30">
        <f>'Phụ lục số 6'!F9</f>
        <v>27000</v>
      </c>
      <c r="G10" s="30">
        <f>'Phụ lục số 6'!G9</f>
        <v>54000</v>
      </c>
      <c r="H10" s="30">
        <f>'Phụ lục số 6'!H9</f>
        <v>63000</v>
      </c>
      <c r="I10" s="30">
        <f>'Phụ lục số 6'!I9</f>
        <v>144000</v>
      </c>
      <c r="J10" s="30">
        <f>'Phụ lục số 6'!J9</f>
        <v>54000</v>
      </c>
      <c r="K10" s="30">
        <f>'Phụ lục số 6'!K9</f>
        <v>90000</v>
      </c>
      <c r="L10" s="30">
        <f>'Phụ lục số 6'!L9</f>
        <v>54000</v>
      </c>
      <c r="M10" s="30">
        <f>'Phụ lục số 6'!M9</f>
        <v>63000</v>
      </c>
      <c r="N10" s="30">
        <f>'Phụ lục số 6'!N9</f>
        <v>144000</v>
      </c>
      <c r="O10" s="2085">
        <f>'Phụ lục số 6'!O9</f>
        <v>90000</v>
      </c>
    </row>
    <row r="11" spans="1:15" s="3029" customFormat="1" ht="28.95" customHeight="1">
      <c r="A11" s="3028" t="s">
        <v>20</v>
      </c>
      <c r="B11" s="1445" t="s">
        <v>298</v>
      </c>
      <c r="C11" s="77">
        <f>SUM(D11:O11)</f>
        <v>7370538.3947110819</v>
      </c>
      <c r="D11" s="77">
        <f>'Phụ lục số 6'!D10</f>
        <v>535564.81160976144</v>
      </c>
      <c r="E11" s="77">
        <f>'Phụ lục số 6'!E10</f>
        <v>365685.54508638143</v>
      </c>
      <c r="F11" s="77">
        <f>'Phụ lục số 6'!F10</f>
        <v>504249.08388374688</v>
      </c>
      <c r="G11" s="77">
        <f>'Phụ lục số 6'!G10</f>
        <v>534028.97233674373</v>
      </c>
      <c r="H11" s="77">
        <f>'Phụ lục số 6'!H10</f>
        <v>645402.39632410579</v>
      </c>
      <c r="I11" s="77">
        <f>'Phụ lục số 6'!I10</f>
        <v>824431.64142151806</v>
      </c>
      <c r="J11" s="77">
        <f>'Phụ lục số 6'!J10</f>
        <v>841340.27048818825</v>
      </c>
      <c r="K11" s="77">
        <f>'Phụ lục số 6'!K10</f>
        <v>679823.93388392578</v>
      </c>
      <c r="L11" s="77">
        <f>'Phụ lục số 6'!L10</f>
        <v>716878.32347413257</v>
      </c>
      <c r="M11" s="77">
        <f>'Phụ lục số 6'!M10</f>
        <v>608806.9670957122</v>
      </c>
      <c r="N11" s="77">
        <f>'Phụ lục số 6'!N10</f>
        <v>537382.28403784544</v>
      </c>
      <c r="O11" s="2081">
        <f>'Phụ lục số 6'!O10</f>
        <v>576944.16506902024</v>
      </c>
    </row>
    <row r="12" spans="1:15" s="1924" customFormat="1" ht="28.95" customHeight="1">
      <c r="A12" s="3033"/>
      <c r="B12" s="1441" t="s">
        <v>299</v>
      </c>
      <c r="C12" s="184"/>
      <c r="D12" s="184"/>
      <c r="E12" s="184"/>
      <c r="F12" s="184"/>
      <c r="G12" s="184"/>
      <c r="H12" s="184"/>
      <c r="I12" s="184"/>
      <c r="J12" s="184"/>
      <c r="K12" s="184"/>
      <c r="L12" s="184"/>
      <c r="M12" s="184"/>
      <c r="N12" s="184"/>
      <c r="O12" s="2088"/>
    </row>
    <row r="13" spans="1:15" s="3029" customFormat="1" ht="28.95" customHeight="1">
      <c r="A13" s="3031">
        <v>1</v>
      </c>
      <c r="B13" s="78" t="s">
        <v>300</v>
      </c>
      <c r="C13" s="30">
        <f t="shared" si="2"/>
        <v>3841269.7831797441</v>
      </c>
      <c r="D13" s="30">
        <f>'Phụ lục số 6'!D12</f>
        <v>319042.11488564592</v>
      </c>
      <c r="E13" s="30">
        <f>'Phụ lục số 6'!E12</f>
        <v>186442.40845576092</v>
      </c>
      <c r="F13" s="30">
        <f>'Phụ lục số 6'!F12</f>
        <v>286155.85849218653</v>
      </c>
      <c r="G13" s="30">
        <f>'Phụ lục số 6'!G12</f>
        <v>267458.19947370357</v>
      </c>
      <c r="H13" s="30">
        <f>'Phụ lục số 6'!H12</f>
        <v>358528.40219701076</v>
      </c>
      <c r="I13" s="30">
        <f>'Phụ lục số 6'!I12</f>
        <v>390638.93133133231</v>
      </c>
      <c r="J13" s="30">
        <f>'Phụ lục số 6'!J12</f>
        <v>446043.65421420382</v>
      </c>
      <c r="K13" s="30">
        <f>'Phụ lục số 6'!K12</f>
        <v>372742.22567693546</v>
      </c>
      <c r="L13" s="30">
        <f>'Phụ lục số 6'!L12</f>
        <v>366671.59034785029</v>
      </c>
      <c r="M13" s="30">
        <f>'Phụ lục số 6'!M12</f>
        <v>331706.50480976811</v>
      </c>
      <c r="N13" s="30">
        <f>'Phụ lục số 6'!N12</f>
        <v>221835.73186322945</v>
      </c>
      <c r="O13" s="2085">
        <f>'Phụ lục số 6'!O12</f>
        <v>294004.16143211746</v>
      </c>
    </row>
    <row r="14" spans="1:15" s="3032" customFormat="1" ht="28.95" customHeight="1">
      <c r="A14" s="3031">
        <v>2</v>
      </c>
      <c r="B14" s="78" t="s">
        <v>301</v>
      </c>
      <c r="C14" s="30">
        <f t="shared" si="2"/>
        <v>3529268.6115313373</v>
      </c>
      <c r="D14" s="30">
        <f>D11-D13</f>
        <v>216522.69672411552</v>
      </c>
      <c r="E14" s="30">
        <f t="shared" ref="E14:O14" si="3">E11-E13</f>
        <v>179243.13663062052</v>
      </c>
      <c r="F14" s="30">
        <f t="shared" si="3"/>
        <v>218093.22539156035</v>
      </c>
      <c r="G14" s="30">
        <f t="shared" si="3"/>
        <v>266570.77286304015</v>
      </c>
      <c r="H14" s="30">
        <f t="shared" si="3"/>
        <v>286873.99412709504</v>
      </c>
      <c r="I14" s="30">
        <f t="shared" si="3"/>
        <v>433792.71009018575</v>
      </c>
      <c r="J14" s="30">
        <f t="shared" si="3"/>
        <v>395296.61627398443</v>
      </c>
      <c r="K14" s="30">
        <f t="shared" si="3"/>
        <v>307081.70820699033</v>
      </c>
      <c r="L14" s="30">
        <f t="shared" si="3"/>
        <v>350206.73312628228</v>
      </c>
      <c r="M14" s="30">
        <f t="shared" si="3"/>
        <v>277100.46228594409</v>
      </c>
      <c r="N14" s="30">
        <f t="shared" si="3"/>
        <v>315546.55217461602</v>
      </c>
      <c r="O14" s="2085">
        <f t="shared" si="3"/>
        <v>282940.00363690278</v>
      </c>
    </row>
    <row r="15" spans="1:15" s="3029" customFormat="1" ht="28.95" customHeight="1">
      <c r="A15" s="3028" t="s">
        <v>49</v>
      </c>
      <c r="B15" s="1445" t="s">
        <v>87</v>
      </c>
      <c r="C15" s="77">
        <f t="shared" si="2"/>
        <v>175604.54431904212</v>
      </c>
      <c r="D15" s="77">
        <f>'Phụ lục số 6'!D14</f>
        <v>10437.59385626638</v>
      </c>
      <c r="E15" s="77">
        <f>'Phụ lục số 6'!E14</f>
        <v>11499.215573075984</v>
      </c>
      <c r="F15" s="77">
        <f>'Phụ lục số 6'!F14</f>
        <v>10537.223837203137</v>
      </c>
      <c r="G15" s="77">
        <f>'Phụ lục số 6'!G14</f>
        <v>11588.977980819584</v>
      </c>
      <c r="H15" s="77">
        <f>'Phụ lục số 6'!H14</f>
        <v>15019.092791175266</v>
      </c>
      <c r="I15" s="77">
        <f>'Phụ lục số 6'!I14</f>
        <v>24840.315989198371</v>
      </c>
      <c r="J15" s="77">
        <f>'Phụ lục số 6'!J14</f>
        <v>18324.891001880766</v>
      </c>
      <c r="K15" s="77">
        <f>'Phụ lục số 6'!K14</f>
        <v>15331.331169737576</v>
      </c>
      <c r="L15" s="77">
        <f>'Phụ lục số 6'!L14</f>
        <v>16254.273125298643</v>
      </c>
      <c r="M15" s="77">
        <f>'Phụ lục số 6'!M14</f>
        <v>11451.024086591191</v>
      </c>
      <c r="N15" s="77">
        <f>'Phụ lục số 6'!N14</f>
        <v>16517.275562142579</v>
      </c>
      <c r="O15" s="2081">
        <f>'Phụ lục số 6'!O14</f>
        <v>13803.329345652623</v>
      </c>
    </row>
    <row r="16" spans="1:15" s="3038" customFormat="1" ht="28.95" customHeight="1" thickBot="1">
      <c r="A16" s="3034" t="s">
        <v>50</v>
      </c>
      <c r="B16" s="3035" t="s">
        <v>302</v>
      </c>
      <c r="C16" s="3036">
        <f t="shared" ref="C16:C22" si="4">SUM(D16:O16)</f>
        <v>638260</v>
      </c>
      <c r="D16" s="3036">
        <f>'Phụ lục số 6'!D15</f>
        <v>0</v>
      </c>
      <c r="E16" s="3036">
        <f>'Phụ lục số 6'!E15</f>
        <v>0</v>
      </c>
      <c r="F16" s="3036">
        <f>'Phụ lục số 6'!F15</f>
        <v>0</v>
      </c>
      <c r="G16" s="3036">
        <f>'Phụ lục số 6'!G15</f>
        <v>0</v>
      </c>
      <c r="H16" s="3036">
        <f>'Phụ lục số 6'!H15</f>
        <v>0</v>
      </c>
      <c r="I16" s="3036">
        <f>'Phụ lục số 6'!I15</f>
        <v>465294</v>
      </c>
      <c r="J16" s="3036">
        <f>'Phụ lục số 6'!J15</f>
        <v>0</v>
      </c>
      <c r="K16" s="3036">
        <f>'Phụ lục số 6'!K15</f>
        <v>0</v>
      </c>
      <c r="L16" s="3036">
        <f>'Phụ lục số 6'!L15</f>
        <v>0</v>
      </c>
      <c r="M16" s="3036">
        <f>'Phụ lục số 6'!M15</f>
        <v>0</v>
      </c>
      <c r="N16" s="3036">
        <f>'Phụ lục số 6'!N15</f>
        <v>172966</v>
      </c>
      <c r="O16" s="3037">
        <f>'Phụ lục số 6'!O15</f>
        <v>0</v>
      </c>
    </row>
    <row r="17" spans="1:15" hidden="1">
      <c r="A17" s="2679" t="s">
        <v>72</v>
      </c>
      <c r="B17" s="2680" t="s">
        <v>2371</v>
      </c>
      <c r="C17" s="2681">
        <f t="shared" si="4"/>
        <v>0</v>
      </c>
      <c r="D17" s="2681">
        <f>ROUND(SUM(D18:D22),0)</f>
        <v>0</v>
      </c>
      <c r="E17" s="2681">
        <f t="shared" ref="E17:O17" si="5">ROUND(SUM(E18:E22),0)</f>
        <v>0</v>
      </c>
      <c r="F17" s="2681">
        <f t="shared" si="5"/>
        <v>0</v>
      </c>
      <c r="G17" s="2681">
        <f t="shared" si="5"/>
        <v>0</v>
      </c>
      <c r="H17" s="2681">
        <f t="shared" si="5"/>
        <v>0</v>
      </c>
      <c r="I17" s="2681">
        <f t="shared" si="5"/>
        <v>0</v>
      </c>
      <c r="J17" s="2681">
        <f t="shared" si="5"/>
        <v>0</v>
      </c>
      <c r="K17" s="2681">
        <f t="shared" si="5"/>
        <v>0</v>
      </c>
      <c r="L17" s="2681">
        <f t="shared" si="5"/>
        <v>0</v>
      </c>
      <c r="M17" s="2681">
        <f t="shared" si="5"/>
        <v>0</v>
      </c>
      <c r="N17" s="2681">
        <f t="shared" si="5"/>
        <v>0</v>
      </c>
      <c r="O17" s="2681">
        <f t="shared" si="5"/>
        <v>0</v>
      </c>
    </row>
    <row r="18" spans="1:15" hidden="1">
      <c r="A18" s="238" t="s">
        <v>137</v>
      </c>
      <c r="B18" s="227" t="str">
        <f>'Phụ lục số 6'!B17</f>
        <v>Chi đầu tư xây dựng cơ bản</v>
      </c>
      <c r="C18" s="239">
        <f t="shared" si="4"/>
        <v>0</v>
      </c>
      <c r="D18" s="239">
        <f>'Phụ lục số 6'!D17</f>
        <v>0</v>
      </c>
      <c r="E18" s="239">
        <f>'Phụ lục số 6'!E17</f>
        <v>0</v>
      </c>
      <c r="F18" s="239">
        <f>'Phụ lục số 6'!F17</f>
        <v>0</v>
      </c>
      <c r="G18" s="239">
        <f>'Phụ lục số 6'!G17</f>
        <v>0</v>
      </c>
      <c r="H18" s="239">
        <f>'Phụ lục số 6'!H17</f>
        <v>0</v>
      </c>
      <c r="I18" s="239">
        <f>'Phụ lục số 6'!I17</f>
        <v>0</v>
      </c>
      <c r="J18" s="239">
        <f>'Phụ lục số 6'!J17</f>
        <v>0</v>
      </c>
      <c r="K18" s="239">
        <f>'Phụ lục số 6'!K17</f>
        <v>0</v>
      </c>
      <c r="L18" s="239">
        <f>'Phụ lục số 6'!L17</f>
        <v>0</v>
      </c>
      <c r="M18" s="239">
        <f>'Phụ lục số 6'!M17</f>
        <v>0</v>
      </c>
      <c r="N18" s="239">
        <f>'Phụ lục số 6'!N17</f>
        <v>0</v>
      </c>
      <c r="O18" s="239">
        <f>'Phụ lục số 6'!O17</f>
        <v>0</v>
      </c>
    </row>
    <row r="19" spans="1:15" hidden="1">
      <c r="A19" s="238" t="s">
        <v>137</v>
      </c>
      <c r="B19" s="227" t="str">
        <f>'Phụ lục số 6'!B18</f>
        <v>Chi đầu tư từ nguồn xổ số kiến thiết</v>
      </c>
      <c r="C19" s="239">
        <f t="shared" si="4"/>
        <v>0</v>
      </c>
      <c r="D19" s="239">
        <f>'Phụ lục số 6'!D18</f>
        <v>0</v>
      </c>
      <c r="E19" s="239">
        <f>'Phụ lục số 6'!E18</f>
        <v>0</v>
      </c>
      <c r="F19" s="239">
        <f>'Phụ lục số 6'!F18</f>
        <v>0</v>
      </c>
      <c r="G19" s="239">
        <f>'Phụ lục số 6'!G18</f>
        <v>0</v>
      </c>
      <c r="H19" s="239">
        <f>'Phụ lục số 6'!H18</f>
        <v>0</v>
      </c>
      <c r="I19" s="239">
        <f>'Phụ lục số 6'!I18</f>
        <v>0</v>
      </c>
      <c r="J19" s="239">
        <f>'Phụ lục số 6'!J18</f>
        <v>0</v>
      </c>
      <c r="K19" s="239">
        <f>'Phụ lục số 6'!K18</f>
        <v>0</v>
      </c>
      <c r="L19" s="239">
        <f>'Phụ lục số 6'!L18</f>
        <v>0</v>
      </c>
      <c r="M19" s="239">
        <f>'Phụ lục số 6'!M18</f>
        <v>0</v>
      </c>
      <c r="N19" s="239">
        <f>'Phụ lục số 6'!N18</f>
        <v>0</v>
      </c>
      <c r="O19" s="239">
        <f>'Phụ lục số 6'!O18</f>
        <v>0</v>
      </c>
    </row>
    <row r="20" spans="1:15" hidden="1">
      <c r="A20" s="238" t="s">
        <v>137</v>
      </c>
      <c r="B20" s="227" t="str">
        <f>'Phụ lục số 6'!B19</f>
        <v>Chi từ nguồn ngân sách trung ương bổ sung có mục tiêu (kinh phí sự nghiệp)</v>
      </c>
      <c r="C20" s="239">
        <f t="shared" si="4"/>
        <v>0</v>
      </c>
      <c r="D20" s="239">
        <f>'Phụ lục số 6'!D19</f>
        <v>0</v>
      </c>
      <c r="E20" s="239">
        <f>'Phụ lục số 6'!E19</f>
        <v>0</v>
      </c>
      <c r="F20" s="239">
        <f>'Phụ lục số 6'!F19</f>
        <v>0</v>
      </c>
      <c r="G20" s="239">
        <f>'Phụ lục số 6'!G19</f>
        <v>0</v>
      </c>
      <c r="H20" s="239">
        <f>'Phụ lục số 6'!H19</f>
        <v>0</v>
      </c>
      <c r="I20" s="239">
        <f>'Phụ lục số 6'!I19</f>
        <v>0</v>
      </c>
      <c r="J20" s="239">
        <f>'Phụ lục số 6'!J19</f>
        <v>0</v>
      </c>
      <c r="K20" s="239">
        <f>'Phụ lục số 6'!K19</f>
        <v>0</v>
      </c>
      <c r="L20" s="239">
        <f>'Phụ lục số 6'!L19</f>
        <v>0</v>
      </c>
      <c r="M20" s="239">
        <f>'Phụ lục số 6'!M19</f>
        <v>0</v>
      </c>
      <c r="N20" s="239">
        <f>'Phụ lục số 6'!N19</f>
        <v>0</v>
      </c>
      <c r="O20" s="239">
        <f>'Phụ lục số 6'!O19</f>
        <v>0</v>
      </c>
    </row>
    <row r="21" spans="1:15" hidden="1">
      <c r="A21" s="240" t="s">
        <v>137</v>
      </c>
      <c r="B21" s="227" t="str">
        <f>'Phụ lục số 6'!B20</f>
        <v>Chi từ nguồn ngân sách trung ương bổ sung có mục tiêu (Chương trình Mục tiêu quốc gia)</v>
      </c>
      <c r="C21" s="241">
        <f t="shared" si="4"/>
        <v>0</v>
      </c>
      <c r="D21" s="239">
        <f>'Phụ lục số 6'!D20</f>
        <v>0</v>
      </c>
      <c r="E21" s="239">
        <f>'Phụ lục số 6'!E20</f>
        <v>0</v>
      </c>
      <c r="F21" s="239">
        <f>'Phụ lục số 6'!F20</f>
        <v>0</v>
      </c>
      <c r="G21" s="239">
        <f>'Phụ lục số 6'!G20</f>
        <v>0</v>
      </c>
      <c r="H21" s="239">
        <f>'Phụ lục số 6'!H20</f>
        <v>0</v>
      </c>
      <c r="I21" s="239">
        <f>'Phụ lục số 6'!I20</f>
        <v>0</v>
      </c>
      <c r="J21" s="239">
        <f>'Phụ lục số 6'!J20</f>
        <v>0</v>
      </c>
      <c r="K21" s="239">
        <f>'Phụ lục số 6'!K20</f>
        <v>0</v>
      </c>
      <c r="L21" s="239">
        <f>'Phụ lục số 6'!L20</f>
        <v>0</v>
      </c>
      <c r="M21" s="239">
        <f>'Phụ lục số 6'!M20</f>
        <v>0</v>
      </c>
      <c r="N21" s="239">
        <f>'Phụ lục số 6'!N20</f>
        <v>0</v>
      </c>
      <c r="O21" s="239">
        <f>'Phụ lục số 6'!O20</f>
        <v>0</v>
      </c>
    </row>
    <row r="22" spans="1:15" hidden="1">
      <c r="A22" s="242"/>
      <c r="B22" s="703" t="str">
        <f>'Phụ lục số 6'!B21</f>
        <v>Chi từ nguồn ngân sách trung ương bổ sung có mục tiêu, nhiệm vụ quan trọng khác</v>
      </c>
      <c r="C22" s="243">
        <f t="shared" si="4"/>
        <v>0</v>
      </c>
      <c r="D22" s="2295">
        <f>'Phụ lục số 6'!D21</f>
        <v>0</v>
      </c>
      <c r="E22" s="2295">
        <f>'Phụ lục số 6'!E21</f>
        <v>0</v>
      </c>
      <c r="F22" s="2295">
        <f>'Phụ lục số 6'!F21</f>
        <v>0</v>
      </c>
      <c r="G22" s="2295">
        <f>'Phụ lục số 6'!G21</f>
        <v>0</v>
      </c>
      <c r="H22" s="2295">
        <f>'Phụ lục số 6'!H21</f>
        <v>0</v>
      </c>
      <c r="I22" s="2295">
        <f>'Phụ lục số 6'!I21</f>
        <v>0</v>
      </c>
      <c r="J22" s="2295">
        <f>'Phụ lục số 6'!J21</f>
        <v>0</v>
      </c>
      <c r="K22" s="2295">
        <f>'Phụ lục số 6'!K21</f>
        <v>0</v>
      </c>
      <c r="L22" s="2295">
        <f>'Phụ lục số 6'!L21</f>
        <v>0</v>
      </c>
      <c r="M22" s="2295">
        <f>'Phụ lục số 6'!M21</f>
        <v>0</v>
      </c>
      <c r="N22" s="2295">
        <f>'Phụ lục số 6'!N21</f>
        <v>0</v>
      </c>
      <c r="O22" s="2295">
        <f>'Phụ lục số 6'!O21</f>
        <v>0</v>
      </c>
    </row>
    <row r="23" spans="1:15" ht="18.600000000000001" thickTop="1"/>
    <row r="82" ht="18.75" customHeight="1"/>
  </sheetData>
  <mergeCells count="3">
    <mergeCell ref="A1:O1"/>
    <mergeCell ref="A2:O2"/>
    <mergeCell ref="L4:O4"/>
  </mergeCells>
  <hyperlinks>
    <hyperlink ref="A5" location="'List danh mục'!A1" display="Số TT"/>
  </hyperlinks>
  <printOptions horizontalCentered="1"/>
  <pageMargins left="0" right="0" top="0.39370078740157483" bottom="0" header="0.19685039370078741" footer="0.19685039370078741"/>
  <pageSetup paperSize="9" scale="90" orientation="landscape" r:id="rId1"/>
  <headerFooter>
    <oddHeader>&amp;R&amp;A</oddHeader>
    <oddFooter>&amp;C&amp;P/&amp;N</oddFooter>
  </headerFooter>
  <legacy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Y23"/>
  <sheetViews>
    <sheetView zoomScale="80" zoomScaleNormal="80" workbookViewId="0">
      <selection activeCell="Y35" sqref="Y35"/>
    </sheetView>
  </sheetViews>
  <sheetFormatPr defaultColWidth="9" defaultRowHeight="18"/>
  <cols>
    <col min="1" max="1" width="5.69921875" style="1425" customWidth="1"/>
    <col min="2" max="2" width="19.19921875" style="1239" customWidth="1"/>
    <col min="3" max="25" width="8.69921875" style="1239" customWidth="1"/>
    <col min="26" max="16384" width="9" style="1239"/>
  </cols>
  <sheetData>
    <row r="1" spans="1:25">
      <c r="A1" s="4326" t="s">
        <v>2373</v>
      </c>
      <c r="B1" s="4325"/>
      <c r="C1" s="4325"/>
      <c r="D1" s="4325"/>
      <c r="E1" s="4325"/>
      <c r="F1" s="4325"/>
      <c r="G1" s="4325"/>
      <c r="H1" s="4325"/>
      <c r="I1" s="4325"/>
      <c r="J1" s="4325"/>
      <c r="K1" s="4325"/>
      <c r="L1" s="4325"/>
      <c r="M1" s="4325"/>
      <c r="N1" s="4325"/>
      <c r="O1" s="4325"/>
      <c r="P1" s="4325"/>
      <c r="Q1" s="4325"/>
      <c r="R1" s="4325"/>
      <c r="S1" s="4325"/>
      <c r="T1" s="4325"/>
      <c r="U1" s="4325"/>
      <c r="V1" s="4325"/>
      <c r="W1" s="4325"/>
      <c r="X1" s="4325"/>
    </row>
    <row r="2" spans="1:25">
      <c r="A2" s="4527" t="str">
        <f>'Phụ lục 6-HĐND'!A2:O2</f>
        <v>(Kèm Theo Nghị quyết số         /NQ-HĐND ngày     /12/2023 của Hội đồng nhân dân Tỉnh)</v>
      </c>
      <c r="B2" s="4528"/>
      <c r="C2" s="4528"/>
      <c r="D2" s="4528"/>
      <c r="E2" s="4528"/>
      <c r="F2" s="4528"/>
      <c r="G2" s="4528"/>
      <c r="H2" s="4528"/>
      <c r="I2" s="4528"/>
      <c r="J2" s="4528"/>
      <c r="K2" s="4528"/>
      <c r="L2" s="4528"/>
      <c r="M2" s="4528"/>
      <c r="N2" s="4528"/>
      <c r="O2" s="4528"/>
      <c r="P2" s="4528"/>
      <c r="Q2" s="4528"/>
      <c r="R2" s="4528"/>
      <c r="S2" s="4528"/>
      <c r="T2" s="4528"/>
      <c r="U2" s="4528"/>
      <c r="V2" s="4528"/>
      <c r="W2" s="4528"/>
      <c r="X2" s="4528"/>
    </row>
    <row r="3" spans="1:25">
      <c r="A3" s="2906"/>
      <c r="B3" s="1828"/>
      <c r="C3" s="1828"/>
      <c r="D3" s="1828"/>
      <c r="E3" s="1828"/>
      <c r="F3" s="1828"/>
      <c r="G3" s="1828"/>
      <c r="H3" s="1828"/>
      <c r="I3" s="1828"/>
      <c r="J3" s="1828"/>
      <c r="K3" s="1828"/>
      <c r="L3" s="1828"/>
      <c r="M3" s="1828"/>
      <c r="N3" s="1828"/>
      <c r="O3" s="1828"/>
      <c r="P3" s="1828"/>
      <c r="Q3" s="1828"/>
      <c r="R3" s="1828"/>
      <c r="S3" s="1828"/>
      <c r="T3" s="1828"/>
      <c r="U3" s="1828"/>
      <c r="V3" s="1828"/>
      <c r="W3" s="1828"/>
      <c r="X3" s="1828"/>
    </row>
    <row r="4" spans="1:25" ht="17.25" customHeight="1" thickBot="1">
      <c r="W4" s="4529" t="s">
        <v>64</v>
      </c>
      <c r="X4" s="4529"/>
      <c r="Y4" s="4529"/>
    </row>
    <row r="5" spans="1:25" s="1429" customFormat="1" thickTop="1">
      <c r="A5" s="4530" t="s">
        <v>244</v>
      </c>
      <c r="B5" s="4532" t="s">
        <v>305</v>
      </c>
      <c r="C5" s="4532" t="s">
        <v>2377</v>
      </c>
      <c r="D5" s="4533" t="s">
        <v>306</v>
      </c>
      <c r="E5" s="4534"/>
      <c r="F5" s="4534"/>
      <c r="G5" s="4534"/>
      <c r="H5" s="4534"/>
      <c r="I5" s="4534"/>
      <c r="J5" s="4534"/>
      <c r="K5" s="4534"/>
      <c r="L5" s="4534"/>
      <c r="M5" s="4534"/>
      <c r="N5" s="4534"/>
      <c r="O5" s="4534"/>
      <c r="P5" s="4535"/>
      <c r="Q5" s="4532" t="s">
        <v>2378</v>
      </c>
      <c r="R5" s="4481" t="s">
        <v>1419</v>
      </c>
      <c r="S5" s="4481"/>
      <c r="T5" s="4481"/>
      <c r="U5" s="4481"/>
      <c r="V5" s="4481"/>
      <c r="W5" s="4481"/>
      <c r="X5" s="4481"/>
      <c r="Y5" s="4536"/>
    </row>
    <row r="6" spans="1:25" s="1429" customFormat="1" ht="17.399999999999999" customHeight="1">
      <c r="A6" s="4531"/>
      <c r="B6" s="4330"/>
      <c r="C6" s="4330"/>
      <c r="D6" s="4537" t="s">
        <v>307</v>
      </c>
      <c r="E6" s="4330" t="s">
        <v>308</v>
      </c>
      <c r="F6" s="4537" t="s">
        <v>309</v>
      </c>
      <c r="G6" s="4537"/>
      <c r="H6" s="4330" t="s">
        <v>310</v>
      </c>
      <c r="I6" s="4330" t="s">
        <v>309</v>
      </c>
      <c r="J6" s="4330"/>
      <c r="K6" s="4330"/>
      <c r="L6" s="4330"/>
      <c r="M6" s="4330"/>
      <c r="N6" s="4330"/>
      <c r="O6" s="4330"/>
      <c r="P6" s="4537" t="s">
        <v>1702</v>
      </c>
      <c r="Q6" s="4330"/>
      <c r="R6" s="4526" t="s">
        <v>93</v>
      </c>
      <c r="S6" s="4526"/>
      <c r="T6" s="4526"/>
      <c r="U6" s="4526" t="s">
        <v>58</v>
      </c>
      <c r="V6" s="4526"/>
      <c r="W6" s="4526"/>
      <c r="X6" s="4330" t="s">
        <v>87</v>
      </c>
      <c r="Y6" s="4525" t="s">
        <v>302</v>
      </c>
    </row>
    <row r="7" spans="1:25" s="1429" customFormat="1" ht="17.399999999999999">
      <c r="A7" s="4531"/>
      <c r="B7" s="4330"/>
      <c r="C7" s="4330"/>
      <c r="D7" s="4538"/>
      <c r="E7" s="4330"/>
      <c r="F7" s="4539"/>
      <c r="G7" s="4539"/>
      <c r="H7" s="4330"/>
      <c r="I7" s="4330" t="s">
        <v>238</v>
      </c>
      <c r="J7" s="4330" t="s">
        <v>311</v>
      </c>
      <c r="K7" s="4330"/>
      <c r="L7" s="4330"/>
      <c r="M7" s="4330"/>
      <c r="N7" s="4330"/>
      <c r="O7" s="4330"/>
      <c r="P7" s="4538"/>
      <c r="Q7" s="4330"/>
      <c r="R7" s="4330" t="s">
        <v>312</v>
      </c>
      <c r="S7" s="4330" t="s">
        <v>309</v>
      </c>
      <c r="T7" s="4330"/>
      <c r="U7" s="4330" t="s">
        <v>312</v>
      </c>
      <c r="V7" s="4526" t="s">
        <v>309</v>
      </c>
      <c r="W7" s="4526"/>
      <c r="X7" s="4330"/>
      <c r="Y7" s="4525"/>
    </row>
    <row r="8" spans="1:25" s="1429" customFormat="1" ht="339" customHeight="1">
      <c r="A8" s="4531"/>
      <c r="B8" s="4330"/>
      <c r="C8" s="4330"/>
      <c r="D8" s="4539"/>
      <c r="E8" s="4330"/>
      <c r="F8" s="1396" t="s">
        <v>313</v>
      </c>
      <c r="G8" s="1396" t="s">
        <v>314</v>
      </c>
      <c r="H8" s="4330"/>
      <c r="I8" s="4330"/>
      <c r="J8" s="4330"/>
      <c r="K8" s="1396" t="s">
        <v>315</v>
      </c>
      <c r="L8" s="1396" t="s">
        <v>316</v>
      </c>
      <c r="M8" s="1396" t="str">
        <f>'Phụ lục số 7'!M8</f>
        <v>Bổ sung nguồn thực hiện điều chỉnh tiền lương cơ sở tăng thêm đến 1,8 triệu đồng/tháng (12 tháng)</v>
      </c>
      <c r="N8" s="1396" t="str">
        <f>'Phụ lục số 7'!N8</f>
        <v>Bổ sung có mục tiêu thực hiện chính sách an sinh xã hội (ngoài chính sách tiền lương)</v>
      </c>
      <c r="O8" s="3167" t="str">
        <f>'Phụ lục số 7'!O8</f>
        <v>Bổ sung có mục tiêu kinh phí diễn tập khu vực phòng thủ cấp huyện năm 2024</v>
      </c>
      <c r="P8" s="4539"/>
      <c r="Q8" s="4330"/>
      <c r="R8" s="4330"/>
      <c r="S8" s="1396" t="s">
        <v>1305</v>
      </c>
      <c r="T8" s="1396" t="s">
        <v>391</v>
      </c>
      <c r="U8" s="4330"/>
      <c r="V8" s="1396" t="s">
        <v>300</v>
      </c>
      <c r="W8" s="1396" t="s">
        <v>301</v>
      </c>
      <c r="X8" s="4330"/>
      <c r="Y8" s="4525"/>
    </row>
    <row r="9" spans="1:25" s="1429" customFormat="1" ht="19.2" customHeight="1">
      <c r="A9" s="3046">
        <f>'Phụ lục số 7'!A9</f>
        <v>1</v>
      </c>
      <c r="B9" s="3039">
        <f>'Phụ lục số 7'!B9</f>
        <v>2</v>
      </c>
      <c r="C9" s="3039">
        <f>'Phụ lục số 7'!C9</f>
        <v>3</v>
      </c>
      <c r="D9" s="3039" t="str">
        <f>'Phụ lục số 7'!D9</f>
        <v>4=5+8+13</v>
      </c>
      <c r="E9" s="3039" t="str">
        <f>'Phụ lục số 7'!E9</f>
        <v>5=6+7</v>
      </c>
      <c r="F9" s="3039">
        <f>'Phụ lục số 7'!F9</f>
        <v>6</v>
      </c>
      <c r="G9" s="3039">
        <f>'Phụ lục số 7'!G9</f>
        <v>7</v>
      </c>
      <c r="H9" s="3039" t="str">
        <f>'Phụ lục số 7'!H9</f>
        <v>8=9+10</v>
      </c>
      <c r="I9" s="3039">
        <f>'Phụ lục số 7'!I9</f>
        <v>9</v>
      </c>
      <c r="J9" s="3039" t="str">
        <f>'Phụ lục số 7'!J9</f>
        <v>10=11+12+13+14+15</v>
      </c>
      <c r="K9" s="3039">
        <f>'Phụ lục số 7'!K9</f>
        <v>11</v>
      </c>
      <c r="L9" s="3039">
        <f>'Phụ lục số 7'!L9</f>
        <v>12</v>
      </c>
      <c r="M9" s="3039">
        <f>'Phụ lục số 7'!M9</f>
        <v>13</v>
      </c>
      <c r="N9" s="3039">
        <f>'Phụ lục số 7'!N9</f>
        <v>14</v>
      </c>
      <c r="O9" s="3039">
        <f>'Phụ lục số 7'!O9</f>
        <v>15</v>
      </c>
      <c r="P9" s="3039">
        <f>'Phụ lục số 7'!P9</f>
        <v>16</v>
      </c>
      <c r="Q9" s="3039" t="str">
        <f>'Phụ lục số 7'!Q9</f>
        <v>17=18+21+24+25</v>
      </c>
      <c r="R9" s="3039" t="str">
        <f>'Phụ lục số 7'!R9</f>
        <v>18=19+20</v>
      </c>
      <c r="S9" s="3039">
        <f>'Phụ lục số 7'!S9</f>
        <v>19</v>
      </c>
      <c r="T9" s="3039">
        <f>'Phụ lục số 7'!T9</f>
        <v>20</v>
      </c>
      <c r="U9" s="3039" t="str">
        <f>'Phụ lục số 7'!U9</f>
        <v>21=22+23</v>
      </c>
      <c r="V9" s="3039">
        <f>'Phụ lục số 7'!V9</f>
        <v>22</v>
      </c>
      <c r="W9" s="3039">
        <f>'Phụ lục số 7'!W9</f>
        <v>23</v>
      </c>
      <c r="X9" s="3039">
        <f>'Phụ lục số 7'!X9</f>
        <v>24</v>
      </c>
      <c r="Y9" s="3047">
        <f>'Phụ lục số 7'!Y9</f>
        <v>25</v>
      </c>
    </row>
    <row r="10" spans="1:25" ht="30" customHeight="1">
      <c r="A10" s="3048">
        <v>1</v>
      </c>
      <c r="B10" s="3040" t="s">
        <v>2362</v>
      </c>
      <c r="C10" s="3041">
        <f>'Phụ lục số 5'!F7</f>
        <v>189200</v>
      </c>
      <c r="D10" s="3041">
        <f>SUM(E10,H10,P10)</f>
        <v>664002</v>
      </c>
      <c r="E10" s="3041">
        <f>'Phụ lục số 5'!H7</f>
        <v>157900</v>
      </c>
      <c r="F10" s="3041">
        <f>E10-G10</f>
        <v>127400</v>
      </c>
      <c r="G10" s="3041">
        <f>'Phụ lục số 5'!H10+'Phụ lục số 5'!H11+'Phụ lục số 5'!H15</f>
        <v>30500</v>
      </c>
      <c r="H10" s="3041">
        <f>SUM(I10:J10)</f>
        <v>469609</v>
      </c>
      <c r="I10" s="3041">
        <f>'Phụ lục số 5'!H37</f>
        <v>413967</v>
      </c>
      <c r="J10" s="3042">
        <f>SUM(K10:O10)</f>
        <v>55642</v>
      </c>
      <c r="K10" s="3041">
        <f>'Phụ lục số 5'!H39</f>
        <v>9300</v>
      </c>
      <c r="L10" s="3041">
        <f>'Phụ lục số 5'!H40</f>
        <v>9500</v>
      </c>
      <c r="M10" s="3041">
        <f>'Phụ lục số 5'!H41</f>
        <v>33411</v>
      </c>
      <c r="N10" s="3041">
        <f>'Phụ lục số 5'!H42</f>
        <v>3431</v>
      </c>
      <c r="O10" s="3041">
        <f>'Phụ lục số 5'!H43</f>
        <v>0</v>
      </c>
      <c r="P10" s="3041">
        <f>'Phụ lục số 5'!H44</f>
        <v>36493</v>
      </c>
      <c r="Q10" s="3041">
        <f>R10+U10+X10+Y10</f>
        <v>664002</v>
      </c>
      <c r="R10" s="3041">
        <f>S10+T10</f>
        <v>117999.59453397225</v>
      </c>
      <c r="S10" s="3041">
        <f>'Phụ lục số 6'!D8</f>
        <v>27999.594533972257</v>
      </c>
      <c r="T10" s="3041">
        <f>'Phụ lục số 6'!D9</f>
        <v>90000</v>
      </c>
      <c r="U10" s="3041">
        <f t="shared" ref="U10:U21" si="0">SUM(V10:W10)</f>
        <v>535564.81160976144</v>
      </c>
      <c r="V10" s="3041">
        <f>'Phụ lục số 6'!D12</f>
        <v>319042.11488564592</v>
      </c>
      <c r="W10" s="3041">
        <f>'Phụ lục số 6'!D13</f>
        <v>216522.69672411552</v>
      </c>
      <c r="X10" s="3041">
        <f>'Phụ lục số 6'!D14</f>
        <v>10437.59385626638</v>
      </c>
      <c r="Y10" s="3049">
        <f>'Phụ lục số 6'!D15</f>
        <v>0</v>
      </c>
    </row>
    <row r="11" spans="1:25" s="1436" customFormat="1" ht="30" customHeight="1">
      <c r="A11" s="2931">
        <v>2</v>
      </c>
      <c r="B11" s="1444" t="s">
        <v>290</v>
      </c>
      <c r="C11" s="1439">
        <f>'Phụ lục số 5'!I7</f>
        <v>430350</v>
      </c>
      <c r="D11" s="3041">
        <f t="shared" ref="D11:D21" si="1">SUM(E11,H11,P11)</f>
        <v>675185</v>
      </c>
      <c r="E11" s="1439">
        <f>'Phụ lục số 5'!K7</f>
        <v>384130</v>
      </c>
      <c r="F11" s="1439">
        <f t="shared" ref="F11:F21" si="2">E11-G11</f>
        <v>312450</v>
      </c>
      <c r="G11" s="1439">
        <f>'Phụ lục số 5'!K10+'Phụ lục số 5'!K11+'Phụ lục số 5'!K15</f>
        <v>71680</v>
      </c>
      <c r="H11" s="1439">
        <f t="shared" ref="H11:H21" si="3">SUM(I11:J11)</f>
        <v>291055</v>
      </c>
      <c r="I11" s="1439">
        <f>'Phụ lục số 5'!K37</f>
        <v>225665</v>
      </c>
      <c r="J11" s="3042">
        <f>SUM(K11:O11)</f>
        <v>65390</v>
      </c>
      <c r="K11" s="1439">
        <f>'Phụ lục số 5'!K39</f>
        <v>5800</v>
      </c>
      <c r="L11" s="1439">
        <f>'Phụ lục số 5'!K40</f>
        <v>7500</v>
      </c>
      <c r="M11" s="1439">
        <f>'Phụ lục số 5'!K41</f>
        <v>46035</v>
      </c>
      <c r="N11" s="1439">
        <f>'Phụ lục số 5'!K42</f>
        <v>4055</v>
      </c>
      <c r="O11" s="1439">
        <f>'Phụ lục số 5'!K43</f>
        <v>2000</v>
      </c>
      <c r="P11" s="1439">
        <f>'Phụ lục số 5'!K44</f>
        <v>0</v>
      </c>
      <c r="Q11" s="3041">
        <f t="shared" ref="Q11:Q21" si="4">R11+U11+X11+Y11</f>
        <v>675185</v>
      </c>
      <c r="R11" s="1439">
        <f t="shared" ref="R11:R21" si="5">S11+T11</f>
        <v>298000.23934054258</v>
      </c>
      <c r="S11" s="1439">
        <f>'Phụ lục số 6'!E8</f>
        <v>28000.239340542557</v>
      </c>
      <c r="T11" s="1439">
        <f>'Phụ lục số 6'!E9</f>
        <v>270000</v>
      </c>
      <c r="U11" s="1439">
        <f t="shared" si="0"/>
        <v>365685.54508638143</v>
      </c>
      <c r="V11" s="1439">
        <f>'Phụ lục số 6'!E12</f>
        <v>186442.40845576092</v>
      </c>
      <c r="W11" s="1439">
        <f>'Phụ lục số 6'!E13</f>
        <v>179243.13663062052</v>
      </c>
      <c r="X11" s="1439">
        <f>'Phụ lục số 6'!E14</f>
        <v>11499.215573075984</v>
      </c>
      <c r="Y11" s="3050">
        <f>'Phụ lục số 6'!E15</f>
        <v>0</v>
      </c>
    </row>
    <row r="12" spans="1:25" s="1436" customFormat="1" ht="30" customHeight="1">
      <c r="A12" s="2931">
        <v>3</v>
      </c>
      <c r="B12" s="1444" t="s">
        <v>2363</v>
      </c>
      <c r="C12" s="1439">
        <f>'Phụ lục số 5'!L7</f>
        <v>101150</v>
      </c>
      <c r="D12" s="3041">
        <f t="shared" si="1"/>
        <v>573785.82400000002</v>
      </c>
      <c r="E12" s="1439">
        <f>'Phụ lục số 5'!N7</f>
        <v>96340</v>
      </c>
      <c r="F12" s="1439">
        <f t="shared" si="2"/>
        <v>51440</v>
      </c>
      <c r="G12" s="1439">
        <f>'Phụ lục số 5'!N10+'Phụ lục số 5'!N11+'Phụ lục số 5'!N15</f>
        <v>44900</v>
      </c>
      <c r="H12" s="1439">
        <f t="shared" si="3"/>
        <v>441196.82400000002</v>
      </c>
      <c r="I12" s="1439">
        <f>'Phụ lục số 5'!N37</f>
        <v>391207</v>
      </c>
      <c r="J12" s="3042">
        <f t="shared" ref="J12:J18" si="6">SUM(K12:O12)</f>
        <v>49989.824000000001</v>
      </c>
      <c r="K12" s="1439">
        <f>'Phụ lục số 5'!N39</f>
        <v>16100</v>
      </c>
      <c r="L12" s="1439">
        <f>'Phụ lục số 5'!N40</f>
        <v>18000</v>
      </c>
      <c r="M12" s="1439">
        <f>'Phụ lục số 5'!N41</f>
        <v>8966</v>
      </c>
      <c r="N12" s="1439">
        <f>'Phụ lục số 5'!N42</f>
        <v>6923.8239999999996</v>
      </c>
      <c r="O12" s="1439">
        <f>'Phụ lục số 5'!N43</f>
        <v>0</v>
      </c>
      <c r="P12" s="1439">
        <f>'Phụ lục số 5'!N44</f>
        <v>36249</v>
      </c>
      <c r="Q12" s="3041">
        <f>R12+U12+X12+Y12</f>
        <v>573785.82400000002</v>
      </c>
      <c r="R12" s="1439">
        <f t="shared" si="5"/>
        <v>58999.51627905004</v>
      </c>
      <c r="S12" s="1439">
        <f>'Phụ lục số 6'!F8</f>
        <v>31999.51627905004</v>
      </c>
      <c r="T12" s="1439">
        <f>'Phụ lục số 6'!F9</f>
        <v>27000</v>
      </c>
      <c r="U12" s="1439">
        <f t="shared" si="0"/>
        <v>504249.08388374688</v>
      </c>
      <c r="V12" s="1439">
        <f>'Phụ lục số 6'!F12</f>
        <v>286155.85849218653</v>
      </c>
      <c r="W12" s="1439">
        <f>'Phụ lục số 6'!F13</f>
        <v>218093.22539156035</v>
      </c>
      <c r="X12" s="1439">
        <f>'Phụ lục số 6'!F14</f>
        <v>10537.223837203137</v>
      </c>
      <c r="Y12" s="3050">
        <f>'Phụ lục số 6'!F15</f>
        <v>0</v>
      </c>
    </row>
    <row r="13" spans="1:25" ht="30" customHeight="1">
      <c r="A13" s="2931">
        <v>4</v>
      </c>
      <c r="B13" s="1444" t="s">
        <v>2364</v>
      </c>
      <c r="C13" s="1439">
        <f>'Phụ lục số 5'!O7</f>
        <v>155300</v>
      </c>
      <c r="D13" s="3041">
        <f t="shared" si="1"/>
        <v>629617.76</v>
      </c>
      <c r="E13" s="1439">
        <f>'Phụ lục số 5'!Q7</f>
        <v>140940</v>
      </c>
      <c r="F13" s="1439">
        <f t="shared" si="2"/>
        <v>86640</v>
      </c>
      <c r="G13" s="1439">
        <f>'Phụ lục số 5'!Q10+'Phụ lục số 5'!Q11+'Phụ lục số 5'!Q15</f>
        <v>54300</v>
      </c>
      <c r="H13" s="1439">
        <f t="shared" si="3"/>
        <v>467064.76</v>
      </c>
      <c r="I13" s="1439">
        <f>'Phụ lục số 5'!Q37</f>
        <v>388772</v>
      </c>
      <c r="J13" s="3042">
        <f t="shared" si="6"/>
        <v>78292.759999999995</v>
      </c>
      <c r="K13" s="1439">
        <f>'Phụ lục số 5'!Q39</f>
        <v>18900</v>
      </c>
      <c r="L13" s="1439">
        <f>'Phụ lục số 5'!Q40</f>
        <v>27000</v>
      </c>
      <c r="M13" s="1439">
        <f>'Phụ lục số 5'!Q41</f>
        <v>30706</v>
      </c>
      <c r="N13" s="1439">
        <f>'Phụ lục số 5'!Q42</f>
        <v>1686.76</v>
      </c>
      <c r="O13" s="1439">
        <f>'Phụ lục số 5'!Q43</f>
        <v>0</v>
      </c>
      <c r="P13" s="1439">
        <f>'Phụ lục số 5'!Q44</f>
        <v>21613</v>
      </c>
      <c r="Q13" s="3041">
        <f t="shared" si="4"/>
        <v>629617.76</v>
      </c>
      <c r="R13" s="1439">
        <f t="shared" si="5"/>
        <v>83999.809682436709</v>
      </c>
      <c r="S13" s="1439">
        <f>'Phụ lục số 6'!G8</f>
        <v>29999.809682436709</v>
      </c>
      <c r="T13" s="1439">
        <f>'Phụ lục số 6'!G9</f>
        <v>54000</v>
      </c>
      <c r="U13" s="1439">
        <f t="shared" si="0"/>
        <v>534028.97233674373</v>
      </c>
      <c r="V13" s="1439">
        <f>'Phụ lục số 6'!G12</f>
        <v>267458.19947370357</v>
      </c>
      <c r="W13" s="1439">
        <f>'Phụ lục số 6'!G13</f>
        <v>266570.77286304015</v>
      </c>
      <c r="X13" s="1439">
        <f>'Phụ lục số 6'!G14</f>
        <v>11588.977980819584</v>
      </c>
      <c r="Y13" s="3050">
        <f>'Phụ lục số 6'!G15</f>
        <v>0</v>
      </c>
    </row>
    <row r="14" spans="1:25" ht="30" customHeight="1">
      <c r="A14" s="2931">
        <v>5</v>
      </c>
      <c r="B14" s="1444" t="s">
        <v>2365</v>
      </c>
      <c r="C14" s="1439">
        <f>'Phụ lục số 5'!R7</f>
        <v>260000</v>
      </c>
      <c r="D14" s="3041">
        <f t="shared" si="1"/>
        <v>767421.35199999996</v>
      </c>
      <c r="E14" s="1439">
        <f>'Phụ lục số 5'!T7</f>
        <v>241850</v>
      </c>
      <c r="F14" s="1439">
        <f t="shared" si="2"/>
        <v>121250</v>
      </c>
      <c r="G14" s="1439">
        <f>'Phụ lục số 5'!T10+'Phụ lục số 5'!T11+'Phụ lục số 5'!T15</f>
        <v>120600</v>
      </c>
      <c r="H14" s="1439">
        <f t="shared" si="3"/>
        <v>486100.35200000001</v>
      </c>
      <c r="I14" s="1439">
        <f>'Phụ lục số 5'!T37</f>
        <v>449761</v>
      </c>
      <c r="J14" s="3042">
        <f t="shared" si="6"/>
        <v>36339.351999999999</v>
      </c>
      <c r="K14" s="1439">
        <f>'Phụ lục số 5'!T39</f>
        <v>13200</v>
      </c>
      <c r="L14" s="1439">
        <f>'Phụ lục số 5'!T40</f>
        <v>19098</v>
      </c>
      <c r="M14" s="1439">
        <f>'Phụ lục số 5'!T41</f>
        <v>0</v>
      </c>
      <c r="N14" s="1439">
        <f>'Phụ lục số 5'!T42</f>
        <v>4041.3519999999999</v>
      </c>
      <c r="O14" s="1439">
        <f>'Phụ lục số 5'!T43</f>
        <v>0</v>
      </c>
      <c r="P14" s="1439">
        <f>'Phụ lục số 5'!T44</f>
        <v>39471</v>
      </c>
      <c r="Q14" s="3041">
        <f t="shared" si="4"/>
        <v>767421.35199999996</v>
      </c>
      <c r="R14" s="1439">
        <f t="shared" si="5"/>
        <v>106999.86288471894</v>
      </c>
      <c r="S14" s="1439">
        <f>'Phụ lục số 6'!H8</f>
        <v>43999.862884718939</v>
      </c>
      <c r="T14" s="1439">
        <f>'Phụ lục số 6'!H9</f>
        <v>63000</v>
      </c>
      <c r="U14" s="1439">
        <f t="shared" si="0"/>
        <v>645402.39632410579</v>
      </c>
      <c r="V14" s="1439">
        <f>'Phụ lục số 6'!H12</f>
        <v>358528.40219701076</v>
      </c>
      <c r="W14" s="1439">
        <f>'Phụ lục số 6'!H13</f>
        <v>286873.99412709504</v>
      </c>
      <c r="X14" s="1439">
        <f>'Phụ lục số 6'!H14</f>
        <v>15019.092791175266</v>
      </c>
      <c r="Y14" s="3050">
        <f>'Phụ lục số 6'!H15</f>
        <v>0</v>
      </c>
    </row>
    <row r="15" spans="1:25" ht="30" customHeight="1">
      <c r="A15" s="2931">
        <v>6</v>
      </c>
      <c r="B15" s="1444" t="s">
        <v>2366</v>
      </c>
      <c r="C15" s="1439">
        <f>'Phụ lục số 5'!U7</f>
        <v>1450250</v>
      </c>
      <c r="D15" s="3041">
        <f t="shared" si="1"/>
        <v>1598566.2</v>
      </c>
      <c r="E15" s="1439">
        <f>'Phụ lục số 5'!W7</f>
        <v>1146450</v>
      </c>
      <c r="F15" s="1439">
        <f t="shared" si="2"/>
        <v>375250</v>
      </c>
      <c r="G15" s="1439">
        <f>'Phụ lục số 5'!W10+'Phụ lục số 5'!W11+'Phụ lục số 5'!W15</f>
        <v>771200</v>
      </c>
      <c r="H15" s="1439">
        <f t="shared" si="3"/>
        <v>56513.2</v>
      </c>
      <c r="I15" s="1439">
        <f>'Phụ lục số 5'!W37</f>
        <v>37354</v>
      </c>
      <c r="J15" s="3042">
        <f t="shared" si="6"/>
        <v>19159.2</v>
      </c>
      <c r="K15" s="1439">
        <f>'Phụ lục số 5'!W39</f>
        <v>5000</v>
      </c>
      <c r="L15" s="1439">
        <f>'Phụ lục số 5'!W40</f>
        <v>3000</v>
      </c>
      <c r="M15" s="1439">
        <f>'Phụ lục số 5'!W41</f>
        <v>0</v>
      </c>
      <c r="N15" s="1439">
        <f>'Phụ lục số 5'!W42</f>
        <v>11159.2</v>
      </c>
      <c r="O15" s="1439">
        <f>'Phụ lục số 5'!W43</f>
        <v>0</v>
      </c>
      <c r="P15" s="1439">
        <f>'Phụ lục số 5'!W44</f>
        <v>395603</v>
      </c>
      <c r="Q15" s="3041">
        <f t="shared" si="4"/>
        <v>1598566.2</v>
      </c>
      <c r="R15" s="1439">
        <f t="shared" si="5"/>
        <v>284000.24258928356</v>
      </c>
      <c r="S15" s="1439">
        <f>'Phụ lục số 6'!I8</f>
        <v>140000.24258928356</v>
      </c>
      <c r="T15" s="1439">
        <f>'Phụ lục số 6'!I9</f>
        <v>144000</v>
      </c>
      <c r="U15" s="1439">
        <f t="shared" si="0"/>
        <v>824431.64142151806</v>
      </c>
      <c r="V15" s="1439">
        <f>'Phụ lục số 6'!I12</f>
        <v>390638.93133133231</v>
      </c>
      <c r="W15" s="1439">
        <f>'Phụ lục số 6'!I13</f>
        <v>433792.71009018575</v>
      </c>
      <c r="X15" s="1439">
        <f>'Phụ lục số 6'!I14</f>
        <v>24840.315989198371</v>
      </c>
      <c r="Y15" s="3050">
        <f>'Phụ lục số 6'!I15</f>
        <v>465294</v>
      </c>
    </row>
    <row r="16" spans="1:25" ht="30" customHeight="1">
      <c r="A16" s="2931">
        <v>7</v>
      </c>
      <c r="B16" s="1444" t="s">
        <v>294</v>
      </c>
      <c r="C16" s="1439">
        <f>'Phụ lục số 5'!X7</f>
        <v>280250</v>
      </c>
      <c r="D16" s="3041">
        <f t="shared" si="1"/>
        <v>960665.2</v>
      </c>
      <c r="E16" s="1439">
        <f>'Phụ lục số 5'!Z7</f>
        <v>259140</v>
      </c>
      <c r="F16" s="1439">
        <f t="shared" si="2"/>
        <v>131750</v>
      </c>
      <c r="G16" s="1439">
        <f>'Phụ lục số 5'!Z10+'Phụ lục số 5'!Z11+'Phụ lục số 5'!Z15</f>
        <v>127390</v>
      </c>
      <c r="H16" s="1439">
        <f t="shared" si="3"/>
        <v>642349.19999999995</v>
      </c>
      <c r="I16" s="1439">
        <f>'Phụ lục số 5'!Z37</f>
        <v>566422</v>
      </c>
      <c r="J16" s="3042">
        <f t="shared" si="6"/>
        <v>75927.199999999997</v>
      </c>
      <c r="K16" s="1439">
        <f>'Phụ lục số 5'!Z39</f>
        <v>21400</v>
      </c>
      <c r="L16" s="1439">
        <f>'Phụ lục số 5'!Z40</f>
        <v>26000</v>
      </c>
      <c r="M16" s="1439">
        <f>'Phụ lục số 5'!Z41</f>
        <v>10606</v>
      </c>
      <c r="N16" s="1439">
        <f>'Phụ lục số 5'!Z42</f>
        <v>17921.2</v>
      </c>
      <c r="O16" s="1439">
        <f>'Phụ lục số 5'!Z43</f>
        <v>0</v>
      </c>
      <c r="P16" s="1439">
        <f>'Phụ lục số 5'!Z44</f>
        <v>59176</v>
      </c>
      <c r="Q16" s="3041">
        <f t="shared" si="4"/>
        <v>960665.2</v>
      </c>
      <c r="R16" s="1439">
        <f t="shared" si="5"/>
        <v>101000.03850993092</v>
      </c>
      <c r="S16" s="1439">
        <f>'Phụ lục số 6'!J8</f>
        <v>47000.038509930921</v>
      </c>
      <c r="T16" s="1439">
        <f>'Phụ lục số 6'!J9</f>
        <v>54000</v>
      </c>
      <c r="U16" s="1439">
        <f t="shared" si="0"/>
        <v>841340.27048818825</v>
      </c>
      <c r="V16" s="1439">
        <f>'Phụ lục số 6'!J12</f>
        <v>446043.65421420382</v>
      </c>
      <c r="W16" s="1439">
        <f>'Phụ lục số 6'!J13</f>
        <v>395296.61627398443</v>
      </c>
      <c r="X16" s="1439">
        <f>'Phụ lục số 6'!J14</f>
        <v>18324.891001880766</v>
      </c>
      <c r="Y16" s="3050">
        <f>'Phụ lục số 6'!J15</f>
        <v>0</v>
      </c>
    </row>
    <row r="17" spans="1:25" s="1436" customFormat="1" ht="30" customHeight="1">
      <c r="A17" s="2931">
        <v>8</v>
      </c>
      <c r="B17" s="1444" t="s">
        <v>412</v>
      </c>
      <c r="C17" s="1439">
        <f>'Phụ lục số 5'!AA7</f>
        <v>275700</v>
      </c>
      <c r="D17" s="3041">
        <f t="shared" si="1"/>
        <v>825155.6</v>
      </c>
      <c r="E17" s="1439">
        <f>'Phụ lục số 5'!AC7</f>
        <v>257750</v>
      </c>
      <c r="F17" s="1439">
        <f t="shared" si="2"/>
        <v>149200</v>
      </c>
      <c r="G17" s="1439">
        <f>'Phụ lục số 5'!AC10+'Phụ lục số 5'!AC11+'Phụ lục số 5'!AC15</f>
        <v>108550</v>
      </c>
      <c r="H17" s="1439">
        <f t="shared" si="3"/>
        <v>540705.6</v>
      </c>
      <c r="I17" s="1439">
        <f>'Phụ lục số 5'!AC37</f>
        <v>441700</v>
      </c>
      <c r="J17" s="3042">
        <f t="shared" si="6"/>
        <v>99005.6</v>
      </c>
      <c r="K17" s="1439">
        <f>'Phụ lục số 5'!AC39</f>
        <v>28600</v>
      </c>
      <c r="L17" s="1439">
        <f>'Phụ lục số 5'!AC40</f>
        <v>33000</v>
      </c>
      <c r="M17" s="1439">
        <f>'Phụ lục số 5'!AC41</f>
        <v>34795</v>
      </c>
      <c r="N17" s="1439">
        <f>'Phụ lục số 5'!AC42</f>
        <v>2610.6</v>
      </c>
      <c r="O17" s="1439">
        <f>'Phụ lục số 5'!AC43</f>
        <v>0</v>
      </c>
      <c r="P17" s="1439">
        <f>'Phụ lục số 5'!AC44</f>
        <v>26700</v>
      </c>
      <c r="Q17" s="3041">
        <f t="shared" si="4"/>
        <v>825155.6</v>
      </c>
      <c r="R17" s="1439">
        <f t="shared" si="5"/>
        <v>130000.33494633662</v>
      </c>
      <c r="S17" s="1439">
        <f>'Phụ lục số 6'!K8</f>
        <v>40000.334946336618</v>
      </c>
      <c r="T17" s="1439">
        <f>'Phụ lục số 6'!K9</f>
        <v>90000</v>
      </c>
      <c r="U17" s="1439">
        <f t="shared" si="0"/>
        <v>679823.93388392578</v>
      </c>
      <c r="V17" s="1439">
        <f>'Phụ lục số 6'!K12</f>
        <v>372742.22567693546</v>
      </c>
      <c r="W17" s="1439">
        <f>'Phụ lục số 6'!K13</f>
        <v>307081.70820699033</v>
      </c>
      <c r="X17" s="1439">
        <f>'Phụ lục số 6'!K14</f>
        <v>15331.331169737576</v>
      </c>
      <c r="Y17" s="3050">
        <f>'Phụ lục số 6'!K15</f>
        <v>0</v>
      </c>
    </row>
    <row r="18" spans="1:25" ht="30" customHeight="1">
      <c r="A18" s="2931">
        <v>9</v>
      </c>
      <c r="B18" s="1444" t="s">
        <v>413</v>
      </c>
      <c r="C18" s="1439">
        <f>'Phụ lục số 5'!AD7</f>
        <v>284000</v>
      </c>
      <c r="D18" s="3041">
        <f t="shared" si="1"/>
        <v>829132.94799999997</v>
      </c>
      <c r="E18" s="1439">
        <f>'Phụ lục số 5'!AF7</f>
        <v>269200</v>
      </c>
      <c r="F18" s="1439">
        <f t="shared" si="2"/>
        <v>106600</v>
      </c>
      <c r="G18" s="1439">
        <f>'Phụ lục số 5'!AF10+'Phụ lục số 5'!AF11+'Phụ lục số 5'!AF15</f>
        <v>162600</v>
      </c>
      <c r="H18" s="1439">
        <f t="shared" si="3"/>
        <v>520654.94799999997</v>
      </c>
      <c r="I18" s="1439">
        <f>'Phụ lục số 5'!AF37</f>
        <v>470689</v>
      </c>
      <c r="J18" s="3042">
        <f t="shared" si="6"/>
        <v>49965.948000000004</v>
      </c>
      <c r="K18" s="1439">
        <f>'Phụ lục số 5'!AF39</f>
        <v>8900</v>
      </c>
      <c r="L18" s="1439">
        <f>'Phụ lục số 5'!AF40</f>
        <v>7000</v>
      </c>
      <c r="M18" s="1439">
        <f>'Phụ lục số 5'!AF41</f>
        <v>9628</v>
      </c>
      <c r="N18" s="1439">
        <f>'Phụ lục số 5'!AF42</f>
        <v>22437.948</v>
      </c>
      <c r="O18" s="1439">
        <f>'Phụ lục số 5'!AF43</f>
        <v>2000</v>
      </c>
      <c r="P18" s="1439">
        <f>'Phụ lục số 5'!AF44</f>
        <v>39278</v>
      </c>
      <c r="Q18" s="3041">
        <f t="shared" si="4"/>
        <v>829132.94799999997</v>
      </c>
      <c r="R18" s="1439">
        <f t="shared" si="5"/>
        <v>96000.351400568732</v>
      </c>
      <c r="S18" s="1439">
        <f>'Phụ lục số 6'!L8</f>
        <v>42000.351400568725</v>
      </c>
      <c r="T18" s="1439">
        <f>'Phụ lục số 6'!L9</f>
        <v>54000</v>
      </c>
      <c r="U18" s="1439">
        <f t="shared" si="0"/>
        <v>716878.32347413257</v>
      </c>
      <c r="V18" s="1439">
        <f>'Phụ lục số 6'!L12</f>
        <v>366671.59034785029</v>
      </c>
      <c r="W18" s="1439">
        <f>'Phụ lục số 6'!L13</f>
        <v>350206.73312628228</v>
      </c>
      <c r="X18" s="1439">
        <f>'Phụ lục số 6'!L14</f>
        <v>16254.273125298643</v>
      </c>
      <c r="Y18" s="3050">
        <f>'Phụ lục số 6'!L15</f>
        <v>0</v>
      </c>
    </row>
    <row r="19" spans="1:25" ht="30" customHeight="1">
      <c r="A19" s="2931">
        <v>10</v>
      </c>
      <c r="B19" s="1444" t="s">
        <v>2368</v>
      </c>
      <c r="C19" s="1439">
        <f>'Phụ lục số 5'!AG7</f>
        <v>195000</v>
      </c>
      <c r="D19" s="3041">
        <f t="shared" si="1"/>
        <v>717257.71200000006</v>
      </c>
      <c r="E19" s="1439">
        <f>'Phụ lục số 5'!AI7</f>
        <v>175430</v>
      </c>
      <c r="F19" s="1439">
        <f t="shared" si="2"/>
        <v>104230</v>
      </c>
      <c r="G19" s="1439">
        <f>'Phụ lục số 5'!AI10+'Phụ lục số 5'!AI11+'Phụ lục số 5'!AI15</f>
        <v>71200</v>
      </c>
      <c r="H19" s="1439">
        <f t="shared" si="3"/>
        <v>519057.712</v>
      </c>
      <c r="I19" s="1439">
        <f>'Phụ lục số 5'!AI37</f>
        <v>440874</v>
      </c>
      <c r="J19" s="3042">
        <f>SUM(K19:O19)</f>
        <v>78183.712</v>
      </c>
      <c r="K19" s="1439">
        <f>'Phụ lục số 5'!AI39</f>
        <v>11300</v>
      </c>
      <c r="L19" s="1439">
        <f>'Phụ lục số 5'!AI40</f>
        <v>7000</v>
      </c>
      <c r="M19" s="1439">
        <f>'Phụ lục số 5'!AI41</f>
        <v>50621</v>
      </c>
      <c r="N19" s="1439">
        <f>'Phụ lục số 5'!AI42</f>
        <v>7262.7119999999995</v>
      </c>
      <c r="O19" s="1439">
        <f>'Phụ lục số 5'!AI43</f>
        <v>2000</v>
      </c>
      <c r="P19" s="1439">
        <f>'Phụ lục số 5'!AI44</f>
        <v>22770</v>
      </c>
      <c r="Q19" s="3041">
        <f t="shared" si="4"/>
        <v>717257.71200000006</v>
      </c>
      <c r="R19" s="1439">
        <f t="shared" si="5"/>
        <v>96999.720817696681</v>
      </c>
      <c r="S19" s="1439">
        <f>'Phụ lục số 6'!M8</f>
        <v>33999.720817696674</v>
      </c>
      <c r="T19" s="1439">
        <f>'Phụ lục số 6'!M9</f>
        <v>63000</v>
      </c>
      <c r="U19" s="1439">
        <f t="shared" si="0"/>
        <v>608806.9670957122</v>
      </c>
      <c r="V19" s="1439">
        <f>'Phụ lục số 6'!M12</f>
        <v>331706.50480976811</v>
      </c>
      <c r="W19" s="1439">
        <f>'Phụ lục số 6'!M13</f>
        <v>277100.46228594409</v>
      </c>
      <c r="X19" s="1439">
        <f>'Phụ lục số 6'!M14</f>
        <v>11451.024086591191</v>
      </c>
      <c r="Y19" s="3050">
        <f>'Phụ lục số 6'!M15</f>
        <v>0</v>
      </c>
    </row>
    <row r="20" spans="1:25" ht="30" customHeight="1">
      <c r="A20" s="2931">
        <v>11</v>
      </c>
      <c r="B20" s="1444" t="s">
        <v>2369</v>
      </c>
      <c r="C20" s="1439">
        <f>'Phụ lục số 5'!AJ7</f>
        <v>930100</v>
      </c>
      <c r="D20" s="3041">
        <f t="shared" si="1"/>
        <v>953865.92</v>
      </c>
      <c r="E20" s="1439">
        <f>'Phụ lục số 5'!AL7</f>
        <v>544440</v>
      </c>
      <c r="F20" s="1439">
        <f t="shared" si="2"/>
        <v>254240</v>
      </c>
      <c r="G20" s="1439">
        <f>'Phụ lục số 5'!AL10+'Phụ lục số 5'!AL11+'Phụ lục số 5'!AL15</f>
        <v>290200</v>
      </c>
      <c r="H20" s="1439">
        <f t="shared" si="3"/>
        <v>234459.92</v>
      </c>
      <c r="I20" s="1439">
        <f>'Phụ lục số 5'!AL37</f>
        <v>224584</v>
      </c>
      <c r="J20" s="3042">
        <f>SUM(K20:O20)</f>
        <v>9875.92</v>
      </c>
      <c r="K20" s="1439">
        <f>'Phụ lục số 5'!AL39</f>
        <v>3000</v>
      </c>
      <c r="L20" s="1439">
        <f>'Phụ lục số 5'!AL40</f>
        <v>1500</v>
      </c>
      <c r="M20" s="1439">
        <f>'Phụ lục số 5'!AL41</f>
        <v>0</v>
      </c>
      <c r="N20" s="1439">
        <f>'Phụ lục số 5'!AL42</f>
        <v>5375.92</v>
      </c>
      <c r="O20" s="1439">
        <f>'Phụ lục số 5'!AL43</f>
        <v>0</v>
      </c>
      <c r="P20" s="1439">
        <f>'Phụ lục số 5'!AL44</f>
        <v>174966</v>
      </c>
      <c r="Q20" s="3041">
        <f t="shared" si="4"/>
        <v>953865.92</v>
      </c>
      <c r="R20" s="1439">
        <f t="shared" si="5"/>
        <v>227000.360400012</v>
      </c>
      <c r="S20" s="1439">
        <f>'Phụ lục số 6'!N8</f>
        <v>83000.360400011981</v>
      </c>
      <c r="T20" s="1439">
        <f>'Phụ lục số 6'!N9</f>
        <v>144000</v>
      </c>
      <c r="U20" s="1439">
        <f t="shared" si="0"/>
        <v>537382.28403784544</v>
      </c>
      <c r="V20" s="1439">
        <f>'Phụ lục số 6'!N12</f>
        <v>221835.73186322945</v>
      </c>
      <c r="W20" s="1439">
        <f>'Phụ lục số 6'!N13</f>
        <v>315546.55217461602</v>
      </c>
      <c r="X20" s="1439">
        <f>'Phụ lục số 6'!N14</f>
        <v>16517.275562142579</v>
      </c>
      <c r="Y20" s="3050">
        <f>'Phụ lục số 6'!N15</f>
        <v>172966</v>
      </c>
    </row>
    <row r="21" spans="1:25" ht="30" customHeight="1">
      <c r="A21" s="3051">
        <v>12</v>
      </c>
      <c r="B21" s="3043" t="s">
        <v>416</v>
      </c>
      <c r="C21" s="1460">
        <f>'Phụ lục số 5'!AM7</f>
        <v>285000</v>
      </c>
      <c r="D21" s="3041">
        <f t="shared" si="1"/>
        <v>713747.83199999994</v>
      </c>
      <c r="E21" s="1460">
        <f>'Phụ lục số 5'!AO7</f>
        <v>265510</v>
      </c>
      <c r="F21" s="1460">
        <f t="shared" si="2"/>
        <v>166550</v>
      </c>
      <c r="G21" s="1460">
        <f>'Phụ lục số 5'!AO10+'Phụ lục số 5'!AO11+'Phụ lục số 5'!AO15</f>
        <v>98960</v>
      </c>
      <c r="H21" s="1460">
        <f t="shared" si="3"/>
        <v>414556.83199999999</v>
      </c>
      <c r="I21" s="1460">
        <f>'Phụ lục số 5'!AO37</f>
        <v>379928</v>
      </c>
      <c r="J21" s="3042">
        <f>SUM(K21:O21)</f>
        <v>34628.832000000002</v>
      </c>
      <c r="K21" s="1460">
        <f>'Phụ lục số 5'!AO39</f>
        <v>7200</v>
      </c>
      <c r="L21" s="1460">
        <f>'Phụ lục số 5'!AO40</f>
        <v>10500</v>
      </c>
      <c r="M21" s="1460">
        <f>'Phụ lục số 5'!AO41</f>
        <v>8166</v>
      </c>
      <c r="N21" s="1460">
        <f>'Phụ lục số 5'!AO42</f>
        <v>6762.8320000000003</v>
      </c>
      <c r="O21" s="1460">
        <f>'Phụ lục số 5'!AO43</f>
        <v>2000</v>
      </c>
      <c r="P21" s="1460">
        <f>'Phụ lục số 5'!AO44</f>
        <v>33681</v>
      </c>
      <c r="Q21" s="3041">
        <f t="shared" si="4"/>
        <v>713747.83200000005</v>
      </c>
      <c r="R21" s="1460">
        <f t="shared" si="5"/>
        <v>123000.33758532717</v>
      </c>
      <c r="S21" s="1460">
        <f>'Phụ lục số 6'!O8</f>
        <v>33000.337585327172</v>
      </c>
      <c r="T21" s="1460">
        <f>'Phụ lục số 6'!O9</f>
        <v>90000</v>
      </c>
      <c r="U21" s="1460">
        <f t="shared" si="0"/>
        <v>576944.16506902024</v>
      </c>
      <c r="V21" s="1460">
        <f>'Phụ lục số 6'!O12</f>
        <v>294004.16143211746</v>
      </c>
      <c r="W21" s="1460">
        <f>'Phụ lục số 6'!O13</f>
        <v>282940.00363690278</v>
      </c>
      <c r="X21" s="1460">
        <f>'Phụ lục số 6'!O14</f>
        <v>13803.329345652623</v>
      </c>
      <c r="Y21" s="3052">
        <f>'Phụ lục số 6'!O15</f>
        <v>0</v>
      </c>
    </row>
    <row r="22" spans="1:25" s="1429" customFormat="1" ht="30" customHeight="1" thickBot="1">
      <c r="A22" s="3053"/>
      <c r="B22" s="3054" t="s">
        <v>312</v>
      </c>
      <c r="C22" s="3055">
        <f t="shared" ref="C22:P22" si="7">SUM(C10:C21)</f>
        <v>4836300</v>
      </c>
      <c r="D22" s="3055">
        <f t="shared" si="7"/>
        <v>9908403.3480000012</v>
      </c>
      <c r="E22" s="3055">
        <f>SUM(E10:E21)</f>
        <v>3939080</v>
      </c>
      <c r="F22" s="3055">
        <f>SUM(F10:F21)</f>
        <v>1987000</v>
      </c>
      <c r="G22" s="3055">
        <f>SUM(G10:G21)</f>
        <v>1952080</v>
      </c>
      <c r="H22" s="3055">
        <f t="shared" si="7"/>
        <v>5083323.3480000002</v>
      </c>
      <c r="I22" s="3055">
        <f>SUM(I10:I21)</f>
        <v>4430923</v>
      </c>
      <c r="J22" s="3055">
        <f>SUM(J10:J21)</f>
        <v>652400.348</v>
      </c>
      <c r="K22" s="3055">
        <f t="shared" si="7"/>
        <v>148700</v>
      </c>
      <c r="L22" s="3055">
        <f t="shared" si="7"/>
        <v>169098</v>
      </c>
      <c r="M22" s="3055">
        <f t="shared" si="7"/>
        <v>232934</v>
      </c>
      <c r="N22" s="3055">
        <f t="shared" si="7"/>
        <v>93668.347999999998</v>
      </c>
      <c r="O22" s="3055">
        <f>SUM(O10:O21)</f>
        <v>8000</v>
      </c>
      <c r="P22" s="3055">
        <f t="shared" si="7"/>
        <v>886000</v>
      </c>
      <c r="Q22" s="3055">
        <f t="shared" ref="Q22:Y22" si="8">SUM(Q10:Q21)</f>
        <v>9908403.3480000012</v>
      </c>
      <c r="R22" s="3055">
        <f t="shared" si="8"/>
        <v>1724000.4089698766</v>
      </c>
      <c r="S22" s="3055">
        <f t="shared" si="8"/>
        <v>581000.40896987612</v>
      </c>
      <c r="T22" s="3055">
        <f t="shared" si="8"/>
        <v>1143000</v>
      </c>
      <c r="U22" s="3055">
        <f t="shared" si="8"/>
        <v>7370538.3947110819</v>
      </c>
      <c r="V22" s="3055">
        <f t="shared" si="8"/>
        <v>3841269.7831797441</v>
      </c>
      <c r="W22" s="3055">
        <f t="shared" si="8"/>
        <v>3529268.6115313373</v>
      </c>
      <c r="X22" s="3055">
        <f t="shared" si="8"/>
        <v>175604.54431904212</v>
      </c>
      <c r="Y22" s="3056">
        <f t="shared" si="8"/>
        <v>638260</v>
      </c>
    </row>
    <row r="23" spans="1:25" ht="18.600000000000001" thickTop="1">
      <c r="E23" s="3044">
        <f>E22/C22</f>
        <v>0.81448214544176334</v>
      </c>
      <c r="Q23" s="3045"/>
    </row>
  </sheetData>
  <mergeCells count="26">
    <mergeCell ref="W4:Y4"/>
    <mergeCell ref="D5:P5"/>
    <mergeCell ref="P6:P8"/>
    <mergeCell ref="R5:Y5"/>
    <mergeCell ref="Y6:Y8"/>
    <mergeCell ref="H6:H8"/>
    <mergeCell ref="R6:T6"/>
    <mergeCell ref="U6:W6"/>
    <mergeCell ref="I6:O6"/>
    <mergeCell ref="K7:O7"/>
    <mergeCell ref="A1:X1"/>
    <mergeCell ref="A5:A8"/>
    <mergeCell ref="B5:B8"/>
    <mergeCell ref="C5:C8"/>
    <mergeCell ref="Q5:Q8"/>
    <mergeCell ref="D6:D8"/>
    <mergeCell ref="E6:E8"/>
    <mergeCell ref="F6:G7"/>
    <mergeCell ref="X6:X8"/>
    <mergeCell ref="I7:I8"/>
    <mergeCell ref="J7:J8"/>
    <mergeCell ref="R7:R8"/>
    <mergeCell ref="S7:T7"/>
    <mergeCell ref="U7:U8"/>
    <mergeCell ref="V7:W7"/>
    <mergeCell ref="A2:X2"/>
  </mergeCells>
  <hyperlinks>
    <hyperlink ref="A5:A8" location="'List danh mục'!A1" display="STT"/>
  </hyperlinks>
  <printOptions horizontalCentered="1"/>
  <pageMargins left="0" right="0" top="0.59055118110236227" bottom="0" header="0.19685039370078741" footer="0.19685039370078741"/>
  <pageSetup paperSize="9" scale="60" orientation="landscape" r:id="rId1"/>
  <headerFooter>
    <oddHeader>&amp;R&amp;A</oddHeader>
    <oddFooter>&amp;C&amp;P/&amp;N</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CU22"/>
  <sheetViews>
    <sheetView workbookViewId="0"/>
  </sheetViews>
  <sheetFormatPr defaultColWidth="9" defaultRowHeight="15.6"/>
  <cols>
    <col min="1" max="1" width="3.8984375" style="244" customWidth="1"/>
    <col min="2" max="2" width="34" style="220" customWidth="1"/>
    <col min="3" max="11" width="8.5" style="220" hidden="1" customWidth="1"/>
    <col min="12" max="28" width="8.5" style="220" customWidth="1"/>
    <col min="29" max="29" width="9.5" style="220" customWidth="1"/>
    <col min="30" max="16384" width="9" style="220"/>
  </cols>
  <sheetData>
    <row r="1" spans="1:99">
      <c r="A1" s="245"/>
      <c r="B1" s="246"/>
      <c r="C1" s="246" t="s">
        <v>634</v>
      </c>
      <c r="D1" s="246"/>
      <c r="E1" s="246" t="s">
        <v>635</v>
      </c>
      <c r="F1" s="246"/>
      <c r="G1" s="246"/>
      <c r="H1" s="246"/>
      <c r="I1" s="246"/>
      <c r="J1" s="246"/>
      <c r="K1" s="246"/>
      <c r="L1" s="246"/>
      <c r="M1" s="246"/>
      <c r="N1" s="246"/>
      <c r="AD1" s="220" t="s">
        <v>635</v>
      </c>
      <c r="AI1" s="246" t="s">
        <v>634</v>
      </c>
      <c r="AQ1" s="246" t="s">
        <v>634</v>
      </c>
      <c r="AY1" s="246" t="s">
        <v>634</v>
      </c>
      <c r="BG1" s="246" t="s">
        <v>634</v>
      </c>
      <c r="BO1" s="246" t="s">
        <v>634</v>
      </c>
      <c r="BW1" s="246" t="s">
        <v>634</v>
      </c>
      <c r="CE1" s="246" t="s">
        <v>634</v>
      </c>
      <c r="CM1" s="246" t="s">
        <v>634</v>
      </c>
      <c r="CU1" s="246" t="s">
        <v>634</v>
      </c>
    </row>
    <row r="2" spans="1:99" ht="41.4" customHeight="1">
      <c r="A2" s="4201" t="s">
        <v>636</v>
      </c>
      <c r="B2" s="4201"/>
      <c r="C2" s="4201"/>
      <c r="D2" s="4201"/>
      <c r="E2" s="4201"/>
      <c r="F2" s="4201"/>
      <c r="G2" s="4201"/>
      <c r="H2" s="4201"/>
      <c r="I2" s="4201"/>
      <c r="J2" s="4201"/>
      <c r="K2" s="4201"/>
      <c r="L2" s="4201"/>
      <c r="M2" s="4201"/>
      <c r="N2" s="4201"/>
      <c r="O2" s="4201"/>
      <c r="P2" s="4201"/>
      <c r="Q2" s="4201"/>
      <c r="R2" s="4201"/>
      <c r="S2" s="4201"/>
      <c r="T2" s="4201"/>
      <c r="U2" s="4201"/>
      <c r="V2" s="4201"/>
      <c r="W2" s="4201"/>
      <c r="X2" s="4201"/>
      <c r="Y2" s="4201"/>
      <c r="Z2" s="4201"/>
      <c r="AA2" s="4201"/>
      <c r="AB2" s="4201"/>
      <c r="AC2" s="4201"/>
    </row>
    <row r="3" spans="1:99">
      <c r="A3" s="290"/>
      <c r="B3" s="290"/>
      <c r="C3" s="290"/>
      <c r="D3" s="290"/>
      <c r="E3" s="290"/>
      <c r="F3" s="290"/>
      <c r="G3" s="290"/>
      <c r="H3" s="290"/>
      <c r="I3" s="290"/>
      <c r="J3" s="290"/>
      <c r="K3" s="290"/>
      <c r="L3" s="290"/>
      <c r="M3" s="290"/>
      <c r="N3" s="290"/>
    </row>
    <row r="4" spans="1:99">
      <c r="A4" s="245"/>
      <c r="Q4" s="717"/>
      <c r="R4" s="717"/>
      <c r="S4" s="717"/>
      <c r="T4" s="717"/>
      <c r="AC4" s="292" t="s">
        <v>64</v>
      </c>
    </row>
    <row r="5" spans="1:99" s="561" customFormat="1" ht="15.9" customHeight="1">
      <c r="A5" s="4277" t="s">
        <v>0</v>
      </c>
      <c r="B5" s="4254" t="s">
        <v>27</v>
      </c>
      <c r="C5" s="4254" t="s">
        <v>428</v>
      </c>
      <c r="D5" s="4254" t="s">
        <v>431</v>
      </c>
      <c r="E5" s="4254" t="s">
        <v>432</v>
      </c>
      <c r="F5" s="4254" t="s">
        <v>433</v>
      </c>
      <c r="G5" s="4254" t="s">
        <v>434</v>
      </c>
      <c r="H5" s="4254" t="s">
        <v>435</v>
      </c>
      <c r="I5" s="4254" t="s">
        <v>544</v>
      </c>
      <c r="J5" s="4254" t="s">
        <v>545</v>
      </c>
      <c r="K5" s="4254" t="s">
        <v>546</v>
      </c>
      <c r="L5" s="4241" t="s">
        <v>438</v>
      </c>
      <c r="M5" s="4241" t="s">
        <v>439</v>
      </c>
      <c r="N5" s="4254" t="s">
        <v>547</v>
      </c>
      <c r="O5" s="4254" t="s">
        <v>548</v>
      </c>
      <c r="P5" s="4254" t="s">
        <v>549</v>
      </c>
      <c r="Q5" s="4254" t="s">
        <v>550</v>
      </c>
      <c r="R5" s="4254" t="s">
        <v>551</v>
      </c>
      <c r="S5" s="4254" t="s">
        <v>546</v>
      </c>
      <c r="T5" s="4254" t="s">
        <v>552</v>
      </c>
      <c r="U5" s="4254" t="s">
        <v>553</v>
      </c>
      <c r="V5" s="4254" t="s">
        <v>554</v>
      </c>
      <c r="W5" s="4254" t="s">
        <v>1759</v>
      </c>
      <c r="X5" s="4254" t="s">
        <v>176</v>
      </c>
      <c r="Y5" s="4254" t="s">
        <v>177</v>
      </c>
      <c r="Z5" s="4254" t="s">
        <v>637</v>
      </c>
      <c r="AA5" s="4254" t="s">
        <v>551</v>
      </c>
      <c r="AB5" s="4254" t="s">
        <v>546</v>
      </c>
      <c r="AC5" s="4254" t="s">
        <v>638</v>
      </c>
      <c r="AD5" s="4254" t="s">
        <v>1760</v>
      </c>
    </row>
    <row r="6" spans="1:99" s="561" customFormat="1" ht="138" customHeight="1">
      <c r="A6" s="4277"/>
      <c r="B6" s="4254"/>
      <c r="C6" s="4254"/>
      <c r="D6" s="4254"/>
      <c r="E6" s="4254"/>
      <c r="F6" s="4254"/>
      <c r="G6" s="4254"/>
      <c r="H6" s="4254"/>
      <c r="I6" s="4254"/>
      <c r="J6" s="4254"/>
      <c r="K6" s="4254"/>
      <c r="L6" s="4241"/>
      <c r="M6" s="4241"/>
      <c r="N6" s="4254"/>
      <c r="O6" s="4254"/>
      <c r="P6" s="4254"/>
      <c r="Q6" s="4254"/>
      <c r="R6" s="4254"/>
      <c r="S6" s="4254"/>
      <c r="T6" s="4254"/>
      <c r="U6" s="4254"/>
      <c r="V6" s="4254"/>
      <c r="W6" s="4254"/>
      <c r="X6" s="4254"/>
      <c r="Y6" s="4254"/>
      <c r="Z6" s="4254"/>
      <c r="AA6" s="4254"/>
      <c r="AB6" s="4254"/>
      <c r="AC6" s="4254"/>
      <c r="AD6" s="4254"/>
    </row>
    <row r="7" spans="1:99">
      <c r="A7" s="718">
        <v>1</v>
      </c>
      <c r="B7" s="718">
        <v>2</v>
      </c>
      <c r="C7" s="718"/>
      <c r="D7" s="718"/>
      <c r="E7" s="718"/>
      <c r="F7" s="718"/>
      <c r="G7" s="718"/>
      <c r="H7" s="718"/>
      <c r="I7" s="719"/>
      <c r="J7" s="719"/>
      <c r="K7" s="719"/>
      <c r="L7" s="1671"/>
      <c r="M7" s="1671"/>
      <c r="N7" s="718"/>
      <c r="O7" s="719"/>
      <c r="P7" s="719"/>
      <c r="Q7" s="719"/>
      <c r="R7" s="719"/>
      <c r="S7" s="719"/>
      <c r="T7" s="719"/>
      <c r="U7" s="719"/>
      <c r="V7" s="719"/>
      <c r="W7" s="719"/>
      <c r="X7" s="719"/>
      <c r="Y7" s="719"/>
      <c r="Z7" s="719"/>
      <c r="AA7" s="719"/>
      <c r="AB7" s="719"/>
      <c r="AC7" s="719"/>
      <c r="AD7" s="1790"/>
    </row>
    <row r="8" spans="1:99" s="226" customFormat="1">
      <c r="A8" s="231" t="s">
        <v>7</v>
      </c>
      <c r="B8" s="224" t="s">
        <v>51</v>
      </c>
      <c r="C8" s="224">
        <f t="shared" ref="C8:H8" si="0">SUM(C9:C10)</f>
        <v>379873</v>
      </c>
      <c r="D8" s="224">
        <f t="shared" si="0"/>
        <v>517484</v>
      </c>
      <c r="E8" s="224">
        <f t="shared" si="0"/>
        <v>686112</v>
      </c>
      <c r="F8" s="224">
        <f t="shared" si="0"/>
        <v>774055</v>
      </c>
      <c r="G8" s="224">
        <f t="shared" si="0"/>
        <v>531512</v>
      </c>
      <c r="H8" s="224">
        <f t="shared" si="0"/>
        <v>533832</v>
      </c>
      <c r="I8" s="224">
        <f>SUM(D8:H8)</f>
        <v>3042995</v>
      </c>
      <c r="J8" s="720"/>
      <c r="K8" s="720">
        <f>I8/$I$8</f>
        <v>1</v>
      </c>
      <c r="L8" s="1794">
        <f t="shared" ref="L8:O8" si="1">SUM(L9:L12)</f>
        <v>760850</v>
      </c>
      <c r="M8" s="1794">
        <f t="shared" si="1"/>
        <v>741859</v>
      </c>
      <c r="N8" s="224">
        <f t="shared" si="1"/>
        <v>1818286</v>
      </c>
      <c r="O8" s="224">
        <f t="shared" si="1"/>
        <v>1511244</v>
      </c>
      <c r="P8" s="224">
        <f>SUM(P9:P12)</f>
        <v>1600563</v>
      </c>
      <c r="Q8" s="224">
        <f>SUM(L8:P8)</f>
        <v>6432802</v>
      </c>
      <c r="R8" s="720"/>
      <c r="S8" s="720">
        <f>Q8/$Q$8</f>
        <v>1</v>
      </c>
      <c r="T8" s="720">
        <f>Q8/I8-1</f>
        <v>1.1139706111906196</v>
      </c>
      <c r="U8" s="224">
        <f>SUM(U9:U12)</f>
        <v>1370794</v>
      </c>
      <c r="V8" s="224">
        <f>SUM(V9:V12)</f>
        <v>1213473</v>
      </c>
      <c r="W8" s="224">
        <f>SUM(W9:W12)</f>
        <v>2597007</v>
      </c>
      <c r="X8" s="224">
        <f>SUM(X9:X12)</f>
        <v>1988976</v>
      </c>
      <c r="Y8" s="224">
        <f>SUM(Y9:Y12)</f>
        <v>2379485.2999999998</v>
      </c>
      <c r="Z8" s="224">
        <f>SUM(U8:Y8)</f>
        <v>9549735.3000000007</v>
      </c>
      <c r="AA8" s="720"/>
      <c r="AB8" s="720">
        <f>Z8/$Z$8</f>
        <v>1</v>
      </c>
      <c r="AC8" s="720">
        <f>+Z8/Q8-1</f>
        <v>0.48453742241716768</v>
      </c>
      <c r="AD8" s="224">
        <f>SUM(AD9:AD12)</f>
        <v>2379485.2999999998</v>
      </c>
    </row>
    <row r="9" spans="1:99" s="578" customFormat="1">
      <c r="A9" s="1131">
        <v>1</v>
      </c>
      <c r="B9" s="604" t="s">
        <v>610</v>
      </c>
      <c r="C9" s="506">
        <v>88679</v>
      </c>
      <c r="D9" s="506">
        <v>148144</v>
      </c>
      <c r="E9" s="506">
        <v>167267</v>
      </c>
      <c r="F9" s="506">
        <v>155140</v>
      </c>
      <c r="G9" s="506">
        <f>65206+17050</f>
        <v>82256</v>
      </c>
      <c r="H9" s="506">
        <v>76245</v>
      </c>
      <c r="I9" s="506">
        <f>SUM(D9:H9)</f>
        <v>629052</v>
      </c>
      <c r="J9" s="501"/>
      <c r="K9" s="501">
        <f>I9/$I$8</f>
        <v>0.20672133868113488</v>
      </c>
      <c r="L9" s="485">
        <v>53674</v>
      </c>
      <c r="M9" s="485">
        <v>158319</v>
      </c>
      <c r="N9" s="506">
        <f>'PL-TổngChi21-25'!N37</f>
        <v>158489</v>
      </c>
      <c r="O9" s="506">
        <f>'PL-TổngChi21-25'!P37</f>
        <v>237567</v>
      </c>
      <c r="P9" s="506">
        <f>'PL-TổngChi21-25'!R37</f>
        <v>426575</v>
      </c>
      <c r="Q9" s="506">
        <f>SUM(L9:P9)</f>
        <v>1034624</v>
      </c>
      <c r="R9" s="501"/>
      <c r="S9" s="501">
        <f>Q9/$Q$8</f>
        <v>0.16083566694575707</v>
      </c>
      <c r="T9" s="501">
        <f>Q9/I9-1</f>
        <v>0.64473525241156526</v>
      </c>
      <c r="U9" s="506"/>
      <c r="V9" s="506"/>
      <c r="W9" s="506">
        <v>132171</v>
      </c>
      <c r="X9" s="506"/>
      <c r="Y9" s="506"/>
      <c r="Z9" s="506">
        <f>SUM(U9:Y9)</f>
        <v>132171</v>
      </c>
      <c r="AA9" s="501"/>
      <c r="AB9" s="501">
        <f>Z9/$Z$8</f>
        <v>1.3840278902808959E-2</v>
      </c>
      <c r="AC9" s="501">
        <f>+Z9/Q9-1</f>
        <v>-0.87225214184090061</v>
      </c>
      <c r="AD9" s="500"/>
    </row>
    <row r="10" spans="1:99" s="578" customFormat="1" ht="31.2">
      <c r="A10" s="1131">
        <v>2</v>
      </c>
      <c r="B10" s="604" t="s">
        <v>1756</v>
      </c>
      <c r="C10" s="506">
        <v>291194</v>
      </c>
      <c r="D10" s="506">
        <v>369340</v>
      </c>
      <c r="E10" s="506">
        <v>518845</v>
      </c>
      <c r="F10" s="506">
        <v>618915</v>
      </c>
      <c r="G10" s="506">
        <f>336800+112456</f>
        <v>449256</v>
      </c>
      <c r="H10" s="506">
        <f>372200+85387</f>
        <v>457587</v>
      </c>
      <c r="I10" s="506">
        <f>SUM(D10:H10)</f>
        <v>2413943</v>
      </c>
      <c r="J10" s="501"/>
      <c r="K10" s="501">
        <f>I10/$I$8</f>
        <v>0.79327866131886515</v>
      </c>
      <c r="L10" s="485">
        <f>585920+121256</f>
        <v>707176</v>
      </c>
      <c r="M10" s="485">
        <f>579113+4427</f>
        <v>583540</v>
      </c>
      <c r="N10" s="506">
        <f>'PL-TổngChi21-25'!N38</f>
        <v>1503647</v>
      </c>
      <c r="O10" s="506">
        <f>'PL-TổngChi21-25'!P38</f>
        <v>849684</v>
      </c>
      <c r="P10" s="506">
        <f>'PL-TổngChi21-25'!R38</f>
        <v>906600</v>
      </c>
      <c r="Q10" s="506">
        <f t="shared" ref="Q10:Q12" si="2">SUM(L10:P10)</f>
        <v>4550647</v>
      </c>
      <c r="R10" s="501"/>
      <c r="S10" s="501">
        <f>Q10/$Q$8</f>
        <v>0.70741288166494165</v>
      </c>
      <c r="T10" s="501">
        <f>Q10/I10-1</f>
        <v>0.88515097498159645</v>
      </c>
      <c r="U10" s="506">
        <f>'PL-TổngChi21-25'!X38-U9</f>
        <v>1263824</v>
      </c>
      <c r="V10" s="506">
        <f>'PL-TổngChi21-25'!Z38-V9</f>
        <v>1127000</v>
      </c>
      <c r="W10" s="506">
        <f>'PL-TổngChi21-25'!AF38-W9</f>
        <v>2285800</v>
      </c>
      <c r="X10" s="506">
        <f>'PL-TổngChi21-25'!AH38-X9</f>
        <v>1814491</v>
      </c>
      <c r="Y10" s="506">
        <f>'PL-TổngChi21-25'!AI38-Y9</f>
        <v>2205000</v>
      </c>
      <c r="Z10" s="506">
        <f>SUM(U10:Y10)</f>
        <v>8696115</v>
      </c>
      <c r="AA10" s="501"/>
      <c r="AB10" s="501">
        <f>Z10/$Z$8</f>
        <v>0.91061319783387074</v>
      </c>
      <c r="AC10" s="501">
        <f>+Z10/Q10-1</f>
        <v>0.91096233129047355</v>
      </c>
      <c r="AD10" s="500">
        <f>'PL-TổngChi21-25'!AO38-AD9</f>
        <v>2205000</v>
      </c>
    </row>
    <row r="11" spans="1:99" s="578" customFormat="1" ht="31.2">
      <c r="A11" s="1131">
        <v>3</v>
      </c>
      <c r="B11" s="604" t="s">
        <v>1757</v>
      </c>
      <c r="C11" s="506"/>
      <c r="D11" s="506"/>
      <c r="E11" s="506"/>
      <c r="F11" s="506"/>
      <c r="G11" s="506"/>
      <c r="H11" s="506"/>
      <c r="I11" s="506"/>
      <c r="J11" s="501"/>
      <c r="K11" s="501"/>
      <c r="L11" s="485"/>
      <c r="M11" s="485"/>
      <c r="N11" s="506">
        <f>'PL-TổngChi21-25'!N39</f>
        <v>156150</v>
      </c>
      <c r="O11" s="506">
        <f>'PL-TổngChi21-25'!P39</f>
        <v>423993</v>
      </c>
      <c r="P11" s="506">
        <f>'PL-TổngChi21-25'!R39</f>
        <v>267388</v>
      </c>
      <c r="Q11" s="506">
        <f t="shared" si="2"/>
        <v>847531</v>
      </c>
      <c r="R11" s="501"/>
      <c r="S11" s="501"/>
      <c r="T11" s="501"/>
      <c r="U11" s="506">
        <f>'PL-TổngChi21-25'!X39</f>
        <v>106970</v>
      </c>
      <c r="V11" s="506">
        <f>'PL-TổngChi21-25'!Z39</f>
        <v>86473</v>
      </c>
      <c r="W11" s="506">
        <f>'PL-TổngChi21-25'!AF39</f>
        <v>179036</v>
      </c>
      <c r="X11" s="506">
        <f>'PL-TổngChi21-25'!AH39</f>
        <v>174485</v>
      </c>
      <c r="Y11" s="506">
        <f>'PL-TổngChi21-25'!AI39</f>
        <v>174485.3</v>
      </c>
      <c r="Z11" s="506">
        <f t="shared" ref="Z11:Z12" si="3">SUM(U11:Y11)</f>
        <v>721449.3</v>
      </c>
      <c r="AA11" s="501"/>
      <c r="AB11" s="501"/>
      <c r="AC11" s="501">
        <f t="shared" ref="AC11:AC12" si="4">+Z11/Q11-1</f>
        <v>-0.14876352605391419</v>
      </c>
      <c r="AD11" s="500">
        <f>'PL-TổngChi21-25'!AO39</f>
        <v>174485.3</v>
      </c>
    </row>
    <row r="12" spans="1:99" s="578" customFormat="1">
      <c r="A12" s="1131">
        <v>4</v>
      </c>
      <c r="B12" s="604" t="s">
        <v>1758</v>
      </c>
      <c r="C12" s="506"/>
      <c r="D12" s="506"/>
      <c r="E12" s="506"/>
      <c r="F12" s="506"/>
      <c r="G12" s="506"/>
      <c r="H12" s="506"/>
      <c r="I12" s="506"/>
      <c r="J12" s="501"/>
      <c r="K12" s="501"/>
      <c r="L12" s="485"/>
      <c r="M12" s="485"/>
      <c r="N12" s="506">
        <f>'PL-TổngChi21-25'!N40</f>
        <v>0</v>
      </c>
      <c r="O12" s="506">
        <f>'PL-TổngChi21-25'!P40</f>
        <v>0</v>
      </c>
      <c r="P12" s="506">
        <f>'PL-TổngChi21-25'!R40</f>
        <v>0</v>
      </c>
      <c r="Q12" s="506">
        <f t="shared" si="2"/>
        <v>0</v>
      </c>
      <c r="R12" s="501"/>
      <c r="S12" s="501"/>
      <c r="T12" s="501"/>
      <c r="U12" s="506">
        <f>'PL-TổngChi21-25'!X40</f>
        <v>0</v>
      </c>
      <c r="V12" s="506">
        <f>'PL-TổngChi21-25'!Z40</f>
        <v>0</v>
      </c>
      <c r="W12" s="506">
        <f>'PL-TổngChi21-25'!AF40</f>
        <v>0</v>
      </c>
      <c r="X12" s="506">
        <f>'PL-TổngChi21-25'!AH40</f>
        <v>0</v>
      </c>
      <c r="Y12" s="506">
        <f>'PL-TổngChi21-25'!AI40</f>
        <v>0</v>
      </c>
      <c r="Z12" s="506">
        <f t="shared" si="3"/>
        <v>0</v>
      </c>
      <c r="AA12" s="501"/>
      <c r="AB12" s="501"/>
      <c r="AC12" s="501" t="e">
        <f t="shared" si="4"/>
        <v>#DIV/0!</v>
      </c>
      <c r="AD12" s="500">
        <f>'PL-TổngChi21-25'!AO40</f>
        <v>0</v>
      </c>
    </row>
    <row r="13" spans="1:99" s="314" customFormat="1">
      <c r="A13" s="1125" t="s">
        <v>22</v>
      </c>
      <c r="B13" s="591" t="s">
        <v>494</v>
      </c>
      <c r="C13" s="592"/>
      <c r="D13" s="592">
        <f t="shared" ref="D13:H15" si="5">D8/C8</f>
        <v>1.3622552800541234</v>
      </c>
      <c r="E13" s="592">
        <f t="shared" si="5"/>
        <v>1.3258612826676768</v>
      </c>
      <c r="F13" s="592">
        <f t="shared" si="5"/>
        <v>1.1281758663308614</v>
      </c>
      <c r="G13" s="592">
        <f t="shared" si="5"/>
        <v>0.68665921672232588</v>
      </c>
      <c r="H13" s="592">
        <f t="shared" si="5"/>
        <v>1.0043649061545177</v>
      </c>
      <c r="I13" s="592"/>
      <c r="J13" s="592">
        <f>(D13*E13*F13*G13*H13)^(1/5)-1</f>
        <v>7.04175856234035E-2</v>
      </c>
      <c r="K13" s="592"/>
      <c r="L13" s="318">
        <f>L8/H8</f>
        <v>1.4252611308426621</v>
      </c>
      <c r="M13" s="318">
        <f t="shared" ref="M13:P14" si="6">M8/L8</f>
        <v>0.97503975816520994</v>
      </c>
      <c r="N13" s="592">
        <f t="shared" si="6"/>
        <v>2.450985969031851</v>
      </c>
      <c r="O13" s="592">
        <f t="shared" si="6"/>
        <v>0.83113657587420242</v>
      </c>
      <c r="P13" s="592">
        <f t="shared" si="6"/>
        <v>1.059102964180503</v>
      </c>
      <c r="Q13" s="592"/>
      <c r="R13" s="592">
        <f>(L13*M13*N13*O13*P13)^(1/5)-1</f>
        <v>0.24558575812185102</v>
      </c>
      <c r="S13" s="592"/>
      <c r="T13" s="592"/>
      <c r="U13" s="592">
        <f>U8/P8</f>
        <v>0.85644488845487499</v>
      </c>
      <c r="V13" s="592">
        <f t="shared" ref="V13:Y15" si="7">V8/U8</f>
        <v>0.88523366749489707</v>
      </c>
      <c r="W13" s="592">
        <f t="shared" si="7"/>
        <v>2.1401440328709413</v>
      </c>
      <c r="X13" s="592">
        <f t="shared" si="7"/>
        <v>0.76587240619682584</v>
      </c>
      <c r="Y13" s="592">
        <f t="shared" si="7"/>
        <v>1.1963368587655154</v>
      </c>
      <c r="Z13" s="592"/>
      <c r="AA13" s="592">
        <f>(U13*V13*W13*X13*Y13)^(1/5)-1</f>
        <v>8.2535259107511028E-2</v>
      </c>
      <c r="AB13" s="592"/>
      <c r="AC13" s="592"/>
      <c r="AD13" s="1044"/>
    </row>
    <row r="14" spans="1:99" s="578" customFormat="1">
      <c r="A14" s="1131">
        <v>1</v>
      </c>
      <c r="B14" s="604" t="s">
        <v>610</v>
      </c>
      <c r="C14" s="501"/>
      <c r="D14" s="501">
        <f t="shared" si="5"/>
        <v>1.670564620710653</v>
      </c>
      <c r="E14" s="501">
        <f t="shared" si="5"/>
        <v>1.1290838643482017</v>
      </c>
      <c r="F14" s="501">
        <f t="shared" si="5"/>
        <v>0.92749914806865674</v>
      </c>
      <c r="G14" s="501">
        <f t="shared" si="5"/>
        <v>0.53020497615057371</v>
      </c>
      <c r="H14" s="501">
        <f t="shared" si="5"/>
        <v>0.92692326395642866</v>
      </c>
      <c r="I14" s="501"/>
      <c r="J14" s="501">
        <f>(D14*E14*F14*G14*H14)^(1/5)-1</f>
        <v>-2.9762365748168484E-2</v>
      </c>
      <c r="K14" s="501"/>
      <c r="L14" s="388">
        <f>L9/H9</f>
        <v>0.70396747327693621</v>
      </c>
      <c r="M14" s="388">
        <f t="shared" si="6"/>
        <v>2.9496404218057162</v>
      </c>
      <c r="N14" s="501">
        <f t="shared" si="6"/>
        <v>1.0010737814160018</v>
      </c>
      <c r="O14" s="501">
        <f t="shared" si="6"/>
        <v>1.4989494539053183</v>
      </c>
      <c r="P14" s="501">
        <f>P9/O9</f>
        <v>1.7955987153097863</v>
      </c>
      <c r="Q14" s="501"/>
      <c r="R14" s="501">
        <f>(L14*M14*N14*O14*P14)^(1/5)-1</f>
        <v>0.41109679721259784</v>
      </c>
      <c r="S14" s="501"/>
      <c r="T14" s="501"/>
      <c r="U14" s="501">
        <f>U9/P9</f>
        <v>0</v>
      </c>
      <c r="V14" s="501" t="e">
        <f>V9/U9</f>
        <v>#DIV/0!</v>
      </c>
      <c r="W14" s="501" t="e">
        <f>W9/V9</f>
        <v>#DIV/0!</v>
      </c>
      <c r="X14" s="501">
        <f t="shared" ref="X14" si="8">X9/W9</f>
        <v>0</v>
      </c>
      <c r="Y14" s="501" t="e">
        <f t="shared" ref="Y14" si="9">Y9/X9</f>
        <v>#DIV/0!</v>
      </c>
      <c r="Z14" s="501"/>
      <c r="AA14" s="501" t="e">
        <f>(U14*V14*W14*X14*Y14)^(1/5)-1</f>
        <v>#DIV/0!</v>
      </c>
      <c r="AB14" s="501"/>
      <c r="AC14" s="501"/>
      <c r="AD14" s="500"/>
    </row>
    <row r="15" spans="1:99" s="578" customFormat="1" ht="31.2">
      <c r="A15" s="1131">
        <v>2</v>
      </c>
      <c r="B15" s="604" t="s">
        <v>1756</v>
      </c>
      <c r="C15" s="501"/>
      <c r="D15" s="501">
        <f t="shared" si="5"/>
        <v>1.2683640459624854</v>
      </c>
      <c r="E15" s="501">
        <f t="shared" si="5"/>
        <v>1.4047896247360157</v>
      </c>
      <c r="F15" s="501">
        <f t="shared" si="5"/>
        <v>1.1928707031965231</v>
      </c>
      <c r="G15" s="501">
        <f t="shared" si="5"/>
        <v>0.72587673590072954</v>
      </c>
      <c r="H15" s="501">
        <f t="shared" si="5"/>
        <v>1.0185439927346547</v>
      </c>
      <c r="I15" s="501"/>
      <c r="J15" s="501">
        <f>(D15*E15*F15*G15*H15)^(1/5)-1</f>
        <v>9.4607075565009691E-2</v>
      </c>
      <c r="K15" s="501"/>
      <c r="L15" s="388">
        <f>L10/H10</f>
        <v>1.5454460026180814</v>
      </c>
      <c r="M15" s="388">
        <f>M10/L10</f>
        <v>0.82516940620156798</v>
      </c>
      <c r="N15" s="501">
        <f>N10/M10</f>
        <v>2.5767676594577922</v>
      </c>
      <c r="O15" s="501">
        <f>O10/N10</f>
        <v>0.56508209706134482</v>
      </c>
      <c r="P15" s="501">
        <f>P10/O10</f>
        <v>1.0669849026226221</v>
      </c>
      <c r="Q15" s="501"/>
      <c r="R15" s="501">
        <f>(L15*M15*N15*O15*P15)^(1/5)-1</f>
        <v>0.14653787900377169</v>
      </c>
      <c r="S15" s="501"/>
      <c r="T15" s="501"/>
      <c r="U15" s="501">
        <f>U10/P10</f>
        <v>1.3940260313258328</v>
      </c>
      <c r="V15" s="501">
        <f t="shared" si="7"/>
        <v>0.89173809011381333</v>
      </c>
      <c r="W15" s="501">
        <f t="shared" si="7"/>
        <v>2.0282165039929017</v>
      </c>
      <c r="X15" s="501">
        <f t="shared" si="7"/>
        <v>0.7938100446233266</v>
      </c>
      <c r="Y15" s="501">
        <f t="shared" si="7"/>
        <v>1.2152168294028463</v>
      </c>
      <c r="Z15" s="501"/>
      <c r="AA15" s="501">
        <f>(U15*V15*W15*X15*Y15)^(1/5)-1</f>
        <v>0.19453416568643633</v>
      </c>
      <c r="AB15" s="501"/>
      <c r="AC15" s="501"/>
      <c r="AD15" s="500"/>
    </row>
    <row r="16" spans="1:99" s="578" customFormat="1" ht="31.2">
      <c r="A16" s="1131">
        <v>3</v>
      </c>
      <c r="B16" s="604" t="s">
        <v>1757</v>
      </c>
      <c r="C16" s="501"/>
      <c r="D16" s="501"/>
      <c r="E16" s="501"/>
      <c r="F16" s="501"/>
      <c r="G16" s="501"/>
      <c r="H16" s="501"/>
      <c r="I16" s="501"/>
      <c r="J16" s="501"/>
      <c r="K16" s="501"/>
      <c r="L16" s="388" t="e">
        <f t="shared" ref="L16:L17" si="10">L11/H11</f>
        <v>#DIV/0!</v>
      </c>
      <c r="M16" s="388" t="e">
        <f t="shared" ref="M16:P16" si="11">M11/L11</f>
        <v>#DIV/0!</v>
      </c>
      <c r="N16" s="501" t="e">
        <f t="shared" si="11"/>
        <v>#DIV/0!</v>
      </c>
      <c r="O16" s="501">
        <f>O11/N11</f>
        <v>2.7152929875120075</v>
      </c>
      <c r="P16" s="501">
        <f t="shared" si="11"/>
        <v>0.63064248702219139</v>
      </c>
      <c r="Q16" s="501"/>
      <c r="R16" s="501"/>
      <c r="S16" s="501"/>
      <c r="T16" s="501"/>
      <c r="U16" s="501">
        <f>U11/P11</f>
        <v>0.40005535027749939</v>
      </c>
      <c r="V16" s="501">
        <f t="shared" ref="V16:V17" si="12">V11/U11</f>
        <v>0.80838552865289337</v>
      </c>
      <c r="W16" s="501">
        <f t="shared" ref="W16:W17" si="13">W11/V11</f>
        <v>2.0704266071490522</v>
      </c>
      <c r="X16" s="501">
        <f t="shared" ref="X16:X17" si="14">X11/W11</f>
        <v>0.97458053128979649</v>
      </c>
      <c r="Y16" s="501">
        <f t="shared" ref="Y16:Y17" si="15">Y11/X11</f>
        <v>1.0000017193455024</v>
      </c>
      <c r="Z16" s="501"/>
      <c r="AA16" s="501">
        <f t="shared" ref="AA16:AA17" si="16">(U16*V16*W16*X16*Y16)^(1/5)-1</f>
        <v>-8.1829391814919883E-2</v>
      </c>
      <c r="AB16" s="501"/>
      <c r="AC16" s="501"/>
      <c r="AD16" s="500"/>
    </row>
    <row r="17" spans="1:30" s="578" customFormat="1">
      <c r="A17" s="1131">
        <v>4</v>
      </c>
      <c r="B17" s="604" t="s">
        <v>1758</v>
      </c>
      <c r="C17" s="501"/>
      <c r="D17" s="501"/>
      <c r="E17" s="501"/>
      <c r="F17" s="501"/>
      <c r="G17" s="501"/>
      <c r="H17" s="501"/>
      <c r="I17" s="501"/>
      <c r="J17" s="501"/>
      <c r="K17" s="501"/>
      <c r="L17" s="388" t="e">
        <f t="shared" si="10"/>
        <v>#DIV/0!</v>
      </c>
      <c r="M17" s="388" t="e">
        <f t="shared" ref="M17:P17" si="17">M12/L12</f>
        <v>#DIV/0!</v>
      </c>
      <c r="N17" s="501" t="e">
        <f t="shared" si="17"/>
        <v>#DIV/0!</v>
      </c>
      <c r="O17" s="501" t="e">
        <f t="shared" si="17"/>
        <v>#DIV/0!</v>
      </c>
      <c r="P17" s="501" t="e">
        <f t="shared" si="17"/>
        <v>#DIV/0!</v>
      </c>
      <c r="Q17" s="501"/>
      <c r="R17" s="501"/>
      <c r="S17" s="501"/>
      <c r="T17" s="501"/>
      <c r="U17" s="501" t="e">
        <f>U12/P12</f>
        <v>#DIV/0!</v>
      </c>
      <c r="V17" s="501" t="e">
        <f t="shared" si="12"/>
        <v>#DIV/0!</v>
      </c>
      <c r="W17" s="501" t="e">
        <f t="shared" si="13"/>
        <v>#DIV/0!</v>
      </c>
      <c r="X17" s="501" t="e">
        <f t="shared" si="14"/>
        <v>#DIV/0!</v>
      </c>
      <c r="Y17" s="501" t="e">
        <f t="shared" si="15"/>
        <v>#DIV/0!</v>
      </c>
      <c r="Z17" s="501"/>
      <c r="AA17" s="501" t="e">
        <f t="shared" si="16"/>
        <v>#DIV/0!</v>
      </c>
      <c r="AB17" s="501"/>
      <c r="AC17" s="501"/>
      <c r="AD17" s="500"/>
    </row>
    <row r="18" spans="1:30" s="314" customFormat="1">
      <c r="A18" s="1125" t="s">
        <v>26</v>
      </c>
      <c r="B18" s="591" t="s">
        <v>639</v>
      </c>
      <c r="C18" s="591"/>
      <c r="D18" s="591"/>
      <c r="E18" s="591"/>
      <c r="F18" s="591"/>
      <c r="G18" s="591"/>
      <c r="H18" s="591"/>
      <c r="I18" s="591">
        <f>SUM(I19:I20)</f>
        <v>609000</v>
      </c>
      <c r="J18" s="592"/>
      <c r="K18" s="592">
        <f>I18/$I$18</f>
        <v>1</v>
      </c>
      <c r="L18" s="442"/>
      <c r="M18" s="442"/>
      <c r="N18" s="591"/>
      <c r="O18" s="591"/>
      <c r="P18" s="591"/>
      <c r="Q18" s="591">
        <f>SUM(Q19:Q20)</f>
        <v>1117000</v>
      </c>
      <c r="R18" s="592"/>
      <c r="S18" s="592"/>
      <c r="T18" s="592">
        <f>Q18/I18-1</f>
        <v>0.8341543513957308</v>
      </c>
      <c r="U18" s="591"/>
      <c r="V18" s="591"/>
      <c r="W18" s="591"/>
      <c r="X18" s="591"/>
      <c r="Y18" s="591"/>
      <c r="Z18" s="591">
        <f>SUM(Z19:Z20)</f>
        <v>1871000</v>
      </c>
      <c r="AA18" s="592"/>
      <c r="AB18" s="592"/>
      <c r="AC18" s="592"/>
      <c r="AD18" s="1044"/>
    </row>
    <row r="19" spans="1:30" s="578" customFormat="1">
      <c r="A19" s="1131">
        <v>1</v>
      </c>
      <c r="B19" s="604" t="s">
        <v>610</v>
      </c>
      <c r="C19" s="506"/>
      <c r="D19" s="506"/>
      <c r="E19" s="506"/>
      <c r="F19" s="506"/>
      <c r="G19" s="506"/>
      <c r="H19" s="506"/>
      <c r="I19" s="506">
        <f>ROUND(AVERAGE(D9:H9),-3)</f>
        <v>126000</v>
      </c>
      <c r="J19" s="501"/>
      <c r="K19" s="501">
        <f>I19/$I$18</f>
        <v>0.20689655172413793</v>
      </c>
      <c r="L19" s="485"/>
      <c r="M19" s="485"/>
      <c r="N19" s="506"/>
      <c r="O19" s="506"/>
      <c r="P19" s="506"/>
      <c r="Q19" s="591">
        <f>ROUND(AVERAGE(L9:P9),-3)</f>
        <v>207000</v>
      </c>
      <c r="R19" s="501"/>
      <c r="S19" s="501"/>
      <c r="T19" s="501">
        <f>Q19/I19-1</f>
        <v>0.64285714285714279</v>
      </c>
      <c r="U19" s="506"/>
      <c r="V19" s="506"/>
      <c r="W19" s="506"/>
      <c r="X19" s="506"/>
      <c r="Y19" s="506"/>
      <c r="Z19" s="506">
        <f>ROUND(AVERAGE(U9:Y9),-3)</f>
        <v>132000</v>
      </c>
      <c r="AA19" s="501"/>
      <c r="AB19" s="501"/>
      <c r="AC19" s="501">
        <f>Z19/Q19-1</f>
        <v>-0.3623188405797102</v>
      </c>
      <c r="AD19" s="500"/>
    </row>
    <row r="20" spans="1:30" s="578" customFormat="1" ht="31.2">
      <c r="A20" s="1131">
        <v>2</v>
      </c>
      <c r="B20" s="604" t="s">
        <v>1756</v>
      </c>
      <c r="C20" s="506"/>
      <c r="D20" s="506"/>
      <c r="E20" s="506"/>
      <c r="F20" s="506"/>
      <c r="G20" s="506"/>
      <c r="H20" s="506"/>
      <c r="I20" s="506">
        <f>ROUND(AVERAGE(D10:H10),-3)</f>
        <v>483000</v>
      </c>
      <c r="J20" s="501"/>
      <c r="K20" s="501">
        <f>I20/$I$18</f>
        <v>0.7931034482758621</v>
      </c>
      <c r="L20" s="485"/>
      <c r="M20" s="485"/>
      <c r="N20" s="506"/>
      <c r="O20" s="506"/>
      <c r="P20" s="506"/>
      <c r="Q20" s="591">
        <f>ROUND(AVERAGE(L10:P10),-3)</f>
        <v>910000</v>
      </c>
      <c r="R20" s="501"/>
      <c r="S20" s="501"/>
      <c r="T20" s="501">
        <f>Q20/I20-1</f>
        <v>0.88405797101449268</v>
      </c>
      <c r="U20" s="506"/>
      <c r="V20" s="506"/>
      <c r="W20" s="506"/>
      <c r="X20" s="506"/>
      <c r="Y20" s="506"/>
      <c r="Z20" s="506">
        <f>ROUND(AVERAGE(U10:Y10),-3)</f>
        <v>1739000</v>
      </c>
      <c r="AA20" s="501"/>
      <c r="AB20" s="501"/>
      <c r="AC20" s="501">
        <f>Z20/Q20-1</f>
        <v>0.91098901098901108</v>
      </c>
      <c r="AD20" s="500"/>
    </row>
    <row r="21" spans="1:30" s="578" customFormat="1" ht="31.2">
      <c r="A21" s="1131">
        <v>3</v>
      </c>
      <c r="B21" s="604" t="s">
        <v>1757</v>
      </c>
      <c r="C21" s="500"/>
      <c r="D21" s="500"/>
      <c r="E21" s="500"/>
      <c r="F21" s="500"/>
      <c r="G21" s="500"/>
      <c r="H21" s="500"/>
      <c r="I21" s="500"/>
      <c r="J21" s="500"/>
      <c r="K21" s="500"/>
      <c r="L21" s="457"/>
      <c r="M21" s="457"/>
      <c r="N21" s="500"/>
      <c r="O21" s="500"/>
      <c r="P21" s="500"/>
      <c r="Q21" s="500"/>
      <c r="R21" s="500"/>
      <c r="S21" s="500"/>
      <c r="T21" s="500"/>
      <c r="U21" s="500"/>
      <c r="V21" s="500"/>
      <c r="W21" s="500"/>
      <c r="X21" s="500"/>
      <c r="Y21" s="500"/>
      <c r="Z21" s="506">
        <f t="shared" ref="Z21:Z22" si="18">ROUND(AVERAGE(U11:Y11),-3)</f>
        <v>144000</v>
      </c>
      <c r="AA21" s="500"/>
      <c r="AB21" s="500"/>
      <c r="AC21" s="501" t="e">
        <f t="shared" ref="AC21:AC22" si="19">Z21/Q21-1</f>
        <v>#DIV/0!</v>
      </c>
      <c r="AD21" s="500"/>
    </row>
    <row r="22" spans="1:30" s="578" customFormat="1">
      <c r="A22" s="1791">
        <v>4</v>
      </c>
      <c r="B22" s="721" t="s">
        <v>1758</v>
      </c>
      <c r="C22" s="1792"/>
      <c r="D22" s="1792"/>
      <c r="E22" s="1792"/>
      <c r="F22" s="1792"/>
      <c r="G22" s="1792"/>
      <c r="H22" s="1792"/>
      <c r="I22" s="1792"/>
      <c r="J22" s="1792"/>
      <c r="K22" s="1792"/>
      <c r="L22" s="1795"/>
      <c r="M22" s="1795"/>
      <c r="N22" s="1792"/>
      <c r="O22" s="1792"/>
      <c r="P22" s="1792"/>
      <c r="Q22" s="1792"/>
      <c r="R22" s="1793"/>
      <c r="S22" s="1792"/>
      <c r="T22" s="1792"/>
      <c r="U22" s="1792"/>
      <c r="V22" s="1792"/>
      <c r="W22" s="1792"/>
      <c r="X22" s="1792"/>
      <c r="Y22" s="1792"/>
      <c r="Z22" s="1796">
        <f t="shared" si="18"/>
        <v>0</v>
      </c>
      <c r="AA22" s="1792"/>
      <c r="AB22" s="1792"/>
      <c r="AC22" s="534" t="e">
        <f t="shared" si="19"/>
        <v>#DIV/0!</v>
      </c>
      <c r="AD22" s="1792"/>
    </row>
  </sheetData>
  <mergeCells count="31">
    <mergeCell ref="AD5:AD6"/>
    <mergeCell ref="A2:AC2"/>
    <mergeCell ref="A5:A6"/>
    <mergeCell ref="B5:B6"/>
    <mergeCell ref="C5:C6"/>
    <mergeCell ref="D5:D6"/>
    <mergeCell ref="E5:E6"/>
    <mergeCell ref="F5:F6"/>
    <mergeCell ref="G5:G6"/>
    <mergeCell ref="H5:H6"/>
    <mergeCell ref="I5:I6"/>
    <mergeCell ref="U5:U6"/>
    <mergeCell ref="J5:J6"/>
    <mergeCell ref="K5:K6"/>
    <mergeCell ref="L5:L6"/>
    <mergeCell ref="M5:M6"/>
    <mergeCell ref="N5:N6"/>
    <mergeCell ref="O5:O6"/>
    <mergeCell ref="P5:P6"/>
    <mergeCell ref="Q5:Q6"/>
    <mergeCell ref="R5:R6"/>
    <mergeCell ref="S5:S6"/>
    <mergeCell ref="T5:T6"/>
    <mergeCell ref="AB5:AB6"/>
    <mergeCell ref="AC5:AC6"/>
    <mergeCell ref="V5:V6"/>
    <mergeCell ref="W5:W6"/>
    <mergeCell ref="X5:X6"/>
    <mergeCell ref="Y5:Y6"/>
    <mergeCell ref="Z5:Z6"/>
    <mergeCell ref="AA5:AA6"/>
  </mergeCells>
  <hyperlinks>
    <hyperlink ref="A5:A6" location="'List danh mục'!A1" display="SỐ TT"/>
  </hyperlinks>
  <pageMargins left="0.7" right="0.7" top="0.75" bottom="0.75" header="0.3" footer="0.3"/>
  <legacy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E37"/>
  <sheetViews>
    <sheetView topLeftCell="A18" workbookViewId="0">
      <selection activeCell="D59" sqref="D59"/>
    </sheetView>
  </sheetViews>
  <sheetFormatPr defaultColWidth="9" defaultRowHeight="18"/>
  <cols>
    <col min="1" max="1" width="5.69921875" style="37" customWidth="1"/>
    <col min="2" max="2" width="60.19921875" style="37" customWidth="1"/>
    <col min="3" max="5" width="12.69921875" style="37" customWidth="1"/>
    <col min="6" max="16384" width="9" style="37"/>
  </cols>
  <sheetData>
    <row r="1" spans="1:5">
      <c r="A1" s="4475" t="s">
        <v>2386</v>
      </c>
      <c r="B1" s="4514"/>
      <c r="C1" s="4514"/>
      <c r="D1" s="4514"/>
      <c r="E1" s="4514"/>
    </row>
    <row r="2" spans="1:5">
      <c r="A2" s="4515" t="str">
        <f>'Phụ lục 7-HĐND'!A2</f>
        <v>(Kèm Theo Nghị quyết số         /NQ-HĐND ngày     /12/2023 của Hội đồng nhân dân Tỉnh)</v>
      </c>
      <c r="B2" s="4514"/>
      <c r="C2" s="4514"/>
      <c r="D2" s="4514"/>
      <c r="E2" s="4514"/>
    </row>
    <row r="3" spans="1:5">
      <c r="A3" s="70"/>
      <c r="B3" s="2207"/>
      <c r="C3" s="2207"/>
      <c r="D3" s="2207"/>
      <c r="E3" s="2207"/>
    </row>
    <row r="4" spans="1:5" ht="18.600000000000001" thickBot="1">
      <c r="B4" s="4516" t="s">
        <v>64</v>
      </c>
      <c r="C4" s="4516"/>
      <c r="D4" s="4516"/>
      <c r="E4" s="4516"/>
    </row>
    <row r="5" spans="1:5" s="70" customFormat="1" thickTop="1">
      <c r="A5" s="4731" t="s">
        <v>244</v>
      </c>
      <c r="B5" s="4519" t="s">
        <v>326</v>
      </c>
      <c r="C5" s="4519" t="s">
        <v>1700</v>
      </c>
      <c r="D5" s="4519" t="s">
        <v>327</v>
      </c>
      <c r="E5" s="4520"/>
    </row>
    <row r="6" spans="1:5" s="70" customFormat="1" ht="52.2">
      <c r="A6" s="4732"/>
      <c r="B6" s="4318"/>
      <c r="C6" s="4318"/>
      <c r="D6" s="2304" t="s">
        <v>328</v>
      </c>
      <c r="E6" s="2957" t="s">
        <v>329</v>
      </c>
    </row>
    <row r="7" spans="1:5" ht="52.2">
      <c r="A7" s="2958"/>
      <c r="B7" s="3561" t="str">
        <f>'Phụ lục số 8'!B7</f>
        <v>BỔ SUNG CÓ MỤC TIÊU TỪ NGÂN SÁCH TRUNG ƯƠNG ĐỂ THỰC HIỆN CÁC MỤC TIÊU, NHIỆM VỤ QUAN TRỌNG (I+II)</v>
      </c>
      <c r="C7" s="3300">
        <f>C8</f>
        <v>1988976</v>
      </c>
      <c r="D7" s="3300">
        <f>D8</f>
        <v>1814491</v>
      </c>
      <c r="E7" s="3299">
        <f>E8</f>
        <v>174485</v>
      </c>
    </row>
    <row r="8" spans="1:5" ht="36" customHeight="1">
      <c r="A8" s="2961" t="str">
        <f>'Phụ lục số 8'!A8</f>
        <v>I</v>
      </c>
      <c r="B8" s="3554" t="str">
        <f>'Phụ lục số 8'!B8</f>
        <v>Đầu tư phát triển từ nguồn ngân sách trung ương bổ sung có mục tiêu</v>
      </c>
      <c r="C8" s="2305">
        <f>SUM(C9,C12)</f>
        <v>1988976</v>
      </c>
      <c r="D8" s="2305">
        <f>SUM(D9,D12)</f>
        <v>1814491</v>
      </c>
      <c r="E8" s="3299">
        <f>SUM(E9,E12)</f>
        <v>174485</v>
      </c>
    </row>
    <row r="9" spans="1:5" ht="36" customHeight="1">
      <c r="A9" s="3560">
        <f>'Phụ lục số 8'!A9</f>
        <v>1</v>
      </c>
      <c r="B9" s="3556" t="str">
        <f>'Phụ lục số 8'!B9</f>
        <v>Bổ sung vốn đầu tư theo ngành, lĩnh vực (vốn ngoài nước)</v>
      </c>
      <c r="C9" s="2313">
        <f>SUM(D9:E9)</f>
        <v>85000</v>
      </c>
      <c r="D9" s="2313">
        <f>'Phụ lục số 8'!D9</f>
        <v>85000</v>
      </c>
      <c r="E9" s="2962">
        <f>'Phụ lục số 8'!E9</f>
        <v>0</v>
      </c>
    </row>
    <row r="10" spans="1:5" ht="36" hidden="1" customHeight="1">
      <c r="A10" s="3560"/>
      <c r="B10" s="3556" t="str">
        <f>'Phụ lục số 8'!B10</f>
        <v>Trong đó:</v>
      </c>
      <c r="C10" s="2313"/>
      <c r="D10" s="2313"/>
      <c r="E10" s="2968"/>
    </row>
    <row r="11" spans="1:5" s="47" customFormat="1" ht="36" hidden="1" customHeight="1">
      <c r="A11" s="2964"/>
      <c r="B11" s="3555" t="str">
        <f>'Phụ lục số 8'!B11</f>
        <v>Chương trình mục tiêu ứng phó biến đổi khí hậu và tăng trưởng xanh (giải ngân theo cơ chế tài chính trong nước)</v>
      </c>
      <c r="C11" s="2310">
        <f>SUM(D11:E11)</f>
        <v>0</v>
      </c>
      <c r="D11" s="2310"/>
      <c r="E11" s="2962"/>
    </row>
    <row r="12" spans="1:5" ht="36" customHeight="1">
      <c r="A12" s="3314">
        <f>'Phụ lục số 8'!A12</f>
        <v>2</v>
      </c>
      <c r="B12" s="3556" t="str">
        <f>'Phụ lục số 8'!B12</f>
        <v>Bổ sung vốn đầu tư theo ngành, lĩnh vực (vốn trong nước)</v>
      </c>
      <c r="C12" s="2313">
        <f>C13+C19+C29</f>
        <v>1903976</v>
      </c>
      <c r="D12" s="2313">
        <f>D13+D19+D29</f>
        <v>1729491</v>
      </c>
      <c r="E12" s="2968">
        <f t="shared" ref="E12" si="0">E13+E19+E29</f>
        <v>174485</v>
      </c>
    </row>
    <row r="13" spans="1:5" s="48" customFormat="1" ht="36" customHeight="1">
      <c r="A13" s="2966" t="str">
        <f>'Phụ lục số 8'!A13</f>
        <v>2.1</v>
      </c>
      <c r="B13" s="3554" t="str">
        <f>'Phụ lục số 8'!B13</f>
        <v>Bổ sung vốn đầu tư để thực hiện các chương trình, mục tiêu nhiệm vụ</v>
      </c>
      <c r="C13" s="2314">
        <f>SUM(D13:E13)</f>
        <v>1596570</v>
      </c>
      <c r="D13" s="2314">
        <f>'Phụ lục số 8'!D13</f>
        <v>1596570</v>
      </c>
      <c r="E13" s="2963">
        <f>'Phụ lục số 8'!E13</f>
        <v>0</v>
      </c>
    </row>
    <row r="14" spans="1:5" ht="36" customHeight="1">
      <c r="A14" s="2966"/>
      <c r="B14" s="3556" t="str">
        <f>'Phụ lục số 8'!B14</f>
        <v>Trong đó:</v>
      </c>
      <c r="C14" s="2313"/>
      <c r="D14" s="2313"/>
      <c r="E14" s="2968"/>
    </row>
    <row r="15" spans="1:5" s="47" customFormat="1" ht="36" customHeight="1">
      <c r="A15" s="3314" t="str">
        <f>'Phụ lục số 8'!A15</f>
        <v>2.1.1</v>
      </c>
      <c r="B15" s="3556" t="str">
        <f>'Phụ lục số 8'!B15</f>
        <v>Đầu tư các dự án theo ngành, lĩnh vực và Chương trình phục hồi phát triển kinh tế - xã hội</v>
      </c>
      <c r="C15" s="2313">
        <f>SUM(D15:E15)</f>
        <v>558070</v>
      </c>
      <c r="D15" s="3895">
        <f>'Phụ lục số 8'!D15</f>
        <v>558070</v>
      </c>
      <c r="E15" s="2962">
        <f>'Phụ lục số 8'!E15</f>
        <v>0</v>
      </c>
    </row>
    <row r="16" spans="1:5" s="47" customFormat="1" ht="36" hidden="1" customHeight="1">
      <c r="A16" s="3553"/>
      <c r="B16" s="3555" t="str">
        <f>'Phụ lục số 8'!B16</f>
        <v>Thu hồi các khoản vốn ứng trước của các chương trình mục tiêu (số vốn thiểu địa phương phải bố trí)</v>
      </c>
      <c r="C16" s="2310">
        <f>SUM(D16:E16)</f>
        <v>0</v>
      </c>
      <c r="D16" s="3896">
        <f>'Phụ lục số 8'!D16</f>
        <v>0</v>
      </c>
      <c r="E16" s="2962">
        <f>'Phụ lục số 8'!E16</f>
        <v>0</v>
      </c>
    </row>
    <row r="17" spans="1:5" ht="36" customHeight="1">
      <c r="A17" s="3314" t="str">
        <f>'Phụ lục số 8'!A17</f>
        <v>2.1.2</v>
      </c>
      <c r="B17" s="3556" t="str">
        <f>'Phụ lục số 8'!B17</f>
        <v>Dự án quan trọng quốc gia, đường bộ cao tốc</v>
      </c>
      <c r="C17" s="2313">
        <f>SUM(D17:E17)</f>
        <v>882000</v>
      </c>
      <c r="D17" s="3895">
        <f>'Phụ lục số 8'!D17</f>
        <v>882000</v>
      </c>
      <c r="E17" s="2968">
        <f>'Phụ lục số 8'!E17</f>
        <v>0</v>
      </c>
    </row>
    <row r="18" spans="1:5" ht="36" customHeight="1">
      <c r="A18" s="3314" t="str">
        <f>'Phụ lục số 8'!A18</f>
        <v>2.1.3</v>
      </c>
      <c r="B18" s="3556" t="str">
        <f>'Phụ lục số 8'!B18</f>
        <v>Dự án trọng điểm, liên vùng, đường ven biển</v>
      </c>
      <c r="C18" s="2313">
        <f>SUM(D18:E18)</f>
        <v>156500</v>
      </c>
      <c r="D18" s="3895">
        <f>'Phụ lục số 8'!D18</f>
        <v>156500</v>
      </c>
      <c r="E18" s="2968"/>
    </row>
    <row r="19" spans="1:5" s="48" customFormat="1" ht="36" customHeight="1">
      <c r="A19" s="2966" t="str">
        <f>'Phụ lục số 8'!A19</f>
        <v>2.2</v>
      </c>
      <c r="B19" s="3554" t="str">
        <f>'Phụ lục số 8'!B19</f>
        <v>Vốn thực hiện 03 chương trình mục tiêu quốc gia</v>
      </c>
      <c r="C19" s="2314">
        <f>SUM(C20,C26,C27)</f>
        <v>234937</v>
      </c>
      <c r="D19" s="2314">
        <f>SUM(D20,D26,D27)</f>
        <v>132921</v>
      </c>
      <c r="E19" s="2967">
        <f t="shared" ref="E19" si="1">SUM(E20,E26,E27)</f>
        <v>102016</v>
      </c>
    </row>
    <row r="20" spans="1:5" ht="36" customHeight="1">
      <c r="A20" s="3314" t="str">
        <f>'Phụ lục số 8'!A20</f>
        <v>2.2.1</v>
      </c>
      <c r="B20" s="3556" t="str">
        <f>'Phụ lục số 8'!B20</f>
        <v>Chương trình mục tiêu quốc gia giảm nghèo bền vững</v>
      </c>
      <c r="C20" s="2313">
        <f>SUM(D20:E20)</f>
        <v>70871</v>
      </c>
      <c r="D20" s="2313">
        <f>SUM(D21:D25)+'Phụ lục số 8'!D20</f>
        <v>5216</v>
      </c>
      <c r="E20" s="2968">
        <f>SUM(E21:E25)</f>
        <v>65655</v>
      </c>
    </row>
    <row r="21" spans="1:5" s="2406" customFormat="1" ht="36" customHeight="1">
      <c r="A21" s="3897" t="str">
        <f>'Phụ lục số 8'!A21</f>
        <v>a</v>
      </c>
      <c r="B21" s="3898" t="str">
        <f>'Phụ lục số 8'!B21</f>
        <v>Dự án 2: Đa dạng hóa sinh kế, phát triển mô hình giảm nghèo (các hoạt động kinh tế); 25.125 triệu đồng</v>
      </c>
      <c r="C21" s="3899">
        <f>SUM(D21:E21)</f>
        <v>25125</v>
      </c>
      <c r="D21" s="3899">
        <f>'Phụ lục số 8'!D21</f>
        <v>0</v>
      </c>
      <c r="E21" s="3900">
        <f>'Phụ lục số 8'!E21</f>
        <v>25125</v>
      </c>
    </row>
    <row r="22" spans="1:5" s="2406" customFormat="1" ht="36" customHeight="1">
      <c r="A22" s="3897" t="str">
        <f>'Phụ lục số 8'!A22</f>
        <v>b</v>
      </c>
      <c r="B22" s="3898" t="str">
        <f>'Phụ lục số 8'!B22</f>
        <v>Dự án 3: Hỗ trợ phát triển sản xuất, cải thiện dinh dưỡng (sự nghiệp y tế, dân số và gia đình: 4.025 triệu đồng; các hoạt động kinh tế: 10.387 triệu đồng)</v>
      </c>
      <c r="C22" s="3899">
        <f t="shared" ref="C22:C25" si="2">SUM(D22:E22)</f>
        <v>14412</v>
      </c>
      <c r="D22" s="3899">
        <f>'Phụ lục số 8'!D22</f>
        <v>0</v>
      </c>
      <c r="E22" s="3900">
        <f>'Phụ lục số 8'!E22</f>
        <v>14412</v>
      </c>
    </row>
    <row r="23" spans="1:5" s="2406" customFormat="1" ht="36" customHeight="1">
      <c r="A23" s="3897" t="str">
        <f>'Phụ lục số 8'!A23</f>
        <v>c</v>
      </c>
      <c r="B23" s="3898" t="str">
        <f>'Phụ lục số 8'!B23</f>
        <v xml:space="preserve">Dự án 4: Phát triển giáo dục nghề nghiệp, việc làm bền vững (sự nghiệp giáo dục-đào tạo và dạy nghề 2.237 triệu đồng; các hoạt động kinh tế 9.941 triệu đồng) </v>
      </c>
      <c r="C23" s="3899">
        <f t="shared" si="2"/>
        <v>12178</v>
      </c>
      <c r="D23" s="3899">
        <f>'Phụ lục số 8'!D23</f>
        <v>0</v>
      </c>
      <c r="E23" s="3900">
        <f>'Phụ lục số 8'!E23</f>
        <v>12178</v>
      </c>
    </row>
    <row r="24" spans="1:5" s="2406" customFormat="1" ht="36" customHeight="1">
      <c r="A24" s="3897" t="str">
        <f>'Phụ lục số 8'!A24</f>
        <v>d</v>
      </c>
      <c r="B24" s="3898" t="str">
        <f>'Phụ lục số 8'!B24</f>
        <v>Dự án 6: Truyền thông và giảm nghèo về thông tin (sự nghiệp văn hóa thông tin); 6.372 triệu đồng</v>
      </c>
      <c r="C24" s="3899">
        <f t="shared" si="2"/>
        <v>6372</v>
      </c>
      <c r="D24" s="3899">
        <f>'Phụ lục số 8'!D24</f>
        <v>0</v>
      </c>
      <c r="E24" s="3900">
        <f>'Phụ lục số 8'!E24</f>
        <v>6372</v>
      </c>
    </row>
    <row r="25" spans="1:5" s="2406" customFormat="1" ht="36" customHeight="1">
      <c r="A25" s="3897" t="str">
        <f>'Phụ lục số 8'!A25</f>
        <v>đ</v>
      </c>
      <c r="B25" s="3898" t="str">
        <f>'Phụ lục số 8'!B25</f>
        <v>Dự án 7: Nâng cao năng lực và giám sát, đánh giá chương trình (sự nghiệp giáo dục- đào tạo và dạy nghề); 7.568 triệu đồng</v>
      </c>
      <c r="C25" s="3899">
        <f t="shared" si="2"/>
        <v>7568</v>
      </c>
      <c r="D25" s="3899">
        <f>'Phụ lục số 8'!D25</f>
        <v>0</v>
      </c>
      <c r="E25" s="3900">
        <f>'Phụ lục số 8'!E25</f>
        <v>7568</v>
      </c>
    </row>
    <row r="26" spans="1:5" ht="36" customHeight="1">
      <c r="A26" s="2969" t="str">
        <f>'Phụ lục số 8'!A26</f>
        <v>2.2.2</v>
      </c>
      <c r="B26" s="3558" t="str">
        <f>'Phụ lục số 8'!B26</f>
        <v>Chương trình mục tiêu quốc gia xây dựng nông thôn mới</v>
      </c>
      <c r="C26" s="2317">
        <f>SUM(D26:E26)</f>
        <v>164066</v>
      </c>
      <c r="D26" s="2313">
        <f>'Phụ lục số 8'!D26</f>
        <v>127705</v>
      </c>
      <c r="E26" s="2968">
        <f>'Phụ lục số 8'!E26</f>
        <v>36361</v>
      </c>
    </row>
    <row r="27" spans="1:5" s="2" customFormat="1" ht="36" hidden="1" customHeight="1">
      <c r="A27" s="2971" t="str">
        <f>'Phụ lục số 8'!A27</f>
        <v>2.2.3</v>
      </c>
      <c r="B27" s="3557" t="str">
        <f>'Phụ lục số 8'!B27</f>
        <v>Chương trình mục tiêu quốc gia phát triển kinh tế xã hội vùng đồng bào dân tộc thiểu số và miền núi</v>
      </c>
      <c r="C27" s="2319">
        <f>SUM(D27:E27)</f>
        <v>0</v>
      </c>
      <c r="D27" s="2308">
        <v>0</v>
      </c>
      <c r="E27" s="2963">
        <f>'Phụ lục số 8'!E27</f>
        <v>0</v>
      </c>
    </row>
    <row r="28" spans="1:5" ht="36" hidden="1" customHeight="1">
      <c r="A28" s="2969"/>
      <c r="B28" s="3558"/>
      <c r="C28" s="2317"/>
      <c r="D28" s="2317"/>
      <c r="E28" s="2970"/>
    </row>
    <row r="29" spans="1:5" s="1239" customFormat="1" ht="36" customHeight="1">
      <c r="A29" s="2961" t="s">
        <v>20</v>
      </c>
      <c r="B29" s="3554" t="str">
        <f>'Phụ lục số 8'!B29</f>
        <v>Ngân sách trung ương bổ sung có mục tiêu (kinh phí sự nghiệp)</v>
      </c>
      <c r="C29" s="2305">
        <f>SUM(C30:C36)</f>
        <v>72469</v>
      </c>
      <c r="D29" s="2305">
        <f>SUM(D30:D36)</f>
        <v>0</v>
      </c>
      <c r="E29" s="2960">
        <f>SUM(E30:E36)</f>
        <v>72469</v>
      </c>
    </row>
    <row r="30" spans="1:5" s="1239" customFormat="1" ht="36" customHeight="1">
      <c r="A30" s="2972">
        <f>'Phụ lục số 8'!A30</f>
        <v>1</v>
      </c>
      <c r="B30" s="3556" t="str">
        <f>'Phụ lục số 8'!B30</f>
        <v>Kinh phí biên chế giáo viên tăng thêm (Sự nghiệp giáo dục - đào tạo)</v>
      </c>
      <c r="C30" s="2313">
        <f t="shared" ref="C30:C36" si="3">SUM(D30:E30)</f>
        <v>11626</v>
      </c>
      <c r="D30" s="2320"/>
      <c r="E30" s="2973">
        <f>'Phụ lục số 8'!E30</f>
        <v>11626</v>
      </c>
    </row>
    <row r="31" spans="1:5" s="1239" customFormat="1" ht="36" hidden="1" customHeight="1">
      <c r="A31" s="2972">
        <f>'Phụ lục số 8'!A31</f>
        <v>0</v>
      </c>
      <c r="B31" s="3556">
        <f>'Phụ lục số 8'!B31</f>
        <v>0</v>
      </c>
      <c r="C31" s="2313">
        <f t="shared" si="3"/>
        <v>0</v>
      </c>
      <c r="D31" s="2320"/>
      <c r="E31" s="2973">
        <f>'Phụ lục số 8'!E31</f>
        <v>0</v>
      </c>
    </row>
    <row r="32" spans="1:5" s="1239" customFormat="1" ht="36" hidden="1" customHeight="1">
      <c r="A32" s="2972">
        <f>'Phụ lục số 8'!A32</f>
        <v>0</v>
      </c>
      <c r="B32" s="3556">
        <f>'Phụ lục số 8'!B32</f>
        <v>0</v>
      </c>
      <c r="C32" s="2313">
        <f t="shared" si="3"/>
        <v>0</v>
      </c>
      <c r="D32" s="2320"/>
      <c r="E32" s="2973">
        <f>'Phụ lục số 8'!E32</f>
        <v>0</v>
      </c>
    </row>
    <row r="33" spans="1:5" s="1239" customFormat="1" ht="36" customHeight="1">
      <c r="A33" s="2972">
        <f>'Phụ lục số 8'!A33</f>
        <v>2</v>
      </c>
      <c r="B33" s="3556" t="str">
        <f>'Phụ lục số 8'!B33</f>
        <v>Hỗ trợ doanh nghiệp nhỏ và vừa (Các hoạt động kinh tế)</v>
      </c>
      <c r="C33" s="2313">
        <f t="shared" si="3"/>
        <v>2000</v>
      </c>
      <c r="D33" s="2313"/>
      <c r="E33" s="2973">
        <f>'Phụ lục số 8'!E33</f>
        <v>2000</v>
      </c>
    </row>
    <row r="34" spans="1:5" s="1239" customFormat="1" ht="36" customHeight="1">
      <c r="A34" s="2972">
        <f>'Phụ lục số 8'!A34</f>
        <v>3</v>
      </c>
      <c r="B34" s="3556" t="str">
        <f>'Phụ lục số 8'!B34</f>
        <v>Kinh phí thực hiện Chương trình Phát triển lâm nghiệp bền vững (Các hoạt động kinh tế)</v>
      </c>
      <c r="C34" s="2313">
        <f t="shared" si="3"/>
        <v>479</v>
      </c>
      <c r="D34" s="2313"/>
      <c r="E34" s="2973">
        <f>'Phụ lục số 8'!E34</f>
        <v>479</v>
      </c>
    </row>
    <row r="35" spans="1:5" s="1239" customFormat="1" ht="36" customHeight="1">
      <c r="A35" s="2972">
        <f>'Phụ lục số 8'!A35</f>
        <v>4</v>
      </c>
      <c r="B35" s="3556" t="str">
        <f>'Phụ lục số 8'!B35</f>
        <v>Bổ sung kinh phí thực hiện nhiệm vụ đảm bảo trật tự an toàn giao thông (Các hoạt động kinh tế)</v>
      </c>
      <c r="C35" s="2313">
        <f t="shared" si="3"/>
        <v>7106</v>
      </c>
      <c r="D35" s="2313"/>
      <c r="E35" s="2973">
        <f>'Phụ lục số 8'!E35</f>
        <v>7106</v>
      </c>
    </row>
    <row r="36" spans="1:5" s="1239" customFormat="1" ht="36" customHeight="1" thickBot="1">
      <c r="A36" s="2974">
        <f>'Phụ lục số 8'!A36</f>
        <v>5</v>
      </c>
      <c r="B36" s="3559" t="str">
        <f>'Phụ lục số 8'!B36</f>
        <v>Phí sử dụng đường bộ (Các hoạt động kinh tế)</v>
      </c>
      <c r="C36" s="2976">
        <f t="shared" si="3"/>
        <v>51258</v>
      </c>
      <c r="D36" s="2976"/>
      <c r="E36" s="2977">
        <f>'Phụ lục số 8'!E36</f>
        <v>51258</v>
      </c>
    </row>
    <row r="37" spans="1:5" ht="18.600000000000001" thickTop="1"/>
  </sheetData>
  <mergeCells count="7">
    <mergeCell ref="A1:E1"/>
    <mergeCell ref="A5:A6"/>
    <mergeCell ref="B5:B6"/>
    <mergeCell ref="C5:C6"/>
    <mergeCell ref="D5:E5"/>
    <mergeCell ref="A2:E2"/>
    <mergeCell ref="B4:E4"/>
  </mergeCells>
  <hyperlinks>
    <hyperlink ref="A5:A6" location="'List danh mục'!A1" display="STT"/>
  </hyperlinks>
  <printOptions horizontalCentered="1"/>
  <pageMargins left="0" right="0" top="0.59055118110236227" bottom="0" header="0.19685039370078741" footer="0.19685039370078741"/>
  <pageSetup paperSize="9" scale="90" orientation="portrait" r:id="rId1"/>
  <headerFooter>
    <oddHeader>&amp;R&amp;A</oddHeader>
    <oddFooter>&amp;C&amp;P/&amp;N</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AE119"/>
  <sheetViews>
    <sheetView zoomScale="50" zoomScaleNormal="50" workbookViewId="0">
      <selection activeCell="AA6" sqref="AA6:AA8"/>
    </sheetView>
  </sheetViews>
  <sheetFormatPr defaultColWidth="8.69921875" defaultRowHeight="18"/>
  <cols>
    <col min="1" max="1" width="7.19921875" style="20" customWidth="1"/>
    <col min="2" max="2" width="43.19921875" style="37" customWidth="1"/>
    <col min="3" max="3" width="13.8984375" style="37" bestFit="1" customWidth="1"/>
    <col min="4" max="9" width="12.69921875" style="37" hidden="1" customWidth="1"/>
    <col min="10" max="22" width="12.69921875" style="37" customWidth="1"/>
    <col min="23" max="27" width="12.69921875" style="37" hidden="1" customWidth="1"/>
    <col min="28" max="30" width="12.69921875" style="37" customWidth="1"/>
    <col min="31" max="31" width="12.69921875" style="37" hidden="1" customWidth="1"/>
    <col min="32" max="16384" width="8.69921875" style="37"/>
  </cols>
  <sheetData>
    <row r="1" spans="1:31">
      <c r="A1" s="4299" t="s">
        <v>2389</v>
      </c>
      <c r="B1" s="4299"/>
      <c r="C1" s="4299"/>
      <c r="D1" s="4299"/>
      <c r="E1" s="4299"/>
      <c r="F1" s="4299"/>
      <c r="G1" s="4299"/>
      <c r="H1" s="4299"/>
      <c r="I1" s="4299"/>
      <c r="J1" s="4299"/>
      <c r="K1" s="4299"/>
      <c r="L1" s="4299"/>
      <c r="M1" s="4299"/>
      <c r="N1" s="4299"/>
      <c r="O1" s="4299"/>
      <c r="P1" s="4299"/>
      <c r="Q1" s="4299"/>
      <c r="R1" s="4299"/>
      <c r="S1" s="4299"/>
      <c r="T1" s="4299"/>
      <c r="U1" s="4299"/>
      <c r="V1" s="4299"/>
      <c r="W1" s="4299"/>
      <c r="X1" s="4299"/>
      <c r="Y1" s="4299"/>
      <c r="Z1" s="4299"/>
      <c r="AA1" s="4299"/>
      <c r="AB1" s="4299"/>
      <c r="AC1" s="4299"/>
      <c r="AD1" s="4299"/>
      <c r="AE1" s="4299"/>
    </row>
    <row r="2" spans="1:31">
      <c r="A2" s="4540" t="str">
        <f>'Phụ lục 8-HĐND'!A2</f>
        <v>(Kèm Theo Nghị quyết số         /NQ-HĐND ngày     /12/2023 của Hội đồng nhân dân Tỉnh)</v>
      </c>
      <c r="B2" s="4540"/>
      <c r="C2" s="4540"/>
      <c r="D2" s="4540"/>
      <c r="E2" s="4540"/>
      <c r="F2" s="4540"/>
      <c r="G2" s="4540"/>
      <c r="H2" s="4540"/>
      <c r="I2" s="4540"/>
      <c r="J2" s="4540"/>
      <c r="K2" s="4540"/>
      <c r="L2" s="4540"/>
      <c r="M2" s="4540"/>
      <c r="N2" s="4540"/>
      <c r="O2" s="4540"/>
      <c r="P2" s="4540"/>
      <c r="Q2" s="4540"/>
      <c r="R2" s="4540"/>
      <c r="S2" s="4540"/>
      <c r="T2" s="4540"/>
      <c r="U2" s="4540"/>
      <c r="V2" s="4540"/>
      <c r="W2" s="4540"/>
      <c r="X2" s="4540"/>
      <c r="Y2" s="4540"/>
      <c r="Z2" s="4540"/>
      <c r="AA2" s="4540"/>
      <c r="AB2" s="4540"/>
      <c r="AC2" s="4540"/>
      <c r="AD2" s="4540"/>
      <c r="AE2" s="4540"/>
    </row>
    <row r="3" spans="1:31">
      <c r="A3" s="2907"/>
      <c r="B3" s="20"/>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row>
    <row r="4" spans="1:31" ht="18.600000000000001" thickBot="1">
      <c r="J4" s="1"/>
      <c r="AB4" s="4541" t="s">
        <v>64</v>
      </c>
      <c r="AC4" s="4541"/>
      <c r="AD4" s="4541"/>
      <c r="AE4" s="4541"/>
    </row>
    <row r="5" spans="1:31" s="2" customFormat="1" thickTop="1">
      <c r="A5" s="4542" t="s">
        <v>288</v>
      </c>
      <c r="B5" s="4545" t="s">
        <v>1346</v>
      </c>
      <c r="C5" s="4547" t="s">
        <v>176</v>
      </c>
      <c r="D5" s="4548"/>
      <c r="E5" s="4548"/>
      <c r="F5" s="4548"/>
      <c r="G5" s="4548"/>
      <c r="H5" s="4548"/>
      <c r="I5" s="4548"/>
      <c r="J5" s="4548"/>
      <c r="K5" s="4548"/>
      <c r="L5" s="4548"/>
      <c r="M5" s="4548"/>
      <c r="N5" s="4548"/>
      <c r="O5" s="4548"/>
      <c r="P5" s="4548"/>
      <c r="Q5" s="4548"/>
      <c r="R5" s="4548"/>
      <c r="S5" s="4548"/>
      <c r="T5" s="4548"/>
      <c r="U5" s="4548"/>
      <c r="V5" s="4548"/>
      <c r="W5" s="4548"/>
      <c r="X5" s="4548"/>
      <c r="Y5" s="4548"/>
      <c r="Z5" s="4548"/>
      <c r="AA5" s="4548"/>
      <c r="AB5" s="4548"/>
      <c r="AC5" s="4548"/>
      <c r="AD5" s="4549"/>
      <c r="AE5" s="4550" t="s">
        <v>1512</v>
      </c>
    </row>
    <row r="6" spans="1:31" s="2" customFormat="1" ht="17.399999999999999" customHeight="1">
      <c r="A6" s="4543"/>
      <c r="B6" s="4546"/>
      <c r="C6" s="4360" t="s">
        <v>1421</v>
      </c>
      <c r="D6" s="4424" t="s">
        <v>1511</v>
      </c>
      <c r="E6" s="4425"/>
      <c r="F6" s="4425"/>
      <c r="G6" s="4425"/>
      <c r="H6" s="4425"/>
      <c r="I6" s="4426"/>
      <c r="J6" s="4466" t="s">
        <v>1430</v>
      </c>
      <c r="K6" s="4467"/>
      <c r="L6" s="4467"/>
      <c r="M6" s="4467"/>
      <c r="N6" s="4467"/>
      <c r="O6" s="4467"/>
      <c r="P6" s="4467"/>
      <c r="Q6" s="4467"/>
      <c r="R6" s="4467"/>
      <c r="S6" s="4467"/>
      <c r="T6" s="4467"/>
      <c r="U6" s="4467"/>
      <c r="V6" s="4468"/>
      <c r="W6" s="4360" t="s">
        <v>60</v>
      </c>
      <c r="X6" s="4360" t="s">
        <v>1513</v>
      </c>
      <c r="Y6" s="129"/>
      <c r="Z6" s="4360" t="s">
        <v>2612</v>
      </c>
      <c r="AA6" s="4360" t="str">
        <f>'Phụ lục số 4'!AA6:AA8</f>
        <v>Chi trả lãi vay</v>
      </c>
      <c r="AB6" s="4360" t="s">
        <v>1427</v>
      </c>
      <c r="AC6" s="4553" t="s">
        <v>309</v>
      </c>
      <c r="AD6" s="4554"/>
      <c r="AE6" s="4551"/>
    </row>
    <row r="7" spans="1:31" s="2" customFormat="1" ht="15.6" customHeight="1">
      <c r="A7" s="4543"/>
      <c r="B7" s="4546"/>
      <c r="C7" s="4546"/>
      <c r="D7" s="4360" t="s">
        <v>1507</v>
      </c>
      <c r="E7" s="4556" t="s">
        <v>309</v>
      </c>
      <c r="F7" s="4557"/>
      <c r="G7" s="4557"/>
      <c r="H7" s="4557"/>
      <c r="I7" s="4558"/>
      <c r="J7" s="4360" t="s">
        <v>1422</v>
      </c>
      <c r="K7" s="4466" t="s">
        <v>309</v>
      </c>
      <c r="L7" s="4467"/>
      <c r="M7" s="4467"/>
      <c r="N7" s="4467"/>
      <c r="O7" s="4467"/>
      <c r="P7" s="4467"/>
      <c r="Q7" s="4467"/>
      <c r="R7" s="4467"/>
      <c r="S7" s="4467"/>
      <c r="T7" s="4467"/>
      <c r="U7" s="4467"/>
      <c r="V7" s="4468"/>
      <c r="W7" s="4546"/>
      <c r="X7" s="4546"/>
      <c r="Y7" s="129"/>
      <c r="Z7" s="4546"/>
      <c r="AA7" s="4546"/>
      <c r="AB7" s="4546"/>
      <c r="AC7" s="4521"/>
      <c r="AD7" s="4555"/>
      <c r="AE7" s="4551"/>
    </row>
    <row r="8" spans="1:31" s="70" customFormat="1" ht="97.2" customHeight="1">
      <c r="A8" s="4544"/>
      <c r="B8" s="4361"/>
      <c r="C8" s="4361"/>
      <c r="D8" s="4361"/>
      <c r="E8" s="7" t="s">
        <v>1508</v>
      </c>
      <c r="F8" s="7" t="s">
        <v>1509</v>
      </c>
      <c r="G8" s="7" t="s">
        <v>1378</v>
      </c>
      <c r="H8" s="7" t="s">
        <v>1510</v>
      </c>
      <c r="I8" s="3140" t="str">
        <f>'Phụ lục số 4'!I8</f>
        <v>Chi đầu tư phát triển khác (Ủy thác qua NH Chính sách xã hội chi nhánh tỉnh Đồng Tháp)</v>
      </c>
      <c r="J8" s="4361"/>
      <c r="K8" s="6" t="str">
        <f>'Phụ lục số 4'!K8</f>
        <v>Chi các hoạt động kinh tế</v>
      </c>
      <c r="L8" s="6" t="str">
        <f>'Phụ lục số 4'!L8</f>
        <v>Sự nghiệp môi trường</v>
      </c>
      <c r="M8" s="6" t="str">
        <f>'Phụ lục số 4'!M8</f>
        <v>Sự nghiệp khoa học và công nghệ</v>
      </c>
      <c r="N8" s="6" t="str">
        <f>'Phụ lục số 4'!N8</f>
        <v>Sự nghiệp giáo dục và đào tạo</v>
      </c>
      <c r="O8" s="6" t="str">
        <f>'Phụ lục số 4'!O8</f>
        <v>Sự nghiệp y tế</v>
      </c>
      <c r="P8" s="6" t="str">
        <f>'Phụ lục số 4'!P8</f>
        <v>Sự nghiệp văn hóa thông tin</v>
      </c>
      <c r="Q8" s="6" t="str">
        <f>'Phụ lục số 4'!Q8</f>
        <v>Sự nghiệp phát thanh truyền hình</v>
      </c>
      <c r="R8" s="6" t="str">
        <f>'Phụ lục số 4'!R8</f>
        <v>Sự ngiệp thể dục thể thao</v>
      </c>
      <c r="S8" s="6" t="str">
        <f>'Phụ lục số 4'!S8</f>
        <v>Sự nghiệp đảm bảo xã hội</v>
      </c>
      <c r="T8" s="6" t="str">
        <f>'Phụ lục số 4'!T8</f>
        <v>Quản lý hành chính (QLNN, Đảng….)</v>
      </c>
      <c r="U8" s="6" t="str">
        <f>'Phụ lục số 4'!U8</f>
        <v>An ninh - quốc phòng</v>
      </c>
      <c r="V8" s="6" t="str">
        <f>'Phụ lục số 4'!V8</f>
        <v>Khác</v>
      </c>
      <c r="W8" s="4361"/>
      <c r="X8" s="4361"/>
      <c r="Y8" s="7"/>
      <c r="Z8" s="4361"/>
      <c r="AA8" s="4361"/>
      <c r="AB8" s="4361"/>
      <c r="AC8" s="7" t="s">
        <v>1428</v>
      </c>
      <c r="AD8" s="3001" t="s">
        <v>1429</v>
      </c>
      <c r="AE8" s="4552"/>
    </row>
    <row r="9" spans="1:31">
      <c r="A9" s="3568"/>
      <c r="B9" s="3584" t="s">
        <v>247</v>
      </c>
      <c r="C9" s="3569">
        <f t="shared" ref="C9:AE9" si="0">C10+C107+C108+C111+C112+C113+C114+C116+C117+C118+C110+C109+C115</f>
        <v>13802328.916000001</v>
      </c>
      <c r="D9" s="3569">
        <f t="shared" si="0"/>
        <v>3199186</v>
      </c>
      <c r="E9" s="3569">
        <f t="shared" si="0"/>
        <v>562186</v>
      </c>
      <c r="F9" s="3569">
        <f t="shared" si="0"/>
        <v>627000</v>
      </c>
      <c r="G9" s="3569">
        <f t="shared" si="0"/>
        <v>1950000</v>
      </c>
      <c r="H9" s="3569">
        <f t="shared" si="0"/>
        <v>0</v>
      </c>
      <c r="I9" s="3569">
        <f t="shared" si="0"/>
        <v>60000</v>
      </c>
      <c r="J9" s="3569">
        <f t="shared" si="0"/>
        <v>3294440</v>
      </c>
      <c r="K9" s="3569">
        <f t="shared" si="0"/>
        <v>545710</v>
      </c>
      <c r="L9" s="3569">
        <f t="shared" si="0"/>
        <v>67965</v>
      </c>
      <c r="M9" s="3569">
        <f t="shared" si="0"/>
        <v>31218</v>
      </c>
      <c r="N9" s="3569">
        <f t="shared" si="0"/>
        <v>956676</v>
      </c>
      <c r="O9" s="3569">
        <f t="shared" si="0"/>
        <v>828538</v>
      </c>
      <c r="P9" s="3569">
        <f t="shared" si="0"/>
        <v>47888</v>
      </c>
      <c r="Q9" s="3569">
        <f t="shared" si="0"/>
        <v>18073</v>
      </c>
      <c r="R9" s="3569">
        <f t="shared" si="0"/>
        <v>37202</v>
      </c>
      <c r="S9" s="3569">
        <f t="shared" si="0"/>
        <v>77385</v>
      </c>
      <c r="T9" s="3569">
        <f t="shared" si="0"/>
        <v>515458</v>
      </c>
      <c r="U9" s="3569">
        <f t="shared" si="0"/>
        <v>148327</v>
      </c>
      <c r="V9" s="3569">
        <f t="shared" si="0"/>
        <v>20000</v>
      </c>
      <c r="W9" s="3569">
        <f t="shared" si="0"/>
        <v>2000</v>
      </c>
      <c r="X9" s="3569">
        <f t="shared" si="0"/>
        <v>152264.36799999999</v>
      </c>
      <c r="Y9" s="3569">
        <f t="shared" si="0"/>
        <v>0</v>
      </c>
      <c r="Z9" s="3569">
        <f t="shared" si="0"/>
        <v>79139.200000000012</v>
      </c>
      <c r="AA9" s="3569">
        <f t="shared" si="0"/>
        <v>3000</v>
      </c>
      <c r="AB9" s="3569">
        <f t="shared" si="0"/>
        <v>1988976</v>
      </c>
      <c r="AC9" s="3569">
        <f t="shared" si="0"/>
        <v>1814491</v>
      </c>
      <c r="AD9" s="3570">
        <f t="shared" si="0"/>
        <v>174485</v>
      </c>
      <c r="AE9" s="3571">
        <f t="shared" si="0"/>
        <v>5083323.3480000002</v>
      </c>
    </row>
    <row r="10" spans="1:31" s="210" customFormat="1" ht="17.399999999999999">
      <c r="A10" s="3572" t="s">
        <v>7</v>
      </c>
      <c r="B10" s="3573" t="str">
        <f>'Phụ lục số 4'!B10</f>
        <v>CÁC CƠ QUAN, ĐƠN VỊ</v>
      </c>
      <c r="C10" s="3574">
        <f>D10+J10+W10+X10+AB10</f>
        <v>3468925</v>
      </c>
      <c r="D10" s="3574">
        <f>D11+D41+D56+D60+D75</f>
        <v>0</v>
      </c>
      <c r="E10" s="3574">
        <f>E11+E41+E56+E60+E75</f>
        <v>0</v>
      </c>
      <c r="F10" s="3574">
        <f t="shared" ref="F10:H10" si="1">F11+F41+F56+F60+F75</f>
        <v>0</v>
      </c>
      <c r="G10" s="3574">
        <f t="shared" si="1"/>
        <v>0</v>
      </c>
      <c r="H10" s="3574">
        <f t="shared" si="1"/>
        <v>0</v>
      </c>
      <c r="I10" s="3574"/>
      <c r="J10" s="3574">
        <f>J11+J41+J56+J60+J75</f>
        <v>3294440</v>
      </c>
      <c r="K10" s="3574">
        <f>K11+K41+K56+K60+K75</f>
        <v>545710</v>
      </c>
      <c r="L10" s="3574">
        <f t="shared" ref="L10:V10" si="2">L11+L41+L56+L60+L75</f>
        <v>67965</v>
      </c>
      <c r="M10" s="3574">
        <f t="shared" si="2"/>
        <v>31218</v>
      </c>
      <c r="N10" s="3574">
        <f t="shared" si="2"/>
        <v>956676</v>
      </c>
      <c r="O10" s="3574">
        <f t="shared" si="2"/>
        <v>828538</v>
      </c>
      <c r="P10" s="3574">
        <f t="shared" si="2"/>
        <v>47888</v>
      </c>
      <c r="Q10" s="3574">
        <f t="shared" si="2"/>
        <v>18073</v>
      </c>
      <c r="R10" s="3574">
        <f t="shared" si="2"/>
        <v>37202</v>
      </c>
      <c r="S10" s="3574">
        <f t="shared" si="2"/>
        <v>77385</v>
      </c>
      <c r="T10" s="3574">
        <f t="shared" si="2"/>
        <v>515458</v>
      </c>
      <c r="U10" s="3574">
        <f t="shared" si="2"/>
        <v>148327</v>
      </c>
      <c r="V10" s="3574">
        <f t="shared" si="2"/>
        <v>20000</v>
      </c>
      <c r="W10" s="3574">
        <f t="shared" ref="W10:AE10" si="3">W11+W41+W56+W60+W75</f>
        <v>0</v>
      </c>
      <c r="X10" s="3574">
        <f t="shared" si="3"/>
        <v>0</v>
      </c>
      <c r="Y10" s="3574">
        <f t="shared" si="3"/>
        <v>0</v>
      </c>
      <c r="Z10" s="3574">
        <f t="shared" si="3"/>
        <v>0</v>
      </c>
      <c r="AA10" s="3574">
        <f t="shared" si="3"/>
        <v>0</v>
      </c>
      <c r="AB10" s="3574">
        <f t="shared" si="3"/>
        <v>174485</v>
      </c>
      <c r="AC10" s="3574">
        <f t="shared" si="3"/>
        <v>0</v>
      </c>
      <c r="AD10" s="3575">
        <f t="shared" si="3"/>
        <v>174485</v>
      </c>
      <c r="AE10" s="3576">
        <f t="shared" si="3"/>
        <v>0</v>
      </c>
    </row>
    <row r="11" spans="1:31" s="210" customFormat="1" ht="17.399999999999999">
      <c r="A11" s="2940" t="s">
        <v>9</v>
      </c>
      <c r="B11" s="3562" t="str">
        <f>'Phụ lục số 4'!B11</f>
        <v>SỞ, BAN, NGÀNH CẤP TỈNH</v>
      </c>
      <c r="C11" s="3577">
        <f>D11+J11+W11+X11+AB11</f>
        <v>2543394.0490000001</v>
      </c>
      <c r="D11" s="3577">
        <f t="shared" ref="D11:H11" si="4">SUM(D12:D40)</f>
        <v>0</v>
      </c>
      <c r="E11" s="3577">
        <f t="shared" si="4"/>
        <v>0</v>
      </c>
      <c r="F11" s="3577">
        <f t="shared" si="4"/>
        <v>0</v>
      </c>
      <c r="G11" s="3577">
        <f t="shared" si="4"/>
        <v>0</v>
      </c>
      <c r="H11" s="3577">
        <f t="shared" si="4"/>
        <v>0</v>
      </c>
      <c r="I11" s="3577"/>
      <c r="J11" s="3577">
        <f>SUM(J12:J40)</f>
        <v>2380535.0490000001</v>
      </c>
      <c r="K11" s="3577">
        <f>SUM(K12:K40)</f>
        <v>339900</v>
      </c>
      <c r="L11" s="3577">
        <f t="shared" ref="L11:V11" si="5">SUM(L12:L40)</f>
        <v>66273</v>
      </c>
      <c r="M11" s="3577">
        <f t="shared" si="5"/>
        <v>28166</v>
      </c>
      <c r="N11" s="3577">
        <f t="shared" si="5"/>
        <v>872742</v>
      </c>
      <c r="O11" s="3577">
        <f t="shared" si="5"/>
        <v>460553</v>
      </c>
      <c r="P11" s="3577">
        <f t="shared" si="5"/>
        <v>45194</v>
      </c>
      <c r="Q11" s="3577">
        <f t="shared" si="5"/>
        <v>17596</v>
      </c>
      <c r="R11" s="3577">
        <f t="shared" si="5"/>
        <v>37202</v>
      </c>
      <c r="S11" s="3577">
        <f t="shared" si="5"/>
        <v>54000</v>
      </c>
      <c r="T11" s="3577">
        <f t="shared" si="5"/>
        <v>458909.049</v>
      </c>
      <c r="U11" s="3577">
        <f t="shared" si="5"/>
        <v>0</v>
      </c>
      <c r="V11" s="3577">
        <f t="shared" si="5"/>
        <v>0</v>
      </c>
      <c r="W11" s="3577">
        <f t="shared" ref="W11:AE11" si="6">SUM(W12:W40)</f>
        <v>0</v>
      </c>
      <c r="X11" s="3577">
        <f t="shared" si="6"/>
        <v>0</v>
      </c>
      <c r="Y11" s="3577">
        <f t="shared" si="6"/>
        <v>0</v>
      </c>
      <c r="Z11" s="3577">
        <f t="shared" si="6"/>
        <v>0</v>
      </c>
      <c r="AA11" s="3577">
        <f t="shared" si="6"/>
        <v>0</v>
      </c>
      <c r="AB11" s="3577">
        <f t="shared" si="6"/>
        <v>162859</v>
      </c>
      <c r="AC11" s="3577">
        <f t="shared" si="6"/>
        <v>0</v>
      </c>
      <c r="AD11" s="3578">
        <f t="shared" si="6"/>
        <v>162859</v>
      </c>
      <c r="AE11" s="3579">
        <f t="shared" si="6"/>
        <v>0</v>
      </c>
    </row>
    <row r="12" spans="1:31" s="154" customFormat="1">
      <c r="A12" s="2110">
        <v>1</v>
      </c>
      <c r="B12" s="2787" t="str">
        <f>'Phụ lục số 4'!B12</f>
        <v>Văn phòng Tỉnh ủy</v>
      </c>
      <c r="C12" s="2954">
        <f t="shared" ref="C12:C40" si="7">D12+J12+AB12+W12+X12+AA12</f>
        <v>229920.049</v>
      </c>
      <c r="D12" s="2954">
        <f t="shared" ref="D12:D40" si="8">SUM(E12:H12)</f>
        <v>0</v>
      </c>
      <c r="E12" s="2954">
        <f>'Phụ lục số 4'!E12</f>
        <v>0</v>
      </c>
      <c r="F12" s="2954">
        <f>'Phụ lục số 4'!F12</f>
        <v>0</v>
      </c>
      <c r="G12" s="2954">
        <f>'Phụ lục số 4'!G12</f>
        <v>0</v>
      </c>
      <c r="H12" s="2954">
        <f>'Phụ lục số 4'!H12</f>
        <v>0</v>
      </c>
      <c r="I12" s="2954"/>
      <c r="J12" s="2955">
        <f>SUM(K12:V12)</f>
        <v>229920.049</v>
      </c>
      <c r="K12" s="2955">
        <f>'Phụ lục số 4'!K12</f>
        <v>0</v>
      </c>
      <c r="L12" s="2955">
        <f>'Phụ lục số 4'!L12</f>
        <v>0</v>
      </c>
      <c r="M12" s="2955">
        <f>'Phụ lục số 4'!M12</f>
        <v>0</v>
      </c>
      <c r="N12" s="2955">
        <f>'Phụ lục số 4'!N12</f>
        <v>3103</v>
      </c>
      <c r="O12" s="2955">
        <f>'Phụ lục số 4'!O12</f>
        <v>14081</v>
      </c>
      <c r="P12" s="2955">
        <f>'Phụ lục số 4'!P12</f>
        <v>0</v>
      </c>
      <c r="Q12" s="2955">
        <f>'Phụ lục số 4'!Q12</f>
        <v>0</v>
      </c>
      <c r="R12" s="2955">
        <f>'Phụ lục số 4'!R12</f>
        <v>0</v>
      </c>
      <c r="S12" s="2955">
        <f>'Phụ lục số 4'!S12</f>
        <v>0</v>
      </c>
      <c r="T12" s="2955">
        <f>'Phụ lục số 4'!T12</f>
        <v>212736.049</v>
      </c>
      <c r="U12" s="2955">
        <f>'Phụ lục số 4'!U12</f>
        <v>0</v>
      </c>
      <c r="V12" s="2955">
        <f>'Phụ lục số 4'!V12</f>
        <v>0</v>
      </c>
      <c r="W12" s="2955">
        <f>'Phụ lục số 4'!W12</f>
        <v>0</v>
      </c>
      <c r="X12" s="2955">
        <f>'Phụ lục số 4'!X12</f>
        <v>0</v>
      </c>
      <c r="Y12" s="2955">
        <f>'Phụ lục số 4'!Y12</f>
        <v>0</v>
      </c>
      <c r="Z12" s="2955">
        <f>'Phụ lục số 4'!Z12</f>
        <v>0</v>
      </c>
      <c r="AA12" s="2955">
        <f>'Phụ lục số 4'!AA12</f>
        <v>0</v>
      </c>
      <c r="AB12" s="2955">
        <f>SUM(AC12:AD12)</f>
        <v>0</v>
      </c>
      <c r="AC12" s="2955">
        <f>'Phụ lục số 4'!AC12</f>
        <v>0</v>
      </c>
      <c r="AD12" s="3141">
        <f>'Phụ lục số 4'!AD12</f>
        <v>0</v>
      </c>
      <c r="AE12" s="3152">
        <f>'Phụ lục số 4'!AE12</f>
        <v>0</v>
      </c>
    </row>
    <row r="13" spans="1:31" s="154" customFormat="1">
      <c r="A13" s="2110">
        <v>2</v>
      </c>
      <c r="B13" s="2787" t="str">
        <f>'Phụ lục số 4'!B13</f>
        <v>Văn phòng Hội đồng nhân dân Tỉnh</v>
      </c>
      <c r="C13" s="2954">
        <f t="shared" si="7"/>
        <v>13947</v>
      </c>
      <c r="D13" s="2954">
        <f t="shared" si="8"/>
        <v>0</v>
      </c>
      <c r="E13" s="2954">
        <f>'Phụ lục số 4'!E13</f>
        <v>0</v>
      </c>
      <c r="F13" s="2954">
        <f>'Phụ lục số 4'!F13</f>
        <v>0</v>
      </c>
      <c r="G13" s="2954">
        <f>'Phụ lục số 4'!G13</f>
        <v>0</v>
      </c>
      <c r="H13" s="2954">
        <f>'Phụ lục số 4'!H13</f>
        <v>0</v>
      </c>
      <c r="I13" s="2954"/>
      <c r="J13" s="2954">
        <f t="shared" ref="J13:J39" si="9">SUM(K13:V13)</f>
        <v>13947</v>
      </c>
      <c r="K13" s="2954">
        <f>'Phụ lục số 4'!K13</f>
        <v>0</v>
      </c>
      <c r="L13" s="2954">
        <f>'Phụ lục số 4'!L13</f>
        <v>0</v>
      </c>
      <c r="M13" s="2954">
        <f>'Phụ lục số 4'!M13</f>
        <v>0</v>
      </c>
      <c r="N13" s="2954">
        <f>'Phụ lục số 4'!N13</f>
        <v>622</v>
      </c>
      <c r="O13" s="2954">
        <f>'Phụ lục số 4'!O13</f>
        <v>0</v>
      </c>
      <c r="P13" s="2954">
        <f>'Phụ lục số 4'!P13</f>
        <v>0</v>
      </c>
      <c r="Q13" s="2954">
        <f>'Phụ lục số 4'!Q13</f>
        <v>220</v>
      </c>
      <c r="R13" s="2954">
        <f>'Phụ lục số 4'!R13</f>
        <v>0</v>
      </c>
      <c r="S13" s="2954">
        <f>'Phụ lục số 4'!S13</f>
        <v>0</v>
      </c>
      <c r="T13" s="2954">
        <f>'Phụ lục số 4'!T13</f>
        <v>13105</v>
      </c>
      <c r="U13" s="2954">
        <f>'Phụ lục số 4'!U13</f>
        <v>0</v>
      </c>
      <c r="V13" s="2954">
        <f>'Phụ lục số 4'!V13</f>
        <v>0</v>
      </c>
      <c r="W13" s="2954">
        <f>'Phụ lục số 4'!W13</f>
        <v>0</v>
      </c>
      <c r="X13" s="2954">
        <f>'Phụ lục số 4'!X13</f>
        <v>0</v>
      </c>
      <c r="Y13" s="2954">
        <f>'Phụ lục số 4'!Y13</f>
        <v>0</v>
      </c>
      <c r="Z13" s="2954">
        <f>'Phụ lục số 4'!Z13</f>
        <v>0</v>
      </c>
      <c r="AA13" s="2954">
        <f>'Phụ lục số 4'!AA13</f>
        <v>0</v>
      </c>
      <c r="AB13" s="2954">
        <f t="shared" ref="AB13:AB39" si="10">SUM(AC13:AD13)</f>
        <v>0</v>
      </c>
      <c r="AC13" s="2954">
        <f>'Phụ lục số 4'!AC13</f>
        <v>0</v>
      </c>
      <c r="AD13" s="3142">
        <f>'Phụ lục số 4'!AD13</f>
        <v>0</v>
      </c>
      <c r="AE13" s="3153">
        <f>'Phụ lục số 4'!AE13</f>
        <v>0</v>
      </c>
    </row>
    <row r="14" spans="1:31" s="154" customFormat="1">
      <c r="A14" s="2110">
        <v>3</v>
      </c>
      <c r="B14" s="2787" t="str">
        <f>'Phụ lục số 4'!B14</f>
        <v>Văn phòng Ủy ban nhân dân Tỉnh</v>
      </c>
      <c r="C14" s="2954">
        <f t="shared" si="7"/>
        <v>27695</v>
      </c>
      <c r="D14" s="2954">
        <f t="shared" si="8"/>
        <v>0</v>
      </c>
      <c r="E14" s="2954">
        <f>'Phụ lục số 4'!E14</f>
        <v>0</v>
      </c>
      <c r="F14" s="2954">
        <f>'Phụ lục số 4'!F14</f>
        <v>0</v>
      </c>
      <c r="G14" s="2954">
        <f>'Phụ lục số 4'!G14</f>
        <v>0</v>
      </c>
      <c r="H14" s="2954">
        <f>'Phụ lục số 4'!H14</f>
        <v>0</v>
      </c>
      <c r="I14" s="2954"/>
      <c r="J14" s="2954">
        <f t="shared" si="9"/>
        <v>27695</v>
      </c>
      <c r="K14" s="2954">
        <f>'Phụ lục số 4'!K14</f>
        <v>2108</v>
      </c>
      <c r="L14" s="2954">
        <f>'Phụ lục số 4'!L14</f>
        <v>0</v>
      </c>
      <c r="M14" s="2954">
        <f>'Phụ lục số 4'!M14</f>
        <v>0</v>
      </c>
      <c r="N14" s="2954">
        <f>'Phụ lục số 4'!N14</f>
        <v>97</v>
      </c>
      <c r="O14" s="2954">
        <f>'Phụ lục số 4'!O14</f>
        <v>0</v>
      </c>
      <c r="P14" s="2954">
        <f>'Phụ lục số 4'!P14</f>
        <v>0</v>
      </c>
      <c r="Q14" s="2954">
        <f>'Phụ lục số 4'!Q14</f>
        <v>0</v>
      </c>
      <c r="R14" s="2954">
        <f>'Phụ lục số 4'!R14</f>
        <v>0</v>
      </c>
      <c r="S14" s="2954">
        <f>'Phụ lục số 4'!S14</f>
        <v>0</v>
      </c>
      <c r="T14" s="2954">
        <f>'Phụ lục số 4'!T14</f>
        <v>25490</v>
      </c>
      <c r="U14" s="2954">
        <f>'Phụ lục số 4'!U14</f>
        <v>0</v>
      </c>
      <c r="V14" s="2954">
        <f>'Phụ lục số 4'!V14</f>
        <v>0</v>
      </c>
      <c r="W14" s="2954">
        <f>'Phụ lục số 4'!W14</f>
        <v>0</v>
      </c>
      <c r="X14" s="2954">
        <f>'Phụ lục số 4'!X14</f>
        <v>0</v>
      </c>
      <c r="Y14" s="2954">
        <f>'Phụ lục số 4'!Y14</f>
        <v>0</v>
      </c>
      <c r="Z14" s="2954">
        <f>'Phụ lục số 4'!Z14</f>
        <v>0</v>
      </c>
      <c r="AA14" s="2954">
        <f>'Phụ lục số 4'!AA14</f>
        <v>0</v>
      </c>
      <c r="AB14" s="2954">
        <f t="shared" si="10"/>
        <v>0</v>
      </c>
      <c r="AC14" s="2954">
        <f>'Phụ lục số 4'!AC14</f>
        <v>0</v>
      </c>
      <c r="AD14" s="3142">
        <f>'Phụ lục số 4'!AD14</f>
        <v>0</v>
      </c>
      <c r="AE14" s="3153">
        <f>'Phụ lục số 4'!AE14</f>
        <v>0</v>
      </c>
    </row>
    <row r="15" spans="1:31" s="154" customFormat="1">
      <c r="A15" s="2110">
        <v>4</v>
      </c>
      <c r="B15" s="2787" t="str">
        <f>'Phụ lục số 4'!B15</f>
        <v>Sở Nông nghiệp và Phát triển Nông thôn</v>
      </c>
      <c r="C15" s="2954">
        <f t="shared" si="7"/>
        <v>122964</v>
      </c>
      <c r="D15" s="2954">
        <f t="shared" si="8"/>
        <v>0</v>
      </c>
      <c r="E15" s="2954">
        <f>'Phụ lục số 4'!E15</f>
        <v>0</v>
      </c>
      <c r="F15" s="2954">
        <f>'Phụ lục số 4'!F15</f>
        <v>0</v>
      </c>
      <c r="G15" s="2954">
        <f>'Phụ lục số 4'!G15</f>
        <v>0</v>
      </c>
      <c r="H15" s="2954">
        <f>'Phụ lục số 4'!H15</f>
        <v>0</v>
      </c>
      <c r="I15" s="2954"/>
      <c r="J15" s="2954">
        <f t="shared" si="9"/>
        <v>86124</v>
      </c>
      <c r="K15" s="2954">
        <f>'Phụ lục số 4'!K15</f>
        <v>61999</v>
      </c>
      <c r="L15" s="2954">
        <f>'Phụ lục số 4'!L15</f>
        <v>9323</v>
      </c>
      <c r="M15" s="2954">
        <f>'Phụ lục số 4'!M15</f>
        <v>2994</v>
      </c>
      <c r="N15" s="2954">
        <f>'Phụ lục số 4'!N15</f>
        <v>644</v>
      </c>
      <c r="O15" s="2954">
        <f>'Phụ lục số 4'!O15</f>
        <v>0</v>
      </c>
      <c r="P15" s="2954">
        <f>'Phụ lục số 4'!P15</f>
        <v>0</v>
      </c>
      <c r="Q15" s="2954">
        <f>'Phụ lục số 4'!Q15</f>
        <v>0</v>
      </c>
      <c r="R15" s="2954">
        <f>'Phụ lục số 4'!R15</f>
        <v>0</v>
      </c>
      <c r="S15" s="2954">
        <f>'Phụ lục số 4'!S15</f>
        <v>0</v>
      </c>
      <c r="T15" s="2954">
        <f>'Phụ lục số 4'!T15</f>
        <v>11164</v>
      </c>
      <c r="U15" s="2954">
        <f>'Phụ lục số 4'!U15</f>
        <v>0</v>
      </c>
      <c r="V15" s="2954">
        <f>'Phụ lục số 4'!V15</f>
        <v>0</v>
      </c>
      <c r="W15" s="2954">
        <f>'Phụ lục số 4'!W15</f>
        <v>0</v>
      </c>
      <c r="X15" s="2954">
        <f>'Phụ lục số 4'!X15</f>
        <v>0</v>
      </c>
      <c r="Y15" s="2954">
        <f>'Phụ lục số 4'!Y15</f>
        <v>0</v>
      </c>
      <c r="Z15" s="2954">
        <f>'Phụ lục số 4'!Z15</f>
        <v>0</v>
      </c>
      <c r="AA15" s="2954">
        <f>'Phụ lục số 4'!AA15</f>
        <v>0</v>
      </c>
      <c r="AB15" s="2954">
        <f t="shared" si="10"/>
        <v>36840</v>
      </c>
      <c r="AC15" s="2954">
        <f>'Phụ lục số 4'!AC15</f>
        <v>0</v>
      </c>
      <c r="AD15" s="3142">
        <f>'Phụ lục số 4'!AD15</f>
        <v>36840</v>
      </c>
      <c r="AE15" s="3153">
        <f>'Phụ lục số 4'!AE15</f>
        <v>0</v>
      </c>
    </row>
    <row r="16" spans="1:31" s="154" customFormat="1">
      <c r="A16" s="2110">
        <v>5</v>
      </c>
      <c r="B16" s="2787" t="str">
        <f>'Phụ lục số 4'!B16</f>
        <v>Sở Kế hoạch và Đầu tư</v>
      </c>
      <c r="C16" s="2954">
        <f t="shared" si="7"/>
        <v>14807</v>
      </c>
      <c r="D16" s="2954">
        <f t="shared" si="8"/>
        <v>0</v>
      </c>
      <c r="E16" s="2954">
        <f>'Phụ lục số 4'!E16</f>
        <v>0</v>
      </c>
      <c r="F16" s="2954">
        <f>'Phụ lục số 4'!F16</f>
        <v>0</v>
      </c>
      <c r="G16" s="2954">
        <f>'Phụ lục số 4'!G16</f>
        <v>0</v>
      </c>
      <c r="H16" s="2954">
        <f>'Phụ lục số 4'!H16</f>
        <v>0</v>
      </c>
      <c r="I16" s="2954"/>
      <c r="J16" s="2954">
        <f t="shared" si="9"/>
        <v>12807</v>
      </c>
      <c r="K16" s="2954">
        <f>'Phụ lục số 4'!K16</f>
        <v>3330</v>
      </c>
      <c r="L16" s="2954">
        <f>'Phụ lục số 4'!L16</f>
        <v>0</v>
      </c>
      <c r="M16" s="2954">
        <f>'Phụ lục số 4'!M16</f>
        <v>0</v>
      </c>
      <c r="N16" s="2954">
        <f>'Phụ lục số 4'!N16</f>
        <v>470</v>
      </c>
      <c r="O16" s="2954">
        <f>'Phụ lục số 4'!O16</f>
        <v>0</v>
      </c>
      <c r="P16" s="2954">
        <f>'Phụ lục số 4'!P16</f>
        <v>0</v>
      </c>
      <c r="Q16" s="2954">
        <f>'Phụ lục số 4'!Q16</f>
        <v>590</v>
      </c>
      <c r="R16" s="2954">
        <f>'Phụ lục số 4'!R16</f>
        <v>0</v>
      </c>
      <c r="S16" s="2954">
        <f>'Phụ lục số 4'!S16</f>
        <v>0</v>
      </c>
      <c r="T16" s="2954">
        <f>'Phụ lục số 4'!T16</f>
        <v>8417</v>
      </c>
      <c r="U16" s="2954">
        <f>'Phụ lục số 4'!U16</f>
        <v>0</v>
      </c>
      <c r="V16" s="2954">
        <f>'Phụ lục số 4'!V16</f>
        <v>0</v>
      </c>
      <c r="W16" s="2954">
        <f>'Phụ lục số 4'!W16</f>
        <v>0</v>
      </c>
      <c r="X16" s="2954">
        <f>'Phụ lục số 4'!X16</f>
        <v>0</v>
      </c>
      <c r="Y16" s="2954">
        <f>'Phụ lục số 4'!Y16</f>
        <v>0</v>
      </c>
      <c r="Z16" s="2954">
        <f>'Phụ lục số 4'!Z16</f>
        <v>0</v>
      </c>
      <c r="AA16" s="2954">
        <f>'Phụ lục số 4'!AA16</f>
        <v>0</v>
      </c>
      <c r="AB16" s="2954">
        <f t="shared" si="10"/>
        <v>2000</v>
      </c>
      <c r="AC16" s="2954">
        <f>'Phụ lục số 4'!AC16</f>
        <v>0</v>
      </c>
      <c r="AD16" s="3142">
        <f>'Phụ lục số 4'!AD16</f>
        <v>2000</v>
      </c>
      <c r="AE16" s="3153">
        <f>'Phụ lục số 4'!AE16</f>
        <v>0</v>
      </c>
    </row>
    <row r="17" spans="1:31" s="154" customFormat="1">
      <c r="A17" s="2110">
        <v>6</v>
      </c>
      <c r="B17" s="2787" t="str">
        <f>'Phụ lục số 4'!B17</f>
        <v>Sở Tài chính</v>
      </c>
      <c r="C17" s="2954">
        <f t="shared" si="7"/>
        <v>17300</v>
      </c>
      <c r="D17" s="2954">
        <f t="shared" si="8"/>
        <v>0</v>
      </c>
      <c r="E17" s="2954">
        <f>'Phụ lục số 4'!E17</f>
        <v>0</v>
      </c>
      <c r="F17" s="2954">
        <f>'Phụ lục số 4'!F17</f>
        <v>0</v>
      </c>
      <c r="G17" s="2954">
        <f>'Phụ lục số 4'!G17</f>
        <v>0</v>
      </c>
      <c r="H17" s="2954">
        <f>'Phụ lục số 4'!H17</f>
        <v>0</v>
      </c>
      <c r="I17" s="2954"/>
      <c r="J17" s="2954">
        <f t="shared" si="9"/>
        <v>17300</v>
      </c>
      <c r="K17" s="2954">
        <f>'Phụ lục số 4'!K17</f>
        <v>1115</v>
      </c>
      <c r="L17" s="2954">
        <f>'Phụ lục số 4'!L17</f>
        <v>0</v>
      </c>
      <c r="M17" s="2954">
        <f>'Phụ lục số 4'!M17</f>
        <v>0</v>
      </c>
      <c r="N17" s="2954">
        <f>'Phụ lục số 4'!N17</f>
        <v>1550</v>
      </c>
      <c r="O17" s="2954">
        <f>'Phụ lục số 4'!O17</f>
        <v>0</v>
      </c>
      <c r="P17" s="2954">
        <f>'Phụ lục số 4'!P17</f>
        <v>0</v>
      </c>
      <c r="Q17" s="2954">
        <f>'Phụ lục số 4'!Q17</f>
        <v>0</v>
      </c>
      <c r="R17" s="2954">
        <f>'Phụ lục số 4'!R17</f>
        <v>0</v>
      </c>
      <c r="S17" s="2954">
        <f>'Phụ lục số 4'!S17</f>
        <v>0</v>
      </c>
      <c r="T17" s="2954">
        <f>'Phụ lục số 4'!T17</f>
        <v>14635</v>
      </c>
      <c r="U17" s="2954">
        <f>'Phụ lục số 4'!U17</f>
        <v>0</v>
      </c>
      <c r="V17" s="2954">
        <f>'Phụ lục số 4'!V17</f>
        <v>0</v>
      </c>
      <c r="W17" s="2954">
        <f>'Phụ lục số 4'!W17</f>
        <v>0</v>
      </c>
      <c r="X17" s="2954">
        <f>'Phụ lục số 4'!X17</f>
        <v>0</v>
      </c>
      <c r="Y17" s="2954">
        <f>'Phụ lục số 4'!Y17</f>
        <v>0</v>
      </c>
      <c r="Z17" s="2954">
        <f>'Phụ lục số 4'!Z17</f>
        <v>0</v>
      </c>
      <c r="AA17" s="2954">
        <f>'Phụ lục số 4'!AA17</f>
        <v>0</v>
      </c>
      <c r="AB17" s="2954">
        <f t="shared" si="10"/>
        <v>0</v>
      </c>
      <c r="AC17" s="2954">
        <f>'Phụ lục số 4'!AC17</f>
        <v>0</v>
      </c>
      <c r="AD17" s="3142">
        <f>'Phụ lục số 4'!AD17</f>
        <v>0</v>
      </c>
      <c r="AE17" s="3153">
        <f>'Phụ lục số 4'!AE17</f>
        <v>0</v>
      </c>
    </row>
    <row r="18" spans="1:31" s="154" customFormat="1">
      <c r="A18" s="2110">
        <v>7</v>
      </c>
      <c r="B18" s="2787" t="str">
        <f>'Phụ lục số 4'!B18</f>
        <v>Sở Nội vụ</v>
      </c>
      <c r="C18" s="2954">
        <f t="shared" si="7"/>
        <v>50516</v>
      </c>
      <c r="D18" s="2954">
        <f t="shared" si="8"/>
        <v>0</v>
      </c>
      <c r="E18" s="2954">
        <f>'Phụ lục số 4'!E18</f>
        <v>0</v>
      </c>
      <c r="F18" s="2954">
        <f>'Phụ lục số 4'!F18</f>
        <v>0</v>
      </c>
      <c r="G18" s="2954">
        <f>'Phụ lục số 4'!G18</f>
        <v>0</v>
      </c>
      <c r="H18" s="2954">
        <f>'Phụ lục số 4'!H18</f>
        <v>0</v>
      </c>
      <c r="I18" s="2954"/>
      <c r="J18" s="2954">
        <f t="shared" si="9"/>
        <v>50516</v>
      </c>
      <c r="K18" s="2954">
        <f>'Phụ lục số 4'!K18</f>
        <v>17203</v>
      </c>
      <c r="L18" s="2954">
        <f>'Phụ lục số 4'!L18</f>
        <v>0</v>
      </c>
      <c r="M18" s="2954">
        <f>'Phụ lục số 4'!M18</f>
        <v>0</v>
      </c>
      <c r="N18" s="2954">
        <f>'Phụ lục số 4'!N18</f>
        <v>3188</v>
      </c>
      <c r="O18" s="2954">
        <f>'Phụ lục số 4'!O18</f>
        <v>0</v>
      </c>
      <c r="P18" s="2954">
        <f>'Phụ lục số 4'!P18</f>
        <v>0</v>
      </c>
      <c r="Q18" s="2954">
        <f>'Phụ lục số 4'!Q18</f>
        <v>0</v>
      </c>
      <c r="R18" s="2954">
        <f>'Phụ lục số 4'!R18</f>
        <v>0</v>
      </c>
      <c r="S18" s="2954">
        <f>'Phụ lục số 4'!S18</f>
        <v>0</v>
      </c>
      <c r="T18" s="2954">
        <f>'Phụ lục số 4'!T18</f>
        <v>30125</v>
      </c>
      <c r="U18" s="2954">
        <f>'Phụ lục số 4'!U18</f>
        <v>0</v>
      </c>
      <c r="V18" s="2954">
        <f>'Phụ lục số 4'!V18</f>
        <v>0</v>
      </c>
      <c r="W18" s="2954">
        <f>'Phụ lục số 4'!W18</f>
        <v>0</v>
      </c>
      <c r="X18" s="2954">
        <f>'Phụ lục số 4'!X18</f>
        <v>0</v>
      </c>
      <c r="Y18" s="2954">
        <f>'Phụ lục số 4'!Y18</f>
        <v>0</v>
      </c>
      <c r="Z18" s="2954">
        <f>'Phụ lục số 4'!Z18</f>
        <v>0</v>
      </c>
      <c r="AA18" s="2954">
        <f>'Phụ lục số 4'!AA18</f>
        <v>0</v>
      </c>
      <c r="AB18" s="2954">
        <f t="shared" si="10"/>
        <v>0</v>
      </c>
      <c r="AC18" s="2954">
        <f>'Phụ lục số 4'!AC18</f>
        <v>0</v>
      </c>
      <c r="AD18" s="3142">
        <f>'Phụ lục số 4'!AD18</f>
        <v>0</v>
      </c>
      <c r="AE18" s="3153">
        <f>'Phụ lục số 4'!AE18</f>
        <v>0</v>
      </c>
    </row>
    <row r="19" spans="1:31" s="154" customFormat="1">
      <c r="A19" s="2110">
        <v>8</v>
      </c>
      <c r="B19" s="2787" t="str">
        <f>'Phụ lục số 4'!B19</f>
        <v>Sở Ngoại vụ</v>
      </c>
      <c r="C19" s="2954">
        <f t="shared" si="7"/>
        <v>9940</v>
      </c>
      <c r="D19" s="2954">
        <f t="shared" si="8"/>
        <v>0</v>
      </c>
      <c r="E19" s="2954">
        <f>'Phụ lục số 4'!E19</f>
        <v>0</v>
      </c>
      <c r="F19" s="2954">
        <f>'Phụ lục số 4'!F19</f>
        <v>0</v>
      </c>
      <c r="G19" s="2954">
        <f>'Phụ lục số 4'!G19</f>
        <v>0</v>
      </c>
      <c r="H19" s="2954">
        <f>'Phụ lục số 4'!H19</f>
        <v>0</v>
      </c>
      <c r="I19" s="2954"/>
      <c r="J19" s="2954">
        <f t="shared" si="9"/>
        <v>9940</v>
      </c>
      <c r="K19" s="2954">
        <f>'Phụ lục số 4'!K19</f>
        <v>1500</v>
      </c>
      <c r="L19" s="2954">
        <f>'Phụ lục số 4'!L19</f>
        <v>0</v>
      </c>
      <c r="M19" s="2954">
        <f>'Phụ lục số 4'!M19</f>
        <v>0</v>
      </c>
      <c r="N19" s="2954">
        <f>'Phụ lục số 4'!N19</f>
        <v>115</v>
      </c>
      <c r="O19" s="2954">
        <f>'Phụ lục số 4'!O19</f>
        <v>0</v>
      </c>
      <c r="P19" s="2954">
        <f>'Phụ lục số 4'!P19</f>
        <v>0</v>
      </c>
      <c r="Q19" s="2954">
        <f>'Phụ lục số 4'!Q19</f>
        <v>0</v>
      </c>
      <c r="R19" s="2954">
        <f>'Phụ lục số 4'!R19</f>
        <v>0</v>
      </c>
      <c r="S19" s="2954">
        <f>'Phụ lục số 4'!S19</f>
        <v>0</v>
      </c>
      <c r="T19" s="2954">
        <f>'Phụ lục số 4'!T19</f>
        <v>8325</v>
      </c>
      <c r="U19" s="2954">
        <f>'Phụ lục số 4'!U19</f>
        <v>0</v>
      </c>
      <c r="V19" s="2954">
        <f>'Phụ lục số 4'!V19</f>
        <v>0</v>
      </c>
      <c r="W19" s="2954">
        <f>'Phụ lục số 4'!W19</f>
        <v>0</v>
      </c>
      <c r="X19" s="2954">
        <f>'Phụ lục số 4'!X19</f>
        <v>0</v>
      </c>
      <c r="Y19" s="2954">
        <f>'Phụ lục số 4'!Y19</f>
        <v>0</v>
      </c>
      <c r="Z19" s="2954">
        <f>'Phụ lục số 4'!Z19</f>
        <v>0</v>
      </c>
      <c r="AA19" s="2954">
        <f>'Phụ lục số 4'!AA19</f>
        <v>0</v>
      </c>
      <c r="AB19" s="2954">
        <f t="shared" si="10"/>
        <v>0</v>
      </c>
      <c r="AC19" s="2954">
        <f>'Phụ lục số 4'!AC19</f>
        <v>0</v>
      </c>
      <c r="AD19" s="3142">
        <f>'Phụ lục số 4'!AD19</f>
        <v>0</v>
      </c>
      <c r="AE19" s="3153">
        <f>'Phụ lục số 4'!AE19</f>
        <v>0</v>
      </c>
    </row>
    <row r="20" spans="1:31" s="154" customFormat="1">
      <c r="A20" s="2110">
        <v>9</v>
      </c>
      <c r="B20" s="2787" t="str">
        <f>'Phụ lục số 4'!B20</f>
        <v>Sở Tư pháp</v>
      </c>
      <c r="C20" s="2954">
        <f t="shared" si="7"/>
        <v>29691</v>
      </c>
      <c r="D20" s="2954">
        <f t="shared" si="8"/>
        <v>0</v>
      </c>
      <c r="E20" s="2954">
        <f>'Phụ lục số 4'!E20</f>
        <v>0</v>
      </c>
      <c r="F20" s="2954">
        <f>'Phụ lục số 4'!F20</f>
        <v>0</v>
      </c>
      <c r="G20" s="2954">
        <f>'Phụ lục số 4'!G20</f>
        <v>0</v>
      </c>
      <c r="H20" s="2954">
        <f>'Phụ lục số 4'!H20</f>
        <v>0</v>
      </c>
      <c r="I20" s="2954"/>
      <c r="J20" s="2954">
        <f t="shared" si="9"/>
        <v>29691</v>
      </c>
      <c r="K20" s="2954">
        <f>'Phụ lục số 4'!K20</f>
        <v>20733</v>
      </c>
      <c r="L20" s="2954">
        <f>'Phụ lục số 4'!L20</f>
        <v>0</v>
      </c>
      <c r="M20" s="2954">
        <f>'Phụ lục số 4'!M20</f>
        <v>0</v>
      </c>
      <c r="N20" s="2954">
        <f>'Phụ lục số 4'!N20</f>
        <v>1025</v>
      </c>
      <c r="O20" s="2954">
        <f>'Phụ lục số 4'!O20</f>
        <v>0</v>
      </c>
      <c r="P20" s="2954">
        <f>'Phụ lục số 4'!P20</f>
        <v>0</v>
      </c>
      <c r="Q20" s="2954">
        <f>'Phụ lục số 4'!Q20</f>
        <v>576</v>
      </c>
      <c r="R20" s="2954">
        <f>'Phụ lục số 4'!R20</f>
        <v>0</v>
      </c>
      <c r="S20" s="2954">
        <f>'Phụ lục số 4'!S20</f>
        <v>0</v>
      </c>
      <c r="T20" s="2954">
        <f>'Phụ lục số 4'!T20</f>
        <v>7357</v>
      </c>
      <c r="U20" s="2954">
        <f>'Phụ lục số 4'!U20</f>
        <v>0</v>
      </c>
      <c r="V20" s="2954">
        <f>'Phụ lục số 4'!V20</f>
        <v>0</v>
      </c>
      <c r="W20" s="2954">
        <f>'Phụ lục số 4'!W20</f>
        <v>0</v>
      </c>
      <c r="X20" s="2954">
        <f>'Phụ lục số 4'!X20</f>
        <v>0</v>
      </c>
      <c r="Y20" s="2954">
        <f>'Phụ lục số 4'!Y20</f>
        <v>0</v>
      </c>
      <c r="Z20" s="2954">
        <f>'Phụ lục số 4'!Z20</f>
        <v>0</v>
      </c>
      <c r="AA20" s="2954">
        <f>'Phụ lục số 4'!AA20</f>
        <v>0</v>
      </c>
      <c r="AB20" s="2954">
        <f t="shared" si="10"/>
        <v>0</v>
      </c>
      <c r="AC20" s="2954">
        <f>'Phụ lục số 4'!AC20</f>
        <v>0</v>
      </c>
      <c r="AD20" s="3142">
        <f>'Phụ lục số 4'!AD20</f>
        <v>0</v>
      </c>
      <c r="AE20" s="3153">
        <f>'Phụ lục số 4'!AE20</f>
        <v>0</v>
      </c>
    </row>
    <row r="21" spans="1:31" s="154" customFormat="1">
      <c r="A21" s="2110">
        <v>10</v>
      </c>
      <c r="B21" s="2787" t="str">
        <f>'Phụ lục số 4'!B21</f>
        <v>Sở Y tế</v>
      </c>
      <c r="C21" s="2954">
        <f t="shared" si="7"/>
        <v>465600</v>
      </c>
      <c r="D21" s="2954">
        <f t="shared" si="8"/>
        <v>0</v>
      </c>
      <c r="E21" s="2954">
        <f>'Phụ lục số 4'!E21</f>
        <v>0</v>
      </c>
      <c r="F21" s="2954">
        <f>'Phụ lục số 4'!F21</f>
        <v>0</v>
      </c>
      <c r="G21" s="2954">
        <f>'Phụ lục số 4'!G21</f>
        <v>0</v>
      </c>
      <c r="H21" s="2954">
        <f>'Phụ lục số 4'!H21</f>
        <v>0</v>
      </c>
      <c r="I21" s="2954"/>
      <c r="J21" s="2954">
        <f t="shared" si="9"/>
        <v>465600</v>
      </c>
      <c r="K21" s="2954">
        <f>'Phụ lục số 4'!K21</f>
        <v>0</v>
      </c>
      <c r="L21" s="2954">
        <f>'Phụ lục số 4'!L21</f>
        <v>0</v>
      </c>
      <c r="M21" s="2954">
        <f>'Phụ lục số 4'!M21</f>
        <v>0</v>
      </c>
      <c r="N21" s="2954">
        <f>'Phụ lục số 4'!N21</f>
        <v>8186</v>
      </c>
      <c r="O21" s="2954">
        <f>'Phụ lục số 4'!O21</f>
        <v>446472</v>
      </c>
      <c r="P21" s="2954">
        <f>'Phụ lục số 4'!P21</f>
        <v>0</v>
      </c>
      <c r="Q21" s="2954">
        <f>'Phụ lục số 4'!Q21</f>
        <v>0</v>
      </c>
      <c r="R21" s="2954">
        <f>'Phụ lục số 4'!R21</f>
        <v>0</v>
      </c>
      <c r="S21" s="2954">
        <f>'Phụ lục số 4'!S21</f>
        <v>0</v>
      </c>
      <c r="T21" s="2954">
        <f>'Phụ lục số 4'!T21</f>
        <v>10942</v>
      </c>
      <c r="U21" s="2954">
        <f>'Phụ lục số 4'!U21</f>
        <v>0</v>
      </c>
      <c r="V21" s="2954">
        <f>'Phụ lục số 4'!V21</f>
        <v>0</v>
      </c>
      <c r="W21" s="2954">
        <f>'Phụ lục số 4'!W21</f>
        <v>0</v>
      </c>
      <c r="X21" s="2954">
        <f>'Phụ lục số 4'!X21</f>
        <v>0</v>
      </c>
      <c r="Y21" s="2954">
        <f>'Phụ lục số 4'!Y21</f>
        <v>0</v>
      </c>
      <c r="Z21" s="2954">
        <f>'Phụ lục số 4'!Z21</f>
        <v>0</v>
      </c>
      <c r="AA21" s="2954">
        <f>'Phụ lục số 4'!AA21</f>
        <v>0</v>
      </c>
      <c r="AB21" s="2954">
        <f t="shared" si="10"/>
        <v>0</v>
      </c>
      <c r="AC21" s="2954">
        <f>'Phụ lục số 4'!AC21</f>
        <v>0</v>
      </c>
      <c r="AD21" s="3142">
        <f>'Phụ lục số 4'!AD21</f>
        <v>0</v>
      </c>
      <c r="AE21" s="3153">
        <f>'Phụ lục số 4'!AE21</f>
        <v>0</v>
      </c>
    </row>
    <row r="22" spans="1:31" s="154" customFormat="1">
      <c r="A22" s="2110">
        <v>11</v>
      </c>
      <c r="B22" s="2787" t="str">
        <f>'Phụ lục số 4'!B22</f>
        <v>Sở Công Thương</v>
      </c>
      <c r="C22" s="2954">
        <f t="shared" si="7"/>
        <v>20097</v>
      </c>
      <c r="D22" s="2954">
        <f t="shared" si="8"/>
        <v>0</v>
      </c>
      <c r="E22" s="2954">
        <f>'Phụ lục số 4'!E22</f>
        <v>0</v>
      </c>
      <c r="F22" s="2954">
        <f>'Phụ lục số 4'!F22</f>
        <v>0</v>
      </c>
      <c r="G22" s="2954">
        <f>'Phụ lục số 4'!G22</f>
        <v>0</v>
      </c>
      <c r="H22" s="2954">
        <f>'Phụ lục số 4'!H22</f>
        <v>0</v>
      </c>
      <c r="I22" s="2954"/>
      <c r="J22" s="2954">
        <f t="shared" si="9"/>
        <v>20097</v>
      </c>
      <c r="K22" s="2954">
        <f>'Phụ lục số 4'!K22</f>
        <v>8921</v>
      </c>
      <c r="L22" s="2954">
        <f>'Phụ lục số 4'!L22</f>
        <v>30</v>
      </c>
      <c r="M22" s="2954">
        <f>'Phụ lục số 4'!M22</f>
        <v>0</v>
      </c>
      <c r="N22" s="2954">
        <f>'Phụ lục số 4'!N22</f>
        <v>514</v>
      </c>
      <c r="O22" s="2954">
        <f>'Phụ lục số 4'!O22</f>
        <v>0</v>
      </c>
      <c r="P22" s="2954">
        <f>'Phụ lục số 4'!P22</f>
        <v>0</v>
      </c>
      <c r="Q22" s="2954">
        <f>'Phụ lục số 4'!Q22</f>
        <v>0</v>
      </c>
      <c r="R22" s="2954">
        <f>'Phụ lục số 4'!R22</f>
        <v>0</v>
      </c>
      <c r="S22" s="2954">
        <f>'Phụ lục số 4'!S22</f>
        <v>0</v>
      </c>
      <c r="T22" s="2954">
        <f>'Phụ lục số 4'!T22</f>
        <v>10632</v>
      </c>
      <c r="U22" s="2954">
        <f>'Phụ lục số 4'!U22</f>
        <v>0</v>
      </c>
      <c r="V22" s="2954">
        <f>'Phụ lục số 4'!V22</f>
        <v>0</v>
      </c>
      <c r="W22" s="2954">
        <f>'Phụ lục số 4'!W22</f>
        <v>0</v>
      </c>
      <c r="X22" s="2954">
        <f>'Phụ lục số 4'!X22</f>
        <v>0</v>
      </c>
      <c r="Y22" s="2954">
        <f>'Phụ lục số 4'!Y22</f>
        <v>0</v>
      </c>
      <c r="Z22" s="2954">
        <f>'Phụ lục số 4'!Z22</f>
        <v>0</v>
      </c>
      <c r="AA22" s="2954">
        <f>'Phụ lục số 4'!AA22</f>
        <v>0</v>
      </c>
      <c r="AB22" s="2954">
        <f t="shared" si="10"/>
        <v>0</v>
      </c>
      <c r="AC22" s="2954">
        <f>'Phụ lục số 4'!AC22</f>
        <v>0</v>
      </c>
      <c r="AD22" s="3142">
        <f>'Phụ lục số 4'!AD22</f>
        <v>0</v>
      </c>
      <c r="AE22" s="3153">
        <f>'Phụ lục số 4'!AE22</f>
        <v>0</v>
      </c>
    </row>
    <row r="23" spans="1:31" s="154" customFormat="1">
      <c r="A23" s="2110">
        <v>12</v>
      </c>
      <c r="B23" s="2787" t="str">
        <f>'Phụ lục số 4'!B23</f>
        <v>Sở Xây dựng</v>
      </c>
      <c r="C23" s="2954">
        <f t="shared" si="7"/>
        <v>18961</v>
      </c>
      <c r="D23" s="2954">
        <f t="shared" si="8"/>
        <v>0</v>
      </c>
      <c r="E23" s="2954">
        <f>'Phụ lục số 4'!E23</f>
        <v>0</v>
      </c>
      <c r="F23" s="2954">
        <f>'Phụ lục số 4'!F23</f>
        <v>0</v>
      </c>
      <c r="G23" s="2954">
        <f>'Phụ lục số 4'!G23</f>
        <v>0</v>
      </c>
      <c r="H23" s="2954">
        <f>'Phụ lục số 4'!H23</f>
        <v>0</v>
      </c>
      <c r="I23" s="2954"/>
      <c r="J23" s="2954">
        <f t="shared" si="9"/>
        <v>18961</v>
      </c>
      <c r="K23" s="2954">
        <f>'Phụ lục số 4'!K23</f>
        <v>3432</v>
      </c>
      <c r="L23" s="2954">
        <f>'Phụ lục số 4'!L23</f>
        <v>0</v>
      </c>
      <c r="M23" s="2954">
        <f>'Phụ lục số 4'!M23</f>
        <v>0</v>
      </c>
      <c r="N23" s="2954">
        <f>'Phụ lục số 4'!N23</f>
        <v>5944</v>
      </c>
      <c r="O23" s="2954">
        <f>'Phụ lục số 4'!O23</f>
        <v>0</v>
      </c>
      <c r="P23" s="2954">
        <f>'Phụ lục số 4'!P23</f>
        <v>0</v>
      </c>
      <c r="Q23" s="2954">
        <f>'Phụ lục số 4'!Q23</f>
        <v>0</v>
      </c>
      <c r="R23" s="2954">
        <f>'Phụ lục số 4'!R23</f>
        <v>0</v>
      </c>
      <c r="S23" s="2954">
        <f>'Phụ lục số 4'!S23</f>
        <v>0</v>
      </c>
      <c r="T23" s="2954">
        <f>'Phụ lục số 4'!T23</f>
        <v>9585</v>
      </c>
      <c r="U23" s="2954">
        <f>'Phụ lục số 4'!U23</f>
        <v>0</v>
      </c>
      <c r="V23" s="2954">
        <f>'Phụ lục số 4'!V23</f>
        <v>0</v>
      </c>
      <c r="W23" s="2954">
        <f>'Phụ lục số 4'!W23</f>
        <v>0</v>
      </c>
      <c r="X23" s="2954">
        <f>'Phụ lục số 4'!X23</f>
        <v>0</v>
      </c>
      <c r="Y23" s="2954">
        <f>'Phụ lục số 4'!Y23</f>
        <v>0</v>
      </c>
      <c r="Z23" s="2954">
        <f>'Phụ lục số 4'!Z23</f>
        <v>0</v>
      </c>
      <c r="AA23" s="2954">
        <f>'Phụ lục số 4'!AA23</f>
        <v>0</v>
      </c>
      <c r="AB23" s="2954">
        <f t="shared" si="10"/>
        <v>0</v>
      </c>
      <c r="AC23" s="2954">
        <f>'Phụ lục số 4'!AC23</f>
        <v>0</v>
      </c>
      <c r="AD23" s="3142">
        <f>'Phụ lục số 4'!AD23</f>
        <v>0</v>
      </c>
      <c r="AE23" s="3153">
        <f>'Phụ lục số 4'!AE23</f>
        <v>0</v>
      </c>
    </row>
    <row r="24" spans="1:31" s="154" customFormat="1">
      <c r="A24" s="2110">
        <v>13</v>
      </c>
      <c r="B24" s="2787" t="str">
        <f>'Phụ lục số 4'!B24</f>
        <v>Sở Khoa học và Công nghệ</v>
      </c>
      <c r="C24" s="2954">
        <f t="shared" si="7"/>
        <v>32717</v>
      </c>
      <c r="D24" s="2954">
        <f t="shared" si="8"/>
        <v>0</v>
      </c>
      <c r="E24" s="2954">
        <f>'Phụ lục số 4'!E24</f>
        <v>0</v>
      </c>
      <c r="F24" s="2954">
        <f>'Phụ lục số 4'!F24</f>
        <v>0</v>
      </c>
      <c r="G24" s="2954">
        <f>'Phụ lục số 4'!G24</f>
        <v>0</v>
      </c>
      <c r="H24" s="2954">
        <f>'Phụ lục số 4'!H24</f>
        <v>0</v>
      </c>
      <c r="I24" s="2954"/>
      <c r="J24" s="2954">
        <f t="shared" si="9"/>
        <v>32717</v>
      </c>
      <c r="K24" s="2954">
        <f>'Phụ lục số 4'!K24</f>
        <v>0</v>
      </c>
      <c r="L24" s="2954">
        <f>'Phụ lục số 4'!L24</f>
        <v>0</v>
      </c>
      <c r="M24" s="2954">
        <f>'Phụ lục số 4'!M24</f>
        <v>25172</v>
      </c>
      <c r="N24" s="2954">
        <f>'Phụ lục số 4'!N24</f>
        <v>100</v>
      </c>
      <c r="O24" s="2954">
        <f>'Phụ lục số 4'!O24</f>
        <v>0</v>
      </c>
      <c r="P24" s="2954">
        <f>'Phụ lục số 4'!P24</f>
        <v>0</v>
      </c>
      <c r="Q24" s="2954">
        <f>'Phụ lục số 4'!Q24</f>
        <v>0</v>
      </c>
      <c r="R24" s="2954">
        <f>'Phụ lục số 4'!R24</f>
        <v>0</v>
      </c>
      <c r="S24" s="2954">
        <f>'Phụ lục số 4'!S24</f>
        <v>0</v>
      </c>
      <c r="T24" s="2954">
        <f>'Phụ lục số 4'!T24</f>
        <v>7445</v>
      </c>
      <c r="U24" s="2954">
        <f>'Phụ lục số 4'!U24</f>
        <v>0</v>
      </c>
      <c r="V24" s="2954">
        <f>'Phụ lục số 4'!V24</f>
        <v>0</v>
      </c>
      <c r="W24" s="2954">
        <f>'Phụ lục số 4'!W24</f>
        <v>0</v>
      </c>
      <c r="X24" s="2954">
        <f>'Phụ lục số 4'!X24</f>
        <v>0</v>
      </c>
      <c r="Y24" s="2954">
        <f>'Phụ lục số 4'!Y24</f>
        <v>0</v>
      </c>
      <c r="Z24" s="2954">
        <f>'Phụ lục số 4'!Z24</f>
        <v>0</v>
      </c>
      <c r="AA24" s="2954">
        <f>'Phụ lục số 4'!AA24</f>
        <v>0</v>
      </c>
      <c r="AB24" s="2954">
        <f t="shared" si="10"/>
        <v>0</v>
      </c>
      <c r="AC24" s="2954">
        <f>'Phụ lục số 4'!AC24</f>
        <v>0</v>
      </c>
      <c r="AD24" s="3142">
        <f>'Phụ lục số 4'!AD24</f>
        <v>0</v>
      </c>
      <c r="AE24" s="3153">
        <f>'Phụ lục số 4'!AE24</f>
        <v>0</v>
      </c>
    </row>
    <row r="25" spans="1:31" s="154" customFormat="1">
      <c r="A25" s="2110">
        <v>14</v>
      </c>
      <c r="B25" s="2787" t="str">
        <f>'Phụ lục số 4'!B25</f>
        <v>Sở Giáo dục và Đào tạo</v>
      </c>
      <c r="C25" s="2954">
        <f t="shared" si="7"/>
        <v>648205</v>
      </c>
      <c r="D25" s="2954">
        <f t="shared" si="8"/>
        <v>0</v>
      </c>
      <c r="E25" s="2954">
        <f>'Phụ lục số 4'!E25</f>
        <v>0</v>
      </c>
      <c r="F25" s="2954">
        <f>'Phụ lục số 4'!F25</f>
        <v>0</v>
      </c>
      <c r="G25" s="2954">
        <f>'Phụ lục số 4'!G25</f>
        <v>0</v>
      </c>
      <c r="H25" s="2954">
        <f>'Phụ lục số 4'!H25</f>
        <v>0</v>
      </c>
      <c r="I25" s="2954"/>
      <c r="J25" s="2954">
        <f t="shared" si="9"/>
        <v>648205</v>
      </c>
      <c r="K25" s="2954">
        <f>'Phụ lục số 4'!K25</f>
        <v>0</v>
      </c>
      <c r="L25" s="2954">
        <f>'Phụ lục số 4'!L25</f>
        <v>126</v>
      </c>
      <c r="M25" s="2954">
        <f>'Phụ lục số 4'!M25</f>
        <v>0</v>
      </c>
      <c r="N25" s="2954">
        <f>'Phụ lục số 4'!N25</f>
        <v>618001</v>
      </c>
      <c r="O25" s="2954">
        <f>'Phụ lục số 4'!O25</f>
        <v>0</v>
      </c>
      <c r="P25" s="2954">
        <f>'Phụ lục số 4'!P25</f>
        <v>0</v>
      </c>
      <c r="Q25" s="2954">
        <f>'Phụ lục số 4'!Q25</f>
        <v>520</v>
      </c>
      <c r="R25" s="2954">
        <f>'Phụ lục số 4'!R25</f>
        <v>15000</v>
      </c>
      <c r="S25" s="2954">
        <f>'Phụ lục số 4'!S25</f>
        <v>0</v>
      </c>
      <c r="T25" s="2954">
        <f>'Phụ lục số 4'!T25</f>
        <v>14558</v>
      </c>
      <c r="U25" s="2954">
        <f>'Phụ lục số 4'!U25</f>
        <v>0</v>
      </c>
      <c r="V25" s="2954">
        <f>'Phụ lục số 4'!V25</f>
        <v>0</v>
      </c>
      <c r="W25" s="2954">
        <f>'Phụ lục số 4'!W25</f>
        <v>0</v>
      </c>
      <c r="X25" s="2954">
        <f>'Phụ lục số 4'!X25</f>
        <v>0</v>
      </c>
      <c r="Y25" s="2954">
        <f>'Phụ lục số 4'!Y25</f>
        <v>0</v>
      </c>
      <c r="Z25" s="2954">
        <f>'Phụ lục số 4'!Z25</f>
        <v>0</v>
      </c>
      <c r="AA25" s="2954">
        <f>'Phụ lục số 4'!AA25</f>
        <v>0</v>
      </c>
      <c r="AB25" s="2954">
        <f t="shared" si="10"/>
        <v>0</v>
      </c>
      <c r="AC25" s="2954">
        <f>'Phụ lục số 4'!AC25</f>
        <v>0</v>
      </c>
      <c r="AD25" s="3142">
        <f>'Phụ lục số 4'!AD25</f>
        <v>0</v>
      </c>
      <c r="AE25" s="3153">
        <f>'Phụ lục số 4'!AE25</f>
        <v>0</v>
      </c>
    </row>
    <row r="26" spans="1:31" s="154" customFormat="1">
      <c r="A26" s="2110">
        <v>15</v>
      </c>
      <c r="B26" s="2787" t="str">
        <f>'Phụ lục số 4'!B26</f>
        <v>Sở Tài nguyên và Môi trường</v>
      </c>
      <c r="C26" s="2954">
        <f t="shared" si="7"/>
        <v>96879</v>
      </c>
      <c r="D26" s="2954">
        <f t="shared" si="8"/>
        <v>0</v>
      </c>
      <c r="E26" s="2954">
        <f>'Phụ lục số 4'!E26</f>
        <v>0</v>
      </c>
      <c r="F26" s="2954">
        <f>'Phụ lục số 4'!F26</f>
        <v>0</v>
      </c>
      <c r="G26" s="2954">
        <f>'Phụ lục số 4'!G26</f>
        <v>0</v>
      </c>
      <c r="H26" s="2954">
        <f>'Phụ lục số 4'!H26</f>
        <v>0</v>
      </c>
      <c r="I26" s="2954"/>
      <c r="J26" s="2954">
        <f t="shared" si="9"/>
        <v>96879</v>
      </c>
      <c r="K26" s="2954">
        <f>'Phụ lục số 4'!K26</f>
        <v>57615</v>
      </c>
      <c r="L26" s="2954">
        <f>'Phụ lục số 4'!L26</f>
        <v>29005</v>
      </c>
      <c r="M26" s="2954">
        <f>'Phụ lục số 4'!M26</f>
        <v>0</v>
      </c>
      <c r="N26" s="2954">
        <f>'Phụ lục số 4'!N26</f>
        <v>85</v>
      </c>
      <c r="O26" s="2954">
        <f>'Phụ lục số 4'!O26</f>
        <v>0</v>
      </c>
      <c r="P26" s="2954">
        <f>'Phụ lục số 4'!P26</f>
        <v>0</v>
      </c>
      <c r="Q26" s="2954">
        <f>'Phụ lục số 4'!Q26</f>
        <v>0</v>
      </c>
      <c r="R26" s="2954">
        <f>'Phụ lục số 4'!R26</f>
        <v>0</v>
      </c>
      <c r="S26" s="2954">
        <f>'Phụ lục số 4'!S26</f>
        <v>0</v>
      </c>
      <c r="T26" s="2954">
        <f>'Phụ lục số 4'!T26</f>
        <v>10174</v>
      </c>
      <c r="U26" s="2954">
        <f>'Phụ lục số 4'!U26</f>
        <v>0</v>
      </c>
      <c r="V26" s="2954">
        <f>'Phụ lục số 4'!V26</f>
        <v>0</v>
      </c>
      <c r="W26" s="2954">
        <f>'Phụ lục số 4'!W26</f>
        <v>0</v>
      </c>
      <c r="X26" s="2954">
        <f>'Phụ lục số 4'!X26</f>
        <v>0</v>
      </c>
      <c r="Y26" s="2954">
        <f>'Phụ lục số 4'!Y26</f>
        <v>0</v>
      </c>
      <c r="Z26" s="2954">
        <f>'Phụ lục số 4'!Z26</f>
        <v>0</v>
      </c>
      <c r="AA26" s="2954">
        <f>'Phụ lục số 4'!AA26</f>
        <v>0</v>
      </c>
      <c r="AB26" s="2954">
        <f t="shared" si="10"/>
        <v>0</v>
      </c>
      <c r="AC26" s="2954">
        <f>'Phụ lục số 4'!AC26</f>
        <v>0</v>
      </c>
      <c r="AD26" s="3142">
        <f>'Phụ lục số 4'!AD26</f>
        <v>0</v>
      </c>
      <c r="AE26" s="3153">
        <f>'Phụ lục số 4'!AE26</f>
        <v>0</v>
      </c>
    </row>
    <row r="27" spans="1:31" s="154" customFormat="1">
      <c r="A27" s="2110">
        <v>16</v>
      </c>
      <c r="B27" s="2787" t="str">
        <f>'Phụ lục số 4'!B27</f>
        <v>Sở Văn hóa Thể thao và Du lịch</v>
      </c>
      <c r="C27" s="2954">
        <f t="shared" si="7"/>
        <v>141585</v>
      </c>
      <c r="D27" s="2954">
        <f t="shared" si="8"/>
        <v>0</v>
      </c>
      <c r="E27" s="2954">
        <f>'Phụ lục số 4'!E27</f>
        <v>0</v>
      </c>
      <c r="F27" s="2954">
        <f>'Phụ lục số 4'!F27</f>
        <v>0</v>
      </c>
      <c r="G27" s="2954">
        <f>'Phụ lục số 4'!G27</f>
        <v>0</v>
      </c>
      <c r="H27" s="2954">
        <f>'Phụ lục số 4'!H27</f>
        <v>0</v>
      </c>
      <c r="I27" s="2954"/>
      <c r="J27" s="2954">
        <f t="shared" si="9"/>
        <v>141585</v>
      </c>
      <c r="K27" s="2954">
        <f>'Phụ lục số 4'!K27</f>
        <v>150</v>
      </c>
      <c r="L27" s="2954">
        <f>'Phụ lục số 4'!L27</f>
        <v>0</v>
      </c>
      <c r="M27" s="2954">
        <f>'Phụ lục số 4'!M27</f>
        <v>0</v>
      </c>
      <c r="N27" s="2954">
        <f>'Phụ lục số 4'!N27</f>
        <v>66856</v>
      </c>
      <c r="O27" s="2954">
        <f>'Phụ lục số 4'!O27</f>
        <v>0</v>
      </c>
      <c r="P27" s="2954">
        <f>'Phụ lục số 4'!P27</f>
        <v>43694</v>
      </c>
      <c r="Q27" s="2954">
        <f>'Phụ lục số 4'!Q27</f>
        <v>0</v>
      </c>
      <c r="R27" s="2954">
        <f>'Phụ lục số 4'!R27</f>
        <v>22202</v>
      </c>
      <c r="S27" s="2954">
        <f>'Phụ lục số 4'!S27</f>
        <v>0</v>
      </c>
      <c r="T27" s="2954">
        <f>'Phụ lục số 4'!T27</f>
        <v>8683</v>
      </c>
      <c r="U27" s="2954">
        <f>'Phụ lục số 4'!U27</f>
        <v>0</v>
      </c>
      <c r="V27" s="2954">
        <f>'Phụ lục số 4'!V27</f>
        <v>0</v>
      </c>
      <c r="W27" s="2954">
        <f>'Phụ lục số 4'!W27</f>
        <v>0</v>
      </c>
      <c r="X27" s="2954">
        <f>'Phụ lục số 4'!X27</f>
        <v>0</v>
      </c>
      <c r="Y27" s="2954">
        <f>'Phụ lục số 4'!Y27</f>
        <v>0</v>
      </c>
      <c r="Z27" s="2954">
        <f>'Phụ lục số 4'!Z27</f>
        <v>0</v>
      </c>
      <c r="AA27" s="2954">
        <f>'Phụ lục số 4'!AA27</f>
        <v>0</v>
      </c>
      <c r="AB27" s="2954">
        <f t="shared" si="10"/>
        <v>0</v>
      </c>
      <c r="AC27" s="2954">
        <f>'Phụ lục số 4'!AC27</f>
        <v>0</v>
      </c>
      <c r="AD27" s="3142">
        <f>'Phụ lục số 4'!AD27</f>
        <v>0</v>
      </c>
      <c r="AE27" s="3153">
        <f>'Phụ lục số 4'!AE27</f>
        <v>0</v>
      </c>
    </row>
    <row r="28" spans="1:31" s="154" customFormat="1">
      <c r="A28" s="2110">
        <v>17</v>
      </c>
      <c r="B28" s="2787" t="str">
        <f>'Phụ lục số 4'!B28</f>
        <v>Sở Thông tin và Truyền thông</v>
      </c>
      <c r="C28" s="2954">
        <f t="shared" si="7"/>
        <v>51460</v>
      </c>
      <c r="D28" s="2954">
        <f t="shared" si="8"/>
        <v>0</v>
      </c>
      <c r="E28" s="2954">
        <f>'Phụ lục số 4'!E28</f>
        <v>0</v>
      </c>
      <c r="F28" s="2954">
        <f>'Phụ lục số 4'!F28</f>
        <v>0</v>
      </c>
      <c r="G28" s="2954">
        <f>'Phụ lục số 4'!G28</f>
        <v>0</v>
      </c>
      <c r="H28" s="2954">
        <f>'Phụ lục số 4'!H28</f>
        <v>0</v>
      </c>
      <c r="I28" s="2954"/>
      <c r="J28" s="2954">
        <f t="shared" si="9"/>
        <v>51460</v>
      </c>
      <c r="K28" s="2954">
        <f>'Phụ lục số 4'!K28</f>
        <v>20950</v>
      </c>
      <c r="L28" s="2954">
        <f>'Phụ lục số 4'!L28</f>
        <v>0</v>
      </c>
      <c r="M28" s="2954">
        <f>'Phụ lục số 4'!M28</f>
        <v>0</v>
      </c>
      <c r="N28" s="2954">
        <f>'Phụ lục số 4'!N28</f>
        <v>762</v>
      </c>
      <c r="O28" s="2954">
        <f>'Phụ lục số 4'!O28</f>
        <v>0</v>
      </c>
      <c r="P28" s="2954">
        <f>'Phụ lục số 4'!P28</f>
        <v>0</v>
      </c>
      <c r="Q28" s="2954">
        <f>'Phụ lục số 4'!Q28</f>
        <v>15690</v>
      </c>
      <c r="R28" s="2954">
        <f>'Phụ lục số 4'!R28</f>
        <v>0</v>
      </c>
      <c r="S28" s="2954">
        <f>'Phụ lục số 4'!S28</f>
        <v>0</v>
      </c>
      <c r="T28" s="2954">
        <f>'Phụ lục số 4'!T28</f>
        <v>14058</v>
      </c>
      <c r="U28" s="2954">
        <f>'Phụ lục số 4'!U28</f>
        <v>0</v>
      </c>
      <c r="V28" s="2954">
        <f>'Phụ lục số 4'!V28</f>
        <v>0</v>
      </c>
      <c r="W28" s="2954">
        <f>'Phụ lục số 4'!W28</f>
        <v>0</v>
      </c>
      <c r="X28" s="2954">
        <f>'Phụ lục số 4'!X28</f>
        <v>0</v>
      </c>
      <c r="Y28" s="2954">
        <f>'Phụ lục số 4'!Y28</f>
        <v>0</v>
      </c>
      <c r="Z28" s="2954">
        <f>'Phụ lục số 4'!Z28</f>
        <v>0</v>
      </c>
      <c r="AA28" s="2954">
        <f>'Phụ lục số 4'!AA28</f>
        <v>0</v>
      </c>
      <c r="AB28" s="2954">
        <f t="shared" si="10"/>
        <v>0</v>
      </c>
      <c r="AC28" s="2954">
        <f>'Phụ lục số 4'!AC28</f>
        <v>0</v>
      </c>
      <c r="AD28" s="3142">
        <f>'Phụ lục số 4'!AD28</f>
        <v>0</v>
      </c>
      <c r="AE28" s="3153">
        <f>'Phụ lục số 4'!AE28</f>
        <v>0</v>
      </c>
    </row>
    <row r="29" spans="1:31" s="154" customFormat="1">
      <c r="A29" s="2110">
        <v>18</v>
      </c>
      <c r="B29" s="2787" t="str">
        <f>'Phụ lục số 4'!B29</f>
        <v>Sở Giao thông và Vận tải</v>
      </c>
      <c r="C29" s="2954">
        <f t="shared" si="7"/>
        <v>97291</v>
      </c>
      <c r="D29" s="2954">
        <f t="shared" si="8"/>
        <v>0</v>
      </c>
      <c r="E29" s="2954">
        <f>'Phụ lục số 4'!E29</f>
        <v>0</v>
      </c>
      <c r="F29" s="2954">
        <f>'Phụ lục số 4'!F29</f>
        <v>0</v>
      </c>
      <c r="G29" s="2954">
        <f>'Phụ lục số 4'!G29</f>
        <v>0</v>
      </c>
      <c r="H29" s="2954">
        <f>'Phụ lục số 4'!H29</f>
        <v>0</v>
      </c>
      <c r="I29" s="2954"/>
      <c r="J29" s="2954">
        <f t="shared" si="9"/>
        <v>46033</v>
      </c>
      <c r="K29" s="2954">
        <f>'Phụ lục số 4'!K29</f>
        <v>30582</v>
      </c>
      <c r="L29" s="2954">
        <f>'Phụ lục số 4'!L29</f>
        <v>0</v>
      </c>
      <c r="M29" s="2954">
        <f>'Phụ lục số 4'!M29</f>
        <v>0</v>
      </c>
      <c r="N29" s="2954">
        <f>'Phụ lục số 4'!N29</f>
        <v>149</v>
      </c>
      <c r="O29" s="2954">
        <f>'Phụ lục số 4'!O29</f>
        <v>0</v>
      </c>
      <c r="P29" s="2954">
        <f>'Phụ lục số 4'!P29</f>
        <v>0</v>
      </c>
      <c r="Q29" s="2954">
        <f>'Phụ lục số 4'!Q29</f>
        <v>0</v>
      </c>
      <c r="R29" s="2954">
        <f>'Phụ lục số 4'!R29</f>
        <v>0</v>
      </c>
      <c r="S29" s="2954">
        <f>'Phụ lục số 4'!S29</f>
        <v>0</v>
      </c>
      <c r="T29" s="2954">
        <f>'Phụ lục số 4'!T29</f>
        <v>15302</v>
      </c>
      <c r="U29" s="2954">
        <f>'Phụ lục số 4'!U29</f>
        <v>0</v>
      </c>
      <c r="V29" s="2954">
        <f>'Phụ lục số 4'!V29</f>
        <v>0</v>
      </c>
      <c r="W29" s="2954">
        <f>'Phụ lục số 4'!W29</f>
        <v>0</v>
      </c>
      <c r="X29" s="2954">
        <f>'Phụ lục số 4'!X29</f>
        <v>0</v>
      </c>
      <c r="Y29" s="2954">
        <f>'Phụ lục số 4'!Y29</f>
        <v>0</v>
      </c>
      <c r="Z29" s="2954">
        <f>'Phụ lục số 4'!Z29</f>
        <v>0</v>
      </c>
      <c r="AA29" s="2954">
        <f>'Phụ lục số 4'!AA29</f>
        <v>0</v>
      </c>
      <c r="AB29" s="2954">
        <f t="shared" si="10"/>
        <v>51258</v>
      </c>
      <c r="AC29" s="2954">
        <f>'Phụ lục số 4'!AC29</f>
        <v>0</v>
      </c>
      <c r="AD29" s="3142">
        <f>'Phụ lục số 4'!AD29</f>
        <v>51258</v>
      </c>
      <c r="AE29" s="3153">
        <f>'Phụ lục số 4'!AE29</f>
        <v>0</v>
      </c>
    </row>
    <row r="30" spans="1:31" s="154" customFormat="1">
      <c r="A30" s="2110">
        <v>19</v>
      </c>
      <c r="B30" s="2787" t="str">
        <f>'Phụ lục số 4'!B30</f>
        <v>Sở Lao động Thương binh và Xã hội</v>
      </c>
      <c r="C30" s="2954">
        <f t="shared" si="7"/>
        <v>189048</v>
      </c>
      <c r="D30" s="2954">
        <f t="shared" si="8"/>
        <v>0</v>
      </c>
      <c r="E30" s="2954">
        <f>'Phụ lục số 4'!E30</f>
        <v>0</v>
      </c>
      <c r="F30" s="2954">
        <f>'Phụ lục số 4'!F30</f>
        <v>0</v>
      </c>
      <c r="G30" s="2954">
        <f>'Phụ lục số 4'!G30</f>
        <v>0</v>
      </c>
      <c r="H30" s="2954">
        <f>'Phụ lục số 4'!H30</f>
        <v>0</v>
      </c>
      <c r="I30" s="2954"/>
      <c r="J30" s="2954">
        <f t="shared" si="9"/>
        <v>123393</v>
      </c>
      <c r="K30" s="2954">
        <f>'Phụ lục số 4'!K30</f>
        <v>0</v>
      </c>
      <c r="L30" s="2954">
        <f>'Phụ lục số 4'!L30</f>
        <v>480</v>
      </c>
      <c r="M30" s="2954">
        <f>'Phụ lục số 4'!M30</f>
        <v>0</v>
      </c>
      <c r="N30" s="2954">
        <f>'Phụ lục số 4'!N30</f>
        <v>60000</v>
      </c>
      <c r="O30" s="2954">
        <f>'Phụ lục số 4'!O30</f>
        <v>0</v>
      </c>
      <c r="P30" s="2954">
        <f>'Phụ lục số 4'!P30</f>
        <v>0</v>
      </c>
      <c r="Q30" s="2954">
        <f>'Phụ lục số 4'!Q30</f>
        <v>0</v>
      </c>
      <c r="R30" s="2954">
        <f>'Phụ lục số 4'!R30</f>
        <v>0</v>
      </c>
      <c r="S30" s="2954">
        <f>'Phụ lục số 4'!S30</f>
        <v>54000</v>
      </c>
      <c r="T30" s="2954">
        <f>'Phụ lục số 4'!T30</f>
        <v>8913</v>
      </c>
      <c r="U30" s="2954">
        <f>'Phụ lục số 4'!U30</f>
        <v>0</v>
      </c>
      <c r="V30" s="2954">
        <f>'Phụ lục số 4'!V30</f>
        <v>0</v>
      </c>
      <c r="W30" s="2954">
        <f>'Phụ lục số 4'!W30</f>
        <v>0</v>
      </c>
      <c r="X30" s="2954">
        <f>'Phụ lục số 4'!X30</f>
        <v>0</v>
      </c>
      <c r="Y30" s="2954">
        <f>'Phụ lục số 4'!Y30</f>
        <v>0</v>
      </c>
      <c r="Z30" s="2954">
        <f>'Phụ lục số 4'!Z30</f>
        <v>0</v>
      </c>
      <c r="AA30" s="2954">
        <f>'Phụ lục số 4'!AA30</f>
        <v>0</v>
      </c>
      <c r="AB30" s="2954">
        <f t="shared" si="10"/>
        <v>65655</v>
      </c>
      <c r="AC30" s="2954">
        <f>'Phụ lục số 4'!AC30</f>
        <v>0</v>
      </c>
      <c r="AD30" s="3142">
        <f>'Phụ lục số 4'!AD30</f>
        <v>65655</v>
      </c>
      <c r="AE30" s="3153">
        <f>'Phụ lục số 4'!AE30</f>
        <v>0</v>
      </c>
    </row>
    <row r="31" spans="1:31" s="154" customFormat="1">
      <c r="A31" s="2110">
        <v>20</v>
      </c>
      <c r="B31" s="2787" t="str">
        <f>'Phụ lục số 4'!B31</f>
        <v>Thanh tra Tỉnh</v>
      </c>
      <c r="C31" s="2954">
        <f t="shared" si="7"/>
        <v>12698</v>
      </c>
      <c r="D31" s="2954">
        <f t="shared" si="8"/>
        <v>0</v>
      </c>
      <c r="E31" s="2954">
        <f>'Phụ lục số 4'!E31</f>
        <v>0</v>
      </c>
      <c r="F31" s="2954">
        <f>'Phụ lục số 4'!F31</f>
        <v>0</v>
      </c>
      <c r="G31" s="2954">
        <f>'Phụ lục số 4'!G31</f>
        <v>0</v>
      </c>
      <c r="H31" s="2954">
        <f>'Phụ lục số 4'!H31</f>
        <v>0</v>
      </c>
      <c r="I31" s="2954"/>
      <c r="J31" s="2954">
        <f t="shared" si="9"/>
        <v>12698</v>
      </c>
      <c r="K31" s="2954">
        <f>'Phụ lục số 4'!K31</f>
        <v>0</v>
      </c>
      <c r="L31" s="2954">
        <f>'Phụ lục số 4'!L31</f>
        <v>0</v>
      </c>
      <c r="M31" s="2954">
        <f>'Phụ lục số 4'!M31</f>
        <v>0</v>
      </c>
      <c r="N31" s="2954">
        <f>'Phụ lục số 4'!N31</f>
        <v>164</v>
      </c>
      <c r="O31" s="2954">
        <f>'Phụ lục số 4'!O31</f>
        <v>0</v>
      </c>
      <c r="P31" s="2954">
        <f>'Phụ lục số 4'!P31</f>
        <v>0</v>
      </c>
      <c r="Q31" s="2954">
        <f>'Phụ lục số 4'!Q31</f>
        <v>0</v>
      </c>
      <c r="R31" s="2954">
        <f>'Phụ lục số 4'!R31</f>
        <v>0</v>
      </c>
      <c r="S31" s="2954">
        <f>'Phụ lục số 4'!S31</f>
        <v>0</v>
      </c>
      <c r="T31" s="2954">
        <f>'Phụ lục số 4'!T31</f>
        <v>12534</v>
      </c>
      <c r="U31" s="2954">
        <f>'Phụ lục số 4'!U31</f>
        <v>0</v>
      </c>
      <c r="V31" s="2954">
        <f>'Phụ lục số 4'!V31</f>
        <v>0</v>
      </c>
      <c r="W31" s="2954">
        <f>'Phụ lục số 4'!W31</f>
        <v>0</v>
      </c>
      <c r="X31" s="2954">
        <f>'Phụ lục số 4'!X31</f>
        <v>0</v>
      </c>
      <c r="Y31" s="2954">
        <f>'Phụ lục số 4'!Y31</f>
        <v>0</v>
      </c>
      <c r="Z31" s="2954">
        <f>'Phụ lục số 4'!Z31</f>
        <v>0</v>
      </c>
      <c r="AA31" s="2954">
        <f>'Phụ lục số 4'!AA31</f>
        <v>0</v>
      </c>
      <c r="AB31" s="2954">
        <f t="shared" si="10"/>
        <v>0</v>
      </c>
      <c r="AC31" s="2954">
        <f>'Phụ lục số 4'!AC31</f>
        <v>0</v>
      </c>
      <c r="AD31" s="3142">
        <f>'Phụ lục số 4'!AD31</f>
        <v>0</v>
      </c>
      <c r="AE31" s="3153">
        <f>'Phụ lục số 4'!AE31</f>
        <v>0</v>
      </c>
    </row>
    <row r="32" spans="1:31" s="154" customFormat="1">
      <c r="A32" s="2110">
        <v>21</v>
      </c>
      <c r="B32" s="2787" t="str">
        <f>'Phụ lục số 4'!B32</f>
        <v>Trường Chính trị</v>
      </c>
      <c r="C32" s="2954">
        <f t="shared" si="7"/>
        <v>23281</v>
      </c>
      <c r="D32" s="2954">
        <f t="shared" si="8"/>
        <v>0</v>
      </c>
      <c r="E32" s="2954">
        <f>'Phụ lục số 4'!E32</f>
        <v>0</v>
      </c>
      <c r="F32" s="2954">
        <f>'Phụ lục số 4'!F32</f>
        <v>0</v>
      </c>
      <c r="G32" s="2954">
        <f>'Phụ lục số 4'!G32</f>
        <v>0</v>
      </c>
      <c r="H32" s="2954">
        <f>'Phụ lục số 4'!H32</f>
        <v>0</v>
      </c>
      <c r="I32" s="2954"/>
      <c r="J32" s="2954">
        <f t="shared" si="9"/>
        <v>23281</v>
      </c>
      <c r="K32" s="2954">
        <f>'Phụ lục số 4'!K32</f>
        <v>0</v>
      </c>
      <c r="L32" s="2954">
        <f>'Phụ lục số 4'!L32</f>
        <v>0</v>
      </c>
      <c r="M32" s="2954">
        <f>'Phụ lục số 4'!M32</f>
        <v>0</v>
      </c>
      <c r="N32" s="2954">
        <f>'Phụ lục số 4'!N32</f>
        <v>23281</v>
      </c>
      <c r="O32" s="2954">
        <f>'Phụ lục số 4'!O32</f>
        <v>0</v>
      </c>
      <c r="P32" s="2954">
        <f>'Phụ lục số 4'!P32</f>
        <v>0</v>
      </c>
      <c r="Q32" s="2954">
        <f>'Phụ lục số 4'!Q32</f>
        <v>0</v>
      </c>
      <c r="R32" s="2954">
        <f>'Phụ lục số 4'!R32</f>
        <v>0</v>
      </c>
      <c r="S32" s="2954">
        <f>'Phụ lục số 4'!S32</f>
        <v>0</v>
      </c>
      <c r="T32" s="2954">
        <f>'Phụ lục số 4'!T32</f>
        <v>0</v>
      </c>
      <c r="U32" s="2954">
        <f>'Phụ lục số 4'!U32</f>
        <v>0</v>
      </c>
      <c r="V32" s="2954">
        <f>'Phụ lục số 4'!V32</f>
        <v>0</v>
      </c>
      <c r="W32" s="2954">
        <f>'Phụ lục số 4'!W32</f>
        <v>0</v>
      </c>
      <c r="X32" s="2954">
        <f>'Phụ lục số 4'!X32</f>
        <v>0</v>
      </c>
      <c r="Y32" s="2954">
        <f>'Phụ lục số 4'!Y32</f>
        <v>0</v>
      </c>
      <c r="Z32" s="2954">
        <f>'Phụ lục số 4'!Z32</f>
        <v>0</v>
      </c>
      <c r="AA32" s="2954">
        <f>'Phụ lục số 4'!AA32</f>
        <v>0</v>
      </c>
      <c r="AB32" s="2954">
        <f t="shared" si="10"/>
        <v>0</v>
      </c>
      <c r="AC32" s="2954">
        <f>'Phụ lục số 4'!AC32</f>
        <v>0</v>
      </c>
      <c r="AD32" s="3142">
        <f>'Phụ lục số 4'!AD32</f>
        <v>0</v>
      </c>
      <c r="AE32" s="3153">
        <f>'Phụ lục số 4'!AE32</f>
        <v>0</v>
      </c>
    </row>
    <row r="33" spans="1:31" s="154" customFormat="1">
      <c r="A33" s="2110">
        <v>22</v>
      </c>
      <c r="B33" s="2787" t="str">
        <f>'Phụ lục số 4'!B33</f>
        <v>Trường Cao đẳng Cộng đồng</v>
      </c>
      <c r="C33" s="2954">
        <f t="shared" si="7"/>
        <v>61825</v>
      </c>
      <c r="D33" s="2954">
        <f t="shared" si="8"/>
        <v>0</v>
      </c>
      <c r="E33" s="2954">
        <f>'Phụ lục số 4'!E33</f>
        <v>0</v>
      </c>
      <c r="F33" s="2954">
        <f>'Phụ lục số 4'!F33</f>
        <v>0</v>
      </c>
      <c r="G33" s="2954">
        <f>'Phụ lục số 4'!G33</f>
        <v>0</v>
      </c>
      <c r="H33" s="2954">
        <f>'Phụ lục số 4'!H33</f>
        <v>0</v>
      </c>
      <c r="I33" s="2954"/>
      <c r="J33" s="2954">
        <f t="shared" si="9"/>
        <v>61825</v>
      </c>
      <c r="K33" s="2954">
        <f>'Phụ lục số 4'!K33</f>
        <v>0</v>
      </c>
      <c r="L33" s="2954">
        <f>'Phụ lục số 4'!L33</f>
        <v>0</v>
      </c>
      <c r="M33" s="2954">
        <f>'Phụ lục số 4'!M33</f>
        <v>0</v>
      </c>
      <c r="N33" s="2954">
        <f>'Phụ lục số 4'!N33</f>
        <v>61825</v>
      </c>
      <c r="O33" s="2954">
        <f>'Phụ lục số 4'!O33</f>
        <v>0</v>
      </c>
      <c r="P33" s="2954">
        <f>'Phụ lục số 4'!P33</f>
        <v>0</v>
      </c>
      <c r="Q33" s="2954">
        <f>'Phụ lục số 4'!Q33</f>
        <v>0</v>
      </c>
      <c r="R33" s="2954">
        <f>'Phụ lục số 4'!R33</f>
        <v>0</v>
      </c>
      <c r="S33" s="2954">
        <f>'Phụ lục số 4'!S33</f>
        <v>0</v>
      </c>
      <c r="T33" s="2954">
        <f>'Phụ lục số 4'!T33</f>
        <v>0</v>
      </c>
      <c r="U33" s="2954">
        <f>'Phụ lục số 4'!U33</f>
        <v>0</v>
      </c>
      <c r="V33" s="2954">
        <f>'Phụ lục số 4'!V33</f>
        <v>0</v>
      </c>
      <c r="W33" s="2954">
        <f>'Phụ lục số 4'!W33</f>
        <v>0</v>
      </c>
      <c r="X33" s="2954">
        <f>'Phụ lục số 4'!X33</f>
        <v>0</v>
      </c>
      <c r="Y33" s="2954">
        <f>'Phụ lục số 4'!Y33</f>
        <v>0</v>
      </c>
      <c r="Z33" s="2954">
        <f>'Phụ lục số 4'!Z33</f>
        <v>0</v>
      </c>
      <c r="AA33" s="2954">
        <f>'Phụ lục số 4'!AA33</f>
        <v>0</v>
      </c>
      <c r="AB33" s="2954">
        <f t="shared" si="10"/>
        <v>0</v>
      </c>
      <c r="AC33" s="2954">
        <f>'Phụ lục số 4'!AC33</f>
        <v>0</v>
      </c>
      <c r="AD33" s="3142">
        <f>'Phụ lục số 4'!AD33</f>
        <v>0</v>
      </c>
      <c r="AE33" s="3153">
        <f>'Phụ lục số 4'!AE33</f>
        <v>0</v>
      </c>
    </row>
    <row r="34" spans="1:31" s="154" customFormat="1">
      <c r="A34" s="2110">
        <v>23</v>
      </c>
      <c r="B34" s="2787" t="str">
        <f>'Phụ lục số 4'!B34</f>
        <v>Trường Cao đẳng Y tế</v>
      </c>
      <c r="C34" s="2954">
        <f t="shared" si="7"/>
        <v>15870</v>
      </c>
      <c r="D34" s="2954">
        <f t="shared" si="8"/>
        <v>0</v>
      </c>
      <c r="E34" s="2954">
        <f>'Phụ lục số 4'!E34</f>
        <v>0</v>
      </c>
      <c r="F34" s="2954">
        <f>'Phụ lục số 4'!F34</f>
        <v>0</v>
      </c>
      <c r="G34" s="2954">
        <f>'Phụ lục số 4'!G34</f>
        <v>0</v>
      </c>
      <c r="H34" s="2954">
        <f>'Phụ lục số 4'!H34</f>
        <v>0</v>
      </c>
      <c r="I34" s="2954"/>
      <c r="J34" s="2954">
        <f t="shared" si="9"/>
        <v>15870</v>
      </c>
      <c r="K34" s="2954">
        <f>'Phụ lục số 4'!K34</f>
        <v>0</v>
      </c>
      <c r="L34" s="2954">
        <f>'Phụ lục số 4'!L34</f>
        <v>0</v>
      </c>
      <c r="M34" s="2954">
        <f>'Phụ lục số 4'!M34</f>
        <v>0</v>
      </c>
      <c r="N34" s="2954">
        <f>'Phụ lục số 4'!N34</f>
        <v>15870</v>
      </c>
      <c r="O34" s="2954">
        <f>'Phụ lục số 4'!O34</f>
        <v>0</v>
      </c>
      <c r="P34" s="2954">
        <f>'Phụ lục số 4'!P34</f>
        <v>0</v>
      </c>
      <c r="Q34" s="2954">
        <f>'Phụ lục số 4'!Q34</f>
        <v>0</v>
      </c>
      <c r="R34" s="2954">
        <f>'Phụ lục số 4'!R34</f>
        <v>0</v>
      </c>
      <c r="S34" s="2954">
        <f>'Phụ lục số 4'!S34</f>
        <v>0</v>
      </c>
      <c r="T34" s="2954">
        <f>'Phụ lục số 4'!T34</f>
        <v>0</v>
      </c>
      <c r="U34" s="2954">
        <f>'Phụ lục số 4'!U34</f>
        <v>0</v>
      </c>
      <c r="V34" s="2954">
        <f>'Phụ lục số 4'!V34</f>
        <v>0</v>
      </c>
      <c r="W34" s="2954">
        <f>'Phụ lục số 4'!W34</f>
        <v>0</v>
      </c>
      <c r="X34" s="2954">
        <f>'Phụ lục số 4'!X34</f>
        <v>0</v>
      </c>
      <c r="Y34" s="2954">
        <f>'Phụ lục số 4'!Y34</f>
        <v>0</v>
      </c>
      <c r="Z34" s="2954">
        <f>'Phụ lục số 4'!Z34</f>
        <v>0</v>
      </c>
      <c r="AA34" s="2954">
        <f>'Phụ lục số 4'!AA34</f>
        <v>0</v>
      </c>
      <c r="AB34" s="2954">
        <f t="shared" si="10"/>
        <v>0</v>
      </c>
      <c r="AC34" s="2954">
        <f>'Phụ lục số 4'!AC34</f>
        <v>0</v>
      </c>
      <c r="AD34" s="3142">
        <f>'Phụ lục số 4'!AD34</f>
        <v>0</v>
      </c>
      <c r="AE34" s="3153">
        <f>'Phụ lục số 4'!AE34</f>
        <v>0</v>
      </c>
    </row>
    <row r="35" spans="1:31" s="154" customFormat="1">
      <c r="A35" s="2110">
        <v>24</v>
      </c>
      <c r="B35" s="2787" t="str">
        <f>'Phụ lục số 4'!B35</f>
        <v>Ban Quản lý Khu Kinh tế</v>
      </c>
      <c r="C35" s="2954">
        <f t="shared" si="7"/>
        <v>5008</v>
      </c>
      <c r="D35" s="2954">
        <f t="shared" si="8"/>
        <v>0</v>
      </c>
      <c r="E35" s="2954">
        <f>'Phụ lục số 4'!E35</f>
        <v>0</v>
      </c>
      <c r="F35" s="2954">
        <f>'Phụ lục số 4'!F35</f>
        <v>0</v>
      </c>
      <c r="G35" s="2954">
        <f>'Phụ lục số 4'!G35</f>
        <v>0</v>
      </c>
      <c r="H35" s="2954">
        <f>'Phụ lục số 4'!H35</f>
        <v>0</v>
      </c>
      <c r="I35" s="2954"/>
      <c r="J35" s="2954">
        <f t="shared" si="9"/>
        <v>5008</v>
      </c>
      <c r="K35" s="2954">
        <f>'Phụ lục số 4'!K35</f>
        <v>0</v>
      </c>
      <c r="L35" s="2954">
        <f>'Phụ lục số 4'!L35</f>
        <v>88</v>
      </c>
      <c r="M35" s="2954">
        <f>'Phụ lục số 4'!M35</f>
        <v>0</v>
      </c>
      <c r="N35" s="2954">
        <f>'Phụ lục số 4'!N35</f>
        <v>191</v>
      </c>
      <c r="O35" s="2954">
        <f>'Phụ lục số 4'!O35</f>
        <v>0</v>
      </c>
      <c r="P35" s="2954">
        <f>'Phụ lục số 4'!P35</f>
        <v>0</v>
      </c>
      <c r="Q35" s="2954">
        <f>'Phụ lục số 4'!Q35</f>
        <v>0</v>
      </c>
      <c r="R35" s="2954">
        <f>'Phụ lục số 4'!R35</f>
        <v>0</v>
      </c>
      <c r="S35" s="2954">
        <f>'Phụ lục số 4'!S35</f>
        <v>0</v>
      </c>
      <c r="T35" s="2954">
        <f>'Phụ lục số 4'!T35</f>
        <v>4729</v>
      </c>
      <c r="U35" s="2954">
        <f>'Phụ lục số 4'!U35</f>
        <v>0</v>
      </c>
      <c r="V35" s="2954">
        <f>'Phụ lục số 4'!V35</f>
        <v>0</v>
      </c>
      <c r="W35" s="2954">
        <f>'Phụ lục số 4'!W35</f>
        <v>0</v>
      </c>
      <c r="X35" s="2954">
        <f>'Phụ lục số 4'!X35</f>
        <v>0</v>
      </c>
      <c r="Y35" s="2954">
        <f>'Phụ lục số 4'!Y35</f>
        <v>0</v>
      </c>
      <c r="Z35" s="2954">
        <f>'Phụ lục số 4'!Z35</f>
        <v>0</v>
      </c>
      <c r="AA35" s="2954">
        <f>'Phụ lục số 4'!AA35</f>
        <v>0</v>
      </c>
      <c r="AB35" s="2954">
        <f t="shared" si="10"/>
        <v>0</v>
      </c>
      <c r="AC35" s="2954">
        <f>'Phụ lục số 4'!AC35</f>
        <v>0</v>
      </c>
      <c r="AD35" s="3142">
        <f>'Phụ lục số 4'!AD35</f>
        <v>0</v>
      </c>
      <c r="AE35" s="3153">
        <f>'Phụ lục số 4'!AE35</f>
        <v>0</v>
      </c>
    </row>
    <row r="36" spans="1:31" s="154" customFormat="1">
      <c r="A36" s="2110">
        <v>25</v>
      </c>
      <c r="B36" s="2787" t="str">
        <f>'Phụ lục số 4'!B36</f>
        <v xml:space="preserve">Ban An toàn Giao thông </v>
      </c>
      <c r="C36" s="2954">
        <f t="shared" si="7"/>
        <v>9306</v>
      </c>
      <c r="D36" s="2954">
        <f t="shared" si="8"/>
        <v>0</v>
      </c>
      <c r="E36" s="2954">
        <f>'Phụ lục số 4'!E36</f>
        <v>0</v>
      </c>
      <c r="F36" s="2954">
        <f>'Phụ lục số 4'!F36</f>
        <v>0</v>
      </c>
      <c r="G36" s="2954">
        <f>'Phụ lục số 4'!G36</f>
        <v>0</v>
      </c>
      <c r="H36" s="2954">
        <f>'Phụ lục số 4'!H36</f>
        <v>0</v>
      </c>
      <c r="I36" s="2954"/>
      <c r="J36" s="2954">
        <f t="shared" si="9"/>
        <v>2200</v>
      </c>
      <c r="K36" s="2954">
        <f>'Phụ lục số 4'!K36</f>
        <v>2200</v>
      </c>
      <c r="L36" s="2954">
        <f>'Phụ lục số 4'!L36</f>
        <v>0</v>
      </c>
      <c r="M36" s="2954">
        <f>'Phụ lục số 4'!M36</f>
        <v>0</v>
      </c>
      <c r="N36" s="2954">
        <f>'Phụ lục số 4'!N36</f>
        <v>0</v>
      </c>
      <c r="O36" s="2954">
        <f>'Phụ lục số 4'!O36</f>
        <v>0</v>
      </c>
      <c r="P36" s="2954">
        <f>'Phụ lục số 4'!P36</f>
        <v>0</v>
      </c>
      <c r="Q36" s="2954">
        <f>'Phụ lục số 4'!Q36</f>
        <v>0</v>
      </c>
      <c r="R36" s="2954">
        <f>'Phụ lục số 4'!R36</f>
        <v>0</v>
      </c>
      <c r="S36" s="2954">
        <f>'Phụ lục số 4'!S36</f>
        <v>0</v>
      </c>
      <c r="T36" s="2954">
        <f>'Phụ lục số 4'!T36</f>
        <v>0</v>
      </c>
      <c r="U36" s="2954">
        <f>'Phụ lục số 4'!U36</f>
        <v>0</v>
      </c>
      <c r="V36" s="2954">
        <f>'Phụ lục số 4'!V36</f>
        <v>0</v>
      </c>
      <c r="W36" s="2954">
        <f>'Phụ lục số 4'!W36</f>
        <v>0</v>
      </c>
      <c r="X36" s="2954">
        <f>'Phụ lục số 4'!X36</f>
        <v>0</v>
      </c>
      <c r="Y36" s="2954">
        <f>'Phụ lục số 4'!Y36</f>
        <v>0</v>
      </c>
      <c r="Z36" s="2954">
        <f>'Phụ lục số 4'!Z36</f>
        <v>0</v>
      </c>
      <c r="AA36" s="2954">
        <f>'Phụ lục số 4'!AA36</f>
        <v>0</v>
      </c>
      <c r="AB36" s="2954">
        <f t="shared" si="10"/>
        <v>7106</v>
      </c>
      <c r="AC36" s="2954">
        <f>'Phụ lục số 4'!AC36</f>
        <v>0</v>
      </c>
      <c r="AD36" s="3142">
        <f>'Phụ lục số 4'!AD36</f>
        <v>7106</v>
      </c>
      <c r="AE36" s="3153">
        <f>'Phụ lục số 4'!AE36</f>
        <v>0</v>
      </c>
    </row>
    <row r="37" spans="1:31" s="154" customFormat="1" ht="36">
      <c r="A37" s="2110">
        <v>26</v>
      </c>
      <c r="B37" s="2787" t="str">
        <f>'Phụ lục số 4'!B37</f>
        <v>Ban Quản lý dự án Đầu tư xây dựng Công trình nông nghiệp và Phát triển nông thôn</v>
      </c>
      <c r="C37" s="2954">
        <f t="shared" si="7"/>
        <v>90829</v>
      </c>
      <c r="D37" s="2954">
        <f t="shared" si="8"/>
        <v>0</v>
      </c>
      <c r="E37" s="2954">
        <f>'Phụ lục số 4'!E37</f>
        <v>0</v>
      </c>
      <c r="F37" s="2954">
        <f>'Phụ lục số 4'!F37</f>
        <v>0</v>
      </c>
      <c r="G37" s="2954">
        <f>'Phụ lục số 4'!G37</f>
        <v>0</v>
      </c>
      <c r="H37" s="2954">
        <f>'Phụ lục số 4'!H37</f>
        <v>0</v>
      </c>
      <c r="I37" s="2954"/>
      <c r="J37" s="2954">
        <f t="shared" si="9"/>
        <v>90829</v>
      </c>
      <c r="K37" s="2954">
        <f>'Phụ lục số 4'!K37</f>
        <v>90829</v>
      </c>
      <c r="L37" s="2954">
        <f>'Phụ lục số 4'!L37</f>
        <v>0</v>
      </c>
      <c r="M37" s="2954">
        <f>'Phụ lục số 4'!M37</f>
        <v>0</v>
      </c>
      <c r="N37" s="2954">
        <f>'Phụ lục số 4'!N37</f>
        <v>0</v>
      </c>
      <c r="O37" s="2954">
        <f>'Phụ lục số 4'!O37</f>
        <v>0</v>
      </c>
      <c r="P37" s="2954">
        <f>'Phụ lục số 4'!P37</f>
        <v>0</v>
      </c>
      <c r="Q37" s="2954">
        <f>'Phụ lục số 4'!Q37</f>
        <v>0</v>
      </c>
      <c r="R37" s="2954">
        <f>'Phụ lục số 4'!R37</f>
        <v>0</v>
      </c>
      <c r="S37" s="2954">
        <f>'Phụ lục số 4'!S37</f>
        <v>0</v>
      </c>
      <c r="T37" s="2954">
        <f>'Phụ lục số 4'!T37</f>
        <v>0</v>
      </c>
      <c r="U37" s="2954">
        <f>'Phụ lục số 4'!U37</f>
        <v>0</v>
      </c>
      <c r="V37" s="2954">
        <f>'Phụ lục số 4'!V37</f>
        <v>0</v>
      </c>
      <c r="W37" s="2954">
        <f>'Phụ lục số 4'!W37</f>
        <v>0</v>
      </c>
      <c r="X37" s="2954">
        <f>'Phụ lục số 4'!X37</f>
        <v>0</v>
      </c>
      <c r="Y37" s="2954">
        <f>'Phụ lục số 4'!Y37</f>
        <v>0</v>
      </c>
      <c r="Z37" s="2954">
        <f>'Phụ lục số 4'!Z37</f>
        <v>0</v>
      </c>
      <c r="AA37" s="2954">
        <f>'Phụ lục số 4'!AA37</f>
        <v>0</v>
      </c>
      <c r="AB37" s="2954">
        <f t="shared" si="10"/>
        <v>0</v>
      </c>
      <c r="AC37" s="2954">
        <f>'Phụ lục số 4'!AC37</f>
        <v>0</v>
      </c>
      <c r="AD37" s="3142">
        <f>'Phụ lục số 4'!AD37</f>
        <v>0</v>
      </c>
      <c r="AE37" s="3153">
        <f>'Phụ lục số 4'!AE37</f>
        <v>0</v>
      </c>
    </row>
    <row r="38" spans="1:31" s="154" customFormat="1" ht="36">
      <c r="A38" s="2110">
        <v>27</v>
      </c>
      <c r="B38" s="2787" t="str">
        <f>'Phụ lục số 4'!B38</f>
        <v>Trung tâm xúc tiến Đầu tư - Thương mại và Du lịch</v>
      </c>
      <c r="C38" s="2954">
        <f t="shared" si="7"/>
        <v>18733</v>
      </c>
      <c r="D38" s="2954">
        <f t="shared" si="8"/>
        <v>0</v>
      </c>
      <c r="E38" s="2954">
        <f>'Phụ lục số 4'!E38</f>
        <v>0</v>
      </c>
      <c r="F38" s="2954">
        <f>'Phụ lục số 4'!F38</f>
        <v>0</v>
      </c>
      <c r="G38" s="2954">
        <f>'Phụ lục số 4'!G38</f>
        <v>0</v>
      </c>
      <c r="H38" s="2954">
        <f>'Phụ lục số 4'!H38</f>
        <v>0</v>
      </c>
      <c r="I38" s="2954"/>
      <c r="J38" s="2954">
        <f t="shared" si="9"/>
        <v>18733</v>
      </c>
      <c r="K38" s="2954">
        <f>'Phụ lục số 4'!K38</f>
        <v>17233</v>
      </c>
      <c r="L38" s="2954">
        <f>'Phụ lục số 4'!L38</f>
        <v>0</v>
      </c>
      <c r="M38" s="2954">
        <f>'Phụ lục số 4'!M38</f>
        <v>0</v>
      </c>
      <c r="N38" s="2954">
        <f>'Phụ lục số 4'!N38</f>
        <v>0</v>
      </c>
      <c r="O38" s="2954">
        <f>'Phụ lục số 4'!O38</f>
        <v>0</v>
      </c>
      <c r="P38" s="2954">
        <f>'Phụ lục số 4'!P38</f>
        <v>1500</v>
      </c>
      <c r="Q38" s="2954">
        <f>'Phụ lục số 4'!Q38</f>
        <v>0</v>
      </c>
      <c r="R38" s="2954">
        <f>'Phụ lục số 4'!R38</f>
        <v>0</v>
      </c>
      <c r="S38" s="2954">
        <f>'Phụ lục số 4'!S38</f>
        <v>0</v>
      </c>
      <c r="T38" s="2954">
        <f>'Phụ lục số 4'!T38</f>
        <v>0</v>
      </c>
      <c r="U38" s="2954">
        <f>'Phụ lục số 4'!U38</f>
        <v>0</v>
      </c>
      <c r="V38" s="2954">
        <f>'Phụ lục số 4'!V38</f>
        <v>0</v>
      </c>
      <c r="W38" s="2954">
        <f>'Phụ lục số 4'!W38</f>
        <v>0</v>
      </c>
      <c r="X38" s="2954">
        <f>'Phụ lục số 4'!X38</f>
        <v>0</v>
      </c>
      <c r="Y38" s="2954">
        <f>'Phụ lục số 4'!Y38</f>
        <v>0</v>
      </c>
      <c r="Z38" s="2954">
        <f>'Phụ lục số 4'!Z38</f>
        <v>0</v>
      </c>
      <c r="AA38" s="2954">
        <f>'Phụ lục số 4'!AA38</f>
        <v>0</v>
      </c>
      <c r="AB38" s="2954">
        <f t="shared" si="10"/>
        <v>0</v>
      </c>
      <c r="AC38" s="2954">
        <f>'Phụ lục số 4'!AC38</f>
        <v>0</v>
      </c>
      <c r="AD38" s="3142">
        <f>'Phụ lục số 4'!AD38</f>
        <v>0</v>
      </c>
      <c r="AE38" s="3153">
        <f>'Phụ lục số 4'!AE38</f>
        <v>0</v>
      </c>
    </row>
    <row r="39" spans="1:31" s="154" customFormat="1">
      <c r="A39" s="2110">
        <v>28</v>
      </c>
      <c r="B39" s="2787" t="str">
        <f>'Phụ lục số 4'!B39</f>
        <v>Vườn Quốc gia Tràm chim</v>
      </c>
      <c r="C39" s="2954">
        <f t="shared" si="7"/>
        <v>27221</v>
      </c>
      <c r="D39" s="2954">
        <f t="shared" si="8"/>
        <v>0</v>
      </c>
      <c r="E39" s="2954">
        <f>'Phụ lục số 4'!E39</f>
        <v>0</v>
      </c>
      <c r="F39" s="2954">
        <f>'Phụ lục số 4'!F39</f>
        <v>0</v>
      </c>
      <c r="G39" s="2954">
        <f>'Phụ lục số 4'!G39</f>
        <v>0</v>
      </c>
      <c r="H39" s="2954">
        <f>'Phụ lục số 4'!H39</f>
        <v>0</v>
      </c>
      <c r="I39" s="2954"/>
      <c r="J39" s="2954">
        <f t="shared" si="9"/>
        <v>27221</v>
      </c>
      <c r="K39" s="2954">
        <f>'Phụ lục số 4'!K39</f>
        <v>0</v>
      </c>
      <c r="L39" s="2954">
        <f>'Phụ lục số 4'!L39</f>
        <v>27221</v>
      </c>
      <c r="M39" s="2954">
        <f>'Phụ lục số 4'!M39</f>
        <v>0</v>
      </c>
      <c r="N39" s="2954">
        <f>'Phụ lục số 4'!N39</f>
        <v>0</v>
      </c>
      <c r="O39" s="2954">
        <f>'Phụ lục số 4'!O39</f>
        <v>0</v>
      </c>
      <c r="P39" s="2954">
        <f>'Phụ lục số 4'!P39</f>
        <v>0</v>
      </c>
      <c r="Q39" s="2954">
        <f>'Phụ lục số 4'!Q39</f>
        <v>0</v>
      </c>
      <c r="R39" s="2954">
        <f>'Phụ lục số 4'!R39</f>
        <v>0</v>
      </c>
      <c r="S39" s="2954">
        <f>'Phụ lục số 4'!S39</f>
        <v>0</v>
      </c>
      <c r="T39" s="2954">
        <f>'Phụ lục số 4'!T39</f>
        <v>0</v>
      </c>
      <c r="U39" s="2954">
        <f>'Phụ lục số 4'!U39</f>
        <v>0</v>
      </c>
      <c r="V39" s="2954">
        <f>'Phụ lục số 4'!V39</f>
        <v>0</v>
      </c>
      <c r="W39" s="2954">
        <f>'Phụ lục số 4'!W39</f>
        <v>0</v>
      </c>
      <c r="X39" s="2954">
        <f>'Phụ lục số 4'!X39</f>
        <v>0</v>
      </c>
      <c r="Y39" s="2954">
        <f>'Phụ lục số 4'!Y39</f>
        <v>0</v>
      </c>
      <c r="Z39" s="2954">
        <f>'Phụ lục số 4'!Z39</f>
        <v>0</v>
      </c>
      <c r="AA39" s="2954">
        <f>'Phụ lục số 4'!AA39</f>
        <v>0</v>
      </c>
      <c r="AB39" s="2954">
        <f t="shared" si="10"/>
        <v>0</v>
      </c>
      <c r="AC39" s="2954">
        <f>'Phụ lục số 4'!AC39</f>
        <v>0</v>
      </c>
      <c r="AD39" s="3142">
        <f>'Phụ lục số 4'!AD39</f>
        <v>0</v>
      </c>
      <c r="AE39" s="3153">
        <f>'Phụ lục số 4'!AE39</f>
        <v>0</v>
      </c>
    </row>
    <row r="40" spans="1:31" s="154" customFormat="1" hidden="1">
      <c r="A40" s="2110">
        <v>29</v>
      </c>
      <c r="B40" s="2788"/>
      <c r="C40" s="2954">
        <f t="shared" si="7"/>
        <v>0</v>
      </c>
      <c r="D40" s="2954">
        <f t="shared" si="8"/>
        <v>0</v>
      </c>
      <c r="E40" s="2954">
        <f>'Phụ lục số 4'!E40</f>
        <v>0</v>
      </c>
      <c r="F40" s="2954">
        <f>'Phụ lục số 4'!F40</f>
        <v>0</v>
      </c>
      <c r="G40" s="2954">
        <f>'Phụ lục số 4'!G40</f>
        <v>0</v>
      </c>
      <c r="H40" s="2954">
        <f>'Phụ lục số 4'!H40</f>
        <v>0</v>
      </c>
      <c r="I40" s="2954"/>
      <c r="J40" s="2954">
        <f>SUM(K40:V40)</f>
        <v>0</v>
      </c>
      <c r="K40" s="2954">
        <f>'Phụ lục số 4'!K40</f>
        <v>0</v>
      </c>
      <c r="L40" s="2954">
        <f>'Phụ lục số 4'!L40</f>
        <v>0</v>
      </c>
      <c r="M40" s="2954">
        <f>'Phụ lục số 4'!M40</f>
        <v>0</v>
      </c>
      <c r="N40" s="2954">
        <f>'Phụ lục số 4'!N40</f>
        <v>0</v>
      </c>
      <c r="O40" s="2954">
        <f>'Phụ lục số 4'!O40</f>
        <v>0</v>
      </c>
      <c r="P40" s="2954">
        <f>'Phụ lục số 4'!P40</f>
        <v>0</v>
      </c>
      <c r="Q40" s="2954">
        <f>'Phụ lục số 4'!Q40</f>
        <v>0</v>
      </c>
      <c r="R40" s="2954">
        <f>'Phụ lục số 4'!R40</f>
        <v>0</v>
      </c>
      <c r="S40" s="2954">
        <f>'Phụ lục số 4'!S40</f>
        <v>0</v>
      </c>
      <c r="T40" s="2954">
        <f>'Phụ lục số 4'!T40</f>
        <v>0</v>
      </c>
      <c r="U40" s="2954">
        <f>'Phụ lục số 4'!U40</f>
        <v>0</v>
      </c>
      <c r="V40" s="2954">
        <f>'Phụ lục số 4'!V40</f>
        <v>0</v>
      </c>
      <c r="W40" s="2954">
        <f>'Phụ lục số 4'!W40</f>
        <v>0</v>
      </c>
      <c r="X40" s="2954">
        <f>'Phụ lục số 4'!X40</f>
        <v>0</v>
      </c>
      <c r="Y40" s="2954">
        <f>'Phụ lục số 4'!Y40</f>
        <v>0</v>
      </c>
      <c r="Z40" s="2954">
        <f>'Phụ lục số 4'!Z40</f>
        <v>0</v>
      </c>
      <c r="AA40" s="2954">
        <f>'Phụ lục số 4'!AA40</f>
        <v>0</v>
      </c>
      <c r="AB40" s="2954">
        <f>SUM(AC40:AD40)</f>
        <v>0</v>
      </c>
      <c r="AC40" s="2954">
        <f>'Phụ lục số 4'!AC40</f>
        <v>0</v>
      </c>
      <c r="AD40" s="3142">
        <f>'Phụ lục số 4'!AD40</f>
        <v>0</v>
      </c>
      <c r="AE40" s="3153">
        <f>'Phụ lục số 4'!AE40</f>
        <v>0</v>
      </c>
    </row>
    <row r="41" spans="1:31" s="154" customFormat="1" ht="34.799999999999997">
      <c r="A41" s="2924" t="s">
        <v>20</v>
      </c>
      <c r="B41" s="3565" t="str">
        <f>'Phụ lục số 4'!B41</f>
        <v>CÁC TỔ CHỨC CHÍNH TRỊ - XÃ HỘI; XÃ HỘI NGHỀ NGHIỆP</v>
      </c>
      <c r="C41" s="3566">
        <f>SUM(C42,C48)</f>
        <v>68556</v>
      </c>
      <c r="D41" s="3566">
        <f t="shared" ref="D41:H41" si="11">SUM(D42,D48)</f>
        <v>0</v>
      </c>
      <c r="E41" s="3566">
        <f t="shared" si="11"/>
        <v>0</v>
      </c>
      <c r="F41" s="3566">
        <f t="shared" si="11"/>
        <v>0</v>
      </c>
      <c r="G41" s="3566">
        <f t="shared" si="11"/>
        <v>0</v>
      </c>
      <c r="H41" s="3566">
        <f t="shared" si="11"/>
        <v>0</v>
      </c>
      <c r="I41" s="3566"/>
      <c r="J41" s="3566">
        <f>SUM(J42,J48)</f>
        <v>68556</v>
      </c>
      <c r="K41" s="3566">
        <f>SUM(K42,K48)</f>
        <v>10310</v>
      </c>
      <c r="L41" s="3566">
        <f t="shared" ref="L41:AD41" si="12">SUM(L42,L48)</f>
        <v>192</v>
      </c>
      <c r="M41" s="3566">
        <f t="shared" si="12"/>
        <v>1160</v>
      </c>
      <c r="N41" s="3566">
        <f t="shared" si="12"/>
        <v>5267</v>
      </c>
      <c r="O41" s="3566">
        <f t="shared" si="12"/>
        <v>100</v>
      </c>
      <c r="P41" s="3566">
        <f t="shared" si="12"/>
        <v>0</v>
      </c>
      <c r="Q41" s="3566">
        <f t="shared" si="12"/>
        <v>477</v>
      </c>
      <c r="R41" s="3566">
        <f t="shared" si="12"/>
        <v>0</v>
      </c>
      <c r="S41" s="3566">
        <f t="shared" si="12"/>
        <v>0</v>
      </c>
      <c r="T41" s="3566">
        <f t="shared" si="12"/>
        <v>51050</v>
      </c>
      <c r="U41" s="3566">
        <f t="shared" si="12"/>
        <v>0</v>
      </c>
      <c r="V41" s="3566">
        <f t="shared" si="12"/>
        <v>0</v>
      </c>
      <c r="W41" s="3566"/>
      <c r="X41" s="3566"/>
      <c r="Y41" s="3566"/>
      <c r="Z41" s="3566"/>
      <c r="AA41" s="3566"/>
      <c r="AB41" s="3566">
        <f t="shared" si="12"/>
        <v>0</v>
      </c>
      <c r="AC41" s="3566">
        <f t="shared" si="12"/>
        <v>0</v>
      </c>
      <c r="AD41" s="3567">
        <f t="shared" si="12"/>
        <v>0</v>
      </c>
      <c r="AE41" s="3154">
        <f t="shared" ref="AE41" si="13">SUM(AE42,AE48)</f>
        <v>0</v>
      </c>
    </row>
    <row r="42" spans="1:31" s="154" customFormat="1">
      <c r="A42" s="2109" t="s">
        <v>1466</v>
      </c>
      <c r="B42" s="2788" t="str">
        <f>'Phụ lục số 4'!B42</f>
        <v>Khối đoàn thể</v>
      </c>
      <c r="C42" s="2956">
        <f>SUM(C43:C47)</f>
        <v>46462</v>
      </c>
      <c r="D42" s="2956">
        <f t="shared" ref="D42:H42" si="14">SUM(D43:D47)</f>
        <v>0</v>
      </c>
      <c r="E42" s="2956">
        <f t="shared" si="14"/>
        <v>0</v>
      </c>
      <c r="F42" s="2956">
        <f t="shared" si="14"/>
        <v>0</v>
      </c>
      <c r="G42" s="2956">
        <f t="shared" si="14"/>
        <v>0</v>
      </c>
      <c r="H42" s="2956">
        <f t="shared" si="14"/>
        <v>0</v>
      </c>
      <c r="I42" s="2956"/>
      <c r="J42" s="2956">
        <f t="shared" ref="J42:AD42" si="15">SUM(J43:J47)</f>
        <v>46462</v>
      </c>
      <c r="K42" s="2956">
        <f t="shared" si="15"/>
        <v>10310</v>
      </c>
      <c r="L42" s="2956">
        <f t="shared" si="15"/>
        <v>132</v>
      </c>
      <c r="M42" s="2956">
        <f t="shared" si="15"/>
        <v>450</v>
      </c>
      <c r="N42" s="2956">
        <f t="shared" si="15"/>
        <v>2852</v>
      </c>
      <c r="O42" s="2956">
        <f t="shared" si="15"/>
        <v>0</v>
      </c>
      <c r="P42" s="2956">
        <f t="shared" si="15"/>
        <v>0</v>
      </c>
      <c r="Q42" s="2956">
        <f t="shared" si="15"/>
        <v>0</v>
      </c>
      <c r="R42" s="2956">
        <f t="shared" si="15"/>
        <v>0</v>
      </c>
      <c r="S42" s="2956">
        <f t="shared" si="15"/>
        <v>0</v>
      </c>
      <c r="T42" s="2956">
        <f t="shared" si="15"/>
        <v>32718</v>
      </c>
      <c r="U42" s="2956">
        <f t="shared" si="15"/>
        <v>0</v>
      </c>
      <c r="V42" s="2956">
        <f t="shared" si="15"/>
        <v>0</v>
      </c>
      <c r="W42" s="2956"/>
      <c r="X42" s="2956"/>
      <c r="Y42" s="2956"/>
      <c r="Z42" s="2956"/>
      <c r="AA42" s="2956"/>
      <c r="AB42" s="2956">
        <f t="shared" si="15"/>
        <v>0</v>
      </c>
      <c r="AC42" s="2956">
        <f t="shared" si="15"/>
        <v>0</v>
      </c>
      <c r="AD42" s="3143">
        <f t="shared" si="15"/>
        <v>0</v>
      </c>
      <c r="AE42" s="3154">
        <f t="shared" ref="AE42" si="16">SUM(AE43:AE47)</f>
        <v>0</v>
      </c>
    </row>
    <row r="43" spans="1:31" s="154" customFormat="1">
      <c r="A43" s="2110">
        <f>A39+1</f>
        <v>29</v>
      </c>
      <c r="B43" s="2787" t="str">
        <f>'Phụ lục số 4'!B43</f>
        <v>Ủy ban Mặt trận tổ quốc Tỉnh</v>
      </c>
      <c r="C43" s="2954">
        <f>D43+J43+AB43+W43+X43+AA43</f>
        <v>12640</v>
      </c>
      <c r="D43" s="2954">
        <f>SUM(E43:H43)</f>
        <v>0</v>
      </c>
      <c r="E43" s="2954">
        <f>'Phụ lục số 4'!E43</f>
        <v>0</v>
      </c>
      <c r="F43" s="2954">
        <f>'Phụ lục số 4'!F43</f>
        <v>0</v>
      </c>
      <c r="G43" s="2954">
        <f>'Phụ lục số 4'!G43</f>
        <v>0</v>
      </c>
      <c r="H43" s="2954">
        <f>'Phụ lục số 4'!H43</f>
        <v>0</v>
      </c>
      <c r="I43" s="2954"/>
      <c r="J43" s="2954">
        <f>SUM(K43:V43)</f>
        <v>12640</v>
      </c>
      <c r="K43" s="2954">
        <f>'Phụ lục số 4'!K43</f>
        <v>0</v>
      </c>
      <c r="L43" s="2954">
        <f>'Phụ lục số 4'!L43</f>
        <v>41</v>
      </c>
      <c r="M43" s="2954">
        <f>'Phụ lục số 4'!M43</f>
        <v>175</v>
      </c>
      <c r="N43" s="2954">
        <f>'Phụ lục số 4'!N43</f>
        <v>496</v>
      </c>
      <c r="O43" s="2954">
        <f>'Phụ lục số 4'!O43</f>
        <v>0</v>
      </c>
      <c r="P43" s="2954">
        <f>'Phụ lục số 4'!P43</f>
        <v>0</v>
      </c>
      <c r="Q43" s="2954">
        <f>'Phụ lục số 4'!Q43</f>
        <v>0</v>
      </c>
      <c r="R43" s="2954">
        <f>'Phụ lục số 4'!R43</f>
        <v>0</v>
      </c>
      <c r="S43" s="2954">
        <f>'Phụ lục số 4'!S43</f>
        <v>0</v>
      </c>
      <c r="T43" s="2954">
        <f>'Phụ lục số 4'!T43</f>
        <v>11928</v>
      </c>
      <c r="U43" s="2954">
        <f>'Phụ lục số 4'!U43</f>
        <v>0</v>
      </c>
      <c r="V43" s="2954">
        <f>'Phụ lục số 4'!V43</f>
        <v>0</v>
      </c>
      <c r="W43" s="2954">
        <f>'Phụ lục số 4'!W43</f>
        <v>0</v>
      </c>
      <c r="X43" s="2954">
        <f>'Phụ lục số 4'!X43</f>
        <v>0</v>
      </c>
      <c r="Y43" s="2954">
        <f>'Phụ lục số 4'!Y43</f>
        <v>0</v>
      </c>
      <c r="Z43" s="2954">
        <f>'Phụ lục số 4'!Z43</f>
        <v>0</v>
      </c>
      <c r="AA43" s="2954">
        <f>'Phụ lục số 4'!AA43</f>
        <v>0</v>
      </c>
      <c r="AB43" s="2954">
        <f>SUM(AC43:AD43)</f>
        <v>0</v>
      </c>
      <c r="AC43" s="2954">
        <f>'Phụ lục số 4'!AC43</f>
        <v>0</v>
      </c>
      <c r="AD43" s="3142">
        <f>'Phụ lục số 4'!AD43</f>
        <v>0</v>
      </c>
      <c r="AE43" s="3153">
        <f>'Phụ lục số 4'!AE43</f>
        <v>0</v>
      </c>
    </row>
    <row r="44" spans="1:31" s="154" customFormat="1">
      <c r="A44" s="2110">
        <f>A43+1</f>
        <v>30</v>
      </c>
      <c r="B44" s="2787" t="str">
        <f>'Phụ lục số 4'!B44</f>
        <v>Tỉnh đoàn</v>
      </c>
      <c r="C44" s="2954">
        <f>D44+J44+AB44+W44+X44+AA44</f>
        <v>8603.5</v>
      </c>
      <c r="D44" s="2954">
        <f>SUM(E44:H44)</f>
        <v>0</v>
      </c>
      <c r="E44" s="2954">
        <f>'Phụ lục số 4'!E44</f>
        <v>0</v>
      </c>
      <c r="F44" s="2954">
        <f>'Phụ lục số 4'!F44</f>
        <v>0</v>
      </c>
      <c r="G44" s="2954">
        <f>'Phụ lục số 4'!G44</f>
        <v>0</v>
      </c>
      <c r="H44" s="2954">
        <f>'Phụ lục số 4'!H44</f>
        <v>0</v>
      </c>
      <c r="I44" s="2954"/>
      <c r="J44" s="2954">
        <f t="shared" ref="J44:J118" si="17">SUM(K44:V44)</f>
        <v>8603.5</v>
      </c>
      <c r="K44" s="2954">
        <f>'Phụ lục số 4'!K44</f>
        <v>310</v>
      </c>
      <c r="L44" s="2954">
        <f>'Phụ lục số 4'!L44</f>
        <v>21</v>
      </c>
      <c r="M44" s="2954">
        <f>'Phụ lục số 4'!M44</f>
        <v>100</v>
      </c>
      <c r="N44" s="2954">
        <f>'Phụ lục số 4'!N44</f>
        <v>493</v>
      </c>
      <c r="O44" s="2954">
        <f>'Phụ lục số 4'!O44</f>
        <v>0</v>
      </c>
      <c r="P44" s="2954">
        <f>'Phụ lục số 4'!P44</f>
        <v>0</v>
      </c>
      <c r="Q44" s="2954">
        <f>'Phụ lục số 4'!Q44</f>
        <v>0</v>
      </c>
      <c r="R44" s="2954">
        <f>'Phụ lục số 4'!R44</f>
        <v>0</v>
      </c>
      <c r="S44" s="2954">
        <f>'Phụ lục số 4'!S44</f>
        <v>0</v>
      </c>
      <c r="T44" s="2954">
        <f>'Phụ lục số 4'!T44</f>
        <v>7679.5</v>
      </c>
      <c r="U44" s="2954">
        <f>'Phụ lục số 4'!U44</f>
        <v>0</v>
      </c>
      <c r="V44" s="2954">
        <f>'Phụ lục số 4'!V44</f>
        <v>0</v>
      </c>
      <c r="W44" s="2954">
        <f>'Phụ lục số 4'!W44</f>
        <v>0</v>
      </c>
      <c r="X44" s="2954">
        <f>'Phụ lục số 4'!X44</f>
        <v>0</v>
      </c>
      <c r="Y44" s="2954">
        <f>'Phụ lục số 4'!Y44</f>
        <v>0</v>
      </c>
      <c r="Z44" s="2954">
        <f>'Phụ lục số 4'!Z44</f>
        <v>0</v>
      </c>
      <c r="AA44" s="2954">
        <f>'Phụ lục số 4'!AA44</f>
        <v>0</v>
      </c>
      <c r="AB44" s="2954">
        <f>SUM(AC44:AD44)</f>
        <v>0</v>
      </c>
      <c r="AC44" s="2954">
        <f>'Phụ lục số 4'!AC44</f>
        <v>0</v>
      </c>
      <c r="AD44" s="3142">
        <f>'Phụ lục số 4'!AD44</f>
        <v>0</v>
      </c>
      <c r="AE44" s="3153">
        <f>'Phụ lục số 4'!AE44</f>
        <v>0</v>
      </c>
    </row>
    <row r="45" spans="1:31" s="154" customFormat="1">
      <c r="A45" s="2110">
        <f>A44+1</f>
        <v>31</v>
      </c>
      <c r="B45" s="2787" t="str">
        <f>'Phụ lục số 4'!B45</f>
        <v>Hội Liên hiệp Phụ nữ</v>
      </c>
      <c r="C45" s="2954">
        <f>D45+J45+AB45+W45+X45+AA45</f>
        <v>6448</v>
      </c>
      <c r="D45" s="2954">
        <f>SUM(E45:H45)</f>
        <v>0</v>
      </c>
      <c r="E45" s="2954">
        <f>'Phụ lục số 4'!E45</f>
        <v>0</v>
      </c>
      <c r="F45" s="2954">
        <f>'Phụ lục số 4'!F45</f>
        <v>0</v>
      </c>
      <c r="G45" s="2954">
        <f>'Phụ lục số 4'!G45</f>
        <v>0</v>
      </c>
      <c r="H45" s="2954">
        <f>'Phụ lục số 4'!H45</f>
        <v>0</v>
      </c>
      <c r="I45" s="2954"/>
      <c r="J45" s="2954">
        <f t="shared" si="17"/>
        <v>6448</v>
      </c>
      <c r="K45" s="2954">
        <f>'Phụ lục số 4'!K45</f>
        <v>0</v>
      </c>
      <c r="L45" s="2954">
        <f>'Phụ lục số 4'!L45</f>
        <v>70</v>
      </c>
      <c r="M45" s="2954">
        <f>'Phụ lục số 4'!M45</f>
        <v>0</v>
      </c>
      <c r="N45" s="2954">
        <f>'Phụ lục số 4'!N45</f>
        <v>1100</v>
      </c>
      <c r="O45" s="2954">
        <f>'Phụ lục số 4'!O45</f>
        <v>0</v>
      </c>
      <c r="P45" s="2954">
        <f>'Phụ lục số 4'!P45</f>
        <v>0</v>
      </c>
      <c r="Q45" s="2954">
        <f>'Phụ lục số 4'!Q45</f>
        <v>0</v>
      </c>
      <c r="R45" s="2954">
        <f>'Phụ lục số 4'!R45</f>
        <v>0</v>
      </c>
      <c r="S45" s="2954">
        <f>'Phụ lục số 4'!S45</f>
        <v>0</v>
      </c>
      <c r="T45" s="2954">
        <f>'Phụ lục số 4'!T45</f>
        <v>5278</v>
      </c>
      <c r="U45" s="2954">
        <f>'Phụ lục số 4'!U45</f>
        <v>0</v>
      </c>
      <c r="V45" s="2954">
        <f>'Phụ lục số 4'!V45</f>
        <v>0</v>
      </c>
      <c r="W45" s="2954">
        <f>'Phụ lục số 4'!W45</f>
        <v>0</v>
      </c>
      <c r="X45" s="2954">
        <f>'Phụ lục số 4'!X45</f>
        <v>0</v>
      </c>
      <c r="Y45" s="2954">
        <f>'Phụ lục số 4'!Y45</f>
        <v>0</v>
      </c>
      <c r="Z45" s="2954">
        <f>'Phụ lục số 4'!Z45</f>
        <v>0</v>
      </c>
      <c r="AA45" s="2954">
        <f>'Phụ lục số 4'!AA45</f>
        <v>0</v>
      </c>
      <c r="AB45" s="2954">
        <f>SUM(AC45:AD45)</f>
        <v>0</v>
      </c>
      <c r="AC45" s="2954">
        <f>'Phụ lục số 4'!AC45</f>
        <v>0</v>
      </c>
      <c r="AD45" s="3142">
        <f>'Phụ lục số 4'!AD45</f>
        <v>0</v>
      </c>
      <c r="AE45" s="3153">
        <f>'Phụ lục số 4'!AE45</f>
        <v>0</v>
      </c>
    </row>
    <row r="46" spans="1:31" s="154" customFormat="1">
      <c r="A46" s="2110">
        <f>A45+1</f>
        <v>32</v>
      </c>
      <c r="B46" s="2787" t="str">
        <f>'Phụ lục số 4'!B46</f>
        <v>Hội Nông dân</v>
      </c>
      <c r="C46" s="2954">
        <f>D46+J46+AB46+W46+X46+AA46</f>
        <v>15292.5</v>
      </c>
      <c r="D46" s="2954">
        <f>SUM(E46:H46)</f>
        <v>0</v>
      </c>
      <c r="E46" s="2954">
        <f>'Phụ lục số 4'!E46</f>
        <v>0</v>
      </c>
      <c r="F46" s="2954">
        <f>'Phụ lục số 4'!F46</f>
        <v>0</v>
      </c>
      <c r="G46" s="2954">
        <f>'Phụ lục số 4'!G46</f>
        <v>0</v>
      </c>
      <c r="H46" s="2954">
        <f>'Phụ lục số 4'!H46</f>
        <v>0</v>
      </c>
      <c r="I46" s="2954"/>
      <c r="J46" s="2954">
        <f t="shared" si="17"/>
        <v>15292.5</v>
      </c>
      <c r="K46" s="2954">
        <f>'Phụ lục số 4'!K46</f>
        <v>10000</v>
      </c>
      <c r="L46" s="2954">
        <f>'Phụ lục số 4'!L46</f>
        <v>0</v>
      </c>
      <c r="M46" s="2954">
        <f>'Phụ lục số 4'!M46</f>
        <v>75</v>
      </c>
      <c r="N46" s="2954">
        <f>'Phụ lục số 4'!N46</f>
        <v>500</v>
      </c>
      <c r="O46" s="2954">
        <f>'Phụ lục số 4'!O46</f>
        <v>0</v>
      </c>
      <c r="P46" s="2954">
        <f>'Phụ lục số 4'!P46</f>
        <v>0</v>
      </c>
      <c r="Q46" s="2954">
        <f>'Phụ lục số 4'!Q46</f>
        <v>0</v>
      </c>
      <c r="R46" s="2954">
        <f>'Phụ lục số 4'!R46</f>
        <v>0</v>
      </c>
      <c r="S46" s="2954">
        <f>'Phụ lục số 4'!S46</f>
        <v>0</v>
      </c>
      <c r="T46" s="2954">
        <f>'Phụ lục số 4'!T46</f>
        <v>4717.5</v>
      </c>
      <c r="U46" s="2954">
        <f>'Phụ lục số 4'!U46</f>
        <v>0</v>
      </c>
      <c r="V46" s="2954">
        <f>'Phụ lục số 4'!V46</f>
        <v>0</v>
      </c>
      <c r="W46" s="2954">
        <f>'Phụ lục số 4'!W46</f>
        <v>0</v>
      </c>
      <c r="X46" s="2954">
        <f>'Phụ lục số 4'!X46</f>
        <v>0</v>
      </c>
      <c r="Y46" s="2954">
        <f>'Phụ lục số 4'!Y46</f>
        <v>0</v>
      </c>
      <c r="Z46" s="2954">
        <f>'Phụ lục số 4'!Z46</f>
        <v>0</v>
      </c>
      <c r="AA46" s="2954">
        <f>'Phụ lục số 4'!AA46</f>
        <v>0</v>
      </c>
      <c r="AB46" s="2954">
        <f>SUM(AC46:AD46)</f>
        <v>0</v>
      </c>
      <c r="AC46" s="2954">
        <f>'Phụ lục số 4'!AC46</f>
        <v>0</v>
      </c>
      <c r="AD46" s="3142">
        <f>'Phụ lục số 4'!AD46</f>
        <v>0</v>
      </c>
      <c r="AE46" s="3153">
        <f>'Phụ lục số 4'!AE46</f>
        <v>0</v>
      </c>
    </row>
    <row r="47" spans="1:31" s="154" customFormat="1">
      <c r="A47" s="2110">
        <f>A46+1</f>
        <v>33</v>
      </c>
      <c r="B47" s="2787" t="str">
        <f>'Phụ lục số 4'!B47</f>
        <v>Hội Cựu Chiến binh</v>
      </c>
      <c r="C47" s="2954">
        <f>D47+J47+AB47+W47+X47+AA47</f>
        <v>3478</v>
      </c>
      <c r="D47" s="2954">
        <f>SUM(E47:H47)</f>
        <v>0</v>
      </c>
      <c r="E47" s="2954">
        <f>'Phụ lục số 4'!E47</f>
        <v>0</v>
      </c>
      <c r="F47" s="2954">
        <f>'Phụ lục số 4'!F47</f>
        <v>0</v>
      </c>
      <c r="G47" s="2954">
        <f>'Phụ lục số 4'!G47</f>
        <v>0</v>
      </c>
      <c r="H47" s="2954">
        <f>'Phụ lục số 4'!H47</f>
        <v>0</v>
      </c>
      <c r="I47" s="2954"/>
      <c r="J47" s="2954">
        <f t="shared" si="17"/>
        <v>3478</v>
      </c>
      <c r="K47" s="2954">
        <f>'Phụ lục số 4'!K47</f>
        <v>0</v>
      </c>
      <c r="L47" s="2954">
        <f>'Phụ lục số 4'!L47</f>
        <v>0</v>
      </c>
      <c r="M47" s="2954">
        <f>'Phụ lục số 4'!M47</f>
        <v>100</v>
      </c>
      <c r="N47" s="2954">
        <f>'Phụ lục số 4'!N47</f>
        <v>263</v>
      </c>
      <c r="O47" s="2954">
        <f>'Phụ lục số 4'!O47</f>
        <v>0</v>
      </c>
      <c r="P47" s="2954">
        <f>'Phụ lục số 4'!P47</f>
        <v>0</v>
      </c>
      <c r="Q47" s="2954">
        <f>'Phụ lục số 4'!Q47</f>
        <v>0</v>
      </c>
      <c r="R47" s="2954">
        <f>'Phụ lục số 4'!R47</f>
        <v>0</v>
      </c>
      <c r="S47" s="2954">
        <f>'Phụ lục số 4'!S47</f>
        <v>0</v>
      </c>
      <c r="T47" s="2954">
        <f>'Phụ lục số 4'!T47</f>
        <v>3115</v>
      </c>
      <c r="U47" s="2954">
        <f>'Phụ lục số 4'!U47</f>
        <v>0</v>
      </c>
      <c r="V47" s="2954">
        <f>'Phụ lục số 4'!V47</f>
        <v>0</v>
      </c>
      <c r="W47" s="2954">
        <f>'Phụ lục số 4'!W47</f>
        <v>0</v>
      </c>
      <c r="X47" s="2954">
        <f>'Phụ lục số 4'!X47</f>
        <v>0</v>
      </c>
      <c r="Y47" s="2954">
        <f>'Phụ lục số 4'!Y47</f>
        <v>0</v>
      </c>
      <c r="Z47" s="2954">
        <f>'Phụ lục số 4'!Z47</f>
        <v>0</v>
      </c>
      <c r="AA47" s="2954">
        <f>'Phụ lục số 4'!AA47</f>
        <v>0</v>
      </c>
      <c r="AB47" s="2954">
        <f>SUM(AC47:AD47)</f>
        <v>0</v>
      </c>
      <c r="AC47" s="2954">
        <f>'Phụ lục số 4'!AC47</f>
        <v>0</v>
      </c>
      <c r="AD47" s="3142">
        <f>'Phụ lục số 4'!AD47</f>
        <v>0</v>
      </c>
      <c r="AE47" s="3153">
        <f>'Phụ lục số 4'!AE47</f>
        <v>0</v>
      </c>
    </row>
    <row r="48" spans="1:31" s="1319" customFormat="1" ht="34.799999999999997">
      <c r="A48" s="2109" t="s">
        <v>1473</v>
      </c>
      <c r="B48" s="2788" t="str">
        <f>'Phụ lục số 4'!B48</f>
        <v>Các tổ chức, các hội được nhà nước giao biên chế</v>
      </c>
      <c r="C48" s="2956">
        <f>SUM(C49:C55)</f>
        <v>22094</v>
      </c>
      <c r="D48" s="2956">
        <f t="shared" ref="D48:J48" si="18">SUM(D49:D55)</f>
        <v>0</v>
      </c>
      <c r="E48" s="2956">
        <f t="shared" si="18"/>
        <v>0</v>
      </c>
      <c r="F48" s="2956">
        <f t="shared" si="18"/>
        <v>0</v>
      </c>
      <c r="G48" s="2956">
        <f t="shared" si="18"/>
        <v>0</v>
      </c>
      <c r="H48" s="2956">
        <f t="shared" si="18"/>
        <v>0</v>
      </c>
      <c r="I48" s="2956"/>
      <c r="J48" s="2956">
        <f t="shared" si="18"/>
        <v>22094</v>
      </c>
      <c r="K48" s="2956">
        <f t="shared" ref="K48:AE48" si="19">SUM(K49:K55)</f>
        <v>0</v>
      </c>
      <c r="L48" s="2956">
        <f t="shared" si="19"/>
        <v>60</v>
      </c>
      <c r="M48" s="2956">
        <f t="shared" si="19"/>
        <v>710</v>
      </c>
      <c r="N48" s="2956">
        <f t="shared" si="19"/>
        <v>2415</v>
      </c>
      <c r="O48" s="2956">
        <f t="shared" si="19"/>
        <v>100</v>
      </c>
      <c r="P48" s="2956">
        <f t="shared" si="19"/>
        <v>0</v>
      </c>
      <c r="Q48" s="2956">
        <f t="shared" si="19"/>
        <v>477</v>
      </c>
      <c r="R48" s="2956">
        <f t="shared" si="19"/>
        <v>0</v>
      </c>
      <c r="S48" s="2956">
        <f t="shared" si="19"/>
        <v>0</v>
      </c>
      <c r="T48" s="2956">
        <f t="shared" si="19"/>
        <v>18332</v>
      </c>
      <c r="U48" s="2956">
        <f t="shared" si="19"/>
        <v>0</v>
      </c>
      <c r="V48" s="2956">
        <f t="shared" si="19"/>
        <v>0</v>
      </c>
      <c r="W48" s="2956"/>
      <c r="X48" s="2956"/>
      <c r="Y48" s="2956"/>
      <c r="Z48" s="2956"/>
      <c r="AA48" s="2956"/>
      <c r="AB48" s="2956">
        <f t="shared" si="19"/>
        <v>0</v>
      </c>
      <c r="AC48" s="2956">
        <f t="shared" si="19"/>
        <v>0</v>
      </c>
      <c r="AD48" s="3143">
        <f t="shared" si="19"/>
        <v>0</v>
      </c>
      <c r="AE48" s="3154">
        <f t="shared" si="19"/>
        <v>0</v>
      </c>
    </row>
    <row r="49" spans="1:31" s="154" customFormat="1">
      <c r="A49" s="2931">
        <v>35</v>
      </c>
      <c r="B49" s="2787" t="str">
        <f>'Phụ lục số 4'!B49</f>
        <v>Liên minh hợp tác xã</v>
      </c>
      <c r="C49" s="2954">
        <f t="shared" ref="C49:C55" si="20">D49+J49+AB49+W49+X49+AA49</f>
        <v>3593</v>
      </c>
      <c r="D49" s="2954">
        <f t="shared" ref="D49:D55" si="21">SUM(E49:H49)</f>
        <v>0</v>
      </c>
      <c r="E49" s="2954">
        <f>'Phụ lục số 4'!E49</f>
        <v>0</v>
      </c>
      <c r="F49" s="2954">
        <f>'Phụ lục số 4'!F49</f>
        <v>0</v>
      </c>
      <c r="G49" s="2954">
        <f>'Phụ lục số 4'!G49</f>
        <v>0</v>
      </c>
      <c r="H49" s="2954">
        <f>'Phụ lục số 4'!H49</f>
        <v>0</v>
      </c>
      <c r="I49" s="2954"/>
      <c r="J49" s="2954">
        <f t="shared" si="17"/>
        <v>3593</v>
      </c>
      <c r="K49" s="2954">
        <f>'Phụ lục số 4'!K49</f>
        <v>0</v>
      </c>
      <c r="L49" s="2954">
        <f>'Phụ lục số 4'!L49</f>
        <v>0</v>
      </c>
      <c r="M49" s="2954">
        <f>'Phụ lục số 4'!M49</f>
        <v>0</v>
      </c>
      <c r="N49" s="2954">
        <f>'Phụ lục số 4'!N49</f>
        <v>1240</v>
      </c>
      <c r="O49" s="2954">
        <f>'Phụ lục số 4'!O49</f>
        <v>0</v>
      </c>
      <c r="P49" s="2954">
        <f>'Phụ lục số 4'!P49</f>
        <v>0</v>
      </c>
      <c r="Q49" s="2954">
        <f>'Phụ lục số 4'!Q49</f>
        <v>50</v>
      </c>
      <c r="R49" s="2954">
        <f>'Phụ lục số 4'!R49</f>
        <v>0</v>
      </c>
      <c r="S49" s="2954">
        <f>'Phụ lục số 4'!S49</f>
        <v>0</v>
      </c>
      <c r="T49" s="2954">
        <f>'Phụ lục số 4'!T49</f>
        <v>2303</v>
      </c>
      <c r="U49" s="2954">
        <f>'Phụ lục số 4'!U49</f>
        <v>0</v>
      </c>
      <c r="V49" s="2954">
        <f>'Phụ lục số 4'!V49</f>
        <v>0</v>
      </c>
      <c r="W49" s="2954">
        <f>'Phụ lục số 4'!W49</f>
        <v>0</v>
      </c>
      <c r="X49" s="2954">
        <f>'Phụ lục số 4'!X49</f>
        <v>0</v>
      </c>
      <c r="Y49" s="2954">
        <f>'Phụ lục số 4'!Y49</f>
        <v>0</v>
      </c>
      <c r="Z49" s="2954">
        <f>'Phụ lục số 4'!Z49</f>
        <v>0</v>
      </c>
      <c r="AA49" s="2954">
        <f>'Phụ lục số 4'!AA49</f>
        <v>0</v>
      </c>
      <c r="AB49" s="2954">
        <f>SUM(AC49:AD49)</f>
        <v>0</v>
      </c>
      <c r="AC49" s="2954">
        <f>'Phụ lục số 4'!AC49</f>
        <v>0</v>
      </c>
      <c r="AD49" s="3142">
        <f>'Phụ lục số 4'!AD49</f>
        <v>0</v>
      </c>
      <c r="AE49" s="3153">
        <f>'Phụ lục số 4'!AE49</f>
        <v>0</v>
      </c>
    </row>
    <row r="50" spans="1:31" s="154" customFormat="1">
      <c r="A50" s="2931">
        <v>36</v>
      </c>
      <c r="B50" s="2787" t="str">
        <f>'Phụ lục số 4'!B50</f>
        <v>Liên hiệp các Hội khoa học Kỹ thuật</v>
      </c>
      <c r="C50" s="2954">
        <f t="shared" si="20"/>
        <v>3298</v>
      </c>
      <c r="D50" s="2954">
        <f t="shared" si="21"/>
        <v>0</v>
      </c>
      <c r="E50" s="2954">
        <f>'Phụ lục số 4'!E50</f>
        <v>0</v>
      </c>
      <c r="F50" s="2954">
        <f>'Phụ lục số 4'!F50</f>
        <v>0</v>
      </c>
      <c r="G50" s="2954">
        <f>'Phụ lục số 4'!G50</f>
        <v>0</v>
      </c>
      <c r="H50" s="2954">
        <f>'Phụ lục số 4'!H50</f>
        <v>0</v>
      </c>
      <c r="I50" s="2954"/>
      <c r="J50" s="2954">
        <f t="shared" si="17"/>
        <v>3298</v>
      </c>
      <c r="K50" s="2954">
        <f>'Phụ lục số 4'!K50</f>
        <v>0</v>
      </c>
      <c r="L50" s="2954">
        <f>'Phụ lục số 4'!L50</f>
        <v>60</v>
      </c>
      <c r="M50" s="2954">
        <f>'Phụ lục số 4'!M50</f>
        <v>710</v>
      </c>
      <c r="N50" s="2954">
        <f>'Phụ lục số 4'!N50</f>
        <v>93</v>
      </c>
      <c r="O50" s="2954">
        <f>'Phụ lục số 4'!O50</f>
        <v>0</v>
      </c>
      <c r="P50" s="2954">
        <f>'Phụ lục số 4'!P50</f>
        <v>0</v>
      </c>
      <c r="Q50" s="2954">
        <f>'Phụ lục số 4'!Q50</f>
        <v>124</v>
      </c>
      <c r="R50" s="2954">
        <f>'Phụ lục số 4'!R50</f>
        <v>0</v>
      </c>
      <c r="S50" s="2954">
        <f>'Phụ lục số 4'!S50</f>
        <v>0</v>
      </c>
      <c r="T50" s="2954">
        <f>'Phụ lục số 4'!T50</f>
        <v>2311</v>
      </c>
      <c r="U50" s="2954">
        <f>'Phụ lục số 4'!U50</f>
        <v>0</v>
      </c>
      <c r="V50" s="2954">
        <f>'Phụ lục số 4'!V50</f>
        <v>0</v>
      </c>
      <c r="W50" s="2954">
        <f>'Phụ lục số 4'!W50</f>
        <v>0</v>
      </c>
      <c r="X50" s="2954">
        <f>'Phụ lục số 4'!X50</f>
        <v>0</v>
      </c>
      <c r="Y50" s="2954">
        <f>'Phụ lục số 4'!Y50</f>
        <v>0</v>
      </c>
      <c r="Z50" s="2954">
        <f>'Phụ lục số 4'!Z50</f>
        <v>0</v>
      </c>
      <c r="AA50" s="2954">
        <f>'Phụ lục số 4'!AA50</f>
        <v>0</v>
      </c>
      <c r="AB50" s="2954">
        <f t="shared" ref="AB50:AB55" si="22">SUM(AC50:AD50)</f>
        <v>0</v>
      </c>
      <c r="AC50" s="2954">
        <f>'Phụ lục số 4'!AC50</f>
        <v>0</v>
      </c>
      <c r="AD50" s="3142">
        <f>'Phụ lục số 4'!AD50</f>
        <v>0</v>
      </c>
      <c r="AE50" s="3153">
        <f>'Phụ lục số 4'!AE50</f>
        <v>0</v>
      </c>
    </row>
    <row r="51" spans="1:31" s="154" customFormat="1">
      <c r="A51" s="2931">
        <v>37</v>
      </c>
      <c r="B51" s="2787" t="str">
        <f>'Phụ lục số 4'!B51</f>
        <v>Liên hiệp các tổ chức Hữu Nghị</v>
      </c>
      <c r="C51" s="2954">
        <f t="shared" si="20"/>
        <v>2675</v>
      </c>
      <c r="D51" s="2954">
        <f t="shared" si="21"/>
        <v>0</v>
      </c>
      <c r="E51" s="2954">
        <f>'Phụ lục số 4'!E51</f>
        <v>0</v>
      </c>
      <c r="F51" s="2954">
        <f>'Phụ lục số 4'!F51</f>
        <v>0</v>
      </c>
      <c r="G51" s="2954">
        <f>'Phụ lục số 4'!G51</f>
        <v>0</v>
      </c>
      <c r="H51" s="2954">
        <f>'Phụ lục số 4'!H51</f>
        <v>0</v>
      </c>
      <c r="I51" s="2954"/>
      <c r="J51" s="2954">
        <f t="shared" si="17"/>
        <v>2675</v>
      </c>
      <c r="K51" s="2954">
        <f>'Phụ lục số 4'!K51</f>
        <v>0</v>
      </c>
      <c r="L51" s="2954">
        <f>'Phụ lục số 4'!L51</f>
        <v>0</v>
      </c>
      <c r="M51" s="2954">
        <f>'Phụ lục số 4'!M51</f>
        <v>0</v>
      </c>
      <c r="N51" s="2954">
        <f>'Phụ lục số 4'!N51</f>
        <v>0</v>
      </c>
      <c r="O51" s="2954">
        <f>'Phụ lục số 4'!O51</f>
        <v>0</v>
      </c>
      <c r="P51" s="2954">
        <f>'Phụ lục số 4'!P51</f>
        <v>0</v>
      </c>
      <c r="Q51" s="2954">
        <f>'Phụ lục số 4'!Q51</f>
        <v>0</v>
      </c>
      <c r="R51" s="2954">
        <f>'Phụ lục số 4'!R51</f>
        <v>0</v>
      </c>
      <c r="S51" s="2954">
        <f>'Phụ lục số 4'!S51</f>
        <v>0</v>
      </c>
      <c r="T51" s="2954">
        <f>'Phụ lục số 4'!T51</f>
        <v>2675</v>
      </c>
      <c r="U51" s="2954">
        <f>'Phụ lục số 4'!U51</f>
        <v>0</v>
      </c>
      <c r="V51" s="2954">
        <f>'Phụ lục số 4'!V51</f>
        <v>0</v>
      </c>
      <c r="W51" s="2954">
        <f>'Phụ lục số 4'!W51</f>
        <v>0</v>
      </c>
      <c r="X51" s="2954">
        <f>'Phụ lục số 4'!X51</f>
        <v>0</v>
      </c>
      <c r="Y51" s="2954">
        <f>'Phụ lục số 4'!Y51</f>
        <v>0</v>
      </c>
      <c r="Z51" s="2954">
        <f>'Phụ lục số 4'!Z51</f>
        <v>0</v>
      </c>
      <c r="AA51" s="2954">
        <f>'Phụ lục số 4'!AA51</f>
        <v>0</v>
      </c>
      <c r="AB51" s="2954">
        <f t="shared" si="22"/>
        <v>0</v>
      </c>
      <c r="AC51" s="2954">
        <f>'Phụ lục số 4'!AC51</f>
        <v>0</v>
      </c>
      <c r="AD51" s="3142">
        <f>'Phụ lục số 4'!AD51</f>
        <v>0</v>
      </c>
      <c r="AE51" s="3153">
        <f>'Phụ lục số 4'!AE51</f>
        <v>0</v>
      </c>
    </row>
    <row r="52" spans="1:31" s="154" customFormat="1">
      <c r="A52" s="2931">
        <v>38</v>
      </c>
      <c r="B52" s="2787" t="str">
        <f>'Phụ lục số 4'!B52</f>
        <v>Hội Liên hiệp Văn học Nghệ thuật</v>
      </c>
      <c r="C52" s="2954">
        <f t="shared" si="20"/>
        <v>5903</v>
      </c>
      <c r="D52" s="2954">
        <f t="shared" si="21"/>
        <v>0</v>
      </c>
      <c r="E52" s="2954">
        <f>'Phụ lục số 4'!E52</f>
        <v>0</v>
      </c>
      <c r="F52" s="2954">
        <f>'Phụ lục số 4'!F52</f>
        <v>0</v>
      </c>
      <c r="G52" s="2954">
        <f>'Phụ lục số 4'!G52</f>
        <v>0</v>
      </c>
      <c r="H52" s="2954">
        <f>'Phụ lục số 4'!H52</f>
        <v>0</v>
      </c>
      <c r="I52" s="2954"/>
      <c r="J52" s="2954">
        <f t="shared" si="17"/>
        <v>5903</v>
      </c>
      <c r="K52" s="2954">
        <f>'Phụ lục số 4'!K52</f>
        <v>0</v>
      </c>
      <c r="L52" s="2954">
        <f>'Phụ lục số 4'!L52</f>
        <v>0</v>
      </c>
      <c r="M52" s="2954">
        <f>'Phụ lục số 4'!M52</f>
        <v>0</v>
      </c>
      <c r="N52" s="2954">
        <f>'Phụ lục số 4'!N52</f>
        <v>662</v>
      </c>
      <c r="O52" s="2954">
        <f>'Phụ lục số 4'!O52</f>
        <v>0</v>
      </c>
      <c r="P52" s="2954">
        <f>'Phụ lục số 4'!P52</f>
        <v>0</v>
      </c>
      <c r="Q52" s="2954">
        <f>'Phụ lục số 4'!Q52</f>
        <v>303</v>
      </c>
      <c r="R52" s="2954">
        <f>'Phụ lục số 4'!R52</f>
        <v>0</v>
      </c>
      <c r="S52" s="2954">
        <f>'Phụ lục số 4'!S52</f>
        <v>0</v>
      </c>
      <c r="T52" s="2954">
        <f>'Phụ lục số 4'!T52</f>
        <v>4938</v>
      </c>
      <c r="U52" s="2954">
        <f>'Phụ lục số 4'!U52</f>
        <v>0</v>
      </c>
      <c r="V52" s="2954">
        <f>'Phụ lục số 4'!V52</f>
        <v>0</v>
      </c>
      <c r="W52" s="2954">
        <f>'Phụ lục số 4'!W52</f>
        <v>0</v>
      </c>
      <c r="X52" s="2954">
        <f>'Phụ lục số 4'!X52</f>
        <v>0</v>
      </c>
      <c r="Y52" s="2954">
        <f>'Phụ lục số 4'!Y52</f>
        <v>0</v>
      </c>
      <c r="Z52" s="2954">
        <f>'Phụ lục số 4'!Z52</f>
        <v>0</v>
      </c>
      <c r="AA52" s="2954">
        <f>'Phụ lục số 4'!AA52</f>
        <v>0</v>
      </c>
      <c r="AB52" s="2954">
        <f t="shared" si="22"/>
        <v>0</v>
      </c>
      <c r="AC52" s="2954">
        <f>'Phụ lục số 4'!AC52</f>
        <v>0</v>
      </c>
      <c r="AD52" s="3142">
        <f>'Phụ lục số 4'!AD52</f>
        <v>0</v>
      </c>
      <c r="AE52" s="3153">
        <f>'Phụ lục số 4'!AE52</f>
        <v>0</v>
      </c>
    </row>
    <row r="53" spans="1:31" s="154" customFormat="1">
      <c r="A53" s="2931">
        <v>39</v>
      </c>
      <c r="B53" s="2787" t="str">
        <f>'Phụ lục số 4'!B53</f>
        <v>Hội chữ thập đỏ</v>
      </c>
      <c r="C53" s="2954">
        <f t="shared" si="20"/>
        <v>6625</v>
      </c>
      <c r="D53" s="2954">
        <f t="shared" si="21"/>
        <v>0</v>
      </c>
      <c r="E53" s="2954">
        <f>'Phụ lục số 4'!E53</f>
        <v>0</v>
      </c>
      <c r="F53" s="2954">
        <f>'Phụ lục số 4'!F53</f>
        <v>0</v>
      </c>
      <c r="G53" s="2954">
        <f>'Phụ lục số 4'!G53</f>
        <v>0</v>
      </c>
      <c r="H53" s="2954">
        <f>'Phụ lục số 4'!H53</f>
        <v>0</v>
      </c>
      <c r="I53" s="2954"/>
      <c r="J53" s="2954">
        <f t="shared" si="17"/>
        <v>6625</v>
      </c>
      <c r="K53" s="2954">
        <f>'Phụ lục số 4'!K53</f>
        <v>0</v>
      </c>
      <c r="L53" s="2954">
        <f>'Phụ lục số 4'!L53</f>
        <v>0</v>
      </c>
      <c r="M53" s="2954">
        <f>'Phụ lục số 4'!M53</f>
        <v>0</v>
      </c>
      <c r="N53" s="2954">
        <f>'Phụ lục số 4'!N53</f>
        <v>420</v>
      </c>
      <c r="O53" s="2954">
        <f>'Phụ lục số 4'!O53</f>
        <v>100</v>
      </c>
      <c r="P53" s="2954">
        <f>'Phụ lục số 4'!P53</f>
        <v>0</v>
      </c>
      <c r="Q53" s="2954">
        <f>'Phụ lục số 4'!Q53</f>
        <v>0</v>
      </c>
      <c r="R53" s="2954">
        <f>'Phụ lục số 4'!R53</f>
        <v>0</v>
      </c>
      <c r="S53" s="2954">
        <f>'Phụ lục số 4'!S53</f>
        <v>0</v>
      </c>
      <c r="T53" s="2954">
        <f>'Phụ lục số 4'!T53</f>
        <v>6105</v>
      </c>
      <c r="U53" s="2954">
        <f>'Phụ lục số 4'!U53</f>
        <v>0</v>
      </c>
      <c r="V53" s="2954">
        <f>'Phụ lục số 4'!V53</f>
        <v>0</v>
      </c>
      <c r="W53" s="2954">
        <f>'Phụ lục số 4'!W53</f>
        <v>0</v>
      </c>
      <c r="X53" s="2954">
        <f>'Phụ lục số 4'!X53</f>
        <v>0</v>
      </c>
      <c r="Y53" s="2954">
        <f>'Phụ lục số 4'!Y53</f>
        <v>0</v>
      </c>
      <c r="Z53" s="2954">
        <f>'Phụ lục số 4'!Z53</f>
        <v>0</v>
      </c>
      <c r="AA53" s="2954">
        <f>'Phụ lục số 4'!AA53</f>
        <v>0</v>
      </c>
      <c r="AB53" s="2954">
        <f t="shared" si="22"/>
        <v>0</v>
      </c>
      <c r="AC53" s="2954">
        <f>'Phụ lục số 4'!AC53</f>
        <v>0</v>
      </c>
      <c r="AD53" s="3142">
        <f>'Phụ lục số 4'!AD53</f>
        <v>0</v>
      </c>
      <c r="AE53" s="3153">
        <f>'Phụ lục số 4'!AE53</f>
        <v>0</v>
      </c>
    </row>
    <row r="54" spans="1:31" s="154" customFormat="1">
      <c r="A54" s="2931">
        <v>40</v>
      </c>
      <c r="B54" s="2787" t="str">
        <f>'Phụ lục số 4'!B54</f>
        <v>Hội đông y</v>
      </c>
      <c r="C54" s="2954">
        <f t="shared" si="20"/>
        <v>0</v>
      </c>
      <c r="D54" s="2954">
        <f t="shared" si="21"/>
        <v>0</v>
      </c>
      <c r="E54" s="2954">
        <f>'Phụ lục số 4'!E54</f>
        <v>0</v>
      </c>
      <c r="F54" s="2954">
        <f>'Phụ lục số 4'!F54</f>
        <v>0</v>
      </c>
      <c r="G54" s="2954">
        <f>'Phụ lục số 4'!G54</f>
        <v>0</v>
      </c>
      <c r="H54" s="2954">
        <f>'Phụ lục số 4'!H54</f>
        <v>0</v>
      </c>
      <c r="I54" s="2954"/>
      <c r="J54" s="2954">
        <f t="shared" si="17"/>
        <v>0</v>
      </c>
      <c r="K54" s="2954">
        <f>'Phụ lục số 4'!K54</f>
        <v>0</v>
      </c>
      <c r="L54" s="2954">
        <f>'Phụ lục số 4'!L54</f>
        <v>0</v>
      </c>
      <c r="M54" s="2954">
        <f>'Phụ lục số 4'!M54</f>
        <v>0</v>
      </c>
      <c r="N54" s="2954">
        <f>'Phụ lục số 4'!N54</f>
        <v>0</v>
      </c>
      <c r="O54" s="2954">
        <f>'Phụ lục số 4'!O54</f>
        <v>0</v>
      </c>
      <c r="P54" s="2954">
        <f>'Phụ lục số 4'!P54</f>
        <v>0</v>
      </c>
      <c r="Q54" s="2954">
        <f>'Phụ lục số 4'!Q54</f>
        <v>0</v>
      </c>
      <c r="R54" s="2954">
        <f>'Phụ lục số 4'!R54</f>
        <v>0</v>
      </c>
      <c r="S54" s="2954">
        <f>'Phụ lục số 4'!S54</f>
        <v>0</v>
      </c>
      <c r="T54" s="2954">
        <f>'Phụ lục số 4'!T54</f>
        <v>0</v>
      </c>
      <c r="U54" s="2954">
        <f>'Phụ lục số 4'!U54</f>
        <v>0</v>
      </c>
      <c r="V54" s="2954">
        <f>'Phụ lục số 4'!V54</f>
        <v>0</v>
      </c>
      <c r="W54" s="2954">
        <f>'Phụ lục số 4'!W54</f>
        <v>0</v>
      </c>
      <c r="X54" s="2954">
        <f>'Phụ lục số 4'!X54</f>
        <v>0</v>
      </c>
      <c r="Y54" s="2954">
        <f>'Phụ lục số 4'!Y54</f>
        <v>0</v>
      </c>
      <c r="Z54" s="2954">
        <f>'Phụ lục số 4'!Z54</f>
        <v>0</v>
      </c>
      <c r="AA54" s="2954">
        <f>'Phụ lục số 4'!AA54</f>
        <v>0</v>
      </c>
      <c r="AB54" s="2954">
        <f t="shared" si="22"/>
        <v>0</v>
      </c>
      <c r="AC54" s="2954">
        <f>'Phụ lục số 4'!AC54</f>
        <v>0</v>
      </c>
      <c r="AD54" s="3142">
        <f>'Phụ lục số 4'!AD54</f>
        <v>0</v>
      </c>
      <c r="AE54" s="3153">
        <f>'Phụ lục số 4'!AE54</f>
        <v>0</v>
      </c>
    </row>
    <row r="55" spans="1:31" s="154" customFormat="1">
      <c r="A55" s="2931">
        <v>41</v>
      </c>
      <c r="B55" s="2787" t="str">
        <f>'Phụ lục số 4'!B55</f>
        <v>Hội người mù</v>
      </c>
      <c r="C55" s="2954">
        <f t="shared" si="20"/>
        <v>0</v>
      </c>
      <c r="D55" s="2954">
        <f t="shared" si="21"/>
        <v>0</v>
      </c>
      <c r="E55" s="2954">
        <f>'Phụ lục số 4'!E55</f>
        <v>0</v>
      </c>
      <c r="F55" s="2954">
        <f>'Phụ lục số 4'!F55</f>
        <v>0</v>
      </c>
      <c r="G55" s="2954">
        <f>'Phụ lục số 4'!G55</f>
        <v>0</v>
      </c>
      <c r="H55" s="2954">
        <f>'Phụ lục số 4'!H55</f>
        <v>0</v>
      </c>
      <c r="I55" s="2954"/>
      <c r="J55" s="2954">
        <f t="shared" si="17"/>
        <v>0</v>
      </c>
      <c r="K55" s="2954">
        <f>'Phụ lục số 4'!K55</f>
        <v>0</v>
      </c>
      <c r="L55" s="2954">
        <f>'Phụ lục số 4'!L55</f>
        <v>0</v>
      </c>
      <c r="M55" s="2954">
        <f>'Phụ lục số 4'!M55</f>
        <v>0</v>
      </c>
      <c r="N55" s="2954">
        <f>'Phụ lục số 4'!N55</f>
        <v>0</v>
      </c>
      <c r="O55" s="2954">
        <f>'Phụ lục số 4'!O55</f>
        <v>0</v>
      </c>
      <c r="P55" s="2954">
        <f>'Phụ lục số 4'!P55</f>
        <v>0</v>
      </c>
      <c r="Q55" s="2954">
        <f>'Phụ lục số 4'!Q55</f>
        <v>0</v>
      </c>
      <c r="R55" s="2954">
        <f>'Phụ lục số 4'!R55</f>
        <v>0</v>
      </c>
      <c r="S55" s="2954">
        <f>'Phụ lục số 4'!S55</f>
        <v>0</v>
      </c>
      <c r="T55" s="2954">
        <f>'Phụ lục số 4'!T55</f>
        <v>0</v>
      </c>
      <c r="U55" s="2954">
        <f>'Phụ lục số 4'!U55</f>
        <v>0</v>
      </c>
      <c r="V55" s="2954">
        <f>'Phụ lục số 4'!V55</f>
        <v>0</v>
      </c>
      <c r="W55" s="2954">
        <f>'Phụ lục số 4'!W55</f>
        <v>0</v>
      </c>
      <c r="X55" s="2954">
        <f>'Phụ lục số 4'!X55</f>
        <v>0</v>
      </c>
      <c r="Y55" s="2954">
        <f>'Phụ lục số 4'!Y55</f>
        <v>0</v>
      </c>
      <c r="Z55" s="2954">
        <f>'Phụ lục số 4'!Z55</f>
        <v>0</v>
      </c>
      <c r="AA55" s="2954">
        <f>'Phụ lục số 4'!AA55</f>
        <v>0</v>
      </c>
      <c r="AB55" s="2954">
        <f t="shared" si="22"/>
        <v>0</v>
      </c>
      <c r="AC55" s="2954">
        <f>'Phụ lục số 4'!AC55</f>
        <v>0</v>
      </c>
      <c r="AD55" s="3142">
        <f>'Phụ lục số 4'!AD55</f>
        <v>0</v>
      </c>
      <c r="AE55" s="3153">
        <f>'Phụ lục số 4'!AE55</f>
        <v>0</v>
      </c>
    </row>
    <row r="56" spans="1:31" s="1319" customFormat="1" ht="17.399999999999999">
      <c r="A56" s="2933" t="s">
        <v>49</v>
      </c>
      <c r="B56" s="3565" t="str">
        <f>'Phụ lục số 4'!B56</f>
        <v>KHỐI AN NINH - QUỐC PHÒNG</v>
      </c>
      <c r="C56" s="3563">
        <f>SUM(C57:C59)</f>
        <v>152607.4</v>
      </c>
      <c r="D56" s="3563">
        <f t="shared" ref="D56:H56" si="23">SUM(D57:D59)</f>
        <v>0</v>
      </c>
      <c r="E56" s="3563">
        <f t="shared" si="23"/>
        <v>0</v>
      </c>
      <c r="F56" s="3563">
        <f t="shared" si="23"/>
        <v>0</v>
      </c>
      <c r="G56" s="3563">
        <f t="shared" si="23"/>
        <v>0</v>
      </c>
      <c r="H56" s="3563">
        <f t="shared" si="23"/>
        <v>0</v>
      </c>
      <c r="I56" s="3563"/>
      <c r="J56" s="3563">
        <f t="shared" ref="J56:AE56" si="24">SUM(J57:J59)</f>
        <v>152607.4</v>
      </c>
      <c r="K56" s="3563">
        <f t="shared" si="24"/>
        <v>0</v>
      </c>
      <c r="L56" s="3563">
        <f t="shared" si="24"/>
        <v>280</v>
      </c>
      <c r="M56" s="3563">
        <f t="shared" si="24"/>
        <v>0</v>
      </c>
      <c r="N56" s="3563">
        <f t="shared" si="24"/>
        <v>4000</v>
      </c>
      <c r="O56" s="3563">
        <f t="shared" si="24"/>
        <v>0</v>
      </c>
      <c r="P56" s="3563">
        <f t="shared" si="24"/>
        <v>0</v>
      </c>
      <c r="Q56" s="3563">
        <f t="shared" si="24"/>
        <v>0</v>
      </c>
      <c r="R56" s="3563">
        <f t="shared" si="24"/>
        <v>0</v>
      </c>
      <c r="S56" s="3563">
        <f t="shared" si="24"/>
        <v>0</v>
      </c>
      <c r="T56" s="3563">
        <f t="shared" si="24"/>
        <v>0</v>
      </c>
      <c r="U56" s="3563">
        <f t="shared" si="24"/>
        <v>148327.4</v>
      </c>
      <c r="V56" s="3563">
        <f t="shared" si="24"/>
        <v>0</v>
      </c>
      <c r="W56" s="3563"/>
      <c r="X56" s="3563"/>
      <c r="Y56" s="3563"/>
      <c r="Z56" s="3563"/>
      <c r="AA56" s="3563"/>
      <c r="AB56" s="3563">
        <f t="shared" si="24"/>
        <v>0</v>
      </c>
      <c r="AC56" s="3563">
        <f t="shared" si="24"/>
        <v>0</v>
      </c>
      <c r="AD56" s="3564">
        <f t="shared" si="24"/>
        <v>0</v>
      </c>
      <c r="AE56" s="3154">
        <f t="shared" si="24"/>
        <v>0</v>
      </c>
    </row>
    <row r="57" spans="1:31" s="154" customFormat="1">
      <c r="A57" s="2931">
        <v>42</v>
      </c>
      <c r="B57" s="2787" t="str">
        <f>'Phụ lục số 4'!B57</f>
        <v>Công an Tỉnh</v>
      </c>
      <c r="C57" s="2954">
        <f>D57+J57+AB57+W57+X57+AA57</f>
        <v>51280</v>
      </c>
      <c r="D57" s="2954">
        <f>SUM(E57:H57)</f>
        <v>0</v>
      </c>
      <c r="E57" s="2954">
        <f>'Phụ lục số 4'!E57</f>
        <v>0</v>
      </c>
      <c r="F57" s="2954">
        <f>'Phụ lục số 4'!F57</f>
        <v>0</v>
      </c>
      <c r="G57" s="2954">
        <f>'Phụ lục số 4'!G57</f>
        <v>0</v>
      </c>
      <c r="H57" s="2954">
        <f>'Phụ lục số 4'!H57</f>
        <v>0</v>
      </c>
      <c r="I57" s="2954"/>
      <c r="J57" s="2954">
        <f t="shared" si="17"/>
        <v>51280</v>
      </c>
      <c r="K57" s="2954">
        <f>'Phụ lục số 4'!K57</f>
        <v>0</v>
      </c>
      <c r="L57" s="2954">
        <f>'Phụ lục số 4'!L57</f>
        <v>280</v>
      </c>
      <c r="M57" s="2954">
        <f>'Phụ lục số 4'!M57</f>
        <v>0</v>
      </c>
      <c r="N57" s="2954">
        <f>'Phụ lục số 4'!N57</f>
        <v>0</v>
      </c>
      <c r="O57" s="2954">
        <f>'Phụ lục số 4'!O57</f>
        <v>0</v>
      </c>
      <c r="P57" s="2954">
        <f>'Phụ lục số 4'!P57</f>
        <v>0</v>
      </c>
      <c r="Q57" s="2954">
        <f>'Phụ lục số 4'!Q57</f>
        <v>0</v>
      </c>
      <c r="R57" s="2954">
        <f>'Phụ lục số 4'!R57</f>
        <v>0</v>
      </c>
      <c r="S57" s="2954">
        <f>'Phụ lục số 4'!S57</f>
        <v>0</v>
      </c>
      <c r="T57" s="2954">
        <f>'Phụ lục số 4'!T57</f>
        <v>0</v>
      </c>
      <c r="U57" s="2954">
        <f>'Phụ lục số 4'!U57</f>
        <v>51000</v>
      </c>
      <c r="V57" s="2954">
        <f>'Phụ lục số 4'!V57</f>
        <v>0</v>
      </c>
      <c r="W57" s="2954">
        <f>'Phụ lục số 4'!W57</f>
        <v>0</v>
      </c>
      <c r="X57" s="2954">
        <f>'Phụ lục số 4'!X57</f>
        <v>0</v>
      </c>
      <c r="Y57" s="2954">
        <f>'Phụ lục số 4'!Y57</f>
        <v>0</v>
      </c>
      <c r="Z57" s="2954">
        <f>'Phụ lục số 4'!Z57</f>
        <v>0</v>
      </c>
      <c r="AA57" s="2954">
        <f>'Phụ lục số 4'!AA57</f>
        <v>0</v>
      </c>
      <c r="AB57" s="2954">
        <f t="shared" ref="AB57" si="25">SUM(AC57:AD57)</f>
        <v>0</v>
      </c>
      <c r="AC57" s="2954">
        <f>'Phụ lục số 4'!AC57</f>
        <v>0</v>
      </c>
      <c r="AD57" s="3142">
        <f>'Phụ lục số 4'!AD57</f>
        <v>0</v>
      </c>
      <c r="AE57" s="3153">
        <f>'Phụ lục số 4'!AE57</f>
        <v>0</v>
      </c>
    </row>
    <row r="58" spans="1:31" s="154" customFormat="1">
      <c r="A58" s="2931">
        <v>43</v>
      </c>
      <c r="B58" s="2787" t="str">
        <f>'Phụ lục số 4'!B58</f>
        <v>Bộ Chỉ huy Quân sự Tỉnh</v>
      </c>
      <c r="C58" s="2954">
        <f>D58+J58+AB58+W58+X58+AA58</f>
        <v>87000</v>
      </c>
      <c r="D58" s="2954">
        <f>SUM(E58:H58)</f>
        <v>0</v>
      </c>
      <c r="E58" s="2954">
        <f>'Phụ lục số 4'!E58</f>
        <v>0</v>
      </c>
      <c r="F58" s="2954">
        <f>'Phụ lục số 4'!F58</f>
        <v>0</v>
      </c>
      <c r="G58" s="2954">
        <f>'Phụ lục số 4'!G58</f>
        <v>0</v>
      </c>
      <c r="H58" s="2954">
        <f>'Phụ lục số 4'!H58</f>
        <v>0</v>
      </c>
      <c r="I58" s="2954"/>
      <c r="J58" s="2954">
        <f t="shared" si="17"/>
        <v>87000</v>
      </c>
      <c r="K58" s="2954">
        <f>'Phụ lục số 4'!K58</f>
        <v>0</v>
      </c>
      <c r="L58" s="2954">
        <f>'Phụ lục số 4'!L58</f>
        <v>0</v>
      </c>
      <c r="M58" s="2954">
        <f>'Phụ lục số 4'!M58</f>
        <v>0</v>
      </c>
      <c r="N58" s="2954">
        <f>'Phụ lục số 4'!N58</f>
        <v>4000</v>
      </c>
      <c r="O58" s="2954">
        <f>'Phụ lục số 4'!O58</f>
        <v>0</v>
      </c>
      <c r="P58" s="2954">
        <f>'Phụ lục số 4'!P58</f>
        <v>0</v>
      </c>
      <c r="Q58" s="2954">
        <f>'Phụ lục số 4'!Q58</f>
        <v>0</v>
      </c>
      <c r="R58" s="2954">
        <f>'Phụ lục số 4'!R58</f>
        <v>0</v>
      </c>
      <c r="S58" s="2954">
        <f>'Phụ lục số 4'!S58</f>
        <v>0</v>
      </c>
      <c r="T58" s="2954">
        <f>'Phụ lục số 4'!T58</f>
        <v>0</v>
      </c>
      <c r="U58" s="2954">
        <f>'Phụ lục số 4'!U58</f>
        <v>83000</v>
      </c>
      <c r="V58" s="2954">
        <f>'Phụ lục số 4'!V58</f>
        <v>0</v>
      </c>
      <c r="W58" s="2954">
        <f>'Phụ lục số 4'!W58</f>
        <v>0</v>
      </c>
      <c r="X58" s="2954">
        <f>'Phụ lục số 4'!X58</f>
        <v>0</v>
      </c>
      <c r="Y58" s="2954">
        <f>'Phụ lục số 4'!Y58</f>
        <v>0</v>
      </c>
      <c r="Z58" s="2954">
        <f>'Phụ lục số 4'!Z58</f>
        <v>0</v>
      </c>
      <c r="AA58" s="2954">
        <f>'Phụ lục số 4'!AA58</f>
        <v>0</v>
      </c>
      <c r="AB58" s="2954">
        <f t="shared" ref="AB58:AB59" si="26">SUM(AC58:AD58)</f>
        <v>0</v>
      </c>
      <c r="AC58" s="2954">
        <f>'Phụ lục số 4'!AC58</f>
        <v>0</v>
      </c>
      <c r="AD58" s="3142">
        <f>'Phụ lục số 4'!AD58</f>
        <v>0</v>
      </c>
      <c r="AE58" s="3153">
        <f>'Phụ lục số 4'!AE58</f>
        <v>0</v>
      </c>
    </row>
    <row r="59" spans="1:31" s="154" customFormat="1">
      <c r="A59" s="2931">
        <v>44</v>
      </c>
      <c r="B59" s="2787" t="str">
        <f>'Phụ lục số 4'!B59</f>
        <v>Bộ Chỉ huy Bộ đội biên phòng</v>
      </c>
      <c r="C59" s="2954">
        <f>D59+J59+AB59+W59+X59+AA59</f>
        <v>14327.4</v>
      </c>
      <c r="D59" s="2954">
        <f>SUM(E59:H59)</f>
        <v>0</v>
      </c>
      <c r="E59" s="2954">
        <f>'Phụ lục số 4'!E59</f>
        <v>0</v>
      </c>
      <c r="F59" s="2954">
        <f>'Phụ lục số 4'!F59</f>
        <v>0</v>
      </c>
      <c r="G59" s="2954">
        <f>'Phụ lục số 4'!G59</f>
        <v>0</v>
      </c>
      <c r="H59" s="2954">
        <f>'Phụ lục số 4'!H59</f>
        <v>0</v>
      </c>
      <c r="I59" s="2954"/>
      <c r="J59" s="2954">
        <f t="shared" si="17"/>
        <v>14327.4</v>
      </c>
      <c r="K59" s="2954">
        <f>'Phụ lục số 4'!K59</f>
        <v>0</v>
      </c>
      <c r="L59" s="2954">
        <f>'Phụ lục số 4'!L59</f>
        <v>0</v>
      </c>
      <c r="M59" s="2954">
        <f>'Phụ lục số 4'!M59</f>
        <v>0</v>
      </c>
      <c r="N59" s="2954">
        <f>'Phụ lục số 4'!N59</f>
        <v>0</v>
      </c>
      <c r="O59" s="2954">
        <f>'Phụ lục số 4'!O59</f>
        <v>0</v>
      </c>
      <c r="P59" s="2954">
        <f>'Phụ lục số 4'!P59</f>
        <v>0</v>
      </c>
      <c r="Q59" s="2954">
        <f>'Phụ lục số 4'!Q59</f>
        <v>0</v>
      </c>
      <c r="R59" s="2954">
        <f>'Phụ lục số 4'!R59</f>
        <v>0</v>
      </c>
      <c r="S59" s="2954">
        <f>'Phụ lục số 4'!S59</f>
        <v>0</v>
      </c>
      <c r="T59" s="2954">
        <f>'Phụ lục số 4'!T59</f>
        <v>0</v>
      </c>
      <c r="U59" s="2954">
        <f>'Phụ lục số 4'!U59</f>
        <v>14327.4</v>
      </c>
      <c r="V59" s="2954">
        <f>'Phụ lục số 4'!V59</f>
        <v>0</v>
      </c>
      <c r="W59" s="2954">
        <f>'Phụ lục số 4'!W59</f>
        <v>0</v>
      </c>
      <c r="X59" s="2954">
        <f>'Phụ lục số 4'!X59</f>
        <v>0</v>
      </c>
      <c r="Y59" s="2954">
        <f>'Phụ lục số 4'!Y59</f>
        <v>0</v>
      </c>
      <c r="Z59" s="2954">
        <f>'Phụ lục số 4'!Z59</f>
        <v>0</v>
      </c>
      <c r="AA59" s="2954">
        <f>'Phụ lục số 4'!AA59</f>
        <v>0</v>
      </c>
      <c r="AB59" s="2954">
        <f t="shared" si="26"/>
        <v>0</v>
      </c>
      <c r="AC59" s="2954">
        <f>'Phụ lục số 4'!AC59</f>
        <v>0</v>
      </c>
      <c r="AD59" s="3142">
        <f>'Phụ lục số 4'!AD59</f>
        <v>0</v>
      </c>
      <c r="AE59" s="3153">
        <f>'Phụ lục số 4'!AE59</f>
        <v>0</v>
      </c>
    </row>
    <row r="60" spans="1:31" s="1319" customFormat="1" ht="17.399999999999999">
      <c r="A60" s="2933" t="s">
        <v>50</v>
      </c>
      <c r="B60" s="3565" t="str">
        <f>'Phụ lục số 4'!B60</f>
        <v>CÁC ĐƠN VỊ KHÁC</v>
      </c>
      <c r="C60" s="3563">
        <f>SUM(C61:C74)</f>
        <v>373777</v>
      </c>
      <c r="D60" s="3563">
        <f t="shared" ref="D60:U60" si="27">SUM(D61:D74)</f>
        <v>0</v>
      </c>
      <c r="E60" s="3563">
        <f t="shared" si="27"/>
        <v>0</v>
      </c>
      <c r="F60" s="3563">
        <f t="shared" si="27"/>
        <v>0</v>
      </c>
      <c r="G60" s="3563">
        <f t="shared" si="27"/>
        <v>0</v>
      </c>
      <c r="H60" s="3563">
        <f t="shared" si="27"/>
        <v>0</v>
      </c>
      <c r="I60" s="3563">
        <f t="shared" si="27"/>
        <v>0</v>
      </c>
      <c r="J60" s="3563">
        <f t="shared" si="27"/>
        <v>373777</v>
      </c>
      <c r="K60" s="3563">
        <f t="shared" si="27"/>
        <v>0</v>
      </c>
      <c r="L60" s="3563">
        <f t="shared" si="27"/>
        <v>68</v>
      </c>
      <c r="M60" s="3563">
        <f t="shared" si="27"/>
        <v>0</v>
      </c>
      <c r="N60" s="3563">
        <f t="shared" si="27"/>
        <v>0</v>
      </c>
      <c r="O60" s="3563">
        <f t="shared" si="27"/>
        <v>367885</v>
      </c>
      <c r="P60" s="3563">
        <f t="shared" si="27"/>
        <v>0</v>
      </c>
      <c r="Q60" s="3563">
        <f t="shared" si="27"/>
        <v>0</v>
      </c>
      <c r="R60" s="3563">
        <f t="shared" si="27"/>
        <v>0</v>
      </c>
      <c r="S60" s="3563">
        <f t="shared" si="27"/>
        <v>0</v>
      </c>
      <c r="T60" s="3563">
        <f t="shared" si="27"/>
        <v>0</v>
      </c>
      <c r="U60" s="3563">
        <f t="shared" si="27"/>
        <v>0</v>
      </c>
      <c r="V60" s="3563">
        <f>SUM(V61:V74)</f>
        <v>5824</v>
      </c>
      <c r="W60" s="3563">
        <f t="shared" ref="W60:AB60" si="28">SUM(W61:W74)</f>
        <v>0</v>
      </c>
      <c r="X60" s="3563">
        <f t="shared" si="28"/>
        <v>0</v>
      </c>
      <c r="Y60" s="3563">
        <f t="shared" si="28"/>
        <v>0</v>
      </c>
      <c r="Z60" s="3563">
        <f t="shared" si="28"/>
        <v>0</v>
      </c>
      <c r="AA60" s="3563">
        <f t="shared" si="28"/>
        <v>0</v>
      </c>
      <c r="AB60" s="3563">
        <f t="shared" si="28"/>
        <v>0</v>
      </c>
      <c r="AC60" s="3563">
        <f>SUM(AC61:AC74)</f>
        <v>0</v>
      </c>
      <c r="AD60" s="3564">
        <f>SUM(AD61:AD74)</f>
        <v>0</v>
      </c>
      <c r="AE60" s="3154">
        <f>SUM(AE61:AE74)</f>
        <v>0</v>
      </c>
    </row>
    <row r="61" spans="1:31" s="154" customFormat="1">
      <c r="A61" s="2931">
        <v>45</v>
      </c>
      <c r="B61" s="2787" t="str">
        <f>'Phụ lục số 4'!B61</f>
        <v>Bảo hiểm Xã hội tỉnh</v>
      </c>
      <c r="C61" s="2954">
        <f t="shared" ref="C61:C72" si="29">D61+J61+AB61+W61+X61+AA61</f>
        <v>367885</v>
      </c>
      <c r="D61" s="2954">
        <f t="shared" ref="D61:D69" si="30">SUM(E61:H61)</f>
        <v>0</v>
      </c>
      <c r="E61" s="2954">
        <f>'Phụ lục số 4'!E61</f>
        <v>0</v>
      </c>
      <c r="F61" s="2954">
        <f>'Phụ lục số 4'!F61</f>
        <v>0</v>
      </c>
      <c r="G61" s="2954">
        <f>'Phụ lục số 4'!G61</f>
        <v>0</v>
      </c>
      <c r="H61" s="2954">
        <f>'Phụ lục số 4'!H61</f>
        <v>0</v>
      </c>
      <c r="I61" s="2954"/>
      <c r="J61" s="2954">
        <f>SUM(K61:V61)</f>
        <v>367885</v>
      </c>
      <c r="K61" s="2954">
        <f>'Phụ lục số 4'!K61</f>
        <v>0</v>
      </c>
      <c r="L61" s="2954">
        <f>'Phụ lục số 4'!L61</f>
        <v>0</v>
      </c>
      <c r="M61" s="2954">
        <f>'Phụ lục số 4'!M61</f>
        <v>0</v>
      </c>
      <c r="N61" s="2954">
        <f>'Phụ lục số 4'!N61</f>
        <v>0</v>
      </c>
      <c r="O61" s="2954">
        <f>'Phụ lục số 4'!O61</f>
        <v>367885</v>
      </c>
      <c r="P61" s="2954">
        <f>'Phụ lục số 4'!P61</f>
        <v>0</v>
      </c>
      <c r="Q61" s="2954">
        <f>'Phụ lục số 4'!Q61</f>
        <v>0</v>
      </c>
      <c r="R61" s="2954">
        <f>'Phụ lục số 4'!R61</f>
        <v>0</v>
      </c>
      <c r="S61" s="2954">
        <f>'Phụ lục số 4'!S61</f>
        <v>0</v>
      </c>
      <c r="T61" s="2954">
        <f>'Phụ lục số 4'!T61</f>
        <v>0</v>
      </c>
      <c r="U61" s="2954">
        <f>'Phụ lục số 4'!U61</f>
        <v>0</v>
      </c>
      <c r="V61" s="2954">
        <f>'Phụ lục số 4'!V61</f>
        <v>0</v>
      </c>
      <c r="W61" s="2954">
        <f>'Phụ lục số 4'!W61</f>
        <v>0</v>
      </c>
      <c r="X61" s="2954">
        <f>'Phụ lục số 4'!X61</f>
        <v>0</v>
      </c>
      <c r="Y61" s="2954">
        <f>'Phụ lục số 4'!Y61</f>
        <v>0</v>
      </c>
      <c r="Z61" s="2954">
        <f>'Phụ lục số 4'!Z61</f>
        <v>0</v>
      </c>
      <c r="AA61" s="2954">
        <f>'Phụ lục số 4'!AA61</f>
        <v>0</v>
      </c>
      <c r="AB61" s="2954">
        <f t="shared" ref="AB61:AB63" si="31">SUM(AC61:AD61)</f>
        <v>0</v>
      </c>
      <c r="AC61" s="2954">
        <f>'Phụ lục số 4'!AC61</f>
        <v>0</v>
      </c>
      <c r="AD61" s="3142">
        <f>'Phụ lục số 4'!AD61</f>
        <v>0</v>
      </c>
      <c r="AE61" s="3153">
        <f>'Phụ lục số 4'!AE61</f>
        <v>0</v>
      </c>
    </row>
    <row r="62" spans="1:31" s="154" customFormat="1">
      <c r="A62" s="2931">
        <v>46</v>
      </c>
      <c r="B62" s="2787" t="str">
        <f>'Phụ lục số 4'!B62</f>
        <v>Chi nhánh Ngân hàng chính sách xã hội</v>
      </c>
      <c r="C62" s="2954">
        <f t="shared" si="29"/>
        <v>0</v>
      </c>
      <c r="D62" s="2954">
        <f t="shared" si="30"/>
        <v>0</v>
      </c>
      <c r="E62" s="2954">
        <f>'Phụ lục số 4'!E62</f>
        <v>0</v>
      </c>
      <c r="F62" s="2954">
        <f>'Phụ lục số 4'!F62</f>
        <v>0</v>
      </c>
      <c r="G62" s="2954">
        <f>'Phụ lục số 4'!G62</f>
        <v>0</v>
      </c>
      <c r="H62" s="2954">
        <f>'Phụ lục số 4'!H62</f>
        <v>0</v>
      </c>
      <c r="I62" s="2954"/>
      <c r="J62" s="2954">
        <f t="shared" si="17"/>
        <v>0</v>
      </c>
      <c r="K62" s="2954">
        <f>'Phụ lục số 4'!K62</f>
        <v>0</v>
      </c>
      <c r="L62" s="2954">
        <f>'Phụ lục số 4'!L62</f>
        <v>0</v>
      </c>
      <c r="M62" s="2954">
        <f>'Phụ lục số 4'!M62</f>
        <v>0</v>
      </c>
      <c r="N62" s="2954">
        <f>'Phụ lục số 4'!N62</f>
        <v>0</v>
      </c>
      <c r="O62" s="2954">
        <f>'Phụ lục số 4'!O62</f>
        <v>0</v>
      </c>
      <c r="P62" s="2954">
        <f>'Phụ lục số 4'!P62</f>
        <v>0</v>
      </c>
      <c r="Q62" s="2954">
        <f>'Phụ lục số 4'!Q62</f>
        <v>0</v>
      </c>
      <c r="R62" s="2954">
        <f>'Phụ lục số 4'!R62</f>
        <v>0</v>
      </c>
      <c r="S62" s="2954">
        <f>'Phụ lục số 4'!S62</f>
        <v>0</v>
      </c>
      <c r="T62" s="2954">
        <f>'Phụ lục số 4'!T62</f>
        <v>0</v>
      </c>
      <c r="U62" s="2954">
        <f>'Phụ lục số 4'!U62</f>
        <v>0</v>
      </c>
      <c r="V62" s="2954">
        <f>'Phụ lục số 4'!V62</f>
        <v>0</v>
      </c>
      <c r="W62" s="2954">
        <f>'Phụ lục số 4'!W62</f>
        <v>0</v>
      </c>
      <c r="X62" s="2954">
        <f>'Phụ lục số 4'!X62</f>
        <v>0</v>
      </c>
      <c r="Y62" s="2954">
        <f>'Phụ lục số 4'!Y62</f>
        <v>0</v>
      </c>
      <c r="Z62" s="2954">
        <f>'Phụ lục số 4'!Z62</f>
        <v>0</v>
      </c>
      <c r="AA62" s="2954">
        <f>'Phụ lục số 4'!AA62</f>
        <v>0</v>
      </c>
      <c r="AB62" s="2954">
        <f t="shared" si="31"/>
        <v>0</v>
      </c>
      <c r="AC62" s="2954">
        <f>'Phụ lục số 4'!AC62</f>
        <v>0</v>
      </c>
      <c r="AD62" s="3142">
        <f>'Phụ lục số 4'!AD62</f>
        <v>0</v>
      </c>
      <c r="AE62" s="3153">
        <f>'Phụ lục số 4'!AE62</f>
        <v>0</v>
      </c>
    </row>
    <row r="63" spans="1:31" s="154" customFormat="1">
      <c r="A63" s="2931">
        <v>47</v>
      </c>
      <c r="B63" s="2787" t="str">
        <f>'Phụ lục số 4'!B63</f>
        <v>Hội nhà báo</v>
      </c>
      <c r="C63" s="2954">
        <f t="shared" si="29"/>
        <v>1257</v>
      </c>
      <c r="D63" s="2954">
        <f t="shared" si="30"/>
        <v>0</v>
      </c>
      <c r="E63" s="2954">
        <f>'Phụ lục số 4'!E63</f>
        <v>0</v>
      </c>
      <c r="F63" s="2954">
        <f>'Phụ lục số 4'!F63</f>
        <v>0</v>
      </c>
      <c r="G63" s="2954">
        <f>'Phụ lục số 4'!G63</f>
        <v>0</v>
      </c>
      <c r="H63" s="2954">
        <f>'Phụ lục số 4'!H63</f>
        <v>0</v>
      </c>
      <c r="I63" s="2954"/>
      <c r="J63" s="2954">
        <f t="shared" si="17"/>
        <v>1257</v>
      </c>
      <c r="K63" s="2954">
        <f>'Phụ lục số 4'!K63</f>
        <v>0</v>
      </c>
      <c r="L63" s="2954">
        <f>'Phụ lục số 4'!L63</f>
        <v>0</v>
      </c>
      <c r="M63" s="2954">
        <f>'Phụ lục số 4'!M63</f>
        <v>0</v>
      </c>
      <c r="N63" s="2954">
        <f>'Phụ lục số 4'!N63</f>
        <v>0</v>
      </c>
      <c r="O63" s="2954">
        <f>'Phụ lục số 4'!O63</f>
        <v>0</v>
      </c>
      <c r="P63" s="2954">
        <f>'Phụ lục số 4'!P63</f>
        <v>0</v>
      </c>
      <c r="Q63" s="2954">
        <f>'Phụ lục số 4'!Q63</f>
        <v>0</v>
      </c>
      <c r="R63" s="2954">
        <f>'Phụ lục số 4'!R63</f>
        <v>0</v>
      </c>
      <c r="S63" s="2954">
        <f>'Phụ lục số 4'!S63</f>
        <v>0</v>
      </c>
      <c r="T63" s="2954">
        <f>'Phụ lục số 4'!T63</f>
        <v>0</v>
      </c>
      <c r="U63" s="2954">
        <f>'Phụ lục số 4'!U63</f>
        <v>0</v>
      </c>
      <c r="V63" s="2954">
        <f>'Phụ lục số 4'!V63</f>
        <v>1257</v>
      </c>
      <c r="W63" s="2954">
        <f>'Phụ lục số 4'!W63</f>
        <v>0</v>
      </c>
      <c r="X63" s="2954">
        <f>'Phụ lục số 4'!X63</f>
        <v>0</v>
      </c>
      <c r="Y63" s="2954">
        <f>'Phụ lục số 4'!Y63</f>
        <v>0</v>
      </c>
      <c r="Z63" s="2954">
        <f>'Phụ lục số 4'!Z63</f>
        <v>0</v>
      </c>
      <c r="AA63" s="2954">
        <f>'Phụ lục số 4'!AA63</f>
        <v>0</v>
      </c>
      <c r="AB63" s="2954">
        <f t="shared" si="31"/>
        <v>0</v>
      </c>
      <c r="AC63" s="2954">
        <f>'Phụ lục số 4'!AC63</f>
        <v>0</v>
      </c>
      <c r="AD63" s="3142">
        <f>'Phụ lục số 4'!AD63</f>
        <v>0</v>
      </c>
      <c r="AE63" s="3153">
        <f>'Phụ lục số 4'!AE63</f>
        <v>0</v>
      </c>
    </row>
    <row r="64" spans="1:31" s="154" customFormat="1">
      <c r="A64" s="2931">
        <v>48</v>
      </c>
      <c r="B64" s="2787" t="str">
        <f>'Phụ lục số 4'!B64</f>
        <v>Hội Luật gia Tỉnh</v>
      </c>
      <c r="C64" s="2954">
        <f t="shared" si="29"/>
        <v>530</v>
      </c>
      <c r="D64" s="2954">
        <f t="shared" si="30"/>
        <v>0</v>
      </c>
      <c r="E64" s="2954">
        <f>'Phụ lục số 4'!E64</f>
        <v>0</v>
      </c>
      <c r="F64" s="2954">
        <f>'Phụ lục số 4'!F64</f>
        <v>0</v>
      </c>
      <c r="G64" s="2954">
        <f>'Phụ lục số 4'!G64</f>
        <v>0</v>
      </c>
      <c r="H64" s="2954">
        <f>'Phụ lục số 4'!H64</f>
        <v>0</v>
      </c>
      <c r="I64" s="2954"/>
      <c r="J64" s="2954">
        <f t="shared" si="17"/>
        <v>530</v>
      </c>
      <c r="K64" s="2954">
        <f>'Phụ lục số 4'!K64</f>
        <v>0</v>
      </c>
      <c r="L64" s="2954">
        <f>'Phụ lục số 4'!L64</f>
        <v>30</v>
      </c>
      <c r="M64" s="2954">
        <f>'Phụ lục số 4'!M64</f>
        <v>0</v>
      </c>
      <c r="N64" s="2954">
        <f>'Phụ lục số 4'!N64</f>
        <v>0</v>
      </c>
      <c r="O64" s="2954">
        <f>'Phụ lục số 4'!O64</f>
        <v>0</v>
      </c>
      <c r="P64" s="2954">
        <f>'Phụ lục số 4'!P64</f>
        <v>0</v>
      </c>
      <c r="Q64" s="2954">
        <f>'Phụ lục số 4'!Q64</f>
        <v>0</v>
      </c>
      <c r="R64" s="2954">
        <f>'Phụ lục số 4'!R64</f>
        <v>0</v>
      </c>
      <c r="S64" s="2954">
        <f>'Phụ lục số 4'!S64</f>
        <v>0</v>
      </c>
      <c r="T64" s="2954">
        <f>'Phụ lục số 4'!T64</f>
        <v>0</v>
      </c>
      <c r="U64" s="2954">
        <f>'Phụ lục số 4'!U64</f>
        <v>0</v>
      </c>
      <c r="V64" s="2954">
        <f>'Phụ lục số 4'!V64</f>
        <v>500</v>
      </c>
      <c r="W64" s="2954">
        <f>'Phụ lục số 4'!W64</f>
        <v>0</v>
      </c>
      <c r="X64" s="2954">
        <f>'Phụ lục số 4'!X64</f>
        <v>0</v>
      </c>
      <c r="Y64" s="2954">
        <f>'Phụ lục số 4'!Y64</f>
        <v>0</v>
      </c>
      <c r="Z64" s="2954">
        <f>'Phụ lục số 4'!Z64</f>
        <v>0</v>
      </c>
      <c r="AA64" s="2954">
        <f>'Phụ lục số 4'!AA64</f>
        <v>0</v>
      </c>
      <c r="AB64" s="2954">
        <f t="shared" ref="AB64:AB69" si="32">SUM(AC64:AD64)</f>
        <v>0</v>
      </c>
      <c r="AC64" s="2954">
        <f>'Phụ lục số 4'!AC64</f>
        <v>0</v>
      </c>
      <c r="AD64" s="3142">
        <f>'Phụ lục số 4'!AD64</f>
        <v>0</v>
      </c>
      <c r="AE64" s="3153">
        <f>'Phụ lục số 4'!AE64</f>
        <v>0</v>
      </c>
    </row>
    <row r="65" spans="1:31" s="154" customFormat="1" ht="54">
      <c r="A65" s="2931">
        <v>49</v>
      </c>
      <c r="B65" s="2787" t="str">
        <f>'Phụ lục số 4'!B65</f>
        <v>Hội Bảo trợ người khuyết tật, Nạn nhân chất độc da cam/dioxin và Bệnh nhân nghèo tỉnh Đồng Tháp</v>
      </c>
      <c r="C65" s="2954">
        <f t="shared" si="29"/>
        <v>500</v>
      </c>
      <c r="D65" s="2954">
        <f t="shared" si="30"/>
        <v>0</v>
      </c>
      <c r="E65" s="2954">
        <f>'Phụ lục số 4'!E65</f>
        <v>0</v>
      </c>
      <c r="F65" s="2954">
        <f>'Phụ lục số 4'!F65</f>
        <v>0</v>
      </c>
      <c r="G65" s="2954">
        <f>'Phụ lục số 4'!G65</f>
        <v>0</v>
      </c>
      <c r="H65" s="2954">
        <f>'Phụ lục số 4'!H65</f>
        <v>0</v>
      </c>
      <c r="I65" s="2954"/>
      <c r="J65" s="2954">
        <f t="shared" si="17"/>
        <v>500</v>
      </c>
      <c r="K65" s="2954">
        <f>'Phụ lục số 4'!K65</f>
        <v>0</v>
      </c>
      <c r="L65" s="2954">
        <f>'Phụ lục số 4'!L65</f>
        <v>0</v>
      </c>
      <c r="M65" s="2954">
        <f>'Phụ lục số 4'!M65</f>
        <v>0</v>
      </c>
      <c r="N65" s="2954">
        <f>'Phụ lục số 4'!N65</f>
        <v>0</v>
      </c>
      <c r="O65" s="2954">
        <f>'Phụ lục số 4'!O65</f>
        <v>0</v>
      </c>
      <c r="P65" s="2954">
        <f>'Phụ lục số 4'!P65</f>
        <v>0</v>
      </c>
      <c r="Q65" s="2954">
        <f>'Phụ lục số 4'!Q65</f>
        <v>0</v>
      </c>
      <c r="R65" s="2954">
        <f>'Phụ lục số 4'!R65</f>
        <v>0</v>
      </c>
      <c r="S65" s="2954">
        <f>'Phụ lục số 4'!S65</f>
        <v>0</v>
      </c>
      <c r="T65" s="2954">
        <f>'Phụ lục số 4'!T65</f>
        <v>0</v>
      </c>
      <c r="U65" s="2954">
        <f>'Phụ lục số 4'!U65</f>
        <v>0</v>
      </c>
      <c r="V65" s="2954">
        <f>'Phụ lục số 4'!V65</f>
        <v>500</v>
      </c>
      <c r="W65" s="2954">
        <f>'Phụ lục số 4'!W65</f>
        <v>0</v>
      </c>
      <c r="X65" s="2954">
        <f>'Phụ lục số 4'!X65</f>
        <v>0</v>
      </c>
      <c r="Y65" s="2954">
        <f>'Phụ lục số 4'!Y65</f>
        <v>0</v>
      </c>
      <c r="Z65" s="2954">
        <f>'Phụ lục số 4'!Z65</f>
        <v>0</v>
      </c>
      <c r="AA65" s="2954">
        <f>'Phụ lục số 4'!AA65</f>
        <v>0</v>
      </c>
      <c r="AB65" s="2954">
        <f t="shared" si="32"/>
        <v>0</v>
      </c>
      <c r="AC65" s="2954">
        <f>'Phụ lục số 4'!AC65</f>
        <v>0</v>
      </c>
      <c r="AD65" s="3142">
        <f>'Phụ lục số 4'!AD65</f>
        <v>0</v>
      </c>
      <c r="AE65" s="3153">
        <f>'Phụ lục số 4'!AE65</f>
        <v>0</v>
      </c>
    </row>
    <row r="66" spans="1:31" s="154" customFormat="1">
      <c r="A66" s="2931">
        <v>50</v>
      </c>
      <c r="B66" s="2787" t="str">
        <f>'Phụ lục số 4'!B66</f>
        <v>Hội Khuyến học tỉnh</v>
      </c>
      <c r="C66" s="2954">
        <f t="shared" si="29"/>
        <v>400</v>
      </c>
      <c r="D66" s="2954">
        <f t="shared" si="30"/>
        <v>0</v>
      </c>
      <c r="E66" s="2954">
        <f>'Phụ lục số 4'!E66</f>
        <v>0</v>
      </c>
      <c r="F66" s="2954">
        <f>'Phụ lục số 4'!F66</f>
        <v>0</v>
      </c>
      <c r="G66" s="2954">
        <f>'Phụ lục số 4'!G66</f>
        <v>0</v>
      </c>
      <c r="H66" s="2954">
        <f>'Phụ lục số 4'!H66</f>
        <v>0</v>
      </c>
      <c r="I66" s="2954"/>
      <c r="J66" s="2954">
        <f t="shared" si="17"/>
        <v>400</v>
      </c>
      <c r="K66" s="2954">
        <f>'Phụ lục số 4'!K66</f>
        <v>0</v>
      </c>
      <c r="L66" s="2954">
        <f>'Phụ lục số 4'!L66</f>
        <v>0</v>
      </c>
      <c r="M66" s="2954">
        <f>'Phụ lục số 4'!M66</f>
        <v>0</v>
      </c>
      <c r="N66" s="2954">
        <f>'Phụ lục số 4'!N66</f>
        <v>0</v>
      </c>
      <c r="O66" s="2954">
        <f>'Phụ lục số 4'!O66</f>
        <v>0</v>
      </c>
      <c r="P66" s="2954">
        <f>'Phụ lục số 4'!P66</f>
        <v>0</v>
      </c>
      <c r="Q66" s="2954">
        <f>'Phụ lục số 4'!Q66</f>
        <v>0</v>
      </c>
      <c r="R66" s="2954">
        <f>'Phụ lục số 4'!R66</f>
        <v>0</v>
      </c>
      <c r="S66" s="2954">
        <f>'Phụ lục số 4'!S66</f>
        <v>0</v>
      </c>
      <c r="T66" s="2954">
        <f>'Phụ lục số 4'!T66</f>
        <v>0</v>
      </c>
      <c r="U66" s="2954">
        <f>'Phụ lục số 4'!U66</f>
        <v>0</v>
      </c>
      <c r="V66" s="2954">
        <f>'Phụ lục số 4'!V66</f>
        <v>400</v>
      </c>
      <c r="W66" s="2954">
        <f>'Phụ lục số 4'!W66</f>
        <v>0</v>
      </c>
      <c r="X66" s="2954">
        <f>'Phụ lục số 4'!X66</f>
        <v>0</v>
      </c>
      <c r="Y66" s="2954">
        <f>'Phụ lục số 4'!Y66</f>
        <v>0</v>
      </c>
      <c r="Z66" s="2954">
        <f>'Phụ lục số 4'!Z66</f>
        <v>0</v>
      </c>
      <c r="AA66" s="2954">
        <f>'Phụ lục số 4'!AA66</f>
        <v>0</v>
      </c>
      <c r="AB66" s="2954">
        <f t="shared" si="32"/>
        <v>0</v>
      </c>
      <c r="AC66" s="2954">
        <f>'Phụ lục số 4'!AC66</f>
        <v>0</v>
      </c>
      <c r="AD66" s="3142">
        <f>'Phụ lục số 4'!AD66</f>
        <v>0</v>
      </c>
      <c r="AE66" s="3153">
        <f>'Phụ lục số 4'!AE66</f>
        <v>0</v>
      </c>
    </row>
    <row r="67" spans="1:31" s="154" customFormat="1">
      <c r="A67" s="2931">
        <v>51</v>
      </c>
      <c r="B67" s="2787" t="str">
        <f>'Phụ lục số 4'!B67</f>
        <v>Hội Y học tỉnh</v>
      </c>
      <c r="C67" s="2954">
        <f t="shared" si="29"/>
        <v>400</v>
      </c>
      <c r="D67" s="2954">
        <f t="shared" si="30"/>
        <v>0</v>
      </c>
      <c r="E67" s="2954">
        <f>'Phụ lục số 4'!E67</f>
        <v>0</v>
      </c>
      <c r="F67" s="2954">
        <f>'Phụ lục số 4'!F67</f>
        <v>0</v>
      </c>
      <c r="G67" s="2954">
        <f>'Phụ lục số 4'!G67</f>
        <v>0</v>
      </c>
      <c r="H67" s="2954">
        <f>'Phụ lục số 4'!H67</f>
        <v>0</v>
      </c>
      <c r="I67" s="2954"/>
      <c r="J67" s="2954">
        <f t="shared" si="17"/>
        <v>400</v>
      </c>
      <c r="K67" s="2954">
        <f>'Phụ lục số 4'!K67</f>
        <v>0</v>
      </c>
      <c r="L67" s="2954">
        <f>'Phụ lục số 4'!L67</f>
        <v>0</v>
      </c>
      <c r="M67" s="2954">
        <f>'Phụ lục số 4'!M67</f>
        <v>0</v>
      </c>
      <c r="N67" s="2954">
        <f>'Phụ lục số 4'!N67</f>
        <v>0</v>
      </c>
      <c r="O67" s="2954">
        <f>'Phụ lục số 4'!O67</f>
        <v>0</v>
      </c>
      <c r="P67" s="2954">
        <f>'Phụ lục số 4'!P67</f>
        <v>0</v>
      </c>
      <c r="Q67" s="2954">
        <f>'Phụ lục số 4'!Q67</f>
        <v>0</v>
      </c>
      <c r="R67" s="2954">
        <f>'Phụ lục số 4'!R67</f>
        <v>0</v>
      </c>
      <c r="S67" s="2954">
        <f>'Phụ lục số 4'!S67</f>
        <v>0</v>
      </c>
      <c r="T67" s="2954">
        <f>'Phụ lục số 4'!T67</f>
        <v>0</v>
      </c>
      <c r="U67" s="2954">
        <f>'Phụ lục số 4'!U67</f>
        <v>0</v>
      </c>
      <c r="V67" s="2954">
        <f>'Phụ lục số 4'!V67</f>
        <v>400</v>
      </c>
      <c r="W67" s="2954">
        <f>'Phụ lục số 4'!W67</f>
        <v>0</v>
      </c>
      <c r="X67" s="2954">
        <f>'Phụ lục số 4'!X67</f>
        <v>0</v>
      </c>
      <c r="Y67" s="2954">
        <f>'Phụ lục số 4'!Y67</f>
        <v>0</v>
      </c>
      <c r="Z67" s="2954">
        <f>'Phụ lục số 4'!Z67</f>
        <v>0</v>
      </c>
      <c r="AA67" s="2954">
        <f>'Phụ lục số 4'!AA67</f>
        <v>0</v>
      </c>
      <c r="AB67" s="2954">
        <f t="shared" si="32"/>
        <v>0</v>
      </c>
      <c r="AC67" s="2954">
        <f>'Phụ lục số 4'!AC67</f>
        <v>0</v>
      </c>
      <c r="AD67" s="3142">
        <f>'Phụ lục số 4'!AD67</f>
        <v>0</v>
      </c>
      <c r="AE67" s="3153">
        <f>'Phụ lục số 4'!AE67</f>
        <v>0</v>
      </c>
    </row>
    <row r="68" spans="1:31" s="154" customFormat="1">
      <c r="A68" s="2931">
        <v>52</v>
      </c>
      <c r="B68" s="2787" t="str">
        <f>'Phụ lục số 4'!B68</f>
        <v>Ban đại diện Hội Người Cao tuổi</v>
      </c>
      <c r="C68" s="2954">
        <f t="shared" si="29"/>
        <v>718</v>
      </c>
      <c r="D68" s="2954">
        <f t="shared" si="30"/>
        <v>0</v>
      </c>
      <c r="E68" s="2954">
        <f>'Phụ lục số 4'!E68</f>
        <v>0</v>
      </c>
      <c r="F68" s="2954">
        <f>'Phụ lục số 4'!F68</f>
        <v>0</v>
      </c>
      <c r="G68" s="2954">
        <f>'Phụ lục số 4'!G68</f>
        <v>0</v>
      </c>
      <c r="H68" s="2954">
        <f>'Phụ lục số 4'!H68</f>
        <v>0</v>
      </c>
      <c r="I68" s="2954"/>
      <c r="J68" s="2954">
        <f t="shared" si="17"/>
        <v>718</v>
      </c>
      <c r="K68" s="2954">
        <f>'Phụ lục số 4'!K68</f>
        <v>0</v>
      </c>
      <c r="L68" s="2954">
        <f>'Phụ lục số 4'!L68</f>
        <v>38</v>
      </c>
      <c r="M68" s="2954">
        <f>'Phụ lục số 4'!M68</f>
        <v>0</v>
      </c>
      <c r="N68" s="2954">
        <f>'Phụ lục số 4'!N68</f>
        <v>0</v>
      </c>
      <c r="O68" s="2954">
        <f>'Phụ lục số 4'!O68</f>
        <v>0</v>
      </c>
      <c r="P68" s="2954">
        <f>'Phụ lục số 4'!P68</f>
        <v>0</v>
      </c>
      <c r="Q68" s="2954">
        <f>'Phụ lục số 4'!Q68</f>
        <v>0</v>
      </c>
      <c r="R68" s="2954">
        <f>'Phụ lục số 4'!R68</f>
        <v>0</v>
      </c>
      <c r="S68" s="2954">
        <f>'Phụ lục số 4'!S68</f>
        <v>0</v>
      </c>
      <c r="T68" s="2954">
        <f>'Phụ lục số 4'!T68</f>
        <v>0</v>
      </c>
      <c r="U68" s="2954">
        <f>'Phụ lục số 4'!U68</f>
        <v>0</v>
      </c>
      <c r="V68" s="2954">
        <f>'Phụ lục số 4'!V68</f>
        <v>680</v>
      </c>
      <c r="W68" s="2954">
        <f>'Phụ lục số 4'!W68</f>
        <v>0</v>
      </c>
      <c r="X68" s="2954">
        <f>'Phụ lục số 4'!X68</f>
        <v>0</v>
      </c>
      <c r="Y68" s="2954">
        <f>'Phụ lục số 4'!Y68</f>
        <v>0</v>
      </c>
      <c r="Z68" s="2954">
        <f>'Phụ lục số 4'!Z68</f>
        <v>0</v>
      </c>
      <c r="AA68" s="2954">
        <f>'Phụ lục số 4'!AA68</f>
        <v>0</v>
      </c>
      <c r="AB68" s="2954">
        <f t="shared" si="32"/>
        <v>0</v>
      </c>
      <c r="AC68" s="2954">
        <f>'Phụ lục số 4'!AC68</f>
        <v>0</v>
      </c>
      <c r="AD68" s="3142">
        <f>'Phụ lục số 4'!AD68</f>
        <v>0</v>
      </c>
      <c r="AE68" s="3153">
        <f>'Phụ lục số 4'!AE68</f>
        <v>0</v>
      </c>
    </row>
    <row r="69" spans="1:31" s="154" customFormat="1">
      <c r="A69" s="2931">
        <v>53</v>
      </c>
      <c r="B69" s="2787" t="str">
        <f>'Phụ lục số 4'!B69</f>
        <v>Hội Khoa học Lịch sử tỉnh</v>
      </c>
      <c r="C69" s="2954">
        <f t="shared" si="29"/>
        <v>1050</v>
      </c>
      <c r="D69" s="2954">
        <f t="shared" si="30"/>
        <v>0</v>
      </c>
      <c r="E69" s="2954">
        <f>'Phụ lục số 4'!E69</f>
        <v>0</v>
      </c>
      <c r="F69" s="2954">
        <f>'Phụ lục số 4'!F69</f>
        <v>0</v>
      </c>
      <c r="G69" s="2954">
        <f>'Phụ lục số 4'!G69</f>
        <v>0</v>
      </c>
      <c r="H69" s="2954">
        <f>'Phụ lục số 4'!H69</f>
        <v>0</v>
      </c>
      <c r="I69" s="2954"/>
      <c r="J69" s="2954">
        <f t="shared" ref="J69:J75" si="33">SUM(K69:V69)</f>
        <v>1050</v>
      </c>
      <c r="K69" s="2954">
        <f>'Phụ lục số 4'!K69</f>
        <v>0</v>
      </c>
      <c r="L69" s="2954">
        <f>'Phụ lục số 4'!L69</f>
        <v>0</v>
      </c>
      <c r="M69" s="2954">
        <f>'Phụ lục số 4'!M69</f>
        <v>0</v>
      </c>
      <c r="N69" s="2954">
        <f>'Phụ lục số 4'!N69</f>
        <v>0</v>
      </c>
      <c r="O69" s="2954">
        <f>'Phụ lục số 4'!O69</f>
        <v>0</v>
      </c>
      <c r="P69" s="2954">
        <f>'Phụ lục số 4'!P69</f>
        <v>0</v>
      </c>
      <c r="Q69" s="2954">
        <f>'Phụ lục số 4'!Q69</f>
        <v>0</v>
      </c>
      <c r="R69" s="2954">
        <f>'Phụ lục số 4'!R69</f>
        <v>0</v>
      </c>
      <c r="S69" s="2954">
        <f>'Phụ lục số 4'!S69</f>
        <v>0</v>
      </c>
      <c r="T69" s="2954">
        <f>'Phụ lục số 4'!T69</f>
        <v>0</v>
      </c>
      <c r="U69" s="2954">
        <f>'Phụ lục số 4'!U69</f>
        <v>0</v>
      </c>
      <c r="V69" s="2954">
        <f>'Phụ lục số 4'!V69</f>
        <v>1050</v>
      </c>
      <c r="W69" s="2954">
        <f>'Phụ lục số 4'!W69</f>
        <v>0</v>
      </c>
      <c r="X69" s="2954">
        <f>'Phụ lục số 4'!X69</f>
        <v>0</v>
      </c>
      <c r="Y69" s="2954">
        <f>'Phụ lục số 4'!Y69</f>
        <v>0</v>
      </c>
      <c r="Z69" s="2954">
        <f>'Phụ lục số 4'!Z69</f>
        <v>0</v>
      </c>
      <c r="AA69" s="2954">
        <f>'Phụ lục số 4'!AA69</f>
        <v>0</v>
      </c>
      <c r="AB69" s="2954">
        <f t="shared" si="32"/>
        <v>0</v>
      </c>
      <c r="AC69" s="2954">
        <f>'Phụ lục số 4'!AC69</f>
        <v>0</v>
      </c>
      <c r="AD69" s="3142">
        <f>'Phụ lục số 4'!AD69</f>
        <v>0</v>
      </c>
      <c r="AE69" s="3153">
        <f>'Phụ lục số 4'!AE69</f>
        <v>0</v>
      </c>
    </row>
    <row r="70" spans="1:31" s="154" customFormat="1">
      <c r="A70" s="2931">
        <v>54</v>
      </c>
      <c r="B70" s="2787" t="str">
        <f>'Phụ lục số 4'!B70</f>
        <v>Cục Thi hành án dân sự tỉnh Đồng Tháp</v>
      </c>
      <c r="C70" s="2954">
        <f t="shared" si="29"/>
        <v>150</v>
      </c>
      <c r="D70" s="2954"/>
      <c r="E70" s="2954"/>
      <c r="F70" s="2954"/>
      <c r="G70" s="2954"/>
      <c r="H70" s="2954"/>
      <c r="I70" s="2954"/>
      <c r="J70" s="2954">
        <f t="shared" si="33"/>
        <v>150</v>
      </c>
      <c r="K70" s="2954"/>
      <c r="L70" s="2954"/>
      <c r="M70" s="2954"/>
      <c r="N70" s="2954"/>
      <c r="O70" s="2954"/>
      <c r="P70" s="2954"/>
      <c r="Q70" s="2954"/>
      <c r="R70" s="2954"/>
      <c r="S70" s="2954"/>
      <c r="T70" s="2954"/>
      <c r="U70" s="2954"/>
      <c r="V70" s="2954">
        <f>'Phụ lục số 4'!V70</f>
        <v>150</v>
      </c>
      <c r="W70" s="2954"/>
      <c r="X70" s="2954"/>
      <c r="Y70" s="2954"/>
      <c r="Z70" s="2954"/>
      <c r="AA70" s="2954"/>
      <c r="AB70" s="2954"/>
      <c r="AC70" s="2954"/>
      <c r="AD70" s="3142"/>
      <c r="AE70" s="3153"/>
    </row>
    <row r="71" spans="1:31" s="154" customFormat="1">
      <c r="A71" s="2931">
        <v>55</v>
      </c>
      <c r="B71" s="2787" t="str">
        <f>'Phụ lục số 4'!B71</f>
        <v>Cục Thuế tỉnh Đồng Tháp</v>
      </c>
      <c r="C71" s="2954">
        <f t="shared" si="29"/>
        <v>300</v>
      </c>
      <c r="D71" s="2954"/>
      <c r="E71" s="2954"/>
      <c r="F71" s="2954"/>
      <c r="G71" s="2954"/>
      <c r="H71" s="2954"/>
      <c r="I71" s="2954"/>
      <c r="J71" s="2954">
        <f t="shared" si="33"/>
        <v>300</v>
      </c>
      <c r="K71" s="2954"/>
      <c r="L71" s="2954"/>
      <c r="M71" s="2954"/>
      <c r="N71" s="2954"/>
      <c r="O71" s="2954"/>
      <c r="P71" s="2954"/>
      <c r="Q71" s="2954"/>
      <c r="R71" s="2954"/>
      <c r="S71" s="2954"/>
      <c r="T71" s="2954"/>
      <c r="U71" s="2954"/>
      <c r="V71" s="2954">
        <f>'Phụ lục số 4'!V71</f>
        <v>300</v>
      </c>
      <c r="W71" s="2954"/>
      <c r="X71" s="2954"/>
      <c r="Y71" s="2954"/>
      <c r="Z71" s="2954"/>
      <c r="AA71" s="2954"/>
      <c r="AB71" s="2954"/>
      <c r="AC71" s="2954"/>
      <c r="AD71" s="3142"/>
      <c r="AE71" s="3153"/>
    </row>
    <row r="72" spans="1:31" s="154" customFormat="1">
      <c r="A72" s="2931">
        <v>56</v>
      </c>
      <c r="B72" s="2787" t="str">
        <f>'Phụ lục số 4'!B72</f>
        <v>Cục Thống kê tỉnh Đồng Tháp</v>
      </c>
      <c r="C72" s="2954">
        <f t="shared" si="29"/>
        <v>100</v>
      </c>
      <c r="D72" s="2954"/>
      <c r="E72" s="2954"/>
      <c r="F72" s="2954"/>
      <c r="G72" s="2954"/>
      <c r="H72" s="2954"/>
      <c r="I72" s="2954"/>
      <c r="J72" s="2954">
        <f t="shared" si="33"/>
        <v>100</v>
      </c>
      <c r="K72" s="2954"/>
      <c r="L72" s="2954"/>
      <c r="M72" s="2954"/>
      <c r="N72" s="2954"/>
      <c r="O72" s="2954"/>
      <c r="P72" s="2954"/>
      <c r="Q72" s="2954"/>
      <c r="R72" s="2954"/>
      <c r="S72" s="2954"/>
      <c r="T72" s="2954"/>
      <c r="U72" s="2954"/>
      <c r="V72" s="2954">
        <f>'Phụ lục số 4'!V72</f>
        <v>100</v>
      </c>
      <c r="W72" s="2954"/>
      <c r="X72" s="2954"/>
      <c r="Y72" s="2954"/>
      <c r="Z72" s="2954"/>
      <c r="AA72" s="2954"/>
      <c r="AB72" s="2954"/>
      <c r="AC72" s="2954"/>
      <c r="AD72" s="3142"/>
      <c r="AE72" s="3153"/>
    </row>
    <row r="73" spans="1:31" s="154" customFormat="1">
      <c r="A73" s="2931">
        <v>57</v>
      </c>
      <c r="B73" s="2787" t="str">
        <f>'Phụ lục số 4'!B73</f>
        <v>Cục Quản lý thị trường Tỉnh</v>
      </c>
      <c r="C73" s="2954">
        <f t="shared" ref="C73:C74" si="34">D73+J73+AB73+W73+X73+AA73</f>
        <v>300</v>
      </c>
      <c r="D73" s="2954"/>
      <c r="E73" s="2954"/>
      <c r="F73" s="2954"/>
      <c r="G73" s="2954"/>
      <c r="H73" s="2954"/>
      <c r="I73" s="2954"/>
      <c r="J73" s="2954">
        <f t="shared" si="33"/>
        <v>300</v>
      </c>
      <c r="K73" s="2954"/>
      <c r="L73" s="2954"/>
      <c r="M73" s="2954"/>
      <c r="N73" s="2954"/>
      <c r="O73" s="2954"/>
      <c r="P73" s="2954"/>
      <c r="Q73" s="2954"/>
      <c r="R73" s="2954"/>
      <c r="S73" s="2954"/>
      <c r="T73" s="2954"/>
      <c r="U73" s="2954"/>
      <c r="V73" s="2954">
        <f>'Phụ lục số 4'!V73</f>
        <v>300</v>
      </c>
      <c r="W73" s="2954"/>
      <c r="X73" s="2954"/>
      <c r="Y73" s="2954"/>
      <c r="Z73" s="2954"/>
      <c r="AA73" s="2954"/>
      <c r="AB73" s="2954"/>
      <c r="AC73" s="2954"/>
      <c r="AD73" s="3142"/>
      <c r="AE73" s="3153"/>
    </row>
    <row r="74" spans="1:31">
      <c r="A74" s="3063">
        <v>57</v>
      </c>
      <c r="B74" s="3580" t="str">
        <f>'Phụ lục số 4'!B74</f>
        <v>Tòa án Nhân dân tỉnh Đồng Tháp</v>
      </c>
      <c r="C74" s="3581">
        <f t="shared" si="34"/>
        <v>187</v>
      </c>
      <c r="D74" s="3581"/>
      <c r="E74" s="3581"/>
      <c r="F74" s="3581"/>
      <c r="G74" s="3581"/>
      <c r="H74" s="3581"/>
      <c r="I74" s="3581"/>
      <c r="J74" s="3581">
        <f t="shared" si="33"/>
        <v>187</v>
      </c>
      <c r="K74" s="3581"/>
      <c r="L74" s="3581"/>
      <c r="M74" s="3581"/>
      <c r="N74" s="3581"/>
      <c r="O74" s="3581"/>
      <c r="P74" s="3581"/>
      <c r="Q74" s="3581"/>
      <c r="R74" s="3581"/>
      <c r="S74" s="3581"/>
      <c r="T74" s="3581"/>
      <c r="U74" s="3581"/>
      <c r="V74" s="2954">
        <f>'Phụ lục số 4'!V74</f>
        <v>187</v>
      </c>
      <c r="W74" s="3581"/>
      <c r="X74" s="3581"/>
      <c r="Y74" s="3581"/>
      <c r="Z74" s="3581"/>
      <c r="AA74" s="3581"/>
      <c r="AB74" s="3581"/>
      <c r="AC74" s="3581"/>
      <c r="AD74" s="3582"/>
      <c r="AE74" s="3583"/>
    </row>
    <row r="75" spans="1:31" s="1319" customFormat="1" ht="69.599999999999994">
      <c r="A75" s="3028" t="s">
        <v>72</v>
      </c>
      <c r="B75" s="3562" t="str">
        <f>'Phụ lục số 4'!B75</f>
        <v>CÁC KHOẢN CHI ĐÃ GIAO THEO LĨNH VỰC (CHƯA GIAO CỤ THỂ ĐẦU NĂM) CHO ĐƠN VỊ TRÊN ĐỊA BÀN TỈNH</v>
      </c>
      <c r="C75" s="3563">
        <f>D75+J75+AB75+W75+X75</f>
        <v>330590.55099999998</v>
      </c>
      <c r="D75" s="3563">
        <f t="shared" ref="D75:D108" si="35">SUM(E75:H75)</f>
        <v>0</v>
      </c>
      <c r="E75" s="3563">
        <f>'Phụ lục số 4'!E75</f>
        <v>0</v>
      </c>
      <c r="F75" s="3563">
        <f>'Phụ lục số 4'!F75</f>
        <v>0</v>
      </c>
      <c r="G75" s="3563">
        <f>'Phụ lục số 4'!G75</f>
        <v>0</v>
      </c>
      <c r="H75" s="3563">
        <f>'Phụ lục số 4'!H75</f>
        <v>0</v>
      </c>
      <c r="I75" s="3563"/>
      <c r="J75" s="3563">
        <f t="shared" si="33"/>
        <v>318964.55099999998</v>
      </c>
      <c r="K75" s="3563">
        <f>'Phụ lục số 4'!K75</f>
        <v>195500</v>
      </c>
      <c r="L75" s="3563">
        <f>'Phụ lục số 4'!L75</f>
        <v>1152</v>
      </c>
      <c r="M75" s="3563">
        <f>'Phụ lục số 4'!M75</f>
        <v>1892</v>
      </c>
      <c r="N75" s="3563">
        <f>'Phụ lục số 4'!N75</f>
        <v>74667</v>
      </c>
      <c r="O75" s="3563">
        <f>'Phụ lục số 4'!O75</f>
        <v>0</v>
      </c>
      <c r="P75" s="3563">
        <f>'Phụ lục số 4'!P75</f>
        <v>2694</v>
      </c>
      <c r="Q75" s="3563">
        <f>'Phụ lục số 4'!Q75</f>
        <v>0</v>
      </c>
      <c r="R75" s="3563">
        <f>'Phụ lục số 4'!R75</f>
        <v>0</v>
      </c>
      <c r="S75" s="3563">
        <f>'Phụ lục số 4'!S75</f>
        <v>23385</v>
      </c>
      <c r="T75" s="3563">
        <f>'Phụ lục số 4'!T75</f>
        <v>5498.9510000000009</v>
      </c>
      <c r="U75" s="3563">
        <f>'Phụ lục số 4'!U75</f>
        <v>-0.39999999999417923</v>
      </c>
      <c r="V75" s="3563">
        <f>'Phụ lục số 4'!V75</f>
        <v>14176</v>
      </c>
      <c r="W75" s="3563">
        <f>'Phụ lục số 4'!W75</f>
        <v>0</v>
      </c>
      <c r="X75" s="3563">
        <f>'Phụ lục số 4'!X75</f>
        <v>0</v>
      </c>
      <c r="Y75" s="3563">
        <f>'Phụ lục số 4'!Y75</f>
        <v>0</v>
      </c>
      <c r="Z75" s="3563">
        <f>'Phụ lục số 4'!Z75</f>
        <v>0</v>
      </c>
      <c r="AA75" s="3563">
        <f>'Phụ lục số 4'!AA75</f>
        <v>0</v>
      </c>
      <c r="AB75" s="3563">
        <f t="shared" ref="AB75" si="36">SUM(AC75:AD75)</f>
        <v>11626</v>
      </c>
      <c r="AC75" s="3563">
        <f>'Phụ lục số 4'!AC75</f>
        <v>0</v>
      </c>
      <c r="AD75" s="3564">
        <f>'Phụ lục số 4'!AD75</f>
        <v>11626</v>
      </c>
      <c r="AE75" s="3154">
        <f>'Phụ lục số 4'!AE75</f>
        <v>0</v>
      </c>
    </row>
    <row r="76" spans="1:31" s="1319" customFormat="1" ht="17.399999999999999">
      <c r="A76" s="3671">
        <f>'Phụ lục số 4'!A76</f>
        <v>1</v>
      </c>
      <c r="B76" s="3612" t="str">
        <f>'Phụ lục số 4'!B76</f>
        <v>Các nhiệm vụ chi hoạt động kinh tế</v>
      </c>
      <c r="C76" s="2956">
        <f t="shared" ref="C76:C105" si="37">D76+J76+AB76+W76+X76+AA76</f>
        <v>195500</v>
      </c>
      <c r="D76" s="3563"/>
      <c r="E76" s="3563"/>
      <c r="F76" s="3563"/>
      <c r="G76" s="3563"/>
      <c r="H76" s="3563"/>
      <c r="I76" s="3563"/>
      <c r="J76" s="2956">
        <f>SUM(K76:V76)</f>
        <v>195500</v>
      </c>
      <c r="K76" s="2956">
        <f>'Phụ lục số 4'!K76</f>
        <v>195500</v>
      </c>
      <c r="L76" s="2956">
        <f>'Phụ lục số 4'!L76</f>
        <v>0</v>
      </c>
      <c r="M76" s="2956">
        <f>'Phụ lục số 4'!M76</f>
        <v>0</v>
      </c>
      <c r="N76" s="2956">
        <f>'Phụ lục số 4'!N76</f>
        <v>0</v>
      </c>
      <c r="O76" s="2956">
        <f>'Phụ lục số 4'!O76</f>
        <v>0</v>
      </c>
      <c r="P76" s="2956">
        <f>'Phụ lục số 4'!P76</f>
        <v>0</v>
      </c>
      <c r="Q76" s="2956">
        <f>'Phụ lục số 4'!Q76</f>
        <v>0</v>
      </c>
      <c r="R76" s="2956">
        <f>'Phụ lục số 4'!R76</f>
        <v>0</v>
      </c>
      <c r="S76" s="2956">
        <f>'Phụ lục số 4'!S76</f>
        <v>0</v>
      </c>
      <c r="T76" s="2956">
        <f>'Phụ lục số 4'!T76</f>
        <v>0</v>
      </c>
      <c r="U76" s="2956">
        <f>'Phụ lục số 4'!U76</f>
        <v>0</v>
      </c>
      <c r="V76" s="2956">
        <f>'Phụ lục số 4'!V76</f>
        <v>0</v>
      </c>
      <c r="W76" s="2956">
        <f>'Phụ lục số 4'!W76</f>
        <v>0</v>
      </c>
      <c r="X76" s="2956">
        <f>'Phụ lục số 4'!X76</f>
        <v>0</v>
      </c>
      <c r="Y76" s="2956">
        <f>'Phụ lục số 4'!Y76</f>
        <v>0</v>
      </c>
      <c r="Z76" s="2956">
        <f>'Phụ lục số 4'!Z76</f>
        <v>0</v>
      </c>
      <c r="AA76" s="2956">
        <f>'Phụ lục số 4'!AA76</f>
        <v>0</v>
      </c>
      <c r="AB76" s="2956">
        <f>'Phụ lục số 4'!AB76</f>
        <v>0</v>
      </c>
      <c r="AC76" s="2956">
        <f>'Phụ lục số 4'!AC76</f>
        <v>0</v>
      </c>
      <c r="AD76" s="3143">
        <f>'Phụ lục số 4'!AD76</f>
        <v>0</v>
      </c>
      <c r="AE76" s="3154"/>
    </row>
    <row r="77" spans="1:31" s="154" customFormat="1" ht="36">
      <c r="A77" s="3031" t="str">
        <f>'Phụ lục số 4'!A77</f>
        <v>a</v>
      </c>
      <c r="B77" s="3593" t="str">
        <f>'Phụ lục số 4'!B77</f>
        <v>Kinh phí phát triển cây xanh, chiếu sáng đô thị toàn tỉnh</v>
      </c>
      <c r="C77" s="2954">
        <f t="shared" si="37"/>
        <v>70000</v>
      </c>
      <c r="D77" s="2954">
        <f t="shared" si="35"/>
        <v>0</v>
      </c>
      <c r="E77" s="2954">
        <f>'Phụ lục số 4'!E77</f>
        <v>0</v>
      </c>
      <c r="F77" s="2954">
        <f>'Phụ lục số 4'!F77</f>
        <v>0</v>
      </c>
      <c r="G77" s="2954">
        <f>'Phụ lục số 4'!G77</f>
        <v>0</v>
      </c>
      <c r="H77" s="2954">
        <f>'Phụ lục số 4'!H77</f>
        <v>0</v>
      </c>
      <c r="I77" s="2954"/>
      <c r="J77" s="2954">
        <f t="shared" si="17"/>
        <v>70000</v>
      </c>
      <c r="K77" s="2954">
        <f>'Phụ lục số 4'!K77</f>
        <v>70000</v>
      </c>
      <c r="L77" s="2954">
        <f>'Phụ lục số 4'!L77</f>
        <v>0</v>
      </c>
      <c r="M77" s="2954">
        <f>'Phụ lục số 4'!M77</f>
        <v>0</v>
      </c>
      <c r="N77" s="2954">
        <f>'Phụ lục số 4'!N77</f>
        <v>0</v>
      </c>
      <c r="O77" s="2954">
        <f>'Phụ lục số 4'!O77</f>
        <v>0</v>
      </c>
      <c r="P77" s="2954">
        <f>'Phụ lục số 4'!P77</f>
        <v>0</v>
      </c>
      <c r="Q77" s="2954">
        <f>'Phụ lục số 4'!Q77</f>
        <v>0</v>
      </c>
      <c r="R77" s="2954">
        <f>'Phụ lục số 4'!R77</f>
        <v>0</v>
      </c>
      <c r="S77" s="2954">
        <f>'Phụ lục số 4'!S77</f>
        <v>0</v>
      </c>
      <c r="T77" s="2954">
        <f>'Phụ lục số 4'!T77</f>
        <v>0</v>
      </c>
      <c r="U77" s="2954">
        <f>'Phụ lục số 4'!U77</f>
        <v>0</v>
      </c>
      <c r="V77" s="2954">
        <f>'Phụ lục số 4'!V77</f>
        <v>0</v>
      </c>
      <c r="W77" s="2954">
        <f>'Phụ lục số 4'!W77</f>
        <v>0</v>
      </c>
      <c r="X77" s="2954">
        <f>'Phụ lục số 4'!X77</f>
        <v>0</v>
      </c>
      <c r="Y77" s="2954">
        <f>'Phụ lục số 4'!Y77</f>
        <v>0</v>
      </c>
      <c r="Z77" s="2954">
        <f>'Phụ lục số 4'!Z77</f>
        <v>0</v>
      </c>
      <c r="AA77" s="2954">
        <f>'Phụ lục số 4'!AA77</f>
        <v>0</v>
      </c>
      <c r="AB77" s="2954">
        <f>'Phụ lục số 4'!AB77</f>
        <v>0</v>
      </c>
      <c r="AC77" s="2954">
        <f>'Phụ lục số 4'!AC77</f>
        <v>0</v>
      </c>
      <c r="AD77" s="3142">
        <f>'Phụ lục số 4'!AD77</f>
        <v>0</v>
      </c>
      <c r="AE77" s="3153">
        <f>'Phụ lục số 4'!AE77</f>
        <v>0</v>
      </c>
    </row>
    <row r="78" spans="1:31" s="154" customFormat="1" ht="36">
      <c r="A78" s="3031" t="str">
        <f>'Phụ lục số 4'!A78</f>
        <v>b</v>
      </c>
      <c r="B78" s="3593" t="str">
        <f>'Phụ lục số 4'!B78</f>
        <v>Kinh phí đối ứng nông thôn mới và giảm nghèo bền vững</v>
      </c>
      <c r="C78" s="2954">
        <f t="shared" si="37"/>
        <v>55000</v>
      </c>
      <c r="D78" s="2954"/>
      <c r="E78" s="2954"/>
      <c r="F78" s="2954"/>
      <c r="G78" s="2954"/>
      <c r="H78" s="2954"/>
      <c r="I78" s="2954"/>
      <c r="J78" s="2954">
        <f t="shared" si="17"/>
        <v>55000</v>
      </c>
      <c r="K78" s="2954">
        <f>'Phụ lục số 4'!K78</f>
        <v>55000</v>
      </c>
      <c r="L78" s="2954">
        <f>'Phụ lục số 4'!L78</f>
        <v>0</v>
      </c>
      <c r="M78" s="2954">
        <f>'Phụ lục số 4'!M78</f>
        <v>0</v>
      </c>
      <c r="N78" s="2954">
        <f>'Phụ lục số 4'!N78</f>
        <v>0</v>
      </c>
      <c r="O78" s="2954">
        <f>'Phụ lục số 4'!O78</f>
        <v>0</v>
      </c>
      <c r="P78" s="2954">
        <f>'Phụ lục số 4'!P78</f>
        <v>0</v>
      </c>
      <c r="Q78" s="2954">
        <f>'Phụ lục số 4'!Q78</f>
        <v>0</v>
      </c>
      <c r="R78" s="2954">
        <f>'Phụ lục số 4'!R78</f>
        <v>0</v>
      </c>
      <c r="S78" s="2954">
        <f>'Phụ lục số 4'!S78</f>
        <v>0</v>
      </c>
      <c r="T78" s="2954">
        <f>'Phụ lục số 4'!T78</f>
        <v>0</v>
      </c>
      <c r="U78" s="2954">
        <f>'Phụ lục số 4'!U78</f>
        <v>0</v>
      </c>
      <c r="V78" s="2954">
        <f>'Phụ lục số 4'!V78</f>
        <v>0</v>
      </c>
      <c r="W78" s="2954">
        <f>'Phụ lục số 4'!W78</f>
        <v>0</v>
      </c>
      <c r="X78" s="2954">
        <f>'Phụ lục số 4'!X78</f>
        <v>0</v>
      </c>
      <c r="Y78" s="2954">
        <f>'Phụ lục số 4'!Y78</f>
        <v>0</v>
      </c>
      <c r="Z78" s="2954">
        <f>'Phụ lục số 4'!Z78</f>
        <v>0</v>
      </c>
      <c r="AA78" s="2954">
        <f>'Phụ lục số 4'!AA78</f>
        <v>0</v>
      </c>
      <c r="AB78" s="2954">
        <f>'Phụ lục số 4'!AB78</f>
        <v>0</v>
      </c>
      <c r="AC78" s="2954">
        <f>'Phụ lục số 4'!AC78</f>
        <v>0</v>
      </c>
      <c r="AD78" s="3142">
        <f>'Phụ lục số 4'!AD78</f>
        <v>0</v>
      </c>
      <c r="AE78" s="3153"/>
    </row>
    <row r="79" spans="1:31" s="154" customFormat="1" ht="36">
      <c r="A79" s="3031" t="str">
        <f>'Phụ lục số 4'!A79</f>
        <v>c</v>
      </c>
      <c r="B79" s="3593" t="str">
        <f>'Phụ lục số 4'!B79</f>
        <v>Chính sách ưu đãi (hỗ trợ lãi suất, cấp bù lãi suất); kinh phí quy hoạch</v>
      </c>
      <c r="C79" s="2954">
        <f t="shared" si="37"/>
        <v>15000</v>
      </c>
      <c r="D79" s="2954"/>
      <c r="E79" s="2954"/>
      <c r="F79" s="2954"/>
      <c r="G79" s="2954"/>
      <c r="H79" s="2954"/>
      <c r="I79" s="2954"/>
      <c r="J79" s="2954">
        <f t="shared" si="17"/>
        <v>15000</v>
      </c>
      <c r="K79" s="2954">
        <f>'Phụ lục số 4'!K79</f>
        <v>15000</v>
      </c>
      <c r="L79" s="2954">
        <f>'Phụ lục số 4'!L79</f>
        <v>0</v>
      </c>
      <c r="M79" s="2954">
        <f>'Phụ lục số 4'!M79</f>
        <v>0</v>
      </c>
      <c r="N79" s="2954">
        <f>'Phụ lục số 4'!N79</f>
        <v>0</v>
      </c>
      <c r="O79" s="2954">
        <f>'Phụ lục số 4'!O79</f>
        <v>0</v>
      </c>
      <c r="P79" s="2954">
        <f>'Phụ lục số 4'!P79</f>
        <v>0</v>
      </c>
      <c r="Q79" s="2954">
        <f>'Phụ lục số 4'!Q79</f>
        <v>0</v>
      </c>
      <c r="R79" s="2954">
        <f>'Phụ lục số 4'!R79</f>
        <v>0</v>
      </c>
      <c r="S79" s="2954">
        <f>'Phụ lục số 4'!S79</f>
        <v>0</v>
      </c>
      <c r="T79" s="2954">
        <f>'Phụ lục số 4'!T79</f>
        <v>0</v>
      </c>
      <c r="U79" s="2954">
        <f>'Phụ lục số 4'!U79</f>
        <v>0</v>
      </c>
      <c r="V79" s="2954">
        <f>'Phụ lục số 4'!V79</f>
        <v>0</v>
      </c>
      <c r="W79" s="2954">
        <f>'Phụ lục số 4'!W79</f>
        <v>0</v>
      </c>
      <c r="X79" s="2954">
        <f>'Phụ lục số 4'!X79</f>
        <v>0</v>
      </c>
      <c r="Y79" s="2954">
        <f>'Phụ lục số 4'!Y79</f>
        <v>0</v>
      </c>
      <c r="Z79" s="2954">
        <f>'Phụ lục số 4'!Z79</f>
        <v>0</v>
      </c>
      <c r="AA79" s="2954">
        <f>'Phụ lục số 4'!AA79</f>
        <v>0</v>
      </c>
      <c r="AB79" s="2954">
        <f>'Phụ lục số 4'!AB79</f>
        <v>0</v>
      </c>
      <c r="AC79" s="2954">
        <f>'Phụ lục số 4'!AC79</f>
        <v>0</v>
      </c>
      <c r="AD79" s="3142">
        <f>'Phụ lục số 4'!AD79</f>
        <v>0</v>
      </c>
      <c r="AE79" s="3153"/>
    </row>
    <row r="80" spans="1:31" s="2351" customFormat="1" ht="54">
      <c r="A80" s="3033" t="str">
        <f>'Phụ lục số 4'!A80</f>
        <v>d</v>
      </c>
      <c r="B80" s="3673" t="str">
        <f>'Phụ lục số 4'!B80</f>
        <v>Trong đó; Một số nhiệm vụ chi phải báo cáo cấp có thẩm quyền xem xét, quyết định cho phép thực hiện</v>
      </c>
      <c r="C80" s="3651">
        <f t="shared" si="37"/>
        <v>55500</v>
      </c>
      <c r="D80" s="3651"/>
      <c r="E80" s="3651"/>
      <c r="F80" s="3651"/>
      <c r="G80" s="3651"/>
      <c r="H80" s="3651"/>
      <c r="I80" s="3651"/>
      <c r="J80" s="3651">
        <f t="shared" si="17"/>
        <v>55500</v>
      </c>
      <c r="K80" s="3651">
        <f>'Phụ lục số 4'!K80</f>
        <v>55500</v>
      </c>
      <c r="L80" s="3651">
        <f>'Phụ lục số 4'!L80</f>
        <v>0</v>
      </c>
      <c r="M80" s="3651">
        <f>'Phụ lục số 4'!M80</f>
        <v>0</v>
      </c>
      <c r="N80" s="3651">
        <f>'Phụ lục số 4'!N80</f>
        <v>0</v>
      </c>
      <c r="O80" s="3651">
        <f>'Phụ lục số 4'!O80</f>
        <v>0</v>
      </c>
      <c r="P80" s="3651">
        <f>'Phụ lục số 4'!P80</f>
        <v>0</v>
      </c>
      <c r="Q80" s="3651">
        <f>'Phụ lục số 4'!Q80</f>
        <v>0</v>
      </c>
      <c r="R80" s="3651">
        <f>'Phụ lục số 4'!R80</f>
        <v>0</v>
      </c>
      <c r="S80" s="3651">
        <f>'Phụ lục số 4'!S80</f>
        <v>0</v>
      </c>
      <c r="T80" s="3651">
        <f>'Phụ lục số 4'!T80</f>
        <v>0</v>
      </c>
      <c r="U80" s="3651">
        <f>'Phụ lục số 4'!U80</f>
        <v>0</v>
      </c>
      <c r="V80" s="3651">
        <f>'Phụ lục số 4'!V80</f>
        <v>0</v>
      </c>
      <c r="W80" s="3651">
        <f>'Phụ lục số 4'!W80</f>
        <v>0</v>
      </c>
      <c r="X80" s="3651">
        <f>'Phụ lục số 4'!X80</f>
        <v>0</v>
      </c>
      <c r="Y80" s="3651">
        <f>'Phụ lục số 4'!Y80</f>
        <v>0</v>
      </c>
      <c r="Z80" s="3651">
        <f>'Phụ lục số 4'!Z80</f>
        <v>0</v>
      </c>
      <c r="AA80" s="3651">
        <f>'Phụ lục số 4'!AA80</f>
        <v>0</v>
      </c>
      <c r="AB80" s="3651">
        <f>'Phụ lục số 4'!AB80</f>
        <v>0</v>
      </c>
      <c r="AC80" s="3651">
        <f>'Phụ lục số 4'!AC80</f>
        <v>0</v>
      </c>
      <c r="AD80" s="3674">
        <f>'Phụ lục số 4'!AD80</f>
        <v>0</v>
      </c>
      <c r="AE80" s="3675"/>
    </row>
    <row r="81" spans="1:31" s="1319" customFormat="1" ht="17.399999999999999">
      <c r="A81" s="3671">
        <f>'Phụ lục số 4'!A81</f>
        <v>2</v>
      </c>
      <c r="B81" s="3592" t="str">
        <f>'Phụ lục số 4'!B81</f>
        <v>Chi sự nghiệp môi trường</v>
      </c>
      <c r="C81" s="2956">
        <f t="shared" si="37"/>
        <v>1152</v>
      </c>
      <c r="D81" s="2956"/>
      <c r="E81" s="2956"/>
      <c r="F81" s="2956"/>
      <c r="G81" s="2956"/>
      <c r="H81" s="2956"/>
      <c r="I81" s="2956"/>
      <c r="J81" s="2956">
        <f t="shared" si="17"/>
        <v>1152</v>
      </c>
      <c r="K81" s="2956">
        <f>'Phụ lục số 4'!K81</f>
        <v>0</v>
      </c>
      <c r="L81" s="2956">
        <f>'Phụ lục số 4'!L81</f>
        <v>1152</v>
      </c>
      <c r="M81" s="2956">
        <f>'Phụ lục số 4'!M81</f>
        <v>0</v>
      </c>
      <c r="N81" s="2956">
        <f>'Phụ lục số 4'!N81</f>
        <v>0</v>
      </c>
      <c r="O81" s="2956">
        <f>'Phụ lục số 4'!O81</f>
        <v>0</v>
      </c>
      <c r="P81" s="2956">
        <f>'Phụ lục số 4'!P81</f>
        <v>0</v>
      </c>
      <c r="Q81" s="2956">
        <f>'Phụ lục số 4'!Q81</f>
        <v>0</v>
      </c>
      <c r="R81" s="2956">
        <f>'Phụ lục số 4'!R81</f>
        <v>0</v>
      </c>
      <c r="S81" s="2956">
        <f>'Phụ lục số 4'!S81</f>
        <v>0</v>
      </c>
      <c r="T81" s="2956">
        <f>'Phụ lục số 4'!T81</f>
        <v>0</v>
      </c>
      <c r="U81" s="2956">
        <f>'Phụ lục số 4'!U81</f>
        <v>0</v>
      </c>
      <c r="V81" s="2956">
        <f>'Phụ lục số 4'!V81</f>
        <v>0</v>
      </c>
      <c r="W81" s="2956">
        <f>'Phụ lục số 4'!W81</f>
        <v>0</v>
      </c>
      <c r="X81" s="2956">
        <f>'Phụ lục số 4'!X81</f>
        <v>0</v>
      </c>
      <c r="Y81" s="2956">
        <f>'Phụ lục số 4'!Y81</f>
        <v>0</v>
      </c>
      <c r="Z81" s="2956">
        <f>'Phụ lục số 4'!Z81</f>
        <v>0</v>
      </c>
      <c r="AA81" s="2956">
        <f>'Phụ lục số 4'!AA81</f>
        <v>0</v>
      </c>
      <c r="AB81" s="2956">
        <f>'Phụ lục số 4'!AB81</f>
        <v>0</v>
      </c>
      <c r="AC81" s="2956">
        <f>'Phụ lục số 4'!AC81</f>
        <v>0</v>
      </c>
      <c r="AD81" s="3143">
        <f>'Phụ lục số 4'!AD81</f>
        <v>0</v>
      </c>
      <c r="AE81" s="3154"/>
    </row>
    <row r="82" spans="1:31" s="2351" customFormat="1" ht="54">
      <c r="A82" s="3033"/>
      <c r="B82" s="3673" t="str">
        <f>'Phụ lục số 4'!B82</f>
        <v>Trong đó; Một số nhiệm vụ chi phải báo cáo cấp có thẩm quyền xem xét, quyết định cho phép thực hiện</v>
      </c>
      <c r="C82" s="3651">
        <f t="shared" si="37"/>
        <v>1152</v>
      </c>
      <c r="D82" s="3651"/>
      <c r="E82" s="3651"/>
      <c r="F82" s="3651"/>
      <c r="G82" s="3651"/>
      <c r="H82" s="3651"/>
      <c r="I82" s="3651"/>
      <c r="J82" s="3651">
        <f t="shared" si="17"/>
        <v>1152</v>
      </c>
      <c r="K82" s="3651">
        <f>'Phụ lục số 4'!K82</f>
        <v>0</v>
      </c>
      <c r="L82" s="3651">
        <f>'Phụ lục số 4'!L82</f>
        <v>1152</v>
      </c>
      <c r="M82" s="3651">
        <f>'Phụ lục số 4'!M82</f>
        <v>0</v>
      </c>
      <c r="N82" s="3651">
        <f>'Phụ lục số 4'!N82</f>
        <v>0</v>
      </c>
      <c r="O82" s="3651">
        <f>'Phụ lục số 4'!O82</f>
        <v>0</v>
      </c>
      <c r="P82" s="3651">
        <f>'Phụ lục số 4'!P82</f>
        <v>0</v>
      </c>
      <c r="Q82" s="3651">
        <f>'Phụ lục số 4'!Q82</f>
        <v>0</v>
      </c>
      <c r="R82" s="3651">
        <f>'Phụ lục số 4'!R82</f>
        <v>0</v>
      </c>
      <c r="S82" s="3651">
        <f>'Phụ lục số 4'!S82</f>
        <v>0</v>
      </c>
      <c r="T82" s="3651">
        <f>'Phụ lục số 4'!T82</f>
        <v>0</v>
      </c>
      <c r="U82" s="3651">
        <f>'Phụ lục số 4'!U82</f>
        <v>0</v>
      </c>
      <c r="V82" s="3651">
        <f>'Phụ lục số 4'!V82</f>
        <v>0</v>
      </c>
      <c r="W82" s="3651">
        <f>'Phụ lục số 4'!W82</f>
        <v>0</v>
      </c>
      <c r="X82" s="3651">
        <f>'Phụ lục số 4'!X82</f>
        <v>0</v>
      </c>
      <c r="Y82" s="3651">
        <f>'Phụ lục số 4'!Y82</f>
        <v>0</v>
      </c>
      <c r="Z82" s="3651">
        <f>'Phụ lục số 4'!Z82</f>
        <v>0</v>
      </c>
      <c r="AA82" s="3651">
        <f>'Phụ lục số 4'!AA82</f>
        <v>0</v>
      </c>
      <c r="AB82" s="3651">
        <f>'Phụ lục số 4'!AB82</f>
        <v>0</v>
      </c>
      <c r="AC82" s="3651">
        <f>'Phụ lục số 4'!AC82</f>
        <v>0</v>
      </c>
      <c r="AD82" s="3674">
        <f>'Phụ lục số 4'!AD82</f>
        <v>0</v>
      </c>
      <c r="AE82" s="3675"/>
    </row>
    <row r="83" spans="1:31" s="1319" customFormat="1" ht="17.399999999999999">
      <c r="A83" s="3671">
        <f>'Phụ lục số 4'!A83</f>
        <v>3</v>
      </c>
      <c r="B83" s="3592" t="str">
        <f>'Phụ lục số 4'!B83</f>
        <v>Chi sự nghiệp khoa học và công nghệ</v>
      </c>
      <c r="C83" s="2956">
        <f t="shared" si="37"/>
        <v>1892</v>
      </c>
      <c r="D83" s="2956"/>
      <c r="E83" s="2956"/>
      <c r="F83" s="2956"/>
      <c r="G83" s="2956"/>
      <c r="H83" s="2956"/>
      <c r="I83" s="2956"/>
      <c r="J83" s="2956">
        <f t="shared" si="17"/>
        <v>1892</v>
      </c>
      <c r="K83" s="2956">
        <f>'Phụ lục số 4'!K83</f>
        <v>0</v>
      </c>
      <c r="L83" s="2956">
        <f>'Phụ lục số 4'!L83</f>
        <v>0</v>
      </c>
      <c r="M83" s="2956">
        <f>'Phụ lục số 4'!M83</f>
        <v>1892</v>
      </c>
      <c r="N83" s="2956">
        <f>'Phụ lục số 4'!N83</f>
        <v>0</v>
      </c>
      <c r="O83" s="2956">
        <f>'Phụ lục số 4'!O83</f>
        <v>0</v>
      </c>
      <c r="P83" s="2956">
        <f>'Phụ lục số 4'!P83</f>
        <v>0</v>
      </c>
      <c r="Q83" s="2956">
        <f>'Phụ lục số 4'!Q83</f>
        <v>0</v>
      </c>
      <c r="R83" s="2956">
        <f>'Phụ lục số 4'!R83</f>
        <v>0</v>
      </c>
      <c r="S83" s="2956">
        <f>'Phụ lục số 4'!S83</f>
        <v>0</v>
      </c>
      <c r="T83" s="2956">
        <f>'Phụ lục số 4'!T83</f>
        <v>0</v>
      </c>
      <c r="U83" s="2956">
        <f>'Phụ lục số 4'!U83</f>
        <v>0</v>
      </c>
      <c r="V83" s="2956">
        <f>'Phụ lục số 4'!V83</f>
        <v>0</v>
      </c>
      <c r="W83" s="2956">
        <f>'Phụ lục số 4'!W83</f>
        <v>0</v>
      </c>
      <c r="X83" s="2956">
        <f>'Phụ lục số 4'!X83</f>
        <v>0</v>
      </c>
      <c r="Y83" s="2956">
        <f>'Phụ lục số 4'!Y83</f>
        <v>0</v>
      </c>
      <c r="Z83" s="2956">
        <f>'Phụ lục số 4'!Z83</f>
        <v>0</v>
      </c>
      <c r="AA83" s="2956">
        <f>'Phụ lục số 4'!AA83</f>
        <v>0</v>
      </c>
      <c r="AB83" s="2956">
        <f>'Phụ lục số 4'!AB83</f>
        <v>0</v>
      </c>
      <c r="AC83" s="2956">
        <f>'Phụ lục số 4'!AC83</f>
        <v>0</v>
      </c>
      <c r="AD83" s="3143">
        <f>'Phụ lục số 4'!AD83</f>
        <v>0</v>
      </c>
      <c r="AE83" s="3154"/>
    </row>
    <row r="84" spans="1:31" s="2351" customFormat="1" ht="54">
      <c r="A84" s="3033"/>
      <c r="B84" s="3673" t="str">
        <f>'Phụ lục số 4'!B84</f>
        <v>Trong đó; Một số nhiệm vụ chi phải báo cáo cấp có thẩm quyền xem xét, quyết định cho phép thực hiện</v>
      </c>
      <c r="C84" s="3651">
        <f t="shared" si="37"/>
        <v>1892</v>
      </c>
      <c r="D84" s="3651"/>
      <c r="E84" s="3651"/>
      <c r="F84" s="3651"/>
      <c r="G84" s="3651"/>
      <c r="H84" s="3651"/>
      <c r="I84" s="3651"/>
      <c r="J84" s="3651">
        <f t="shared" si="17"/>
        <v>1892</v>
      </c>
      <c r="K84" s="3651">
        <f>'Phụ lục số 4'!K84</f>
        <v>0</v>
      </c>
      <c r="L84" s="3651">
        <f>'Phụ lục số 4'!L84</f>
        <v>0</v>
      </c>
      <c r="M84" s="3651">
        <f>'Phụ lục số 4'!M84</f>
        <v>1892</v>
      </c>
      <c r="N84" s="3651">
        <f>'Phụ lục số 4'!N84</f>
        <v>0</v>
      </c>
      <c r="O84" s="3651">
        <f>'Phụ lục số 4'!O84</f>
        <v>0</v>
      </c>
      <c r="P84" s="3651">
        <f>'Phụ lục số 4'!P84</f>
        <v>0</v>
      </c>
      <c r="Q84" s="3651">
        <f>'Phụ lục số 4'!Q84</f>
        <v>0</v>
      </c>
      <c r="R84" s="3651">
        <f>'Phụ lục số 4'!R84</f>
        <v>0</v>
      </c>
      <c r="S84" s="3651">
        <f>'Phụ lục số 4'!S84</f>
        <v>0</v>
      </c>
      <c r="T84" s="3651">
        <f>'Phụ lục số 4'!T84</f>
        <v>0</v>
      </c>
      <c r="U84" s="3651">
        <f>'Phụ lục số 4'!U84</f>
        <v>0</v>
      </c>
      <c r="V84" s="3651">
        <f>'Phụ lục số 4'!V84</f>
        <v>0</v>
      </c>
      <c r="W84" s="3651">
        <f>'Phụ lục số 4'!W84</f>
        <v>0</v>
      </c>
      <c r="X84" s="3651">
        <f>'Phụ lục số 4'!X84</f>
        <v>0</v>
      </c>
      <c r="Y84" s="3651">
        <f>'Phụ lục số 4'!Y84</f>
        <v>0</v>
      </c>
      <c r="Z84" s="3651">
        <f>'Phụ lục số 4'!Z84</f>
        <v>0</v>
      </c>
      <c r="AA84" s="3651">
        <f>'Phụ lục số 4'!AA84</f>
        <v>0</v>
      </c>
      <c r="AB84" s="3651">
        <f>'Phụ lục số 4'!AB84</f>
        <v>0</v>
      </c>
      <c r="AC84" s="3651">
        <f>'Phụ lục số 4'!AC84</f>
        <v>0</v>
      </c>
      <c r="AD84" s="3674">
        <f>'Phụ lục số 4'!AD84</f>
        <v>0</v>
      </c>
      <c r="AE84" s="3675"/>
    </row>
    <row r="85" spans="1:31" s="1319" customFormat="1" ht="17.399999999999999">
      <c r="A85" s="3671">
        <f>'Phụ lục số 4'!A85</f>
        <v>4</v>
      </c>
      <c r="B85" s="3592" t="str">
        <f>'Phụ lục số 4'!B85</f>
        <v>Chi sự nghiệp giáo dục và đào tạo</v>
      </c>
      <c r="C85" s="2956">
        <f t="shared" si="37"/>
        <v>86293</v>
      </c>
      <c r="D85" s="2956"/>
      <c r="E85" s="2956"/>
      <c r="F85" s="2956"/>
      <c r="G85" s="2956"/>
      <c r="H85" s="2956"/>
      <c r="I85" s="2956"/>
      <c r="J85" s="2956">
        <f t="shared" si="17"/>
        <v>74667</v>
      </c>
      <c r="K85" s="2956">
        <f>'Phụ lục số 4'!K85</f>
        <v>0</v>
      </c>
      <c r="L85" s="2956">
        <f>'Phụ lục số 4'!L85</f>
        <v>0</v>
      </c>
      <c r="M85" s="2956">
        <f>'Phụ lục số 4'!M85</f>
        <v>0</v>
      </c>
      <c r="N85" s="2956">
        <f>'Phụ lục số 4'!N85</f>
        <v>74667</v>
      </c>
      <c r="O85" s="2956">
        <f>'Phụ lục số 4'!O85</f>
        <v>0</v>
      </c>
      <c r="P85" s="2956">
        <f>'Phụ lục số 4'!P85</f>
        <v>0</v>
      </c>
      <c r="Q85" s="2956">
        <f>'Phụ lục số 4'!Q85</f>
        <v>0</v>
      </c>
      <c r="R85" s="2956">
        <f>'Phụ lục số 4'!R85</f>
        <v>0</v>
      </c>
      <c r="S85" s="2956">
        <f>'Phụ lục số 4'!S85</f>
        <v>0</v>
      </c>
      <c r="T85" s="2956">
        <f>'Phụ lục số 4'!T85</f>
        <v>0</v>
      </c>
      <c r="U85" s="2956">
        <f>'Phụ lục số 4'!U85</f>
        <v>0</v>
      </c>
      <c r="V85" s="2956">
        <f>'Phụ lục số 4'!V85</f>
        <v>0</v>
      </c>
      <c r="W85" s="2956">
        <f>'Phụ lục số 4'!W85</f>
        <v>0</v>
      </c>
      <c r="X85" s="2956">
        <f>'Phụ lục số 4'!X85</f>
        <v>0</v>
      </c>
      <c r="Y85" s="2956">
        <f>'Phụ lục số 4'!Y85</f>
        <v>0</v>
      </c>
      <c r="Z85" s="2956">
        <f>'Phụ lục số 4'!Z85</f>
        <v>0</v>
      </c>
      <c r="AA85" s="2956">
        <f>'Phụ lục số 4'!AA85</f>
        <v>0</v>
      </c>
      <c r="AB85" s="2956">
        <f>'Phụ lục số 4'!AB85</f>
        <v>11626</v>
      </c>
      <c r="AC85" s="2956">
        <f>'Phụ lục số 4'!AC85</f>
        <v>0</v>
      </c>
      <c r="AD85" s="3143">
        <f>'Phụ lục số 4'!AD85</f>
        <v>11626</v>
      </c>
      <c r="AE85" s="3154"/>
    </row>
    <row r="86" spans="1:31" s="2351" customFormat="1" ht="54">
      <c r="A86" s="3033"/>
      <c r="B86" s="3673" t="str">
        <f>'Phụ lục số 4'!B86</f>
        <v>Trong đó; Một số nhiệm vụ chi phải báo cáo cấp có thẩm quyền xem xét, quyết định cho phép thực hiện</v>
      </c>
      <c r="C86" s="3651">
        <f t="shared" si="37"/>
        <v>86293</v>
      </c>
      <c r="D86" s="3651"/>
      <c r="E86" s="3651"/>
      <c r="F86" s="3651"/>
      <c r="G86" s="3651"/>
      <c r="H86" s="3651"/>
      <c r="I86" s="3651"/>
      <c r="J86" s="3651">
        <f t="shared" si="17"/>
        <v>74667</v>
      </c>
      <c r="K86" s="3651">
        <f>'Phụ lục số 4'!K86</f>
        <v>0</v>
      </c>
      <c r="L86" s="3651">
        <f>'Phụ lục số 4'!L86</f>
        <v>0</v>
      </c>
      <c r="M86" s="3651">
        <f>'Phụ lục số 4'!M86</f>
        <v>0</v>
      </c>
      <c r="N86" s="3651">
        <f>'Phụ lục số 4'!N86</f>
        <v>74667</v>
      </c>
      <c r="O86" s="3651">
        <f>'Phụ lục số 4'!O86</f>
        <v>0</v>
      </c>
      <c r="P86" s="3651">
        <f>'Phụ lục số 4'!P86</f>
        <v>0</v>
      </c>
      <c r="Q86" s="3651">
        <f>'Phụ lục số 4'!Q86</f>
        <v>0</v>
      </c>
      <c r="R86" s="3651">
        <f>'Phụ lục số 4'!R86</f>
        <v>0</v>
      </c>
      <c r="S86" s="3651">
        <f>'Phụ lục số 4'!S86</f>
        <v>0</v>
      </c>
      <c r="T86" s="3651">
        <f>'Phụ lục số 4'!T86</f>
        <v>0</v>
      </c>
      <c r="U86" s="3651">
        <f>'Phụ lục số 4'!U86</f>
        <v>0</v>
      </c>
      <c r="V86" s="3651">
        <f>'Phụ lục số 4'!V86</f>
        <v>0</v>
      </c>
      <c r="W86" s="3651">
        <f>'Phụ lục số 4'!W86</f>
        <v>0</v>
      </c>
      <c r="X86" s="3651">
        <f>'Phụ lục số 4'!X86</f>
        <v>0</v>
      </c>
      <c r="Y86" s="3651">
        <f>'Phụ lục số 4'!Y86</f>
        <v>0</v>
      </c>
      <c r="Z86" s="3651">
        <f>'Phụ lục số 4'!Z86</f>
        <v>0</v>
      </c>
      <c r="AA86" s="3651">
        <f>'Phụ lục số 4'!AA86</f>
        <v>0</v>
      </c>
      <c r="AB86" s="3651">
        <f>'Phụ lục số 4'!AB86</f>
        <v>11626</v>
      </c>
      <c r="AC86" s="3651">
        <f>'Phụ lục số 4'!AC86</f>
        <v>0</v>
      </c>
      <c r="AD86" s="3674">
        <f>'Phụ lục số 4'!AD86</f>
        <v>11626</v>
      </c>
      <c r="AE86" s="3675"/>
    </row>
    <row r="87" spans="1:31" s="3684" customFormat="1" hidden="1">
      <c r="A87" s="3699">
        <v>5</v>
      </c>
      <c r="B87" s="3700" t="str">
        <f>'Phụ lục số 4'!B87</f>
        <v>Sự nghiệp y tế</v>
      </c>
      <c r="C87" s="3701">
        <f t="shared" si="37"/>
        <v>0</v>
      </c>
      <c r="D87" s="3680"/>
      <c r="E87" s="3680"/>
      <c r="F87" s="3680"/>
      <c r="G87" s="3680"/>
      <c r="H87" s="3680"/>
      <c r="I87" s="3680"/>
      <c r="J87" s="3701">
        <f t="shared" si="17"/>
        <v>0</v>
      </c>
      <c r="K87" s="3680"/>
      <c r="L87" s="3680"/>
      <c r="M87" s="3680"/>
      <c r="N87" s="3680"/>
      <c r="O87" s="3680">
        <f>O88</f>
        <v>0</v>
      </c>
      <c r="P87" s="3680"/>
      <c r="Q87" s="3680"/>
      <c r="R87" s="3680"/>
      <c r="S87" s="3680"/>
      <c r="T87" s="3680"/>
      <c r="U87" s="3680"/>
      <c r="V87" s="3680"/>
      <c r="W87" s="3680"/>
      <c r="X87" s="3680"/>
      <c r="Y87" s="3680"/>
      <c r="Z87" s="3680"/>
      <c r="AA87" s="3680"/>
      <c r="AB87" s="3680"/>
      <c r="AC87" s="3680"/>
      <c r="AD87" s="3702"/>
      <c r="AE87" s="3703"/>
    </row>
    <row r="88" spans="1:31" s="3684" customFormat="1" ht="54" hidden="1">
      <c r="A88" s="3704"/>
      <c r="B88" s="3705" t="str">
        <f>'Phụ lục số 4'!B88</f>
        <v>Trong đó; Một số nhiệm vụ chi phải báo cáo cấp có thẩm quyền xem xét, quyết định cho phép thực hiện</v>
      </c>
      <c r="C88" s="3680">
        <f t="shared" si="37"/>
        <v>0</v>
      </c>
      <c r="D88" s="3680"/>
      <c r="E88" s="3680"/>
      <c r="F88" s="3680"/>
      <c r="G88" s="3680"/>
      <c r="H88" s="3680"/>
      <c r="I88" s="3680"/>
      <c r="J88" s="3680">
        <f t="shared" si="17"/>
        <v>0</v>
      </c>
      <c r="K88" s="3680"/>
      <c r="L88" s="3680"/>
      <c r="M88" s="3680"/>
      <c r="N88" s="3680"/>
      <c r="O88" s="3687">
        <f>'Phụ lục số 4'!O88</f>
        <v>0</v>
      </c>
      <c r="P88" s="3680"/>
      <c r="Q88" s="3680"/>
      <c r="R88" s="3680"/>
      <c r="S88" s="3680"/>
      <c r="T88" s="3680"/>
      <c r="U88" s="3680"/>
      <c r="V88" s="3680"/>
      <c r="W88" s="3680"/>
      <c r="X88" s="3680"/>
      <c r="Y88" s="3680"/>
      <c r="Z88" s="3680"/>
      <c r="AA88" s="3680"/>
      <c r="AB88" s="3680"/>
      <c r="AC88" s="3680"/>
      <c r="AD88" s="3702"/>
      <c r="AE88" s="3703"/>
    </row>
    <row r="89" spans="1:31" s="1319" customFormat="1" ht="17.399999999999999">
      <c r="A89" s="3671">
        <f>'Phụ lục số 4'!A89</f>
        <v>5</v>
      </c>
      <c r="B89" s="3592" t="str">
        <f>'Phụ lục số 4'!B89</f>
        <v>Chi sự nghiệp văn hóa thông tin</v>
      </c>
      <c r="C89" s="2956">
        <f t="shared" si="37"/>
        <v>2694</v>
      </c>
      <c r="D89" s="2956"/>
      <c r="E89" s="2956"/>
      <c r="F89" s="2956"/>
      <c r="G89" s="2956"/>
      <c r="H89" s="2956"/>
      <c r="I89" s="2956"/>
      <c r="J89" s="2956">
        <f t="shared" si="17"/>
        <v>2694</v>
      </c>
      <c r="K89" s="2956">
        <f>'Phụ lục số 4'!K89</f>
        <v>0</v>
      </c>
      <c r="L89" s="2956">
        <f>'Phụ lục số 4'!L89</f>
        <v>0</v>
      </c>
      <c r="M89" s="2956">
        <f>'Phụ lục số 4'!M89</f>
        <v>0</v>
      </c>
      <c r="N89" s="2956">
        <f>'Phụ lục số 4'!N89</f>
        <v>0</v>
      </c>
      <c r="O89" s="2956">
        <f>'Phụ lục số 4'!O89</f>
        <v>0</v>
      </c>
      <c r="P89" s="2956">
        <f>'Phụ lục số 4'!P89</f>
        <v>2694</v>
      </c>
      <c r="Q89" s="2956">
        <f>'Phụ lục số 4'!Q89</f>
        <v>0</v>
      </c>
      <c r="R89" s="2956">
        <f>'Phụ lục số 4'!R89</f>
        <v>0</v>
      </c>
      <c r="S89" s="2956">
        <f>'Phụ lục số 4'!S89</f>
        <v>0</v>
      </c>
      <c r="T89" s="2956">
        <f>'Phụ lục số 4'!T89</f>
        <v>0</v>
      </c>
      <c r="U89" s="2956">
        <f>'Phụ lục số 4'!U89</f>
        <v>0</v>
      </c>
      <c r="V89" s="2956">
        <f>'Phụ lục số 4'!V89</f>
        <v>0</v>
      </c>
      <c r="W89" s="2956">
        <f>'Phụ lục số 4'!W89</f>
        <v>0</v>
      </c>
      <c r="X89" s="2956">
        <f>'Phụ lục số 4'!X89</f>
        <v>0</v>
      </c>
      <c r="Y89" s="2956">
        <f>'Phụ lục số 4'!Y89</f>
        <v>0</v>
      </c>
      <c r="Z89" s="2956">
        <f>'Phụ lục số 4'!Z89</f>
        <v>0</v>
      </c>
      <c r="AA89" s="2956">
        <f>'Phụ lục số 4'!AA89</f>
        <v>0</v>
      </c>
      <c r="AB89" s="2956">
        <f>'Phụ lục số 4'!AB89</f>
        <v>0</v>
      </c>
      <c r="AC89" s="2956">
        <f>'Phụ lục số 4'!AC89</f>
        <v>0</v>
      </c>
      <c r="AD89" s="3143">
        <f>'Phụ lục số 4'!AD89</f>
        <v>0</v>
      </c>
      <c r="AE89" s="3154"/>
    </row>
    <row r="90" spans="1:31" s="2351" customFormat="1" ht="54">
      <c r="A90" s="3033"/>
      <c r="B90" s="3673" t="str">
        <f>'Phụ lục số 4'!B90</f>
        <v>Trong đó; Một số nhiệm vụ chi phải báo cáo cấp có thẩm quyền xem xét, quyết định cho phép thực hiện</v>
      </c>
      <c r="C90" s="3651">
        <f t="shared" si="37"/>
        <v>2694</v>
      </c>
      <c r="D90" s="3651">
        <f t="shared" si="35"/>
        <v>0</v>
      </c>
      <c r="E90" s="3651">
        <f>'Phụ lục số 4'!E96</f>
        <v>0</v>
      </c>
      <c r="F90" s="3651">
        <f>'Phụ lục số 4'!F96</f>
        <v>0</v>
      </c>
      <c r="G90" s="3651">
        <f>'Phụ lục số 4'!G96</f>
        <v>0</v>
      </c>
      <c r="H90" s="3651">
        <f>'Phụ lục số 4'!H96</f>
        <v>0</v>
      </c>
      <c r="I90" s="3651"/>
      <c r="J90" s="3651">
        <f t="shared" si="17"/>
        <v>2694</v>
      </c>
      <c r="K90" s="3651">
        <f>'Phụ lục số 4'!K90</f>
        <v>0</v>
      </c>
      <c r="L90" s="3651">
        <f>'Phụ lục số 4'!L90</f>
        <v>0</v>
      </c>
      <c r="M90" s="3651">
        <f>'Phụ lục số 4'!M90</f>
        <v>0</v>
      </c>
      <c r="N90" s="3651">
        <f>'Phụ lục số 4'!N90</f>
        <v>0</v>
      </c>
      <c r="O90" s="3651">
        <f>'Phụ lục số 4'!O90</f>
        <v>0</v>
      </c>
      <c r="P90" s="3651">
        <f>'Phụ lục số 4'!P90</f>
        <v>2694</v>
      </c>
      <c r="Q90" s="3651">
        <f>'Phụ lục số 4'!Q90</f>
        <v>0</v>
      </c>
      <c r="R90" s="3651">
        <f>'Phụ lục số 4'!R90</f>
        <v>0</v>
      </c>
      <c r="S90" s="3651">
        <f>'Phụ lục số 4'!S90</f>
        <v>0</v>
      </c>
      <c r="T90" s="3651">
        <f>'Phụ lục số 4'!T90</f>
        <v>0</v>
      </c>
      <c r="U90" s="3651">
        <f>'Phụ lục số 4'!U90</f>
        <v>0</v>
      </c>
      <c r="V90" s="3651">
        <f>'Phụ lục số 4'!V90</f>
        <v>0</v>
      </c>
      <c r="W90" s="3651">
        <f>'Phụ lục số 4'!W90</f>
        <v>0</v>
      </c>
      <c r="X90" s="3651">
        <f>'Phụ lục số 4'!X90</f>
        <v>0</v>
      </c>
      <c r="Y90" s="3651">
        <f>'Phụ lục số 4'!Y90</f>
        <v>0</v>
      </c>
      <c r="Z90" s="3651">
        <f>'Phụ lục số 4'!Z90</f>
        <v>0</v>
      </c>
      <c r="AA90" s="3651">
        <f>'Phụ lục số 4'!AA90</f>
        <v>0</v>
      </c>
      <c r="AB90" s="3651">
        <f>'Phụ lục số 4'!AB90</f>
        <v>0</v>
      </c>
      <c r="AC90" s="3651">
        <f>'Phụ lục số 4'!AC90</f>
        <v>0</v>
      </c>
      <c r="AD90" s="3674">
        <f>'Phụ lục số 4'!AD90</f>
        <v>0</v>
      </c>
      <c r="AE90" s="3675">
        <f>'Phụ lục số 4'!AE96</f>
        <v>0</v>
      </c>
    </row>
    <row r="91" spans="1:31" s="3708" customFormat="1" ht="17.399999999999999" hidden="1">
      <c r="A91" s="3699">
        <v>7</v>
      </c>
      <c r="B91" s="3700" t="str">
        <f>'Phụ lục số 4'!B91</f>
        <v>Chi sự nghiệp phát thanh truyền hình</v>
      </c>
      <c r="C91" s="3701">
        <f t="shared" si="37"/>
        <v>0</v>
      </c>
      <c r="D91" s="3701"/>
      <c r="E91" s="3701"/>
      <c r="F91" s="3701"/>
      <c r="G91" s="3701"/>
      <c r="H91" s="3701"/>
      <c r="I91" s="3701"/>
      <c r="J91" s="3701">
        <f t="shared" si="17"/>
        <v>0</v>
      </c>
      <c r="K91" s="3701"/>
      <c r="L91" s="3701"/>
      <c r="M91" s="3701"/>
      <c r="N91" s="3701"/>
      <c r="O91" s="3701"/>
      <c r="P91" s="3701"/>
      <c r="Q91" s="3701">
        <f>Q92</f>
        <v>0</v>
      </c>
      <c r="R91" s="3701"/>
      <c r="S91" s="3701"/>
      <c r="T91" s="3701"/>
      <c r="U91" s="3701"/>
      <c r="V91" s="3701"/>
      <c r="W91" s="3701"/>
      <c r="X91" s="3701"/>
      <c r="Y91" s="3701"/>
      <c r="Z91" s="3701"/>
      <c r="AA91" s="3701"/>
      <c r="AB91" s="3701"/>
      <c r="AC91" s="3701"/>
      <c r="AD91" s="3706"/>
      <c r="AE91" s="3707"/>
    </row>
    <row r="92" spans="1:31" s="3684" customFormat="1" ht="54" hidden="1">
      <c r="A92" s="3704"/>
      <c r="B92" s="3705" t="str">
        <f>'Phụ lục số 4'!B92</f>
        <v>Trong đó; Một số nhiệm vụ chi phải báo cáo cấp có thẩm quyền xem xét, quyết định cho phép thực hiện</v>
      </c>
      <c r="C92" s="3680">
        <f t="shared" si="37"/>
        <v>0</v>
      </c>
      <c r="D92" s="3680"/>
      <c r="E92" s="3680"/>
      <c r="F92" s="3680"/>
      <c r="G92" s="3680"/>
      <c r="H92" s="3680"/>
      <c r="I92" s="3680"/>
      <c r="J92" s="3680">
        <f t="shared" si="17"/>
        <v>0</v>
      </c>
      <c r="K92" s="3680"/>
      <c r="L92" s="3680"/>
      <c r="M92" s="3680"/>
      <c r="N92" s="3680"/>
      <c r="O92" s="3680"/>
      <c r="P92" s="3680"/>
      <c r="Q92" s="3687">
        <f>'Phụ lục số 4'!Q92</f>
        <v>0</v>
      </c>
      <c r="R92" s="3680"/>
      <c r="S92" s="3680"/>
      <c r="T92" s="3680"/>
      <c r="U92" s="3680"/>
      <c r="V92" s="3680"/>
      <c r="W92" s="3680"/>
      <c r="X92" s="3680"/>
      <c r="Y92" s="3680"/>
      <c r="Z92" s="3680"/>
      <c r="AA92" s="3680"/>
      <c r="AB92" s="3680"/>
      <c r="AC92" s="3680"/>
      <c r="AD92" s="3702"/>
      <c r="AE92" s="3703"/>
    </row>
    <row r="93" spans="1:31" s="3708" customFormat="1" ht="17.399999999999999" hidden="1">
      <c r="A93" s="3699">
        <v>8</v>
      </c>
      <c r="B93" s="3700" t="str">
        <f>'Phụ lục số 4'!B93</f>
        <v>Chi sự nghiệp thể dục thể thao</v>
      </c>
      <c r="C93" s="3701">
        <f t="shared" si="37"/>
        <v>0</v>
      </c>
      <c r="D93" s="3701"/>
      <c r="E93" s="3701"/>
      <c r="F93" s="3701"/>
      <c r="G93" s="3701"/>
      <c r="H93" s="3701"/>
      <c r="I93" s="3701"/>
      <c r="J93" s="3701">
        <f t="shared" si="17"/>
        <v>0</v>
      </c>
      <c r="K93" s="3701"/>
      <c r="L93" s="3701"/>
      <c r="M93" s="3701"/>
      <c r="N93" s="3701"/>
      <c r="O93" s="3701"/>
      <c r="P93" s="3701"/>
      <c r="Q93" s="3701"/>
      <c r="R93" s="3701">
        <f>R94</f>
        <v>0</v>
      </c>
      <c r="S93" s="3701"/>
      <c r="T93" s="3701"/>
      <c r="U93" s="3701"/>
      <c r="V93" s="3701"/>
      <c r="W93" s="3701"/>
      <c r="X93" s="3701"/>
      <c r="Y93" s="3701"/>
      <c r="Z93" s="3701"/>
      <c r="AA93" s="3701"/>
      <c r="AB93" s="3701"/>
      <c r="AC93" s="3701"/>
      <c r="AD93" s="3706"/>
      <c r="AE93" s="3707"/>
    </row>
    <row r="94" spans="1:31" s="3684" customFormat="1" ht="54" hidden="1">
      <c r="A94" s="3704"/>
      <c r="B94" s="3705" t="str">
        <f>'Phụ lục số 4'!B94</f>
        <v>Trong đó; Một số nhiệm vụ chi phải báo cáo cấp có thẩm quyền xem xét, quyết định cho phép thực hiện</v>
      </c>
      <c r="C94" s="3680">
        <f t="shared" si="37"/>
        <v>0</v>
      </c>
      <c r="D94" s="3680"/>
      <c r="E94" s="3680"/>
      <c r="F94" s="3680"/>
      <c r="G94" s="3680"/>
      <c r="H94" s="3680"/>
      <c r="I94" s="3680"/>
      <c r="J94" s="3680">
        <f t="shared" si="17"/>
        <v>0</v>
      </c>
      <c r="K94" s="3680"/>
      <c r="L94" s="3680"/>
      <c r="M94" s="3680"/>
      <c r="N94" s="3680"/>
      <c r="O94" s="3680"/>
      <c r="P94" s="3680"/>
      <c r="Q94" s="3680"/>
      <c r="R94" s="3687">
        <f>'Phụ lục số 4'!R94</f>
        <v>0</v>
      </c>
      <c r="S94" s="3680"/>
      <c r="T94" s="3680"/>
      <c r="U94" s="3680"/>
      <c r="V94" s="3680"/>
      <c r="W94" s="3680"/>
      <c r="X94" s="3680"/>
      <c r="Y94" s="3680"/>
      <c r="Z94" s="3680"/>
      <c r="AA94" s="3680"/>
      <c r="AB94" s="3680"/>
      <c r="AC94" s="3680"/>
      <c r="AD94" s="3702"/>
      <c r="AE94" s="3703"/>
    </row>
    <row r="95" spans="1:31" s="1319" customFormat="1" ht="17.399999999999999">
      <c r="A95" s="3671">
        <f>'Phụ lục số 4'!A95</f>
        <v>6</v>
      </c>
      <c r="B95" s="3592" t="str">
        <f>'Phụ lục số 4'!B95</f>
        <v>Chi sự nghiệp đảm bảo xã hội</v>
      </c>
      <c r="C95" s="2956">
        <f t="shared" si="37"/>
        <v>23385</v>
      </c>
      <c r="D95" s="2956">
        <f t="shared" si="35"/>
        <v>0</v>
      </c>
      <c r="E95" s="2956">
        <f>'Phụ lục số 4'!E97</f>
        <v>0</v>
      </c>
      <c r="F95" s="2956">
        <f>'Phụ lục số 4'!F97</f>
        <v>0</v>
      </c>
      <c r="G95" s="2956">
        <f>'Phụ lục số 4'!G97</f>
        <v>0</v>
      </c>
      <c r="H95" s="2956">
        <f>'Phụ lục số 4'!H97</f>
        <v>0</v>
      </c>
      <c r="I95" s="2956"/>
      <c r="J95" s="2956">
        <f t="shared" si="17"/>
        <v>23385</v>
      </c>
      <c r="K95" s="2956">
        <f>'Phụ lục số 4'!K95</f>
        <v>0</v>
      </c>
      <c r="L95" s="2956">
        <f>'Phụ lục số 4'!L95</f>
        <v>0</v>
      </c>
      <c r="M95" s="2956">
        <f>'Phụ lục số 4'!M95</f>
        <v>0</v>
      </c>
      <c r="N95" s="2956">
        <f>'Phụ lục số 4'!N95</f>
        <v>0</v>
      </c>
      <c r="O95" s="2956">
        <f>'Phụ lục số 4'!O95</f>
        <v>0</v>
      </c>
      <c r="P95" s="2956">
        <f>'Phụ lục số 4'!P95</f>
        <v>0</v>
      </c>
      <c r="Q95" s="2956">
        <f>'Phụ lục số 4'!Q95</f>
        <v>0</v>
      </c>
      <c r="R95" s="2956">
        <f>'Phụ lục số 4'!R95</f>
        <v>0</v>
      </c>
      <c r="S95" s="2956">
        <f>'Phụ lục số 4'!S95</f>
        <v>23385</v>
      </c>
      <c r="T95" s="2956">
        <f>'Phụ lục số 4'!T95</f>
        <v>0</v>
      </c>
      <c r="U95" s="2956">
        <f>'Phụ lục số 4'!U95</f>
        <v>0</v>
      </c>
      <c r="V95" s="2956">
        <f>'Phụ lục số 4'!V95</f>
        <v>0</v>
      </c>
      <c r="W95" s="2956">
        <f>'Phụ lục số 4'!W95</f>
        <v>0</v>
      </c>
      <c r="X95" s="2956">
        <f>'Phụ lục số 4'!X95</f>
        <v>0</v>
      </c>
      <c r="Y95" s="2956">
        <f>'Phụ lục số 4'!Y95</f>
        <v>0</v>
      </c>
      <c r="Z95" s="2956">
        <f>'Phụ lục số 4'!Z95</f>
        <v>0</v>
      </c>
      <c r="AA95" s="2956">
        <f>'Phụ lục số 4'!AA95</f>
        <v>0</v>
      </c>
      <c r="AB95" s="2956">
        <f>'Phụ lục số 4'!AB95</f>
        <v>0</v>
      </c>
      <c r="AC95" s="2956">
        <f>'Phụ lục số 4'!AC95</f>
        <v>0</v>
      </c>
      <c r="AD95" s="3143">
        <f>'Phụ lục số 4'!AD95</f>
        <v>0</v>
      </c>
      <c r="AE95" s="3154">
        <f>'Phụ lục số 4'!AE97</f>
        <v>0</v>
      </c>
    </row>
    <row r="96" spans="1:31" s="154" customFormat="1" ht="144">
      <c r="A96" s="3031" t="str">
        <f>'Phụ lục số 4'!A96</f>
        <v>a</v>
      </c>
      <c r="B96" s="3593" t="str">
        <f>'Phụ lục số 4'!B96</f>
        <v>Chính sách hỗ trợ thường xuyên cho đối tượng bảo trợ xã hội theo quy định tại Nghị định số 20/2021/NĐ-CP ngày 15/03/2021 của Chính phủ; Chính sách hỗ trợ tiền điện cho hộ nghèo, hộ chính sách xã hội theo quy định tại Quyết định số 28/2014/QĐ-TTg ngày 07/4/2014 của Thủ tướng Chính phủ</v>
      </c>
      <c r="C96" s="2954">
        <f t="shared" si="37"/>
        <v>21000</v>
      </c>
      <c r="D96" s="2954">
        <f t="shared" si="35"/>
        <v>0</v>
      </c>
      <c r="E96" s="2954">
        <f>'Phụ lục số 4'!E98</f>
        <v>0</v>
      </c>
      <c r="F96" s="2954">
        <f>'Phụ lục số 4'!F98</f>
        <v>0</v>
      </c>
      <c r="G96" s="2954">
        <f>'Phụ lục số 4'!G98</f>
        <v>0</v>
      </c>
      <c r="H96" s="2954">
        <f>'Phụ lục số 4'!H98</f>
        <v>0</v>
      </c>
      <c r="I96" s="2954"/>
      <c r="J96" s="2954">
        <f t="shared" si="17"/>
        <v>21000</v>
      </c>
      <c r="K96" s="2954">
        <f>'Phụ lục số 4'!K96</f>
        <v>0</v>
      </c>
      <c r="L96" s="2954">
        <f>'Phụ lục số 4'!L96</f>
        <v>0</v>
      </c>
      <c r="M96" s="2954">
        <f>'Phụ lục số 4'!M96</f>
        <v>0</v>
      </c>
      <c r="N96" s="2954">
        <f>'Phụ lục số 4'!N96</f>
        <v>0</v>
      </c>
      <c r="O96" s="2954">
        <f>'Phụ lục số 4'!O96</f>
        <v>0</v>
      </c>
      <c r="P96" s="2954">
        <f>'Phụ lục số 4'!P96</f>
        <v>0</v>
      </c>
      <c r="Q96" s="2954">
        <f>'Phụ lục số 4'!Q96</f>
        <v>0</v>
      </c>
      <c r="R96" s="2954">
        <f>'Phụ lục số 4'!R96</f>
        <v>0</v>
      </c>
      <c r="S96" s="2954">
        <f>'Phụ lục số 4'!S96</f>
        <v>21000</v>
      </c>
      <c r="T96" s="2954">
        <f>'Phụ lục số 4'!T96</f>
        <v>0</v>
      </c>
      <c r="U96" s="2954">
        <f>'Phụ lục số 4'!U96</f>
        <v>0</v>
      </c>
      <c r="V96" s="2954">
        <f>'Phụ lục số 4'!V96</f>
        <v>0</v>
      </c>
      <c r="W96" s="2954">
        <f>'Phụ lục số 4'!W96</f>
        <v>0</v>
      </c>
      <c r="X96" s="2954">
        <f>'Phụ lục số 4'!X96</f>
        <v>0</v>
      </c>
      <c r="Y96" s="2954">
        <f>'Phụ lục số 4'!Y96</f>
        <v>0</v>
      </c>
      <c r="Z96" s="2954">
        <f>'Phụ lục số 4'!Z96</f>
        <v>0</v>
      </c>
      <c r="AA96" s="2954">
        <f>'Phụ lục số 4'!AA96</f>
        <v>0</v>
      </c>
      <c r="AB96" s="2954">
        <f>'Phụ lục số 4'!AB96</f>
        <v>0</v>
      </c>
      <c r="AC96" s="2954">
        <f>'Phụ lục số 4'!AC96</f>
        <v>0</v>
      </c>
      <c r="AD96" s="3142">
        <f>'Phụ lục số 4'!AD96</f>
        <v>0</v>
      </c>
      <c r="AE96" s="3153">
        <f>'Phụ lục số 4'!AE98</f>
        <v>0</v>
      </c>
    </row>
    <row r="97" spans="1:31" s="2351" customFormat="1" ht="52.95" customHeight="1">
      <c r="A97" s="3033" t="str">
        <f>'Phụ lục số 4'!A97</f>
        <v>b</v>
      </c>
      <c r="B97" s="3673" t="str">
        <f>'Phụ lục số 4'!B97</f>
        <v>Trong đó; Một số nhiệm vụ chi phải báo cáo cấp có thẩm quyền xem xét, quyết định cho phép thực hiện</v>
      </c>
      <c r="C97" s="3651">
        <f t="shared" si="37"/>
        <v>2385</v>
      </c>
      <c r="D97" s="3651">
        <f t="shared" si="35"/>
        <v>0</v>
      </c>
      <c r="E97" s="3651">
        <f>'Phụ lục số 4'!E99</f>
        <v>0</v>
      </c>
      <c r="F97" s="3651">
        <f>'Phụ lục số 4'!F99</f>
        <v>0</v>
      </c>
      <c r="G97" s="3651">
        <f>'Phụ lục số 4'!G99</f>
        <v>0</v>
      </c>
      <c r="H97" s="3651">
        <f>'Phụ lục số 4'!H99</f>
        <v>0</v>
      </c>
      <c r="I97" s="3651"/>
      <c r="J97" s="3651">
        <f t="shared" si="17"/>
        <v>2385</v>
      </c>
      <c r="K97" s="3651">
        <f>'Phụ lục số 4'!K97</f>
        <v>0</v>
      </c>
      <c r="L97" s="3651">
        <f>'Phụ lục số 4'!L97</f>
        <v>0</v>
      </c>
      <c r="M97" s="3651">
        <f>'Phụ lục số 4'!M97</f>
        <v>0</v>
      </c>
      <c r="N97" s="3651">
        <f>'Phụ lục số 4'!N97</f>
        <v>0</v>
      </c>
      <c r="O97" s="3651">
        <f>'Phụ lục số 4'!O97</f>
        <v>0</v>
      </c>
      <c r="P97" s="3651">
        <f>'Phụ lục số 4'!P97</f>
        <v>0</v>
      </c>
      <c r="Q97" s="3651">
        <f>'Phụ lục số 4'!Q97</f>
        <v>0</v>
      </c>
      <c r="R97" s="3651">
        <f>'Phụ lục số 4'!R97</f>
        <v>0</v>
      </c>
      <c r="S97" s="3651">
        <f>'Phụ lục số 4'!S97</f>
        <v>2385</v>
      </c>
      <c r="T97" s="3651">
        <f>'Phụ lục số 4'!T97</f>
        <v>0</v>
      </c>
      <c r="U97" s="3651">
        <f>'Phụ lục số 4'!U97</f>
        <v>0</v>
      </c>
      <c r="V97" s="3651">
        <f>'Phụ lục số 4'!V97</f>
        <v>0</v>
      </c>
      <c r="W97" s="3651">
        <f>'Phụ lục số 4'!W97</f>
        <v>0</v>
      </c>
      <c r="X97" s="3651">
        <f>'Phụ lục số 4'!X97</f>
        <v>0</v>
      </c>
      <c r="Y97" s="3651">
        <f>'Phụ lục số 4'!Y97</f>
        <v>0</v>
      </c>
      <c r="Z97" s="3651">
        <f>'Phụ lục số 4'!Z97</f>
        <v>0</v>
      </c>
      <c r="AA97" s="3651">
        <f>'Phụ lục số 4'!AA97</f>
        <v>0</v>
      </c>
      <c r="AB97" s="3651">
        <f>'Phụ lục số 4'!AB97</f>
        <v>0</v>
      </c>
      <c r="AC97" s="3651">
        <f>'Phụ lục số 4'!AC97</f>
        <v>0</v>
      </c>
      <c r="AD97" s="3674">
        <f>'Phụ lục số 4'!AD97</f>
        <v>0</v>
      </c>
      <c r="AE97" s="3675">
        <f>'Phụ lục số 4'!AE99</f>
        <v>0</v>
      </c>
    </row>
    <row r="98" spans="1:31" s="1319" customFormat="1" ht="17.399999999999999">
      <c r="A98" s="3671">
        <f>'Phụ lục số 4'!A98</f>
        <v>7</v>
      </c>
      <c r="B98" s="3592" t="str">
        <f>'Phụ lục số 4'!B98</f>
        <v>Chi quản lý hành chính (QLNN, Đảng…)</v>
      </c>
      <c r="C98" s="2956">
        <f t="shared" si="37"/>
        <v>5498.9510000000009</v>
      </c>
      <c r="D98" s="2956">
        <f t="shared" si="35"/>
        <v>0</v>
      </c>
      <c r="E98" s="2956">
        <f>'Phụ lục số 4'!E102</f>
        <v>0</v>
      </c>
      <c r="F98" s="2956">
        <f>'Phụ lục số 4'!F102</f>
        <v>0</v>
      </c>
      <c r="G98" s="2956">
        <f>'Phụ lục số 4'!G102</f>
        <v>0</v>
      </c>
      <c r="H98" s="2956">
        <f>'Phụ lục số 4'!H102</f>
        <v>0</v>
      </c>
      <c r="I98" s="2956"/>
      <c r="J98" s="2956">
        <f t="shared" si="17"/>
        <v>5498.9510000000009</v>
      </c>
      <c r="K98" s="2956">
        <f>'Phụ lục số 4'!K98</f>
        <v>0</v>
      </c>
      <c r="L98" s="2956">
        <f>'Phụ lục số 4'!L98</f>
        <v>0</v>
      </c>
      <c r="M98" s="2956">
        <f>'Phụ lục số 4'!M98</f>
        <v>0</v>
      </c>
      <c r="N98" s="2956">
        <f>'Phụ lục số 4'!N98</f>
        <v>0</v>
      </c>
      <c r="O98" s="2956">
        <f>'Phụ lục số 4'!O98</f>
        <v>0</v>
      </c>
      <c r="P98" s="2956">
        <f>'Phụ lục số 4'!P98</f>
        <v>0</v>
      </c>
      <c r="Q98" s="2956">
        <f>'Phụ lục số 4'!Q98</f>
        <v>0</v>
      </c>
      <c r="R98" s="2956">
        <f>'Phụ lục số 4'!R98</f>
        <v>0</v>
      </c>
      <c r="S98" s="2956">
        <f>'Phụ lục số 4'!S98</f>
        <v>0</v>
      </c>
      <c r="T98" s="2956">
        <f>'Phụ lục số 4'!T98</f>
        <v>5498.9510000000009</v>
      </c>
      <c r="U98" s="2956">
        <f>'Phụ lục số 4'!U98</f>
        <v>0</v>
      </c>
      <c r="V98" s="2956">
        <f>'Phụ lục số 4'!V98</f>
        <v>0</v>
      </c>
      <c r="W98" s="2956">
        <f>'Phụ lục số 4'!W98</f>
        <v>0</v>
      </c>
      <c r="X98" s="2956">
        <f>'Phụ lục số 4'!X98</f>
        <v>0</v>
      </c>
      <c r="Y98" s="2956">
        <f>'Phụ lục số 4'!Y98</f>
        <v>0</v>
      </c>
      <c r="Z98" s="2956">
        <f>'Phụ lục số 4'!Z98</f>
        <v>0</v>
      </c>
      <c r="AA98" s="2956">
        <f>'Phụ lục số 4'!AA98</f>
        <v>0</v>
      </c>
      <c r="AB98" s="2956">
        <f>'Phụ lục số 4'!AB98</f>
        <v>0</v>
      </c>
      <c r="AC98" s="2956">
        <f>'Phụ lục số 4'!AC98</f>
        <v>0</v>
      </c>
      <c r="AD98" s="3143">
        <f>'Phụ lục số 4'!AD98</f>
        <v>0</v>
      </c>
      <c r="AE98" s="3154">
        <f>'Phụ lục số 4'!AE102</f>
        <v>0</v>
      </c>
    </row>
    <row r="99" spans="1:31" s="2351" customFormat="1" ht="54">
      <c r="A99" s="3033"/>
      <c r="B99" s="3673" t="str">
        <f>'Phụ lục số 4'!B99</f>
        <v>Trong đó; Một số nhiệm vụ chi phải báo cáo cấp có thẩm quyền xem xét, quyết định cho phép thực hiện</v>
      </c>
      <c r="C99" s="3651">
        <f t="shared" si="37"/>
        <v>5498.9510000000009</v>
      </c>
      <c r="D99" s="3651">
        <f t="shared" si="35"/>
        <v>0</v>
      </c>
      <c r="E99" s="3651">
        <f>'Phụ lục số 4'!E103</f>
        <v>0</v>
      </c>
      <c r="F99" s="3651">
        <f>'Phụ lục số 4'!F103</f>
        <v>0</v>
      </c>
      <c r="G99" s="3651">
        <f>'Phụ lục số 4'!G103</f>
        <v>0</v>
      </c>
      <c r="H99" s="3651">
        <f>'Phụ lục số 4'!H103</f>
        <v>0</v>
      </c>
      <c r="I99" s="3651"/>
      <c r="J99" s="3651">
        <f t="shared" si="17"/>
        <v>5498.9510000000009</v>
      </c>
      <c r="K99" s="3651">
        <f>'Phụ lục số 4'!K99</f>
        <v>0</v>
      </c>
      <c r="L99" s="3651">
        <f>'Phụ lục số 4'!L99</f>
        <v>0</v>
      </c>
      <c r="M99" s="3651">
        <f>'Phụ lục số 4'!M99</f>
        <v>0</v>
      </c>
      <c r="N99" s="3651">
        <f>'Phụ lục số 4'!N99</f>
        <v>0</v>
      </c>
      <c r="O99" s="3651">
        <f>'Phụ lục số 4'!O99</f>
        <v>0</v>
      </c>
      <c r="P99" s="3651">
        <f>'Phụ lục số 4'!P99</f>
        <v>0</v>
      </c>
      <c r="Q99" s="3651">
        <f>'Phụ lục số 4'!Q99</f>
        <v>0</v>
      </c>
      <c r="R99" s="3651">
        <f>'Phụ lục số 4'!R99</f>
        <v>0</v>
      </c>
      <c r="S99" s="3651">
        <f>'Phụ lục số 4'!S99</f>
        <v>0</v>
      </c>
      <c r="T99" s="3651">
        <f>'Phụ lục số 4'!T99</f>
        <v>5498.9510000000009</v>
      </c>
      <c r="U99" s="3651">
        <f>'Phụ lục số 4'!U99</f>
        <v>0</v>
      </c>
      <c r="V99" s="3651">
        <f>'Phụ lục số 4'!V99</f>
        <v>0</v>
      </c>
      <c r="W99" s="3651">
        <f>'Phụ lục số 4'!W99</f>
        <v>0</v>
      </c>
      <c r="X99" s="3651">
        <f>'Phụ lục số 4'!X99</f>
        <v>0</v>
      </c>
      <c r="Y99" s="3651">
        <f>'Phụ lục số 4'!Y99</f>
        <v>0</v>
      </c>
      <c r="Z99" s="3651">
        <f>'Phụ lục số 4'!Z99</f>
        <v>0</v>
      </c>
      <c r="AA99" s="3651">
        <f>'Phụ lục số 4'!AA99</f>
        <v>0</v>
      </c>
      <c r="AB99" s="3651">
        <f>'Phụ lục số 4'!AB99</f>
        <v>0</v>
      </c>
      <c r="AC99" s="3651">
        <f>'Phụ lục số 4'!AC99</f>
        <v>0</v>
      </c>
      <c r="AD99" s="3674">
        <f>'Phụ lục số 4'!AD99</f>
        <v>0</v>
      </c>
      <c r="AE99" s="3675">
        <f>'Phụ lục số 4'!AE103</f>
        <v>0</v>
      </c>
    </row>
    <row r="100" spans="1:31" s="3684" customFormat="1" hidden="1">
      <c r="A100" s="3704"/>
      <c r="B100" s="3700" t="str">
        <f>'Phụ lục số 4'!B100</f>
        <v>Chi an ninh - quốc phòng</v>
      </c>
      <c r="C100" s="3701">
        <f t="shared" si="37"/>
        <v>-0.39999999999417923</v>
      </c>
      <c r="D100" s="3680"/>
      <c r="E100" s="3680"/>
      <c r="F100" s="3680"/>
      <c r="G100" s="3680"/>
      <c r="H100" s="3680"/>
      <c r="I100" s="3680"/>
      <c r="J100" s="3701">
        <f t="shared" si="17"/>
        <v>-0.39999999999417923</v>
      </c>
      <c r="K100" s="3680"/>
      <c r="L100" s="3680"/>
      <c r="M100" s="3680"/>
      <c r="N100" s="3680"/>
      <c r="O100" s="3680"/>
      <c r="P100" s="3680"/>
      <c r="Q100" s="3680"/>
      <c r="R100" s="3680"/>
      <c r="S100" s="3680"/>
      <c r="T100" s="3680"/>
      <c r="U100" s="3687">
        <f>U101</f>
        <v>-0.39999999999417923</v>
      </c>
      <c r="V100" s="3680"/>
      <c r="W100" s="3680"/>
      <c r="X100" s="3680"/>
      <c r="Y100" s="3680"/>
      <c r="Z100" s="3680"/>
      <c r="AA100" s="3680"/>
      <c r="AB100" s="3680"/>
      <c r="AC100" s="3680"/>
      <c r="AD100" s="3702"/>
      <c r="AE100" s="3703"/>
    </row>
    <row r="101" spans="1:31" s="3684" customFormat="1" ht="54" hidden="1">
      <c r="A101" s="3704"/>
      <c r="B101" s="3705" t="str">
        <f>'Phụ lục số 4'!B101</f>
        <v>Trong đó; Một số nhiệm vụ chi phải báo cáo cấp có thẩm quyền xem xét, quyết định cho phép thực hiện</v>
      </c>
      <c r="C101" s="3680">
        <f t="shared" si="37"/>
        <v>-0.39999999999417923</v>
      </c>
      <c r="D101" s="3680"/>
      <c r="E101" s="3680"/>
      <c r="F101" s="3680"/>
      <c r="G101" s="3680"/>
      <c r="H101" s="3680"/>
      <c r="I101" s="3680"/>
      <c r="J101" s="3680">
        <f t="shared" si="17"/>
        <v>-0.39999999999417923</v>
      </c>
      <c r="K101" s="3680"/>
      <c r="L101" s="3680"/>
      <c r="M101" s="3680"/>
      <c r="N101" s="3680"/>
      <c r="O101" s="3680"/>
      <c r="P101" s="3680"/>
      <c r="Q101" s="3680"/>
      <c r="R101" s="3680"/>
      <c r="S101" s="3680"/>
      <c r="T101" s="3680"/>
      <c r="U101" s="3687">
        <f>'Phụ lục số 4'!U101</f>
        <v>-0.39999999999417923</v>
      </c>
      <c r="V101" s="3680"/>
      <c r="W101" s="3680"/>
      <c r="X101" s="3680"/>
      <c r="Y101" s="3680"/>
      <c r="Z101" s="3680"/>
      <c r="AA101" s="3680"/>
      <c r="AB101" s="3680"/>
      <c r="AC101" s="3680"/>
      <c r="AD101" s="3702"/>
      <c r="AE101" s="3703"/>
    </row>
    <row r="102" spans="1:31" s="1319" customFormat="1" ht="17.399999999999999">
      <c r="A102" s="3671">
        <f>'Phụ lục số 4'!A102</f>
        <v>8</v>
      </c>
      <c r="B102" s="3592" t="str">
        <f>'Phụ lục số 4'!B102</f>
        <v>Chi khác ngân sách</v>
      </c>
      <c r="C102" s="2956">
        <f t="shared" si="37"/>
        <v>14176</v>
      </c>
      <c r="D102" s="2956">
        <f t="shared" si="35"/>
        <v>0</v>
      </c>
      <c r="E102" s="2956">
        <f>'Phụ lục số 4'!E104</f>
        <v>0</v>
      </c>
      <c r="F102" s="2956">
        <f>'Phụ lục số 4'!F104</f>
        <v>0</v>
      </c>
      <c r="G102" s="2956">
        <f>'Phụ lục số 4'!G104</f>
        <v>0</v>
      </c>
      <c r="H102" s="2956">
        <f>'Phụ lục số 4'!H104</f>
        <v>0</v>
      </c>
      <c r="I102" s="2956"/>
      <c r="J102" s="2956">
        <f t="shared" si="17"/>
        <v>14176</v>
      </c>
      <c r="K102" s="2956">
        <f>'Phụ lục số 4'!K102</f>
        <v>0</v>
      </c>
      <c r="L102" s="2956">
        <f>'Phụ lục số 4'!L102</f>
        <v>0</v>
      </c>
      <c r="M102" s="2956">
        <f>'Phụ lục số 4'!M102</f>
        <v>0</v>
      </c>
      <c r="N102" s="2956">
        <f>'Phụ lục số 4'!N102</f>
        <v>0</v>
      </c>
      <c r="O102" s="2956">
        <f>'Phụ lục số 4'!O102</f>
        <v>0</v>
      </c>
      <c r="P102" s="2956">
        <f>'Phụ lục số 4'!P102</f>
        <v>0</v>
      </c>
      <c r="Q102" s="2956">
        <f>'Phụ lục số 4'!Q102</f>
        <v>0</v>
      </c>
      <c r="R102" s="2956">
        <f>'Phụ lục số 4'!R102</f>
        <v>0</v>
      </c>
      <c r="S102" s="2956">
        <f>'Phụ lục số 4'!S102</f>
        <v>0</v>
      </c>
      <c r="T102" s="2956">
        <f>'Phụ lục số 4'!T102</f>
        <v>0</v>
      </c>
      <c r="U102" s="2956">
        <f>'Phụ lục số 4'!U102</f>
        <v>0</v>
      </c>
      <c r="V102" s="2956">
        <f>'Phụ lục số 4'!V102</f>
        <v>14176</v>
      </c>
      <c r="W102" s="2956">
        <f>'Phụ lục số 4'!W102</f>
        <v>0</v>
      </c>
      <c r="X102" s="2956">
        <f>'Phụ lục số 4'!X102</f>
        <v>0</v>
      </c>
      <c r="Y102" s="2956">
        <f>'Phụ lục số 4'!Y102</f>
        <v>0</v>
      </c>
      <c r="Z102" s="2956">
        <f>'Phụ lục số 4'!Z102</f>
        <v>0</v>
      </c>
      <c r="AA102" s="2956">
        <f>'Phụ lục số 4'!AA102</f>
        <v>0</v>
      </c>
      <c r="AB102" s="2956">
        <f>'Phụ lục số 4'!AB102</f>
        <v>0</v>
      </c>
      <c r="AC102" s="2956">
        <f>'Phụ lục số 4'!AC102</f>
        <v>0</v>
      </c>
      <c r="AD102" s="3143">
        <f>'Phụ lục số 4'!AD102</f>
        <v>0</v>
      </c>
      <c r="AE102" s="3154">
        <f>'Phụ lục số 4'!AE104</f>
        <v>0</v>
      </c>
    </row>
    <row r="103" spans="1:31" s="2351" customFormat="1" ht="54">
      <c r="A103" s="3033"/>
      <c r="B103" s="3673" t="str">
        <f>'Phụ lục số 4'!B103</f>
        <v>Trong đó; Một số nhiệm vụ chi phải báo cáo cấp có thẩm quyền xem xét, quyết định cho phép thực hiện</v>
      </c>
      <c r="C103" s="3651">
        <f t="shared" si="37"/>
        <v>14176</v>
      </c>
      <c r="D103" s="3651"/>
      <c r="E103" s="3651"/>
      <c r="F103" s="3651"/>
      <c r="G103" s="3651"/>
      <c r="H103" s="3651"/>
      <c r="I103" s="3651"/>
      <c r="J103" s="3651">
        <f t="shared" si="17"/>
        <v>14176</v>
      </c>
      <c r="K103" s="3651">
        <f>'Phụ lục số 4'!K103</f>
        <v>0</v>
      </c>
      <c r="L103" s="3651">
        <f>'Phụ lục số 4'!L103</f>
        <v>0</v>
      </c>
      <c r="M103" s="3651">
        <f>'Phụ lục số 4'!M103</f>
        <v>0</v>
      </c>
      <c r="N103" s="3651">
        <f>'Phụ lục số 4'!N103</f>
        <v>0</v>
      </c>
      <c r="O103" s="3651">
        <f>'Phụ lục số 4'!O103</f>
        <v>0</v>
      </c>
      <c r="P103" s="3651">
        <f>'Phụ lục số 4'!P103</f>
        <v>0</v>
      </c>
      <c r="Q103" s="3651">
        <f>'Phụ lục số 4'!Q103</f>
        <v>0</v>
      </c>
      <c r="R103" s="3651">
        <f>'Phụ lục số 4'!R103</f>
        <v>0</v>
      </c>
      <c r="S103" s="3651">
        <f>'Phụ lục số 4'!S103</f>
        <v>0</v>
      </c>
      <c r="T103" s="3651">
        <f>'Phụ lục số 4'!T103</f>
        <v>0</v>
      </c>
      <c r="U103" s="3651">
        <f>'Phụ lục số 4'!U103</f>
        <v>0</v>
      </c>
      <c r="V103" s="3651">
        <f>'Phụ lục số 4'!V103</f>
        <v>14176</v>
      </c>
      <c r="W103" s="3651">
        <f>'Phụ lục số 4'!W103</f>
        <v>0</v>
      </c>
      <c r="X103" s="3651">
        <f>'Phụ lục số 4'!X103</f>
        <v>0</v>
      </c>
      <c r="Y103" s="3651">
        <f>'Phụ lục số 4'!Y103</f>
        <v>0</v>
      </c>
      <c r="Z103" s="3651">
        <f>'Phụ lục số 4'!Z103</f>
        <v>0</v>
      </c>
      <c r="AA103" s="3651">
        <f>'Phụ lục số 4'!AA103</f>
        <v>0</v>
      </c>
      <c r="AB103" s="3651">
        <f>'Phụ lục số 4'!AB103</f>
        <v>0</v>
      </c>
      <c r="AC103" s="3651">
        <f>'Phụ lục số 4'!AC103</f>
        <v>0</v>
      </c>
      <c r="AD103" s="3674">
        <f>'Phụ lục số 4'!AD103</f>
        <v>0</v>
      </c>
      <c r="AE103" s="3675"/>
    </row>
    <row r="104" spans="1:31" s="154" customFormat="1" hidden="1">
      <c r="A104" s="3031"/>
      <c r="B104" s="3593">
        <f>'Phụ lục số 4'!B104</f>
        <v>0</v>
      </c>
      <c r="C104" s="2954"/>
      <c r="D104" s="2954"/>
      <c r="E104" s="2954"/>
      <c r="F104" s="2954"/>
      <c r="G104" s="2954"/>
      <c r="H104" s="2954"/>
      <c r="I104" s="2954"/>
      <c r="J104" s="2954">
        <f t="shared" si="17"/>
        <v>0</v>
      </c>
      <c r="K104" s="2954">
        <f>'Phụ lục số 4'!K104</f>
        <v>0</v>
      </c>
      <c r="L104" s="2954">
        <f>'Phụ lục số 4'!L104</f>
        <v>0</v>
      </c>
      <c r="M104" s="2954">
        <f>'Phụ lục số 4'!M104</f>
        <v>0</v>
      </c>
      <c r="N104" s="2954">
        <f>'Phụ lục số 4'!N104</f>
        <v>0</v>
      </c>
      <c r="O104" s="2954">
        <f>'Phụ lục số 4'!O104</f>
        <v>0</v>
      </c>
      <c r="P104" s="2954">
        <f>'Phụ lục số 4'!P104</f>
        <v>0</v>
      </c>
      <c r="Q104" s="2954">
        <f>'Phụ lục số 4'!Q104</f>
        <v>0</v>
      </c>
      <c r="R104" s="2954">
        <f>'Phụ lục số 4'!R104</f>
        <v>0</v>
      </c>
      <c r="S104" s="2954">
        <f>'Phụ lục số 4'!S104</f>
        <v>0</v>
      </c>
      <c r="T104" s="2954">
        <f>'Phụ lục số 4'!T104</f>
        <v>0</v>
      </c>
      <c r="U104" s="2954">
        <f>'Phụ lục số 4'!U104</f>
        <v>0</v>
      </c>
      <c r="V104" s="2954">
        <f>'Phụ lục số 4'!V104</f>
        <v>0</v>
      </c>
      <c r="W104" s="2954">
        <f>'Phụ lục số 4'!W104</f>
        <v>0</v>
      </c>
      <c r="X104" s="2954">
        <f>'Phụ lục số 4'!X104</f>
        <v>0</v>
      </c>
      <c r="Y104" s="2954">
        <f>'Phụ lục số 4'!Y104</f>
        <v>0</v>
      </c>
      <c r="Z104" s="2954">
        <f>'Phụ lục số 4'!Z104</f>
        <v>0</v>
      </c>
      <c r="AA104" s="2954">
        <f>'Phụ lục số 4'!AA104</f>
        <v>0</v>
      </c>
      <c r="AB104" s="2954">
        <f>'Phụ lục số 4'!AB104</f>
        <v>0</v>
      </c>
      <c r="AC104" s="2954">
        <f>'Phụ lục số 4'!AC104</f>
        <v>0</v>
      </c>
      <c r="AD104" s="3142">
        <f>'Phụ lục số 4'!AD104</f>
        <v>0</v>
      </c>
      <c r="AE104" s="3153"/>
    </row>
    <row r="105" spans="1:31" s="1319" customFormat="1" ht="34.799999999999997" hidden="1">
      <c r="A105" s="3671">
        <f>'Phụ lục số 4'!A105</f>
        <v>9</v>
      </c>
      <c r="B105" s="3592" t="str">
        <f>'Phụ lục số 4'!B105</f>
        <v>10% tiết kiệm chi thường xuyên (phần giữ lại ngân sách)</v>
      </c>
      <c r="C105" s="2956">
        <f t="shared" si="37"/>
        <v>0</v>
      </c>
      <c r="D105" s="2956">
        <f t="shared" si="35"/>
        <v>0</v>
      </c>
      <c r="E105" s="2956">
        <f>'Phụ lục số 4'!E105</f>
        <v>0</v>
      </c>
      <c r="F105" s="2956">
        <f>'Phụ lục số 4'!F105</f>
        <v>0</v>
      </c>
      <c r="G105" s="2956">
        <f>'Phụ lục số 4'!G105</f>
        <v>0</v>
      </c>
      <c r="H105" s="2956">
        <f>'Phụ lục số 4'!H105</f>
        <v>0</v>
      </c>
      <c r="I105" s="2956"/>
      <c r="J105" s="2954">
        <f t="shared" si="17"/>
        <v>0</v>
      </c>
      <c r="K105" s="2956">
        <f>'Phụ lục số 4'!K105</f>
        <v>0</v>
      </c>
      <c r="L105" s="2956">
        <f>'Phụ lục số 4'!L105</f>
        <v>0</v>
      </c>
      <c r="M105" s="2956">
        <f>'Phụ lục số 4'!M105</f>
        <v>0</v>
      </c>
      <c r="N105" s="2956">
        <f>'Phụ lục số 4'!N105</f>
        <v>0</v>
      </c>
      <c r="O105" s="2956">
        <f>'Phụ lục số 4'!O105</f>
        <v>0</v>
      </c>
      <c r="P105" s="2956">
        <f>'Phụ lục số 4'!P105</f>
        <v>0</v>
      </c>
      <c r="Q105" s="2956">
        <f>'Phụ lục số 4'!Q105</f>
        <v>0</v>
      </c>
      <c r="R105" s="2956">
        <f>'Phụ lục số 4'!R105</f>
        <v>0</v>
      </c>
      <c r="S105" s="2956">
        <f>'Phụ lục số 4'!S105</f>
        <v>0</v>
      </c>
      <c r="T105" s="2956">
        <f>'Phụ lục số 4'!T105</f>
        <v>0</v>
      </c>
      <c r="U105" s="2956">
        <f>'Phụ lục số 4'!U105</f>
        <v>0</v>
      </c>
      <c r="V105" s="2956">
        <f>'Phụ lục số 4'!V105</f>
        <v>0</v>
      </c>
      <c r="W105" s="2956">
        <f>'Phụ lục số 4'!W105</f>
        <v>0</v>
      </c>
      <c r="X105" s="2956">
        <f>'Phụ lục số 4'!X105</f>
        <v>0</v>
      </c>
      <c r="Y105" s="2956">
        <f>'Phụ lục số 4'!Y105</f>
        <v>0</v>
      </c>
      <c r="Z105" s="2956">
        <f>'Phụ lục số 4'!Z105</f>
        <v>0</v>
      </c>
      <c r="AA105" s="2956">
        <f>'Phụ lục số 4'!AA105</f>
        <v>0</v>
      </c>
      <c r="AB105" s="2956">
        <f>'Phụ lục số 4'!AB105</f>
        <v>0</v>
      </c>
      <c r="AC105" s="2956">
        <f>'Phụ lục số 4'!AC105</f>
        <v>0</v>
      </c>
      <c r="AD105" s="3143">
        <f>'Phụ lục số 4'!AD105</f>
        <v>0</v>
      </c>
      <c r="AE105" s="3154">
        <f>'Phụ lục số 4'!AE105</f>
        <v>0</v>
      </c>
    </row>
    <row r="106" spans="1:31" s="154" customFormat="1" hidden="1">
      <c r="A106" s="3031"/>
      <c r="B106" s="3672" t="str">
        <f>'Phụ lục số 4'!B106</f>
        <v>Sự nghiệp toàn ngành trên địa bàn Tỉnh</v>
      </c>
      <c r="C106" s="3670">
        <f>D106+J106+AB106+W106+X106+AA106</f>
        <v>155579.55100000001</v>
      </c>
      <c r="D106" s="3670">
        <f t="shared" si="35"/>
        <v>0</v>
      </c>
      <c r="E106" s="3670">
        <f>'Phụ lục số 4'!E106</f>
        <v>0</v>
      </c>
      <c r="F106" s="3670">
        <f>'Phụ lục số 4'!F106</f>
        <v>0</v>
      </c>
      <c r="G106" s="3670">
        <f>'Phụ lục số 4'!G106</f>
        <v>0</v>
      </c>
      <c r="H106" s="3670">
        <f>'Phụ lục số 4'!H106</f>
        <v>0</v>
      </c>
      <c r="I106" s="3670"/>
      <c r="J106" s="3670">
        <f t="shared" si="17"/>
        <v>155579.55100000001</v>
      </c>
      <c r="K106" s="3670">
        <f>'Phụ lục số 4'!K106</f>
        <v>55500</v>
      </c>
      <c r="L106" s="3670">
        <f>'Phụ lục số 4'!L106</f>
        <v>1152</v>
      </c>
      <c r="M106" s="3670">
        <f>'Phụ lục số 4'!M106</f>
        <v>1892</v>
      </c>
      <c r="N106" s="3670">
        <f>'Phụ lục số 4'!N106</f>
        <v>74667</v>
      </c>
      <c r="O106" s="3670">
        <f>'Phụ lục số 4'!O106</f>
        <v>0</v>
      </c>
      <c r="P106" s="3670">
        <f>'Phụ lục số 4'!P106</f>
        <v>2694</v>
      </c>
      <c r="Q106" s="3670">
        <f>'Phụ lục số 4'!Q106</f>
        <v>0</v>
      </c>
      <c r="R106" s="3670">
        <f>'Phụ lục số 4'!R106</f>
        <v>0</v>
      </c>
      <c r="S106" s="3670">
        <f>'Phụ lục số 4'!S106</f>
        <v>0</v>
      </c>
      <c r="T106" s="3670">
        <f>'Phụ lục số 4'!T106</f>
        <v>5498.9510000000009</v>
      </c>
      <c r="U106" s="3670">
        <f>'Phụ lục số 4'!U106</f>
        <v>-0.39999999999417923</v>
      </c>
      <c r="V106" s="3670">
        <f>'Phụ lục số 4'!V106</f>
        <v>14176</v>
      </c>
      <c r="W106" s="3670">
        <f>'Phụ lục số 4'!W106</f>
        <v>0</v>
      </c>
      <c r="X106" s="3670">
        <f>'Phụ lục số 4'!X106</f>
        <v>0</v>
      </c>
      <c r="Y106" s="3670">
        <f>'Phụ lục số 4'!Y106</f>
        <v>0</v>
      </c>
      <c r="Z106" s="3670">
        <f>'Phụ lục số 4'!Z106</f>
        <v>0</v>
      </c>
      <c r="AA106" s="3670">
        <f>'Phụ lục số 4'!AA106</f>
        <v>0</v>
      </c>
      <c r="AB106" s="3670">
        <f t="shared" ref="AB106:AB118" si="38">SUM(AC106:AD106)</f>
        <v>0</v>
      </c>
      <c r="AC106" s="3670">
        <f>'Phụ lục số 4'!AC106</f>
        <v>0</v>
      </c>
      <c r="AD106" s="3629">
        <f>'Phụ lục số 4'!AD106</f>
        <v>0</v>
      </c>
      <c r="AE106" s="3153">
        <f>'Phụ lục số 4'!AE106</f>
        <v>0</v>
      </c>
    </row>
    <row r="107" spans="1:31" s="1319" customFormat="1" ht="34.799999999999997">
      <c r="A107" s="2930" t="s">
        <v>22</v>
      </c>
      <c r="B107" s="2788" t="str">
        <f>'Phụ lục số 4'!B107</f>
        <v>CHI BỔ SUNG QUỸ DỰ TRỮ TÀI CHÍNH</v>
      </c>
      <c r="C107" s="2956">
        <f t="shared" ref="C107:C117" si="39">D107+J107+AB107+W107+X107+AA107+Y107+Z107</f>
        <v>2000</v>
      </c>
      <c r="D107" s="2956">
        <f t="shared" si="35"/>
        <v>0</v>
      </c>
      <c r="E107" s="2956">
        <f>'Phụ lục số 4'!E107</f>
        <v>0</v>
      </c>
      <c r="F107" s="2956">
        <f>'Phụ lục số 4'!F107</f>
        <v>0</v>
      </c>
      <c r="G107" s="2956">
        <f>'Phụ lục số 4'!G107</f>
        <v>0</v>
      </c>
      <c r="H107" s="2956">
        <f>'Phụ lục số 4'!H107</f>
        <v>0</v>
      </c>
      <c r="I107" s="2956"/>
      <c r="J107" s="2956">
        <f t="shared" si="17"/>
        <v>0</v>
      </c>
      <c r="K107" s="2956">
        <f>'Phụ lục số 4'!K107</f>
        <v>0</v>
      </c>
      <c r="L107" s="2956">
        <f>'Phụ lục số 4'!L107</f>
        <v>0</v>
      </c>
      <c r="M107" s="2956">
        <f>'Phụ lục số 4'!M107</f>
        <v>0</v>
      </c>
      <c r="N107" s="2956">
        <f>'Phụ lục số 4'!N107</f>
        <v>0</v>
      </c>
      <c r="O107" s="2956">
        <f>'Phụ lục số 4'!O107</f>
        <v>0</v>
      </c>
      <c r="P107" s="2956">
        <f>'Phụ lục số 4'!P107</f>
        <v>0</v>
      </c>
      <c r="Q107" s="2956">
        <f>'Phụ lục số 4'!Q107</f>
        <v>0</v>
      </c>
      <c r="R107" s="2956">
        <f>'Phụ lục số 4'!R107</f>
        <v>0</v>
      </c>
      <c r="S107" s="2956">
        <f>'Phụ lục số 4'!S107</f>
        <v>0</v>
      </c>
      <c r="T107" s="2956">
        <f>'Phụ lục số 4'!T107</f>
        <v>0</v>
      </c>
      <c r="U107" s="2956">
        <f>'Phụ lục số 4'!U107</f>
        <v>0</v>
      </c>
      <c r="V107" s="2956">
        <f>'Phụ lục số 4'!V107</f>
        <v>0</v>
      </c>
      <c r="W107" s="2956">
        <f>'Phụ lục số 4'!W107</f>
        <v>2000</v>
      </c>
      <c r="X107" s="2956">
        <f>'Phụ lục số 4'!X107</f>
        <v>0</v>
      </c>
      <c r="Y107" s="2956">
        <f>'Phụ lục số 4'!Y107</f>
        <v>0</v>
      </c>
      <c r="Z107" s="2956">
        <f>'Phụ lục số 4'!Z107</f>
        <v>0</v>
      </c>
      <c r="AA107" s="2956">
        <f>'Phụ lục số 4'!AA107</f>
        <v>0</v>
      </c>
      <c r="AB107" s="2956">
        <f t="shared" si="38"/>
        <v>0</v>
      </c>
      <c r="AC107" s="2956">
        <f>'Phụ lục số 4'!AC107</f>
        <v>0</v>
      </c>
      <c r="AD107" s="3143">
        <f>'Phụ lục số 4'!AD107</f>
        <v>0</v>
      </c>
      <c r="AE107" s="3154">
        <f>'Phụ lục số 4'!AE107</f>
        <v>0</v>
      </c>
    </row>
    <row r="108" spans="1:31" s="1319" customFormat="1" ht="34.799999999999997">
      <c r="A108" s="2930" t="s">
        <v>26</v>
      </c>
      <c r="B108" s="2788" t="str">
        <f>'Phụ lục số 4'!B108</f>
        <v>CHI DỰ PHÒNG NGÂN SÁCH CẤP TỈNH</v>
      </c>
      <c r="C108" s="2956">
        <f t="shared" si="39"/>
        <v>152264.36799999999</v>
      </c>
      <c r="D108" s="2956">
        <f t="shared" si="35"/>
        <v>0</v>
      </c>
      <c r="E108" s="2956">
        <f>'Phụ lục số 4'!E108</f>
        <v>0</v>
      </c>
      <c r="F108" s="2956">
        <f>'Phụ lục số 4'!F108</f>
        <v>0</v>
      </c>
      <c r="G108" s="2956">
        <f>'Phụ lục số 4'!G108</f>
        <v>0</v>
      </c>
      <c r="H108" s="2956">
        <f>'Phụ lục số 4'!H108</f>
        <v>0</v>
      </c>
      <c r="I108" s="2956"/>
      <c r="J108" s="2956">
        <f t="shared" si="17"/>
        <v>0</v>
      </c>
      <c r="K108" s="2956">
        <f>'Phụ lục số 4'!K108</f>
        <v>0</v>
      </c>
      <c r="L108" s="2956">
        <f>'Phụ lục số 4'!L108</f>
        <v>0</v>
      </c>
      <c r="M108" s="2956">
        <f>'Phụ lục số 4'!M108</f>
        <v>0</v>
      </c>
      <c r="N108" s="2956">
        <f>'Phụ lục số 4'!N108</f>
        <v>0</v>
      </c>
      <c r="O108" s="2956">
        <f>'Phụ lục số 4'!O108</f>
        <v>0</v>
      </c>
      <c r="P108" s="2956">
        <f>'Phụ lục số 4'!P108</f>
        <v>0</v>
      </c>
      <c r="Q108" s="2956">
        <f>'Phụ lục số 4'!Q108</f>
        <v>0</v>
      </c>
      <c r="R108" s="2956">
        <f>'Phụ lục số 4'!R108</f>
        <v>0</v>
      </c>
      <c r="S108" s="2956">
        <f>'Phụ lục số 4'!S108</f>
        <v>0</v>
      </c>
      <c r="T108" s="2956">
        <f>'Phụ lục số 4'!T108</f>
        <v>0</v>
      </c>
      <c r="U108" s="2956">
        <f>'Phụ lục số 4'!U108</f>
        <v>0</v>
      </c>
      <c r="V108" s="2956">
        <f>'Phụ lục số 4'!V108</f>
        <v>0</v>
      </c>
      <c r="W108" s="2956">
        <f>'Phụ lục số 4'!W108</f>
        <v>0</v>
      </c>
      <c r="X108" s="2956">
        <f>'Phụ lục số 4'!X108</f>
        <v>152264.36799999999</v>
      </c>
      <c r="Y108" s="2956">
        <f>'Phụ lục số 4'!Y108</f>
        <v>0</v>
      </c>
      <c r="Z108" s="2956">
        <f>'Phụ lục số 4'!Z108</f>
        <v>0</v>
      </c>
      <c r="AA108" s="2956">
        <f>'Phụ lục số 4'!AA108</f>
        <v>0</v>
      </c>
      <c r="AB108" s="2956">
        <f t="shared" si="38"/>
        <v>0</v>
      </c>
      <c r="AC108" s="2956">
        <f>'Phụ lục số 4'!AC108</f>
        <v>0</v>
      </c>
      <c r="AD108" s="3143">
        <f>'Phụ lục số 4'!AD108</f>
        <v>0</v>
      </c>
      <c r="AE108" s="3154">
        <f>'Phụ lục số 4'!AE108</f>
        <v>0</v>
      </c>
    </row>
    <row r="109" spans="1:31" s="1319" customFormat="1" ht="52.2">
      <c r="A109" s="2930" t="s">
        <v>130</v>
      </c>
      <c r="B109" s="2788" t="s">
        <v>2622</v>
      </c>
      <c r="C109" s="2956">
        <f t="shared" si="39"/>
        <v>79139.200000000012</v>
      </c>
      <c r="D109" s="2956"/>
      <c r="E109" s="2956"/>
      <c r="F109" s="2956"/>
      <c r="G109" s="2956"/>
      <c r="H109" s="2956"/>
      <c r="I109" s="2956"/>
      <c r="J109" s="2956"/>
      <c r="K109" s="2956"/>
      <c r="L109" s="2956"/>
      <c r="M109" s="2956"/>
      <c r="N109" s="2956"/>
      <c r="O109" s="2956"/>
      <c r="P109" s="2956"/>
      <c r="Q109" s="2956"/>
      <c r="R109" s="2956"/>
      <c r="S109" s="2956"/>
      <c r="T109" s="2956"/>
      <c r="U109" s="2956"/>
      <c r="V109" s="2956"/>
      <c r="W109" s="2956"/>
      <c r="X109" s="2956">
        <f>'Phụ lục số 4'!X109</f>
        <v>0</v>
      </c>
      <c r="Y109" s="2956">
        <f>'Phụ lục số 4'!Y109</f>
        <v>0</v>
      </c>
      <c r="Z109" s="2956">
        <f>'Phụ lục số 4'!Z109</f>
        <v>79139.200000000012</v>
      </c>
      <c r="AA109" s="2956">
        <f>'Phụ lục số 4'!AA109</f>
        <v>0</v>
      </c>
      <c r="AB109" s="2956"/>
      <c r="AC109" s="2956"/>
      <c r="AD109" s="3143"/>
      <c r="AE109" s="3154"/>
    </row>
    <row r="110" spans="1:31" s="1319" customFormat="1" ht="34.799999999999997">
      <c r="A110" s="2930" t="s">
        <v>1504</v>
      </c>
      <c r="B110" s="2788" t="s">
        <v>2617</v>
      </c>
      <c r="C110" s="2956">
        <f t="shared" si="39"/>
        <v>3000</v>
      </c>
      <c r="D110" s="2956">
        <f>SUM(E110:H110)</f>
        <v>0</v>
      </c>
      <c r="E110" s="2956"/>
      <c r="F110" s="2956"/>
      <c r="G110" s="2956"/>
      <c r="H110" s="2956"/>
      <c r="I110" s="2956"/>
      <c r="J110" s="2956"/>
      <c r="K110" s="2956"/>
      <c r="L110" s="2956"/>
      <c r="M110" s="2956"/>
      <c r="N110" s="2956"/>
      <c r="O110" s="2956"/>
      <c r="P110" s="2956"/>
      <c r="Q110" s="2956"/>
      <c r="R110" s="2956"/>
      <c r="S110" s="2956"/>
      <c r="T110" s="2956"/>
      <c r="U110" s="2956"/>
      <c r="V110" s="2956"/>
      <c r="W110" s="2956"/>
      <c r="X110" s="2956"/>
      <c r="Y110" s="2956"/>
      <c r="Z110" s="2956"/>
      <c r="AA110" s="2956">
        <v>3000</v>
      </c>
      <c r="AB110" s="2956"/>
      <c r="AC110" s="2956"/>
      <c r="AD110" s="3143"/>
      <c r="AE110" s="3154"/>
    </row>
    <row r="111" spans="1:31" s="1319" customFormat="1" ht="17.399999999999999">
      <c r="A111" s="2930" t="s">
        <v>217</v>
      </c>
      <c r="B111" s="2788" t="str">
        <f>'Phụ lục số 4'!B111</f>
        <v>CHI ĐẦU TƯ XÂY DỰNG CƠ BẢN</v>
      </c>
      <c r="C111" s="2956">
        <f t="shared" si="39"/>
        <v>562186</v>
      </c>
      <c r="D111" s="2956">
        <f>SUM(E111:I111)</f>
        <v>562186</v>
      </c>
      <c r="E111" s="2956">
        <f>'Phụ lục số 4'!E111</f>
        <v>562186</v>
      </c>
      <c r="F111" s="2956">
        <f>'Phụ lục số 4'!F111</f>
        <v>0</v>
      </c>
      <c r="G111" s="2956">
        <f>'Phụ lục số 4'!G111</f>
        <v>0</v>
      </c>
      <c r="H111" s="2956">
        <f>'Phụ lục số 4'!H111</f>
        <v>0</v>
      </c>
      <c r="I111" s="2956"/>
      <c r="J111" s="2956">
        <f t="shared" si="17"/>
        <v>0</v>
      </c>
      <c r="K111" s="2956">
        <f>'Phụ lục số 4'!K111</f>
        <v>0</v>
      </c>
      <c r="L111" s="2956">
        <f>'Phụ lục số 4'!L111</f>
        <v>0</v>
      </c>
      <c r="M111" s="2956">
        <f>'Phụ lục số 4'!M111</f>
        <v>0</v>
      </c>
      <c r="N111" s="2956">
        <f>'Phụ lục số 4'!N111</f>
        <v>0</v>
      </c>
      <c r="O111" s="2956">
        <f>'Phụ lục số 4'!O111</f>
        <v>0</v>
      </c>
      <c r="P111" s="2956">
        <f>'Phụ lục số 4'!P111</f>
        <v>0</v>
      </c>
      <c r="Q111" s="2956">
        <f>'Phụ lục số 4'!Q111</f>
        <v>0</v>
      </c>
      <c r="R111" s="2956">
        <f>'Phụ lục số 4'!R111</f>
        <v>0</v>
      </c>
      <c r="S111" s="2956">
        <f>'Phụ lục số 4'!S111</f>
        <v>0</v>
      </c>
      <c r="T111" s="2956">
        <f>'Phụ lục số 4'!T111</f>
        <v>0</v>
      </c>
      <c r="U111" s="2956">
        <f>'Phụ lục số 4'!U111</f>
        <v>0</v>
      </c>
      <c r="V111" s="2956">
        <f>'Phụ lục số 4'!V111</f>
        <v>0</v>
      </c>
      <c r="W111" s="2956">
        <f>'Phụ lục số 4'!W111</f>
        <v>0</v>
      </c>
      <c r="X111" s="2956">
        <f>'Phụ lục số 4'!X111</f>
        <v>0</v>
      </c>
      <c r="Y111" s="2956">
        <f>'Phụ lục số 4'!Y111</f>
        <v>0</v>
      </c>
      <c r="Z111" s="2956">
        <f>'Phụ lục số 4'!Z111</f>
        <v>0</v>
      </c>
      <c r="AA111" s="2956">
        <f>'Phụ lục số 4'!AA111</f>
        <v>0</v>
      </c>
      <c r="AB111" s="2956">
        <f t="shared" si="38"/>
        <v>0</v>
      </c>
      <c r="AC111" s="2956">
        <f>'Phụ lục số 4'!AC111</f>
        <v>0</v>
      </c>
      <c r="AD111" s="3143">
        <f>'Phụ lục số 4'!AD111</f>
        <v>0</v>
      </c>
      <c r="AE111" s="3154">
        <f>'Phụ lục số 4'!AE111</f>
        <v>0</v>
      </c>
    </row>
    <row r="112" spans="1:31" s="1319" customFormat="1" ht="159.6" customHeight="1">
      <c r="A112" s="2930" t="s">
        <v>1505</v>
      </c>
      <c r="B112" s="2788" t="str">
        <f>'Phụ lục số 4'!B112</f>
        <v>CHI ĐẦU TƯ TỪ NGUỒN THU TIỀN SỬ DỤNG ĐẤT (CHI BỔ SUNG ĐẢM BẢO VỐN ĐIỀU LỆ QUỸ PHÁT TRIỂN ĐẤT TỪ NGUỒN THU TIỀN SỬ DỤNG ĐẤT CẤP TỈNH; CHI CÔNG TÁC DO ĐẠC…THEO NGHỊ QUYẾT SỐ 41/2023/NQ-HĐND NGÀY 18/7/2023)</v>
      </c>
      <c r="C112" s="2956">
        <f t="shared" si="39"/>
        <v>627000</v>
      </c>
      <c r="D112" s="2956">
        <f t="shared" ref="D112:D117" si="40">SUM(E112:I112)</f>
        <v>627000</v>
      </c>
      <c r="E112" s="2956">
        <f>'Phụ lục số 4'!E112</f>
        <v>0</v>
      </c>
      <c r="F112" s="2956">
        <f>'Phụ lục số 4'!F112</f>
        <v>627000</v>
      </c>
      <c r="G112" s="2956">
        <f>'Phụ lục số 4'!G112</f>
        <v>0</v>
      </c>
      <c r="H112" s="2956">
        <f>'Phụ lục số 4'!H112</f>
        <v>0</v>
      </c>
      <c r="I112" s="2956"/>
      <c r="J112" s="2956">
        <f>SUM(K112:V112)</f>
        <v>0</v>
      </c>
      <c r="K112" s="2956">
        <f>'Phụ lục số 4'!K112</f>
        <v>0</v>
      </c>
      <c r="L112" s="2956">
        <f>'Phụ lục số 4'!L112</f>
        <v>0</v>
      </c>
      <c r="M112" s="2956">
        <f>'Phụ lục số 4'!M112</f>
        <v>0</v>
      </c>
      <c r="N112" s="2956">
        <f>'Phụ lục số 4'!N112</f>
        <v>0</v>
      </c>
      <c r="O112" s="2956">
        <f>'Phụ lục số 4'!O112</f>
        <v>0</v>
      </c>
      <c r="P112" s="2956">
        <f>'Phụ lục số 4'!P112</f>
        <v>0</v>
      </c>
      <c r="Q112" s="2956">
        <f>'Phụ lục số 4'!Q112</f>
        <v>0</v>
      </c>
      <c r="R112" s="2956">
        <f>'Phụ lục số 4'!R112</f>
        <v>0</v>
      </c>
      <c r="S112" s="2956">
        <f>'Phụ lục số 4'!S112</f>
        <v>0</v>
      </c>
      <c r="T112" s="2956">
        <f>'Phụ lục số 4'!T112</f>
        <v>0</v>
      </c>
      <c r="U112" s="2956">
        <f>'Phụ lục số 4'!U112</f>
        <v>0</v>
      </c>
      <c r="V112" s="2956">
        <f>'Phụ lục số 4'!V112</f>
        <v>0</v>
      </c>
      <c r="W112" s="2956">
        <f>'Phụ lục số 4'!W112</f>
        <v>0</v>
      </c>
      <c r="X112" s="2956">
        <f>'Phụ lục số 4'!X112</f>
        <v>0</v>
      </c>
      <c r="Y112" s="2956">
        <f>'Phụ lục số 4'!Y112</f>
        <v>0</v>
      </c>
      <c r="Z112" s="2956">
        <f>'Phụ lục số 4'!Z112</f>
        <v>0</v>
      </c>
      <c r="AA112" s="2956">
        <f>'Phụ lục số 4'!AA112</f>
        <v>0</v>
      </c>
      <c r="AB112" s="2956">
        <f t="shared" si="38"/>
        <v>0</v>
      </c>
      <c r="AC112" s="2956">
        <f>'Phụ lục số 4'!AC112</f>
        <v>0</v>
      </c>
      <c r="AD112" s="3143">
        <f>'Phụ lục số 4'!AD112</f>
        <v>0</v>
      </c>
      <c r="AE112" s="3154">
        <f>'Phụ lục số 4'!AE112</f>
        <v>0</v>
      </c>
    </row>
    <row r="113" spans="1:31" s="1319" customFormat="1" ht="34.799999999999997">
      <c r="A113" s="2930" t="s">
        <v>884</v>
      </c>
      <c r="B113" s="2788" t="str">
        <f>'Phụ lục số 4'!B113</f>
        <v>CHI ĐẦU TƯ TỪ NGUỒN THU XỔ SỐ KIẾN THIẾT</v>
      </c>
      <c r="C113" s="2956">
        <f t="shared" si="39"/>
        <v>1950000</v>
      </c>
      <c r="D113" s="2956">
        <f t="shared" si="40"/>
        <v>1950000</v>
      </c>
      <c r="E113" s="2956">
        <f>'Phụ lục số 4'!E113</f>
        <v>0</v>
      </c>
      <c r="F113" s="2956">
        <f>'Phụ lục số 4'!F113</f>
        <v>0</v>
      </c>
      <c r="G113" s="2956">
        <f>'Phụ lục số 4'!G113</f>
        <v>1950000</v>
      </c>
      <c r="H113" s="2956">
        <f>'Phụ lục số 4'!H113</f>
        <v>0</v>
      </c>
      <c r="I113" s="2956"/>
      <c r="J113" s="2956">
        <f t="shared" si="17"/>
        <v>0</v>
      </c>
      <c r="K113" s="2956">
        <f>'Phụ lục số 4'!K113</f>
        <v>0</v>
      </c>
      <c r="L113" s="2956">
        <f>'Phụ lục số 4'!L113</f>
        <v>0</v>
      </c>
      <c r="M113" s="2956">
        <f>'Phụ lục số 4'!M113</f>
        <v>0</v>
      </c>
      <c r="N113" s="2956">
        <f>'Phụ lục số 4'!N113</f>
        <v>0</v>
      </c>
      <c r="O113" s="2956">
        <f>'Phụ lục số 4'!O113</f>
        <v>0</v>
      </c>
      <c r="P113" s="2956">
        <f>'Phụ lục số 4'!P113</f>
        <v>0</v>
      </c>
      <c r="Q113" s="2956">
        <f>'Phụ lục số 4'!Q113</f>
        <v>0</v>
      </c>
      <c r="R113" s="2956">
        <f>'Phụ lục số 4'!R113</f>
        <v>0</v>
      </c>
      <c r="S113" s="2956">
        <f>'Phụ lục số 4'!S113</f>
        <v>0</v>
      </c>
      <c r="T113" s="2956">
        <f>'Phụ lục số 4'!T113</f>
        <v>0</v>
      </c>
      <c r="U113" s="2956">
        <f>'Phụ lục số 4'!U113</f>
        <v>0</v>
      </c>
      <c r="V113" s="2956">
        <f>'Phụ lục số 4'!V113</f>
        <v>0</v>
      </c>
      <c r="W113" s="2956">
        <f>'Phụ lục số 4'!W113</f>
        <v>0</v>
      </c>
      <c r="X113" s="2956">
        <f>'Phụ lục số 4'!X113</f>
        <v>0</v>
      </c>
      <c r="Y113" s="2956">
        <f>'Phụ lục số 4'!Y113</f>
        <v>0</v>
      </c>
      <c r="Z113" s="2956">
        <f>'Phụ lục số 4'!Z113</f>
        <v>0</v>
      </c>
      <c r="AA113" s="2956">
        <f>'Phụ lục số 4'!AA113</f>
        <v>0</v>
      </c>
      <c r="AB113" s="2956">
        <f t="shared" si="38"/>
        <v>0</v>
      </c>
      <c r="AC113" s="2956">
        <f>'Phụ lục số 4'!AC113</f>
        <v>0</v>
      </c>
      <c r="AD113" s="3143">
        <f>'Phụ lục số 4'!AD113</f>
        <v>0</v>
      </c>
      <c r="AE113" s="3154">
        <f>'Phụ lục số 4'!AE113</f>
        <v>0</v>
      </c>
    </row>
    <row r="114" spans="1:31" s="1319" customFormat="1" ht="69.599999999999994" hidden="1">
      <c r="A114" s="2930" t="s">
        <v>2534</v>
      </c>
      <c r="B114" s="2789" t="str">
        <f>'Phụ lục số 4'!B114</f>
        <v>CHI ĐẦU TƯ TỪ NGUỒN THU CỔ PHẦN HÓA, THOÁI VỐN DOANH NGHIỆP NHÀ NƯỚC ĐỊA PHƯƠNG QUẢN LÝ</v>
      </c>
      <c r="C114" s="2956">
        <f t="shared" si="39"/>
        <v>0</v>
      </c>
      <c r="D114" s="2956">
        <f t="shared" si="40"/>
        <v>0</v>
      </c>
      <c r="E114" s="2956">
        <f>'Phụ lục số 4'!E114</f>
        <v>0</v>
      </c>
      <c r="F114" s="2956">
        <f>'Phụ lục số 4'!F114</f>
        <v>0</v>
      </c>
      <c r="G114" s="2956">
        <f>'Phụ lục số 4'!G114</f>
        <v>0</v>
      </c>
      <c r="H114" s="2956">
        <f>'Phụ lục số 4'!H114</f>
        <v>0</v>
      </c>
      <c r="I114" s="2956">
        <f>'Phụ lục số 4'!I114</f>
        <v>0</v>
      </c>
      <c r="J114" s="2956"/>
      <c r="K114" s="2956"/>
      <c r="L114" s="2956"/>
      <c r="M114" s="2956"/>
      <c r="N114" s="2956"/>
      <c r="O114" s="2956"/>
      <c r="P114" s="2956"/>
      <c r="Q114" s="2956"/>
      <c r="R114" s="2956"/>
      <c r="S114" s="2956"/>
      <c r="T114" s="2956"/>
      <c r="U114" s="2956"/>
      <c r="V114" s="2956"/>
      <c r="W114" s="2956"/>
      <c r="X114" s="2956"/>
      <c r="Y114" s="2956"/>
      <c r="Z114" s="2956"/>
      <c r="AA114" s="2956"/>
      <c r="AB114" s="2956"/>
      <c r="AC114" s="2956">
        <f>'Phụ lục số 4'!AC114</f>
        <v>0</v>
      </c>
      <c r="AD114" s="3143"/>
      <c r="AE114" s="3154"/>
    </row>
    <row r="115" spans="1:31" s="1319" customFormat="1" ht="52.2">
      <c r="A115" s="2930" t="s">
        <v>2534</v>
      </c>
      <c r="B115" s="2789" t="str">
        <f>'Phụ lục số 4'!B115</f>
        <v>CHI ĐẦU TƯ PHÁT TRIỂN KHÁC (ỦY THÁC QUA NH CHÍNH SÁCH XÃ HỘI CHI NHÁNH TỈNH ĐỒNG THÁP)</v>
      </c>
      <c r="C115" s="2956">
        <f t="shared" si="39"/>
        <v>60000</v>
      </c>
      <c r="D115" s="2956">
        <f t="shared" si="40"/>
        <v>60000</v>
      </c>
      <c r="E115" s="2956"/>
      <c r="F115" s="2956"/>
      <c r="G115" s="2956"/>
      <c r="H115" s="2956">
        <f>'Phụ lục số 4'!H115</f>
        <v>0</v>
      </c>
      <c r="I115" s="2956">
        <f>'Phụ lục số 4'!I115</f>
        <v>60000</v>
      </c>
      <c r="J115" s="2956"/>
      <c r="K115" s="2956"/>
      <c r="L115" s="2956"/>
      <c r="M115" s="2956"/>
      <c r="N115" s="2956"/>
      <c r="O115" s="2956"/>
      <c r="P115" s="2956"/>
      <c r="Q115" s="2956"/>
      <c r="R115" s="2956"/>
      <c r="S115" s="2956"/>
      <c r="T115" s="2956"/>
      <c r="U115" s="2956"/>
      <c r="V115" s="2956"/>
      <c r="W115" s="2956"/>
      <c r="X115" s="2956"/>
      <c r="Y115" s="2956"/>
      <c r="Z115" s="2956"/>
      <c r="AA115" s="2956"/>
      <c r="AB115" s="2956"/>
      <c r="AC115" s="2956"/>
      <c r="AD115" s="3143"/>
      <c r="AE115" s="3154"/>
    </row>
    <row r="116" spans="1:31" s="1319" customFormat="1" ht="52.2">
      <c r="A116" s="2930" t="s">
        <v>9</v>
      </c>
      <c r="B116" s="2788" t="str">
        <f>'Phụ lục số 4'!B116</f>
        <v>CHI ĐẦU TƯ TỪ NGUỒN NSTW BỔ SUNG CÓ MỤC TIÊU (VỐN ĐẦU TƯ PHÁT TRIỂN)</v>
      </c>
      <c r="C116" s="2956">
        <f t="shared" si="39"/>
        <v>1814491</v>
      </c>
      <c r="D116" s="2956">
        <f t="shared" si="40"/>
        <v>0</v>
      </c>
      <c r="E116" s="2956">
        <f>'Phụ lục số 4'!E116</f>
        <v>0</v>
      </c>
      <c r="F116" s="2956">
        <f>'Phụ lục số 4'!F116</f>
        <v>0</v>
      </c>
      <c r="G116" s="2956">
        <f>'Phụ lục số 4'!G116</f>
        <v>0</v>
      </c>
      <c r="H116" s="2956">
        <f>'Phụ lục số 4'!H116</f>
        <v>0</v>
      </c>
      <c r="I116" s="2956"/>
      <c r="J116" s="2956">
        <f t="shared" si="17"/>
        <v>0</v>
      </c>
      <c r="K116" s="2956">
        <f>'Phụ lục số 4'!K116</f>
        <v>0</v>
      </c>
      <c r="L116" s="2956">
        <f>'Phụ lục số 4'!L116</f>
        <v>0</v>
      </c>
      <c r="M116" s="2956">
        <f>'Phụ lục số 4'!M116</f>
        <v>0</v>
      </c>
      <c r="N116" s="2956">
        <f>'Phụ lục số 4'!N116</f>
        <v>0</v>
      </c>
      <c r="O116" s="2956">
        <f>'Phụ lục số 4'!O116</f>
        <v>0</v>
      </c>
      <c r="P116" s="2956">
        <f>'Phụ lục số 4'!P116</f>
        <v>0</v>
      </c>
      <c r="Q116" s="2956">
        <f>'Phụ lục số 4'!Q116</f>
        <v>0</v>
      </c>
      <c r="R116" s="2956">
        <f>'Phụ lục số 4'!R116</f>
        <v>0</v>
      </c>
      <c r="S116" s="2956">
        <f>'Phụ lục số 4'!S116</f>
        <v>0</v>
      </c>
      <c r="T116" s="2956">
        <f>'Phụ lục số 4'!T116</f>
        <v>0</v>
      </c>
      <c r="U116" s="2956">
        <f>'Phụ lục số 4'!U116</f>
        <v>0</v>
      </c>
      <c r="V116" s="2956">
        <f>'Phụ lục số 4'!V116</f>
        <v>0</v>
      </c>
      <c r="W116" s="2956">
        <f>'Phụ lục số 4'!W116</f>
        <v>0</v>
      </c>
      <c r="X116" s="2956">
        <f>'Phụ lục số 4'!X116</f>
        <v>0</v>
      </c>
      <c r="Y116" s="2956">
        <f>'Phụ lục số 4'!Y116</f>
        <v>0</v>
      </c>
      <c r="Z116" s="2956">
        <f>'Phụ lục số 4'!Z116</f>
        <v>0</v>
      </c>
      <c r="AA116" s="2956">
        <f>'Phụ lục số 4'!AA116</f>
        <v>0</v>
      </c>
      <c r="AB116" s="2956">
        <f t="shared" si="38"/>
        <v>1814491</v>
      </c>
      <c r="AC116" s="2956">
        <f>'Phụ lục số 4'!AC116</f>
        <v>1814491</v>
      </c>
      <c r="AD116" s="3143">
        <f>'Phụ lục số 4'!AD116</f>
        <v>0</v>
      </c>
      <c r="AE116" s="3154">
        <f>'Phụ lục số 4'!AE116</f>
        <v>0</v>
      </c>
    </row>
    <row r="117" spans="1:31" s="1319" customFormat="1" ht="34.799999999999997">
      <c r="A117" s="2930" t="s">
        <v>2610</v>
      </c>
      <c r="B117" s="2788" t="str">
        <f>'Phụ lục số 4'!B117</f>
        <v>CHI ĐẦU TƯ TỪ NGUỒN VỐN CHÍNH PHỦ VAY VỀ CHO VAY LẠI</v>
      </c>
      <c r="C117" s="2956">
        <f t="shared" si="39"/>
        <v>0</v>
      </c>
      <c r="D117" s="2956">
        <f t="shared" si="40"/>
        <v>0</v>
      </c>
      <c r="E117" s="2956">
        <f>'Phụ lục số 4'!E117</f>
        <v>0</v>
      </c>
      <c r="F117" s="2956">
        <f>'Phụ lục số 4'!F117</f>
        <v>0</v>
      </c>
      <c r="G117" s="2956">
        <f>'Phụ lục số 4'!G117</f>
        <v>0</v>
      </c>
      <c r="H117" s="2956">
        <f>'Phụ lục số 4'!H117</f>
        <v>0</v>
      </c>
      <c r="I117" s="2956"/>
      <c r="J117" s="2956">
        <f t="shared" si="17"/>
        <v>0</v>
      </c>
      <c r="K117" s="2956">
        <f>'Phụ lục số 4'!K117</f>
        <v>0</v>
      </c>
      <c r="L117" s="2956">
        <f>'Phụ lục số 4'!L117</f>
        <v>0</v>
      </c>
      <c r="M117" s="2956">
        <f>'Phụ lục số 4'!M117</f>
        <v>0</v>
      </c>
      <c r="N117" s="2956">
        <f>'Phụ lục số 4'!N117</f>
        <v>0</v>
      </c>
      <c r="O117" s="2956">
        <f>'Phụ lục số 4'!O117</f>
        <v>0</v>
      </c>
      <c r="P117" s="2956">
        <f>'Phụ lục số 4'!P117</f>
        <v>0</v>
      </c>
      <c r="Q117" s="2956">
        <f>'Phụ lục số 4'!Q117</f>
        <v>0</v>
      </c>
      <c r="R117" s="2956">
        <f>'Phụ lục số 4'!R117</f>
        <v>0</v>
      </c>
      <c r="S117" s="2956">
        <f>'Phụ lục số 4'!S117</f>
        <v>0</v>
      </c>
      <c r="T117" s="2956">
        <f>'Phụ lục số 4'!T117</f>
        <v>0</v>
      </c>
      <c r="U117" s="2956">
        <f>'Phụ lục số 4'!U117</f>
        <v>0</v>
      </c>
      <c r="V117" s="2956">
        <f>'Phụ lục số 4'!V117</f>
        <v>0</v>
      </c>
      <c r="W117" s="2956">
        <f>'Phụ lục số 4'!W117</f>
        <v>0</v>
      </c>
      <c r="X117" s="2956">
        <f>'Phụ lục số 4'!X117</f>
        <v>0</v>
      </c>
      <c r="Y117" s="2956">
        <f>'Phụ lục số 4'!Y117</f>
        <v>0</v>
      </c>
      <c r="Z117" s="2956">
        <f>'Phụ lục số 4'!Z117</f>
        <v>0</v>
      </c>
      <c r="AA117" s="2956">
        <f>'Phụ lục số 4'!AA117</f>
        <v>0</v>
      </c>
      <c r="AB117" s="2956">
        <f t="shared" si="38"/>
        <v>0</v>
      </c>
      <c r="AC117" s="2956">
        <f>'Phụ lục số 4'!AC117</f>
        <v>0</v>
      </c>
      <c r="AD117" s="3143">
        <f>'Phụ lục số 4'!AD117</f>
        <v>0</v>
      </c>
      <c r="AE117" s="3154">
        <f>'Phụ lục số 4'!AE117</f>
        <v>0</v>
      </c>
    </row>
    <row r="118" spans="1:31" s="1319" customFormat="1" ht="35.4" thickBot="1">
      <c r="A118" s="2936" t="s">
        <v>2624</v>
      </c>
      <c r="B118" s="3145" t="str">
        <f>'Phụ lục số 4'!B118</f>
        <v>CHI BỔ SUNG CHO NGÂN SÁCH HUYỆN, THÀNH PHỐ</v>
      </c>
      <c r="C118" s="3144">
        <f>D118+J118+AB118+W118+X118+AA118+Y118+Z118+AE118</f>
        <v>5083323.3480000002</v>
      </c>
      <c r="D118" s="3144">
        <f>SUM(E118:H118)</f>
        <v>0</v>
      </c>
      <c r="E118" s="3144">
        <f>'Phụ lục số 4'!E118</f>
        <v>0</v>
      </c>
      <c r="F118" s="3144">
        <f>'Phụ lục số 4'!F118</f>
        <v>0</v>
      </c>
      <c r="G118" s="3144">
        <f>'Phụ lục số 4'!G118</f>
        <v>0</v>
      </c>
      <c r="H118" s="3144">
        <f>'Phụ lục số 4'!H118</f>
        <v>0</v>
      </c>
      <c r="I118" s="3144"/>
      <c r="J118" s="3144">
        <f t="shared" si="17"/>
        <v>0</v>
      </c>
      <c r="K118" s="3144">
        <f>'Phụ lục số 4'!K118</f>
        <v>0</v>
      </c>
      <c r="L118" s="3144">
        <f>'Phụ lục số 4'!L118</f>
        <v>0</v>
      </c>
      <c r="M118" s="3144">
        <f>'Phụ lục số 4'!M118</f>
        <v>0</v>
      </c>
      <c r="N118" s="3144">
        <f>'Phụ lục số 4'!N118</f>
        <v>0</v>
      </c>
      <c r="O118" s="3144">
        <f>'Phụ lục số 4'!O118</f>
        <v>0</v>
      </c>
      <c r="P118" s="3144">
        <f>'Phụ lục số 4'!P118</f>
        <v>0</v>
      </c>
      <c r="Q118" s="3144">
        <f>'Phụ lục số 4'!Q118</f>
        <v>0</v>
      </c>
      <c r="R118" s="3144">
        <f>'Phụ lục số 4'!R118</f>
        <v>0</v>
      </c>
      <c r="S118" s="3144">
        <f>'Phụ lục số 4'!S118</f>
        <v>0</v>
      </c>
      <c r="T118" s="3144">
        <f>'Phụ lục số 4'!T118</f>
        <v>0</v>
      </c>
      <c r="U118" s="3144">
        <f>'Phụ lục số 4'!U118</f>
        <v>0</v>
      </c>
      <c r="V118" s="3144">
        <f>'Phụ lục số 4'!V118</f>
        <v>0</v>
      </c>
      <c r="W118" s="3144">
        <f>'Phụ lục số 4'!W118</f>
        <v>0</v>
      </c>
      <c r="X118" s="3144">
        <f>'Phụ lục số 4'!X118</f>
        <v>0</v>
      </c>
      <c r="Y118" s="3144">
        <f>'Phụ lục số 4'!Y118</f>
        <v>0</v>
      </c>
      <c r="Z118" s="3144">
        <f>'Phụ lục số 4'!Z118</f>
        <v>0</v>
      </c>
      <c r="AA118" s="3144">
        <f>'Phụ lục số 4'!AA118</f>
        <v>0</v>
      </c>
      <c r="AB118" s="3144">
        <f t="shared" si="38"/>
        <v>0</v>
      </c>
      <c r="AC118" s="3144">
        <f>'Phụ lục số 4'!AC118</f>
        <v>0</v>
      </c>
      <c r="AD118" s="3146">
        <f>'Phụ lục số 4'!AD118</f>
        <v>0</v>
      </c>
      <c r="AE118" s="3155">
        <f>'Phụ lục số 4'!AE118</f>
        <v>5083323.3480000002</v>
      </c>
    </row>
    <row r="119" spans="1:31" ht="18.600000000000001" thickTop="1"/>
  </sheetData>
  <mergeCells count="20">
    <mergeCell ref="AB4:AE4"/>
    <mergeCell ref="A1:AE1"/>
    <mergeCell ref="A2:AE2"/>
    <mergeCell ref="A5:A8"/>
    <mergeCell ref="B5:B8"/>
    <mergeCell ref="C5:AD5"/>
    <mergeCell ref="AE5:AE8"/>
    <mergeCell ref="C6:C8"/>
    <mergeCell ref="J6:V6"/>
    <mergeCell ref="W6:W8"/>
    <mergeCell ref="X6:X8"/>
    <mergeCell ref="AB6:AB8"/>
    <mergeCell ref="D6:I6"/>
    <mergeCell ref="E7:I7"/>
    <mergeCell ref="AC6:AD7"/>
    <mergeCell ref="D7:D8"/>
    <mergeCell ref="Z6:Z8"/>
    <mergeCell ref="AA6:AA8"/>
    <mergeCell ref="J7:J8"/>
    <mergeCell ref="K7:V7"/>
  </mergeCells>
  <hyperlinks>
    <hyperlink ref="A5:A8" location="'List danh mục'!A1" display="Số TT"/>
  </hyperlinks>
  <printOptions horizontalCentered="1"/>
  <pageMargins left="0" right="0" top="0.39370078740157483" bottom="0" header="0" footer="0"/>
  <pageSetup paperSize="9" scale="50" orientation="landscape" r:id="rId1"/>
  <headerFooter>
    <oddHeader>&amp;R&amp;A</oddHeader>
    <oddFooter>&amp;C&amp;P/&amp;N</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39"/>
  <sheetViews>
    <sheetView topLeftCell="A7" workbookViewId="0">
      <selection activeCell="I13" sqref="I13"/>
    </sheetView>
  </sheetViews>
  <sheetFormatPr defaultRowHeight="15.6"/>
  <cols>
    <col min="1" max="1" width="4.5" style="261" bestFit="1" customWidth="1"/>
    <col min="2" max="3" width="19.19921875" customWidth="1"/>
    <col min="4" max="4" width="14.59765625" customWidth="1"/>
    <col min="5" max="5" width="15.09765625" customWidth="1"/>
    <col min="6" max="6" width="16.8984375" customWidth="1"/>
    <col min="7" max="9" width="19" customWidth="1"/>
    <col min="10" max="10" width="28.5" customWidth="1"/>
  </cols>
  <sheetData>
    <row r="1" spans="1:10">
      <c r="A1" s="4333" t="s">
        <v>394</v>
      </c>
      <c r="B1" s="4333"/>
      <c r="C1" s="4333"/>
      <c r="D1" s="4333"/>
      <c r="E1" s="4333"/>
      <c r="F1" s="4333"/>
      <c r="G1" s="4333"/>
      <c r="H1" s="4333"/>
      <c r="I1" s="4333"/>
      <c r="J1" s="4333"/>
    </row>
    <row r="3" spans="1:10">
      <c r="J3" s="247" t="s">
        <v>224</v>
      </c>
    </row>
    <row r="4" spans="1:10" s="256" customFormat="1" ht="15.6" customHeight="1">
      <c r="A4" s="4229" t="s">
        <v>244</v>
      </c>
      <c r="B4" s="4423" t="s">
        <v>405</v>
      </c>
      <c r="C4" s="4694" t="s">
        <v>309</v>
      </c>
      <c r="D4" s="4753"/>
      <c r="E4" s="4753"/>
      <c r="F4" s="4753"/>
      <c r="G4" s="4753"/>
      <c r="H4" s="4753"/>
      <c r="I4" s="4695"/>
      <c r="J4" s="4423" t="s">
        <v>395</v>
      </c>
    </row>
    <row r="5" spans="1:10" s="256" customFormat="1" ht="31.95" customHeight="1">
      <c r="A5" s="4206"/>
      <c r="B5" s="4698"/>
      <c r="C5" s="4334" t="s">
        <v>417</v>
      </c>
      <c r="D5" s="4334" t="s">
        <v>396</v>
      </c>
      <c r="E5" s="4334" t="s">
        <v>397</v>
      </c>
      <c r="F5" s="4334" t="s">
        <v>398</v>
      </c>
      <c r="G5" s="4334"/>
      <c r="H5" s="4334" t="s">
        <v>398</v>
      </c>
      <c r="I5" s="4334"/>
      <c r="J5" s="4698"/>
    </row>
    <row r="6" spans="1:10" s="256" customFormat="1" ht="62.4">
      <c r="A6" s="4207"/>
      <c r="B6" s="4230"/>
      <c r="C6" s="4334"/>
      <c r="D6" s="4334"/>
      <c r="E6" s="4334"/>
      <c r="F6" s="249" t="s">
        <v>399</v>
      </c>
      <c r="G6" s="249" t="s">
        <v>398</v>
      </c>
      <c r="H6" s="249" t="s">
        <v>2588</v>
      </c>
      <c r="I6" s="249" t="s">
        <v>2589</v>
      </c>
      <c r="J6" s="4230"/>
    </row>
    <row r="7" spans="1:10" s="256" customFormat="1">
      <c r="A7" s="257">
        <v>1</v>
      </c>
      <c r="B7" s="257">
        <v>2</v>
      </c>
      <c r="C7" s="257"/>
      <c r="D7" s="257" t="s">
        <v>400</v>
      </c>
      <c r="E7" s="257">
        <v>4</v>
      </c>
      <c r="F7" s="257">
        <v>5</v>
      </c>
      <c r="G7" s="257" t="s">
        <v>401</v>
      </c>
      <c r="H7" s="257"/>
      <c r="I7" s="257"/>
      <c r="J7" s="257">
        <v>7</v>
      </c>
    </row>
    <row r="8" spans="1:10" s="270" customFormat="1" ht="29.4" customHeight="1">
      <c r="A8" s="266">
        <v>1</v>
      </c>
      <c r="B8" s="267" t="s">
        <v>406</v>
      </c>
      <c r="C8" s="2828">
        <f>I8</f>
        <v>0</v>
      </c>
      <c r="D8" s="268">
        <f>E8+G8</f>
        <v>8796</v>
      </c>
      <c r="E8" s="268">
        <v>8396</v>
      </c>
      <c r="F8" s="268">
        <v>4000</v>
      </c>
      <c r="G8" s="268">
        <f>INT(F8*10%)</f>
        <v>400</v>
      </c>
      <c r="H8" s="268">
        <f>IF('Phụ lục 6.1 Chi'!P63&lt;0,0,'Phụ lục 6.1 Chi'!P63)</f>
        <v>0</v>
      </c>
      <c r="I8" s="273">
        <f>(H8*10%)</f>
        <v>0</v>
      </c>
      <c r="J8" s="269"/>
    </row>
    <row r="9" spans="1:10" s="270" customFormat="1" ht="29.4" customHeight="1">
      <c r="A9" s="271">
        <v>2</v>
      </c>
      <c r="B9" s="272" t="s">
        <v>290</v>
      </c>
      <c r="C9" s="2829">
        <f>I9</f>
        <v>60.054508638145698</v>
      </c>
      <c r="D9" s="273">
        <f t="shared" ref="D9:D19" si="0">E9+G9</f>
        <v>6409</v>
      </c>
      <c r="E9" s="273">
        <v>6009</v>
      </c>
      <c r="F9" s="273">
        <v>4000</v>
      </c>
      <c r="G9" s="273">
        <f t="shared" ref="G9:G19" si="1">INT(F9*10%)</f>
        <v>400</v>
      </c>
      <c r="H9" s="2841">
        <f>'Phụ lục 6.1 Chi'!V43</f>
        <v>600.54508638145694</v>
      </c>
      <c r="I9" s="527">
        <f>(H9*10%)</f>
        <v>60.054508638145698</v>
      </c>
      <c r="J9" s="274"/>
    </row>
    <row r="10" spans="1:10" s="270" customFormat="1" ht="29.4" customHeight="1">
      <c r="A10" s="271">
        <v>3</v>
      </c>
      <c r="B10" s="272" t="s">
        <v>407</v>
      </c>
      <c r="C10" s="2829">
        <f t="shared" ref="C10:C19" si="2">I10</f>
        <v>575.8259883746822</v>
      </c>
      <c r="D10" s="273">
        <f>E10+G10</f>
        <v>8511</v>
      </c>
      <c r="E10" s="273">
        <v>7811</v>
      </c>
      <c r="F10" s="273">
        <v>7000</v>
      </c>
      <c r="G10" s="273">
        <f>INT(F10*10%)</f>
        <v>700</v>
      </c>
      <c r="H10" s="2841">
        <f>'Phụ lục 6.1 Chi'!AD43</f>
        <v>5758.2598837468213</v>
      </c>
      <c r="I10" s="273">
        <f t="shared" ref="I10:I19" si="3">(H10*10%)</f>
        <v>575.8259883746822</v>
      </c>
      <c r="J10" s="274"/>
    </row>
    <row r="11" spans="1:10" s="270" customFormat="1" ht="29.4" customHeight="1">
      <c r="A11" s="271">
        <v>4</v>
      </c>
      <c r="B11" s="272" t="s">
        <v>408</v>
      </c>
      <c r="C11" s="2829">
        <f t="shared" si="2"/>
        <v>273.22123367437069</v>
      </c>
      <c r="D11" s="273">
        <f t="shared" si="0"/>
        <v>9169</v>
      </c>
      <c r="E11" s="273">
        <v>8369</v>
      </c>
      <c r="F11" s="273">
        <v>8000</v>
      </c>
      <c r="G11" s="273">
        <f t="shared" si="1"/>
        <v>800</v>
      </c>
      <c r="H11" s="2841">
        <f>'Phụ lục 6.1 Chi'!AL43</f>
        <v>2732.2123367437066</v>
      </c>
      <c r="I11" s="273">
        <f t="shared" si="3"/>
        <v>273.22123367437069</v>
      </c>
      <c r="J11" s="274"/>
    </row>
    <row r="12" spans="1:10" s="270" customFormat="1" ht="29.4" customHeight="1">
      <c r="A12" s="271">
        <v>5</v>
      </c>
      <c r="B12" s="272" t="s">
        <v>409</v>
      </c>
      <c r="C12" s="2829">
        <f t="shared" si="2"/>
        <v>2544.9044324105798</v>
      </c>
      <c r="D12" s="273">
        <f t="shared" si="0"/>
        <v>10215</v>
      </c>
      <c r="E12" s="273">
        <v>9615</v>
      </c>
      <c r="F12" s="273">
        <v>6000</v>
      </c>
      <c r="G12" s="273">
        <f t="shared" si="1"/>
        <v>600</v>
      </c>
      <c r="H12" s="2841">
        <f>'Phụ lục 6.1 Chi'!AT43</f>
        <v>25449.044324105798</v>
      </c>
      <c r="I12" s="273">
        <f t="shared" si="3"/>
        <v>2544.9044324105798</v>
      </c>
      <c r="J12" s="274"/>
    </row>
    <row r="13" spans="1:10" s="270" customFormat="1" ht="29.4" customHeight="1">
      <c r="A13" s="271">
        <v>6</v>
      </c>
      <c r="B13" s="272" t="s">
        <v>410</v>
      </c>
      <c r="C13" s="2829">
        <f t="shared" si="2"/>
        <v>12198.344142151807</v>
      </c>
      <c r="D13" s="273">
        <f t="shared" si="0"/>
        <v>12804</v>
      </c>
      <c r="E13" s="273">
        <v>12104</v>
      </c>
      <c r="F13" s="273">
        <v>7000</v>
      </c>
      <c r="G13" s="273">
        <f t="shared" si="1"/>
        <v>700</v>
      </c>
      <c r="H13" s="2841">
        <f>'Phụ lục 6.1 Chi'!BB43</f>
        <v>121983.44142151806</v>
      </c>
      <c r="I13" s="273">
        <f t="shared" si="3"/>
        <v>12198.344142151807</v>
      </c>
      <c r="J13" s="274"/>
    </row>
    <row r="14" spans="1:10" s="270" customFormat="1" ht="29.4" customHeight="1">
      <c r="A14" s="271">
        <v>7</v>
      </c>
      <c r="B14" s="272" t="s">
        <v>411</v>
      </c>
      <c r="C14" s="2829">
        <f t="shared" si="2"/>
        <v>1717.5070488188319</v>
      </c>
      <c r="D14" s="273">
        <f t="shared" si="0"/>
        <v>13710</v>
      </c>
      <c r="E14" s="273">
        <v>12910</v>
      </c>
      <c r="F14" s="273">
        <v>8000</v>
      </c>
      <c r="G14" s="273">
        <f t="shared" si="1"/>
        <v>800</v>
      </c>
      <c r="H14" s="2841">
        <f>'Phụ lục 6.1 Chi'!BJ43</f>
        <v>17175.070488188318</v>
      </c>
      <c r="I14" s="273">
        <f t="shared" si="3"/>
        <v>1717.5070488188319</v>
      </c>
      <c r="J14" s="274"/>
    </row>
    <row r="15" spans="1:10" s="270" customFormat="1" ht="29.4" customHeight="1">
      <c r="A15" s="271">
        <v>8</v>
      </c>
      <c r="B15" s="272" t="s">
        <v>412</v>
      </c>
      <c r="C15" s="2829">
        <f t="shared" si="2"/>
        <v>738.63338839258017</v>
      </c>
      <c r="D15" s="273">
        <f t="shared" si="0"/>
        <v>11468</v>
      </c>
      <c r="E15" s="273">
        <v>10768</v>
      </c>
      <c r="F15" s="273">
        <v>7000</v>
      </c>
      <c r="G15" s="273">
        <f t="shared" si="1"/>
        <v>700</v>
      </c>
      <c r="H15" s="2841">
        <f>'Phụ lục 6.1 Chi'!BR43</f>
        <v>7386.3338839258013</v>
      </c>
      <c r="I15" s="273">
        <f t="shared" si="3"/>
        <v>738.63338839258017</v>
      </c>
      <c r="J15" s="274"/>
    </row>
    <row r="16" spans="1:10" s="270" customFormat="1" ht="29.4" customHeight="1">
      <c r="A16" s="271">
        <v>9</v>
      </c>
      <c r="B16" s="272" t="s">
        <v>413</v>
      </c>
      <c r="C16" s="2829">
        <f t="shared" si="2"/>
        <v>1996.937547413263</v>
      </c>
      <c r="D16" s="273">
        <f t="shared" si="0"/>
        <v>11760</v>
      </c>
      <c r="E16" s="273">
        <v>11060</v>
      </c>
      <c r="F16" s="273">
        <v>7000</v>
      </c>
      <c r="G16" s="273">
        <f t="shared" si="1"/>
        <v>700</v>
      </c>
      <c r="H16" s="2841">
        <f>'Phụ lục 6.1 Chi'!BZ43</f>
        <v>19969.37547413263</v>
      </c>
      <c r="I16" s="273">
        <f t="shared" si="3"/>
        <v>1996.937547413263</v>
      </c>
      <c r="J16" s="274"/>
    </row>
    <row r="17" spans="1:10" s="270" customFormat="1" ht="29.4" customHeight="1">
      <c r="A17" s="271">
        <v>10</v>
      </c>
      <c r="B17" s="272" t="s">
        <v>414</v>
      </c>
      <c r="C17" s="2829">
        <f t="shared" si="2"/>
        <v>2.5509571213825667E-2</v>
      </c>
      <c r="D17" s="273">
        <f t="shared" si="0"/>
        <v>10274</v>
      </c>
      <c r="E17" s="273">
        <v>9574</v>
      </c>
      <c r="F17" s="273">
        <v>7000</v>
      </c>
      <c r="G17" s="273">
        <f t="shared" si="1"/>
        <v>700</v>
      </c>
      <c r="H17" s="2841">
        <f>'Phụ lục 6.1 Chi'!CH43</f>
        <v>0.25509571213825666</v>
      </c>
      <c r="I17" s="273">
        <f t="shared" si="3"/>
        <v>2.5509571213825667E-2</v>
      </c>
      <c r="J17" s="274"/>
    </row>
    <row r="18" spans="1:10" s="270" customFormat="1" ht="29.4" customHeight="1">
      <c r="A18" s="271">
        <v>11</v>
      </c>
      <c r="B18" s="272" t="s">
        <v>415</v>
      </c>
      <c r="C18" s="2829">
        <f t="shared" si="2"/>
        <v>3464.8364037845445</v>
      </c>
      <c r="D18" s="273">
        <f>E18+G18</f>
        <v>11336</v>
      </c>
      <c r="E18" s="273">
        <v>10936</v>
      </c>
      <c r="F18" s="273">
        <v>4000</v>
      </c>
      <c r="G18" s="273">
        <f t="shared" si="1"/>
        <v>400</v>
      </c>
      <c r="H18" s="2841">
        <f>'Phụ lục 6.1 Chi'!CP43</f>
        <v>34648.364037845444</v>
      </c>
      <c r="I18" s="273">
        <f t="shared" si="3"/>
        <v>3464.8364037845445</v>
      </c>
      <c r="J18" s="274"/>
    </row>
    <row r="19" spans="1:10" s="270" customFormat="1" ht="29.4" customHeight="1">
      <c r="A19" s="271">
        <v>12</v>
      </c>
      <c r="B19" s="272" t="s">
        <v>416</v>
      </c>
      <c r="C19" s="2829">
        <f t="shared" si="2"/>
        <v>1729.7333069020206</v>
      </c>
      <c r="D19" s="273">
        <f t="shared" si="0"/>
        <v>9763</v>
      </c>
      <c r="E19" s="273">
        <v>9163</v>
      </c>
      <c r="F19" s="273">
        <v>6000</v>
      </c>
      <c r="G19" s="273">
        <f t="shared" si="1"/>
        <v>600</v>
      </c>
      <c r="H19" s="2841">
        <f>'Phụ lục 6.1 Chi'!CX43</f>
        <v>17297.333069020206</v>
      </c>
      <c r="I19" s="273">
        <f t="shared" si="3"/>
        <v>1729.7333069020206</v>
      </c>
      <c r="J19" s="274"/>
    </row>
    <row r="20" spans="1:10" s="270" customFormat="1" ht="29.4" customHeight="1">
      <c r="A20" s="271" t="s">
        <v>9</v>
      </c>
      <c r="B20" s="263" t="s">
        <v>403</v>
      </c>
      <c r="C20" s="275">
        <f>SUM(C8:C19)</f>
        <v>25300.02351013204</v>
      </c>
      <c r="D20" s="275">
        <f>SUM(D8:D19)</f>
        <v>124215</v>
      </c>
      <c r="E20" s="275">
        <f>SUM(E8:E19)</f>
        <v>116715</v>
      </c>
      <c r="F20" s="275">
        <f>SUM(F8:F19)</f>
        <v>75000</v>
      </c>
      <c r="G20" s="275">
        <f t="shared" ref="G20:H20" si="4">SUM(G8:G19)</f>
        <v>7500</v>
      </c>
      <c r="H20" s="275">
        <f t="shared" si="4"/>
        <v>253000.2351013204</v>
      </c>
      <c r="I20" s="275">
        <f>SUM(I8:I19)</f>
        <v>25300.02351013204</v>
      </c>
      <c r="J20" s="276"/>
    </row>
    <row r="21" spans="1:10" s="270" customFormat="1" ht="29.4" customHeight="1">
      <c r="A21" s="271" t="s">
        <v>20</v>
      </c>
      <c r="B21" s="277" t="s">
        <v>402</v>
      </c>
      <c r="C21" s="277"/>
      <c r="D21" s="277"/>
      <c r="E21" s="277"/>
      <c r="F21" s="277"/>
      <c r="G21" s="277"/>
      <c r="H21" s="277"/>
      <c r="I21" s="277"/>
      <c r="J21" s="277"/>
    </row>
    <row r="22" spans="1:10" s="270" customFormat="1" ht="29.4" customHeight="1">
      <c r="A22" s="278" t="s">
        <v>49</v>
      </c>
      <c r="B22" s="279" t="s">
        <v>404</v>
      </c>
      <c r="C22" s="279"/>
      <c r="D22" s="280"/>
      <c r="E22" s="280"/>
      <c r="F22" s="280"/>
      <c r="G22" s="281"/>
      <c r="H22" s="281"/>
      <c r="I22" s="281"/>
      <c r="J22" s="280"/>
    </row>
    <row r="23" spans="1:10" s="264" customFormat="1" ht="29.4" customHeight="1">
      <c r="A23" s="249" t="s">
        <v>50</v>
      </c>
      <c r="B23" s="265" t="s">
        <v>418</v>
      </c>
      <c r="C23" s="265"/>
      <c r="D23" s="265"/>
      <c r="E23" s="265"/>
      <c r="F23" s="265"/>
      <c r="G23" s="265"/>
      <c r="H23" s="265"/>
      <c r="I23" s="265"/>
      <c r="J23" s="265"/>
    </row>
    <row r="24" spans="1:10" s="270" customFormat="1" ht="29.4" customHeight="1">
      <c r="A24" s="249" t="s">
        <v>72</v>
      </c>
      <c r="B24" s="262" t="s">
        <v>419</v>
      </c>
      <c r="C24" s="283">
        <f>C22-C23</f>
        <v>0</v>
      </c>
      <c r="D24" s="282"/>
      <c r="E24" s="282"/>
      <c r="F24" s="282"/>
      <c r="G24" s="282"/>
      <c r="H24" s="282"/>
      <c r="I24" s="282"/>
      <c r="J24" s="282"/>
    </row>
    <row r="32" spans="1:10">
      <c r="D32">
        <v>167395</v>
      </c>
      <c r="G32">
        <v>103205</v>
      </c>
      <c r="J32">
        <v>132508</v>
      </c>
    </row>
    <row r="33" spans="4:10">
      <c r="D33" s="258">
        <f>+D32-D20</f>
        <v>43180</v>
      </c>
      <c r="J33">
        <f>J32-G32</f>
        <v>29303</v>
      </c>
    </row>
    <row r="34" spans="4:10">
      <c r="J34">
        <v>160</v>
      </c>
    </row>
    <row r="35" spans="4:10">
      <c r="D35" s="259">
        <v>9045866</v>
      </c>
      <c r="J35">
        <v>60</v>
      </c>
    </row>
    <row r="36" spans="4:10">
      <c r="D36" s="259">
        <v>9402554</v>
      </c>
      <c r="J36">
        <f>+J34*J35</f>
        <v>9600</v>
      </c>
    </row>
    <row r="37" spans="4:10">
      <c r="D37" s="260">
        <f>+D36-D35</f>
        <v>356688</v>
      </c>
      <c r="J37">
        <f>9000/J34</f>
        <v>56.25</v>
      </c>
    </row>
    <row r="38" spans="4:10">
      <c r="D38" s="259">
        <f>+D37*10%</f>
        <v>35668.800000000003</v>
      </c>
    </row>
    <row r="39" spans="4:10">
      <c r="D39" s="260">
        <f>+D38+D32</f>
        <v>203063.8</v>
      </c>
    </row>
  </sheetData>
  <mergeCells count="10">
    <mergeCell ref="C5:C6"/>
    <mergeCell ref="A1:J1"/>
    <mergeCell ref="A4:A6"/>
    <mergeCell ref="B4:B6"/>
    <mergeCell ref="J4:J6"/>
    <mergeCell ref="D5:D6"/>
    <mergeCell ref="E5:E6"/>
    <mergeCell ref="F5:G5"/>
    <mergeCell ref="H5:I5"/>
    <mergeCell ref="C4:I4"/>
  </mergeCells>
  <hyperlinks>
    <hyperlink ref="A4:A6" location="'List danh mục'!A1" display="STT"/>
  </hyperlinks>
  <pageMargins left="0.7" right="0.7" top="0.75" bottom="0.75" header="0.3" footer="0.3"/>
  <pageSetup paperSize="9" orientation="portrait" verticalDpi="0" r:id="rId1"/>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132"/>
  <sheetViews>
    <sheetView topLeftCell="A223" workbookViewId="0">
      <selection activeCell="C235" sqref="C235"/>
    </sheetView>
  </sheetViews>
  <sheetFormatPr defaultColWidth="8.69921875" defaultRowHeight="18"/>
  <cols>
    <col min="1" max="1" width="5.69921875" style="37" customWidth="1"/>
    <col min="2" max="2" width="97.69921875" style="37" customWidth="1"/>
    <col min="3" max="3" width="25.69921875" style="37" customWidth="1"/>
    <col min="4" max="16384" width="8.69921875" style="37"/>
  </cols>
  <sheetData>
    <row r="1" spans="1:3">
      <c r="A1" s="4299" t="s">
        <v>2549</v>
      </c>
      <c r="B1" s="4299"/>
      <c r="C1" s="4299"/>
    </row>
    <row r="2" spans="1:3">
      <c r="A2" s="4299" t="s">
        <v>2491</v>
      </c>
      <c r="B2" s="4299"/>
      <c r="C2" s="4299"/>
    </row>
    <row r="3" spans="1:3">
      <c r="A3" s="4299" t="s">
        <v>2490</v>
      </c>
      <c r="B3" s="4299"/>
      <c r="C3" s="4299"/>
    </row>
    <row r="4" spans="1:3" ht="15.6" customHeight="1">
      <c r="A4" s="4627" t="s">
        <v>2518</v>
      </c>
      <c r="B4" s="4627"/>
      <c r="C4" s="4627"/>
    </row>
    <row r="5" spans="1:3">
      <c r="A5" s="2578"/>
      <c r="B5" s="2578"/>
    </row>
    <row r="6" spans="1:3" ht="18.600000000000001" thickBot="1">
      <c r="A6" s="2578"/>
      <c r="B6" s="2578"/>
      <c r="C6" s="2670" t="s">
        <v>64</v>
      </c>
    </row>
    <row r="7" spans="1:3" s="1319" customFormat="1" ht="30" customHeight="1">
      <c r="A7" s="2145" t="s">
        <v>244</v>
      </c>
      <c r="B7" s="2669" t="s">
        <v>791</v>
      </c>
      <c r="C7" s="2668" t="s">
        <v>1700</v>
      </c>
    </row>
    <row r="8" spans="1:3" ht="19.2" customHeight="1">
      <c r="A8" s="2672" t="s">
        <v>9</v>
      </c>
      <c r="B8" s="2268" t="s">
        <v>263</v>
      </c>
      <c r="C8" s="2682">
        <f>C10+C16+C19+C20+C21+C22+C26+C29+C32+C36</f>
        <v>4836300</v>
      </c>
    </row>
    <row r="9" spans="1:3" ht="19.2" customHeight="1">
      <c r="A9" s="2683"/>
      <c r="B9" s="2518" t="s">
        <v>264</v>
      </c>
      <c r="C9" s="2684">
        <f>C8-C29</f>
        <v>3066300</v>
      </c>
    </row>
    <row r="10" spans="1:3" ht="19.2" customHeight="1">
      <c r="A10" s="2673">
        <v>1</v>
      </c>
      <c r="B10" s="1399" t="s">
        <v>352</v>
      </c>
      <c r="C10" s="2685">
        <f>SUM(C11:C15)</f>
        <v>1701000</v>
      </c>
    </row>
    <row r="11" spans="1:3" ht="19.2" customHeight="1">
      <c r="A11" s="2674" t="s">
        <v>137</v>
      </c>
      <c r="B11" s="16" t="s">
        <v>266</v>
      </c>
      <c r="C11" s="2686">
        <f>'H. HỒNG NGỰ'!C11+'TP. HỒNG NGỰ'!C11+'H. TÂN HỒNG'!C11+'H. TAM NÔNG'!C11+'H. THANH BÌNH'!C11+'TP. CAO LÃNH'!C11+'H. CAO LÃNH'!C11+'H. THÁP MƯỜI'!C11+'H. LẤP VÒ'!C11+'H. LAI VUNG'!C11+'TP. SA ĐÉC'!C11+'H. CHÂU THÀNH'!C11</f>
        <v>724290</v>
      </c>
    </row>
    <row r="12" spans="1:3" ht="19.2" customHeight="1">
      <c r="A12" s="2674" t="s">
        <v>137</v>
      </c>
      <c r="B12" s="16" t="s">
        <v>267</v>
      </c>
      <c r="C12" s="2686">
        <f>'H. HỒNG NGỰ'!C12+'TP. HỒNG NGỰ'!C12+'H. TÂN HỒNG'!C12+'H. TAM NÔNG'!C12+'H. THANH BÌNH'!C12+'TP. CAO LÃNH'!C12+'H. CAO LÃNH'!C12+'H. THÁP MƯỜI'!C12+'H. LẤP VÒ'!C12+'H. LAI VUNG'!C12+'TP. SA ĐÉC'!C12+'H. CHÂU THÀNH'!C12</f>
        <v>905790</v>
      </c>
    </row>
    <row r="13" spans="1:3" ht="19.2" customHeight="1">
      <c r="A13" s="2674" t="s">
        <v>137</v>
      </c>
      <c r="B13" s="16" t="s">
        <v>268</v>
      </c>
      <c r="C13" s="2686">
        <f>'H. HỒNG NGỰ'!C13+'TP. HỒNG NGỰ'!C13+'H. TÂN HỒNG'!C13+'H. TAM NÔNG'!C13+'H. THANH BÌNH'!C13+'TP. CAO LÃNH'!C13+'H. CAO LÃNH'!C13+'H. THÁP MƯỜI'!C13+'H. LẤP VÒ'!C13+'H. LAI VUNG'!C13+'TP. SA ĐÉC'!C13+'H. CHÂU THÀNH'!C13</f>
        <v>63450</v>
      </c>
    </row>
    <row r="14" spans="1:3" ht="19.2" customHeight="1">
      <c r="A14" s="2674" t="s">
        <v>137</v>
      </c>
      <c r="B14" s="16" t="s">
        <v>14</v>
      </c>
      <c r="C14" s="2686">
        <f>'H. HỒNG NGỰ'!C14+'TP. HỒNG NGỰ'!C14+'H. TÂN HỒNG'!C14+'H. TAM NÔNG'!C14+'H. THANH BÌNH'!C14+'TP. CAO LÃNH'!C14+'H. CAO LÃNH'!C14+'H. THÁP MƯỜI'!C14+'H. LẤP VÒ'!C14+'H. LAI VUNG'!C14+'TP. SA ĐÉC'!C14+'H. CHÂU THÀNH'!C14</f>
        <v>5970</v>
      </c>
    </row>
    <row r="15" spans="1:3" ht="19.2" customHeight="1">
      <c r="A15" s="2674" t="s">
        <v>137</v>
      </c>
      <c r="B15" s="16" t="s">
        <v>269</v>
      </c>
      <c r="C15" s="2686">
        <f>'H. HỒNG NGỰ'!C15+'TP. HỒNG NGỰ'!C15+'H. TÂN HỒNG'!C15+'H. TAM NÔNG'!C15+'H. THANH BÌNH'!C15+'TP. CAO LÃNH'!C15+'H. CAO LÃNH'!C15+'H. THÁP MƯỜI'!C15+'H. LẤP VÒ'!C15+'H. LAI VUNG'!C15+'TP. SA ĐÉC'!C15+'H. CHÂU THÀNH'!C15</f>
        <v>1500</v>
      </c>
    </row>
    <row r="16" spans="1:3" ht="19.2" customHeight="1">
      <c r="A16" s="2673">
        <v>2</v>
      </c>
      <c r="B16" s="1399" t="s">
        <v>97</v>
      </c>
      <c r="C16" s="2685">
        <f>SUM(C17:C18)</f>
        <v>322000</v>
      </c>
    </row>
    <row r="17" spans="1:5" ht="19.2" hidden="1" customHeight="1">
      <c r="A17" s="2675" t="s">
        <v>137</v>
      </c>
      <c r="B17" s="137" t="s">
        <v>276</v>
      </c>
      <c r="C17" s="2686">
        <f>'H. HỒNG NGỰ'!C17+'TP. HỒNG NGỰ'!C17+'H. TÂN HỒNG'!C17+'H. TAM NÔNG'!C17+'H. THANH BÌNH'!C17+'TP. CAO LÃNH'!C17+'H. CAO LÃNH'!C17+'H. THÁP MƯỜI'!C17+'H. LẤP VÒ'!C17+'H. LAI VUNG'!C17+'TP. SA ĐÉC'!C17+'H. CHÂU THÀNH'!C17</f>
        <v>0</v>
      </c>
    </row>
    <row r="18" spans="1:5" ht="19.2" hidden="1" customHeight="1">
      <c r="A18" s="2676" t="s">
        <v>137</v>
      </c>
      <c r="B18" s="2274" t="s">
        <v>277</v>
      </c>
      <c r="C18" s="2686">
        <f>'H. HỒNG NGỰ'!C18+'TP. HỒNG NGỰ'!C18+'H. TÂN HỒNG'!C18+'H. TAM NÔNG'!C18+'H. THANH BÌNH'!C18+'TP. CAO LÃNH'!C18+'H. CAO LÃNH'!C18+'H. THÁP MƯỜI'!C18+'H. LẤP VÒ'!C18+'H. LAI VUNG'!C18+'TP. SA ĐÉC'!C18+'H. CHÂU THÀNH'!C18</f>
        <v>322000</v>
      </c>
    </row>
    <row r="19" spans="1:5" s="48" customFormat="1" ht="19.2" customHeight="1">
      <c r="A19" s="2673">
        <v>3</v>
      </c>
      <c r="B19" s="1399" t="s">
        <v>16</v>
      </c>
      <c r="C19" s="2685">
        <f>'H. HỒNG NGỰ'!C19+'TP. HỒNG NGỰ'!C19+'H. TÂN HỒNG'!C19+'H. TAM NÔNG'!C19+'H. THANH BÌNH'!C19+'TP. CAO LÃNH'!C19+'H. CAO LÃNH'!C19+'H. THÁP MƯỜI'!C19+'H. LẤP VÒ'!C19+'H. LAI VUNG'!C19+'TP. SA ĐÉC'!C19+'H. CHÂU THÀNH'!C19</f>
        <v>350000</v>
      </c>
    </row>
    <row r="20" spans="1:5" s="48" customFormat="1" ht="19.2" customHeight="1">
      <c r="A20" s="2673">
        <v>4</v>
      </c>
      <c r="B20" s="1399" t="s">
        <v>270</v>
      </c>
      <c r="C20" s="2685">
        <f>'H. HỒNG NGỰ'!C20+'TP. HỒNG NGỰ'!C20+'H. TÂN HỒNG'!C20+'H. TAM NÔNG'!C20+'H. THANH BÌNH'!C20+'TP. CAO LÃNH'!C20+'H. CAO LÃNH'!C20+'H. THÁP MƯỜI'!C20+'H. LẤP VÒ'!C20+'H. LAI VUNG'!C20+'TP. SA ĐÉC'!C20+'H. CHÂU THÀNH'!C20</f>
        <v>0</v>
      </c>
    </row>
    <row r="21" spans="1:5" s="48" customFormat="1" ht="19.2" customHeight="1">
      <c r="A21" s="2673">
        <v>4</v>
      </c>
      <c r="B21" s="1399" t="s">
        <v>271</v>
      </c>
      <c r="C21" s="2685">
        <f>'H. HỒNG NGỰ'!C21+'TP. HỒNG NGỰ'!C21+'H. TÂN HỒNG'!C21+'H. TAM NÔNG'!C21+'H. THANH BÌNH'!C21+'TP. CAO LÃNH'!C21+'H. CAO LÃNH'!C21+'H. THÁP MƯỜI'!C21+'H. LẤP VÒ'!C21+'H. LAI VUNG'!C21+'TP. SA ĐÉC'!C21+'H. CHÂU THÀNH'!C21</f>
        <v>15000</v>
      </c>
    </row>
    <row r="22" spans="1:5" ht="19.2" customHeight="1">
      <c r="A22" s="2673">
        <v>5</v>
      </c>
      <c r="B22" s="1399" t="s">
        <v>272</v>
      </c>
      <c r="C22" s="2685">
        <f>SUM(C23:C25)</f>
        <v>99300</v>
      </c>
    </row>
    <row r="23" spans="1:5" ht="19.2" customHeight="1">
      <c r="A23" s="2677" t="s">
        <v>137</v>
      </c>
      <c r="B23" s="137" t="s">
        <v>273</v>
      </c>
      <c r="C23" s="2686">
        <f>'H. HỒNG NGỰ'!C23+'TP. HỒNG NGỰ'!C23+'H. TÂN HỒNG'!C23+'H. TAM NÔNG'!C23+'H. THANH BÌNH'!C23+'TP. CAO LÃNH'!C23+'H. CAO LÃNH'!C23+'H. THÁP MƯỜI'!C23+'H. LẤP VÒ'!C23+'H. LAI VUNG'!C23+'TP. SA ĐÉC'!C23+'H. CHÂU THÀNH'!C23</f>
        <v>34000</v>
      </c>
    </row>
    <row r="24" spans="1:5" ht="19.2" customHeight="1">
      <c r="A24" s="2677" t="s">
        <v>137</v>
      </c>
      <c r="B24" s="137" t="s">
        <v>274</v>
      </c>
      <c r="C24" s="2686">
        <f>'H. HỒNG NGỰ'!C24+'TP. HỒNG NGỰ'!C24+'H. TÂN HỒNG'!C24+'H. TAM NÔNG'!C24+'H. THANH BÌNH'!C24+'TP. CAO LÃNH'!C24+'H. CAO LÃNH'!C24+'H. THÁP MƯỜI'!C24+'H. LẤP VÒ'!C24+'H. LAI VUNG'!C24+'TP. SA ĐÉC'!C24+'H. CHÂU THÀNH'!C24</f>
        <v>2900</v>
      </c>
    </row>
    <row r="25" spans="1:5" ht="19.2" customHeight="1">
      <c r="A25" s="2677" t="s">
        <v>137</v>
      </c>
      <c r="B25" s="137" t="s">
        <v>275</v>
      </c>
      <c r="C25" s="2686">
        <f>'H. HỒNG NGỰ'!C25+'TP. HỒNG NGỰ'!C25+'H. TÂN HỒNG'!C25+'H. TAM NÔNG'!C25+'H. THANH BÌNH'!C25+'TP. CAO LÃNH'!C25+'H. CAO LÃNH'!C25+'H. THÁP MƯỜI'!C25+'H. LẤP VÒ'!C25+'H. LAI VUNG'!C25+'TP. SA ĐÉC'!C25+'H. CHÂU THÀNH'!C25</f>
        <v>62400</v>
      </c>
    </row>
    <row r="26" spans="1:5" ht="19.2" customHeight="1">
      <c r="A26" s="2673">
        <v>6</v>
      </c>
      <c r="B26" s="1399" t="s">
        <v>98</v>
      </c>
      <c r="C26" s="2685">
        <f>SUM(C27:C28)</f>
        <v>315000</v>
      </c>
    </row>
    <row r="27" spans="1:5" ht="19.2" customHeight="1">
      <c r="A27" s="2677" t="s">
        <v>137</v>
      </c>
      <c r="B27" s="137" t="s">
        <v>276</v>
      </c>
      <c r="C27" s="2686">
        <f>'H. HỒNG NGỰ'!C27+'TP. HỒNG NGỰ'!C27+'H. TÂN HỒNG'!C27+'H. TAM NÔNG'!C27+'H. THANH BÌNH'!C27+'TP. CAO LÃNH'!C27+'H. CAO LÃNH'!C27+'H. THÁP MƯỜI'!C27+'H. LẤP VÒ'!C27+'H. LAI VUNG'!C27+'TP. SA ĐÉC'!C27+'H. CHÂU THÀNH'!C27</f>
        <v>16000</v>
      </c>
    </row>
    <row r="28" spans="1:5" ht="19.2" customHeight="1">
      <c r="A28" s="2678" t="s">
        <v>137</v>
      </c>
      <c r="B28" s="2274" t="s">
        <v>2804</v>
      </c>
      <c r="C28" s="2686">
        <f>'H. HỒNG NGỰ'!C28+'TP. HỒNG NGỰ'!C28+'H. TÂN HỒNG'!C28+'H. TAM NÔNG'!C28+'H. THANH BÌNH'!C28+'TP. CAO LÃNH'!C28+'H. CAO LÃNH'!C28+'H. THÁP MƯỜI'!C28+'H. LẤP VÒ'!C28+'H. LAI VUNG'!C28+'TP. SA ĐÉC'!C28+'H. CHÂU THÀNH'!C28</f>
        <v>299000</v>
      </c>
    </row>
    <row r="29" spans="1:5" ht="19.2" customHeight="1">
      <c r="A29" s="2673">
        <v>7</v>
      </c>
      <c r="B29" s="1399" t="s">
        <v>357</v>
      </c>
      <c r="C29" s="2685">
        <f>SUM(C30:C31)</f>
        <v>1770000</v>
      </c>
    </row>
    <row r="30" spans="1:5" ht="19.2" customHeight="1">
      <c r="A30" s="2677" t="s">
        <v>137</v>
      </c>
      <c r="B30" s="137" t="s">
        <v>276</v>
      </c>
      <c r="C30" s="2686">
        <f>'H. HỒNG NGỰ'!C30+'TP. HỒNG NGỰ'!C30+'H. TÂN HỒNG'!C30+'H. TAM NÔNG'!C30+'H. THANH BÌNH'!C30+'TP. CAO LÃNH'!C30+'H. CAO LÃNH'!C30+'H. THÁP MƯỜI'!C30+'H. LẤP VÒ'!C30+'H. LAI VUNG'!C30+'TP. SA ĐÉC'!C30+'H. CHÂU THÀNH'!C30</f>
        <v>500000</v>
      </c>
    </row>
    <row r="31" spans="1:5" ht="19.2" customHeight="1">
      <c r="A31" s="2678" t="s">
        <v>137</v>
      </c>
      <c r="B31" s="2274" t="s">
        <v>2803</v>
      </c>
      <c r="C31" s="2686">
        <f>'H. HỒNG NGỰ'!C31+'TP. HỒNG NGỰ'!C31+'H. TÂN HỒNG'!C31+'H. TAM NÔNG'!C31+'H. THANH BÌNH'!C31+'TP. CAO LÃNH'!C31+'H. CAO LÃNH'!C31+'H. THÁP MƯỜI'!C31+'H. LẤP VÒ'!C31+'H. LAI VUNG'!C31+'TP. SA ĐÉC'!C31+'H. CHÂU THÀNH'!C31</f>
        <v>1270000</v>
      </c>
      <c r="E31" s="37">
        <f>C31*90%</f>
        <v>1143000</v>
      </c>
    </row>
    <row r="32" spans="1:5" ht="19.2" customHeight="1">
      <c r="A32" s="2673">
        <v>8</v>
      </c>
      <c r="B32" s="1399" t="s">
        <v>279</v>
      </c>
      <c r="C32" s="2685">
        <f>SUM(C33:C35)</f>
        <v>262000</v>
      </c>
    </row>
    <row r="33" spans="1:3" ht="19.2" customHeight="1">
      <c r="A33" s="2677" t="s">
        <v>137</v>
      </c>
      <c r="B33" s="137" t="s">
        <v>280</v>
      </c>
      <c r="C33" s="2686">
        <f>'H. HỒNG NGỰ'!C33+'TP. HỒNG NGỰ'!C33+'H. TÂN HỒNG'!C33+'H. TAM NÔNG'!C33+'H. THANH BÌNH'!C33+'TP. CAO LÃNH'!C33+'H. CAO LÃNH'!C33+'H. THÁP MƯỜI'!C33+'H. LẤP VÒ'!C33+'H. LAI VUNG'!C33+'TP. SA ĐÉC'!C33+'H. CHÂU THÀNH'!C33</f>
        <v>84000</v>
      </c>
    </row>
    <row r="34" spans="1:3" ht="19.2" customHeight="1">
      <c r="A34" s="2677" t="s">
        <v>137</v>
      </c>
      <c r="B34" s="137" t="s">
        <v>281</v>
      </c>
      <c r="C34" s="2686">
        <f>'H. HỒNG NGỰ'!C34+'TP. HỒNG NGỰ'!C34+'H. TÂN HỒNG'!C34+'H. TAM NÔNG'!C34+'H. THANH BÌNH'!C34+'TP. CAO LÃNH'!C34+'H. CAO LÃNH'!C34+'H. THÁP MƯỜI'!C34+'H. LẤP VÒ'!C34+'H. LAI VUNG'!C34+'TP. SA ĐÉC'!C34+'H. CHÂU THÀNH'!C34</f>
        <v>32500</v>
      </c>
    </row>
    <row r="35" spans="1:3" ht="19.2" customHeight="1">
      <c r="A35" s="2677" t="s">
        <v>137</v>
      </c>
      <c r="B35" s="137" t="s">
        <v>282</v>
      </c>
      <c r="C35" s="2686">
        <f>'H. HỒNG NGỰ'!C35+'TP. HỒNG NGỰ'!C35+'H. TÂN HỒNG'!C35+'H. TAM NÔNG'!C35+'H. THANH BÌNH'!C35+'TP. CAO LÃNH'!C35+'H. CAO LÃNH'!C35+'H. THÁP MƯỜI'!C35+'H. LẤP VÒ'!C35+'H. LAI VUNG'!C35+'TP. SA ĐÉC'!C35+'H. CHÂU THÀNH'!C35</f>
        <v>145500</v>
      </c>
    </row>
    <row r="36" spans="1:3" ht="19.2" customHeight="1">
      <c r="A36" s="2673">
        <v>9</v>
      </c>
      <c r="B36" s="2590" t="s">
        <v>2521</v>
      </c>
      <c r="C36" s="2685">
        <f>'H. HỒNG NGỰ'!C36+'TP. HỒNG NGỰ'!C36+'H. TÂN HỒNG'!C36+'H. TAM NÔNG'!C36+'H. THANH BÌNH'!C36+'TP. CAO LÃNH'!C36+'H. CAO LÃNH'!C36+'H. THÁP MƯỜI'!C36+'H. LẤP VÒ'!C36+'H. LAI VUNG'!C36+'TP. SA ĐÉC'!C36+'H. CHÂU THÀNH'!C36</f>
        <v>2000</v>
      </c>
    </row>
    <row r="37" spans="1:3" ht="19.2" customHeight="1">
      <c r="A37" s="2673" t="s">
        <v>20</v>
      </c>
      <c r="B37" s="1399" t="s">
        <v>2520</v>
      </c>
      <c r="C37" s="2687"/>
    </row>
    <row r="38" spans="1:3" ht="19.2" customHeight="1">
      <c r="A38" s="2673"/>
      <c r="B38" s="16" t="s">
        <v>2523</v>
      </c>
      <c r="C38" s="2688">
        <v>1</v>
      </c>
    </row>
    <row r="39" spans="1:3" s="154" customFormat="1" ht="19.2" customHeight="1">
      <c r="A39" s="2689" t="s">
        <v>49</v>
      </c>
      <c r="B39" s="29" t="s">
        <v>2522</v>
      </c>
      <c r="C39" s="2690">
        <f>SUM(C40:C41)</f>
        <v>5083323.3480000002</v>
      </c>
    </row>
    <row r="40" spans="1:3" s="154" customFormat="1" ht="19.2" customHeight="1">
      <c r="A40" s="2689">
        <v>1</v>
      </c>
      <c r="B40" s="29" t="s">
        <v>284</v>
      </c>
      <c r="C40" s="2690">
        <f>'H. HỒNG NGỰ'!C40+'TP. HỒNG NGỰ'!C40+'H. TÂN HỒNG'!C40+'H. TAM NÔNG'!C40+'H. THANH BÌNH'!C40+'TP. CAO LÃNH'!C40+'H. CAO LÃNH'!C40+'H. THÁP MƯỜI'!C40+'H. LẤP VÒ'!C40+'H. LAI VUNG'!C40+'TP. SA ĐÉC'!C40+'H. CHÂU THÀNH'!C40</f>
        <v>4430923</v>
      </c>
    </row>
    <row r="41" spans="1:3" s="154" customFormat="1" ht="19.2" customHeight="1">
      <c r="A41" s="2689">
        <v>2</v>
      </c>
      <c r="B41" s="29" t="s">
        <v>285</v>
      </c>
      <c r="C41" s="2690">
        <f>SUM(C42:C46)</f>
        <v>652400.348</v>
      </c>
    </row>
    <row r="42" spans="1:3" s="154" customFormat="1" ht="36" customHeight="1">
      <c r="A42" s="2628" t="s">
        <v>34</v>
      </c>
      <c r="B42" s="2701" t="s">
        <v>1881</v>
      </c>
      <c r="C42" s="2691">
        <f>'H. HỒNG NGỰ'!C42+'TP. HỒNG NGỰ'!C42+'H. TÂN HỒNG'!C42+'H. TAM NÔNG'!C42+'H. THANH BÌNH'!C42+'TP. CAO LÃNH'!C42+'H. CAO LÃNH'!C42+'H. THÁP MƯỜI'!C42+'H. LẤP VÒ'!C42+'H. LAI VUNG'!C42+'TP. SA ĐÉC'!C42+'H. CHÂU THÀNH'!C42</f>
        <v>148700</v>
      </c>
    </row>
    <row r="43" spans="1:3" s="154" customFormat="1" ht="54" customHeight="1">
      <c r="A43" s="2628" t="s">
        <v>35</v>
      </c>
      <c r="B43" s="2701" t="s">
        <v>1882</v>
      </c>
      <c r="C43" s="2691">
        <f>'H. HỒNG NGỰ'!C43+'TP. HỒNG NGỰ'!C43+'H. TÂN HỒNG'!C43+'H. TAM NÔNG'!C43+'H. THANH BÌNH'!C43+'TP. CAO LÃNH'!C43+'H. CAO LÃNH'!C43+'H. THÁP MƯỜI'!C43+'H. LẤP VÒ'!C43+'H. LAI VUNG'!C43+'TP. SA ĐÉC'!C43+'H. CHÂU THÀNH'!C43</f>
        <v>169098</v>
      </c>
    </row>
    <row r="44" spans="1:3" s="154" customFormat="1" ht="19.2" customHeight="1">
      <c r="A44" s="2628" t="s">
        <v>36</v>
      </c>
      <c r="B44" s="2701" t="s">
        <v>2481</v>
      </c>
      <c r="C44" s="2691">
        <f>'H. HỒNG NGỰ'!C44+'TP. HỒNG NGỰ'!C44+'H. TÂN HỒNG'!C44+'H. TAM NÔNG'!C44+'H. THANH BÌNH'!C44+'TP. CAO LÃNH'!C44+'H. CAO LÃNH'!C44+'H. THÁP MƯỜI'!C44+'H. LẤP VÒ'!C44+'H. LAI VUNG'!C44+'TP. SA ĐÉC'!C44+'H. CHÂU THÀNH'!C44</f>
        <v>232934</v>
      </c>
    </row>
    <row r="45" spans="1:3" s="154" customFormat="1" ht="19.2" customHeight="1">
      <c r="A45" s="2628" t="s">
        <v>37</v>
      </c>
      <c r="B45" s="2701" t="s">
        <v>2786</v>
      </c>
      <c r="C45" s="2691">
        <f>'H. HỒNG NGỰ'!C45+'TP. HỒNG NGỰ'!C45+'H. TÂN HỒNG'!C45+'H. TAM NÔNG'!C45+'H. THANH BÌNH'!C45+'TP. CAO LÃNH'!C45+'H. CAO LÃNH'!C45+'H. THÁP MƯỜI'!C45+'H. LẤP VÒ'!C45+'H. LAI VUNG'!C45+'TP. SA ĐÉC'!C45+'H. CHÂU THÀNH'!C45</f>
        <v>93668.347999999998</v>
      </c>
    </row>
    <row r="46" spans="1:3" s="154" customFormat="1">
      <c r="A46" s="2814" t="str">
        <f>'Phụ lục 5-HĐND'!A43</f>
        <v>đ</v>
      </c>
      <c r="B46" s="2815" t="str">
        <f>'Phụ lục 5-HĐND'!B43</f>
        <v>Bổ sung có mục tiêu kinh phí diễn tập khu vực phòng thủ cấp huyện năm 2024</v>
      </c>
      <c r="C46" s="2691">
        <f>'H. HỒNG NGỰ'!C46+'TP. HỒNG NGỰ'!C46+'H. TÂN HỒNG'!C46+'H. TAM NÔNG'!C46+'H. THANH BÌNH'!C46+'TP. CAO LÃNH'!C46+'H. CAO LÃNH'!C46+'H. THÁP MƯỜI'!C46+'H. LẤP VÒ'!C46+'H. LAI VUNG'!C46+'TP. SA ĐÉC'!C46+'H. CHÂU THÀNH'!C46</f>
        <v>8000</v>
      </c>
    </row>
    <row r="47" spans="1:3" s="154" customFormat="1" ht="18.600000000000001" thickBot="1">
      <c r="A47" s="2695" t="s">
        <v>50</v>
      </c>
      <c r="B47" s="2696" t="s">
        <v>286</v>
      </c>
      <c r="C47" s="2697">
        <f>'H. HỒNG NGỰ'!C47+'TP. HỒNG NGỰ'!C47+'H. TÂN HỒNG'!C47+'H. TAM NÔNG'!C47+'H. THANH BÌNH'!C47+'TP. CAO LÃNH'!C47+'H. CAO LÃNH'!C47+'H. THÁP MƯỜI'!C47+'H. LẤP VÒ'!C47+'H. LAI VUNG'!C47+'TP. SA ĐÉC'!C47+'H. CHÂU THÀNH'!C47</f>
        <v>886000</v>
      </c>
    </row>
    <row r="48" spans="1:3" ht="18.600000000000001" hidden="1" thickBot="1">
      <c r="A48" s="2692"/>
      <c r="B48" s="2693" t="s">
        <v>287</v>
      </c>
      <c r="C48" s="2694"/>
    </row>
    <row r="50" spans="1:3">
      <c r="A50" s="4769" t="s">
        <v>1050</v>
      </c>
      <c r="B50" s="4769"/>
      <c r="C50" s="4769"/>
    </row>
    <row r="51" spans="1:3" s="1239" customFormat="1" ht="34.950000000000003" customHeight="1">
      <c r="A51" s="4768" t="s">
        <v>2546</v>
      </c>
      <c r="B51" s="4768"/>
      <c r="C51" s="4768"/>
    </row>
    <row r="52" spans="1:3" s="1239" customFormat="1" ht="91.95" customHeight="1">
      <c r="A52" s="4768" t="s">
        <v>2547</v>
      </c>
      <c r="B52" s="4768"/>
      <c r="C52" s="4768"/>
    </row>
    <row r="53" spans="1:3" s="1239" customFormat="1" ht="18" customHeight="1">
      <c r="A53" s="4768" t="s">
        <v>2548</v>
      </c>
      <c r="B53" s="4768"/>
      <c r="C53" s="4768"/>
    </row>
    <row r="54" spans="1:3" s="1239" customFormat="1" ht="18" customHeight="1">
      <c r="A54" s="4754" t="s">
        <v>2787</v>
      </c>
      <c r="B54" s="4754"/>
      <c r="C54" s="4754"/>
    </row>
    <row r="55" spans="1:3" s="1239" customFormat="1" ht="18" customHeight="1">
      <c r="A55" s="3213"/>
      <c r="B55" s="3213"/>
      <c r="C55" s="3213"/>
    </row>
    <row r="58" spans="1:3" s="1239" customFormat="1">
      <c r="A58" s="4325" t="s">
        <v>2550</v>
      </c>
      <c r="B58" s="4325"/>
      <c r="C58" s="4325"/>
    </row>
    <row r="59" spans="1:3" s="1239" customFormat="1">
      <c r="A59" s="4325" t="s">
        <v>2492</v>
      </c>
      <c r="B59" s="4325"/>
      <c r="C59" s="4325"/>
    </row>
    <row r="60" spans="1:3" s="1239" customFormat="1">
      <c r="A60" s="4325" t="str">
        <f>A3</f>
        <v>12 HUYỆN, THÀNH PHỐ</v>
      </c>
      <c r="B60" s="4325"/>
      <c r="C60" s="4325"/>
    </row>
    <row r="61" spans="1:3" s="1239" customFormat="1" ht="18" customHeight="1">
      <c r="A61" s="4764" t="str">
        <f>A4</f>
        <v>(Kèm theo Quyết định số        /QĐ-UBND-HC ngày      /12/2023 của Uỷ ban nhân dân tỉnh Đồng Tháp)</v>
      </c>
      <c r="B61" s="4764"/>
      <c r="C61" s="4764"/>
    </row>
    <row r="62" spans="1:3" s="1239" customFormat="1" ht="18" customHeight="1">
      <c r="A62" s="3285"/>
      <c r="B62" s="3285"/>
      <c r="C62" s="3285"/>
    </row>
    <row r="63" spans="1:3" s="1239" customFormat="1" ht="18" customHeight="1">
      <c r="A63" s="3285"/>
      <c r="B63" s="3285"/>
      <c r="C63" s="1384" t="str">
        <f>C6</f>
        <v>Đơn vị tính: Triệu đồng</v>
      </c>
    </row>
    <row r="64" spans="1:3" s="1254" customFormat="1" ht="34.950000000000003" customHeight="1">
      <c r="A64" s="3286" t="s">
        <v>288</v>
      </c>
      <c r="B64" s="3236" t="s">
        <v>791</v>
      </c>
      <c r="C64" s="1829" t="str">
        <f>C7</f>
        <v>Dự toán năm 2024</v>
      </c>
    </row>
    <row r="65" spans="1:3" s="1239" customFormat="1" ht="19.2" customHeight="1">
      <c r="A65" s="3287"/>
      <c r="B65" s="3024" t="s">
        <v>2620</v>
      </c>
      <c r="C65" s="3288">
        <f>C66+C70+C74+C75+C76</f>
        <v>9908403.3480000012</v>
      </c>
    </row>
    <row r="66" spans="1:3" s="1239" customFormat="1" ht="19.2" customHeight="1">
      <c r="A66" s="3289" t="s">
        <v>9</v>
      </c>
      <c r="B66" s="3255" t="s">
        <v>880</v>
      </c>
      <c r="C66" s="3290">
        <f>SUM(C68:C69)</f>
        <v>1724000.4089698761</v>
      </c>
    </row>
    <row r="67" spans="1:3" s="1239" customFormat="1" ht="19.2" customHeight="1">
      <c r="A67" s="3291"/>
      <c r="B67" s="3292" t="s">
        <v>299</v>
      </c>
      <c r="C67" s="1448"/>
    </row>
    <row r="68" spans="1:3" s="1239" customFormat="1" ht="19.2" customHeight="1">
      <c r="A68" s="3293">
        <v>1</v>
      </c>
      <c r="B68" s="1438" t="s">
        <v>1305</v>
      </c>
      <c r="C68" s="2810">
        <f>'H. HỒNG NGỰ'!C68+'TP. HỒNG NGỰ'!C68+'H. TÂN HỒNG'!C68+'H. TAM NÔNG'!C68+'H. THANH BÌNH'!C68+'TP. CAO LÃNH'!C68+'H. CAO LÃNH'!C68+'H. THÁP MƯỜI'!C68+'H. LẤP VÒ'!C68+'H. LAI VUNG'!C68+'TP. SA ĐÉC'!C68+'H. CHÂU THÀNH'!C68</f>
        <v>581000.40896987612</v>
      </c>
    </row>
    <row r="69" spans="1:3" s="1239" customFormat="1" ht="19.2" customHeight="1">
      <c r="A69" s="3293">
        <v>2</v>
      </c>
      <c r="B69" s="1438" t="s">
        <v>391</v>
      </c>
      <c r="C69" s="2810">
        <f>'H. HỒNG NGỰ'!C69+'TP. HỒNG NGỰ'!C69+'H. TÂN HỒNG'!C69+'H. TAM NÔNG'!C69+'H. THANH BÌNH'!C69+'TP. CAO LÃNH'!C69+'H. CAO LÃNH'!C69+'H. THÁP MƯỜI'!C69+'H. LẤP VÒ'!C69+'H. LAI VUNG'!C69+'TP. SA ĐÉC'!C69+'H. CHÂU THÀNH'!C69</f>
        <v>1143000</v>
      </c>
    </row>
    <row r="70" spans="1:3" s="1239" customFormat="1" ht="19.2" customHeight="1">
      <c r="A70" s="3289" t="s">
        <v>20</v>
      </c>
      <c r="B70" s="3255" t="s">
        <v>2630</v>
      </c>
      <c r="C70" s="2864">
        <f>'H. HỒNG NGỰ'!C70+'TP. HỒNG NGỰ'!C70+'H. TÂN HỒNG'!C70+'H. TAM NÔNG'!C70+'H. THANH BÌNH'!C70+'TP. CAO LÃNH'!C70+'H. CAO LÃNH'!C70+'H. THÁP MƯỜI'!C70+'H. LẤP VÒ'!C70+'H. LAI VUNG'!C70+'TP. SA ĐÉC'!C70+'H. CHÂU THÀNH'!C70</f>
        <v>7370538.3947110819</v>
      </c>
    </row>
    <row r="71" spans="1:3" s="1239" customFormat="1" ht="19.2" customHeight="1">
      <c r="A71" s="3294"/>
      <c r="B71" s="3292" t="s">
        <v>299</v>
      </c>
      <c r="C71" s="1448"/>
    </row>
    <row r="72" spans="1:3" s="1239" customFormat="1" ht="19.2" customHeight="1">
      <c r="A72" s="3293">
        <v>1</v>
      </c>
      <c r="B72" s="75" t="s">
        <v>2631</v>
      </c>
      <c r="C72" s="2810">
        <f>'H. HỒNG NGỰ'!C72+'TP. HỒNG NGỰ'!C72+'H. TÂN HỒNG'!C72+'H. TAM NÔNG'!C72+'H. THANH BÌNH'!C72+'TP. CAO LÃNH'!C72+'H. CAO LÃNH'!C72+'H. THÁP MƯỜI'!C72+'H. LẤP VÒ'!C72+'H. LAI VUNG'!C72+'TP. SA ĐÉC'!C72+'H. CHÂU THÀNH'!C72</f>
        <v>3841269.7831797441</v>
      </c>
    </row>
    <row r="73" spans="1:3" s="1239" customFormat="1" ht="19.2" customHeight="1">
      <c r="A73" s="3293">
        <v>2</v>
      </c>
      <c r="B73" s="75" t="s">
        <v>301</v>
      </c>
      <c r="C73" s="2810">
        <f>'H. HỒNG NGỰ'!C73+'TP. HỒNG NGỰ'!C73+'H. TÂN HỒNG'!C73+'H. TAM NÔNG'!C73+'H. THANH BÌNH'!C73+'TP. CAO LÃNH'!C73+'H. CAO LÃNH'!C73+'H. THÁP MƯỜI'!C73+'H. LẤP VÒ'!C73+'H. LAI VUNG'!C73+'TP. SA ĐÉC'!C73+'H. CHÂU THÀNH'!C73</f>
        <v>3529268.6115313373</v>
      </c>
    </row>
    <row r="74" spans="1:3" s="1239" customFormat="1" ht="19.2" customHeight="1">
      <c r="A74" s="3289" t="s">
        <v>49</v>
      </c>
      <c r="B74" s="3255" t="s">
        <v>87</v>
      </c>
      <c r="C74" s="2864">
        <f>'H. HỒNG NGỰ'!C74+'TP. HỒNG NGỰ'!C74+'H. TÂN HỒNG'!C74+'H. TAM NÔNG'!C74+'H. THANH BÌNH'!C74+'TP. CAO LÃNH'!C74+'H. CAO LÃNH'!C74+'H. THÁP MƯỜI'!C74+'H. LẤP VÒ'!C74+'H. LAI VUNG'!C74+'TP. SA ĐÉC'!C74+'H. CHÂU THÀNH'!C74</f>
        <v>175604.54431904212</v>
      </c>
    </row>
    <row r="75" spans="1:3" s="1239" customFormat="1" ht="19.2" customHeight="1">
      <c r="A75" s="3289" t="s">
        <v>50</v>
      </c>
      <c r="B75" s="3255" t="s">
        <v>302</v>
      </c>
      <c r="C75" s="2864">
        <f>'H. HỒNG NGỰ'!C75+'TP. HỒNG NGỰ'!C75+'H. TÂN HỒNG'!C75+'H. TAM NÔNG'!C75+'H. THANH BÌNH'!C75+'TP. CAO LÃNH'!C75+'H. CAO LÃNH'!C75+'H. THÁP MƯỜI'!C75+'H. LẤP VÒ'!C75+'H. LAI VUNG'!C75+'TP. SA ĐÉC'!C75+'H. CHÂU THÀNH'!C75</f>
        <v>638260</v>
      </c>
    </row>
    <row r="76" spans="1:3" s="1239" customFormat="1" ht="19.2" customHeight="1">
      <c r="A76" s="3779" t="s">
        <v>72</v>
      </c>
      <c r="B76" s="3780" t="s">
        <v>2371</v>
      </c>
      <c r="C76" s="3781">
        <f>SUM(C77:C81)</f>
        <v>0</v>
      </c>
    </row>
    <row r="77" spans="1:3" ht="19.2" hidden="1" customHeight="1">
      <c r="A77" s="3776" t="s">
        <v>137</v>
      </c>
      <c r="B77" s="3777" t="str">
        <f>'Phụ lục 6-HĐND'!B18</f>
        <v>Chi đầu tư xây dựng cơ bản</v>
      </c>
      <c r="C77" s="3778">
        <f>'H. HỒNG NGỰ'!C77+'TP. HỒNG NGỰ'!C77+'H. TÂN HỒNG'!C77+'H. TAM NÔNG'!C77+'H. THANH BÌNH'!C77+'TP. CAO LÃNH'!C77+'H. CAO LÃNH'!C77+'H. THÁP MƯỜI'!C77+'H. LẤP VÒ'!C77+'H. LAI VUNG'!C77+'TP. SA ĐÉC'!C77+'H. CHÂU THÀNH'!C77</f>
        <v>0</v>
      </c>
    </row>
    <row r="78" spans="1:3" ht="19.2" hidden="1" customHeight="1">
      <c r="A78" s="2584" t="s">
        <v>137</v>
      </c>
      <c r="B78" s="16" t="str">
        <f>'Phụ lục 6-HĐND'!B19</f>
        <v>Chi đầu tư từ nguồn xổ số kiến thiết</v>
      </c>
      <c r="C78" s="2335">
        <f>'H. HỒNG NGỰ'!C78+'TP. HỒNG NGỰ'!C78+'H. TÂN HỒNG'!C78+'H. TAM NÔNG'!C78+'H. THANH BÌNH'!C78+'TP. CAO LÃNH'!C78+'H. CAO LÃNH'!C78+'H. THÁP MƯỜI'!C78+'H. LẤP VÒ'!C78+'H. LAI VUNG'!C78+'TP. SA ĐÉC'!C78+'H. CHÂU THÀNH'!C78</f>
        <v>0</v>
      </c>
    </row>
    <row r="79" spans="1:3" ht="19.2" hidden="1" customHeight="1">
      <c r="A79" s="2584" t="s">
        <v>137</v>
      </c>
      <c r="B79" s="16" t="str">
        <f>'Phụ lục 6-HĐND'!B20</f>
        <v>Chi từ nguồn ngân sách trung ương bổ sung có mục tiêu (kinh phí sự nghiệp)</v>
      </c>
      <c r="C79" s="2335">
        <f>'H. HỒNG NGỰ'!C79+'TP. HỒNG NGỰ'!C79+'H. TÂN HỒNG'!C79+'H. TAM NÔNG'!C79+'H. THANH BÌNH'!C79+'TP. CAO LÃNH'!C79+'H. CAO LÃNH'!C79+'H. THÁP MƯỜI'!C79+'H. LẤP VÒ'!C79+'H. LAI VUNG'!C79+'TP. SA ĐÉC'!C79+'H. CHÂU THÀNH'!C79</f>
        <v>0</v>
      </c>
    </row>
    <row r="80" spans="1:3" ht="19.2" hidden="1" customHeight="1">
      <c r="A80" s="2585" t="s">
        <v>137</v>
      </c>
      <c r="B80" s="16" t="str">
        <f>'Phụ lục 6-HĐND'!B21</f>
        <v>Chi từ nguồn ngân sách trung ương bổ sung có mục tiêu (Chương trình Mục tiêu quốc gia)</v>
      </c>
      <c r="C80" s="2335">
        <f>'H. HỒNG NGỰ'!C80+'TP. HỒNG NGỰ'!C80+'H. TÂN HỒNG'!C80+'H. TAM NÔNG'!C80+'H. THANH BÌNH'!C80+'TP. CAO LÃNH'!C80+'H. CAO LÃNH'!C80+'H. THÁP MƯỜI'!C80+'H. LẤP VÒ'!C80+'H. LAI VUNG'!C80+'TP. SA ĐÉC'!C80+'H. CHÂU THÀNH'!C80</f>
        <v>0</v>
      </c>
    </row>
    <row r="81" spans="1:3" ht="19.2" hidden="1" customHeight="1">
      <c r="A81" s="2586" t="s">
        <v>137</v>
      </c>
      <c r="B81" s="2825" t="str">
        <f>'Phụ lục 6-HĐND'!B22</f>
        <v>Chi từ nguồn ngân sách trung ương bổ sung có mục tiêu, nhiệm vụ quan trọng khác</v>
      </c>
      <c r="C81" s="2338">
        <f>'H. HỒNG NGỰ'!C81+'TP. HỒNG NGỰ'!C81+'H. TÂN HỒNG'!C81+'H. TAM NÔNG'!C81+'H. THANH BÌNH'!C81+'TP. CAO LÃNH'!C81+'H. CAO LÃNH'!C81+'H. THÁP MƯỜI'!C81+'H. LẤP VÒ'!C81+'H. LAI VUNG'!C81+'TP. SA ĐÉC'!C81+'H. CHÂU THÀNH'!C81</f>
        <v>0</v>
      </c>
    </row>
    <row r="83" spans="1:3">
      <c r="A83" s="48" t="s">
        <v>1050</v>
      </c>
      <c r="B83" s="2581"/>
    </row>
    <row r="84" spans="1:3">
      <c r="A84" s="4757" t="s">
        <v>2494</v>
      </c>
      <c r="B84" s="4758"/>
      <c r="C84" s="4758"/>
    </row>
    <row r="85" spans="1:3" ht="60" customHeight="1">
      <c r="A85" s="4755" t="s">
        <v>2628</v>
      </c>
      <c r="B85" s="4756"/>
      <c r="C85" s="4756"/>
    </row>
    <row r="86" spans="1:3" ht="18" customHeight="1">
      <c r="A86" s="4760" t="s">
        <v>2629</v>
      </c>
      <c r="B86" s="4760"/>
      <c r="C86" s="4760"/>
    </row>
    <row r="87" spans="1:3">
      <c r="A87" s="4759" t="s">
        <v>2524</v>
      </c>
      <c r="B87" s="4759"/>
      <c r="C87" s="4759"/>
    </row>
    <row r="88" spans="1:3" s="154" customFormat="1" ht="60" customHeight="1">
      <c r="A88" s="4755" t="s">
        <v>2662</v>
      </c>
      <c r="B88" s="4756"/>
      <c r="C88" s="4756"/>
    </row>
    <row r="89" spans="1:3" ht="40.200000000000003" customHeight="1">
      <c r="A89" s="4767" t="s">
        <v>2493</v>
      </c>
      <c r="B89" s="4767"/>
      <c r="C89" s="4767"/>
    </row>
    <row r="90" spans="1:3" ht="18" customHeight="1">
      <c r="A90" s="4765" t="s">
        <v>2798</v>
      </c>
      <c r="B90" s="4766"/>
      <c r="C90" s="3368" t="s">
        <v>2799</v>
      </c>
    </row>
    <row r="91" spans="1:3" s="2249" customFormat="1">
      <c r="A91" s="4761" t="s">
        <v>2641</v>
      </c>
      <c r="B91" s="4761"/>
      <c r="C91" s="4761"/>
    </row>
    <row r="92" spans="1:3" s="2249" customFormat="1" ht="52.2" customHeight="1">
      <c r="A92" s="4762" t="s">
        <v>2797</v>
      </c>
      <c r="B92" s="4763"/>
      <c r="C92" s="4763"/>
    </row>
    <row r="93" spans="1:3">
      <c r="C93" s="2406"/>
    </row>
    <row r="118" spans="1:5">
      <c r="A118" s="4299" t="s">
        <v>2785</v>
      </c>
      <c r="B118" s="4299"/>
      <c r="C118" s="4299"/>
    </row>
    <row r="119" spans="1:5">
      <c r="A119" s="4299" t="s">
        <v>2788</v>
      </c>
      <c r="B119" s="4299"/>
      <c r="C119" s="4299"/>
    </row>
    <row r="120" spans="1:5">
      <c r="A120" s="4299" t="str">
        <f>A60</f>
        <v>12 HUYỆN, THÀNH PHỐ</v>
      </c>
      <c r="B120" s="4299"/>
      <c r="C120" s="4299"/>
    </row>
    <row r="121" spans="1:5">
      <c r="A121" s="4300" t="str">
        <f>A61</f>
        <v>(Kèm theo Quyết định số        /QĐ-UBND-HC ngày      /12/2023 của Uỷ ban nhân dân tỉnh Đồng Tháp)</v>
      </c>
      <c r="B121" s="4300"/>
      <c r="C121" s="4300"/>
    </row>
    <row r="123" spans="1:5">
      <c r="A123" s="3285"/>
      <c r="B123" s="3285"/>
      <c r="C123" s="1384" t="str">
        <f>C63</f>
        <v>Đơn vị tính: Triệu đồng</v>
      </c>
    </row>
    <row r="124" spans="1:5" ht="34.799999999999997">
      <c r="A124" s="3286" t="s">
        <v>288</v>
      </c>
      <c r="B124" s="3236" t="s">
        <v>791</v>
      </c>
      <c r="C124" s="1829" t="s">
        <v>1700</v>
      </c>
    </row>
    <row r="125" spans="1:5" s="154" customFormat="1">
      <c r="A125" s="3494"/>
      <c r="B125" s="3445" t="s">
        <v>1418</v>
      </c>
      <c r="C125" s="3784">
        <f>C126+C130</f>
        <v>93668.347999999998</v>
      </c>
      <c r="E125" s="155">
        <f>C125-C45</f>
        <v>0</v>
      </c>
    </row>
    <row r="126" spans="1:5" s="1319" customFormat="1" ht="17.399999999999999">
      <c r="A126" s="133" t="s">
        <v>9</v>
      </c>
      <c r="B126" s="3782" t="s">
        <v>1361</v>
      </c>
      <c r="C126" s="1271">
        <f>SUM(C127:C129)</f>
        <v>8238.16</v>
      </c>
    </row>
    <row r="127" spans="1:5" s="154" customFormat="1" ht="36">
      <c r="A127" s="136">
        <v>1</v>
      </c>
      <c r="B127" s="3775" t="s">
        <v>2796</v>
      </c>
      <c r="C127" s="3785">
        <f>'H. HỒNG NGỰ'!C127+'TP. HỒNG NGỰ'!C127+'H. TÂN HỒNG'!C127+'H. TAM NÔNG'!C127+'H. THANH BÌNH'!C127+'TP. CAO LÃNH'!C127+'H. CAO LÃNH'!C127+'H. THÁP MƯỜI'!C127+'H. LẤP VÒ'!C127+'H. LAI VUNG'!C127+'TP. SA ĐÉC'!C127+'H. CHÂU THÀNH'!C127</f>
        <v>6961.7520000000004</v>
      </c>
    </row>
    <row r="128" spans="1:5" s="154" customFormat="1">
      <c r="A128" s="136">
        <v>2</v>
      </c>
      <c r="B128" s="803" t="s">
        <v>1363</v>
      </c>
      <c r="C128" s="3785">
        <f>'H. HỒNG NGỰ'!C128+'TP. HỒNG NGỰ'!C128+'H. TÂN HỒNG'!C128+'H. TAM NÔNG'!C128+'H. THANH BÌNH'!C128+'TP. CAO LÃNH'!C128+'H. CAO LÃNH'!C128+'H. THÁP MƯỜI'!C128+'H. LẤP VÒ'!C128+'H. LAI VUNG'!C128+'TP. SA ĐÉC'!C128+'H. CHÂU THÀNH'!C128</f>
        <v>561.04</v>
      </c>
    </row>
    <row r="129" spans="1:3" s="154" customFormat="1" ht="36">
      <c r="A129" s="136">
        <v>3</v>
      </c>
      <c r="B129" s="3775" t="s">
        <v>1364</v>
      </c>
      <c r="C129" s="3785">
        <f>'H. HỒNG NGỰ'!C129+'TP. HỒNG NGỰ'!C129+'H. TÂN HỒNG'!C129+'H. TAM NÔNG'!C129+'H. THANH BÌNH'!C129+'TP. CAO LÃNH'!C129+'H. CAO LÃNH'!C129+'H. THÁP MƯỜI'!C129+'H. LẤP VÒ'!C129+'H. LAI VUNG'!C129+'TP. SA ĐÉC'!C129+'H. CHÂU THÀNH'!C129</f>
        <v>715.36800000000017</v>
      </c>
    </row>
    <row r="130" spans="1:3" s="154" customFormat="1">
      <c r="A130" s="133" t="s">
        <v>20</v>
      </c>
      <c r="B130" s="3782" t="s">
        <v>1365</v>
      </c>
      <c r="C130" s="1271">
        <f>SUM(C131:C132)</f>
        <v>85430.187999999995</v>
      </c>
    </row>
    <row r="131" spans="1:3" s="154" customFormat="1" ht="36">
      <c r="A131" s="136">
        <v>1</v>
      </c>
      <c r="B131" s="3775" t="s">
        <v>1366</v>
      </c>
      <c r="C131" s="3785">
        <f>'H. HỒNG NGỰ'!C131+'TP. HỒNG NGỰ'!C131+'H. TÂN HỒNG'!C131+'H. TAM NÔNG'!C131+'H. THANH BÌNH'!C131+'TP. CAO LÃNH'!C131+'H. CAO LÃNH'!C131+'H. THÁP MƯỜI'!C131+'H. LẤP VÒ'!C131+'H. LAI VUNG'!C131+'TP. SA ĐÉC'!C131+'H. CHÂU THÀNH'!C131</f>
        <v>83749.187999999995</v>
      </c>
    </row>
    <row r="132" spans="1:3" s="154" customFormat="1" ht="36">
      <c r="A132" s="2298">
        <v>2</v>
      </c>
      <c r="B132" s="3783" t="s">
        <v>1367</v>
      </c>
      <c r="C132" s="3785">
        <f>'H. HỒNG NGỰ'!C132+'TP. HỒNG NGỰ'!C132+'H. TÂN HỒNG'!C132+'H. TAM NÔNG'!C132+'H. THANH BÌNH'!C132+'TP. CAO LÃNH'!C132+'H. CAO LÃNH'!C132+'H. THÁP MƯỜI'!C132+'H. LẤP VÒ'!C132+'H. LAI VUNG'!C132+'TP. SA ĐÉC'!C132+'H. CHÂU THÀNH'!C132</f>
        <v>1681</v>
      </c>
    </row>
  </sheetData>
  <mergeCells count="26">
    <mergeCell ref="A89:C89"/>
    <mergeCell ref="A1:C1"/>
    <mergeCell ref="A58:C58"/>
    <mergeCell ref="A2:C2"/>
    <mergeCell ref="A3:C3"/>
    <mergeCell ref="A4:C4"/>
    <mergeCell ref="A52:C52"/>
    <mergeCell ref="A50:C50"/>
    <mergeCell ref="A51:C51"/>
    <mergeCell ref="A53:C53"/>
    <mergeCell ref="A118:C118"/>
    <mergeCell ref="A54:C54"/>
    <mergeCell ref="A120:C120"/>
    <mergeCell ref="A121:C121"/>
    <mergeCell ref="A119:C119"/>
    <mergeCell ref="A88:C88"/>
    <mergeCell ref="A84:C84"/>
    <mergeCell ref="A87:C87"/>
    <mergeCell ref="A86:C86"/>
    <mergeCell ref="A85:C85"/>
    <mergeCell ref="A91:C91"/>
    <mergeCell ref="A92:C92"/>
    <mergeCell ref="A59:C59"/>
    <mergeCell ref="A60:C60"/>
    <mergeCell ref="A61:C61"/>
    <mergeCell ref="A90:B90"/>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verticalDpi="0" r:id="rId1"/>
  <headerFooter>
    <oddFooter>&amp;C&amp;P/&amp;N&amp;R&amp;A</oddFooter>
  </headerFooter>
  <legacy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topLeftCell="A43" workbookViewId="0">
      <selection activeCell="C235" sqref="C235"/>
    </sheetView>
  </sheetViews>
  <sheetFormatPr defaultColWidth="8.69921875" defaultRowHeight="18"/>
  <cols>
    <col min="1" max="1" width="5.69921875" style="37" customWidth="1"/>
    <col min="2" max="2" width="97.69921875" style="37" customWidth="1"/>
    <col min="3" max="3" width="25.69921875" style="37" customWidth="1"/>
    <col min="4" max="16384" width="8.69921875" style="37"/>
  </cols>
  <sheetData>
    <row r="1" spans="1:3">
      <c r="A1" s="4299" t="str">
        <f>'TỔNG CỘNG'!A1:C1</f>
        <v>PHỤ LỤC I</v>
      </c>
      <c r="B1" s="4299"/>
      <c r="C1" s="4299"/>
    </row>
    <row r="2" spans="1:3">
      <c r="A2" s="4299" t="str">
        <f>'TỔNG CỘNG'!A2:C2</f>
        <v>NHIỆM VỤ THU NGÂN SÁCH NHÀ NƯỚC NĂM 2024</v>
      </c>
      <c r="B2" s="4299"/>
      <c r="C2" s="4299"/>
    </row>
    <row r="3" spans="1:3">
      <c r="A3" s="4299" t="s">
        <v>1869</v>
      </c>
      <c r="B3" s="4299"/>
      <c r="C3" s="4299"/>
    </row>
    <row r="4" spans="1:3" ht="15.6" customHeight="1">
      <c r="A4" s="4627" t="str">
        <f>'TỔNG CỘNG'!A4:C4</f>
        <v>(Kèm theo Quyết định số        /QĐ-UBND-HC ngày      /12/2023 của Uỷ ban nhân dân tỉnh Đồng Tháp)</v>
      </c>
      <c r="B4" s="4627"/>
      <c r="C4" s="4627"/>
    </row>
    <row r="5" spans="1:3">
      <c r="A5" s="2578"/>
      <c r="B5" s="2578"/>
    </row>
    <row r="6" spans="1:3" ht="18.600000000000001" thickBot="1">
      <c r="A6" s="2578"/>
      <c r="B6" s="2578"/>
      <c r="C6" s="39" t="s">
        <v>64</v>
      </c>
    </row>
    <row r="7" spans="1:3" s="1319" customFormat="1" ht="30" customHeight="1">
      <c r="A7" s="2145" t="s">
        <v>244</v>
      </c>
      <c r="B7" s="2669" t="s">
        <v>791</v>
      </c>
      <c r="C7" s="2668" t="s">
        <v>1700</v>
      </c>
    </row>
    <row r="8" spans="1:3" ht="19.2" customHeight="1">
      <c r="A8" s="2672" t="s">
        <v>9</v>
      </c>
      <c r="B8" s="2268" t="s">
        <v>263</v>
      </c>
      <c r="C8" s="2682">
        <f>C10+C16+C19+C20+C21+C22+C26+C29+C32+C36</f>
        <v>189200</v>
      </c>
    </row>
    <row r="9" spans="1:3" ht="19.2" customHeight="1">
      <c r="A9" s="2683"/>
      <c r="B9" s="2518" t="s">
        <v>264</v>
      </c>
      <c r="C9" s="2684">
        <f>C8-C29</f>
        <v>89200</v>
      </c>
    </row>
    <row r="10" spans="1:3" ht="19.2" customHeight="1">
      <c r="A10" s="2673">
        <v>1</v>
      </c>
      <c r="B10" s="1399" t="s">
        <v>352</v>
      </c>
      <c r="C10" s="2685">
        <f>SUM(C11:C15)</f>
        <v>19500</v>
      </c>
    </row>
    <row r="11" spans="1:3" ht="19.2" customHeight="1">
      <c r="A11" s="2674" t="s">
        <v>137</v>
      </c>
      <c r="B11" s="16" t="s">
        <v>266</v>
      </c>
      <c r="C11" s="2686">
        <f>'Phụ lục số 5'!F10</f>
        <v>14100</v>
      </c>
    </row>
    <row r="12" spans="1:3" ht="19.2" customHeight="1">
      <c r="A12" s="2674" t="s">
        <v>137</v>
      </c>
      <c r="B12" s="16" t="s">
        <v>267</v>
      </c>
      <c r="C12" s="2686">
        <f>'Phụ lục số 5'!F11</f>
        <v>4400</v>
      </c>
    </row>
    <row r="13" spans="1:3" ht="19.2" customHeight="1">
      <c r="A13" s="2674" t="s">
        <v>137</v>
      </c>
      <c r="B13" s="16" t="s">
        <v>268</v>
      </c>
      <c r="C13" s="2686">
        <f>'Phụ lục số 5'!F12</f>
        <v>0</v>
      </c>
    </row>
    <row r="14" spans="1:3" ht="19.2" customHeight="1">
      <c r="A14" s="2674" t="s">
        <v>137</v>
      </c>
      <c r="B14" s="16" t="s">
        <v>14</v>
      </c>
      <c r="C14" s="2686">
        <f>'Phụ lục số 5'!F13</f>
        <v>1000</v>
      </c>
    </row>
    <row r="15" spans="1:3" ht="19.2" customHeight="1">
      <c r="A15" s="2674" t="s">
        <v>137</v>
      </c>
      <c r="B15" s="16" t="s">
        <v>269</v>
      </c>
      <c r="C15" s="2686">
        <f>'Phụ lục số 5'!F14</f>
        <v>0</v>
      </c>
    </row>
    <row r="16" spans="1:3" ht="19.2" customHeight="1">
      <c r="A16" s="2673">
        <v>2</v>
      </c>
      <c r="B16" s="1399" t="s">
        <v>97</v>
      </c>
      <c r="C16" s="2685">
        <f>SUM(C17:C18)</f>
        <v>12000</v>
      </c>
    </row>
    <row r="17" spans="1:3" ht="19.2" hidden="1" customHeight="1">
      <c r="A17" s="2675" t="s">
        <v>137</v>
      </c>
      <c r="B17" s="137" t="s">
        <v>276</v>
      </c>
      <c r="C17" s="2686">
        <f>'Phụ lục số 5'!F16</f>
        <v>0</v>
      </c>
    </row>
    <row r="18" spans="1:3" ht="19.2" hidden="1" customHeight="1">
      <c r="A18" s="2676" t="s">
        <v>137</v>
      </c>
      <c r="B18" s="2274" t="s">
        <v>277</v>
      </c>
      <c r="C18" s="2686">
        <f>'Phụ lục số 5'!F17</f>
        <v>12000</v>
      </c>
    </row>
    <row r="19" spans="1:3" s="2" customFormat="1" ht="19.2" customHeight="1">
      <c r="A19" s="2673">
        <v>3</v>
      </c>
      <c r="B19" s="1399" t="s">
        <v>16</v>
      </c>
      <c r="C19" s="2685">
        <f>'Phụ lục số 5'!F18</f>
        <v>15000</v>
      </c>
    </row>
    <row r="20" spans="1:3" s="2" customFormat="1" ht="19.2" customHeight="1">
      <c r="A20" s="2673">
        <v>4</v>
      </c>
      <c r="B20" s="1399" t="s">
        <v>270</v>
      </c>
      <c r="C20" s="2685">
        <f>'Phụ lục số 5'!F19</f>
        <v>0</v>
      </c>
    </row>
    <row r="21" spans="1:3" s="2" customFormat="1" ht="19.2" customHeight="1">
      <c r="A21" s="2673">
        <v>4</v>
      </c>
      <c r="B21" s="1399" t="s">
        <v>271</v>
      </c>
      <c r="C21" s="2685">
        <f>'Phụ lục số 5'!F20</f>
        <v>0</v>
      </c>
    </row>
    <row r="22" spans="1:3" ht="19.2" customHeight="1">
      <c r="A22" s="2673">
        <v>5</v>
      </c>
      <c r="B22" s="1399" t="s">
        <v>272</v>
      </c>
      <c r="C22" s="2685">
        <f>SUM(C23:C25)</f>
        <v>4500</v>
      </c>
    </row>
    <row r="23" spans="1:3" ht="19.2" customHeight="1">
      <c r="A23" s="2677" t="s">
        <v>137</v>
      </c>
      <c r="B23" s="137" t="s">
        <v>273</v>
      </c>
      <c r="C23" s="2686">
        <f>'Phụ lục số 5'!F22</f>
        <v>2000</v>
      </c>
    </row>
    <row r="24" spans="1:3" ht="19.2" customHeight="1">
      <c r="A24" s="2677" t="s">
        <v>137</v>
      </c>
      <c r="B24" s="137" t="s">
        <v>274</v>
      </c>
      <c r="C24" s="2686">
        <f>'Phụ lục số 5'!F23</f>
        <v>500</v>
      </c>
    </row>
    <row r="25" spans="1:3" ht="19.2" customHeight="1">
      <c r="A25" s="2677" t="s">
        <v>137</v>
      </c>
      <c r="B25" s="137" t="s">
        <v>275</v>
      </c>
      <c r="C25" s="2686">
        <f>'Phụ lục số 5'!F24</f>
        <v>2000</v>
      </c>
    </row>
    <row r="26" spans="1:3" ht="19.2" customHeight="1">
      <c r="A26" s="2673">
        <v>6</v>
      </c>
      <c r="B26" s="1399" t="s">
        <v>98</v>
      </c>
      <c r="C26" s="2685">
        <f>SUM(C27:C28)</f>
        <v>24000</v>
      </c>
    </row>
    <row r="27" spans="1:3" ht="19.2" customHeight="1">
      <c r="A27" s="2677" t="s">
        <v>137</v>
      </c>
      <c r="B27" s="137" t="s">
        <v>276</v>
      </c>
      <c r="C27" s="2686">
        <f>'Phụ lục số 5'!F26</f>
        <v>16000</v>
      </c>
    </row>
    <row r="28" spans="1:3" ht="19.2" customHeight="1">
      <c r="A28" s="2678" t="s">
        <v>137</v>
      </c>
      <c r="B28" s="2274" t="s">
        <v>2804</v>
      </c>
      <c r="C28" s="2686">
        <f>'Phụ lục số 5'!F27</f>
        <v>8000</v>
      </c>
    </row>
    <row r="29" spans="1:3" ht="19.2" customHeight="1">
      <c r="A29" s="2673">
        <v>7</v>
      </c>
      <c r="B29" s="1399" t="s">
        <v>357</v>
      </c>
      <c r="C29" s="2685">
        <f>SUM(C30:C31)</f>
        <v>100000</v>
      </c>
    </row>
    <row r="30" spans="1:3" ht="19.2" customHeight="1">
      <c r="A30" s="2677" t="s">
        <v>137</v>
      </c>
      <c r="B30" s="137" t="s">
        <v>276</v>
      </c>
      <c r="C30" s="2686">
        <f>'Phụ lục số 5'!F29</f>
        <v>0</v>
      </c>
    </row>
    <row r="31" spans="1:3" ht="19.2" customHeight="1">
      <c r="A31" s="2678" t="s">
        <v>137</v>
      </c>
      <c r="B31" s="2274" t="s">
        <v>2803</v>
      </c>
      <c r="C31" s="2686">
        <f>'Phụ lục số 5'!F30</f>
        <v>100000</v>
      </c>
    </row>
    <row r="32" spans="1:3" ht="19.2" customHeight="1">
      <c r="A32" s="2673">
        <v>8</v>
      </c>
      <c r="B32" s="1399" t="s">
        <v>279</v>
      </c>
      <c r="C32" s="2685">
        <f>SUM(C33:C35)</f>
        <v>14000</v>
      </c>
    </row>
    <row r="33" spans="1:3" ht="19.2" customHeight="1">
      <c r="A33" s="2677" t="s">
        <v>137</v>
      </c>
      <c r="B33" s="137" t="s">
        <v>280</v>
      </c>
      <c r="C33" s="2686">
        <f>'Phụ lục số 5'!F32</f>
        <v>1000</v>
      </c>
    </row>
    <row r="34" spans="1:3" ht="19.2" customHeight="1">
      <c r="A34" s="2677" t="s">
        <v>137</v>
      </c>
      <c r="B34" s="137" t="s">
        <v>281</v>
      </c>
      <c r="C34" s="2686">
        <f>'Phụ lục số 5'!F33</f>
        <v>0</v>
      </c>
    </row>
    <row r="35" spans="1:3" ht="19.2" customHeight="1">
      <c r="A35" s="2677" t="s">
        <v>137</v>
      </c>
      <c r="B35" s="137" t="s">
        <v>282</v>
      </c>
      <c r="C35" s="2686">
        <f>'Phụ lục số 5'!F34</f>
        <v>13000</v>
      </c>
    </row>
    <row r="36" spans="1:3" ht="19.2" customHeight="1">
      <c r="A36" s="2673">
        <v>9</v>
      </c>
      <c r="B36" s="2590" t="s">
        <v>2521</v>
      </c>
      <c r="C36" s="2685">
        <f>'Phụ lục số 5'!F35</f>
        <v>200</v>
      </c>
    </row>
    <row r="37" spans="1:3" ht="19.2" customHeight="1">
      <c r="A37" s="2673" t="s">
        <v>20</v>
      </c>
      <c r="B37" s="1399" t="s">
        <v>2520</v>
      </c>
      <c r="C37" s="2687"/>
    </row>
    <row r="38" spans="1:3" ht="19.2" customHeight="1">
      <c r="A38" s="2673"/>
      <c r="B38" s="16" t="s">
        <v>2551</v>
      </c>
      <c r="C38" s="2688">
        <v>1</v>
      </c>
    </row>
    <row r="39" spans="1:3" ht="19.2" customHeight="1">
      <c r="A39" s="2689" t="s">
        <v>49</v>
      </c>
      <c r="B39" s="29" t="s">
        <v>2522</v>
      </c>
      <c r="C39" s="2690">
        <f>SUM(C40:C41)</f>
        <v>469609</v>
      </c>
    </row>
    <row r="40" spans="1:3" ht="19.2" customHeight="1">
      <c r="A40" s="2689">
        <v>1</v>
      </c>
      <c r="B40" s="29" t="s">
        <v>284</v>
      </c>
      <c r="C40" s="2691">
        <f>'Phụ lục số 5'!H37</f>
        <v>413967</v>
      </c>
    </row>
    <row r="41" spans="1:3" ht="19.2" customHeight="1">
      <c r="A41" s="2689">
        <v>2</v>
      </c>
      <c r="B41" s="29" t="s">
        <v>285</v>
      </c>
      <c r="C41" s="2690">
        <f>SUM(C42:C46)</f>
        <v>55642</v>
      </c>
    </row>
    <row r="42" spans="1:3" ht="36" customHeight="1">
      <c r="A42" s="2628" t="s">
        <v>34</v>
      </c>
      <c r="B42" s="2701" t="str">
        <f>'TỔNG CỘNG'!B42</f>
        <v>Kinh phí hỗ trợ giá sản phẩm, dịch vụ công ích thủy lợi theo quy định tại Nghị định số 96/2018/NĐ-CP ngày 30/6/2018 của Chính phủ</v>
      </c>
      <c r="C42" s="2691">
        <f>'Phụ lục số 5'!H39</f>
        <v>9300</v>
      </c>
    </row>
    <row r="43" spans="1:3" ht="54" customHeight="1">
      <c r="A43" s="2628" t="s">
        <v>35</v>
      </c>
      <c r="B43" s="2701" t="str">
        <f>'TỔNG CỘNG'!B43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691">
        <f>'Phụ lục số 5'!H40</f>
        <v>9500</v>
      </c>
    </row>
    <row r="44" spans="1:3" ht="19.2" customHeight="1">
      <c r="A44" s="2628" t="s">
        <v>36</v>
      </c>
      <c r="B44" s="2701" t="str">
        <f>'TỔNG CỘNG'!B44</f>
        <v>Bổ sung nguồn thực hiện điều chỉnh tiền lương cơ sở tăng thêm đến 1,8 triệu đồng/tháng (12 tháng)</v>
      </c>
      <c r="C44" s="2691">
        <f>'Phụ lục số 5'!H41</f>
        <v>33411</v>
      </c>
    </row>
    <row r="45" spans="1:3" ht="19.2" customHeight="1">
      <c r="A45" s="2628" t="s">
        <v>37</v>
      </c>
      <c r="B45" s="2701" t="str">
        <f>'TỔNG CỘNG'!B45</f>
        <v>Bổ sung có mục tiêu thực hiện chính sách an sinh xã hội (ngoài chính sách tiền lương) (5)</v>
      </c>
      <c r="C45" s="2691">
        <f>'Phụ lục số 5'!H42</f>
        <v>3431</v>
      </c>
    </row>
    <row r="46" spans="1:3">
      <c r="A46" s="2814" t="str">
        <f>'TỔNG CỘNG'!A46</f>
        <v>đ</v>
      </c>
      <c r="B46" s="2701" t="str">
        <f>'TỔNG CỘNG'!B46</f>
        <v>Bổ sung có mục tiêu kinh phí diễn tập khu vực phòng thủ cấp huyện năm 2024</v>
      </c>
      <c r="C46" s="2691">
        <f>'Phụ lục số 5'!H43</f>
        <v>0</v>
      </c>
    </row>
    <row r="47" spans="1:3" ht="19.2" customHeight="1" thickBot="1">
      <c r="A47" s="2695" t="s">
        <v>50</v>
      </c>
      <c r="B47" s="2696" t="s">
        <v>286</v>
      </c>
      <c r="C47" s="2697">
        <f>'Phụ lục số 5'!H44</f>
        <v>36493</v>
      </c>
    </row>
    <row r="48" spans="1:3" ht="18.600000000000001" hidden="1" thickBot="1">
      <c r="A48" s="2692"/>
      <c r="B48" s="2693" t="s">
        <v>287</v>
      </c>
      <c r="C48" s="2694"/>
    </row>
    <row r="50" spans="1:3">
      <c r="A50" s="4769" t="s">
        <v>1050</v>
      </c>
      <c r="B50" s="4769"/>
      <c r="C50" s="4769"/>
    </row>
    <row r="51" spans="1:3" ht="34.950000000000003" customHeight="1">
      <c r="A51" s="4776" t="str">
        <f>'TỔNG CỘNG'!A51:C51</f>
        <v xml:space="preserve">(1): Dự toán thu ngân sách nhà nước năm 2024 không bao gồm các khoản huy động nhân dân đóng góp, các khoản ghi thu, ghi chi vào ngân sách nhà nước theo chế độ quy định.
</v>
      </c>
      <c r="B51" s="4776"/>
      <c r="C51" s="4776"/>
    </row>
    <row r="52" spans="1:3" ht="91.95" customHeight="1">
      <c r="A52" s="4775" t="str">
        <f>'TỔNG CỘNG'!A52:C52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75"/>
      <c r="C52" s="4775"/>
    </row>
    <row r="53" spans="1:3" ht="18" customHeight="1">
      <c r="A53" s="37" t="str">
        <f>'TỔNG CỘNG'!A53:C53</f>
        <v>(4): Các khoản thu phân chia theo tỷ lệ (%) giữa ngân sách cấp Tỉnh và ngân sách cấp huyện</v>
      </c>
    </row>
    <row r="54" spans="1:3" ht="18" customHeight="1">
      <c r="A54" s="4774" t="str">
        <f>'TỔNG CỘNG'!A54:C54</f>
        <v>(5): Chi tiết chế độ, chính sách an sinh xã hội theo Phụ lục số III</v>
      </c>
      <c r="B54" s="4774"/>
      <c r="C54" s="4774"/>
    </row>
    <row r="55" spans="1:3" ht="18" customHeight="1"/>
    <row r="58" spans="1:3">
      <c r="A58" s="4299" t="str">
        <f>'TỔNG CỘNG'!A58:C58</f>
        <v>PHỤ LỤC II</v>
      </c>
      <c r="B58" s="4299"/>
      <c r="C58" s="4299"/>
    </row>
    <row r="59" spans="1:3">
      <c r="A59" s="4299" t="str">
        <f>'TỔNG CỘNG'!A59:C59</f>
        <v>NHIỆM VỤ CHI NGÂN SÁCH HUYỆN, THÀNH PHỐ NĂM 2024</v>
      </c>
      <c r="B59" s="4299"/>
      <c r="C59" s="4299"/>
    </row>
    <row r="60" spans="1:3">
      <c r="A60" s="4299" t="str">
        <f>A3</f>
        <v>HUYỆN HỒNG NGỰ</v>
      </c>
      <c r="B60" s="4299"/>
      <c r="C60" s="4299"/>
    </row>
    <row r="61" spans="1:3" ht="18" customHeight="1">
      <c r="A61" s="4627" t="str">
        <f>A4</f>
        <v>(Kèm theo Quyết định số        /QĐ-UBND-HC ngày      /12/2023 của Uỷ ban nhân dân tỉnh Đồng Tháp)</v>
      </c>
      <c r="B61" s="4627"/>
      <c r="C61" s="4627"/>
    </row>
    <row r="62" spans="1:3" ht="18" customHeight="1">
      <c r="A62" s="2578"/>
      <c r="B62" s="2578"/>
      <c r="C62" s="2578"/>
    </row>
    <row r="63" spans="1:3" ht="18" customHeight="1">
      <c r="A63" s="2578"/>
      <c r="B63" s="2578"/>
      <c r="C63" s="70" t="str">
        <f>C6</f>
        <v>Đơn vị tính: Triệu đồng</v>
      </c>
    </row>
    <row r="64" spans="1:3" s="210" customFormat="1" ht="34.950000000000003" customHeight="1">
      <c r="A64" s="2285" t="s">
        <v>288</v>
      </c>
      <c r="B64" s="2402" t="s">
        <v>791</v>
      </c>
      <c r="C64" s="2403" t="str">
        <f>C7</f>
        <v>Dự toán năm 2024</v>
      </c>
    </row>
    <row r="65" spans="1:3" ht="19.2" customHeight="1">
      <c r="A65" s="2286"/>
      <c r="B65" s="1408" t="str">
        <f>'TỔNG CỘNG'!B65</f>
        <v>Tổng chi (I+II+III+IV)</v>
      </c>
      <c r="C65" s="2589">
        <f>C66+C70+C74+C75+C76</f>
        <v>664002</v>
      </c>
    </row>
    <row r="66" spans="1:3" ht="19.2" customHeight="1">
      <c r="A66" s="2287" t="s">
        <v>9</v>
      </c>
      <c r="B66" s="3283" t="str">
        <f>'TỔNG CỘNG'!B66</f>
        <v>Chi đầu tư phát triển (1)</v>
      </c>
      <c r="C66" s="2594">
        <f>SUM(C68:C69)</f>
        <v>117999.59453397225</v>
      </c>
    </row>
    <row r="67" spans="1:3" ht="19.2" customHeight="1">
      <c r="A67" s="2289"/>
      <c r="B67" s="2294" t="str">
        <f>'TỔNG CỘNG'!B67</f>
        <v>Bao gồm:</v>
      </c>
      <c r="C67" s="2558"/>
    </row>
    <row r="68" spans="1:3" ht="19.2" customHeight="1">
      <c r="A68" s="2291">
        <v>1</v>
      </c>
      <c r="B68" s="2275" t="str">
        <f>'TỔNG CỘNG'!B68</f>
        <v>Chi đầu tư xây dựng cơ bản</v>
      </c>
      <c r="C68" s="2558">
        <f>'Phụ lục số 6'!D8</f>
        <v>27999.594533972257</v>
      </c>
    </row>
    <row r="69" spans="1:3" ht="19.2" customHeight="1">
      <c r="A69" s="2291">
        <v>2</v>
      </c>
      <c r="B69" s="2275" t="str">
        <f>'TỔNG CỘNG'!B69</f>
        <v>Chi đầu tư từ nguồn thu tiền sử dụng đất</v>
      </c>
      <c r="C69" s="2558">
        <f>'Phụ lục số 6'!D9</f>
        <v>90000</v>
      </c>
    </row>
    <row r="70" spans="1:3" ht="19.2" customHeight="1">
      <c r="A70" s="2287" t="s">
        <v>20</v>
      </c>
      <c r="B70" s="2288" t="str">
        <f>'TỔNG CỘNG'!B70</f>
        <v>Chi thường xuyên (2)</v>
      </c>
      <c r="C70" s="2594">
        <f>'Phụ lục số 6'!D10</f>
        <v>535564.81160976144</v>
      </c>
    </row>
    <row r="71" spans="1:3" ht="19.2" customHeight="1">
      <c r="A71" s="2293"/>
      <c r="B71" s="2294" t="str">
        <f>'TỔNG CỘNG'!B71</f>
        <v>Bao gồm:</v>
      </c>
      <c r="C71" s="2558"/>
    </row>
    <row r="72" spans="1:3" ht="19.2" customHeight="1">
      <c r="A72" s="2291">
        <v>1</v>
      </c>
      <c r="B72" s="2275" t="str">
        <f>'TỔNG CỘNG'!B72</f>
        <v>Sự nghiệp giáo dục - đào tạo (3)</v>
      </c>
      <c r="C72" s="2558">
        <f>'Phụ lục số 6'!D12</f>
        <v>319042.11488564592</v>
      </c>
    </row>
    <row r="73" spans="1:3" ht="19.2" customHeight="1">
      <c r="A73" s="2291">
        <v>2</v>
      </c>
      <c r="B73" s="2275" t="str">
        <f>'TỔNG CỘNG'!B73</f>
        <v>Các khoản chi thường xuyên còn lại</v>
      </c>
      <c r="C73" s="2558">
        <f>'Phụ lục số 6'!D13</f>
        <v>216522.69672411552</v>
      </c>
    </row>
    <row r="74" spans="1:3" ht="19.2" customHeight="1">
      <c r="A74" s="2287" t="s">
        <v>49</v>
      </c>
      <c r="B74" s="2288" t="str">
        <f>'TỔNG CỘNG'!B74</f>
        <v>Dự phòng ngân sách</v>
      </c>
      <c r="C74" s="2594">
        <f>'Phụ lục số 6'!D14</f>
        <v>10437.59385626638</v>
      </c>
    </row>
    <row r="75" spans="1:3" ht="19.2" customHeight="1">
      <c r="A75" s="2287" t="s">
        <v>50</v>
      </c>
      <c r="B75" s="2288" t="str">
        <f>'TỔNG CỘNG'!B75</f>
        <v>Chi tạo nguồn cải cách tiền lương</v>
      </c>
      <c r="C75" s="2594">
        <f>'Phụ lục số 6'!D15</f>
        <v>0</v>
      </c>
    </row>
    <row r="76" spans="1:3" ht="19.2" customHeight="1">
      <c r="A76" s="2583" t="s">
        <v>72</v>
      </c>
      <c r="B76" s="1399" t="str">
        <f>'TỔNG CỘNG'!B76</f>
        <v>Chi từ nguồn ngân sách cấp Tỉnh bổ sung có mục tiêu</v>
      </c>
      <c r="C76" s="2594">
        <f>SUM(C77:C81)</f>
        <v>0</v>
      </c>
    </row>
    <row r="77" spans="1:3" ht="19.2" hidden="1" customHeight="1">
      <c r="A77" s="2584" t="s">
        <v>137</v>
      </c>
      <c r="B77" s="16" t="str">
        <f>'TỔNG CỘNG'!B77</f>
        <v>Chi đầu tư xây dựng cơ bản</v>
      </c>
      <c r="C77" s="2558">
        <f>'Phụ lục số 6'!D17</f>
        <v>0</v>
      </c>
    </row>
    <row r="78" spans="1:3" ht="19.2" hidden="1" customHeight="1">
      <c r="A78" s="2584" t="s">
        <v>137</v>
      </c>
      <c r="B78" s="16" t="str">
        <f>'TỔNG CỘNG'!B78</f>
        <v>Chi đầu tư từ nguồn xổ số kiến thiết</v>
      </c>
      <c r="C78" s="2558">
        <f>'Phụ lục số 6'!D18</f>
        <v>0</v>
      </c>
    </row>
    <row r="79" spans="1:3" ht="19.2" hidden="1" customHeight="1">
      <c r="A79" s="2584" t="s">
        <v>137</v>
      </c>
      <c r="B79" s="16" t="str">
        <f>'TỔNG CỘNG'!B79</f>
        <v>Chi từ nguồn ngân sách trung ương bổ sung có mục tiêu (kinh phí sự nghiệp)</v>
      </c>
      <c r="C79" s="2558">
        <f>'Phụ lục số 6'!D19</f>
        <v>0</v>
      </c>
    </row>
    <row r="80" spans="1:3" ht="19.2" hidden="1" customHeight="1">
      <c r="A80" s="2585" t="s">
        <v>137</v>
      </c>
      <c r="B80" s="16" t="str">
        <f>'TỔNG CỘNG'!B80</f>
        <v>Chi từ nguồn ngân sách trung ương bổ sung có mục tiêu (Chương trình Mục tiêu quốc gia)</v>
      </c>
      <c r="C80" s="2558">
        <f>'Phụ lục số 6'!D20</f>
        <v>0</v>
      </c>
    </row>
    <row r="81" spans="1:3" ht="19.2" hidden="1" customHeight="1">
      <c r="A81" s="2586"/>
      <c r="B81" s="2825" t="str">
        <f>'TỔNG CỘNG'!B81</f>
        <v>Chi từ nguồn ngân sách trung ương bổ sung có mục tiêu, nhiệm vụ quan trọng khác</v>
      </c>
      <c r="C81" s="2595">
        <f>'Phụ lục số 6'!D21</f>
        <v>0</v>
      </c>
    </row>
    <row r="83" spans="1:3">
      <c r="A83" s="48" t="s">
        <v>1050</v>
      </c>
      <c r="B83" s="2581"/>
    </row>
    <row r="84" spans="1:3">
      <c r="A84" s="4757" t="s">
        <v>2494</v>
      </c>
      <c r="B84" s="4758"/>
      <c r="C84" s="4758"/>
    </row>
    <row r="85" spans="1:3" s="2249" customFormat="1" ht="60" customHeight="1">
      <c r="A85" s="4771" t="str">
        <f>'TỔNG CỘNG'!A85:C85</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85" s="4771"/>
      <c r="C85" s="4771"/>
    </row>
    <row r="86" spans="1:3" s="2249" customFormat="1" ht="18" customHeight="1">
      <c r="A86" s="4771" t="str">
        <f>'TỔNG CỘNG'!A86:C86</f>
        <v>- Chưa bao gồm chi đầu tư từ nguồn vốn do ngân sách cấp tỉnh quản lý và phân bổ bổ sung có mục tiêu cho ngân sách huyện, thành phố</v>
      </c>
      <c r="B86" s="4771"/>
      <c r="C86" s="4771"/>
    </row>
    <row r="87" spans="1:3">
      <c r="A87" s="4772" t="s">
        <v>2495</v>
      </c>
      <c r="B87" s="4772"/>
      <c r="C87" s="4772"/>
    </row>
    <row r="88" spans="1:3" ht="60" customHeight="1">
      <c r="A88" s="4771" t="str">
        <f>'TỔNG CỘNG'!A88:C88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71"/>
      <c r="C88" s="4771"/>
    </row>
    <row r="89" spans="1:3" s="154" customFormat="1" ht="40.200000000000003" customHeight="1">
      <c r="A89" s="4773" t="str">
        <f>'TỔNG CỘNG'!A89:C89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73"/>
      <c r="C89" s="4773"/>
    </row>
    <row r="90" spans="1:3">
      <c r="A90" s="4774" t="str">
        <f>'TỔNG CỘNG'!A90:B90</f>
        <v xml:space="preserve">- Bao gồm 10% tiết kiệm tăng thêm năm 2024 so với năm 2023 để thực hiện cải cách tiền lương năm 2024 là: </v>
      </c>
      <c r="B90" s="4774"/>
      <c r="C90" s="3369" t="s">
        <v>2663</v>
      </c>
    </row>
    <row r="91" spans="1:3" s="2248" customFormat="1" ht="17.399999999999999">
      <c r="A91" s="4770" t="str">
        <f>'TỔNG CỘNG'!A91:C91</f>
        <v>(3): Trong đó:</v>
      </c>
      <c r="B91" s="4770"/>
      <c r="C91" s="4770"/>
    </row>
    <row r="92" spans="1:3" s="2249" customFormat="1" ht="55.2" customHeight="1">
      <c r="A92" s="4771" t="str">
        <f>'TỔNG CỘNG'!A92:C92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71"/>
      <c r="C92" s="4771"/>
    </row>
    <row r="118" spans="1:5" s="2" customFormat="1" ht="17.399999999999999">
      <c r="A118" s="4299" t="str">
        <f>'TỔNG CỘNG'!A118:C118</f>
        <v>PHỤ LỤC III</v>
      </c>
      <c r="B118" s="4299"/>
      <c r="C118" s="4299"/>
    </row>
    <row r="119" spans="1:5" s="2" customFormat="1" ht="17.399999999999999">
      <c r="A119" s="4299" t="str">
        <f>'TỔNG CỘNG'!A119:C119</f>
        <v>CHẾ ĐỘ CHÍNH SÁCH AN SINH XÃ HỘI TĂNG THÊM NĂM 2024</v>
      </c>
      <c r="B119" s="4299"/>
      <c r="C119" s="4299"/>
    </row>
    <row r="120" spans="1:5" s="2" customFormat="1" ht="17.399999999999999">
      <c r="A120" s="4299" t="str">
        <f>A60</f>
        <v>HUYỆN HỒNG NGỰ</v>
      </c>
      <c r="B120" s="4299"/>
      <c r="C120" s="4299"/>
    </row>
    <row r="121" spans="1:5" s="2" customFormat="1">
      <c r="A121" s="4300" t="str">
        <f>'TỔNG CỘNG'!A121:C121</f>
        <v>(Kèm theo Quyết định số        /QĐ-UBND-HC ngày      /12/2023 của Uỷ ban nhân dân tỉnh Đồng Tháp)</v>
      </c>
      <c r="B121" s="4300"/>
      <c r="C121" s="4300"/>
    </row>
    <row r="123" spans="1:5">
      <c r="A123" s="3285"/>
      <c r="B123" s="3285"/>
      <c r="C123" s="1384" t="str">
        <f>C63</f>
        <v>Đơn vị tính: Triệu đồng</v>
      </c>
    </row>
    <row r="124" spans="1:5" ht="34.799999999999997">
      <c r="A124" s="3286" t="s">
        <v>288</v>
      </c>
      <c r="B124" s="3236" t="s">
        <v>791</v>
      </c>
      <c r="C124" s="1829" t="s">
        <v>1700</v>
      </c>
    </row>
    <row r="125" spans="1:5" s="154" customFormat="1">
      <c r="A125" s="3494"/>
      <c r="B125" s="2386" t="str">
        <f>'TỔNG CỘNG'!B125</f>
        <v>TỔNG CỘNG (I+II)</v>
      </c>
      <c r="C125" s="3505">
        <f>C126+C130</f>
        <v>3431</v>
      </c>
      <c r="E125" s="166">
        <f>C125-C45</f>
        <v>0</v>
      </c>
    </row>
    <row r="126" spans="1:5" s="1319" customFormat="1" ht="17.399999999999999">
      <c r="A126" s="133" t="s">
        <v>9</v>
      </c>
      <c r="B126" s="3782" t="str">
        <f>'TỔNG CỘNG'!B126</f>
        <v>Các chính sách thuộc sự nghiệp giáo dục - đào tạo và dạy nghề</v>
      </c>
      <c r="C126" s="3655">
        <f>SUM(C127:C129)</f>
        <v>1047</v>
      </c>
    </row>
    <row r="127" spans="1:5" s="154" customFormat="1" ht="36">
      <c r="A127" s="136">
        <v>1</v>
      </c>
      <c r="B127" s="803" t="str">
        <f>'TỔNG CỘNG'!B127</f>
        <v>Chính sách hỗ trợ chi phí học tập và miễn giảm học phí theo quy định tại Nghị định số 81/2021/NĐ-CP ngày 27/08/2021 của Chính phủ</v>
      </c>
      <c r="C127" s="2335">
        <f>'Phụ lục 7.3-CĐCS'!AC13</f>
        <v>715</v>
      </c>
    </row>
    <row r="128" spans="1:5" s="154" customFormat="1">
      <c r="A128" s="136">
        <v>2</v>
      </c>
      <c r="B128" s="3775" t="str">
        <f>'TỔNG CỘNG'!B128</f>
        <v>Chính sách phát triển giao dục mầm non Nghị định 105/2020/NĐ-CP ngày 08/09/2020 của Chính phủ</v>
      </c>
      <c r="C128" s="2335">
        <f>'Phụ lục 7.3-CĐCS'!AC14</f>
        <v>96</v>
      </c>
    </row>
    <row r="129" spans="1:3" s="154" customFormat="1" ht="36">
      <c r="A129" s="136">
        <v>3</v>
      </c>
      <c r="B129" s="3775" t="str">
        <f>'TỔNG CỘNG'!B129</f>
        <v>Học bổng, chi phí học tập cho học sinh khuyết tật theo Thông tư liên tịch số 42/2013/TTLT-BGDĐT-BLĐTBXH-BTC ngày 31/12/2013</v>
      </c>
      <c r="C129" s="2335">
        <f>'Phụ lục 7.3-CĐCS'!AC15</f>
        <v>236</v>
      </c>
    </row>
    <row r="130" spans="1:3" s="1319" customFormat="1" ht="17.399999999999999">
      <c r="A130" s="133" t="s">
        <v>20</v>
      </c>
      <c r="B130" s="3782" t="str">
        <f>'TỔNG CỘNG'!B130</f>
        <v>Các chính sách thuộc sự nghiệp đảm bảo xã hội</v>
      </c>
      <c r="C130" s="3655">
        <f>SUM(C131:C132)</f>
        <v>2384</v>
      </c>
    </row>
    <row r="131" spans="1:3" s="154" customFormat="1" ht="36">
      <c r="A131" s="136">
        <v>1</v>
      </c>
      <c r="B131" s="3775" t="str">
        <f>'TỔNG CỘNG'!B131</f>
        <v>Chính sách hỗ trợ thường xuyên cho đối tượng bảo trợ xã hội theo quy định tại Nghị định số 20/2021/NĐ-CP ngày 15/03/2021 của Chính phủ</v>
      </c>
      <c r="C131" s="2335">
        <f>'Phụ lục 7.3-CĐCS'!AC17+'Phụ lục 7.3-CĐCS'!AC18</f>
        <v>2384</v>
      </c>
    </row>
    <row r="132" spans="1:3" s="154" customFormat="1" ht="36">
      <c r="A132" s="2298">
        <v>2</v>
      </c>
      <c r="B132" s="3783" t="str">
        <f>'TỔNG CỘNG'!B132</f>
        <v>Chính sách hỗ trợ tiền điện cho hộ nghèo, hộ chính sách xã hội theo quy định tại Quyết định số 28/2014/QĐ-TTg ngày 07/4/2014 của Thủ tướng Chính phủ</v>
      </c>
      <c r="C132" s="2338"/>
    </row>
  </sheetData>
  <mergeCells count="25">
    <mergeCell ref="A59:C59"/>
    <mergeCell ref="A60:C60"/>
    <mergeCell ref="A61:C61"/>
    <mergeCell ref="A84:C84"/>
    <mergeCell ref="A85:C85"/>
    <mergeCell ref="A1:C1"/>
    <mergeCell ref="A58:C58"/>
    <mergeCell ref="A52:C52"/>
    <mergeCell ref="A2:C2"/>
    <mergeCell ref="A3:C3"/>
    <mergeCell ref="A4:C4"/>
    <mergeCell ref="A50:C50"/>
    <mergeCell ref="A51:C51"/>
    <mergeCell ref="A54:C54"/>
    <mergeCell ref="A87:C87"/>
    <mergeCell ref="A88:C88"/>
    <mergeCell ref="A89:C89"/>
    <mergeCell ref="A90:B90"/>
    <mergeCell ref="A86:C86"/>
    <mergeCell ref="A118:C118"/>
    <mergeCell ref="A119:C119"/>
    <mergeCell ref="A121:C121"/>
    <mergeCell ref="A120:C120"/>
    <mergeCell ref="A91:C91"/>
    <mergeCell ref="A92:C92"/>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workbookViewId="0">
      <selection activeCell="C235" sqref="C235"/>
    </sheetView>
  </sheetViews>
  <sheetFormatPr defaultColWidth="8.69921875" defaultRowHeight="18"/>
  <cols>
    <col min="1" max="1" width="5.69921875" style="37" customWidth="1"/>
    <col min="2" max="2" width="96.69921875" style="37" customWidth="1"/>
    <col min="3" max="3" width="25.69921875" style="37" customWidth="1"/>
    <col min="4" max="16384" width="8.69921875" style="37"/>
  </cols>
  <sheetData>
    <row r="1" spans="1:3">
      <c r="A1" s="4299" t="str">
        <f>'H. HỒNG NGỰ'!A1:C1</f>
        <v>PHỤ LỤC I</v>
      </c>
      <c r="B1" s="4299"/>
      <c r="C1" s="4299"/>
    </row>
    <row r="2" spans="1:3">
      <c r="A2" s="4299" t="str">
        <f>'H. HỒNG NGỰ'!A2:C2</f>
        <v>NHIỆM VỤ THU NGÂN SÁCH NHÀ NƯỚC NĂM 2024</v>
      </c>
      <c r="B2" s="4299"/>
      <c r="C2" s="4299"/>
    </row>
    <row r="3" spans="1:3">
      <c r="A3" s="4299" t="s">
        <v>364</v>
      </c>
      <c r="B3" s="4299"/>
      <c r="C3" s="4299"/>
    </row>
    <row r="4" spans="1:3" ht="15.6" customHeight="1">
      <c r="A4" s="4627" t="str">
        <f>'H. HỒNG NGỰ'!A4:C4</f>
        <v>(Kèm theo Quyết định số        /QĐ-UBND-HC ngày      /12/2023 của Uỷ ban nhân dân tỉnh Đồng Tháp)</v>
      </c>
      <c r="B4" s="4627"/>
      <c r="C4" s="4627"/>
    </row>
    <row r="5" spans="1:3">
      <c r="A5" s="2578"/>
      <c r="B5" s="2578"/>
    </row>
    <row r="6" spans="1:3" ht="18.600000000000001" thickBot="1">
      <c r="A6" s="2578"/>
      <c r="B6" s="2578"/>
      <c r="C6" s="39" t="s">
        <v>64</v>
      </c>
    </row>
    <row r="7" spans="1:3" s="1319" customFormat="1" ht="30" customHeight="1">
      <c r="A7" s="2145" t="s">
        <v>244</v>
      </c>
      <c r="B7" s="2669" t="s">
        <v>791</v>
      </c>
      <c r="C7" s="2668" t="s">
        <v>1700</v>
      </c>
    </row>
    <row r="8" spans="1:3" ht="19.2" customHeight="1">
      <c r="A8" s="2672" t="s">
        <v>9</v>
      </c>
      <c r="B8" s="2268" t="s">
        <v>263</v>
      </c>
      <c r="C8" s="2682">
        <f>C10+C16+C19+C20+C21+C22+C26+C29+C32+C36</f>
        <v>430350</v>
      </c>
    </row>
    <row r="9" spans="1:3" ht="19.2" customHeight="1">
      <c r="A9" s="2683"/>
      <c r="B9" s="2518" t="s">
        <v>264</v>
      </c>
      <c r="C9" s="2684">
        <f>C8-C29</f>
        <v>130350</v>
      </c>
    </row>
    <row r="10" spans="1:3" ht="19.2" customHeight="1">
      <c r="A10" s="2673">
        <v>1</v>
      </c>
      <c r="B10" s="1399" t="s">
        <v>352</v>
      </c>
      <c r="C10" s="2685">
        <f>SUM(C11:C15)</f>
        <v>54000</v>
      </c>
    </row>
    <row r="11" spans="1:3" ht="19.2" customHeight="1">
      <c r="A11" s="2674" t="s">
        <v>137</v>
      </c>
      <c r="B11" s="16" t="s">
        <v>266</v>
      </c>
      <c r="C11" s="2686">
        <f>'Phụ lục số 5'!I10</f>
        <v>45500</v>
      </c>
    </row>
    <row r="12" spans="1:3" ht="19.2" customHeight="1">
      <c r="A12" s="2674" t="s">
        <v>137</v>
      </c>
      <c r="B12" s="16" t="s">
        <v>267</v>
      </c>
      <c r="C12" s="2686">
        <f>'Phụ lục số 5'!I11</f>
        <v>6180</v>
      </c>
    </row>
    <row r="13" spans="1:3" ht="19.2" customHeight="1">
      <c r="A13" s="2674" t="s">
        <v>137</v>
      </c>
      <c r="B13" s="16" t="s">
        <v>268</v>
      </c>
      <c r="C13" s="2686">
        <f>'Phụ lục số 5'!I12</f>
        <v>800</v>
      </c>
    </row>
    <row r="14" spans="1:3" ht="19.2" customHeight="1">
      <c r="A14" s="2674" t="s">
        <v>137</v>
      </c>
      <c r="B14" s="16" t="s">
        <v>14</v>
      </c>
      <c r="C14" s="2686">
        <f>'Phụ lục số 5'!I13</f>
        <v>20</v>
      </c>
    </row>
    <row r="15" spans="1:3" ht="19.2" customHeight="1">
      <c r="A15" s="2674" t="s">
        <v>137</v>
      </c>
      <c r="B15" s="16" t="s">
        <v>269</v>
      </c>
      <c r="C15" s="2686">
        <f>'Phụ lục số 5'!I14</f>
        <v>1500</v>
      </c>
    </row>
    <row r="16" spans="1:3" ht="19.2" customHeight="1">
      <c r="A16" s="2673">
        <v>2</v>
      </c>
      <c r="B16" s="1399" t="s">
        <v>97</v>
      </c>
      <c r="C16" s="2685">
        <f>SUM(C17:C18)</f>
        <v>20000</v>
      </c>
    </row>
    <row r="17" spans="1:3" ht="19.2" hidden="1" customHeight="1">
      <c r="A17" s="2675" t="s">
        <v>137</v>
      </c>
      <c r="B17" s="137" t="s">
        <v>276</v>
      </c>
      <c r="C17" s="2686">
        <f>'Phụ lục số 5'!I16</f>
        <v>0</v>
      </c>
    </row>
    <row r="18" spans="1:3" ht="19.2" hidden="1" customHeight="1">
      <c r="A18" s="2676" t="s">
        <v>137</v>
      </c>
      <c r="B18" s="2274" t="s">
        <v>277</v>
      </c>
      <c r="C18" s="2686">
        <f>'Phụ lục số 5'!I17</f>
        <v>20000</v>
      </c>
    </row>
    <row r="19" spans="1:3" ht="19.2" customHeight="1">
      <c r="A19" s="2673">
        <v>3</v>
      </c>
      <c r="B19" s="1399" t="s">
        <v>16</v>
      </c>
      <c r="C19" s="2685">
        <f>'Phụ lục số 5'!I18</f>
        <v>24000</v>
      </c>
    </row>
    <row r="20" spans="1:3" ht="19.2" customHeight="1">
      <c r="A20" s="2673">
        <v>4</v>
      </c>
      <c r="B20" s="1399" t="s">
        <v>270</v>
      </c>
      <c r="C20" s="2685">
        <f>'Phụ lục số 5'!I19</f>
        <v>0</v>
      </c>
    </row>
    <row r="21" spans="1:3" ht="19.2" customHeight="1">
      <c r="A21" s="2673">
        <v>4</v>
      </c>
      <c r="B21" s="1399" t="s">
        <v>271</v>
      </c>
      <c r="C21" s="2685">
        <f>'Phụ lục số 5'!I20</f>
        <v>250</v>
      </c>
    </row>
    <row r="22" spans="1:3" ht="19.2" customHeight="1">
      <c r="A22" s="2673">
        <v>5</v>
      </c>
      <c r="B22" s="1399" t="s">
        <v>272</v>
      </c>
      <c r="C22" s="2685">
        <f>SUM(C23:C25)</f>
        <v>6000</v>
      </c>
    </row>
    <row r="23" spans="1:3" ht="19.2" customHeight="1">
      <c r="A23" s="2677" t="s">
        <v>137</v>
      </c>
      <c r="B23" s="137" t="s">
        <v>273</v>
      </c>
      <c r="C23" s="2686">
        <f>'Phụ lục số 5'!I22</f>
        <v>3000</v>
      </c>
    </row>
    <row r="24" spans="1:3" ht="19.2" customHeight="1">
      <c r="A24" s="2677" t="s">
        <v>137</v>
      </c>
      <c r="B24" s="137" t="s">
        <v>274</v>
      </c>
      <c r="C24" s="2686">
        <f>'Phụ lục số 5'!I23</f>
        <v>0</v>
      </c>
    </row>
    <row r="25" spans="1:3" ht="19.2" customHeight="1">
      <c r="A25" s="2677" t="s">
        <v>137</v>
      </c>
      <c r="B25" s="137" t="s">
        <v>275</v>
      </c>
      <c r="C25" s="2686">
        <f>'Phụ lục số 5'!I24</f>
        <v>3000</v>
      </c>
    </row>
    <row r="26" spans="1:3" ht="19.2" customHeight="1">
      <c r="A26" s="2673">
        <v>6</v>
      </c>
      <c r="B26" s="1399" t="s">
        <v>98</v>
      </c>
      <c r="C26" s="2685">
        <f>SUM(C27:C28)</f>
        <v>9000</v>
      </c>
    </row>
    <row r="27" spans="1:3" ht="19.2" customHeight="1">
      <c r="A27" s="2677" t="s">
        <v>137</v>
      </c>
      <c r="B27" s="137" t="s">
        <v>276</v>
      </c>
      <c r="C27" s="2686">
        <f>'Phụ lục số 5'!I26</f>
        <v>0</v>
      </c>
    </row>
    <row r="28" spans="1:3" ht="19.2" customHeight="1">
      <c r="A28" s="2678" t="s">
        <v>137</v>
      </c>
      <c r="B28" s="2274" t="s">
        <v>2804</v>
      </c>
      <c r="C28" s="2686">
        <f>'Phụ lục số 5'!I27</f>
        <v>9000</v>
      </c>
    </row>
    <row r="29" spans="1:3" ht="19.2" customHeight="1">
      <c r="A29" s="2673">
        <v>7</v>
      </c>
      <c r="B29" s="1399" t="s">
        <v>357</v>
      </c>
      <c r="C29" s="2685">
        <f>SUM(C30:C31)</f>
        <v>300000</v>
      </c>
    </row>
    <row r="30" spans="1:3" ht="19.2" customHeight="1">
      <c r="A30" s="2677" t="s">
        <v>137</v>
      </c>
      <c r="B30" s="137" t="s">
        <v>276</v>
      </c>
      <c r="C30" s="2686">
        <f>'Phụ lục số 5'!I29</f>
        <v>0</v>
      </c>
    </row>
    <row r="31" spans="1:3" ht="19.2" customHeight="1">
      <c r="A31" s="2678" t="s">
        <v>137</v>
      </c>
      <c r="B31" s="2274" t="s">
        <v>2803</v>
      </c>
      <c r="C31" s="2686">
        <f>'Phụ lục số 5'!I30</f>
        <v>300000</v>
      </c>
    </row>
    <row r="32" spans="1:3" ht="19.2" customHeight="1">
      <c r="A32" s="2673">
        <v>8</v>
      </c>
      <c r="B32" s="1399" t="s">
        <v>279</v>
      </c>
      <c r="C32" s="2685">
        <f>SUM(C33:C35)</f>
        <v>17000</v>
      </c>
    </row>
    <row r="33" spans="1:3" ht="19.2" customHeight="1">
      <c r="A33" s="2677" t="s">
        <v>137</v>
      </c>
      <c r="B33" s="137" t="s">
        <v>280</v>
      </c>
      <c r="C33" s="2686">
        <f>'Phụ lục số 5'!I32</f>
        <v>6000</v>
      </c>
    </row>
    <row r="34" spans="1:3" ht="19.2" customHeight="1">
      <c r="A34" s="2677" t="s">
        <v>137</v>
      </c>
      <c r="B34" s="137" t="s">
        <v>281</v>
      </c>
      <c r="C34" s="2686">
        <f>'Phụ lục số 5'!I33</f>
        <v>4000</v>
      </c>
    </row>
    <row r="35" spans="1:3" ht="19.2" customHeight="1">
      <c r="A35" s="2677" t="s">
        <v>137</v>
      </c>
      <c r="B35" s="137" t="s">
        <v>282</v>
      </c>
      <c r="C35" s="2686">
        <f>'Phụ lục số 5'!I34</f>
        <v>7000</v>
      </c>
    </row>
    <row r="36" spans="1:3" ht="19.2" customHeight="1">
      <c r="A36" s="2673">
        <v>9</v>
      </c>
      <c r="B36" s="2590" t="s">
        <v>2521</v>
      </c>
      <c r="C36" s="2685">
        <f>'Phụ lục số 5'!I35</f>
        <v>100</v>
      </c>
    </row>
    <row r="37" spans="1:3" ht="19.2" customHeight="1">
      <c r="A37" s="2673" t="s">
        <v>20</v>
      </c>
      <c r="B37" s="1399" t="s">
        <v>2520</v>
      </c>
      <c r="C37" s="2687"/>
    </row>
    <row r="38" spans="1:3" ht="19.2" customHeight="1">
      <c r="A38" s="2673"/>
      <c r="B38" s="16" t="s">
        <v>2523</v>
      </c>
      <c r="C38" s="2688">
        <v>1</v>
      </c>
    </row>
    <row r="39" spans="1:3" s="154" customFormat="1" ht="19.2" customHeight="1">
      <c r="A39" s="2689" t="s">
        <v>49</v>
      </c>
      <c r="B39" s="29" t="s">
        <v>2522</v>
      </c>
      <c r="C39" s="2690">
        <f>SUM(C40:C41)</f>
        <v>291055</v>
      </c>
    </row>
    <row r="40" spans="1:3" s="154" customFormat="1" ht="19.2" customHeight="1">
      <c r="A40" s="2689">
        <v>1</v>
      </c>
      <c r="B40" s="29" t="s">
        <v>284</v>
      </c>
      <c r="C40" s="2691">
        <f>'Phụ lục số 5'!K37</f>
        <v>225665</v>
      </c>
    </row>
    <row r="41" spans="1:3" s="154" customFormat="1" ht="19.2" customHeight="1">
      <c r="A41" s="2689">
        <v>2</v>
      </c>
      <c r="B41" s="29" t="s">
        <v>285</v>
      </c>
      <c r="C41" s="2690">
        <f>SUM(C42:C46)</f>
        <v>65390</v>
      </c>
    </row>
    <row r="42" spans="1:3" s="154" customFormat="1" ht="36" customHeight="1">
      <c r="A42" s="2628" t="s">
        <v>34</v>
      </c>
      <c r="B42" s="2701" t="str">
        <f>'H. HỒNG NGỰ'!B42</f>
        <v>Kinh phí hỗ trợ giá sản phẩm, dịch vụ công ích thủy lợi theo quy định tại Nghị định số 96/2018/NĐ-CP ngày 30/6/2018 của Chính phủ</v>
      </c>
      <c r="C42" s="2691">
        <f>'Phụ lục số 5'!K39</f>
        <v>5800</v>
      </c>
    </row>
    <row r="43" spans="1:3" s="154" customFormat="1" ht="54" customHeight="1">
      <c r="A43" s="2628" t="s">
        <v>35</v>
      </c>
      <c r="B43" s="2701" t="str">
        <f>'H. HỒNG NGỰ'!B43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691">
        <f>'Phụ lục số 5'!K40</f>
        <v>7500</v>
      </c>
    </row>
    <row r="44" spans="1:3" s="154" customFormat="1" ht="19.2" customHeight="1">
      <c r="A44" s="2628" t="s">
        <v>36</v>
      </c>
      <c r="B44" s="2701" t="str">
        <f>'H. HỒNG NGỰ'!B44</f>
        <v>Bổ sung nguồn thực hiện điều chỉnh tiền lương cơ sở tăng thêm đến 1,8 triệu đồng/tháng (12 tháng)</v>
      </c>
      <c r="C44" s="2691">
        <f>'Phụ lục số 5'!K41</f>
        <v>46035</v>
      </c>
    </row>
    <row r="45" spans="1:3" s="154" customFormat="1" ht="19.2" customHeight="1">
      <c r="A45" s="2628" t="s">
        <v>37</v>
      </c>
      <c r="B45" s="2701" t="str">
        <f>'H. HỒNG NGỰ'!B45</f>
        <v>Bổ sung có mục tiêu thực hiện chính sách an sinh xã hội (ngoài chính sách tiền lương) (5)</v>
      </c>
      <c r="C45" s="2691">
        <f>'Phụ lục số 5'!K42</f>
        <v>4055</v>
      </c>
    </row>
    <row r="46" spans="1:3" s="154" customFormat="1">
      <c r="A46" s="2814" t="str">
        <f>'TỔNG CỘNG'!A46</f>
        <v>đ</v>
      </c>
      <c r="B46" s="2701" t="str">
        <f>'H. HỒNG NGỰ'!B46</f>
        <v>Bổ sung có mục tiêu kinh phí diễn tập khu vực phòng thủ cấp huyện năm 2024</v>
      </c>
      <c r="C46" s="2691">
        <f>'Phụ lục số 5'!K43</f>
        <v>2000</v>
      </c>
    </row>
    <row r="47" spans="1:3" s="154" customFormat="1" ht="19.2" customHeight="1" thickBot="1">
      <c r="A47" s="2695" t="s">
        <v>50</v>
      </c>
      <c r="B47" s="2696" t="s">
        <v>286</v>
      </c>
      <c r="C47" s="2697">
        <f>'Phụ lục số 5'!K44</f>
        <v>0</v>
      </c>
    </row>
    <row r="48" spans="1:3" hidden="1">
      <c r="A48" s="2698"/>
      <c r="B48" s="2698" t="s">
        <v>287</v>
      </c>
      <c r="C48" s="2699"/>
    </row>
    <row r="50" spans="1:3">
      <c r="A50" s="4769" t="s">
        <v>1050</v>
      </c>
      <c r="B50" s="4769"/>
      <c r="C50" s="4769"/>
    </row>
    <row r="51" spans="1:3" ht="34.950000000000003" customHeight="1">
      <c r="A51" s="4776" t="str">
        <f>'H. HỒNG NGỰ'!A51:C51</f>
        <v xml:space="preserve">(1): Dự toán thu ngân sách nhà nước năm 2024 không bao gồm các khoản huy động nhân dân đóng góp, các khoản ghi thu, ghi chi vào ngân sách nhà nước theo chế độ quy định.
</v>
      </c>
      <c r="B51" s="4776"/>
      <c r="C51" s="4776"/>
    </row>
    <row r="52" spans="1:3" ht="91.95" customHeight="1">
      <c r="A52" s="4775" t="str">
        <f>'H. HỒNG NGỰ'!A52:C52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75"/>
      <c r="C52" s="4775"/>
    </row>
    <row r="53" spans="1:3" ht="18" customHeight="1">
      <c r="A53" s="37" t="str">
        <f>'H. HỒNG NGỰ'!A53</f>
        <v>(4): Các khoản thu phân chia theo tỷ lệ (%) giữa ngân sách cấp Tỉnh và ngân sách cấp huyện</v>
      </c>
    </row>
    <row r="54" spans="1:3" ht="18" customHeight="1">
      <c r="A54" s="37" t="str">
        <f>'H. HỒNG NGỰ'!A54</f>
        <v>(5): Chi tiết chế độ, chính sách an sinh xã hội theo Phụ lục số III</v>
      </c>
    </row>
    <row r="55" spans="1:3" ht="18" customHeight="1"/>
    <row r="58" spans="1:3">
      <c r="A58" s="4299" t="str">
        <f>'H. HỒNG NGỰ'!A58:C58</f>
        <v>PHỤ LỤC II</v>
      </c>
      <c r="B58" s="4299"/>
      <c r="C58" s="4299"/>
    </row>
    <row r="59" spans="1:3">
      <c r="A59" s="4299" t="str">
        <f>'H. HỒNG NGỰ'!A59:C59</f>
        <v>NHIỆM VỤ CHI NGÂN SÁCH HUYỆN, THÀNH PHỐ NĂM 2024</v>
      </c>
      <c r="B59" s="4299"/>
      <c r="C59" s="4299"/>
    </row>
    <row r="60" spans="1:3">
      <c r="A60" s="4299" t="str">
        <f>A3</f>
        <v>THÀNH PHỐ HỒNG NGỰ</v>
      </c>
      <c r="B60" s="4299"/>
      <c r="C60" s="4299"/>
    </row>
    <row r="61" spans="1:3" ht="18" customHeight="1">
      <c r="A61" s="4627" t="str">
        <f>A4</f>
        <v>(Kèm theo Quyết định số        /QĐ-UBND-HC ngày      /12/2023 của Uỷ ban nhân dân tỉnh Đồng Tháp)</v>
      </c>
      <c r="B61" s="4627"/>
      <c r="C61" s="4627"/>
    </row>
    <row r="62" spans="1:3" ht="18" customHeight="1">
      <c r="A62" s="2578"/>
      <c r="B62" s="2578"/>
      <c r="C62" s="2578"/>
    </row>
    <row r="63" spans="1:3" ht="18" customHeight="1">
      <c r="A63" s="2578"/>
      <c r="B63" s="2578"/>
      <c r="C63" s="70" t="str">
        <f>C6</f>
        <v>Đơn vị tính: Triệu đồng</v>
      </c>
    </row>
    <row r="64" spans="1:3" s="210" customFormat="1" ht="34.950000000000003" customHeight="1">
      <c r="A64" s="2285" t="s">
        <v>288</v>
      </c>
      <c r="B64" s="2402" t="str">
        <f>'H. HỒNG NGỰ'!B64</f>
        <v>Nội dung</v>
      </c>
      <c r="C64" s="2403" t="str">
        <f>C7</f>
        <v>Dự toán năm 2024</v>
      </c>
    </row>
    <row r="65" spans="1:3" ht="19.2" customHeight="1">
      <c r="A65" s="2286"/>
      <c r="B65" s="1408" t="str">
        <f>'H. HỒNG NGỰ'!B65</f>
        <v>Tổng chi (I+II+III+IV)</v>
      </c>
      <c r="C65" s="2589">
        <f>C66+C70+C74+C75+C76</f>
        <v>675185</v>
      </c>
    </row>
    <row r="66" spans="1:3" ht="19.2" customHeight="1">
      <c r="A66" s="2287" t="s">
        <v>9</v>
      </c>
      <c r="B66" s="2288" t="str">
        <f>'H. HỒNG NGỰ'!B66</f>
        <v>Chi đầu tư phát triển (1)</v>
      </c>
      <c r="C66" s="2594">
        <f>SUM(C68:C69)</f>
        <v>298000.23934054258</v>
      </c>
    </row>
    <row r="67" spans="1:3" ht="19.2" customHeight="1">
      <c r="A67" s="2289"/>
      <c r="B67" s="2290" t="str">
        <f>'H. HỒNG NGỰ'!B67</f>
        <v>Bao gồm:</v>
      </c>
      <c r="C67" s="2558"/>
    </row>
    <row r="68" spans="1:3" ht="19.2" customHeight="1">
      <c r="A68" s="2291">
        <v>1</v>
      </c>
      <c r="B68" s="3284" t="str">
        <f>'H. HỒNG NGỰ'!B68</f>
        <v>Chi đầu tư xây dựng cơ bản</v>
      </c>
      <c r="C68" s="2558">
        <f>'Phụ lục số 6'!E8</f>
        <v>28000.239340542557</v>
      </c>
    </row>
    <row r="69" spans="1:3" ht="19.2" customHeight="1">
      <c r="A69" s="2291">
        <v>2</v>
      </c>
      <c r="B69" s="3284" t="str">
        <f>'H. HỒNG NGỰ'!B69</f>
        <v>Chi đầu tư từ nguồn thu tiền sử dụng đất</v>
      </c>
      <c r="C69" s="2558">
        <f>'Phụ lục số 6'!E9</f>
        <v>270000</v>
      </c>
    </row>
    <row r="70" spans="1:3" ht="19.2" customHeight="1">
      <c r="A70" s="2287" t="s">
        <v>20</v>
      </c>
      <c r="B70" s="2288" t="str">
        <f>'H. HỒNG NGỰ'!B70</f>
        <v>Chi thường xuyên (2)</v>
      </c>
      <c r="C70" s="2594">
        <f>'Phụ lục số 6'!E10</f>
        <v>365685.54508638143</v>
      </c>
    </row>
    <row r="71" spans="1:3" ht="19.2" customHeight="1">
      <c r="A71" s="2293"/>
      <c r="B71" s="2294" t="str">
        <f>'H. HỒNG NGỰ'!B71</f>
        <v>Bao gồm:</v>
      </c>
      <c r="C71" s="2558"/>
    </row>
    <row r="72" spans="1:3" ht="19.2" customHeight="1">
      <c r="A72" s="2291">
        <v>1</v>
      </c>
      <c r="B72" s="2275" t="str">
        <f>'H. HỒNG NGỰ'!B72</f>
        <v>Sự nghiệp giáo dục - đào tạo (3)</v>
      </c>
      <c r="C72" s="2558">
        <f>'Phụ lục số 6'!E12</f>
        <v>186442.40845576092</v>
      </c>
    </row>
    <row r="73" spans="1:3" ht="19.2" customHeight="1">
      <c r="A73" s="2291">
        <v>2</v>
      </c>
      <c r="B73" s="2275" t="str">
        <f>'H. HỒNG NGỰ'!B73</f>
        <v>Các khoản chi thường xuyên còn lại</v>
      </c>
      <c r="C73" s="2558">
        <f>'Phụ lục số 6'!E13</f>
        <v>179243.13663062052</v>
      </c>
    </row>
    <row r="74" spans="1:3" ht="19.2" customHeight="1">
      <c r="A74" s="2287" t="s">
        <v>49</v>
      </c>
      <c r="B74" s="2288" t="str">
        <f>'H. HỒNG NGỰ'!B74</f>
        <v>Dự phòng ngân sách</v>
      </c>
      <c r="C74" s="2556">
        <f>'Phụ lục số 6'!E14</f>
        <v>11499.215573075984</v>
      </c>
    </row>
    <row r="75" spans="1:3" ht="19.2" customHeight="1">
      <c r="A75" s="2287" t="s">
        <v>50</v>
      </c>
      <c r="B75" s="2288" t="str">
        <f>'H. HỒNG NGỰ'!B75</f>
        <v>Chi tạo nguồn cải cách tiền lương</v>
      </c>
      <c r="C75" s="2594">
        <f>'Phụ lục số 6'!E15</f>
        <v>0</v>
      </c>
    </row>
    <row r="76" spans="1:3" ht="19.2" customHeight="1">
      <c r="A76" s="2583" t="s">
        <v>72</v>
      </c>
      <c r="B76" s="1399" t="str">
        <f>'H. HỒNG NGỰ'!B76</f>
        <v>Chi từ nguồn ngân sách cấp Tỉnh bổ sung có mục tiêu</v>
      </c>
      <c r="C76" s="2594">
        <f>SUM(C77:C81)</f>
        <v>0</v>
      </c>
    </row>
    <row r="77" spans="1:3" ht="19.2" hidden="1" customHeight="1">
      <c r="A77" s="2584" t="s">
        <v>137</v>
      </c>
      <c r="B77" s="16" t="str">
        <f>'H. HỒNG NGỰ'!B77</f>
        <v>Chi đầu tư xây dựng cơ bản</v>
      </c>
      <c r="C77" s="2558">
        <f>'Phụ lục số 6'!E17</f>
        <v>0</v>
      </c>
    </row>
    <row r="78" spans="1:3" ht="19.2" hidden="1" customHeight="1">
      <c r="A78" s="2584" t="s">
        <v>137</v>
      </c>
      <c r="B78" s="16" t="str">
        <f>'H. HỒNG NGỰ'!B78</f>
        <v>Chi đầu tư từ nguồn xổ số kiến thiết</v>
      </c>
      <c r="C78" s="2558">
        <f>'Phụ lục số 6'!E18</f>
        <v>0</v>
      </c>
    </row>
    <row r="79" spans="1:3" ht="19.2" hidden="1" customHeight="1">
      <c r="A79" s="2584" t="s">
        <v>137</v>
      </c>
      <c r="B79" s="16" t="str">
        <f>'H. HỒNG NGỰ'!B79</f>
        <v>Chi từ nguồn ngân sách trung ương bổ sung có mục tiêu (kinh phí sự nghiệp)</v>
      </c>
      <c r="C79" s="2558">
        <f>'Phụ lục số 6'!E19</f>
        <v>0</v>
      </c>
    </row>
    <row r="80" spans="1:3" ht="19.2" hidden="1" customHeight="1">
      <c r="A80" s="2585" t="s">
        <v>137</v>
      </c>
      <c r="B80" s="16" t="str">
        <f>'H. HỒNG NGỰ'!B80</f>
        <v>Chi từ nguồn ngân sách trung ương bổ sung có mục tiêu (Chương trình Mục tiêu quốc gia)</v>
      </c>
      <c r="C80" s="2558">
        <f>'Phụ lục số 6'!E20</f>
        <v>0</v>
      </c>
    </row>
    <row r="81" spans="1:3" ht="19.2" hidden="1" customHeight="1">
      <c r="A81" s="2586"/>
      <c r="B81" s="2825" t="str">
        <f>'H. HỒNG NGỰ'!B81</f>
        <v>Chi từ nguồn ngân sách trung ương bổ sung có mục tiêu, nhiệm vụ quan trọng khác</v>
      </c>
      <c r="C81" s="2595">
        <f>'Phụ lục số 6'!E21</f>
        <v>0</v>
      </c>
    </row>
    <row r="83" spans="1:3">
      <c r="A83" s="48" t="s">
        <v>1050</v>
      </c>
      <c r="B83" s="2581"/>
    </row>
    <row r="84" spans="1:3" s="2249" customFormat="1">
      <c r="A84" s="4777" t="s">
        <v>2642</v>
      </c>
      <c r="B84" s="4778"/>
      <c r="C84" s="4778"/>
    </row>
    <row r="85" spans="1:3" s="2249" customFormat="1" ht="60" customHeight="1">
      <c r="A85" s="4756" t="str">
        <f>'H. HỒNG NGỰ'!A85:C85</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85" s="4756"/>
      <c r="C85" s="4756"/>
    </row>
    <row r="86" spans="1:3" s="2249" customFormat="1" ht="18" customHeight="1">
      <c r="A86" s="4756" t="str">
        <f>'H. HỒNG NGỰ'!A86:C86</f>
        <v>- Chưa bao gồm chi đầu tư từ nguồn vốn do ngân sách cấp tỉnh quản lý và phân bổ bổ sung có mục tiêu cho ngân sách huyện, thành phố</v>
      </c>
      <c r="B86" s="4756"/>
      <c r="C86" s="4756"/>
    </row>
    <row r="87" spans="1:3">
      <c r="A87" s="4772" t="s">
        <v>2495</v>
      </c>
      <c r="B87" s="4772"/>
      <c r="C87" s="4772"/>
    </row>
    <row r="88" spans="1:3" ht="60" customHeight="1">
      <c r="A88" s="4756" t="str">
        <f>'H. HỒNG NGỰ'!A88:C88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56"/>
      <c r="C88" s="4756"/>
    </row>
    <row r="89" spans="1:3" s="154" customFormat="1" ht="40.200000000000003" customHeight="1">
      <c r="A89" s="4767" t="str">
        <f>'H. HỒNG NGỰ'!A89:C89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67"/>
      <c r="C89" s="4767"/>
    </row>
    <row r="90" spans="1:3" ht="18" customHeight="1">
      <c r="A90" s="37" t="str">
        <f>'H. HỒNG NGỰ'!A90:B90</f>
        <v xml:space="preserve">- Bao gồm 10% tiết kiệm tăng thêm năm 2024 so với năm 2023 để thực hiện cải cách tiền lương năm 2024 là: </v>
      </c>
      <c r="C90" s="3369" t="s">
        <v>2664</v>
      </c>
    </row>
    <row r="91" spans="1:3" s="2248" customFormat="1" ht="17.399999999999999">
      <c r="A91" s="4761" t="str">
        <f>'H. HỒNG NGỰ'!A91:C91</f>
        <v>(3): Trong đó:</v>
      </c>
      <c r="B91" s="4761"/>
      <c r="C91" s="4761"/>
    </row>
    <row r="92" spans="1:3" s="2249" customFormat="1" ht="55.2" customHeight="1">
      <c r="A92" s="4756" t="str">
        <f>'H. HỒNG NGỰ'!A92:C92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56"/>
      <c r="C92" s="4756"/>
    </row>
    <row r="118" spans="1:5">
      <c r="A118" s="4299" t="str">
        <f>'TỔNG CỘNG'!A118:C118</f>
        <v>PHỤ LỤC III</v>
      </c>
      <c r="B118" s="4299"/>
      <c r="C118" s="4299"/>
    </row>
    <row r="119" spans="1:5">
      <c r="A119" s="4299" t="str">
        <f>'TỔNG CỘNG'!A119:C119</f>
        <v>CHẾ ĐỘ CHÍNH SÁCH AN SINH XÃ HỘI TĂNG THÊM NĂM 2024</v>
      </c>
      <c r="B119" s="4299"/>
      <c r="C119" s="4299"/>
    </row>
    <row r="120" spans="1:5">
      <c r="A120" s="4299" t="str">
        <f>A60</f>
        <v>THÀNH PHỐ HỒNG NGỰ</v>
      </c>
      <c r="B120" s="4299"/>
      <c r="C120" s="4299"/>
    </row>
    <row r="121" spans="1:5">
      <c r="A121" s="4300" t="str">
        <f>'TỔNG CỘNG'!A121:C121</f>
        <v>(Kèm theo Quyết định số        /QĐ-UBND-HC ngày      /12/2023 của Uỷ ban nhân dân tỉnh Đồng Tháp)</v>
      </c>
      <c r="B121" s="4300"/>
      <c r="C121" s="4300"/>
    </row>
    <row r="123" spans="1:5">
      <c r="A123" s="3285"/>
      <c r="B123" s="3285"/>
      <c r="C123" s="1384" t="str">
        <f>C63</f>
        <v>Đơn vị tính: Triệu đồng</v>
      </c>
    </row>
    <row r="124" spans="1:5" ht="34.799999999999997">
      <c r="A124" s="3286" t="s">
        <v>288</v>
      </c>
      <c r="B124" s="3236" t="s">
        <v>791</v>
      </c>
      <c r="C124" s="1829" t="s">
        <v>1700</v>
      </c>
    </row>
    <row r="125" spans="1:5">
      <c r="A125" s="3494"/>
      <c r="B125" s="2386" t="str">
        <f>'TỔNG CỘNG'!B125</f>
        <v>TỔNG CỘNG (I+II)</v>
      </c>
      <c r="C125" s="3505">
        <f>C126+C130</f>
        <v>4055</v>
      </c>
      <c r="E125" s="1">
        <f>C125-C45</f>
        <v>0</v>
      </c>
    </row>
    <row r="126" spans="1:5">
      <c r="A126" s="133" t="s">
        <v>9</v>
      </c>
      <c r="B126" s="3782" t="str">
        <f>'TỔNG CỘNG'!B126</f>
        <v>Các chính sách thuộc sự nghiệp giáo dục - đào tạo và dạy nghề</v>
      </c>
      <c r="C126" s="3655">
        <f>SUM(C127:C129)</f>
        <v>557</v>
      </c>
    </row>
    <row r="127" spans="1:5" ht="36">
      <c r="A127" s="136">
        <v>1</v>
      </c>
      <c r="B127" s="803" t="str">
        <f>'TỔNG CỘNG'!B127</f>
        <v>Chính sách hỗ trợ chi phí học tập và miễn giảm học phí theo quy định tại Nghị định số 81/2021/NĐ-CP ngày 27/08/2021 của Chính phủ</v>
      </c>
      <c r="C127" s="2335">
        <f>'Phụ lục 7.3-CĐCS'!AQ13</f>
        <v>484</v>
      </c>
    </row>
    <row r="128" spans="1:5" ht="36">
      <c r="A128" s="136">
        <v>2</v>
      </c>
      <c r="B128" s="3775" t="str">
        <f>'TỔNG CỘNG'!B128</f>
        <v>Chính sách phát triển giao dục mầm non Nghị định 105/2020/NĐ-CP ngày 08/09/2020 của Chính phủ</v>
      </c>
      <c r="C128" s="2335">
        <f>'Phụ lục 7.3-CĐCS'!AQ14</f>
        <v>35</v>
      </c>
    </row>
    <row r="129" spans="1:3" ht="36">
      <c r="A129" s="136">
        <v>3</v>
      </c>
      <c r="B129" s="3775" t="str">
        <f>'TỔNG CỘNG'!B129</f>
        <v>Học bổng, chi phí học tập cho học sinh khuyết tật theo Thông tư liên tịch số 42/2013/TTLT-BGDĐT-BLĐTBXH-BTC ngày 31/12/2013</v>
      </c>
      <c r="C129" s="2335">
        <f>'Phụ lục 7.3-CĐCS'!AQ15</f>
        <v>38</v>
      </c>
    </row>
    <row r="130" spans="1:3">
      <c r="A130" s="133" t="s">
        <v>20</v>
      </c>
      <c r="B130" s="3782" t="str">
        <f>'TỔNG CỘNG'!B130</f>
        <v>Các chính sách thuộc sự nghiệp đảm bảo xã hội</v>
      </c>
      <c r="C130" s="3655">
        <f>SUM(C131:C132)</f>
        <v>3498</v>
      </c>
    </row>
    <row r="131" spans="1:3" ht="36">
      <c r="A131" s="136">
        <v>1</v>
      </c>
      <c r="B131" s="3775" t="str">
        <f>'TỔNG CỘNG'!B131</f>
        <v>Chính sách hỗ trợ thường xuyên cho đối tượng bảo trợ xã hội theo quy định tại Nghị định số 20/2021/NĐ-CP ngày 15/03/2021 của Chính phủ</v>
      </c>
      <c r="C131" s="2335">
        <f>'Phụ lục 7.3-CĐCS'!AQ17+'Phụ lục 7.3-CĐCS'!AQ18</f>
        <v>3498</v>
      </c>
    </row>
    <row r="132" spans="1:3" ht="36">
      <c r="A132" s="2298">
        <v>2</v>
      </c>
      <c r="B132" s="3783" t="str">
        <f>'TỔNG CỘNG'!B132</f>
        <v>Chính sách hỗ trợ tiền điện cho hộ nghèo, hộ chính sách xã hội theo quy định tại Quyết định số 28/2014/QĐ-TTg ngày 07/4/2014 của Thủ tướng Chính phủ</v>
      </c>
      <c r="C132" s="2338"/>
    </row>
  </sheetData>
  <mergeCells count="23">
    <mergeCell ref="A1:C1"/>
    <mergeCell ref="A58:C58"/>
    <mergeCell ref="A52:C52"/>
    <mergeCell ref="A2:C2"/>
    <mergeCell ref="A3:C3"/>
    <mergeCell ref="A4:C4"/>
    <mergeCell ref="A50:C50"/>
    <mergeCell ref="A51:C51"/>
    <mergeCell ref="A59:C59"/>
    <mergeCell ref="A60:C60"/>
    <mergeCell ref="A61:C61"/>
    <mergeCell ref="A84:C84"/>
    <mergeCell ref="A118:C118"/>
    <mergeCell ref="A85:C85"/>
    <mergeCell ref="A87:C87"/>
    <mergeCell ref="A88:C88"/>
    <mergeCell ref="A89:C89"/>
    <mergeCell ref="A86:C86"/>
    <mergeCell ref="A119:C119"/>
    <mergeCell ref="A120:C120"/>
    <mergeCell ref="A121:C121"/>
    <mergeCell ref="A91:C91"/>
    <mergeCell ref="A92:C92"/>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workbookViewId="0">
      <selection activeCell="C235" sqref="C235"/>
    </sheetView>
  </sheetViews>
  <sheetFormatPr defaultColWidth="8.69921875" defaultRowHeight="18"/>
  <cols>
    <col min="1" max="1" width="5.69921875" style="37" customWidth="1"/>
    <col min="2" max="2" width="96.69921875" style="37" customWidth="1"/>
    <col min="3" max="3" width="25.69921875" style="37" customWidth="1"/>
    <col min="4" max="16384" width="8.69921875" style="37"/>
  </cols>
  <sheetData>
    <row r="1" spans="1:3">
      <c r="A1" s="4299" t="str">
        <f>'TP. HỒNG NGỰ'!A1:C1</f>
        <v>PHỤ LỤC I</v>
      </c>
      <c r="B1" s="4299"/>
      <c r="C1" s="4299"/>
    </row>
    <row r="2" spans="1:3">
      <c r="A2" s="4299" t="str">
        <f>'TP. HỒNG NGỰ'!A2:C2</f>
        <v>NHIỆM VỤ THU NGÂN SÁCH NHÀ NƯỚC NĂM 2024</v>
      </c>
      <c r="B2" s="4299"/>
      <c r="C2" s="4299"/>
    </row>
    <row r="3" spans="1:3">
      <c r="A3" s="4299" t="s">
        <v>1870</v>
      </c>
      <c r="B3" s="4299"/>
      <c r="C3" s="4299"/>
    </row>
    <row r="4" spans="1:3" ht="15.6" customHeight="1">
      <c r="A4" s="4627" t="str">
        <f>'TP. HỒNG NGỰ'!A4:C4</f>
        <v>(Kèm theo Quyết định số        /QĐ-UBND-HC ngày      /12/2023 của Uỷ ban nhân dân tỉnh Đồng Tháp)</v>
      </c>
      <c r="B4" s="4627"/>
      <c r="C4" s="4627"/>
    </row>
    <row r="5" spans="1:3">
      <c r="A5" s="2578"/>
      <c r="B5" s="2578"/>
    </row>
    <row r="6" spans="1:3" ht="18.600000000000001" thickBot="1">
      <c r="A6" s="2578"/>
      <c r="B6" s="2578"/>
      <c r="C6" s="39" t="s">
        <v>64</v>
      </c>
    </row>
    <row r="7" spans="1:3" s="1319" customFormat="1" ht="30" customHeight="1">
      <c r="A7" s="2145" t="s">
        <v>244</v>
      </c>
      <c r="B7" s="2669" t="s">
        <v>791</v>
      </c>
      <c r="C7" s="2668" t="s">
        <v>1700</v>
      </c>
    </row>
    <row r="8" spans="1:3" ht="19.2" customHeight="1">
      <c r="A8" s="2672" t="s">
        <v>9</v>
      </c>
      <c r="B8" s="2268" t="s">
        <v>263</v>
      </c>
      <c r="C8" s="2682">
        <f>C10+C16+C19+C20+C21+C22+C26+C29+C32+C36</f>
        <v>101150</v>
      </c>
    </row>
    <row r="9" spans="1:3" ht="19.2" customHeight="1">
      <c r="A9" s="2683"/>
      <c r="B9" s="2518" t="s">
        <v>264</v>
      </c>
      <c r="C9" s="2684">
        <f>C8-C29</f>
        <v>71150</v>
      </c>
    </row>
    <row r="10" spans="1:3" ht="19.2" customHeight="1">
      <c r="A10" s="2673">
        <v>1</v>
      </c>
      <c r="B10" s="1399" t="s">
        <v>352</v>
      </c>
      <c r="C10" s="2685">
        <f>SUM(C11:C15)</f>
        <v>30000</v>
      </c>
    </row>
    <row r="11" spans="1:3" ht="19.2" customHeight="1">
      <c r="A11" s="2674" t="s">
        <v>137</v>
      </c>
      <c r="B11" s="16" t="s">
        <v>266</v>
      </c>
      <c r="C11" s="2686">
        <f>'Phụ lục số 5'!L10</f>
        <v>28900</v>
      </c>
    </row>
    <row r="12" spans="1:3" ht="19.2" customHeight="1">
      <c r="A12" s="2674" t="s">
        <v>137</v>
      </c>
      <c r="B12" s="16" t="s">
        <v>267</v>
      </c>
      <c r="C12" s="2686">
        <f>'Phụ lục số 5'!L11</f>
        <v>1000</v>
      </c>
    </row>
    <row r="13" spans="1:3" ht="19.2" customHeight="1">
      <c r="A13" s="2674" t="s">
        <v>137</v>
      </c>
      <c r="B13" s="16" t="s">
        <v>268</v>
      </c>
      <c r="C13" s="2686">
        <f>'Phụ lục số 5'!L12</f>
        <v>50</v>
      </c>
    </row>
    <row r="14" spans="1:3" ht="19.2" customHeight="1">
      <c r="A14" s="2674" t="s">
        <v>137</v>
      </c>
      <c r="B14" s="16" t="s">
        <v>14</v>
      </c>
      <c r="C14" s="2686">
        <f>'Phụ lục số 5'!L13</f>
        <v>50</v>
      </c>
    </row>
    <row r="15" spans="1:3" ht="19.2" customHeight="1">
      <c r="A15" s="2674" t="s">
        <v>137</v>
      </c>
      <c r="B15" s="16" t="s">
        <v>269</v>
      </c>
      <c r="C15" s="2686">
        <f>'Phụ lục số 5'!L14</f>
        <v>0</v>
      </c>
    </row>
    <row r="16" spans="1:3" ht="19.2" customHeight="1">
      <c r="A16" s="2673">
        <v>2</v>
      </c>
      <c r="B16" s="1399" t="s">
        <v>97</v>
      </c>
      <c r="C16" s="2685">
        <f>SUM(C17:C18)</f>
        <v>15000</v>
      </c>
    </row>
    <row r="17" spans="1:3" ht="19.2" hidden="1" customHeight="1">
      <c r="A17" s="2675" t="s">
        <v>137</v>
      </c>
      <c r="B17" s="137" t="s">
        <v>276</v>
      </c>
      <c r="C17" s="2686">
        <f>'Phụ lục số 5'!L16</f>
        <v>0</v>
      </c>
    </row>
    <row r="18" spans="1:3" ht="19.2" hidden="1" customHeight="1">
      <c r="A18" s="2676" t="s">
        <v>137</v>
      </c>
      <c r="B18" s="2274" t="s">
        <v>277</v>
      </c>
      <c r="C18" s="2686">
        <f>'Phụ lục số 5'!L17</f>
        <v>15000</v>
      </c>
    </row>
    <row r="19" spans="1:3" s="48" customFormat="1" ht="19.2" customHeight="1">
      <c r="A19" s="2673">
        <v>3</v>
      </c>
      <c r="B19" s="1399" t="s">
        <v>16</v>
      </c>
      <c r="C19" s="2685">
        <f>'Phụ lục số 5'!L18</f>
        <v>15000</v>
      </c>
    </row>
    <row r="20" spans="1:3" s="48" customFormat="1" ht="19.2" customHeight="1">
      <c r="A20" s="2673">
        <v>4</v>
      </c>
      <c r="B20" s="1399" t="s">
        <v>270</v>
      </c>
      <c r="C20" s="2685">
        <f>'Phụ lục số 5'!L19</f>
        <v>0</v>
      </c>
    </row>
    <row r="21" spans="1:3" s="48" customFormat="1" ht="19.2" customHeight="1">
      <c r="A21" s="2673">
        <v>4</v>
      </c>
      <c r="B21" s="1399" t="s">
        <v>271</v>
      </c>
      <c r="C21" s="2685">
        <f>'Phụ lục số 5'!L20</f>
        <v>250</v>
      </c>
    </row>
    <row r="22" spans="1:3" ht="19.2" customHeight="1">
      <c r="A22" s="2673">
        <v>5</v>
      </c>
      <c r="B22" s="1399" t="s">
        <v>272</v>
      </c>
      <c r="C22" s="2685">
        <f>SUM(C23:C25)</f>
        <v>3300</v>
      </c>
    </row>
    <row r="23" spans="1:3" ht="19.2" customHeight="1">
      <c r="A23" s="2677" t="s">
        <v>137</v>
      </c>
      <c r="B23" s="137" t="s">
        <v>273</v>
      </c>
      <c r="C23" s="2686">
        <f>'Phụ lục số 5'!L22</f>
        <v>1500</v>
      </c>
    </row>
    <row r="24" spans="1:3" ht="19.2" customHeight="1">
      <c r="A24" s="2677" t="s">
        <v>137</v>
      </c>
      <c r="B24" s="137" t="s">
        <v>274</v>
      </c>
      <c r="C24" s="2686">
        <f>'Phụ lục số 5'!L23</f>
        <v>150</v>
      </c>
    </row>
    <row r="25" spans="1:3" ht="19.2" customHeight="1">
      <c r="A25" s="2677" t="s">
        <v>137</v>
      </c>
      <c r="B25" s="137" t="s">
        <v>275</v>
      </c>
      <c r="C25" s="2686">
        <f>'Phụ lục số 5'!L24</f>
        <v>1650</v>
      </c>
    </row>
    <row r="26" spans="1:3" ht="19.2" customHeight="1">
      <c r="A26" s="2673">
        <v>6</v>
      </c>
      <c r="B26" s="1399" t="s">
        <v>98</v>
      </c>
      <c r="C26" s="2685">
        <f>SUM(C27:C28)</f>
        <v>600</v>
      </c>
    </row>
    <row r="27" spans="1:3" ht="19.2" customHeight="1">
      <c r="A27" s="2677" t="s">
        <v>137</v>
      </c>
      <c r="B27" s="137" t="s">
        <v>276</v>
      </c>
      <c r="C27" s="2686">
        <f>'Phụ lục số 5'!L26</f>
        <v>0</v>
      </c>
    </row>
    <row r="28" spans="1:3" ht="19.2" customHeight="1">
      <c r="A28" s="2678" t="s">
        <v>137</v>
      </c>
      <c r="B28" s="2274" t="s">
        <v>2804</v>
      </c>
      <c r="C28" s="2686">
        <f>'Phụ lục số 5'!L27</f>
        <v>600</v>
      </c>
    </row>
    <row r="29" spans="1:3" ht="19.2" customHeight="1">
      <c r="A29" s="2673">
        <v>7</v>
      </c>
      <c r="B29" s="1399" t="s">
        <v>357</v>
      </c>
      <c r="C29" s="2685">
        <f>SUM(C30:C31)</f>
        <v>30000</v>
      </c>
    </row>
    <row r="30" spans="1:3" ht="19.2" customHeight="1">
      <c r="A30" s="2677" t="s">
        <v>137</v>
      </c>
      <c r="B30" s="137" t="s">
        <v>276</v>
      </c>
      <c r="C30" s="2686">
        <f>'Phụ lục số 5'!L29</f>
        <v>0</v>
      </c>
    </row>
    <row r="31" spans="1:3" ht="19.2" customHeight="1">
      <c r="A31" s="2678" t="s">
        <v>137</v>
      </c>
      <c r="B31" s="2274" t="s">
        <v>2803</v>
      </c>
      <c r="C31" s="2686">
        <f>'Phụ lục số 5'!L30</f>
        <v>30000</v>
      </c>
    </row>
    <row r="32" spans="1:3" ht="19.2" customHeight="1">
      <c r="A32" s="2673">
        <v>8</v>
      </c>
      <c r="B32" s="1399" t="s">
        <v>279</v>
      </c>
      <c r="C32" s="2685">
        <f>SUM(C33:C35)</f>
        <v>7000</v>
      </c>
    </row>
    <row r="33" spans="1:3" ht="19.2" customHeight="1">
      <c r="A33" s="2677" t="s">
        <v>137</v>
      </c>
      <c r="B33" s="137" t="s">
        <v>280</v>
      </c>
      <c r="C33" s="2686">
        <f>'Phụ lục số 5'!L32</f>
        <v>0</v>
      </c>
    </row>
    <row r="34" spans="1:3" ht="19.2" customHeight="1">
      <c r="A34" s="2677" t="s">
        <v>137</v>
      </c>
      <c r="B34" s="137" t="s">
        <v>281</v>
      </c>
      <c r="C34" s="2686">
        <f>'Phụ lục số 5'!L33</f>
        <v>0</v>
      </c>
    </row>
    <row r="35" spans="1:3" ht="19.2" customHeight="1">
      <c r="A35" s="2677" t="s">
        <v>137</v>
      </c>
      <c r="B35" s="137" t="s">
        <v>282</v>
      </c>
      <c r="C35" s="2686">
        <f>'Phụ lục số 5'!L34</f>
        <v>7000</v>
      </c>
    </row>
    <row r="36" spans="1:3" ht="19.2" customHeight="1">
      <c r="A36" s="2673">
        <v>9</v>
      </c>
      <c r="B36" s="2590" t="s">
        <v>2521</v>
      </c>
      <c r="C36" s="2685">
        <f>'Phụ lục số 5'!L35</f>
        <v>0</v>
      </c>
    </row>
    <row r="37" spans="1:3" ht="19.2" customHeight="1">
      <c r="A37" s="2673" t="s">
        <v>20</v>
      </c>
      <c r="B37" s="1399" t="s">
        <v>2520</v>
      </c>
      <c r="C37" s="2687"/>
    </row>
    <row r="38" spans="1:3" ht="19.2" customHeight="1">
      <c r="A38" s="2673"/>
      <c r="B38" s="16" t="s">
        <v>2523</v>
      </c>
      <c r="C38" s="2688">
        <v>1</v>
      </c>
    </row>
    <row r="39" spans="1:3" s="154" customFormat="1" ht="19.2" customHeight="1">
      <c r="A39" s="2689" t="s">
        <v>49</v>
      </c>
      <c r="B39" s="29" t="s">
        <v>2522</v>
      </c>
      <c r="C39" s="2690">
        <f>SUM(C40:C41)</f>
        <v>441196.82400000002</v>
      </c>
    </row>
    <row r="40" spans="1:3" s="154" customFormat="1" ht="19.2" customHeight="1">
      <c r="A40" s="2689">
        <v>1</v>
      </c>
      <c r="B40" s="29" t="s">
        <v>284</v>
      </c>
      <c r="C40" s="2690">
        <f>'Phụ lục số 5'!N37</f>
        <v>391207</v>
      </c>
    </row>
    <row r="41" spans="1:3" s="154" customFormat="1" ht="19.2" customHeight="1">
      <c r="A41" s="2689">
        <v>2</v>
      </c>
      <c r="B41" s="29" t="s">
        <v>285</v>
      </c>
      <c r="C41" s="2690">
        <f>SUM(C42:C46)</f>
        <v>49989.824000000001</v>
      </c>
    </row>
    <row r="42" spans="1:3" s="154" customFormat="1" ht="36" customHeight="1">
      <c r="A42" s="2628" t="s">
        <v>34</v>
      </c>
      <c r="B42" s="2701" t="str">
        <f>'TP. HỒNG NGỰ'!B42</f>
        <v>Kinh phí hỗ trợ giá sản phẩm, dịch vụ công ích thủy lợi theo quy định tại Nghị định số 96/2018/NĐ-CP ngày 30/6/2018 của Chính phủ</v>
      </c>
      <c r="C42" s="2691">
        <f>'Phụ lục số 5'!N39</f>
        <v>16100</v>
      </c>
    </row>
    <row r="43" spans="1:3" s="154" customFormat="1" ht="54" customHeight="1">
      <c r="A43" s="2628" t="s">
        <v>35</v>
      </c>
      <c r="B43" s="2701" t="str">
        <f>'TP. HỒNG NGỰ'!B43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691">
        <f>'Phụ lục số 5'!N40</f>
        <v>18000</v>
      </c>
    </row>
    <row r="44" spans="1:3" s="154" customFormat="1" ht="19.2" customHeight="1">
      <c r="A44" s="2628" t="s">
        <v>36</v>
      </c>
      <c r="B44" s="2701" t="str">
        <f>'TP. HỒNG NGỰ'!B44</f>
        <v>Bổ sung nguồn thực hiện điều chỉnh tiền lương cơ sở tăng thêm đến 1,8 triệu đồng/tháng (12 tháng)</v>
      </c>
      <c r="C44" s="2691">
        <f>'Phụ lục số 5'!N41</f>
        <v>8966</v>
      </c>
    </row>
    <row r="45" spans="1:3" s="154" customFormat="1" ht="19.2" customHeight="1">
      <c r="A45" s="2628" t="s">
        <v>37</v>
      </c>
      <c r="B45" s="2701" t="str">
        <f>'TP. HỒNG NGỰ'!B45</f>
        <v>Bổ sung có mục tiêu thực hiện chính sách an sinh xã hội (ngoài chính sách tiền lương) (5)</v>
      </c>
      <c r="C45" s="2691">
        <f>'Phụ lục số 5'!N42</f>
        <v>6923.8239999999996</v>
      </c>
    </row>
    <row r="46" spans="1:3" s="154" customFormat="1">
      <c r="A46" s="2814" t="str">
        <f>'TỔNG CỘNG'!A46</f>
        <v>đ</v>
      </c>
      <c r="B46" s="2701" t="str">
        <f>'TP. HỒNG NGỰ'!B46</f>
        <v>Bổ sung có mục tiêu kinh phí diễn tập khu vực phòng thủ cấp huyện năm 2024</v>
      </c>
      <c r="C46" s="2691">
        <f>'Phụ lục số 5'!N43</f>
        <v>0</v>
      </c>
    </row>
    <row r="47" spans="1:3" ht="19.2" customHeight="1" thickBot="1">
      <c r="A47" s="2695" t="s">
        <v>50</v>
      </c>
      <c r="B47" s="2696" t="s">
        <v>286</v>
      </c>
      <c r="C47" s="2700">
        <f>'Phụ lục số 5'!N44</f>
        <v>36249</v>
      </c>
    </row>
    <row r="48" spans="1:3" ht="19.2" hidden="1" customHeight="1">
      <c r="A48" s="2698"/>
      <c r="B48" s="2698" t="s">
        <v>287</v>
      </c>
      <c r="C48" s="2699"/>
    </row>
    <row r="50" spans="1:3">
      <c r="A50" s="4769" t="s">
        <v>1050</v>
      </c>
      <c r="B50" s="4769"/>
      <c r="C50" s="4769"/>
    </row>
    <row r="51" spans="1:3" ht="34.950000000000003" customHeight="1">
      <c r="A51" s="4776" t="str">
        <f>'TP. HỒNG NGỰ'!A51:C51</f>
        <v xml:space="preserve">(1): Dự toán thu ngân sách nhà nước năm 2024 không bao gồm các khoản huy động nhân dân đóng góp, các khoản ghi thu, ghi chi vào ngân sách nhà nước theo chế độ quy định.
</v>
      </c>
      <c r="B51" s="4776"/>
      <c r="C51" s="4776"/>
    </row>
    <row r="52" spans="1:3" ht="91.95" customHeight="1">
      <c r="A52" s="4775" t="str">
        <f>'TP. HỒNG NGỰ'!A52:C52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75"/>
      <c r="C52" s="4775"/>
    </row>
    <row r="53" spans="1:3" ht="19.2" customHeight="1">
      <c r="A53" s="37" t="str">
        <f>'TP. HỒNG NGỰ'!A53</f>
        <v>(4): Các khoản thu phân chia theo tỷ lệ (%) giữa ngân sách cấp Tỉnh và ngân sách cấp huyện</v>
      </c>
    </row>
    <row r="54" spans="1:3" ht="19.2" customHeight="1">
      <c r="A54" s="37" t="str">
        <f>'TP. HỒNG NGỰ'!A54</f>
        <v>(5): Chi tiết chế độ, chính sách an sinh xã hội theo Phụ lục số III</v>
      </c>
    </row>
    <row r="55" spans="1:3" ht="19.2" customHeight="1"/>
    <row r="58" spans="1:3">
      <c r="A58" s="4299" t="str">
        <f>'TP. HỒNG NGỰ'!A58:C58</f>
        <v>PHỤ LỤC II</v>
      </c>
      <c r="B58" s="4299"/>
      <c r="C58" s="4299"/>
    </row>
    <row r="59" spans="1:3">
      <c r="A59" s="4299" t="str">
        <f>'TP. HỒNG NGỰ'!A59:C59</f>
        <v>NHIỆM VỤ CHI NGÂN SÁCH HUYỆN, THÀNH PHỐ NĂM 2024</v>
      </c>
      <c r="B59" s="4299"/>
      <c r="C59" s="4299"/>
    </row>
    <row r="60" spans="1:3">
      <c r="A60" s="4299" t="str">
        <f>A3</f>
        <v>HUYỆN TÂN HỒNG</v>
      </c>
      <c r="B60" s="4299"/>
      <c r="C60" s="4299"/>
    </row>
    <row r="61" spans="1:3" ht="18" customHeight="1">
      <c r="A61" s="4627" t="str">
        <f>A4</f>
        <v>(Kèm theo Quyết định số        /QĐ-UBND-HC ngày      /12/2023 của Uỷ ban nhân dân tỉnh Đồng Tháp)</v>
      </c>
      <c r="B61" s="4627"/>
      <c r="C61" s="4627"/>
    </row>
    <row r="62" spans="1:3" ht="18" customHeight="1">
      <c r="A62" s="2578"/>
      <c r="B62" s="2578"/>
      <c r="C62" s="2578"/>
    </row>
    <row r="63" spans="1:3" ht="18" customHeight="1">
      <c r="A63" s="2578"/>
      <c r="B63" s="2578"/>
      <c r="C63" s="70" t="str">
        <f>C6</f>
        <v>Đơn vị tính: Triệu đồng</v>
      </c>
    </row>
    <row r="64" spans="1:3" s="210" customFormat="1" ht="34.950000000000003" customHeight="1">
      <c r="A64" s="2285" t="s">
        <v>288</v>
      </c>
      <c r="B64" s="2402" t="str">
        <f>'TP. HỒNG NGỰ'!B64</f>
        <v>Nội dung</v>
      </c>
      <c r="C64" s="2403" t="str">
        <f>C7</f>
        <v>Dự toán năm 2024</v>
      </c>
    </row>
    <row r="65" spans="1:3" ht="19.2" customHeight="1">
      <c r="A65" s="2286"/>
      <c r="B65" s="1408" t="str">
        <f>'TP. HỒNG NGỰ'!B65</f>
        <v>Tổng chi (I+II+III+IV)</v>
      </c>
      <c r="C65" s="2589">
        <f>C66+C70+C74+C75+C76</f>
        <v>573785.82400000002</v>
      </c>
    </row>
    <row r="66" spans="1:3" ht="19.2" customHeight="1">
      <c r="A66" s="2287" t="s">
        <v>9</v>
      </c>
      <c r="B66" s="2288" t="str">
        <f>'TP. HỒNG NGỰ'!B66</f>
        <v>Chi đầu tư phát triển (1)</v>
      </c>
      <c r="C66" s="2594">
        <f>SUM(C68:C69)</f>
        <v>58999.51627905004</v>
      </c>
    </row>
    <row r="67" spans="1:3" ht="19.2" customHeight="1">
      <c r="A67" s="2289"/>
      <c r="B67" s="2290" t="str">
        <f>'TP. HỒNG NGỰ'!B67</f>
        <v>Bao gồm:</v>
      </c>
      <c r="C67" s="2558"/>
    </row>
    <row r="68" spans="1:3" ht="19.2" customHeight="1">
      <c r="A68" s="2291">
        <v>1</v>
      </c>
      <c r="B68" s="3284" t="str">
        <f>'TP. HỒNG NGỰ'!B68</f>
        <v>Chi đầu tư xây dựng cơ bản</v>
      </c>
      <c r="C68" s="2558">
        <f>'Phụ lục số 6'!F8</f>
        <v>31999.51627905004</v>
      </c>
    </row>
    <row r="69" spans="1:3" ht="19.2" customHeight="1">
      <c r="A69" s="2291">
        <v>2</v>
      </c>
      <c r="B69" s="3284" t="str">
        <f>'TP. HỒNG NGỰ'!B69</f>
        <v>Chi đầu tư từ nguồn thu tiền sử dụng đất</v>
      </c>
      <c r="C69" s="2558">
        <f>'Phụ lục số 6'!F9</f>
        <v>27000</v>
      </c>
    </row>
    <row r="70" spans="1:3" s="2" customFormat="1" ht="19.2" customHeight="1">
      <c r="A70" s="2287" t="s">
        <v>20</v>
      </c>
      <c r="B70" s="2288" t="str">
        <f>'TP. HỒNG NGỰ'!B70</f>
        <v>Chi thường xuyên (2)</v>
      </c>
      <c r="C70" s="2594">
        <f>'Phụ lục số 6'!F10</f>
        <v>504249.08388374688</v>
      </c>
    </row>
    <row r="71" spans="1:3" ht="19.2" customHeight="1">
      <c r="A71" s="2293"/>
      <c r="B71" s="2294" t="str">
        <f>'TP. HỒNG NGỰ'!B71</f>
        <v>Bao gồm:</v>
      </c>
      <c r="C71" s="2558"/>
    </row>
    <row r="72" spans="1:3" ht="19.2" customHeight="1">
      <c r="A72" s="2291">
        <v>1</v>
      </c>
      <c r="B72" s="2275" t="str">
        <f>'TP. HỒNG NGỰ'!B72</f>
        <v>Sự nghiệp giáo dục - đào tạo (3)</v>
      </c>
      <c r="C72" s="2558">
        <f>'Phụ lục số 6'!F12</f>
        <v>286155.85849218653</v>
      </c>
    </row>
    <row r="73" spans="1:3" ht="19.2" customHeight="1">
      <c r="A73" s="2291">
        <v>2</v>
      </c>
      <c r="B73" s="2275" t="str">
        <f>'TP. HỒNG NGỰ'!B73</f>
        <v>Các khoản chi thường xuyên còn lại</v>
      </c>
      <c r="C73" s="2558">
        <f>'Phụ lục số 6'!F13</f>
        <v>218093.22539156035</v>
      </c>
    </row>
    <row r="74" spans="1:3" s="2" customFormat="1" ht="19.2" customHeight="1">
      <c r="A74" s="2287" t="s">
        <v>49</v>
      </c>
      <c r="B74" s="2288" t="str">
        <f>'TP. HỒNG NGỰ'!B74</f>
        <v>Dự phòng ngân sách</v>
      </c>
      <c r="C74" s="2594">
        <f>'Phụ lục số 6'!F14</f>
        <v>10537.223837203137</v>
      </c>
    </row>
    <row r="75" spans="1:3" s="2" customFormat="1" ht="19.2" customHeight="1">
      <c r="A75" s="2287" t="s">
        <v>50</v>
      </c>
      <c r="B75" s="2288" t="str">
        <f>'TP. HỒNG NGỰ'!B75</f>
        <v>Chi tạo nguồn cải cách tiền lương</v>
      </c>
      <c r="C75" s="2594">
        <f>'Phụ lục số 6'!F15</f>
        <v>0</v>
      </c>
    </row>
    <row r="76" spans="1:3" s="2" customFormat="1" ht="19.2" customHeight="1">
      <c r="A76" s="2583" t="s">
        <v>72</v>
      </c>
      <c r="B76" s="1399" t="str">
        <f>'TP. HỒNG NGỰ'!B76</f>
        <v>Chi từ nguồn ngân sách cấp Tỉnh bổ sung có mục tiêu</v>
      </c>
      <c r="C76" s="2594">
        <f>SUM(C77:C81)</f>
        <v>0</v>
      </c>
    </row>
    <row r="77" spans="1:3" ht="19.2" hidden="1" customHeight="1">
      <c r="A77" s="2584" t="s">
        <v>137</v>
      </c>
      <c r="B77" s="16" t="str">
        <f>'TP. HỒNG NGỰ'!B77</f>
        <v>Chi đầu tư xây dựng cơ bản</v>
      </c>
      <c r="C77" s="2558">
        <f>'Phụ lục số 6'!F17</f>
        <v>0</v>
      </c>
    </row>
    <row r="78" spans="1:3" ht="19.2" hidden="1" customHeight="1">
      <c r="A78" s="2584" t="s">
        <v>137</v>
      </c>
      <c r="B78" s="16" t="str">
        <f>'TP. HỒNG NGỰ'!B78</f>
        <v>Chi đầu tư từ nguồn xổ số kiến thiết</v>
      </c>
      <c r="C78" s="2558">
        <f>'Phụ lục số 6'!F18</f>
        <v>0</v>
      </c>
    </row>
    <row r="79" spans="1:3" ht="19.2" hidden="1" customHeight="1">
      <c r="A79" s="2584" t="s">
        <v>137</v>
      </c>
      <c r="B79" s="16" t="str">
        <f>'TP. HỒNG NGỰ'!B79</f>
        <v>Chi từ nguồn ngân sách trung ương bổ sung có mục tiêu (kinh phí sự nghiệp)</v>
      </c>
      <c r="C79" s="2558">
        <f>'Phụ lục số 6'!F19</f>
        <v>0</v>
      </c>
    </row>
    <row r="80" spans="1:3" ht="19.2" hidden="1" customHeight="1">
      <c r="A80" s="2585" t="s">
        <v>137</v>
      </c>
      <c r="B80" s="16" t="str">
        <f>'TP. HỒNG NGỰ'!B80</f>
        <v>Chi từ nguồn ngân sách trung ương bổ sung có mục tiêu (Chương trình Mục tiêu quốc gia)</v>
      </c>
      <c r="C80" s="2558">
        <f>'Phụ lục số 6'!F20</f>
        <v>0</v>
      </c>
    </row>
    <row r="81" spans="1:3" ht="19.2" hidden="1" customHeight="1">
      <c r="A81" s="2586"/>
      <c r="B81" s="2825" t="str">
        <f>'TP. HỒNG NGỰ'!B81</f>
        <v>Chi từ nguồn ngân sách trung ương bổ sung có mục tiêu, nhiệm vụ quan trọng khác</v>
      </c>
      <c r="C81" s="2595">
        <f>'Phụ lục số 6'!F21</f>
        <v>0</v>
      </c>
    </row>
    <row r="83" spans="1:3">
      <c r="A83" s="48" t="s">
        <v>1050</v>
      </c>
      <c r="B83" s="2581"/>
    </row>
    <row r="84" spans="1:3" s="2249" customFormat="1">
      <c r="A84" s="4777" t="s">
        <v>2642</v>
      </c>
      <c r="B84" s="4778"/>
      <c r="C84" s="4778"/>
    </row>
    <row r="85" spans="1:3" s="2249" customFormat="1" ht="60" customHeight="1">
      <c r="A85" s="4755" t="s">
        <v>2743</v>
      </c>
      <c r="B85" s="4756"/>
      <c r="C85" s="4756"/>
    </row>
    <row r="86" spans="1:3" s="2249" customFormat="1" ht="18" customHeight="1">
      <c r="A86" s="4756" t="str">
        <f>'TP. HỒNG NGỰ'!A86:C86</f>
        <v>- Chưa bao gồm chi đầu tư từ nguồn vốn do ngân sách cấp tỉnh quản lý và phân bổ bổ sung có mục tiêu cho ngân sách huyện, thành phố</v>
      </c>
      <c r="B86" s="4756"/>
      <c r="C86" s="4756"/>
    </row>
    <row r="87" spans="1:3">
      <c r="A87" s="4772" t="s">
        <v>2495</v>
      </c>
      <c r="B87" s="4772"/>
      <c r="C87" s="4772"/>
    </row>
    <row r="88" spans="1:3" ht="60" customHeight="1">
      <c r="A88" s="4756" t="str">
        <f>'TP. HỒNG NGỰ'!A88:C88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56"/>
      <c r="C88" s="4756"/>
    </row>
    <row r="89" spans="1:3" s="154" customFormat="1" ht="40.200000000000003" customHeight="1">
      <c r="A89" s="4767" t="str">
        <f>'TP. HỒNG NGỰ'!A89:C89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67"/>
      <c r="C89" s="4767"/>
    </row>
    <row r="90" spans="1:3">
      <c r="A90" s="37" t="str">
        <f>'TP. HỒNG NGỰ'!A90</f>
        <v xml:space="preserve">- Bao gồm 10% tiết kiệm tăng thêm năm 2024 so với năm 2023 để thực hiện cải cách tiền lương năm 2024 là: </v>
      </c>
      <c r="B90" s="3302"/>
      <c r="C90" s="3369" t="s">
        <v>2665</v>
      </c>
    </row>
    <row r="91" spans="1:3" s="3347" customFormat="1" ht="17.399999999999999">
      <c r="A91" s="4779" t="str">
        <f>'TP. HỒNG NGỰ'!A91:C91</f>
        <v>(3): Trong đó:</v>
      </c>
      <c r="B91" s="4779"/>
      <c r="C91" s="4779"/>
    </row>
    <row r="92" spans="1:3" s="3348" customFormat="1" ht="55.2" customHeight="1">
      <c r="A92" s="4756" t="str">
        <f>'TP. HỒNG NGỰ'!A92:C92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56"/>
      <c r="C92" s="4756"/>
    </row>
    <row r="118" spans="1:5">
      <c r="A118" s="4299" t="str">
        <f>'TỔNG CỘNG'!A118:C118</f>
        <v>PHỤ LỤC III</v>
      </c>
      <c r="B118" s="4299"/>
      <c r="C118" s="4299"/>
    </row>
    <row r="119" spans="1:5">
      <c r="A119" s="4299" t="str">
        <f>'TỔNG CỘNG'!A119:C119</f>
        <v>CHẾ ĐỘ CHÍNH SÁCH AN SINH XÃ HỘI TĂNG THÊM NĂM 2024</v>
      </c>
      <c r="B119" s="4299"/>
      <c r="C119" s="4299"/>
    </row>
    <row r="120" spans="1:5">
      <c r="A120" s="4299" t="str">
        <f>A60</f>
        <v>HUYỆN TÂN HỒNG</v>
      </c>
      <c r="B120" s="4299"/>
      <c r="C120" s="4299"/>
    </row>
    <row r="121" spans="1:5">
      <c r="A121" s="4300" t="str">
        <f>'TỔNG CỘNG'!A121:C121</f>
        <v>(Kèm theo Quyết định số        /QĐ-UBND-HC ngày      /12/2023 của Uỷ ban nhân dân tỉnh Đồng Tháp)</v>
      </c>
      <c r="B121" s="4300"/>
      <c r="C121" s="4300"/>
    </row>
    <row r="123" spans="1:5">
      <c r="A123" s="3285"/>
      <c r="B123" s="3285"/>
      <c r="C123" s="1384" t="str">
        <f>C63</f>
        <v>Đơn vị tính: Triệu đồng</v>
      </c>
    </row>
    <row r="124" spans="1:5" ht="34.799999999999997">
      <c r="A124" s="3286" t="s">
        <v>288</v>
      </c>
      <c r="B124" s="3236" t="s">
        <v>791</v>
      </c>
      <c r="C124" s="1829" t="s">
        <v>1700</v>
      </c>
    </row>
    <row r="125" spans="1:5">
      <c r="A125" s="3494"/>
      <c r="B125" s="2386" t="str">
        <f>'TỔNG CỘNG'!B125</f>
        <v>TỔNG CỘNG (I+II)</v>
      </c>
      <c r="C125" s="3505">
        <f>C126+C130</f>
        <v>6923.8239999999996</v>
      </c>
      <c r="E125" s="1">
        <f>C125-C45</f>
        <v>0</v>
      </c>
    </row>
    <row r="126" spans="1:5">
      <c r="A126" s="133" t="s">
        <v>9</v>
      </c>
      <c r="B126" s="3782" t="str">
        <f>'TỔNG CỘNG'!B126</f>
        <v>Các chính sách thuộc sự nghiệp giáo dục - đào tạo và dạy nghề</v>
      </c>
      <c r="C126" s="3655">
        <f>SUM(C127:C129)</f>
        <v>2378.8239999999996</v>
      </c>
    </row>
    <row r="127" spans="1:5" ht="36">
      <c r="A127" s="136">
        <v>1</v>
      </c>
      <c r="B127" s="803" t="str">
        <f>'TỔNG CỘNG'!B127</f>
        <v>Chính sách hỗ trợ chi phí học tập và miễn giảm học phí theo quy định tại Nghị định số 81/2021/NĐ-CP ngày 27/08/2021 của Chính phủ</v>
      </c>
      <c r="C127" s="2335">
        <f>'Phụ lục 7.3-CĐCS'!BE13</f>
        <v>1754</v>
      </c>
    </row>
    <row r="128" spans="1:5" ht="36">
      <c r="A128" s="136">
        <v>2</v>
      </c>
      <c r="B128" s="3775" t="str">
        <f>'TỔNG CỘNG'!B128</f>
        <v>Chính sách phát triển giao dục mầm non Nghị định 105/2020/NĐ-CP ngày 08/09/2020 của Chính phủ</v>
      </c>
      <c r="C128" s="2335">
        <f>'Phụ lục 7.3-CĐCS'!BE14</f>
        <v>307.2</v>
      </c>
    </row>
    <row r="129" spans="1:3" ht="36">
      <c r="A129" s="136">
        <v>3</v>
      </c>
      <c r="B129" s="3775" t="str">
        <f>'TỔNG CỘNG'!B129</f>
        <v>Học bổng, chi phí học tập cho học sinh khuyết tật theo Thông tư liên tịch số 42/2013/TTLT-BGDĐT-BLĐTBXH-BTC ngày 31/12/2013</v>
      </c>
      <c r="C129" s="2335">
        <f>'Phụ lục 7.3-CĐCS'!BE15</f>
        <v>317.62400000000002</v>
      </c>
    </row>
    <row r="130" spans="1:3">
      <c r="A130" s="133" t="s">
        <v>20</v>
      </c>
      <c r="B130" s="3782" t="str">
        <f>'TỔNG CỘNG'!B130</f>
        <v>Các chính sách thuộc sự nghiệp đảm bảo xã hội</v>
      </c>
      <c r="C130" s="3655">
        <f>SUM(C131:C132)</f>
        <v>4545</v>
      </c>
    </row>
    <row r="131" spans="1:3" ht="36">
      <c r="A131" s="136">
        <v>1</v>
      </c>
      <c r="B131" s="3775" t="str">
        <f>'TỔNG CỘNG'!B131</f>
        <v>Chính sách hỗ trợ thường xuyên cho đối tượng bảo trợ xã hội theo quy định tại Nghị định số 20/2021/NĐ-CP ngày 15/03/2021 của Chính phủ</v>
      </c>
      <c r="C131" s="2335">
        <f>'Phụ lục 7.3-CĐCS'!BE17+'Phụ lục 7.3-CĐCS'!BE18</f>
        <v>4545</v>
      </c>
    </row>
    <row r="132" spans="1:3" ht="36">
      <c r="A132" s="2298">
        <v>2</v>
      </c>
      <c r="B132" s="3783" t="str">
        <f>'TỔNG CỘNG'!B132</f>
        <v>Chính sách hỗ trợ tiền điện cho hộ nghèo, hộ chính sách xã hội theo quy định tại Quyết định số 28/2014/QĐ-TTg ngày 07/4/2014 của Thủ tướng Chính phủ</v>
      </c>
      <c r="C132" s="2338"/>
    </row>
  </sheetData>
  <mergeCells count="23">
    <mergeCell ref="A51:C51"/>
    <mergeCell ref="A1:C1"/>
    <mergeCell ref="A58:C58"/>
    <mergeCell ref="A87:C87"/>
    <mergeCell ref="A88:C88"/>
    <mergeCell ref="A52:C52"/>
    <mergeCell ref="A2:C2"/>
    <mergeCell ref="A3:C3"/>
    <mergeCell ref="A4:C4"/>
    <mergeCell ref="A50:C50"/>
    <mergeCell ref="A89:C89"/>
    <mergeCell ref="A59:C59"/>
    <mergeCell ref="A60:C60"/>
    <mergeCell ref="A61:C61"/>
    <mergeCell ref="A84:C84"/>
    <mergeCell ref="A85:C85"/>
    <mergeCell ref="A86:C86"/>
    <mergeCell ref="A118:C118"/>
    <mergeCell ref="A119:C119"/>
    <mergeCell ref="A120:C120"/>
    <mergeCell ref="A121:C121"/>
    <mergeCell ref="A91:C91"/>
    <mergeCell ref="A92:C92"/>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workbookViewId="0">
      <selection activeCell="C235" sqref="C235"/>
    </sheetView>
  </sheetViews>
  <sheetFormatPr defaultColWidth="8.69921875" defaultRowHeight="18"/>
  <cols>
    <col min="1" max="1" width="5.69921875" style="37" customWidth="1"/>
    <col min="2" max="2" width="96.69921875" style="37" customWidth="1"/>
    <col min="3" max="3" width="25.69921875" style="37" customWidth="1"/>
    <col min="4" max="16384" width="8.69921875" style="37"/>
  </cols>
  <sheetData>
    <row r="1" spans="1:3">
      <c r="A1" s="4299" t="str">
        <f>'H. TÂN HỒNG'!A1:C1</f>
        <v>PHỤ LỤC I</v>
      </c>
      <c r="B1" s="4299"/>
      <c r="C1" s="4299"/>
    </row>
    <row r="2" spans="1:3">
      <c r="A2" s="4299" t="str">
        <f>'H. TÂN HỒNG'!A2:C2</f>
        <v>NHIỆM VỤ THU NGÂN SÁCH NHÀ NƯỚC NĂM 2024</v>
      </c>
      <c r="B2" s="4299"/>
      <c r="C2" s="4299"/>
    </row>
    <row r="3" spans="1:3">
      <c r="A3" s="4299" t="s">
        <v>1871</v>
      </c>
      <c r="B3" s="4299"/>
      <c r="C3" s="4299"/>
    </row>
    <row r="4" spans="1:3" ht="15.6" customHeight="1">
      <c r="A4" s="4627" t="str">
        <f>'H. TÂN HỒNG'!A4:C4</f>
        <v>(Kèm theo Quyết định số        /QĐ-UBND-HC ngày      /12/2023 của Uỷ ban nhân dân tỉnh Đồng Tháp)</v>
      </c>
      <c r="B4" s="4627"/>
      <c r="C4" s="4627"/>
    </row>
    <row r="5" spans="1:3">
      <c r="A5" s="2578"/>
      <c r="B5" s="2578"/>
    </row>
    <row r="6" spans="1:3" ht="18.600000000000001" thickBot="1">
      <c r="A6" s="2578"/>
      <c r="B6" s="2578"/>
      <c r="C6" s="39" t="s">
        <v>64</v>
      </c>
    </row>
    <row r="7" spans="1:3" s="1319" customFormat="1" ht="30" customHeight="1">
      <c r="A7" s="2145" t="s">
        <v>244</v>
      </c>
      <c r="B7" s="2669" t="s">
        <v>791</v>
      </c>
      <c r="C7" s="2668" t="s">
        <v>1700</v>
      </c>
    </row>
    <row r="8" spans="1:3" ht="19.2" customHeight="1">
      <c r="A8" s="2672" t="s">
        <v>9</v>
      </c>
      <c r="B8" s="2268" t="s">
        <v>263</v>
      </c>
      <c r="C8" s="2682">
        <f>C10+C16+C19+C20+C21+C22+C26+C29+C32+C36</f>
        <v>155300</v>
      </c>
    </row>
    <row r="9" spans="1:3" ht="19.2" customHeight="1">
      <c r="A9" s="2683"/>
      <c r="B9" s="2518" t="s">
        <v>264</v>
      </c>
      <c r="C9" s="2684">
        <f>C8-C29</f>
        <v>95300</v>
      </c>
    </row>
    <row r="10" spans="1:3" ht="19.2" customHeight="1">
      <c r="A10" s="2673">
        <v>1</v>
      </c>
      <c r="B10" s="1399" t="s">
        <v>352</v>
      </c>
      <c r="C10" s="2685">
        <f>SUM(C11:C15)</f>
        <v>37000</v>
      </c>
    </row>
    <row r="11" spans="1:3" ht="19.2" customHeight="1">
      <c r="A11" s="2674" t="s">
        <v>137</v>
      </c>
      <c r="B11" s="16" t="s">
        <v>266</v>
      </c>
      <c r="C11" s="2686">
        <f>'Phụ lục số 5'!O10</f>
        <v>29300</v>
      </c>
    </row>
    <row r="12" spans="1:3" ht="19.2" customHeight="1">
      <c r="A12" s="2674" t="s">
        <v>137</v>
      </c>
      <c r="B12" s="16" t="s">
        <v>267</v>
      </c>
      <c r="C12" s="2686">
        <f>'Phụ lục số 5'!O11</f>
        <v>7000</v>
      </c>
    </row>
    <row r="13" spans="1:3" ht="19.2" customHeight="1">
      <c r="A13" s="2674" t="s">
        <v>137</v>
      </c>
      <c r="B13" s="16" t="s">
        <v>268</v>
      </c>
      <c r="C13" s="2686">
        <f>'Phụ lục số 5'!O12</f>
        <v>200</v>
      </c>
    </row>
    <row r="14" spans="1:3" ht="19.2" customHeight="1">
      <c r="A14" s="2674" t="s">
        <v>137</v>
      </c>
      <c r="B14" s="16" t="s">
        <v>14</v>
      </c>
      <c r="C14" s="2686">
        <f>'Phụ lục số 5'!O13</f>
        <v>500</v>
      </c>
    </row>
    <row r="15" spans="1:3" ht="19.2" customHeight="1">
      <c r="A15" s="2674" t="s">
        <v>137</v>
      </c>
      <c r="B15" s="16" t="s">
        <v>269</v>
      </c>
      <c r="C15" s="2686">
        <f>'Phụ lục số 5'!O14</f>
        <v>0</v>
      </c>
    </row>
    <row r="16" spans="1:3" ht="19.2" customHeight="1">
      <c r="A16" s="2673">
        <v>2</v>
      </c>
      <c r="B16" s="1399" t="s">
        <v>97</v>
      </c>
      <c r="C16" s="2685">
        <f>SUM(C17:C18)</f>
        <v>18000</v>
      </c>
    </row>
    <row r="17" spans="1:3" ht="19.2" hidden="1" customHeight="1">
      <c r="A17" s="2675" t="s">
        <v>137</v>
      </c>
      <c r="B17" s="137" t="s">
        <v>276</v>
      </c>
      <c r="C17" s="2686">
        <f>'Phụ lục số 5'!O16</f>
        <v>0</v>
      </c>
    </row>
    <row r="18" spans="1:3" ht="19.2" hidden="1" customHeight="1">
      <c r="A18" s="2676" t="s">
        <v>137</v>
      </c>
      <c r="B18" s="2274" t="s">
        <v>277</v>
      </c>
      <c r="C18" s="2686">
        <f>'Phụ lục số 5'!O17</f>
        <v>18000</v>
      </c>
    </row>
    <row r="19" spans="1:3" ht="19.2" customHeight="1">
      <c r="A19" s="2673">
        <v>3</v>
      </c>
      <c r="B19" s="1399" t="s">
        <v>16</v>
      </c>
      <c r="C19" s="2685">
        <f>'Phụ lục số 5'!O18</f>
        <v>20000</v>
      </c>
    </row>
    <row r="20" spans="1:3" ht="19.2" customHeight="1">
      <c r="A20" s="2673">
        <v>4</v>
      </c>
      <c r="B20" s="1399" t="s">
        <v>270</v>
      </c>
      <c r="C20" s="2685">
        <f>'Phụ lục số 5'!O19</f>
        <v>0</v>
      </c>
    </row>
    <row r="21" spans="1:3" ht="19.2" customHeight="1">
      <c r="A21" s="2673">
        <v>4</v>
      </c>
      <c r="B21" s="1399" t="s">
        <v>271</v>
      </c>
      <c r="C21" s="2685">
        <f>'Phụ lục số 5'!O20</f>
        <v>200</v>
      </c>
    </row>
    <row r="22" spans="1:3" ht="19.2" customHeight="1">
      <c r="A22" s="2673">
        <v>5</v>
      </c>
      <c r="B22" s="1399" t="s">
        <v>272</v>
      </c>
      <c r="C22" s="2685">
        <f>SUM(C23:C25)</f>
        <v>4500</v>
      </c>
    </row>
    <row r="23" spans="1:3" ht="19.2" customHeight="1">
      <c r="A23" s="2677" t="s">
        <v>137</v>
      </c>
      <c r="B23" s="137" t="s">
        <v>273</v>
      </c>
      <c r="C23" s="2686">
        <f>'Phụ lục số 5'!O22</f>
        <v>2000</v>
      </c>
    </row>
    <row r="24" spans="1:3" ht="19.2" customHeight="1">
      <c r="A24" s="2677" t="s">
        <v>137</v>
      </c>
      <c r="B24" s="137" t="s">
        <v>274</v>
      </c>
      <c r="C24" s="2686">
        <f>'Phụ lục số 5'!O23</f>
        <v>0</v>
      </c>
    </row>
    <row r="25" spans="1:3" ht="19.2" customHeight="1">
      <c r="A25" s="2677" t="s">
        <v>137</v>
      </c>
      <c r="B25" s="137" t="s">
        <v>275</v>
      </c>
      <c r="C25" s="2686">
        <f>'Phụ lục số 5'!O24</f>
        <v>2500</v>
      </c>
    </row>
    <row r="26" spans="1:3" ht="19.2" customHeight="1">
      <c r="A26" s="2673">
        <v>6</v>
      </c>
      <c r="B26" s="1399" t="s">
        <v>98</v>
      </c>
      <c r="C26" s="2685">
        <f>SUM(C27:C28)</f>
        <v>1600</v>
      </c>
    </row>
    <row r="27" spans="1:3" ht="19.2" customHeight="1">
      <c r="A27" s="2677" t="s">
        <v>137</v>
      </c>
      <c r="B27" s="137" t="s">
        <v>276</v>
      </c>
      <c r="C27" s="2686">
        <f>'Phụ lục số 5'!O26</f>
        <v>0</v>
      </c>
    </row>
    <row r="28" spans="1:3" ht="19.2" customHeight="1">
      <c r="A28" s="2678" t="s">
        <v>137</v>
      </c>
      <c r="B28" s="2274" t="s">
        <v>2804</v>
      </c>
      <c r="C28" s="2686">
        <f>'Phụ lục số 5'!O27</f>
        <v>1600</v>
      </c>
    </row>
    <row r="29" spans="1:3" ht="19.2" customHeight="1">
      <c r="A29" s="2673">
        <v>7</v>
      </c>
      <c r="B29" s="1399" t="s">
        <v>357</v>
      </c>
      <c r="C29" s="2685">
        <f>SUM(C30:C31)</f>
        <v>60000</v>
      </c>
    </row>
    <row r="30" spans="1:3" ht="19.2" customHeight="1">
      <c r="A30" s="2677" t="s">
        <v>137</v>
      </c>
      <c r="B30" s="137" t="s">
        <v>276</v>
      </c>
      <c r="C30" s="2686">
        <f>'Phụ lục số 5'!O29</f>
        <v>0</v>
      </c>
    </row>
    <row r="31" spans="1:3" ht="19.2" customHeight="1">
      <c r="A31" s="2678" t="s">
        <v>137</v>
      </c>
      <c r="B31" s="2274" t="s">
        <v>2803</v>
      </c>
      <c r="C31" s="2686">
        <f>'Phụ lục số 5'!O30</f>
        <v>60000</v>
      </c>
    </row>
    <row r="32" spans="1:3" ht="19.2" customHeight="1">
      <c r="A32" s="2673">
        <v>8</v>
      </c>
      <c r="B32" s="1399" t="s">
        <v>279</v>
      </c>
      <c r="C32" s="2685">
        <f>SUM(C33:C35)</f>
        <v>14000</v>
      </c>
    </row>
    <row r="33" spans="1:3" ht="19.2" customHeight="1">
      <c r="A33" s="2677" t="s">
        <v>137</v>
      </c>
      <c r="B33" s="137" t="s">
        <v>280</v>
      </c>
      <c r="C33" s="2686">
        <f>'Phụ lục số 5'!O32</f>
        <v>2500</v>
      </c>
    </row>
    <row r="34" spans="1:3" ht="19.2" customHeight="1">
      <c r="A34" s="2677" t="s">
        <v>137</v>
      </c>
      <c r="B34" s="137" t="s">
        <v>281</v>
      </c>
      <c r="C34" s="2686">
        <f>'Phụ lục số 5'!O33</f>
        <v>3000</v>
      </c>
    </row>
    <row r="35" spans="1:3" ht="19.2" customHeight="1">
      <c r="A35" s="2677" t="s">
        <v>137</v>
      </c>
      <c r="B35" s="137" t="s">
        <v>282</v>
      </c>
      <c r="C35" s="2686">
        <f>'Phụ lục số 5'!O34</f>
        <v>8500</v>
      </c>
    </row>
    <row r="36" spans="1:3" ht="19.2" customHeight="1">
      <c r="A36" s="2673">
        <v>9</v>
      </c>
      <c r="B36" s="2590" t="s">
        <v>2521</v>
      </c>
      <c r="C36" s="2685">
        <f>'Phụ lục số 5'!O35</f>
        <v>0</v>
      </c>
    </row>
    <row r="37" spans="1:3" ht="19.2" customHeight="1">
      <c r="A37" s="2673" t="s">
        <v>20</v>
      </c>
      <c r="B37" s="1399" t="s">
        <v>2520</v>
      </c>
      <c r="C37" s="2687"/>
    </row>
    <row r="38" spans="1:3" ht="19.2" customHeight="1">
      <c r="A38" s="2673"/>
      <c r="B38" s="16" t="s">
        <v>2523</v>
      </c>
      <c r="C38" s="2688">
        <v>1</v>
      </c>
    </row>
    <row r="39" spans="1:3" s="154" customFormat="1" ht="19.2" customHeight="1">
      <c r="A39" s="2689" t="s">
        <v>49</v>
      </c>
      <c r="B39" s="29" t="s">
        <v>2522</v>
      </c>
      <c r="C39" s="2690">
        <f>SUM(C40:C41)</f>
        <v>467064.76</v>
      </c>
    </row>
    <row r="40" spans="1:3" s="154" customFormat="1" ht="19.2" customHeight="1">
      <c r="A40" s="2689">
        <v>1</v>
      </c>
      <c r="B40" s="29" t="s">
        <v>284</v>
      </c>
      <c r="C40" s="2691">
        <f>'Phụ lục số 5'!Q37</f>
        <v>388772</v>
      </c>
    </row>
    <row r="41" spans="1:3" s="154" customFormat="1" ht="19.2" customHeight="1">
      <c r="A41" s="2689">
        <v>2</v>
      </c>
      <c r="B41" s="29" t="s">
        <v>285</v>
      </c>
      <c r="C41" s="2690">
        <f>SUM(C42:C46)</f>
        <v>78292.759999999995</v>
      </c>
    </row>
    <row r="42" spans="1:3" s="154" customFormat="1" ht="36" customHeight="1">
      <c r="A42" s="2628" t="s">
        <v>34</v>
      </c>
      <c r="B42" s="2701" t="str">
        <f>'H. TÂN HỒNG'!B42</f>
        <v>Kinh phí hỗ trợ giá sản phẩm, dịch vụ công ích thủy lợi theo quy định tại Nghị định số 96/2018/NĐ-CP ngày 30/6/2018 của Chính phủ</v>
      </c>
      <c r="C42" s="2691">
        <f>'Phụ lục số 5'!Q39</f>
        <v>18900</v>
      </c>
    </row>
    <row r="43" spans="1:3" s="154" customFormat="1" ht="54" customHeight="1">
      <c r="A43" s="2628" t="s">
        <v>35</v>
      </c>
      <c r="B43" s="2701" t="str">
        <f>'H. TÂN HỒNG'!B43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691">
        <f>'Phụ lục số 5'!Q40</f>
        <v>27000</v>
      </c>
    </row>
    <row r="44" spans="1:3" s="154" customFormat="1" ht="19.2" customHeight="1">
      <c r="A44" s="2628" t="s">
        <v>36</v>
      </c>
      <c r="B44" s="2701" t="str">
        <f>'H. TÂN HỒNG'!B44</f>
        <v>Bổ sung nguồn thực hiện điều chỉnh tiền lương cơ sở tăng thêm đến 1,8 triệu đồng/tháng (12 tháng)</v>
      </c>
      <c r="C44" s="2691">
        <f>'Phụ lục số 5'!Q41</f>
        <v>30706</v>
      </c>
    </row>
    <row r="45" spans="1:3" s="154" customFormat="1" ht="19.2" customHeight="1">
      <c r="A45" s="2628" t="s">
        <v>37</v>
      </c>
      <c r="B45" s="2701" t="str">
        <f>'H. TÂN HỒNG'!B45</f>
        <v>Bổ sung có mục tiêu thực hiện chính sách an sinh xã hội (ngoài chính sách tiền lương) (5)</v>
      </c>
      <c r="C45" s="2691">
        <f>'Phụ lục số 5'!Q42</f>
        <v>1686.76</v>
      </c>
    </row>
    <row r="46" spans="1:3" s="154" customFormat="1">
      <c r="A46" s="2814" t="str">
        <f>'TỔNG CỘNG'!A46</f>
        <v>đ</v>
      </c>
      <c r="B46" s="2701" t="str">
        <f>'H. TÂN HỒNG'!B46</f>
        <v>Bổ sung có mục tiêu kinh phí diễn tập khu vực phòng thủ cấp huyện năm 2024</v>
      </c>
      <c r="C46" s="2691">
        <f>'Phụ lục số 5'!Q43</f>
        <v>0</v>
      </c>
    </row>
    <row r="47" spans="1:3" s="154" customFormat="1" ht="19.2" customHeight="1" thickBot="1">
      <c r="A47" s="2695" t="s">
        <v>50</v>
      </c>
      <c r="B47" s="2696" t="s">
        <v>286</v>
      </c>
      <c r="C47" s="2697">
        <f>'Phụ lục số 5'!Q44</f>
        <v>21613</v>
      </c>
    </row>
    <row r="48" spans="1:3" hidden="1">
      <c r="A48" s="2698"/>
      <c r="B48" s="2698" t="s">
        <v>287</v>
      </c>
      <c r="C48" s="2699"/>
    </row>
    <row r="50" spans="1:3">
      <c r="A50" s="4769" t="s">
        <v>1050</v>
      </c>
      <c r="B50" s="4769"/>
      <c r="C50" s="4769"/>
    </row>
    <row r="51" spans="1:3" ht="34.950000000000003" customHeight="1">
      <c r="A51" s="4776" t="str">
        <f>'H. TÂN HỒNG'!A51:C51</f>
        <v xml:space="preserve">(1): Dự toán thu ngân sách nhà nước năm 2024 không bao gồm các khoản huy động nhân dân đóng góp, các khoản ghi thu, ghi chi vào ngân sách nhà nước theo chế độ quy định.
</v>
      </c>
      <c r="B51" s="4776"/>
      <c r="C51" s="4776"/>
    </row>
    <row r="52" spans="1:3" ht="91.95" customHeight="1">
      <c r="A52" s="4775" t="str">
        <f>'H. TÂN HỒNG'!A52:C52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75"/>
      <c r="C52" s="4775"/>
    </row>
    <row r="53" spans="1:3" ht="19.2" customHeight="1">
      <c r="A53" s="37" t="str">
        <f>'H. TÂN HỒNG'!A53</f>
        <v>(4): Các khoản thu phân chia theo tỷ lệ (%) giữa ngân sách cấp Tỉnh và ngân sách cấp huyện</v>
      </c>
    </row>
    <row r="54" spans="1:3" ht="19.2" customHeight="1">
      <c r="A54" s="37" t="str">
        <f>'H. TÂN HỒNG'!A54</f>
        <v>(5): Chi tiết chế độ, chính sách an sinh xã hội theo Phụ lục số III</v>
      </c>
    </row>
    <row r="55" spans="1:3" ht="19.2" customHeight="1"/>
    <row r="58" spans="1:3">
      <c r="A58" s="4299" t="str">
        <f>'H. TÂN HỒNG'!A58:C58</f>
        <v>PHỤ LỤC II</v>
      </c>
      <c r="B58" s="4299"/>
      <c r="C58" s="4299"/>
    </row>
    <row r="59" spans="1:3">
      <c r="A59" s="4299" t="str">
        <f>'H. TÂN HỒNG'!A59:C59</f>
        <v>NHIỆM VỤ CHI NGÂN SÁCH HUYỆN, THÀNH PHỐ NĂM 2024</v>
      </c>
      <c r="B59" s="4299"/>
      <c r="C59" s="4299"/>
    </row>
    <row r="60" spans="1:3">
      <c r="A60" s="4299" t="str">
        <f>A3</f>
        <v>HUYỆN TAM NÔNG</v>
      </c>
      <c r="B60" s="4299"/>
      <c r="C60" s="4299"/>
    </row>
    <row r="61" spans="1:3" ht="18" customHeight="1">
      <c r="A61" s="4627" t="str">
        <f>A4</f>
        <v>(Kèm theo Quyết định số        /QĐ-UBND-HC ngày      /12/2023 của Uỷ ban nhân dân tỉnh Đồng Tháp)</v>
      </c>
      <c r="B61" s="4627"/>
      <c r="C61" s="4627"/>
    </row>
    <row r="62" spans="1:3" ht="18" customHeight="1">
      <c r="A62" s="2578"/>
      <c r="B62" s="2578"/>
      <c r="C62" s="2578"/>
    </row>
    <row r="63" spans="1:3" ht="18" customHeight="1">
      <c r="A63" s="2578"/>
      <c r="B63" s="2578"/>
      <c r="C63" s="70" t="str">
        <f>C6</f>
        <v>Đơn vị tính: Triệu đồng</v>
      </c>
    </row>
    <row r="64" spans="1:3" s="210" customFormat="1" ht="34.950000000000003" customHeight="1">
      <c r="A64" s="2285" t="s">
        <v>288</v>
      </c>
      <c r="B64" s="2402" t="str">
        <f>'H. TÂN HỒNG'!B64</f>
        <v>Nội dung</v>
      </c>
      <c r="C64" s="2403" t="str">
        <f>C7</f>
        <v>Dự toán năm 2024</v>
      </c>
    </row>
    <row r="65" spans="1:3" s="48" customFormat="1" ht="19.2" customHeight="1">
      <c r="A65" s="2286"/>
      <c r="B65" s="1408" t="str">
        <f>'H. TÂN HỒNG'!B65</f>
        <v>Tổng chi (I+II+III+IV)</v>
      </c>
      <c r="C65" s="2589">
        <f>C66+C70+C74+C75+C76</f>
        <v>629617.76</v>
      </c>
    </row>
    <row r="66" spans="1:3" s="48" customFormat="1" ht="19.2" customHeight="1">
      <c r="A66" s="2287" t="s">
        <v>9</v>
      </c>
      <c r="B66" s="2288" t="str">
        <f>'H. TÂN HỒNG'!B66</f>
        <v>Chi đầu tư phát triển (1)</v>
      </c>
      <c r="C66" s="2594">
        <f>C68+C69</f>
        <v>83999.809682436709</v>
      </c>
    </row>
    <row r="67" spans="1:3" ht="19.2" customHeight="1">
      <c r="A67" s="2289"/>
      <c r="B67" s="2290" t="str">
        <f>'H. TÂN HỒNG'!B67</f>
        <v>Bao gồm:</v>
      </c>
      <c r="C67" s="2558"/>
    </row>
    <row r="68" spans="1:3" ht="19.2" customHeight="1">
      <c r="A68" s="2291">
        <v>1</v>
      </c>
      <c r="B68" s="3284" t="str">
        <f>'H. TÂN HỒNG'!B68</f>
        <v>Chi đầu tư xây dựng cơ bản</v>
      </c>
      <c r="C68" s="2558">
        <f>'Phụ lục số 6'!G8</f>
        <v>29999.809682436709</v>
      </c>
    </row>
    <row r="69" spans="1:3" ht="19.2" customHeight="1">
      <c r="A69" s="2291">
        <v>2</v>
      </c>
      <c r="B69" s="3284" t="str">
        <f>'H. TÂN HỒNG'!B69</f>
        <v>Chi đầu tư từ nguồn thu tiền sử dụng đất</v>
      </c>
      <c r="C69" s="2558">
        <f>'Phụ lục số 6'!G9</f>
        <v>54000</v>
      </c>
    </row>
    <row r="70" spans="1:3" s="48" customFormat="1" ht="19.2" customHeight="1">
      <c r="A70" s="2287" t="s">
        <v>20</v>
      </c>
      <c r="B70" s="2288" t="str">
        <f>'H. TÂN HỒNG'!B70</f>
        <v>Chi thường xuyên (2)</v>
      </c>
      <c r="C70" s="2594">
        <f>'Phụ lục số 6'!G10</f>
        <v>534028.97233674373</v>
      </c>
    </row>
    <row r="71" spans="1:3" ht="19.2" customHeight="1">
      <c r="A71" s="2293"/>
      <c r="B71" s="2294" t="str">
        <f>'H. TÂN HỒNG'!B71</f>
        <v>Bao gồm:</v>
      </c>
      <c r="C71" s="2558"/>
    </row>
    <row r="72" spans="1:3" ht="19.2" customHeight="1">
      <c r="A72" s="2291">
        <v>1</v>
      </c>
      <c r="B72" s="2275" t="str">
        <f>'H. TÂN HỒNG'!B72</f>
        <v>Sự nghiệp giáo dục - đào tạo (3)</v>
      </c>
      <c r="C72" s="2558">
        <f>'Phụ lục số 6'!G12</f>
        <v>267458.19947370357</v>
      </c>
    </row>
    <row r="73" spans="1:3" ht="19.2" customHeight="1">
      <c r="A73" s="2291">
        <v>2</v>
      </c>
      <c r="B73" s="2275" t="str">
        <f>'H. TÂN HỒNG'!B73</f>
        <v>Các khoản chi thường xuyên còn lại</v>
      </c>
      <c r="C73" s="2558">
        <f>'Phụ lục số 6'!G13</f>
        <v>266570.77286304015</v>
      </c>
    </row>
    <row r="74" spans="1:3" s="48" customFormat="1" ht="19.2" customHeight="1">
      <c r="A74" s="2287" t="s">
        <v>49</v>
      </c>
      <c r="B74" s="2288" t="str">
        <f>'H. TÂN HỒNG'!B74</f>
        <v>Dự phòng ngân sách</v>
      </c>
      <c r="C74" s="2594">
        <f>'Phụ lục số 6'!G14</f>
        <v>11588.977980819584</v>
      </c>
    </row>
    <row r="75" spans="1:3" s="48" customFormat="1" ht="19.2" customHeight="1">
      <c r="A75" s="2287" t="s">
        <v>50</v>
      </c>
      <c r="B75" s="2288" t="str">
        <f>'H. TÂN HỒNG'!B75</f>
        <v>Chi tạo nguồn cải cách tiền lương</v>
      </c>
      <c r="C75" s="2594">
        <f>'Phụ lục số 6'!G15</f>
        <v>0</v>
      </c>
    </row>
    <row r="76" spans="1:3" ht="19.2" customHeight="1">
      <c r="A76" s="2583" t="s">
        <v>72</v>
      </c>
      <c r="B76" s="1399" t="str">
        <f>'H. TÂN HỒNG'!B76</f>
        <v>Chi từ nguồn ngân sách cấp Tỉnh bổ sung có mục tiêu</v>
      </c>
      <c r="C76" s="2594">
        <f>SUM(C77:C81)</f>
        <v>0</v>
      </c>
    </row>
    <row r="77" spans="1:3" ht="19.2" hidden="1" customHeight="1">
      <c r="A77" s="2584" t="s">
        <v>137</v>
      </c>
      <c r="B77" s="16" t="str">
        <f>'H. TÂN HỒNG'!B77</f>
        <v>Chi đầu tư xây dựng cơ bản</v>
      </c>
      <c r="C77" s="2558">
        <f>'Phụ lục số 6'!G17</f>
        <v>0</v>
      </c>
    </row>
    <row r="78" spans="1:3" ht="19.2" hidden="1" customHeight="1">
      <c r="A78" s="2584" t="s">
        <v>137</v>
      </c>
      <c r="B78" s="16" t="str">
        <f>'H. TÂN HỒNG'!B78</f>
        <v>Chi đầu tư từ nguồn xổ số kiến thiết</v>
      </c>
      <c r="C78" s="2558">
        <f>'Phụ lục số 6'!G18</f>
        <v>0</v>
      </c>
    </row>
    <row r="79" spans="1:3" ht="19.2" hidden="1" customHeight="1">
      <c r="A79" s="2584" t="s">
        <v>137</v>
      </c>
      <c r="B79" s="16" t="str">
        <f>'H. TÂN HỒNG'!B79</f>
        <v>Chi từ nguồn ngân sách trung ương bổ sung có mục tiêu (kinh phí sự nghiệp)</v>
      </c>
      <c r="C79" s="2558">
        <f>'Phụ lục số 6'!G19</f>
        <v>0</v>
      </c>
    </row>
    <row r="80" spans="1:3" ht="19.2" hidden="1" customHeight="1">
      <c r="A80" s="2585" t="s">
        <v>137</v>
      </c>
      <c r="B80" s="16" t="str">
        <f>'H. TÂN HỒNG'!B80</f>
        <v>Chi từ nguồn ngân sách trung ương bổ sung có mục tiêu (Chương trình Mục tiêu quốc gia)</v>
      </c>
      <c r="C80" s="2558">
        <f>'Phụ lục số 6'!G20</f>
        <v>0</v>
      </c>
    </row>
    <row r="81" spans="1:3" ht="19.2" hidden="1" customHeight="1">
      <c r="A81" s="2586"/>
      <c r="B81" s="2825" t="str">
        <f>'H. TÂN HỒNG'!B81</f>
        <v>Chi từ nguồn ngân sách trung ương bổ sung có mục tiêu, nhiệm vụ quan trọng khác</v>
      </c>
      <c r="C81" s="2595">
        <f>'Phụ lục số 6'!G21</f>
        <v>0</v>
      </c>
    </row>
    <row r="83" spans="1:3">
      <c r="A83" s="48" t="s">
        <v>1050</v>
      </c>
      <c r="B83" s="2581"/>
    </row>
    <row r="84" spans="1:3" s="2249" customFormat="1">
      <c r="A84" s="4777" t="s">
        <v>2642</v>
      </c>
      <c r="B84" s="4778"/>
      <c r="C84" s="4778"/>
    </row>
    <row r="85" spans="1:3" s="2249" customFormat="1" ht="60" customHeight="1">
      <c r="A85" s="4755" t="s">
        <v>2743</v>
      </c>
      <c r="B85" s="4756"/>
      <c r="C85" s="4756"/>
    </row>
    <row r="86" spans="1:3" s="2249" customFormat="1" ht="18" customHeight="1">
      <c r="A86" s="4756" t="str">
        <f>'H. TÂN HỒNG'!A86:C86</f>
        <v>- Chưa bao gồm chi đầu tư từ nguồn vốn do ngân sách cấp tỉnh quản lý và phân bổ bổ sung có mục tiêu cho ngân sách huyện, thành phố</v>
      </c>
      <c r="B86" s="4756"/>
      <c r="C86" s="4756"/>
    </row>
    <row r="87" spans="1:3">
      <c r="A87" s="4772" t="s">
        <v>2495</v>
      </c>
      <c r="B87" s="4772"/>
      <c r="C87" s="4772"/>
    </row>
    <row r="88" spans="1:3" ht="60" customHeight="1">
      <c r="A88" s="4756" t="str">
        <f>'H. TÂN HỒNG'!A88:C88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56"/>
      <c r="C88" s="4756"/>
    </row>
    <row r="89" spans="1:3" ht="40.200000000000003" customHeight="1">
      <c r="A89" s="4767" t="str">
        <f>'H. TÂN HỒNG'!A89:C89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67"/>
      <c r="C89" s="4767"/>
    </row>
    <row r="90" spans="1:3">
      <c r="A90" s="37" t="str">
        <f>'H. TÂN HỒNG'!A90</f>
        <v xml:space="preserve">- Bao gồm 10% tiết kiệm tăng thêm năm 2024 so với năm 2023 để thực hiện cải cách tiền lương năm 2024 là: </v>
      </c>
      <c r="B90" s="3302"/>
      <c r="C90" s="3369" t="s">
        <v>2666</v>
      </c>
    </row>
    <row r="91" spans="1:3" s="2248" customFormat="1" ht="17.399999999999999">
      <c r="A91" s="4779" t="str">
        <f>'H. TÂN HỒNG'!A91:C91</f>
        <v>(3): Trong đó:</v>
      </c>
      <c r="B91" s="4779"/>
      <c r="C91" s="4779"/>
    </row>
    <row r="92" spans="1:3" s="2249" customFormat="1" ht="55.2" customHeight="1">
      <c r="A92" s="4756" t="str">
        <f>'H. TÂN HỒNG'!A92:C92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56"/>
      <c r="C92" s="4756"/>
    </row>
    <row r="118" spans="1:5">
      <c r="A118" s="4299" t="str">
        <f>'TỔNG CỘNG'!A118:C118</f>
        <v>PHỤ LỤC III</v>
      </c>
      <c r="B118" s="4299"/>
      <c r="C118" s="4299"/>
    </row>
    <row r="119" spans="1:5">
      <c r="A119" s="4299" t="str">
        <f>'TỔNG CỘNG'!A119:C119</f>
        <v>CHẾ ĐỘ CHÍNH SÁCH AN SINH XÃ HỘI TĂNG THÊM NĂM 2024</v>
      </c>
      <c r="B119" s="4299"/>
      <c r="C119" s="4299"/>
    </row>
    <row r="120" spans="1:5">
      <c r="A120" s="4299" t="str">
        <f>A60</f>
        <v>HUYỆN TAM NÔNG</v>
      </c>
      <c r="B120" s="4299"/>
      <c r="C120" s="4299"/>
    </row>
    <row r="121" spans="1:5">
      <c r="A121" s="4300" t="str">
        <f>'TỔNG CỘNG'!A121:C121</f>
        <v>(Kèm theo Quyết định số        /QĐ-UBND-HC ngày      /12/2023 của Uỷ ban nhân dân tỉnh Đồng Tháp)</v>
      </c>
      <c r="B121" s="4300"/>
      <c r="C121" s="4300"/>
    </row>
    <row r="123" spans="1:5">
      <c r="A123" s="3285"/>
      <c r="B123" s="3285"/>
      <c r="C123" s="1384" t="str">
        <f>C63</f>
        <v>Đơn vị tính: Triệu đồng</v>
      </c>
    </row>
    <row r="124" spans="1:5" ht="34.799999999999997">
      <c r="A124" s="3286" t="s">
        <v>288</v>
      </c>
      <c r="B124" s="3236" t="s">
        <v>791</v>
      </c>
      <c r="C124" s="1829" t="s">
        <v>1700</v>
      </c>
    </row>
    <row r="125" spans="1:5">
      <c r="A125" s="3494"/>
      <c r="B125" s="2386" t="str">
        <f>'TỔNG CỘNG'!B125</f>
        <v>TỔNG CỘNG (I+II)</v>
      </c>
      <c r="C125" s="3505">
        <f>C126+C130</f>
        <v>1686.76</v>
      </c>
      <c r="E125" s="1">
        <f>C125-C45</f>
        <v>0</v>
      </c>
    </row>
    <row r="126" spans="1:5">
      <c r="A126" s="133" t="s">
        <v>9</v>
      </c>
      <c r="B126" s="3782" t="str">
        <f>'TỔNG CỘNG'!B126</f>
        <v>Các chính sách thuộc sự nghiệp giáo dục - đào tạo và dạy nghề</v>
      </c>
      <c r="C126" s="3655">
        <f>SUM(C127:C129)</f>
        <v>782.76</v>
      </c>
    </row>
    <row r="127" spans="1:5" ht="36">
      <c r="A127" s="136">
        <v>1</v>
      </c>
      <c r="B127" s="803" t="str">
        <f>'TỔNG CỘNG'!B127</f>
        <v>Chính sách hỗ trợ chi phí học tập và miễn giảm học phí theo quy định tại Nghị định số 81/2021/NĐ-CP ngày 27/08/2021 của Chính phủ</v>
      </c>
      <c r="C127" s="2335">
        <f>'Phụ lục 7.3-CĐCS'!BS13+'Phụ lục 7.3-CĐCS'!BS14+'Phụ lục 7.3-CĐCS'!BS15</f>
        <v>782.76</v>
      </c>
    </row>
    <row r="128" spans="1:5" ht="36">
      <c r="A128" s="136">
        <v>2</v>
      </c>
      <c r="B128" s="3775" t="str">
        <f>'TỔNG CỘNG'!B128</f>
        <v>Chính sách phát triển giao dục mầm non Nghị định 105/2020/NĐ-CP ngày 08/09/2020 của Chính phủ</v>
      </c>
      <c r="C128" s="2335">
        <v>0</v>
      </c>
    </row>
    <row r="129" spans="1:3" ht="36">
      <c r="A129" s="136">
        <v>3</v>
      </c>
      <c r="B129" s="3775" t="str">
        <f>'TỔNG CỘNG'!B129</f>
        <v>Học bổng, chi phí học tập cho học sinh khuyết tật theo Thông tư liên tịch số 42/2013/TTLT-BGDĐT-BLĐTBXH-BTC ngày 31/12/2013</v>
      </c>
      <c r="C129" s="2335">
        <v>0</v>
      </c>
    </row>
    <row r="130" spans="1:3">
      <c r="A130" s="133" t="s">
        <v>20</v>
      </c>
      <c r="B130" s="3782" t="str">
        <f>'TỔNG CỘNG'!B130</f>
        <v>Các chính sách thuộc sự nghiệp đảm bảo xã hội</v>
      </c>
      <c r="C130" s="3655">
        <f>SUM(C131:C132)</f>
        <v>904</v>
      </c>
    </row>
    <row r="131" spans="1:3" ht="36">
      <c r="A131" s="136">
        <v>1</v>
      </c>
      <c r="B131" s="3775" t="str">
        <f>'TỔNG CỘNG'!B131</f>
        <v>Chính sách hỗ trợ thường xuyên cho đối tượng bảo trợ xã hội theo quy định tại Nghị định số 20/2021/NĐ-CP ngày 15/03/2021 của Chính phủ</v>
      </c>
      <c r="C131" s="2335">
        <f>'Phụ lục 7.3-CĐCS'!BS17</f>
        <v>770</v>
      </c>
    </row>
    <row r="132" spans="1:3" ht="36">
      <c r="A132" s="2298">
        <v>2</v>
      </c>
      <c r="B132" s="3783" t="str">
        <f>'TỔNG CỘNG'!B132</f>
        <v>Chính sách hỗ trợ tiền điện cho hộ nghèo, hộ chính sách xã hội theo quy định tại Quyết định số 28/2014/QĐ-TTg ngày 07/4/2014 của Thủ tướng Chính phủ</v>
      </c>
      <c r="C132" s="2338">
        <f>'Phụ lục 7.3-CĐCS'!BS18</f>
        <v>134</v>
      </c>
    </row>
  </sheetData>
  <mergeCells count="23">
    <mergeCell ref="A51:C51"/>
    <mergeCell ref="A1:C1"/>
    <mergeCell ref="A58:C58"/>
    <mergeCell ref="A87:C87"/>
    <mergeCell ref="A88:C88"/>
    <mergeCell ref="A52:C52"/>
    <mergeCell ref="A2:C2"/>
    <mergeCell ref="A3:C3"/>
    <mergeCell ref="A4:C4"/>
    <mergeCell ref="A50:C50"/>
    <mergeCell ref="A89:C89"/>
    <mergeCell ref="A59:C59"/>
    <mergeCell ref="A60:C60"/>
    <mergeCell ref="A61:C61"/>
    <mergeCell ref="A84:C84"/>
    <mergeCell ref="A85:C85"/>
    <mergeCell ref="A86:C86"/>
    <mergeCell ref="A118:C118"/>
    <mergeCell ref="A119:C119"/>
    <mergeCell ref="A120:C120"/>
    <mergeCell ref="A121:C121"/>
    <mergeCell ref="A91:C91"/>
    <mergeCell ref="A92:C92"/>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workbookViewId="0">
      <selection activeCell="C235" sqref="C235"/>
    </sheetView>
  </sheetViews>
  <sheetFormatPr defaultColWidth="8.69921875" defaultRowHeight="18"/>
  <cols>
    <col min="1" max="1" width="5.69921875" style="37" customWidth="1"/>
    <col min="2" max="2" width="96.69921875" style="37" customWidth="1"/>
    <col min="3" max="3" width="25.69921875" style="37" customWidth="1"/>
    <col min="4" max="16384" width="8.69921875" style="37"/>
  </cols>
  <sheetData>
    <row r="1" spans="1:3">
      <c r="A1" s="4299" t="str">
        <f>'H. TAM NÔNG'!A1:C1</f>
        <v>PHỤ LỤC I</v>
      </c>
      <c r="B1" s="4299"/>
      <c r="C1" s="4299"/>
    </row>
    <row r="2" spans="1:3">
      <c r="A2" s="4299" t="str">
        <f>'H. TAM NÔNG'!A2:C2</f>
        <v>NHIỆM VỤ THU NGÂN SÁCH NHÀ NƯỚC NĂM 2024</v>
      </c>
      <c r="B2" s="4299"/>
      <c r="C2" s="4299"/>
    </row>
    <row r="3" spans="1:3">
      <c r="A3" s="4299" t="s">
        <v>1872</v>
      </c>
      <c r="B3" s="4299"/>
      <c r="C3" s="4299"/>
    </row>
    <row r="4" spans="1:3" ht="15.6" customHeight="1">
      <c r="A4" s="4627" t="str">
        <f>'H. TAM NÔNG'!A4:C4</f>
        <v>(Kèm theo Quyết định số        /QĐ-UBND-HC ngày      /12/2023 của Uỷ ban nhân dân tỉnh Đồng Tháp)</v>
      </c>
      <c r="B4" s="4627"/>
      <c r="C4" s="4627"/>
    </row>
    <row r="5" spans="1:3">
      <c r="A5" s="2578"/>
      <c r="B5" s="2578"/>
    </row>
    <row r="6" spans="1:3" ht="18.600000000000001" thickBot="1">
      <c r="A6" s="2578"/>
      <c r="B6" s="2578"/>
      <c r="C6" s="39" t="s">
        <v>64</v>
      </c>
    </row>
    <row r="7" spans="1:3" s="1319" customFormat="1" ht="30" customHeight="1">
      <c r="A7" s="2145" t="s">
        <v>244</v>
      </c>
      <c r="B7" s="2669" t="s">
        <v>791</v>
      </c>
      <c r="C7" s="2668" t="s">
        <v>1700</v>
      </c>
    </row>
    <row r="8" spans="1:3" ht="19.2" customHeight="1">
      <c r="A8" s="2672" t="s">
        <v>9</v>
      </c>
      <c r="B8" s="2268" t="s">
        <v>263</v>
      </c>
      <c r="C8" s="2682">
        <f>C10+C16+C19+C20+C21+C22+C26+C29+C32+C36</f>
        <v>260000</v>
      </c>
    </row>
    <row r="9" spans="1:3" ht="19.2" customHeight="1">
      <c r="A9" s="2683"/>
      <c r="B9" s="2518" t="s">
        <v>264</v>
      </c>
      <c r="C9" s="2684">
        <f>C8-C29</f>
        <v>190000</v>
      </c>
    </row>
    <row r="10" spans="1:3" ht="19.2" customHeight="1">
      <c r="A10" s="2673">
        <v>1</v>
      </c>
      <c r="B10" s="1399" t="s">
        <v>352</v>
      </c>
      <c r="C10" s="2685">
        <f>SUM(C11:C15)</f>
        <v>104000</v>
      </c>
    </row>
    <row r="11" spans="1:3" ht="19.2" customHeight="1">
      <c r="A11" s="2674" t="s">
        <v>137</v>
      </c>
      <c r="B11" s="16" t="s">
        <v>266</v>
      </c>
      <c r="C11" s="2686">
        <f>'Phụ lục số 5'!R10</f>
        <v>20100</v>
      </c>
    </row>
    <row r="12" spans="1:3" ht="19.2" customHeight="1">
      <c r="A12" s="2674" t="s">
        <v>137</v>
      </c>
      <c r="B12" s="16" t="s">
        <v>267</v>
      </c>
      <c r="C12" s="2686">
        <f>'Phụ lục số 5'!R11</f>
        <v>83500</v>
      </c>
    </row>
    <row r="13" spans="1:3" ht="19.2" customHeight="1">
      <c r="A13" s="2674" t="s">
        <v>137</v>
      </c>
      <c r="B13" s="16" t="s">
        <v>268</v>
      </c>
      <c r="C13" s="2686">
        <f>'Phụ lục số 5'!R12</f>
        <v>100</v>
      </c>
    </row>
    <row r="14" spans="1:3" ht="19.2" customHeight="1">
      <c r="A14" s="2674" t="s">
        <v>137</v>
      </c>
      <c r="B14" s="16" t="s">
        <v>14</v>
      </c>
      <c r="C14" s="2686">
        <f>'Phụ lục số 5'!R13</f>
        <v>300</v>
      </c>
    </row>
    <row r="15" spans="1:3" ht="19.2" customHeight="1">
      <c r="A15" s="2674" t="s">
        <v>137</v>
      </c>
      <c r="B15" s="16" t="s">
        <v>269</v>
      </c>
      <c r="C15" s="2686">
        <f>'Phụ lục số 5'!R14</f>
        <v>0</v>
      </c>
    </row>
    <row r="16" spans="1:3" ht="19.2" customHeight="1">
      <c r="A16" s="2673">
        <v>2</v>
      </c>
      <c r="B16" s="1399" t="s">
        <v>97</v>
      </c>
      <c r="C16" s="2685">
        <f>SUM(C17:C18)</f>
        <v>17000</v>
      </c>
    </row>
    <row r="17" spans="1:3" ht="19.2" hidden="1" customHeight="1">
      <c r="A17" s="2675" t="s">
        <v>137</v>
      </c>
      <c r="B17" s="137" t="s">
        <v>276</v>
      </c>
      <c r="C17" s="2686">
        <f>'Phụ lục số 5'!R16</f>
        <v>0</v>
      </c>
    </row>
    <row r="18" spans="1:3" ht="19.2" hidden="1" customHeight="1">
      <c r="A18" s="2676" t="s">
        <v>137</v>
      </c>
      <c r="B18" s="2274" t="s">
        <v>277</v>
      </c>
      <c r="C18" s="2686">
        <f>'Phụ lục số 5'!R17</f>
        <v>17000</v>
      </c>
    </row>
    <row r="19" spans="1:3" s="2" customFormat="1" ht="19.2" customHeight="1">
      <c r="A19" s="2673">
        <v>3</v>
      </c>
      <c r="B19" s="1399" t="s">
        <v>16</v>
      </c>
      <c r="C19" s="2685">
        <f>'Phụ lục số 5'!R18</f>
        <v>26000</v>
      </c>
    </row>
    <row r="20" spans="1:3" s="2" customFormat="1" ht="19.2" customHeight="1">
      <c r="A20" s="2673">
        <v>4</v>
      </c>
      <c r="B20" s="1399" t="s">
        <v>270</v>
      </c>
      <c r="C20" s="2685">
        <f>'Phụ lục số 5'!R19</f>
        <v>0</v>
      </c>
    </row>
    <row r="21" spans="1:3" s="2" customFormat="1" ht="19.2" customHeight="1">
      <c r="A21" s="2673">
        <v>4</v>
      </c>
      <c r="B21" s="1399" t="s">
        <v>271</v>
      </c>
      <c r="C21" s="2685">
        <f>'Phụ lục số 5'!R20</f>
        <v>1000</v>
      </c>
    </row>
    <row r="22" spans="1:3" ht="19.2" customHeight="1">
      <c r="A22" s="2673">
        <v>5</v>
      </c>
      <c r="B22" s="1399" t="s">
        <v>272</v>
      </c>
      <c r="C22" s="2685">
        <f>SUM(C23:C25)</f>
        <v>7000</v>
      </c>
    </row>
    <row r="23" spans="1:3" ht="19.2" customHeight="1">
      <c r="A23" s="2677" t="s">
        <v>137</v>
      </c>
      <c r="B23" s="137" t="s">
        <v>273</v>
      </c>
      <c r="C23" s="2686">
        <f>'Phụ lục số 5'!R22</f>
        <v>3000</v>
      </c>
    </row>
    <row r="24" spans="1:3" ht="19.2" customHeight="1">
      <c r="A24" s="2677" t="s">
        <v>137</v>
      </c>
      <c r="B24" s="137" t="s">
        <v>274</v>
      </c>
      <c r="C24" s="2686">
        <f>'Phụ lục số 5'!R23</f>
        <v>250</v>
      </c>
    </row>
    <row r="25" spans="1:3" ht="19.2" customHeight="1">
      <c r="A25" s="2677" t="s">
        <v>137</v>
      </c>
      <c r="B25" s="137" t="s">
        <v>275</v>
      </c>
      <c r="C25" s="2686">
        <f>'Phụ lục số 5'!R24</f>
        <v>3750</v>
      </c>
    </row>
    <row r="26" spans="1:3" ht="19.2" customHeight="1">
      <c r="A26" s="2673">
        <v>6</v>
      </c>
      <c r="B26" s="1399" t="s">
        <v>98</v>
      </c>
      <c r="C26" s="2685">
        <f>SUM(C27:C28)</f>
        <v>10000</v>
      </c>
    </row>
    <row r="27" spans="1:3" ht="19.2" customHeight="1">
      <c r="A27" s="2677" t="s">
        <v>137</v>
      </c>
      <c r="B27" s="137" t="s">
        <v>276</v>
      </c>
      <c r="C27" s="2686">
        <f>'Phụ lục số 5'!R26</f>
        <v>0</v>
      </c>
    </row>
    <row r="28" spans="1:3" ht="19.2" customHeight="1">
      <c r="A28" s="2678" t="s">
        <v>137</v>
      </c>
      <c r="B28" s="2274" t="s">
        <v>2804</v>
      </c>
      <c r="C28" s="2686">
        <f>'Phụ lục số 5'!R27</f>
        <v>10000</v>
      </c>
    </row>
    <row r="29" spans="1:3" ht="19.2" customHeight="1">
      <c r="A29" s="2673">
        <v>7</v>
      </c>
      <c r="B29" s="1399" t="s">
        <v>357</v>
      </c>
      <c r="C29" s="2685">
        <f>SUM(C30:C31)</f>
        <v>70000</v>
      </c>
    </row>
    <row r="30" spans="1:3" ht="19.2" customHeight="1">
      <c r="A30" s="2677" t="s">
        <v>137</v>
      </c>
      <c r="B30" s="137" t="s">
        <v>276</v>
      </c>
      <c r="C30" s="2686">
        <f>'Phụ lục số 5'!R29</f>
        <v>0</v>
      </c>
    </row>
    <row r="31" spans="1:3" ht="19.2" customHeight="1">
      <c r="A31" s="2678" t="s">
        <v>137</v>
      </c>
      <c r="B31" s="2274" t="s">
        <v>2803</v>
      </c>
      <c r="C31" s="2686">
        <f>'Phụ lục số 5'!R30</f>
        <v>70000</v>
      </c>
    </row>
    <row r="32" spans="1:3" ht="19.2" customHeight="1">
      <c r="A32" s="2673">
        <v>8</v>
      </c>
      <c r="B32" s="1399" t="s">
        <v>279</v>
      </c>
      <c r="C32" s="2685">
        <f>SUM(C33:C35)</f>
        <v>25000</v>
      </c>
    </row>
    <row r="33" spans="1:3" ht="19.2" customHeight="1">
      <c r="A33" s="2677" t="s">
        <v>137</v>
      </c>
      <c r="B33" s="137" t="s">
        <v>280</v>
      </c>
      <c r="C33" s="2686">
        <f>'Phụ lục số 5'!R32</f>
        <v>3500</v>
      </c>
    </row>
    <row r="34" spans="1:3" ht="19.2" customHeight="1">
      <c r="A34" s="2677" t="s">
        <v>137</v>
      </c>
      <c r="B34" s="137" t="s">
        <v>281</v>
      </c>
      <c r="C34" s="2686">
        <f>'Phụ lục số 5'!R33</f>
        <v>3000</v>
      </c>
    </row>
    <row r="35" spans="1:3" ht="19.2" customHeight="1">
      <c r="A35" s="2677" t="s">
        <v>137</v>
      </c>
      <c r="B35" s="137" t="s">
        <v>282</v>
      </c>
      <c r="C35" s="2686">
        <f>'Phụ lục số 5'!R34</f>
        <v>18500</v>
      </c>
    </row>
    <row r="36" spans="1:3" ht="19.2" customHeight="1">
      <c r="A36" s="2673">
        <v>9</v>
      </c>
      <c r="B36" s="2590" t="s">
        <v>2521</v>
      </c>
      <c r="C36" s="2685">
        <f>'Phụ lục số 5'!R35</f>
        <v>0</v>
      </c>
    </row>
    <row r="37" spans="1:3" ht="19.2" customHeight="1">
      <c r="A37" s="2673" t="s">
        <v>20</v>
      </c>
      <c r="B37" s="1399" t="s">
        <v>2520</v>
      </c>
      <c r="C37" s="2687"/>
    </row>
    <row r="38" spans="1:3" ht="19.2" customHeight="1">
      <c r="A38" s="2673"/>
      <c r="B38" s="16" t="s">
        <v>2523</v>
      </c>
      <c r="C38" s="2688">
        <v>1</v>
      </c>
    </row>
    <row r="39" spans="1:3" s="2" customFormat="1" ht="19.2" customHeight="1">
      <c r="A39" s="2689" t="s">
        <v>49</v>
      </c>
      <c r="B39" s="29" t="s">
        <v>2522</v>
      </c>
      <c r="C39" s="2690">
        <f>SUM(C40:C41)</f>
        <v>486100.35200000001</v>
      </c>
    </row>
    <row r="40" spans="1:3" s="2" customFormat="1" ht="19.2" customHeight="1">
      <c r="A40" s="2689">
        <v>1</v>
      </c>
      <c r="B40" s="29" t="s">
        <v>284</v>
      </c>
      <c r="C40" s="2690">
        <f>'Phụ lục số 5'!T37</f>
        <v>449761</v>
      </c>
    </row>
    <row r="41" spans="1:3" s="2" customFormat="1" ht="19.2" customHeight="1">
      <c r="A41" s="2689">
        <v>2</v>
      </c>
      <c r="B41" s="29" t="s">
        <v>285</v>
      </c>
      <c r="C41" s="2690">
        <f>SUM(C42:C46)</f>
        <v>36339.351999999999</v>
      </c>
    </row>
    <row r="42" spans="1:3" ht="36" customHeight="1">
      <c r="A42" s="2628" t="s">
        <v>34</v>
      </c>
      <c r="B42" s="2701" t="str">
        <f>'H. TAM NÔNG'!B42</f>
        <v>Kinh phí hỗ trợ giá sản phẩm, dịch vụ công ích thủy lợi theo quy định tại Nghị định số 96/2018/NĐ-CP ngày 30/6/2018 của Chính phủ</v>
      </c>
      <c r="C42" s="2691">
        <f>'Phụ lục số 5'!T39</f>
        <v>13200</v>
      </c>
    </row>
    <row r="43" spans="1:3" ht="54" customHeight="1">
      <c r="A43" s="2628" t="s">
        <v>35</v>
      </c>
      <c r="B43" s="2701" t="str">
        <f>'H. TAM NÔNG'!B43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691">
        <f>'Phụ lục số 5'!T40</f>
        <v>19098</v>
      </c>
    </row>
    <row r="44" spans="1:3" ht="19.2" customHeight="1">
      <c r="A44" s="2628" t="s">
        <v>36</v>
      </c>
      <c r="B44" s="2701" t="str">
        <f>'H. TAM NÔNG'!B44</f>
        <v>Bổ sung nguồn thực hiện điều chỉnh tiền lương cơ sở tăng thêm đến 1,8 triệu đồng/tháng (12 tháng)</v>
      </c>
      <c r="C44" s="2691">
        <f>'Phụ lục số 5'!T41</f>
        <v>0</v>
      </c>
    </row>
    <row r="45" spans="1:3" ht="19.2" customHeight="1">
      <c r="A45" s="2628" t="s">
        <v>37</v>
      </c>
      <c r="B45" s="2701" t="str">
        <f>'H. TAM NÔNG'!B45</f>
        <v>Bổ sung có mục tiêu thực hiện chính sách an sinh xã hội (ngoài chính sách tiền lương) (5)</v>
      </c>
      <c r="C45" s="2691">
        <f>'Phụ lục số 5'!T42</f>
        <v>4041.3519999999999</v>
      </c>
    </row>
    <row r="46" spans="1:3" ht="19.2" customHeight="1">
      <c r="A46" s="2814" t="str">
        <f>'TỔNG CỘNG'!A46</f>
        <v>đ</v>
      </c>
      <c r="B46" s="2701" t="str">
        <f>'H. TAM NÔNG'!B46</f>
        <v>Bổ sung có mục tiêu kinh phí diễn tập khu vực phòng thủ cấp huyện năm 2024</v>
      </c>
      <c r="C46" s="2691">
        <f>'Phụ lục số 5'!T43</f>
        <v>0</v>
      </c>
    </row>
    <row r="47" spans="1:3" s="2" customFormat="1" ht="19.2" customHeight="1" thickBot="1">
      <c r="A47" s="2695" t="s">
        <v>50</v>
      </c>
      <c r="B47" s="2696" t="s">
        <v>286</v>
      </c>
      <c r="C47" s="2697">
        <f>'Phụ lục số 5'!T44</f>
        <v>39471</v>
      </c>
    </row>
    <row r="48" spans="1:3" ht="19.2" hidden="1" customHeight="1">
      <c r="A48" s="2698"/>
      <c r="B48" s="2698" t="s">
        <v>287</v>
      </c>
      <c r="C48" s="2699"/>
    </row>
    <row r="50" spans="1:3">
      <c r="A50" s="4769" t="s">
        <v>1050</v>
      </c>
      <c r="B50" s="4769"/>
      <c r="C50" s="4769"/>
    </row>
    <row r="51" spans="1:3" ht="34.950000000000003" customHeight="1">
      <c r="A51" s="4775" t="str">
        <f>'H. TAM NÔNG'!A51:C51</f>
        <v xml:space="preserve">(1): Dự toán thu ngân sách nhà nước năm 2024 không bao gồm các khoản huy động nhân dân đóng góp, các khoản ghi thu, ghi chi vào ngân sách nhà nước theo chế độ quy định.
</v>
      </c>
      <c r="B51" s="4775"/>
      <c r="C51" s="4775"/>
    </row>
    <row r="52" spans="1:3" ht="91.95" customHeight="1">
      <c r="A52" s="4775" t="str">
        <f>'H. TAM NÔNG'!A52:C52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75"/>
      <c r="C52" s="4775"/>
    </row>
    <row r="53" spans="1:3" ht="19.2" customHeight="1">
      <c r="A53" s="4780" t="str">
        <f>'H. TAM NÔNG'!A53</f>
        <v>(4): Các khoản thu phân chia theo tỷ lệ (%) giữa ngân sách cấp Tỉnh và ngân sách cấp huyện</v>
      </c>
      <c r="B53" s="4780"/>
      <c r="C53" s="4780"/>
    </row>
    <row r="54" spans="1:3" ht="19.2" customHeight="1">
      <c r="A54" s="4780" t="str">
        <f>'H. TAM NÔNG'!A54</f>
        <v>(5): Chi tiết chế độ, chính sách an sinh xã hội theo Phụ lục số III</v>
      </c>
      <c r="B54" s="4780"/>
      <c r="C54" s="4780"/>
    </row>
    <row r="55" spans="1:3" ht="19.2" customHeight="1">
      <c r="A55" s="3544"/>
      <c r="B55" s="3544"/>
      <c r="C55" s="3544"/>
    </row>
    <row r="58" spans="1:3">
      <c r="A58" s="4299" t="str">
        <f>'H. TAM NÔNG'!A58:C58</f>
        <v>PHỤ LỤC II</v>
      </c>
      <c r="B58" s="4299"/>
      <c r="C58" s="4299"/>
    </row>
    <row r="59" spans="1:3">
      <c r="A59" s="4299" t="str">
        <f>'H. TAM NÔNG'!A59:C59</f>
        <v>NHIỆM VỤ CHI NGÂN SÁCH HUYỆN, THÀNH PHỐ NĂM 2024</v>
      </c>
      <c r="B59" s="4299"/>
      <c r="C59" s="4299"/>
    </row>
    <row r="60" spans="1:3">
      <c r="A60" s="4299" t="str">
        <f>A3</f>
        <v>HUYỆN THANH BÌNH</v>
      </c>
      <c r="B60" s="4299"/>
      <c r="C60" s="4299"/>
    </row>
    <row r="61" spans="1:3" ht="18" customHeight="1">
      <c r="A61" s="4627" t="str">
        <f>A4</f>
        <v>(Kèm theo Quyết định số        /QĐ-UBND-HC ngày      /12/2023 của Uỷ ban nhân dân tỉnh Đồng Tháp)</v>
      </c>
      <c r="B61" s="4627"/>
      <c r="C61" s="4627"/>
    </row>
    <row r="62" spans="1:3" ht="18" customHeight="1">
      <c r="A62" s="2578"/>
      <c r="B62" s="2578"/>
      <c r="C62" s="2578"/>
    </row>
    <row r="63" spans="1:3" ht="18" customHeight="1">
      <c r="A63" s="2578"/>
      <c r="B63" s="2578"/>
      <c r="C63" s="70" t="str">
        <f>C6</f>
        <v>Đơn vị tính: Triệu đồng</v>
      </c>
    </row>
    <row r="64" spans="1:3" s="210" customFormat="1" ht="34.950000000000003" customHeight="1">
      <c r="A64" s="2285" t="s">
        <v>288</v>
      </c>
      <c r="B64" s="2402" t="s">
        <v>791</v>
      </c>
      <c r="C64" s="2403" t="str">
        <f>C7</f>
        <v>Dự toán năm 2024</v>
      </c>
    </row>
    <row r="65" spans="1:3" s="3296" customFormat="1" ht="19.2" customHeight="1">
      <c r="A65" s="3287"/>
      <c r="B65" s="3024" t="str">
        <f>'H. TAM NÔNG'!B65</f>
        <v>Tổng chi (I+II+III+IV)</v>
      </c>
      <c r="C65" s="3288">
        <f>C66+C70+C74+C75+C76</f>
        <v>767421.35199999996</v>
      </c>
    </row>
    <row r="66" spans="1:3" s="3296" customFormat="1" ht="19.2" customHeight="1">
      <c r="A66" s="3289" t="s">
        <v>9</v>
      </c>
      <c r="B66" s="3255" t="str">
        <f>'H. TAM NÔNG'!B66</f>
        <v>Chi đầu tư phát triển (1)</v>
      </c>
      <c r="C66" s="3290">
        <f>C68+C69</f>
        <v>106999.86288471894</v>
      </c>
    </row>
    <row r="67" spans="1:3" s="1239" customFormat="1" ht="19.2" customHeight="1">
      <c r="A67" s="3291"/>
      <c r="B67" s="3297" t="str">
        <f>'H. TAM NÔNG'!B67</f>
        <v>Bao gồm:</v>
      </c>
      <c r="C67" s="3298"/>
    </row>
    <row r="68" spans="1:3" s="1239" customFormat="1" ht="19.2" customHeight="1">
      <c r="A68" s="3293">
        <v>1</v>
      </c>
      <c r="B68" s="2810" t="str">
        <f>'H. TAM NÔNG'!B68</f>
        <v>Chi đầu tư xây dựng cơ bản</v>
      </c>
      <c r="C68" s="3298">
        <f>'Phụ lục số 6'!H8</f>
        <v>43999.862884718939</v>
      </c>
    </row>
    <row r="69" spans="1:3" s="1239" customFormat="1" ht="19.2" customHeight="1">
      <c r="A69" s="3293">
        <v>2</v>
      </c>
      <c r="B69" s="2810" t="str">
        <f>'H. TAM NÔNG'!B69</f>
        <v>Chi đầu tư từ nguồn thu tiền sử dụng đất</v>
      </c>
      <c r="C69" s="3298">
        <f>'Phụ lục số 6'!H9</f>
        <v>63000</v>
      </c>
    </row>
    <row r="70" spans="1:3" s="3296" customFormat="1" ht="19.2" customHeight="1">
      <c r="A70" s="3289" t="s">
        <v>20</v>
      </c>
      <c r="B70" s="3255" t="str">
        <f>'H. TAM NÔNG'!B70</f>
        <v>Chi thường xuyên (2)</v>
      </c>
      <c r="C70" s="3290">
        <f>'Phụ lục số 6'!H10</f>
        <v>645402.39632410579</v>
      </c>
    </row>
    <row r="71" spans="1:3" s="1239" customFormat="1" ht="19.2" customHeight="1">
      <c r="A71" s="3294"/>
      <c r="B71" s="3292" t="str">
        <f>'H. TAM NÔNG'!B71</f>
        <v>Bao gồm:</v>
      </c>
      <c r="C71" s="3298"/>
    </row>
    <row r="72" spans="1:3" s="1239" customFormat="1" ht="19.2" customHeight="1">
      <c r="A72" s="3293">
        <v>1</v>
      </c>
      <c r="B72" s="75" t="str">
        <f>'H. TAM NÔNG'!B72</f>
        <v>Sự nghiệp giáo dục - đào tạo (3)</v>
      </c>
      <c r="C72" s="3298">
        <f>'Phụ lục số 6'!H12</f>
        <v>358528.40219701076</v>
      </c>
    </row>
    <row r="73" spans="1:3" s="1239" customFormat="1" ht="19.2" customHeight="1">
      <c r="A73" s="3293">
        <v>2</v>
      </c>
      <c r="B73" s="75" t="str">
        <f>'H. TAM NÔNG'!B73</f>
        <v>Các khoản chi thường xuyên còn lại</v>
      </c>
      <c r="C73" s="3298">
        <f>'Phụ lục số 6'!H13</f>
        <v>286873.99412709504</v>
      </c>
    </row>
    <row r="74" spans="1:3" s="3296" customFormat="1" ht="19.2" customHeight="1">
      <c r="A74" s="3289" t="s">
        <v>49</v>
      </c>
      <c r="B74" s="3255" t="str">
        <f>'H. TAM NÔNG'!B74</f>
        <v>Dự phòng ngân sách</v>
      </c>
      <c r="C74" s="3290">
        <f>'Phụ lục số 6'!H14</f>
        <v>15019.092791175266</v>
      </c>
    </row>
    <row r="75" spans="1:3" s="3296" customFormat="1" ht="19.2" customHeight="1">
      <c r="A75" s="3289" t="s">
        <v>50</v>
      </c>
      <c r="B75" s="3255" t="str">
        <f>'H. TAM NÔNG'!B75</f>
        <v>Chi tạo nguồn cải cách tiền lương</v>
      </c>
      <c r="C75" s="3290">
        <f>'Phụ lục số 6'!H15</f>
        <v>0</v>
      </c>
    </row>
    <row r="76" spans="1:3" s="3296" customFormat="1" ht="19.2" customHeight="1">
      <c r="A76" s="3295" t="s">
        <v>72</v>
      </c>
      <c r="B76" s="3255" t="str">
        <f>'H. TAM NÔNG'!B76</f>
        <v>Chi từ nguồn ngân sách cấp Tỉnh bổ sung có mục tiêu</v>
      </c>
      <c r="C76" s="3290">
        <f>SUM(C77:C81)</f>
        <v>0</v>
      </c>
    </row>
    <row r="77" spans="1:3" ht="19.2" hidden="1" customHeight="1">
      <c r="A77" s="2584" t="s">
        <v>137</v>
      </c>
      <c r="B77" s="16" t="str">
        <f>'H. TAM NÔNG'!B77</f>
        <v>Chi đầu tư xây dựng cơ bản</v>
      </c>
      <c r="C77" s="2558">
        <f>'Phụ lục số 6'!H17</f>
        <v>0</v>
      </c>
    </row>
    <row r="78" spans="1:3" ht="19.2" hidden="1" customHeight="1">
      <c r="A78" s="2584" t="s">
        <v>137</v>
      </c>
      <c r="B78" s="16" t="str">
        <f>'H. TAM NÔNG'!B78</f>
        <v>Chi đầu tư từ nguồn xổ số kiến thiết</v>
      </c>
      <c r="C78" s="2558">
        <f>'Phụ lục số 6'!H18</f>
        <v>0</v>
      </c>
    </row>
    <row r="79" spans="1:3" ht="19.2" hidden="1" customHeight="1">
      <c r="A79" s="2584" t="s">
        <v>137</v>
      </c>
      <c r="B79" s="16" t="str">
        <f>'H. TAM NÔNG'!B79</f>
        <v>Chi từ nguồn ngân sách trung ương bổ sung có mục tiêu (kinh phí sự nghiệp)</v>
      </c>
      <c r="C79" s="2558">
        <f>'Phụ lục số 6'!H19</f>
        <v>0</v>
      </c>
    </row>
    <row r="80" spans="1:3" ht="19.2" hidden="1" customHeight="1">
      <c r="A80" s="2585" t="s">
        <v>137</v>
      </c>
      <c r="B80" s="16" t="str">
        <f>'H. TAM NÔNG'!B80</f>
        <v>Chi từ nguồn ngân sách trung ương bổ sung có mục tiêu (Chương trình Mục tiêu quốc gia)</v>
      </c>
      <c r="C80" s="2558">
        <f>'Phụ lục số 6'!H20</f>
        <v>0</v>
      </c>
    </row>
    <row r="81" spans="1:3" ht="19.2" hidden="1" customHeight="1">
      <c r="A81" s="2586"/>
      <c r="B81" s="2825" t="str">
        <f>'H. TAM NÔNG'!B81</f>
        <v>Chi từ nguồn ngân sách trung ương bổ sung có mục tiêu, nhiệm vụ quan trọng khác</v>
      </c>
      <c r="C81" s="2595">
        <f>'Phụ lục số 6'!H21</f>
        <v>0</v>
      </c>
    </row>
    <row r="83" spans="1:3">
      <c r="A83" s="48" t="s">
        <v>1050</v>
      </c>
      <c r="B83" s="2581"/>
    </row>
    <row r="84" spans="1:3">
      <c r="A84" s="4757" t="s">
        <v>2494</v>
      </c>
      <c r="B84" s="4758"/>
      <c r="C84" s="4758"/>
    </row>
    <row r="85" spans="1:3" ht="60" customHeight="1">
      <c r="A85" s="4755" t="s">
        <v>2743</v>
      </c>
      <c r="B85" s="4756"/>
      <c r="C85" s="4756"/>
    </row>
    <row r="86" spans="1:3" ht="18" customHeight="1">
      <c r="A86" s="4756" t="str">
        <f>'H. TAM NÔNG'!A86:C86</f>
        <v>- Chưa bao gồm chi đầu tư từ nguồn vốn do ngân sách cấp tỉnh quản lý và phân bổ bổ sung có mục tiêu cho ngân sách huyện, thành phố</v>
      </c>
      <c r="B86" s="4756"/>
      <c r="C86" s="4756"/>
    </row>
    <row r="87" spans="1:3">
      <c r="A87" s="4772" t="s">
        <v>2495</v>
      </c>
      <c r="B87" s="4772"/>
      <c r="C87" s="4772"/>
    </row>
    <row r="88" spans="1:3" ht="60" customHeight="1">
      <c r="A88" s="4756" t="str">
        <f>'H. TAM NÔNG'!A88:C88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56"/>
      <c r="C88" s="4756"/>
    </row>
    <row r="89" spans="1:3" ht="40.200000000000003" customHeight="1">
      <c r="A89" s="4781" t="str">
        <f>'H. TAM NÔNG'!A89:C89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81"/>
      <c r="C89" s="4781"/>
    </row>
    <row r="90" spans="1:3">
      <c r="A90" s="37" t="str">
        <f>'H. TAM NÔNG'!A90</f>
        <v xml:space="preserve">- Bao gồm 10% tiết kiệm tăng thêm năm 2024 so với năm 2023 để thực hiện cải cách tiền lương năm 2024 là: </v>
      </c>
      <c r="C90" s="3369" t="s">
        <v>2667</v>
      </c>
    </row>
    <row r="91" spans="1:3" s="2248" customFormat="1" ht="17.399999999999999">
      <c r="A91" s="2248" t="str">
        <f>'H. TAM NÔNG'!A91:C91</f>
        <v>(3): Trong đó:</v>
      </c>
    </row>
    <row r="92" spans="1:3" s="2249" customFormat="1" ht="55.2" customHeight="1">
      <c r="A92" s="4756" t="str">
        <f>'H. TAM NÔNG'!A92:C92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56"/>
      <c r="C92" s="4756"/>
    </row>
    <row r="118" spans="1:5">
      <c r="A118" s="4299" t="str">
        <f>'TỔNG CỘNG'!A118:C118</f>
        <v>PHỤ LỤC III</v>
      </c>
      <c r="B118" s="4299"/>
      <c r="C118" s="4299"/>
    </row>
    <row r="119" spans="1:5">
      <c r="A119" s="4299" t="str">
        <f>'TỔNG CỘNG'!A119:C119</f>
        <v>CHẾ ĐỘ CHÍNH SÁCH AN SINH XÃ HỘI TĂNG THÊM NĂM 2024</v>
      </c>
      <c r="B119" s="4299"/>
      <c r="C119" s="4299"/>
    </row>
    <row r="120" spans="1:5">
      <c r="A120" s="4299" t="str">
        <f>A60</f>
        <v>HUYỆN THANH BÌNH</v>
      </c>
      <c r="B120" s="4299"/>
      <c r="C120" s="4299"/>
    </row>
    <row r="121" spans="1:5">
      <c r="A121" s="4300" t="str">
        <f>'TỔNG CỘNG'!A121:C121</f>
        <v>(Kèm theo Quyết định số        /QĐ-UBND-HC ngày      /12/2023 của Uỷ ban nhân dân tỉnh Đồng Tháp)</v>
      </c>
      <c r="B121" s="4300"/>
      <c r="C121" s="4300"/>
    </row>
    <row r="123" spans="1:5">
      <c r="A123" s="3285"/>
      <c r="B123" s="3285"/>
      <c r="C123" s="1384" t="str">
        <f>C63</f>
        <v>Đơn vị tính: Triệu đồng</v>
      </c>
    </row>
    <row r="124" spans="1:5" ht="34.799999999999997">
      <c r="A124" s="3286" t="s">
        <v>288</v>
      </c>
      <c r="B124" s="3236" t="s">
        <v>791</v>
      </c>
      <c r="C124" s="1829" t="s">
        <v>1700</v>
      </c>
    </row>
    <row r="125" spans="1:5">
      <c r="A125" s="3494"/>
      <c r="B125" s="2386" t="str">
        <f>'TỔNG CỘNG'!B125</f>
        <v>TỔNG CỘNG (I+II)</v>
      </c>
      <c r="C125" s="3505">
        <f>C126+C130</f>
        <v>4041.3519999999999</v>
      </c>
      <c r="E125" s="1">
        <f>C125-C45</f>
        <v>0</v>
      </c>
    </row>
    <row r="126" spans="1:5">
      <c r="A126" s="133" t="s">
        <v>9</v>
      </c>
      <c r="B126" s="3782" t="str">
        <f>'TỔNG CỘNG'!B126</f>
        <v>Các chính sách thuộc sự nghiệp giáo dục - đào tạo và dạy nghề</v>
      </c>
      <c r="C126" s="3655">
        <f>SUM(C127:C129)</f>
        <v>682.35199999999998</v>
      </c>
    </row>
    <row r="127" spans="1:5" ht="36">
      <c r="A127" s="136">
        <v>1</v>
      </c>
      <c r="B127" s="803" t="str">
        <f>'TỔNG CỘNG'!B127</f>
        <v>Chính sách hỗ trợ chi phí học tập và miễn giảm học phí theo quy định tại Nghị định số 81/2021/NĐ-CP ngày 27/08/2021 của Chính phủ</v>
      </c>
      <c r="C127" s="2335">
        <f>'Phụ lục 7.3-CĐCS'!CG13</f>
        <v>643</v>
      </c>
    </row>
    <row r="128" spans="1:5" ht="36">
      <c r="A128" s="136">
        <v>2</v>
      </c>
      <c r="B128" s="3775" t="str">
        <f>'TỔNG CỘNG'!B128</f>
        <v>Chính sách phát triển giao dục mầm non Nghị định 105/2020/NĐ-CP ngày 08/09/2020 của Chính phủ</v>
      </c>
      <c r="C128" s="2335">
        <f>'Phụ lục 7.3-CĐCS'!CG14</f>
        <v>9.0799999999999841</v>
      </c>
    </row>
    <row r="129" spans="1:3" ht="36">
      <c r="A129" s="136">
        <v>3</v>
      </c>
      <c r="B129" s="3775" t="str">
        <f>'TỔNG CỘNG'!B129</f>
        <v>Học bổng, chi phí học tập cho học sinh khuyết tật theo Thông tư liên tịch số 42/2013/TTLT-BGDĐT-BLĐTBXH-BTC ngày 31/12/2013</v>
      </c>
      <c r="C129" s="2335">
        <f>'Phụ lục 7.3-CĐCS'!CG15</f>
        <v>30.271999999999998</v>
      </c>
    </row>
    <row r="130" spans="1:3">
      <c r="A130" s="133" t="s">
        <v>20</v>
      </c>
      <c r="B130" s="3782" t="str">
        <f>'TỔNG CỘNG'!B130</f>
        <v>Các chính sách thuộc sự nghiệp đảm bảo xã hội</v>
      </c>
      <c r="C130" s="3655">
        <f>SUM(C131:C132)</f>
        <v>3359</v>
      </c>
    </row>
    <row r="131" spans="1:3" ht="36">
      <c r="A131" s="136">
        <v>1</v>
      </c>
      <c r="B131" s="3775" t="str">
        <f>'TỔNG CỘNG'!B131</f>
        <v>Chính sách hỗ trợ thường xuyên cho đối tượng bảo trợ xã hội theo quy định tại Nghị định số 20/2021/NĐ-CP ngày 15/03/2021 của Chính phủ</v>
      </c>
      <c r="C131" s="2335">
        <f>'Phụ lục 7.3-CĐCS'!CG17+'Phụ lục 7.3-CĐCS'!CG18</f>
        <v>3359</v>
      </c>
    </row>
    <row r="132" spans="1:3" ht="36">
      <c r="A132" s="2298">
        <v>2</v>
      </c>
      <c r="B132" s="3783" t="str">
        <f>'TỔNG CỘNG'!B132</f>
        <v>Chính sách hỗ trợ tiền điện cho hộ nghèo, hộ chính sách xã hội theo quy định tại Quyết định số 28/2014/QĐ-TTg ngày 07/4/2014 của Thủ tướng Chính phủ</v>
      </c>
      <c r="C132" s="2338">
        <v>0</v>
      </c>
    </row>
  </sheetData>
  <mergeCells count="24">
    <mergeCell ref="A86:C86"/>
    <mergeCell ref="A92:C92"/>
    <mergeCell ref="A89:C89"/>
    <mergeCell ref="A60:C60"/>
    <mergeCell ref="A54:C54"/>
    <mergeCell ref="A61:C61"/>
    <mergeCell ref="A84:C84"/>
    <mergeCell ref="A85:C85"/>
    <mergeCell ref="A118:C118"/>
    <mergeCell ref="A119:C119"/>
    <mergeCell ref="A120:C120"/>
    <mergeCell ref="A121:C121"/>
    <mergeCell ref="A1:C1"/>
    <mergeCell ref="A53:C53"/>
    <mergeCell ref="A58:C58"/>
    <mergeCell ref="A87:C87"/>
    <mergeCell ref="A88:C88"/>
    <mergeCell ref="A52:C52"/>
    <mergeCell ref="A2:C2"/>
    <mergeCell ref="A3:C3"/>
    <mergeCell ref="A4:C4"/>
    <mergeCell ref="A50:C50"/>
    <mergeCell ref="A51:C51"/>
    <mergeCell ref="A59:C59"/>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workbookViewId="0">
      <selection activeCell="C235" sqref="C235"/>
    </sheetView>
  </sheetViews>
  <sheetFormatPr defaultColWidth="8.69921875" defaultRowHeight="18"/>
  <cols>
    <col min="1" max="1" width="5.69921875" style="37" customWidth="1"/>
    <col min="2" max="2" width="96.69921875" style="37" customWidth="1"/>
    <col min="3" max="3" width="25.69921875" style="37" customWidth="1"/>
    <col min="4" max="16384" width="8.69921875" style="37"/>
  </cols>
  <sheetData>
    <row r="1" spans="1:3">
      <c r="A1" s="4299" t="str">
        <f>'H. THANH BÌNH'!A1:C1</f>
        <v>PHỤ LỤC I</v>
      </c>
      <c r="B1" s="4299"/>
      <c r="C1" s="4299"/>
    </row>
    <row r="2" spans="1:3">
      <c r="A2" s="4299" t="str">
        <f>'H. THANH BÌNH'!A2:C2</f>
        <v>NHIỆM VỤ THU NGÂN SÁCH NHÀ NƯỚC NĂM 2024</v>
      </c>
      <c r="B2" s="4299"/>
      <c r="C2" s="4299"/>
    </row>
    <row r="3" spans="1:3">
      <c r="A3" s="4299" t="s">
        <v>365</v>
      </c>
      <c r="B3" s="4299"/>
      <c r="C3" s="4299"/>
    </row>
    <row r="4" spans="1:3" ht="15.6" customHeight="1">
      <c r="A4" s="4627" t="str">
        <f>'H. THANH BÌNH'!A4:C4</f>
        <v>(Kèm theo Quyết định số        /QĐ-UBND-HC ngày      /12/2023 của Uỷ ban nhân dân tỉnh Đồng Tháp)</v>
      </c>
      <c r="B4" s="4627"/>
      <c r="C4" s="4627"/>
    </row>
    <row r="5" spans="1:3">
      <c r="A5" s="2578"/>
      <c r="B5" s="2578"/>
    </row>
    <row r="6" spans="1:3" ht="18.600000000000001" thickBot="1">
      <c r="A6" s="2578"/>
      <c r="B6" s="2578"/>
      <c r="C6" s="39" t="s">
        <v>64</v>
      </c>
    </row>
    <row r="7" spans="1:3" s="1319" customFormat="1" ht="30" customHeight="1">
      <c r="A7" s="2145" t="s">
        <v>244</v>
      </c>
      <c r="B7" s="2669" t="s">
        <v>791</v>
      </c>
      <c r="C7" s="2668" t="s">
        <v>1700</v>
      </c>
    </row>
    <row r="8" spans="1:3" ht="19.2" customHeight="1">
      <c r="A8" s="2672" t="s">
        <v>9</v>
      </c>
      <c r="B8" s="2268" t="s">
        <v>263</v>
      </c>
      <c r="C8" s="2682">
        <f>C10+C16+C19+C20+C21+C22+C26+C29+C32+C36</f>
        <v>1450250</v>
      </c>
    </row>
    <row r="9" spans="1:3" ht="19.2" customHeight="1">
      <c r="A9" s="2683"/>
      <c r="B9" s="2518" t="s">
        <v>264</v>
      </c>
      <c r="C9" s="2684">
        <f>C8-C29</f>
        <v>1140250</v>
      </c>
    </row>
    <row r="10" spans="1:3" s="2" customFormat="1" ht="19.2" customHeight="1">
      <c r="A10" s="2673">
        <v>1</v>
      </c>
      <c r="B10" s="1399" t="s">
        <v>352</v>
      </c>
      <c r="C10" s="2685">
        <f>SUM(C11:C15)</f>
        <v>763000</v>
      </c>
    </row>
    <row r="11" spans="1:3" ht="19.2" customHeight="1">
      <c r="A11" s="2674" t="s">
        <v>137</v>
      </c>
      <c r="B11" s="16" t="s">
        <v>266</v>
      </c>
      <c r="C11" s="2686">
        <f>'Phụ lục số 5'!U10</f>
        <v>261600</v>
      </c>
    </row>
    <row r="12" spans="1:3" ht="19.2" customHeight="1">
      <c r="A12" s="2674" t="s">
        <v>137</v>
      </c>
      <c r="B12" s="16" t="s">
        <v>267</v>
      </c>
      <c r="C12" s="2686">
        <f>'Phụ lục số 5'!U11</f>
        <v>439600</v>
      </c>
    </row>
    <row r="13" spans="1:3" ht="19.2" customHeight="1">
      <c r="A13" s="2674" t="s">
        <v>137</v>
      </c>
      <c r="B13" s="16" t="s">
        <v>268</v>
      </c>
      <c r="C13" s="2686">
        <f>'Phụ lục số 5'!U12</f>
        <v>61200</v>
      </c>
    </row>
    <row r="14" spans="1:3" ht="19.2" customHeight="1">
      <c r="A14" s="2674" t="s">
        <v>137</v>
      </c>
      <c r="B14" s="16" t="s">
        <v>14</v>
      </c>
      <c r="C14" s="2686">
        <f>'Phụ lục số 5'!U13</f>
        <v>600</v>
      </c>
    </row>
    <row r="15" spans="1:3" ht="19.2" customHeight="1">
      <c r="A15" s="2674" t="s">
        <v>137</v>
      </c>
      <c r="B15" s="16" t="s">
        <v>269</v>
      </c>
      <c r="C15" s="2686">
        <f>'Phụ lục số 5'!U14</f>
        <v>0</v>
      </c>
    </row>
    <row r="16" spans="1:3" s="2" customFormat="1" ht="19.2" customHeight="1">
      <c r="A16" s="2673">
        <v>2</v>
      </c>
      <c r="B16" s="1399" t="s">
        <v>97</v>
      </c>
      <c r="C16" s="2685">
        <f>SUM(C17:C18)</f>
        <v>70000</v>
      </c>
    </row>
    <row r="17" spans="1:3" ht="19.2" hidden="1" customHeight="1">
      <c r="A17" s="2675" t="s">
        <v>137</v>
      </c>
      <c r="B17" s="137" t="s">
        <v>276</v>
      </c>
      <c r="C17" s="2686">
        <f>'Phụ lục số 5'!U16</f>
        <v>0</v>
      </c>
    </row>
    <row r="18" spans="1:3" ht="19.2" hidden="1" customHeight="1">
      <c r="A18" s="2676" t="s">
        <v>137</v>
      </c>
      <c r="B18" s="2274" t="s">
        <v>277</v>
      </c>
      <c r="C18" s="2686">
        <f>'Phụ lục số 5'!U17</f>
        <v>70000</v>
      </c>
    </row>
    <row r="19" spans="1:3" s="48" customFormat="1" ht="19.2" customHeight="1">
      <c r="A19" s="2673">
        <v>3</v>
      </c>
      <c r="B19" s="1399" t="s">
        <v>16</v>
      </c>
      <c r="C19" s="2685">
        <f>'Phụ lục số 5'!U18</f>
        <v>72000</v>
      </c>
    </row>
    <row r="20" spans="1:3" s="48" customFormat="1" ht="19.2" customHeight="1">
      <c r="A20" s="2673">
        <v>4</v>
      </c>
      <c r="B20" s="1399" t="s">
        <v>270</v>
      </c>
      <c r="C20" s="2685">
        <f>'Phụ lục số 5'!U19</f>
        <v>0</v>
      </c>
    </row>
    <row r="21" spans="1:3" s="48" customFormat="1" ht="19.2" customHeight="1">
      <c r="A21" s="2673">
        <v>4</v>
      </c>
      <c r="B21" s="1399" t="s">
        <v>271</v>
      </c>
      <c r="C21" s="2685">
        <f>'Phụ lục số 5'!U20</f>
        <v>4150</v>
      </c>
    </row>
    <row r="22" spans="1:3" ht="19.2" customHeight="1">
      <c r="A22" s="2673">
        <v>5</v>
      </c>
      <c r="B22" s="1399" t="s">
        <v>272</v>
      </c>
      <c r="C22" s="2685">
        <f>SUM(C23:C25)</f>
        <v>16000</v>
      </c>
    </row>
    <row r="23" spans="1:3" ht="19.2" customHeight="1">
      <c r="A23" s="2677" t="s">
        <v>137</v>
      </c>
      <c r="B23" s="137" t="s">
        <v>273</v>
      </c>
      <c r="C23" s="2686">
        <f>'Phụ lục số 5'!U22</f>
        <v>4000</v>
      </c>
    </row>
    <row r="24" spans="1:3" ht="19.2" customHeight="1">
      <c r="A24" s="2677" t="s">
        <v>137</v>
      </c>
      <c r="B24" s="137" t="s">
        <v>274</v>
      </c>
      <c r="C24" s="2686">
        <f>'Phụ lục số 5'!U23</f>
        <v>0</v>
      </c>
    </row>
    <row r="25" spans="1:3" ht="19.2" customHeight="1">
      <c r="A25" s="2677" t="s">
        <v>137</v>
      </c>
      <c r="B25" s="137" t="s">
        <v>275</v>
      </c>
      <c r="C25" s="2686">
        <f>'Phụ lục số 5'!U24</f>
        <v>12000</v>
      </c>
    </row>
    <row r="26" spans="1:3" ht="19.2" customHeight="1">
      <c r="A26" s="2673">
        <v>6</v>
      </c>
      <c r="B26" s="1399" t="s">
        <v>98</v>
      </c>
      <c r="C26" s="2685">
        <f>SUM(C27:C28)</f>
        <v>135000</v>
      </c>
    </row>
    <row r="27" spans="1:3" ht="19.2" customHeight="1">
      <c r="A27" s="2677" t="s">
        <v>137</v>
      </c>
      <c r="B27" s="137" t="s">
        <v>276</v>
      </c>
      <c r="C27" s="2686">
        <f>'Phụ lục số 5'!U26</f>
        <v>0</v>
      </c>
    </row>
    <row r="28" spans="1:3" ht="19.2" customHeight="1">
      <c r="A28" s="2678" t="s">
        <v>137</v>
      </c>
      <c r="B28" s="2274" t="s">
        <v>2804</v>
      </c>
      <c r="C28" s="2686">
        <f>'Phụ lục số 5'!U27</f>
        <v>135000</v>
      </c>
    </row>
    <row r="29" spans="1:3" ht="19.2" customHeight="1">
      <c r="A29" s="2673">
        <v>7</v>
      </c>
      <c r="B29" s="1399" t="s">
        <v>357</v>
      </c>
      <c r="C29" s="2685">
        <f>SUM(C30:C31)</f>
        <v>310000</v>
      </c>
    </row>
    <row r="30" spans="1:3" ht="19.2" customHeight="1">
      <c r="A30" s="2677" t="s">
        <v>137</v>
      </c>
      <c r="B30" s="137" t="s">
        <v>276</v>
      </c>
      <c r="C30" s="2686">
        <f>'Phụ lục số 5'!U29</f>
        <v>150000</v>
      </c>
    </row>
    <row r="31" spans="1:3" ht="19.2" customHeight="1">
      <c r="A31" s="2678" t="s">
        <v>137</v>
      </c>
      <c r="B31" s="2274" t="s">
        <v>2803</v>
      </c>
      <c r="C31" s="2686">
        <f>'Phụ lục số 5'!U30</f>
        <v>160000</v>
      </c>
    </row>
    <row r="32" spans="1:3" ht="19.2" customHeight="1">
      <c r="A32" s="2673">
        <v>8</v>
      </c>
      <c r="B32" s="1399" t="s">
        <v>279</v>
      </c>
      <c r="C32" s="2685">
        <f>SUM(C33:C35)</f>
        <v>80000</v>
      </c>
    </row>
    <row r="33" spans="1:3" ht="19.2" customHeight="1">
      <c r="A33" s="2677" t="s">
        <v>137</v>
      </c>
      <c r="B33" s="137" t="s">
        <v>280</v>
      </c>
      <c r="C33" s="2686">
        <f>'Phụ lục số 5'!U32</f>
        <v>50000</v>
      </c>
    </row>
    <row r="34" spans="1:3" ht="19.2" customHeight="1">
      <c r="A34" s="2677" t="s">
        <v>137</v>
      </c>
      <c r="B34" s="137" t="s">
        <v>281</v>
      </c>
      <c r="C34" s="2686">
        <f>'Phụ lục số 5'!U33</f>
        <v>8500</v>
      </c>
    </row>
    <row r="35" spans="1:3" ht="19.2" customHeight="1">
      <c r="A35" s="2677" t="s">
        <v>137</v>
      </c>
      <c r="B35" s="137" t="s">
        <v>282</v>
      </c>
      <c r="C35" s="2686">
        <f>'Phụ lục số 5'!U34</f>
        <v>21500</v>
      </c>
    </row>
    <row r="36" spans="1:3" ht="19.2" customHeight="1">
      <c r="A36" s="2673">
        <v>9</v>
      </c>
      <c r="B36" s="2590" t="s">
        <v>2521</v>
      </c>
      <c r="C36" s="2685">
        <f>'Phụ lục số 5'!U35</f>
        <v>100</v>
      </c>
    </row>
    <row r="37" spans="1:3" ht="19.2" customHeight="1">
      <c r="A37" s="2673" t="s">
        <v>20</v>
      </c>
      <c r="B37" s="1399" t="s">
        <v>2520</v>
      </c>
      <c r="C37" s="2687"/>
    </row>
    <row r="38" spans="1:3" ht="19.2" customHeight="1">
      <c r="A38" s="2673"/>
      <c r="B38" s="16" t="s">
        <v>2523</v>
      </c>
      <c r="C38" s="2688">
        <v>1</v>
      </c>
    </row>
    <row r="39" spans="1:3" s="2" customFormat="1" ht="19.2" customHeight="1">
      <c r="A39" s="2689" t="s">
        <v>49</v>
      </c>
      <c r="B39" s="29" t="s">
        <v>2522</v>
      </c>
      <c r="C39" s="2704">
        <f>SUM(C40:C41)</f>
        <v>56513.2</v>
      </c>
    </row>
    <row r="40" spans="1:3" s="2" customFormat="1" ht="19.2" customHeight="1">
      <c r="A40" s="2689">
        <v>1</v>
      </c>
      <c r="B40" s="29" t="s">
        <v>284</v>
      </c>
      <c r="C40" s="2704">
        <f>'Phụ lục số 5'!W37</f>
        <v>37354</v>
      </c>
    </row>
    <row r="41" spans="1:3" s="2" customFormat="1" ht="19.2" customHeight="1">
      <c r="A41" s="2689">
        <v>2</v>
      </c>
      <c r="B41" s="29" t="s">
        <v>285</v>
      </c>
      <c r="C41" s="2704">
        <f>SUM(C42:C46)</f>
        <v>19159.2</v>
      </c>
    </row>
    <row r="42" spans="1:3" ht="36" customHeight="1">
      <c r="A42" s="2628" t="s">
        <v>34</v>
      </c>
      <c r="B42" s="2701" t="str">
        <f>'H. THANH BÌNH'!B42</f>
        <v>Kinh phí hỗ trợ giá sản phẩm, dịch vụ công ích thủy lợi theo quy định tại Nghị định số 96/2018/NĐ-CP ngày 30/6/2018 của Chính phủ</v>
      </c>
      <c r="C42" s="2691">
        <f>'Phụ lục số 5'!W39</f>
        <v>5000</v>
      </c>
    </row>
    <row r="43" spans="1:3" ht="54" customHeight="1">
      <c r="A43" s="2628" t="s">
        <v>35</v>
      </c>
      <c r="B43" s="2701" t="str">
        <f>'H. THANH BÌNH'!B43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691">
        <f>'Phụ lục số 5'!W40</f>
        <v>3000</v>
      </c>
    </row>
    <row r="44" spans="1:3" ht="19.2" customHeight="1">
      <c r="A44" s="2628" t="s">
        <v>36</v>
      </c>
      <c r="B44" s="2701" t="str">
        <f>'H. THANH BÌNH'!B44</f>
        <v>Bổ sung nguồn thực hiện điều chỉnh tiền lương cơ sở tăng thêm đến 1,8 triệu đồng/tháng (12 tháng)</v>
      </c>
      <c r="C44" s="2691">
        <f>'Phụ lục số 5'!W41</f>
        <v>0</v>
      </c>
    </row>
    <row r="45" spans="1:3" ht="19.2" customHeight="1">
      <c r="A45" s="2628" t="s">
        <v>37</v>
      </c>
      <c r="B45" s="2701" t="str">
        <f>'H. THANH BÌNH'!B45</f>
        <v>Bổ sung có mục tiêu thực hiện chính sách an sinh xã hội (ngoài chính sách tiền lương) (5)</v>
      </c>
      <c r="C45" s="2691">
        <f>'Phụ lục số 5'!W42</f>
        <v>11159.2</v>
      </c>
    </row>
    <row r="46" spans="1:3" ht="19.2" customHeight="1">
      <c r="A46" s="2814" t="str">
        <f>'TỔNG CỘNG'!A46</f>
        <v>đ</v>
      </c>
      <c r="B46" s="2701" t="str">
        <f>'H. THANH BÌNH'!B46</f>
        <v>Bổ sung có mục tiêu kinh phí diễn tập khu vực phòng thủ cấp huyện năm 2024</v>
      </c>
      <c r="C46" s="2691">
        <f>'Phụ lục số 5'!W43</f>
        <v>0</v>
      </c>
    </row>
    <row r="47" spans="1:3" ht="19.2" customHeight="1" thickBot="1">
      <c r="A47" s="2705" t="s">
        <v>50</v>
      </c>
      <c r="B47" s="2706" t="s">
        <v>286</v>
      </c>
      <c r="C47" s="2707">
        <f>'Phụ lục số 5'!W44</f>
        <v>395603</v>
      </c>
    </row>
    <row r="48" spans="1:3" ht="19.2" hidden="1" customHeight="1">
      <c r="A48" s="2698"/>
      <c r="B48" s="2698" t="s">
        <v>287</v>
      </c>
      <c r="C48" s="2699"/>
    </row>
    <row r="50" spans="1:3">
      <c r="A50" s="4769" t="s">
        <v>1050</v>
      </c>
      <c r="B50" s="4769"/>
      <c r="C50" s="4769"/>
    </row>
    <row r="51" spans="1:3" ht="34.950000000000003" customHeight="1">
      <c r="A51" s="4775" t="str">
        <f>'H. THANH BÌNH'!A51:C51</f>
        <v xml:space="preserve">(1): Dự toán thu ngân sách nhà nước năm 2024 không bao gồm các khoản huy động nhân dân đóng góp, các khoản ghi thu, ghi chi vào ngân sách nhà nước theo chế độ quy định.
</v>
      </c>
      <c r="B51" s="4775"/>
      <c r="C51" s="4775"/>
    </row>
    <row r="52" spans="1:3" ht="91.95" customHeight="1">
      <c r="A52" s="4775" t="str">
        <f>'H. THANH BÌNH'!A52:C52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75"/>
      <c r="C52" s="4775"/>
    </row>
    <row r="53" spans="1:3">
      <c r="A53" s="37" t="str">
        <f>'H. THANH BÌNH'!A53:C53</f>
        <v>(4): Các khoản thu phân chia theo tỷ lệ (%) giữa ngân sách cấp Tỉnh và ngân sách cấp huyện</v>
      </c>
    </row>
    <row r="54" spans="1:3">
      <c r="A54" s="37" t="str">
        <f>'H. THANH BÌNH'!A54:C54</f>
        <v>(5): Chi tiết chế độ, chính sách an sinh xã hội theo Phụ lục số III</v>
      </c>
    </row>
    <row r="58" spans="1:3">
      <c r="A58" s="4299" t="str">
        <f>'H. THANH BÌNH'!A58:C58</f>
        <v>PHỤ LỤC II</v>
      </c>
      <c r="B58" s="4299"/>
      <c r="C58" s="4299"/>
    </row>
    <row r="59" spans="1:3">
      <c r="A59" s="4299" t="str">
        <f>'H. THANH BÌNH'!A59:C59</f>
        <v>NHIỆM VỤ CHI NGÂN SÁCH HUYỆN, THÀNH PHỐ NĂM 2024</v>
      </c>
      <c r="B59" s="4299"/>
      <c r="C59" s="4299"/>
    </row>
    <row r="60" spans="1:3">
      <c r="A60" s="4299" t="str">
        <f>A3</f>
        <v>THÀNH PHỐ CAO LÃNH</v>
      </c>
      <c r="B60" s="4299"/>
      <c r="C60" s="4299"/>
    </row>
    <row r="61" spans="1:3" ht="18" customHeight="1">
      <c r="A61" s="4627" t="str">
        <f>A4</f>
        <v>(Kèm theo Quyết định số        /QĐ-UBND-HC ngày      /12/2023 của Uỷ ban nhân dân tỉnh Đồng Tháp)</v>
      </c>
      <c r="B61" s="4627"/>
      <c r="C61" s="4627"/>
    </row>
    <row r="62" spans="1:3" ht="18" customHeight="1">
      <c r="A62" s="2578"/>
      <c r="B62" s="2578"/>
      <c r="C62" s="2578"/>
    </row>
    <row r="63" spans="1:3" ht="18" customHeight="1">
      <c r="A63" s="2578"/>
      <c r="B63" s="2578"/>
      <c r="C63" s="70" t="str">
        <f>C6</f>
        <v>Đơn vị tính: Triệu đồng</v>
      </c>
    </row>
    <row r="64" spans="1:3" s="210" customFormat="1" ht="34.950000000000003" customHeight="1">
      <c r="A64" s="2285" t="s">
        <v>288</v>
      </c>
      <c r="B64" s="2402" t="str">
        <f>'H. THANH BÌNH'!B64</f>
        <v>Nội dung</v>
      </c>
      <c r="C64" s="2403" t="str">
        <f>C7</f>
        <v>Dự toán năm 2024</v>
      </c>
    </row>
    <row r="65" spans="1:3" s="48" customFormat="1" ht="19.2" customHeight="1">
      <c r="A65" s="2286"/>
      <c r="B65" s="1408" t="str">
        <f>'H. THANH BÌNH'!B65</f>
        <v>Tổng chi (I+II+III+IV)</v>
      </c>
      <c r="C65" s="2589">
        <f>C66+C70+C74+C75+C76</f>
        <v>1598566.2</v>
      </c>
    </row>
    <row r="66" spans="1:3" s="48" customFormat="1" ht="19.2" customHeight="1">
      <c r="A66" s="2287" t="s">
        <v>9</v>
      </c>
      <c r="B66" s="2288" t="str">
        <f>'H. THANH BÌNH'!B66</f>
        <v>Chi đầu tư phát triển (1)</v>
      </c>
      <c r="C66" s="2594">
        <f>C68+C69</f>
        <v>284000.24258928356</v>
      </c>
    </row>
    <row r="67" spans="1:3" ht="19.2" customHeight="1">
      <c r="A67" s="2289"/>
      <c r="B67" s="2290" t="str">
        <f>'H. THANH BÌNH'!B67</f>
        <v>Bao gồm:</v>
      </c>
      <c r="C67" s="2558"/>
    </row>
    <row r="68" spans="1:3" ht="19.2" customHeight="1">
      <c r="A68" s="2291">
        <v>1</v>
      </c>
      <c r="B68" s="3284" t="str">
        <f>'H. THANH BÌNH'!B68</f>
        <v>Chi đầu tư xây dựng cơ bản</v>
      </c>
      <c r="C68" s="2558">
        <f>'Phụ lục số 6'!I8</f>
        <v>140000.24258928356</v>
      </c>
    </row>
    <row r="69" spans="1:3" ht="19.2" customHeight="1">
      <c r="A69" s="2291">
        <v>2</v>
      </c>
      <c r="B69" s="3284" t="str">
        <f>'H. THANH BÌNH'!B69</f>
        <v>Chi đầu tư từ nguồn thu tiền sử dụng đất</v>
      </c>
      <c r="C69" s="2558">
        <f>'Phụ lục số 6'!I9</f>
        <v>144000</v>
      </c>
    </row>
    <row r="70" spans="1:3" s="48" customFormat="1" ht="19.2" customHeight="1">
      <c r="A70" s="2287" t="s">
        <v>20</v>
      </c>
      <c r="B70" s="2288" t="str">
        <f>'H. THANH BÌNH'!B70</f>
        <v>Chi thường xuyên (2)</v>
      </c>
      <c r="C70" s="2594">
        <f>'Phụ lục số 6'!I10</f>
        <v>824431.64142151806</v>
      </c>
    </row>
    <row r="71" spans="1:3" ht="19.2" customHeight="1">
      <c r="A71" s="2293"/>
      <c r="B71" s="2294" t="str">
        <f>'H. THANH BÌNH'!B71</f>
        <v>Bao gồm:</v>
      </c>
      <c r="C71" s="2558"/>
    </row>
    <row r="72" spans="1:3" ht="19.2" customHeight="1">
      <c r="A72" s="2291">
        <v>1</v>
      </c>
      <c r="B72" s="2275" t="str">
        <f>'H. THANH BÌNH'!B72</f>
        <v>Sự nghiệp giáo dục - đào tạo (3)</v>
      </c>
      <c r="C72" s="2558">
        <f>'Phụ lục số 6'!I12</f>
        <v>390638.93133133231</v>
      </c>
    </row>
    <row r="73" spans="1:3" ht="19.2" customHeight="1">
      <c r="A73" s="2291">
        <v>2</v>
      </c>
      <c r="B73" s="2275" t="str">
        <f>'H. THANH BÌNH'!B73</f>
        <v>Các khoản chi thường xuyên còn lại</v>
      </c>
      <c r="C73" s="2558">
        <f>'Phụ lục số 6'!I13</f>
        <v>433792.71009018575</v>
      </c>
    </row>
    <row r="74" spans="1:3" s="48" customFormat="1" ht="19.2" customHeight="1">
      <c r="A74" s="2287" t="s">
        <v>49</v>
      </c>
      <c r="B74" s="2288" t="str">
        <f>'H. THANH BÌNH'!B74</f>
        <v>Dự phòng ngân sách</v>
      </c>
      <c r="C74" s="2594">
        <f>'Phụ lục số 6'!I14</f>
        <v>24840.315989198371</v>
      </c>
    </row>
    <row r="75" spans="1:3" s="48" customFormat="1" ht="19.2" customHeight="1">
      <c r="A75" s="2287" t="s">
        <v>50</v>
      </c>
      <c r="B75" s="2288" t="str">
        <f>'H. THANH BÌNH'!B75</f>
        <v>Chi tạo nguồn cải cách tiền lương</v>
      </c>
      <c r="C75" s="2594">
        <f>'Phụ lục số 6'!I15</f>
        <v>465294</v>
      </c>
    </row>
    <row r="76" spans="1:3" s="48" customFormat="1" ht="19.2" customHeight="1">
      <c r="A76" s="2583" t="s">
        <v>72</v>
      </c>
      <c r="B76" s="1399" t="str">
        <f>'H. THANH BÌNH'!B76</f>
        <v>Chi từ nguồn ngân sách cấp Tỉnh bổ sung có mục tiêu</v>
      </c>
      <c r="C76" s="2594">
        <f>SUM(C77:C81)</f>
        <v>0</v>
      </c>
    </row>
    <row r="77" spans="1:3" ht="19.2" hidden="1" customHeight="1">
      <c r="A77" s="2584" t="s">
        <v>137</v>
      </c>
      <c r="B77" s="16" t="str">
        <f>'H. THANH BÌNH'!B77</f>
        <v>Chi đầu tư xây dựng cơ bản</v>
      </c>
      <c r="C77" s="2558">
        <f>'Phụ lục số 6'!I17</f>
        <v>0</v>
      </c>
    </row>
    <row r="78" spans="1:3" ht="19.2" hidden="1" customHeight="1">
      <c r="A78" s="2584" t="s">
        <v>137</v>
      </c>
      <c r="B78" s="16" t="str">
        <f>'H. THANH BÌNH'!B78</f>
        <v>Chi đầu tư từ nguồn xổ số kiến thiết</v>
      </c>
      <c r="C78" s="2558">
        <f>'Phụ lục số 6'!I18</f>
        <v>0</v>
      </c>
    </row>
    <row r="79" spans="1:3" ht="19.2" hidden="1" customHeight="1">
      <c r="A79" s="2584" t="s">
        <v>137</v>
      </c>
      <c r="B79" s="16" t="str">
        <f>'H. THANH BÌNH'!B79</f>
        <v>Chi từ nguồn ngân sách trung ương bổ sung có mục tiêu (kinh phí sự nghiệp)</v>
      </c>
      <c r="C79" s="2558">
        <f>'Phụ lục số 6'!I19</f>
        <v>0</v>
      </c>
    </row>
    <row r="80" spans="1:3" ht="19.2" hidden="1" customHeight="1">
      <c r="A80" s="2585" t="s">
        <v>137</v>
      </c>
      <c r="B80" s="16" t="str">
        <f>'H. THANH BÌNH'!B80</f>
        <v>Chi từ nguồn ngân sách trung ương bổ sung có mục tiêu (Chương trình Mục tiêu quốc gia)</v>
      </c>
      <c r="C80" s="2558">
        <f>'Phụ lục số 6'!I20</f>
        <v>0</v>
      </c>
    </row>
    <row r="81" spans="1:3" ht="19.2" hidden="1" customHeight="1">
      <c r="A81" s="2586"/>
      <c r="B81" s="2825" t="str">
        <f>'H. THANH BÌNH'!B81</f>
        <v>Chi từ nguồn ngân sách trung ương bổ sung có mục tiêu, nhiệm vụ quan trọng khác</v>
      </c>
      <c r="C81" s="2595">
        <f>'Phụ lục số 6'!I21</f>
        <v>0</v>
      </c>
    </row>
    <row r="83" spans="1:3">
      <c r="A83" s="48" t="s">
        <v>1050</v>
      </c>
      <c r="B83" s="2581"/>
    </row>
    <row r="84" spans="1:3">
      <c r="A84" s="4757" t="s">
        <v>2494</v>
      </c>
      <c r="B84" s="4758"/>
      <c r="C84" s="4758"/>
    </row>
    <row r="85" spans="1:3" ht="60" customHeight="1">
      <c r="A85" s="4755" t="s">
        <v>2744</v>
      </c>
      <c r="B85" s="4756"/>
      <c r="C85" s="4756"/>
    </row>
    <row r="86" spans="1:3" ht="18" customHeight="1">
      <c r="A86" s="4756" t="str">
        <f>'H. THANH BÌNH'!A86:C86</f>
        <v>- Chưa bao gồm chi đầu tư từ nguồn vốn do ngân sách cấp tỉnh quản lý và phân bổ bổ sung có mục tiêu cho ngân sách huyện, thành phố</v>
      </c>
      <c r="B86" s="4756"/>
      <c r="C86" s="4756"/>
    </row>
    <row r="87" spans="1:3">
      <c r="A87" s="4772" t="s">
        <v>2495</v>
      </c>
      <c r="B87" s="4772"/>
      <c r="C87" s="4772"/>
    </row>
    <row r="88" spans="1:3" ht="60" customHeight="1">
      <c r="A88" s="4756" t="str">
        <f>'H. THANH BÌNH'!A88:C88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56"/>
      <c r="C88" s="4756"/>
    </row>
    <row r="89" spans="1:3" ht="40.200000000000003" customHeight="1">
      <c r="A89" s="4767" t="str">
        <f>'H. THANH BÌNH'!A89:C89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67"/>
      <c r="C89" s="4767"/>
    </row>
    <row r="90" spans="1:3">
      <c r="A90" s="37" t="str">
        <f>'H. THANH BÌNH'!A90</f>
        <v xml:space="preserve">- Bao gồm 10% tiết kiệm tăng thêm năm 2024 so với năm 2023 để thực hiện cải cách tiền lương năm 2024 là: </v>
      </c>
      <c r="C90" s="3369" t="s">
        <v>2800</v>
      </c>
    </row>
    <row r="91" spans="1:3">
      <c r="A91" s="4782" t="str">
        <f>'H. THANH BÌNH'!A91</f>
        <v>(3): Trong đó:</v>
      </c>
      <c r="B91" s="4782"/>
      <c r="C91" s="4782"/>
    </row>
    <row r="92" spans="1:3" ht="55.2" customHeight="1">
      <c r="A92" s="4756" t="str">
        <f>'H. THANH BÌNH'!A92:C92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56"/>
      <c r="C92" s="4756"/>
    </row>
    <row r="118" spans="1:5">
      <c r="A118" s="4299" t="str">
        <f>'TỔNG CỘNG'!A118:C118</f>
        <v>PHỤ LỤC III</v>
      </c>
      <c r="B118" s="4299"/>
      <c r="C118" s="4299"/>
    </row>
    <row r="119" spans="1:5">
      <c r="A119" s="4299" t="str">
        <f>'TỔNG CỘNG'!A119:C119</f>
        <v>CHẾ ĐỘ CHÍNH SÁCH AN SINH XÃ HỘI TĂNG THÊM NĂM 2024</v>
      </c>
      <c r="B119" s="4299"/>
      <c r="C119" s="4299"/>
    </row>
    <row r="120" spans="1:5">
      <c r="A120" s="4299" t="str">
        <f>A60</f>
        <v>THÀNH PHỐ CAO LÃNH</v>
      </c>
      <c r="B120" s="4299"/>
      <c r="C120" s="4299"/>
    </row>
    <row r="121" spans="1:5">
      <c r="A121" s="4300" t="str">
        <f>'TỔNG CỘNG'!A121:C121</f>
        <v>(Kèm theo Quyết định số        /QĐ-UBND-HC ngày      /12/2023 của Uỷ ban nhân dân tỉnh Đồng Tháp)</v>
      </c>
      <c r="B121" s="4300"/>
      <c r="C121" s="4300"/>
    </row>
    <row r="123" spans="1:5">
      <c r="A123" s="3285"/>
      <c r="B123" s="3285"/>
      <c r="C123" s="1384" t="str">
        <f>C63</f>
        <v>Đơn vị tính: Triệu đồng</v>
      </c>
    </row>
    <row r="124" spans="1:5" ht="34.799999999999997">
      <c r="A124" s="3286" t="s">
        <v>288</v>
      </c>
      <c r="B124" s="3236" t="s">
        <v>791</v>
      </c>
      <c r="C124" s="1829" t="s">
        <v>1700</v>
      </c>
    </row>
    <row r="125" spans="1:5">
      <c r="A125" s="3494"/>
      <c r="B125" s="2386" t="str">
        <f>'TỔNG CỘNG'!B125</f>
        <v>TỔNG CỘNG (I+II)</v>
      </c>
      <c r="C125" s="3505">
        <f>C126+C130</f>
        <v>11159.2</v>
      </c>
      <c r="E125" s="1">
        <f>C125-C45</f>
        <v>0</v>
      </c>
    </row>
    <row r="126" spans="1:5">
      <c r="A126" s="133" t="s">
        <v>9</v>
      </c>
      <c r="B126" s="3782" t="str">
        <f>'TỔNG CỘNG'!B126</f>
        <v>Các chính sách thuộc sự nghiệp giáo dục - đào tạo và dạy nghề</v>
      </c>
      <c r="C126" s="3655">
        <f>SUM(C127:C129)</f>
        <v>0</v>
      </c>
    </row>
    <row r="127" spans="1:5" ht="36">
      <c r="A127" s="136">
        <v>1</v>
      </c>
      <c r="B127" s="803" t="str">
        <f>'TỔNG CỘNG'!B127</f>
        <v>Chính sách hỗ trợ chi phí học tập và miễn giảm học phí theo quy định tại Nghị định số 81/2021/NĐ-CP ngày 27/08/2021 của Chính phủ</v>
      </c>
      <c r="C127" s="2335">
        <v>0</v>
      </c>
    </row>
    <row r="128" spans="1:5" ht="36">
      <c r="A128" s="136">
        <v>2</v>
      </c>
      <c r="B128" s="3775" t="str">
        <f>'TỔNG CỘNG'!B128</f>
        <v>Chính sách phát triển giao dục mầm non Nghị định 105/2020/NĐ-CP ngày 08/09/2020 của Chính phủ</v>
      </c>
      <c r="C128" s="2335">
        <v>0</v>
      </c>
    </row>
    <row r="129" spans="1:3" ht="36">
      <c r="A129" s="136">
        <v>3</v>
      </c>
      <c r="B129" s="3775" t="str">
        <f>'TỔNG CỘNG'!B129</f>
        <v>Học bổng, chi phí học tập cho học sinh khuyết tật theo Thông tư liên tịch số 42/2013/TTLT-BGDĐT-BLĐTBXH-BTC ngày 31/12/2013</v>
      </c>
      <c r="C129" s="2335">
        <v>0</v>
      </c>
    </row>
    <row r="130" spans="1:3">
      <c r="A130" s="133" t="s">
        <v>20</v>
      </c>
      <c r="B130" s="3782" t="str">
        <f>'TỔNG CỘNG'!B130</f>
        <v>Các chính sách thuộc sự nghiệp đảm bảo xã hội</v>
      </c>
      <c r="C130" s="3655">
        <f>SUM(C131:C132)</f>
        <v>11159.2</v>
      </c>
    </row>
    <row r="131" spans="1:3" ht="36">
      <c r="A131" s="136">
        <v>1</v>
      </c>
      <c r="B131" s="3775" t="str">
        <f>'TỔNG CỘNG'!B131</f>
        <v>Chính sách hỗ trợ thường xuyên cho đối tượng bảo trợ xã hội theo quy định tại Nghị định số 20/2021/NĐ-CP ngày 15/03/2021 của Chính phủ</v>
      </c>
      <c r="C131" s="2335">
        <f>'Phụ lục 7.3-CĐCS'!CU17+'Phụ lục 7.3-CĐCS'!CU13+'Phụ lục 7.3-CĐCS'!CU14+'Phụ lục 7.3-CĐCS'!CU15</f>
        <v>11146.2</v>
      </c>
    </row>
    <row r="132" spans="1:3" ht="36">
      <c r="A132" s="2298">
        <v>2</v>
      </c>
      <c r="B132" s="3783" t="str">
        <f>'TỔNG CỘNG'!B132</f>
        <v>Chính sách hỗ trợ tiền điện cho hộ nghèo, hộ chính sách xã hội theo quy định tại Quyết định số 28/2014/QĐ-TTg ngày 07/4/2014 của Thủ tướng Chính phủ</v>
      </c>
      <c r="C132" s="2338">
        <f>'Phụ lục 7.3-CĐCS'!CU18</f>
        <v>13</v>
      </c>
    </row>
  </sheetData>
  <mergeCells count="23">
    <mergeCell ref="A51:C51"/>
    <mergeCell ref="A1:C1"/>
    <mergeCell ref="A58:C58"/>
    <mergeCell ref="A87:C87"/>
    <mergeCell ref="A88:C88"/>
    <mergeCell ref="A52:C52"/>
    <mergeCell ref="A2:C2"/>
    <mergeCell ref="A3:C3"/>
    <mergeCell ref="A4:C4"/>
    <mergeCell ref="A50:C50"/>
    <mergeCell ref="A89:C89"/>
    <mergeCell ref="A59:C59"/>
    <mergeCell ref="A60:C60"/>
    <mergeCell ref="A61:C61"/>
    <mergeCell ref="A84:C84"/>
    <mergeCell ref="A85:C85"/>
    <mergeCell ref="A86:C86"/>
    <mergeCell ref="A118:C118"/>
    <mergeCell ref="A119:C119"/>
    <mergeCell ref="A120:C120"/>
    <mergeCell ref="A121:C121"/>
    <mergeCell ref="A91:C91"/>
    <mergeCell ref="A92:C92"/>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2:CU85"/>
  <sheetViews>
    <sheetView zoomScale="80" zoomScaleNormal="80" workbookViewId="0">
      <selection activeCell="E22" sqref="E22"/>
    </sheetView>
  </sheetViews>
  <sheetFormatPr defaultColWidth="9" defaultRowHeight="18"/>
  <cols>
    <col min="1" max="1" width="7.69921875" style="722" customWidth="1"/>
    <col min="2" max="2" width="68.69921875" style="722" customWidth="1"/>
    <col min="3" max="3" width="13" style="726" customWidth="1"/>
    <col min="4" max="4" width="11.8984375" style="722" customWidth="1"/>
    <col min="5" max="5" width="11.69921875" style="722" customWidth="1"/>
    <col min="6" max="6" width="10.19921875" style="722" hidden="1" customWidth="1"/>
    <col min="7" max="10" width="10.59765625" style="722" hidden="1" customWidth="1"/>
    <col min="11" max="12" width="11.69921875" style="722" hidden="1" customWidth="1"/>
    <col min="13" max="13" width="10.59765625" style="722" hidden="1" customWidth="1"/>
    <col min="14" max="14" width="11.69921875" style="722" hidden="1" customWidth="1"/>
    <col min="15" max="16" width="10.59765625" style="722" hidden="1" customWidth="1"/>
    <col min="17" max="17" width="11.69921875" style="722" hidden="1" customWidth="1"/>
    <col min="18" max="16384" width="9" style="722"/>
  </cols>
  <sheetData>
    <row r="2" spans="1:99" s="1317" customFormat="1" ht="42.6" customHeight="1">
      <c r="A2" s="4279" t="s">
        <v>1573</v>
      </c>
      <c r="B2" s="4279"/>
      <c r="C2" s="4279"/>
      <c r="D2" s="4279"/>
      <c r="E2" s="4279"/>
      <c r="F2" s="1316"/>
      <c r="G2" s="1316"/>
      <c r="H2" s="1316"/>
      <c r="I2" s="1316"/>
      <c r="J2" s="1316"/>
      <c r="K2" s="1316"/>
      <c r="L2" s="1316"/>
      <c r="M2" s="1316"/>
      <c r="N2" s="1316"/>
      <c r="O2" s="1316"/>
      <c r="P2" s="1316"/>
      <c r="Q2" s="1316"/>
      <c r="AI2" s="1318"/>
      <c r="AQ2" s="1318"/>
      <c r="AY2" s="1318"/>
      <c r="BG2" s="1318"/>
      <c r="BO2" s="1318"/>
      <c r="BW2" s="1318"/>
      <c r="CE2" s="1318"/>
      <c r="CM2" s="1318"/>
      <c r="CU2" s="1318"/>
    </row>
    <row r="3" spans="1:99" ht="17.25" customHeight="1">
      <c r="A3" s="723"/>
      <c r="B3" s="723"/>
      <c r="C3" s="725"/>
    </row>
    <row r="4" spans="1:99" ht="17.25" customHeight="1" thickBot="1">
      <c r="B4" s="728"/>
      <c r="C4" s="4278" t="s">
        <v>224</v>
      </c>
      <c r="D4" s="4278"/>
      <c r="E4" s="4278"/>
    </row>
    <row r="5" spans="1:99" s="1237" customFormat="1" ht="60.6" customHeight="1">
      <c r="A5" s="2145" t="s">
        <v>244</v>
      </c>
      <c r="B5" s="1298" t="s">
        <v>640</v>
      </c>
      <c r="C5" s="1298" t="s">
        <v>4</v>
      </c>
      <c r="D5" s="1298" t="s">
        <v>402</v>
      </c>
      <c r="E5" s="1299" t="s">
        <v>1166</v>
      </c>
      <c r="F5" s="1289" t="s">
        <v>406</v>
      </c>
      <c r="G5" s="1238" t="s">
        <v>290</v>
      </c>
      <c r="H5" s="1238" t="s">
        <v>407</v>
      </c>
      <c r="I5" s="1238" t="s">
        <v>408</v>
      </c>
      <c r="J5" s="1238" t="s">
        <v>409</v>
      </c>
      <c r="K5" s="1238" t="s">
        <v>410</v>
      </c>
      <c r="L5" s="1238" t="s">
        <v>411</v>
      </c>
      <c r="M5" s="1238" t="s">
        <v>412</v>
      </c>
      <c r="N5" s="1238" t="s">
        <v>413</v>
      </c>
      <c r="O5" s="1238" t="s">
        <v>414</v>
      </c>
      <c r="P5" s="1238" t="s">
        <v>415</v>
      </c>
      <c r="Q5" s="1238" t="s">
        <v>416</v>
      </c>
    </row>
    <row r="6" spans="1:99" s="1268" customFormat="1" ht="30" customHeight="1">
      <c r="A6" s="1300" t="s">
        <v>9</v>
      </c>
      <c r="B6" s="1265" t="s">
        <v>1535</v>
      </c>
      <c r="C6" s="1266"/>
      <c r="D6" s="1267"/>
      <c r="E6" s="1301"/>
      <c r="F6" s="1290"/>
      <c r="G6" s="1267"/>
      <c r="H6" s="1267"/>
      <c r="I6" s="1267"/>
      <c r="J6" s="1267"/>
      <c r="K6" s="1267"/>
      <c r="L6" s="1267"/>
      <c r="M6" s="1267"/>
      <c r="N6" s="1267"/>
      <c r="O6" s="1267"/>
      <c r="P6" s="1267"/>
      <c r="Q6" s="1267"/>
    </row>
    <row r="7" spans="1:99" s="1268" customFormat="1" ht="30" customHeight="1">
      <c r="A7" s="1302">
        <v>1</v>
      </c>
      <c r="B7" s="1269" t="s">
        <v>1536</v>
      </c>
      <c r="C7" s="1270">
        <f>SUM(D7:E7)</f>
        <v>274623</v>
      </c>
      <c r="D7" s="1271">
        <v>135382</v>
      </c>
      <c r="E7" s="1303">
        <f>SUM(F7:Q7)</f>
        <v>139241</v>
      </c>
      <c r="F7" s="1291">
        <v>10213</v>
      </c>
      <c r="G7" s="1271">
        <v>9635</v>
      </c>
      <c r="H7" s="1261">
        <v>8750</v>
      </c>
      <c r="I7" s="1261">
        <v>9401</v>
      </c>
      <c r="J7" s="1261">
        <v>11368</v>
      </c>
      <c r="K7" s="1261">
        <v>16199</v>
      </c>
      <c r="L7" s="1261">
        <v>14310</v>
      </c>
      <c r="M7" s="1261">
        <v>12573</v>
      </c>
      <c r="N7" s="1261">
        <v>12574</v>
      </c>
      <c r="O7" s="1261">
        <v>11036</v>
      </c>
      <c r="P7" s="1261">
        <v>12596</v>
      </c>
      <c r="Q7" s="1261">
        <v>10586</v>
      </c>
    </row>
    <row r="8" spans="1:99" s="1268" customFormat="1" ht="30" customHeight="1">
      <c r="A8" s="1302">
        <v>2</v>
      </c>
      <c r="B8" s="1269" t="s">
        <v>2554</v>
      </c>
      <c r="C8" s="1270">
        <f>SUM(D8:E8)</f>
        <v>66627.586200000005</v>
      </c>
      <c r="D8" s="1271">
        <f>SUM(D10:D21)</f>
        <v>19200.445</v>
      </c>
      <c r="E8" s="1303">
        <f>SUM(E10:E21)</f>
        <v>47427.141200000005</v>
      </c>
      <c r="F8" s="1291">
        <f t="shared" ref="F8:Q8" si="0">SUM(F10:F21)</f>
        <v>7999</v>
      </c>
      <c r="G8" s="1271">
        <f t="shared" si="0"/>
        <v>273</v>
      </c>
      <c r="H8" s="1271">
        <f t="shared" si="0"/>
        <v>5535</v>
      </c>
      <c r="I8" s="1271">
        <f t="shared" si="0"/>
        <v>1711</v>
      </c>
      <c r="J8" s="1271">
        <f t="shared" si="0"/>
        <v>3414</v>
      </c>
      <c r="K8" s="1271">
        <f t="shared" si="0"/>
        <v>4313.9169999999995</v>
      </c>
      <c r="L8" s="1271">
        <f t="shared" si="0"/>
        <v>3122.3029999999999</v>
      </c>
      <c r="M8" s="1271">
        <f t="shared" si="0"/>
        <v>3769.558</v>
      </c>
      <c r="N8" s="1271">
        <f t="shared" si="0"/>
        <v>1839.15</v>
      </c>
      <c r="O8" s="1271">
        <f t="shared" si="0"/>
        <v>8336.3451999999997</v>
      </c>
      <c r="P8" s="1271">
        <f t="shared" si="0"/>
        <v>2927.518</v>
      </c>
      <c r="Q8" s="1271">
        <f t="shared" si="0"/>
        <v>4186.3500000000004</v>
      </c>
    </row>
    <row r="9" spans="1:99" s="1268" customFormat="1" ht="30" customHeight="1">
      <c r="A9" s="1302">
        <v>3</v>
      </c>
      <c r="B9" s="1269" t="s">
        <v>1551</v>
      </c>
      <c r="C9" s="1288">
        <f>C8/C7%</f>
        <v>24.261473438131549</v>
      </c>
      <c r="D9" s="1288">
        <f>D8/D7%</f>
        <v>14.182420853584672</v>
      </c>
      <c r="E9" s="1304">
        <f>E8/E7%</f>
        <v>34.061189735781845</v>
      </c>
      <c r="F9" s="1292">
        <f>F8/F7%</f>
        <v>78.321746793302651</v>
      </c>
      <c r="G9" s="1288">
        <f t="shared" ref="G9:Q9" si="1">G8/G7%</f>
        <v>2.8334198235599377</v>
      </c>
      <c r="H9" s="1288">
        <f t="shared" si="1"/>
        <v>63.25714285714286</v>
      </c>
      <c r="I9" s="1288">
        <f t="shared" si="1"/>
        <v>18.20019146899266</v>
      </c>
      <c r="J9" s="1288">
        <f t="shared" si="1"/>
        <v>30.031667839549613</v>
      </c>
      <c r="K9" s="1288">
        <f t="shared" si="1"/>
        <v>26.630761158096174</v>
      </c>
      <c r="L9" s="1288">
        <f t="shared" si="1"/>
        <v>21.819028651292804</v>
      </c>
      <c r="M9" s="1288">
        <f t="shared" si="1"/>
        <v>29.981372782947584</v>
      </c>
      <c r="N9" s="1288">
        <f t="shared" si="1"/>
        <v>14.626610466041038</v>
      </c>
      <c r="O9" s="1288">
        <f t="shared" si="1"/>
        <v>75.537741935483865</v>
      </c>
      <c r="P9" s="1288">
        <f t="shared" si="1"/>
        <v>23.241648142267387</v>
      </c>
      <c r="Q9" s="1288">
        <f t="shared" si="1"/>
        <v>39.546098620819954</v>
      </c>
    </row>
    <row r="10" spans="1:99" s="1273" customFormat="1" ht="30" hidden="1" customHeight="1">
      <c r="A10" s="1305" t="s">
        <v>137</v>
      </c>
      <c r="B10" s="1272" t="s">
        <v>1537</v>
      </c>
      <c r="C10" s="1274">
        <f>SUM(D10:E10)</f>
        <v>0</v>
      </c>
      <c r="D10" s="1275"/>
      <c r="E10" s="1306">
        <f>SUM(F10:Q10)</f>
        <v>0</v>
      </c>
      <c r="F10" s="1293"/>
      <c r="G10" s="1276"/>
      <c r="H10" s="1276"/>
      <c r="I10" s="1276"/>
      <c r="J10" s="1276"/>
      <c r="K10" s="1276"/>
      <c r="L10" s="1276"/>
      <c r="M10" s="1276"/>
      <c r="N10" s="1276"/>
      <c r="O10" s="1276"/>
      <c r="P10" s="1276"/>
      <c r="Q10" s="1276"/>
    </row>
    <row r="11" spans="1:99" s="1273" customFormat="1" ht="30" hidden="1" customHeight="1">
      <c r="A11" s="1305" t="s">
        <v>137</v>
      </c>
      <c r="B11" s="1272" t="s">
        <v>1538</v>
      </c>
      <c r="C11" s="1274">
        <f t="shared" ref="C11:C21" si="2">SUM(D11:E11)</f>
        <v>0</v>
      </c>
      <c r="D11" s="1275"/>
      <c r="E11" s="1306">
        <f t="shared" ref="E11:E23" si="3">SUM(F11:Q11)</f>
        <v>0</v>
      </c>
      <c r="F11" s="1293"/>
      <c r="G11" s="1276"/>
      <c r="H11" s="1276"/>
      <c r="I11" s="1276"/>
      <c r="J11" s="1276"/>
      <c r="K11" s="1276"/>
      <c r="L11" s="1276"/>
      <c r="M11" s="1276"/>
      <c r="N11" s="1276"/>
      <c r="O11" s="1276"/>
      <c r="P11" s="1276"/>
      <c r="Q11" s="1276"/>
    </row>
    <row r="12" spans="1:99" s="1273" customFormat="1" ht="30" hidden="1" customHeight="1">
      <c r="A12" s="1305" t="s">
        <v>137</v>
      </c>
      <c r="B12" s="1272" t="s">
        <v>1539</v>
      </c>
      <c r="C12" s="1274">
        <f t="shared" si="2"/>
        <v>0</v>
      </c>
      <c r="D12" s="1275"/>
      <c r="E12" s="1306">
        <f t="shared" si="3"/>
        <v>0</v>
      </c>
      <c r="F12" s="1293"/>
      <c r="G12" s="1276"/>
      <c r="H12" s="1276"/>
      <c r="I12" s="1276"/>
      <c r="J12" s="1276"/>
      <c r="K12" s="1276"/>
      <c r="L12" s="1276"/>
      <c r="M12" s="1276"/>
      <c r="N12" s="1276"/>
      <c r="O12" s="1276"/>
      <c r="P12" s="1276"/>
      <c r="Q12" s="1276"/>
    </row>
    <row r="13" spans="1:99" s="1273" customFormat="1" ht="30" hidden="1" customHeight="1">
      <c r="A13" s="1305" t="s">
        <v>137</v>
      </c>
      <c r="B13" s="1272" t="s">
        <v>1540</v>
      </c>
      <c r="C13" s="1274">
        <f t="shared" si="2"/>
        <v>0</v>
      </c>
      <c r="D13" s="1275"/>
      <c r="E13" s="1306">
        <f t="shared" si="3"/>
        <v>0</v>
      </c>
      <c r="F13" s="1293"/>
      <c r="G13" s="1276"/>
      <c r="H13" s="1276"/>
      <c r="I13" s="1276"/>
      <c r="J13" s="1276"/>
      <c r="K13" s="1276"/>
      <c r="L13" s="1276"/>
      <c r="M13" s="1276"/>
      <c r="N13" s="1276"/>
      <c r="O13" s="1276"/>
      <c r="P13" s="1276"/>
      <c r="Q13" s="1276"/>
    </row>
    <row r="14" spans="1:99" s="1273" customFormat="1" ht="30" hidden="1" customHeight="1">
      <c r="A14" s="1305" t="s">
        <v>137</v>
      </c>
      <c r="B14" s="1272" t="s">
        <v>1541</v>
      </c>
      <c r="C14" s="1274">
        <f t="shared" si="2"/>
        <v>0</v>
      </c>
      <c r="D14" s="1275"/>
      <c r="E14" s="1306">
        <f t="shared" si="3"/>
        <v>0</v>
      </c>
      <c r="F14" s="1293"/>
      <c r="G14" s="1276"/>
      <c r="H14" s="1276"/>
      <c r="I14" s="1276"/>
      <c r="J14" s="1276"/>
      <c r="K14" s="1276"/>
      <c r="L14" s="1276"/>
      <c r="M14" s="1276"/>
      <c r="N14" s="1276"/>
      <c r="O14" s="1276"/>
      <c r="P14" s="1276"/>
      <c r="Q14" s="1276"/>
    </row>
    <row r="15" spans="1:99" s="1273" customFormat="1" ht="30" hidden="1" customHeight="1">
      <c r="A15" s="1305" t="s">
        <v>137</v>
      </c>
      <c r="B15" s="1272" t="s">
        <v>1542</v>
      </c>
      <c r="C15" s="1274">
        <f t="shared" si="2"/>
        <v>0</v>
      </c>
      <c r="D15" s="1276"/>
      <c r="E15" s="1306">
        <f t="shared" si="3"/>
        <v>0</v>
      </c>
      <c r="F15" s="1293"/>
      <c r="G15" s="1276"/>
      <c r="H15" s="1276"/>
      <c r="I15" s="1276"/>
      <c r="J15" s="1276"/>
      <c r="K15" s="1276"/>
      <c r="L15" s="1276"/>
      <c r="M15" s="1276"/>
      <c r="N15" s="1276"/>
      <c r="O15" s="1276"/>
      <c r="P15" s="1276"/>
      <c r="Q15" s="1276"/>
    </row>
    <row r="16" spans="1:99" s="1273" customFormat="1" ht="30" hidden="1" customHeight="1">
      <c r="A16" s="1305" t="s">
        <v>137</v>
      </c>
      <c r="B16" s="1272" t="s">
        <v>1543</v>
      </c>
      <c r="C16" s="1274">
        <f t="shared" si="2"/>
        <v>0</v>
      </c>
      <c r="D16" s="1275"/>
      <c r="E16" s="1306">
        <f t="shared" si="3"/>
        <v>0</v>
      </c>
      <c r="F16" s="1293"/>
      <c r="G16" s="1276"/>
      <c r="H16" s="1276"/>
      <c r="I16" s="1276"/>
      <c r="J16" s="1276"/>
      <c r="K16" s="1276"/>
      <c r="L16" s="1276"/>
      <c r="M16" s="1276"/>
      <c r="N16" s="1276"/>
      <c r="O16" s="1276"/>
      <c r="P16" s="1276"/>
      <c r="Q16" s="1276"/>
    </row>
    <row r="17" spans="1:18" s="1273" customFormat="1" ht="30" hidden="1" customHeight="1">
      <c r="A17" s="1305" t="s">
        <v>137</v>
      </c>
      <c r="B17" s="1272" t="s">
        <v>1544</v>
      </c>
      <c r="C17" s="1274">
        <f t="shared" si="2"/>
        <v>66627.586200000005</v>
      </c>
      <c r="D17" s="1276">
        <f>19200445000/1000000</f>
        <v>19200.445</v>
      </c>
      <c r="E17" s="1306">
        <f>SUM(F17:Q17)</f>
        <v>47427.141200000005</v>
      </c>
      <c r="F17" s="1293">
        <f>2253+5746</f>
        <v>7999</v>
      </c>
      <c r="G17" s="1276">
        <f>248+25</f>
        <v>273</v>
      </c>
      <c r="H17" s="1276">
        <f>3257+2278</f>
        <v>5535</v>
      </c>
      <c r="I17" s="1276">
        <f>156+1555</f>
        <v>1711</v>
      </c>
      <c r="J17" s="1276">
        <f>2500+914</f>
        <v>3414</v>
      </c>
      <c r="K17" s="1276">
        <f>1569.917+2744</f>
        <v>4313.9169999999995</v>
      </c>
      <c r="L17" s="1276">
        <f>2468.303+654</f>
        <v>3122.3029999999999</v>
      </c>
      <c r="M17" s="1276">
        <f>3586.558+183</f>
        <v>3769.558</v>
      </c>
      <c r="N17" s="1276">
        <f>423.15+1416</f>
        <v>1839.15</v>
      </c>
      <c r="O17" s="1276">
        <f>6318.3452+2018</f>
        <v>8336.3451999999997</v>
      </c>
      <c r="P17" s="1276">
        <f>2916.518+11</f>
        <v>2927.518</v>
      </c>
      <c r="Q17" s="1276">
        <f>185.35+4001</f>
        <v>4186.3500000000004</v>
      </c>
    </row>
    <row r="18" spans="1:18" s="1273" customFormat="1" ht="30" hidden="1" customHeight="1">
      <c r="A18" s="1305" t="s">
        <v>137</v>
      </c>
      <c r="B18" s="1272" t="s">
        <v>1545</v>
      </c>
      <c r="C18" s="1274">
        <f t="shared" si="2"/>
        <v>0</v>
      </c>
      <c r="D18" s="1275"/>
      <c r="E18" s="1306">
        <f t="shared" si="3"/>
        <v>0</v>
      </c>
      <c r="F18" s="1293"/>
      <c r="G18" s="1276"/>
      <c r="H18" s="1276"/>
      <c r="I18" s="1276"/>
      <c r="J18" s="1276"/>
      <c r="K18" s="1276"/>
      <c r="L18" s="1276"/>
      <c r="M18" s="1276"/>
      <c r="N18" s="1276"/>
      <c r="O18" s="1276"/>
      <c r="P18" s="1276"/>
      <c r="Q18" s="1276"/>
    </row>
    <row r="19" spans="1:18" s="1273" customFormat="1" ht="30" hidden="1" customHeight="1">
      <c r="A19" s="1305" t="s">
        <v>137</v>
      </c>
      <c r="B19" s="1272" t="s">
        <v>1546</v>
      </c>
      <c r="C19" s="1274">
        <f t="shared" si="2"/>
        <v>0</v>
      </c>
      <c r="D19" s="1275"/>
      <c r="E19" s="1306">
        <f t="shared" si="3"/>
        <v>0</v>
      </c>
      <c r="F19" s="1293"/>
      <c r="G19" s="1276"/>
      <c r="H19" s="1276"/>
      <c r="I19" s="1276"/>
      <c r="J19" s="1276"/>
      <c r="K19" s="1276"/>
      <c r="L19" s="1276"/>
      <c r="M19" s="1276"/>
      <c r="N19" s="1276"/>
      <c r="O19" s="1276"/>
      <c r="P19" s="1276"/>
      <c r="Q19" s="1276"/>
    </row>
    <row r="20" spans="1:18" s="1273" customFormat="1" ht="30" hidden="1" customHeight="1">
      <c r="A20" s="1305" t="s">
        <v>137</v>
      </c>
      <c r="B20" s="1272" t="s">
        <v>1547</v>
      </c>
      <c r="C20" s="1274">
        <f t="shared" si="2"/>
        <v>0</v>
      </c>
      <c r="D20" s="1275"/>
      <c r="E20" s="1306">
        <f t="shared" si="3"/>
        <v>0</v>
      </c>
      <c r="F20" s="1293"/>
      <c r="G20" s="1276"/>
      <c r="H20" s="1276"/>
      <c r="I20" s="1276"/>
      <c r="J20" s="1276"/>
      <c r="K20" s="1276"/>
      <c r="L20" s="1276"/>
      <c r="M20" s="1276"/>
      <c r="N20" s="1276"/>
      <c r="O20" s="1276"/>
      <c r="P20" s="1276"/>
      <c r="Q20" s="1276"/>
    </row>
    <row r="21" spans="1:18" s="1273" customFormat="1" ht="30" hidden="1" customHeight="1">
      <c r="A21" s="1305" t="s">
        <v>137</v>
      </c>
      <c r="B21" s="1272" t="s">
        <v>1548</v>
      </c>
      <c r="C21" s="1274">
        <f t="shared" si="2"/>
        <v>0</v>
      </c>
      <c r="D21" s="1275"/>
      <c r="E21" s="1306">
        <f t="shared" si="3"/>
        <v>0</v>
      </c>
      <c r="F21" s="1293"/>
      <c r="G21" s="1276"/>
      <c r="H21" s="1276"/>
      <c r="I21" s="1276"/>
      <c r="J21" s="1276"/>
      <c r="K21" s="1276"/>
      <c r="L21" s="1276"/>
      <c r="M21" s="1276"/>
      <c r="N21" s="1276"/>
      <c r="O21" s="1276"/>
      <c r="P21" s="1276"/>
      <c r="Q21" s="1276"/>
    </row>
    <row r="22" spans="1:18" s="1268" customFormat="1" ht="30" customHeight="1">
      <c r="A22" s="1302">
        <v>4</v>
      </c>
      <c r="B22" s="1277" t="s">
        <v>1549</v>
      </c>
      <c r="C22" s="1278"/>
      <c r="D22" s="1279"/>
      <c r="E22" s="1303">
        <f t="shared" si="3"/>
        <v>0</v>
      </c>
      <c r="F22" s="1291"/>
      <c r="G22" s="1271"/>
      <c r="H22" s="1271"/>
      <c r="I22" s="1271"/>
      <c r="J22" s="1271"/>
      <c r="K22" s="1271"/>
      <c r="L22" s="1271"/>
      <c r="M22" s="1271"/>
      <c r="N22" s="1271"/>
      <c r="O22" s="1271"/>
      <c r="P22" s="1271"/>
      <c r="Q22" s="1271"/>
    </row>
    <row r="23" spans="1:18" s="1285" customFormat="1" ht="30" hidden="1" customHeight="1">
      <c r="A23" s="1307"/>
      <c r="B23" s="1280"/>
      <c r="C23" s="1281"/>
      <c r="D23" s="1262" t="s">
        <v>1565</v>
      </c>
      <c r="E23" s="1308">
        <f t="shared" si="3"/>
        <v>0</v>
      </c>
      <c r="F23" s="1294" t="s">
        <v>1553</v>
      </c>
      <c r="G23" s="1263" t="s">
        <v>1554</v>
      </c>
      <c r="H23" s="1263" t="s">
        <v>1555</v>
      </c>
      <c r="I23" s="1263" t="s">
        <v>1556</v>
      </c>
      <c r="J23" s="1263" t="s">
        <v>1557</v>
      </c>
      <c r="K23" s="1263" t="s">
        <v>1558</v>
      </c>
      <c r="L23" s="1282" t="s">
        <v>1559</v>
      </c>
      <c r="M23" s="1282" t="s">
        <v>1560</v>
      </c>
      <c r="N23" s="1263" t="s">
        <v>1561</v>
      </c>
      <c r="O23" s="1283" t="s">
        <v>1562</v>
      </c>
      <c r="P23" s="1263" t="s">
        <v>1563</v>
      </c>
      <c r="Q23" s="1263" t="s">
        <v>1564</v>
      </c>
      <c r="R23" s="1284" t="s">
        <v>1552</v>
      </c>
    </row>
    <row r="24" spans="1:18" s="1268" customFormat="1" ht="30" customHeight="1">
      <c r="A24" s="1302">
        <v>5</v>
      </c>
      <c r="B24" s="1269" t="s">
        <v>1550</v>
      </c>
      <c r="C24" s="1270">
        <f>SUM(D24:E24)</f>
        <v>207995.41379999998</v>
      </c>
      <c r="D24" s="1271">
        <f>D7-D8</f>
        <v>116181.55499999999</v>
      </c>
      <c r="E24" s="1303">
        <f>SUM(F24:Q24)</f>
        <v>91813.858800000002</v>
      </c>
      <c r="F24" s="1291">
        <f>F7-F8</f>
        <v>2214</v>
      </c>
      <c r="G24" s="1271">
        <f t="shared" ref="G24:Q24" si="4">G7-G8</f>
        <v>9362</v>
      </c>
      <c r="H24" s="1271">
        <f t="shared" si="4"/>
        <v>3215</v>
      </c>
      <c r="I24" s="1271">
        <f t="shared" si="4"/>
        <v>7690</v>
      </c>
      <c r="J24" s="1271">
        <f t="shared" si="4"/>
        <v>7954</v>
      </c>
      <c r="K24" s="1271">
        <f t="shared" si="4"/>
        <v>11885.083000000001</v>
      </c>
      <c r="L24" s="1271">
        <f t="shared" si="4"/>
        <v>11187.697</v>
      </c>
      <c r="M24" s="1271">
        <f t="shared" si="4"/>
        <v>8803.4419999999991</v>
      </c>
      <c r="N24" s="1271">
        <f t="shared" si="4"/>
        <v>10734.85</v>
      </c>
      <c r="O24" s="1271">
        <f t="shared" si="4"/>
        <v>2699.6548000000003</v>
      </c>
      <c r="P24" s="1271">
        <f t="shared" si="4"/>
        <v>9668.482</v>
      </c>
      <c r="Q24" s="1271">
        <f t="shared" si="4"/>
        <v>6399.65</v>
      </c>
    </row>
    <row r="25" spans="1:18" s="1268" customFormat="1" ht="30" customHeight="1">
      <c r="A25" s="1302" t="s">
        <v>20</v>
      </c>
      <c r="B25" s="1269" t="s">
        <v>641</v>
      </c>
      <c r="C25" s="1274"/>
      <c r="D25" s="1279"/>
      <c r="E25" s="1309"/>
      <c r="F25" s="1295"/>
      <c r="G25" s="1279"/>
      <c r="H25" s="1279"/>
      <c r="I25" s="1279"/>
      <c r="J25" s="1279"/>
      <c r="K25" s="1279"/>
      <c r="L25" s="1279"/>
      <c r="M25" s="1279"/>
      <c r="N25" s="1279"/>
      <c r="O25" s="1279"/>
      <c r="P25" s="1279"/>
      <c r="Q25" s="1279"/>
    </row>
    <row r="26" spans="1:18" s="1268" customFormat="1" ht="30" customHeight="1">
      <c r="A26" s="1302">
        <v>1</v>
      </c>
      <c r="B26" s="1269" t="s">
        <v>1566</v>
      </c>
      <c r="C26" s="1278">
        <f t="shared" ref="C26:C32" si="5">SUM(D26:E26)</f>
        <v>266529.76527099998</v>
      </c>
      <c r="D26" s="1271">
        <f>'[17]quy du tru tai chinh TabmisT1'!$B$12/1000000</f>
        <v>266529.76527099998</v>
      </c>
      <c r="E26" s="1303">
        <f>SUM(F26:Q26)</f>
        <v>0</v>
      </c>
      <c r="F26" s="1291">
        <v>0</v>
      </c>
      <c r="G26" s="1271">
        <v>0</v>
      </c>
      <c r="H26" s="1271">
        <v>0</v>
      </c>
      <c r="I26" s="1271">
        <v>0</v>
      </c>
      <c r="J26" s="1271">
        <v>0</v>
      </c>
      <c r="K26" s="1271">
        <v>0</v>
      </c>
      <c r="L26" s="1271">
        <v>0</v>
      </c>
      <c r="M26" s="1271">
        <v>0</v>
      </c>
      <c r="N26" s="1271">
        <v>0</v>
      </c>
      <c r="O26" s="1271">
        <v>0</v>
      </c>
      <c r="P26" s="1271">
        <v>0</v>
      </c>
      <c r="Q26" s="1271">
        <v>0</v>
      </c>
    </row>
    <row r="27" spans="1:18" s="1268" customFormat="1" ht="30" customHeight="1">
      <c r="A27" s="1302">
        <v>2</v>
      </c>
      <c r="B27" s="1269" t="s">
        <v>1567</v>
      </c>
      <c r="C27" s="1278">
        <f t="shared" si="5"/>
        <v>3276.3074019999999</v>
      </c>
      <c r="D27" s="1271">
        <f>D28+D29+D30+D31</f>
        <v>3276.3074019999999</v>
      </c>
      <c r="E27" s="1303">
        <f>E28+E29+E30+E31</f>
        <v>0</v>
      </c>
      <c r="F27" s="1291">
        <f t="shared" ref="F27:Q27" si="6">F28+F29+F30+F31</f>
        <v>0</v>
      </c>
      <c r="G27" s="1271">
        <f t="shared" si="6"/>
        <v>0</v>
      </c>
      <c r="H27" s="1271">
        <f t="shared" si="6"/>
        <v>0</v>
      </c>
      <c r="I27" s="1271">
        <f t="shared" si="6"/>
        <v>0</v>
      </c>
      <c r="J27" s="1271">
        <f t="shared" si="6"/>
        <v>0</v>
      </c>
      <c r="K27" s="1271">
        <f t="shared" si="6"/>
        <v>0</v>
      </c>
      <c r="L27" s="1271">
        <f t="shared" si="6"/>
        <v>0</v>
      </c>
      <c r="M27" s="1271">
        <f t="shared" si="6"/>
        <v>0</v>
      </c>
      <c r="N27" s="1271">
        <f t="shared" si="6"/>
        <v>0</v>
      </c>
      <c r="O27" s="1271">
        <f t="shared" si="6"/>
        <v>0</v>
      </c>
      <c r="P27" s="1271">
        <f t="shared" si="6"/>
        <v>0</v>
      </c>
      <c r="Q27" s="1271">
        <f t="shared" si="6"/>
        <v>0</v>
      </c>
    </row>
    <row r="28" spans="1:18" s="1273" customFormat="1" ht="30" customHeight="1">
      <c r="A28" s="1305" t="s">
        <v>34</v>
      </c>
      <c r="B28" s="1272" t="s">
        <v>1571</v>
      </c>
      <c r="C28" s="1274">
        <f t="shared" si="5"/>
        <v>2000</v>
      </c>
      <c r="D28" s="1276">
        <f>2000000000/1000000</f>
        <v>2000</v>
      </c>
      <c r="E28" s="1310">
        <f>SUM(F28:Q28)</f>
        <v>0</v>
      </c>
      <c r="F28" s="1296"/>
      <c r="G28" s="1275"/>
      <c r="H28" s="1275"/>
      <c r="I28" s="1275"/>
      <c r="J28" s="1275"/>
      <c r="K28" s="1275"/>
      <c r="L28" s="1275"/>
      <c r="M28" s="1275"/>
      <c r="N28" s="1275"/>
      <c r="O28" s="1275"/>
      <c r="P28" s="1275"/>
      <c r="Q28" s="1275"/>
    </row>
    <row r="29" spans="1:18" s="1273" customFormat="1" ht="30" customHeight="1">
      <c r="A29" s="1305" t="s">
        <v>35</v>
      </c>
      <c r="B29" s="1272" t="s">
        <v>1572</v>
      </c>
      <c r="C29" s="1286">
        <f t="shared" si="5"/>
        <v>0</v>
      </c>
      <c r="D29" s="1276">
        <v>0</v>
      </c>
      <c r="E29" s="1306">
        <f t="shared" ref="E29:E30" si="7">SUM(F29:Q29)</f>
        <v>0</v>
      </c>
      <c r="F29" s="1296"/>
      <c r="G29" s="1275"/>
      <c r="H29" s="1275"/>
      <c r="I29" s="1275"/>
      <c r="J29" s="1275"/>
      <c r="K29" s="1275"/>
      <c r="L29" s="1275"/>
      <c r="M29" s="1275"/>
      <c r="N29" s="1275"/>
      <c r="O29" s="1275"/>
      <c r="P29" s="1275"/>
      <c r="Q29" s="1275"/>
    </row>
    <row r="30" spans="1:18" s="1273" customFormat="1" ht="30" customHeight="1">
      <c r="A30" s="1305" t="s">
        <v>36</v>
      </c>
      <c r="B30" s="1287" t="s">
        <v>1568</v>
      </c>
      <c r="C30" s="1286">
        <f t="shared" si="5"/>
        <v>0</v>
      </c>
      <c r="D30" s="1276">
        <v>0</v>
      </c>
      <c r="E30" s="1306">
        <f t="shared" si="7"/>
        <v>0</v>
      </c>
      <c r="F30" s="1296"/>
      <c r="G30" s="1275"/>
      <c r="H30" s="1275"/>
      <c r="I30" s="1275"/>
      <c r="J30" s="1275"/>
      <c r="K30" s="1275"/>
      <c r="L30" s="1275"/>
      <c r="M30" s="1275"/>
      <c r="N30" s="1275"/>
      <c r="O30" s="1275"/>
      <c r="P30" s="1275"/>
      <c r="Q30" s="1275"/>
    </row>
    <row r="31" spans="1:18" s="1273" customFormat="1" ht="30" customHeight="1">
      <c r="A31" s="1305" t="s">
        <v>37</v>
      </c>
      <c r="B31" s="1272" t="s">
        <v>1569</v>
      </c>
      <c r="C31" s="1286">
        <f t="shared" si="5"/>
        <v>1276.3074019999999</v>
      </c>
      <c r="D31" s="1276">
        <f>SUM(D32:D43)</f>
        <v>1276.3074019999999</v>
      </c>
      <c r="E31" s="1306">
        <f>SUM(E32:E43)</f>
        <v>0</v>
      </c>
      <c r="F31" s="1293"/>
      <c r="G31" s="1276"/>
      <c r="H31" s="1276"/>
      <c r="I31" s="1276"/>
      <c r="J31" s="1276"/>
      <c r="K31" s="1276"/>
      <c r="L31" s="1276"/>
      <c r="M31" s="1276"/>
      <c r="N31" s="1276"/>
      <c r="O31" s="1276"/>
      <c r="P31" s="1276"/>
      <c r="Q31" s="1276"/>
    </row>
    <row r="32" spans="1:18" s="1273" customFormat="1" ht="30" customHeight="1">
      <c r="A32" s="1305"/>
      <c r="B32" s="1272" t="s">
        <v>1537</v>
      </c>
      <c r="C32" s="1286">
        <f t="shared" si="5"/>
        <v>181.07116500000001</v>
      </c>
      <c r="D32" s="1276">
        <f>'[17]quy du tru tai chinh TabmisT1'!$B$13/1000000</f>
        <v>181.07116500000001</v>
      </c>
      <c r="E32" s="1306">
        <f>SUM(F32:Q32)</f>
        <v>0</v>
      </c>
      <c r="F32" s="1293"/>
      <c r="G32" s="1276"/>
      <c r="H32" s="1276"/>
      <c r="I32" s="1276"/>
      <c r="J32" s="1276"/>
      <c r="K32" s="1276"/>
      <c r="L32" s="1276"/>
      <c r="M32" s="1276"/>
      <c r="N32" s="1276"/>
      <c r="O32" s="1276"/>
      <c r="P32" s="1276"/>
      <c r="Q32" s="1276"/>
    </row>
    <row r="33" spans="1:17" s="1273" customFormat="1" ht="30" customHeight="1">
      <c r="A33" s="1305"/>
      <c r="B33" s="1272" t="s">
        <v>1538</v>
      </c>
      <c r="C33" s="1286">
        <f t="shared" ref="C33:C43" si="8">SUM(D33:E33)</f>
        <v>181.197382</v>
      </c>
      <c r="D33" s="1276">
        <f>'[17]quy du tru tai chinh TabmisT2'!$B$13/1000000</f>
        <v>181.197382</v>
      </c>
      <c r="E33" s="1306">
        <f t="shared" ref="E33:E44" si="9">SUM(F33:Q33)</f>
        <v>0</v>
      </c>
      <c r="F33" s="1293"/>
      <c r="G33" s="1276"/>
      <c r="H33" s="1276"/>
      <c r="I33" s="1276"/>
      <c r="J33" s="1276"/>
      <c r="K33" s="1276"/>
      <c r="L33" s="1276"/>
      <c r="M33" s="1276"/>
      <c r="N33" s="1276"/>
      <c r="O33" s="1276"/>
      <c r="P33" s="1276"/>
      <c r="Q33" s="1276"/>
    </row>
    <row r="34" spans="1:17" s="1273" customFormat="1" ht="30" customHeight="1">
      <c r="A34" s="1305"/>
      <c r="B34" s="1272" t="s">
        <v>1539</v>
      </c>
      <c r="C34" s="1286">
        <f t="shared" si="8"/>
        <v>163.77936099999999</v>
      </c>
      <c r="D34" s="1276">
        <f>'[17]quy du tru tai chinh TabmisT3'!$B$13/1000000</f>
        <v>163.77936099999999</v>
      </c>
      <c r="E34" s="1306">
        <f t="shared" si="9"/>
        <v>0</v>
      </c>
      <c r="F34" s="1293"/>
      <c r="G34" s="1276"/>
      <c r="H34" s="1276"/>
      <c r="I34" s="1276"/>
      <c r="J34" s="1276"/>
      <c r="K34" s="1276"/>
      <c r="L34" s="1276"/>
      <c r="M34" s="1276"/>
      <c r="N34" s="1276"/>
      <c r="O34" s="1276"/>
      <c r="P34" s="1276"/>
      <c r="Q34" s="1276"/>
    </row>
    <row r="35" spans="1:17" s="1273" customFormat="1" ht="30" customHeight="1">
      <c r="A35" s="1305"/>
      <c r="B35" s="1272" t="s">
        <v>1540</v>
      </c>
      <c r="C35" s="1286">
        <f t="shared" si="8"/>
        <v>181.44444199999998</v>
      </c>
      <c r="D35" s="1276">
        <f>'[17]quy du tru tai chinh TabmisT4'!$B$13/1000000-2000</f>
        <v>181.44444199999998</v>
      </c>
      <c r="E35" s="1306">
        <f t="shared" si="9"/>
        <v>0</v>
      </c>
      <c r="F35" s="1293"/>
      <c r="G35" s="1276"/>
      <c r="H35" s="1276"/>
      <c r="I35" s="1276"/>
      <c r="J35" s="1276"/>
      <c r="K35" s="1276"/>
      <c r="L35" s="1276"/>
      <c r="M35" s="1276"/>
      <c r="N35" s="1276"/>
      <c r="O35" s="1276"/>
      <c r="P35" s="1276"/>
      <c r="Q35" s="1276"/>
    </row>
    <row r="36" spans="1:17" s="1273" customFormat="1" ht="30" customHeight="1">
      <c r="A36" s="1305"/>
      <c r="B36" s="1272" t="s">
        <v>1541</v>
      </c>
      <c r="C36" s="1286">
        <f t="shared" si="8"/>
        <v>114.72409500000001</v>
      </c>
      <c r="D36" s="1276">
        <f>'[17]quy du tru tai chinh TabmisT5'!$B$13/1000000</f>
        <v>114.72409500000001</v>
      </c>
      <c r="E36" s="1306">
        <f t="shared" si="9"/>
        <v>0</v>
      </c>
      <c r="F36" s="1293"/>
      <c r="G36" s="1276"/>
      <c r="H36" s="1276"/>
      <c r="I36" s="1276"/>
      <c r="J36" s="1276"/>
      <c r="K36" s="1276"/>
      <c r="L36" s="1276"/>
      <c r="M36" s="1276"/>
      <c r="N36" s="1276"/>
      <c r="O36" s="1276"/>
      <c r="P36" s="1276"/>
      <c r="Q36" s="1276"/>
    </row>
    <row r="37" spans="1:17" s="1273" customFormat="1" ht="30" customHeight="1">
      <c r="A37" s="1305"/>
      <c r="B37" s="1272" t="s">
        <v>1542</v>
      </c>
      <c r="C37" s="1286">
        <f t="shared" si="8"/>
        <v>114.369776</v>
      </c>
      <c r="D37" s="1276">
        <f>'[17]quy du tru tai chinh TabmisT6'!$B$13/1000000</f>
        <v>114.369776</v>
      </c>
      <c r="E37" s="1306">
        <f t="shared" si="9"/>
        <v>0</v>
      </c>
      <c r="F37" s="1293"/>
      <c r="G37" s="1276"/>
      <c r="H37" s="1276"/>
      <c r="I37" s="1276"/>
      <c r="J37" s="1276"/>
      <c r="K37" s="1276"/>
      <c r="L37" s="1276"/>
      <c r="M37" s="1276"/>
      <c r="N37" s="1276"/>
      <c r="O37" s="1276"/>
      <c r="P37" s="1276"/>
      <c r="Q37" s="1276"/>
    </row>
    <row r="38" spans="1:17" s="1273" customFormat="1" ht="30" customHeight="1">
      <c r="A38" s="1305"/>
      <c r="B38" s="1272" t="s">
        <v>1543</v>
      </c>
      <c r="C38" s="1286">
        <f t="shared" si="8"/>
        <v>110.73802999999999</v>
      </c>
      <c r="D38" s="1276">
        <f>110738030/1000000</f>
        <v>110.73802999999999</v>
      </c>
      <c r="E38" s="1306">
        <f t="shared" si="9"/>
        <v>0</v>
      </c>
      <c r="F38" s="1293"/>
      <c r="G38" s="1276"/>
      <c r="H38" s="1276"/>
      <c r="I38" s="1276"/>
      <c r="J38" s="1276"/>
      <c r="K38" s="1276"/>
      <c r="L38" s="1276"/>
      <c r="M38" s="1276"/>
      <c r="N38" s="1276"/>
      <c r="O38" s="1276"/>
      <c r="P38" s="1276"/>
      <c r="Q38" s="1276"/>
    </row>
    <row r="39" spans="1:17" s="1273" customFormat="1" ht="30" customHeight="1">
      <c r="A39" s="1305"/>
      <c r="B39" s="1272" t="s">
        <v>1544</v>
      </c>
      <c r="C39" s="1286">
        <f t="shared" si="8"/>
        <v>114.459739</v>
      </c>
      <c r="D39" s="1276">
        <f>114459739/1000000</f>
        <v>114.459739</v>
      </c>
      <c r="E39" s="1306">
        <f t="shared" si="9"/>
        <v>0</v>
      </c>
      <c r="F39" s="1293"/>
      <c r="G39" s="1276"/>
      <c r="H39" s="1276"/>
      <c r="I39" s="1276"/>
      <c r="J39" s="1276"/>
      <c r="K39" s="1276"/>
      <c r="L39" s="1276"/>
      <c r="M39" s="1276"/>
      <c r="N39" s="1276"/>
      <c r="O39" s="1276"/>
      <c r="P39" s="1276"/>
      <c r="Q39" s="1276"/>
    </row>
    <row r="40" spans="1:17" s="1273" customFormat="1" ht="30" customHeight="1">
      <c r="A40" s="1305"/>
      <c r="B40" s="1272" t="s">
        <v>1545</v>
      </c>
      <c r="C40" s="1286">
        <f t="shared" si="8"/>
        <v>114.52341199999999</v>
      </c>
      <c r="D40" s="1276">
        <f>114523412/1000000</f>
        <v>114.52341199999999</v>
      </c>
      <c r="E40" s="1306">
        <f t="shared" si="9"/>
        <v>0</v>
      </c>
      <c r="F40" s="1293"/>
      <c r="G40" s="1276"/>
      <c r="H40" s="1276"/>
      <c r="I40" s="1276"/>
      <c r="J40" s="1276"/>
      <c r="K40" s="1276"/>
      <c r="L40" s="1276"/>
      <c r="M40" s="1276"/>
      <c r="N40" s="1276"/>
      <c r="O40" s="1276"/>
      <c r="P40" s="1276"/>
      <c r="Q40" s="1276"/>
    </row>
    <row r="41" spans="1:17" s="1273" customFormat="1" ht="30" customHeight="1">
      <c r="A41" s="1305"/>
      <c r="B41" s="1272" t="s">
        <v>1546</v>
      </c>
      <c r="C41" s="1286">
        <f t="shared" si="8"/>
        <v>0</v>
      </c>
      <c r="D41" s="1276"/>
      <c r="E41" s="1306">
        <f t="shared" si="9"/>
        <v>0</v>
      </c>
      <c r="F41" s="1293"/>
      <c r="G41" s="1276"/>
      <c r="H41" s="1276"/>
      <c r="I41" s="1276"/>
      <c r="J41" s="1276"/>
      <c r="K41" s="1276"/>
      <c r="L41" s="1276"/>
      <c r="M41" s="1276"/>
      <c r="N41" s="1276"/>
      <c r="O41" s="1276"/>
      <c r="P41" s="1276"/>
      <c r="Q41" s="1276"/>
    </row>
    <row r="42" spans="1:17" s="1273" customFormat="1" ht="30" customHeight="1">
      <c r="A42" s="1305"/>
      <c r="B42" s="1272" t="s">
        <v>1547</v>
      </c>
      <c r="C42" s="1286">
        <f t="shared" si="8"/>
        <v>0</v>
      </c>
      <c r="D42" s="1276"/>
      <c r="E42" s="1306">
        <f t="shared" si="9"/>
        <v>0</v>
      </c>
      <c r="F42" s="1293"/>
      <c r="G42" s="1276"/>
      <c r="H42" s="1276"/>
      <c r="I42" s="1276"/>
      <c r="J42" s="1276"/>
      <c r="K42" s="1276"/>
      <c r="L42" s="1276"/>
      <c r="M42" s="1276"/>
      <c r="N42" s="1276"/>
      <c r="O42" s="1276"/>
      <c r="P42" s="1276"/>
      <c r="Q42" s="1276"/>
    </row>
    <row r="43" spans="1:17" s="1273" customFormat="1" ht="30" customHeight="1">
      <c r="A43" s="1305"/>
      <c r="B43" s="1272" t="s">
        <v>1548</v>
      </c>
      <c r="C43" s="1286">
        <f t="shared" si="8"/>
        <v>0</v>
      </c>
      <c r="D43" s="1276"/>
      <c r="E43" s="1306">
        <f t="shared" si="9"/>
        <v>0</v>
      </c>
      <c r="F43" s="1293"/>
      <c r="G43" s="1276"/>
      <c r="H43" s="1276"/>
      <c r="I43" s="1276"/>
      <c r="J43" s="1276"/>
      <c r="K43" s="1276"/>
      <c r="L43" s="1276"/>
      <c r="M43" s="1276"/>
      <c r="N43" s="1276"/>
      <c r="O43" s="1276"/>
      <c r="P43" s="1276"/>
      <c r="Q43" s="1276"/>
    </row>
    <row r="44" spans="1:17" s="1268" customFormat="1" ht="30" customHeight="1">
      <c r="A44" s="1302">
        <v>3</v>
      </c>
      <c r="B44" s="1269" t="s">
        <v>2556</v>
      </c>
      <c r="C44" s="1270">
        <f>SUM(D44:E44)</f>
        <v>0</v>
      </c>
      <c r="D44" s="1271"/>
      <c r="E44" s="1303">
        <f t="shared" si="9"/>
        <v>0</v>
      </c>
      <c r="F44" s="1291"/>
      <c r="G44" s="1271"/>
      <c r="H44" s="1271"/>
      <c r="I44" s="1271"/>
      <c r="J44" s="1271"/>
      <c r="K44" s="1271"/>
      <c r="L44" s="1271"/>
      <c r="M44" s="1271"/>
      <c r="N44" s="1271"/>
      <c r="O44" s="1271"/>
      <c r="P44" s="1271"/>
      <c r="Q44" s="1271"/>
    </row>
    <row r="45" spans="1:17" s="1268" customFormat="1" ht="30" customHeight="1">
      <c r="A45" s="1302">
        <v>4</v>
      </c>
      <c r="B45" s="1277" t="s">
        <v>1570</v>
      </c>
      <c r="C45" s="1278"/>
      <c r="D45" s="1279"/>
      <c r="E45" s="1309"/>
      <c r="F45" s="1295"/>
      <c r="G45" s="1279"/>
      <c r="H45" s="1279"/>
      <c r="I45" s="1279"/>
      <c r="J45" s="1279"/>
      <c r="K45" s="1279"/>
      <c r="L45" s="1279"/>
      <c r="M45" s="1279"/>
      <c r="N45" s="1279"/>
      <c r="O45" s="1279"/>
      <c r="P45" s="1279"/>
      <c r="Q45" s="1279"/>
    </row>
    <row r="46" spans="1:17" s="727" customFormat="1" ht="30" customHeight="1" thickBot="1">
      <c r="A46" s="1311">
        <v>5</v>
      </c>
      <c r="B46" s="1312" t="s">
        <v>2555</v>
      </c>
      <c r="C46" s="1313">
        <f>SUM(D46:E46)</f>
        <v>269806.07267299999</v>
      </c>
      <c r="D46" s="1314">
        <f>D26+D27-D44</f>
        <v>269806.07267299999</v>
      </c>
      <c r="E46" s="1315">
        <f>SUM(F46:Q46)</f>
        <v>0</v>
      </c>
      <c r="F46" s="1297">
        <f>F26+F27-F44</f>
        <v>0</v>
      </c>
      <c r="G46" s="1264">
        <f t="shared" ref="G46:Q46" si="10">G26+G27-G44</f>
        <v>0</v>
      </c>
      <c r="H46" s="1264">
        <f t="shared" si="10"/>
        <v>0</v>
      </c>
      <c r="I46" s="1264">
        <f t="shared" si="10"/>
        <v>0</v>
      </c>
      <c r="J46" s="1264">
        <f t="shared" si="10"/>
        <v>0</v>
      </c>
      <c r="K46" s="1264">
        <f t="shared" si="10"/>
        <v>0</v>
      </c>
      <c r="L46" s="1264">
        <f t="shared" si="10"/>
        <v>0</v>
      </c>
      <c r="M46" s="1264">
        <f t="shared" si="10"/>
        <v>0</v>
      </c>
      <c r="N46" s="1264">
        <f t="shared" si="10"/>
        <v>0</v>
      </c>
      <c r="O46" s="1264">
        <f t="shared" si="10"/>
        <v>0</v>
      </c>
      <c r="P46" s="1264">
        <f t="shared" si="10"/>
        <v>0</v>
      </c>
      <c r="Q46" s="1264">
        <f t="shared" si="10"/>
        <v>0</v>
      </c>
    </row>
    <row r="47" spans="1:17" s="723" customFormat="1">
      <c r="C47" s="725"/>
      <c r="E47" s="1260"/>
    </row>
    <row r="48" spans="1:17" s="723" customFormat="1">
      <c r="C48" s="729"/>
      <c r="D48" s="1259"/>
    </row>
    <row r="49" spans="3:3" s="723" customFormat="1">
      <c r="C49" s="725"/>
    </row>
    <row r="50" spans="3:3" s="723" customFormat="1">
      <c r="C50" s="725"/>
    </row>
    <row r="51" spans="3:3" s="723" customFormat="1">
      <c r="C51" s="725"/>
    </row>
    <row r="52" spans="3:3" s="723" customFormat="1">
      <c r="C52" s="725"/>
    </row>
    <row r="53" spans="3:3" s="723" customFormat="1">
      <c r="C53" s="725"/>
    </row>
    <row r="54" spans="3:3" s="723" customFormat="1">
      <c r="C54" s="725"/>
    </row>
    <row r="55" spans="3:3" s="723" customFormat="1">
      <c r="C55" s="725"/>
    </row>
    <row r="56" spans="3:3" s="723" customFormat="1">
      <c r="C56" s="725"/>
    </row>
    <row r="57" spans="3:3" s="723" customFormat="1">
      <c r="C57" s="725"/>
    </row>
    <row r="58" spans="3:3" s="723" customFormat="1">
      <c r="C58" s="725"/>
    </row>
    <row r="59" spans="3:3" s="723" customFormat="1">
      <c r="C59" s="725"/>
    </row>
    <row r="60" spans="3:3" s="723" customFormat="1">
      <c r="C60" s="725"/>
    </row>
    <row r="61" spans="3:3" s="723" customFormat="1">
      <c r="C61" s="725"/>
    </row>
    <row r="62" spans="3:3" s="723" customFormat="1">
      <c r="C62" s="725"/>
    </row>
    <row r="63" spans="3:3" s="723" customFormat="1">
      <c r="C63" s="725"/>
    </row>
    <row r="64" spans="3:3" s="723" customFormat="1">
      <c r="C64" s="725"/>
    </row>
    <row r="65" spans="3:3" s="723" customFormat="1">
      <c r="C65" s="725"/>
    </row>
    <row r="66" spans="3:3" s="723" customFormat="1">
      <c r="C66" s="725"/>
    </row>
    <row r="67" spans="3:3" s="723" customFormat="1">
      <c r="C67" s="725"/>
    </row>
    <row r="68" spans="3:3" s="723" customFormat="1">
      <c r="C68" s="725"/>
    </row>
    <row r="69" spans="3:3" s="723" customFormat="1">
      <c r="C69" s="725"/>
    </row>
    <row r="70" spans="3:3" s="723" customFormat="1">
      <c r="C70" s="725"/>
    </row>
    <row r="71" spans="3:3" s="723" customFormat="1">
      <c r="C71" s="725"/>
    </row>
    <row r="72" spans="3:3" s="723" customFormat="1">
      <c r="C72" s="725"/>
    </row>
    <row r="73" spans="3:3" s="723" customFormat="1">
      <c r="C73" s="725"/>
    </row>
    <row r="74" spans="3:3" s="723" customFormat="1">
      <c r="C74" s="725"/>
    </row>
    <row r="75" spans="3:3" s="723" customFormat="1">
      <c r="C75" s="725"/>
    </row>
    <row r="76" spans="3:3" s="723" customFormat="1">
      <c r="C76" s="725"/>
    </row>
    <row r="77" spans="3:3" s="723" customFormat="1">
      <c r="C77" s="725"/>
    </row>
    <row r="78" spans="3:3" s="723" customFormat="1">
      <c r="C78" s="725"/>
    </row>
    <row r="79" spans="3:3" s="723" customFormat="1">
      <c r="C79" s="725"/>
    </row>
    <row r="80" spans="3:3" s="723" customFormat="1">
      <c r="C80" s="725"/>
    </row>
    <row r="81" spans="3:3" s="723" customFormat="1">
      <c r="C81" s="725"/>
    </row>
    <row r="82" spans="3:3" s="723" customFormat="1">
      <c r="C82" s="725"/>
    </row>
    <row r="83" spans="3:3" s="723" customFormat="1">
      <c r="C83" s="725"/>
    </row>
    <row r="84" spans="3:3" s="723" customFormat="1">
      <c r="C84" s="725"/>
    </row>
    <row r="85" spans="3:3" s="724" customFormat="1" ht="17.399999999999999">
      <c r="C85" s="730"/>
    </row>
  </sheetData>
  <mergeCells count="2">
    <mergeCell ref="C4:E4"/>
    <mergeCell ref="A2:E2"/>
  </mergeCells>
  <hyperlinks>
    <hyperlink ref="A5" location="'List danh mục'!A1" display="STT"/>
  </hyperlinks>
  <printOptions horizontalCentered="1"/>
  <pageMargins left="0" right="0" top="0.59055118110236227" bottom="0.19685039370078741" header="0.19685039370078741" footer="0.19685039370078741"/>
  <pageSetup paperSize="9" scale="80" orientation="portrait" verticalDpi="0" r:id="rId1"/>
  <headerFooter>
    <oddHeader>&amp;R&amp;A</oddHeader>
    <oddFooter>&amp;C&amp;P/&amp;N</oddFooter>
  </headerFooter>
  <legacy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workbookViewId="0">
      <selection activeCell="C235" sqref="C235"/>
    </sheetView>
  </sheetViews>
  <sheetFormatPr defaultColWidth="8.69921875" defaultRowHeight="18"/>
  <cols>
    <col min="1" max="1" width="5.69921875" style="37" customWidth="1"/>
    <col min="2" max="2" width="96.69921875" style="37" customWidth="1"/>
    <col min="3" max="3" width="25.69921875" style="37" customWidth="1"/>
    <col min="4" max="16384" width="8.69921875" style="37"/>
  </cols>
  <sheetData>
    <row r="1" spans="1:3">
      <c r="A1" s="4299" t="str">
        <f>'TP. CAO LÃNH'!A1:C1</f>
        <v>PHỤ LỤC I</v>
      </c>
      <c r="B1" s="4299"/>
      <c r="C1" s="4299"/>
    </row>
    <row r="2" spans="1:3">
      <c r="A2" s="4299" t="str">
        <f>'TP. CAO LÃNH'!A2:C2</f>
        <v>NHIỆM VỤ THU NGÂN SÁCH NHÀ NƯỚC NĂM 2024</v>
      </c>
      <c r="B2" s="4299"/>
      <c r="C2" s="4299"/>
    </row>
    <row r="3" spans="1:3">
      <c r="A3" s="4299" t="s">
        <v>366</v>
      </c>
      <c r="B3" s="4299"/>
      <c r="C3" s="4299"/>
    </row>
    <row r="4" spans="1:3" ht="15.6" customHeight="1">
      <c r="A4" s="4627" t="str">
        <f>'TP. CAO LÃNH'!A4:C4</f>
        <v>(Kèm theo Quyết định số        /QĐ-UBND-HC ngày      /12/2023 của Uỷ ban nhân dân tỉnh Đồng Tháp)</v>
      </c>
      <c r="B4" s="4627"/>
      <c r="C4" s="4627"/>
    </row>
    <row r="5" spans="1:3">
      <c r="A5" s="2578"/>
      <c r="B5" s="2578"/>
    </row>
    <row r="6" spans="1:3" ht="18.600000000000001" thickBot="1">
      <c r="A6" s="2578"/>
      <c r="B6" s="2578"/>
      <c r="C6" s="39" t="s">
        <v>64</v>
      </c>
    </row>
    <row r="7" spans="1:3" s="1319" customFormat="1" ht="30" customHeight="1">
      <c r="A7" s="2145" t="s">
        <v>244</v>
      </c>
      <c r="B7" s="2669" t="s">
        <v>791</v>
      </c>
      <c r="C7" s="2668" t="s">
        <v>1700</v>
      </c>
    </row>
    <row r="8" spans="1:3" ht="19.2" customHeight="1">
      <c r="A8" s="2672" t="s">
        <v>9</v>
      </c>
      <c r="B8" s="2268" t="s">
        <v>263</v>
      </c>
      <c r="C8" s="2682">
        <f>C10+C16+C19+C20+C21+C22+C26+C29+C32+C36</f>
        <v>280250</v>
      </c>
    </row>
    <row r="9" spans="1:3" s="47" customFormat="1" ht="19.2" customHeight="1">
      <c r="A9" s="2683"/>
      <c r="B9" s="2518" t="s">
        <v>264</v>
      </c>
      <c r="C9" s="2708">
        <f>C8-C29</f>
        <v>220250</v>
      </c>
    </row>
    <row r="10" spans="1:3" ht="19.2" customHeight="1">
      <c r="A10" s="2673">
        <v>1</v>
      </c>
      <c r="B10" s="1399" t="s">
        <v>352</v>
      </c>
      <c r="C10" s="2685">
        <f>SUM(C11:C15)</f>
        <v>96000</v>
      </c>
    </row>
    <row r="11" spans="1:3" ht="19.2" customHeight="1">
      <c r="A11" s="2674" t="s">
        <v>137</v>
      </c>
      <c r="B11" s="16" t="s">
        <v>266</v>
      </c>
      <c r="C11" s="2686">
        <f>'Phụ lục số 5'!X10</f>
        <v>45390</v>
      </c>
    </row>
    <row r="12" spans="1:3" ht="19.2" customHeight="1">
      <c r="A12" s="2674" t="s">
        <v>137</v>
      </c>
      <c r="B12" s="16" t="s">
        <v>267</v>
      </c>
      <c r="C12" s="2686">
        <f>'Phụ lục số 5'!X11</f>
        <v>50000</v>
      </c>
    </row>
    <row r="13" spans="1:3" ht="19.2" customHeight="1">
      <c r="A13" s="2674" t="s">
        <v>137</v>
      </c>
      <c r="B13" s="16" t="s">
        <v>268</v>
      </c>
      <c r="C13" s="2686">
        <f>'Phụ lục số 5'!X12</f>
        <v>100</v>
      </c>
    </row>
    <row r="14" spans="1:3" ht="19.2" customHeight="1">
      <c r="A14" s="2674" t="s">
        <v>137</v>
      </c>
      <c r="B14" s="16" t="s">
        <v>14</v>
      </c>
      <c r="C14" s="2686">
        <f>'Phụ lục số 5'!X13</f>
        <v>510</v>
      </c>
    </row>
    <row r="15" spans="1:3" ht="19.2" customHeight="1">
      <c r="A15" s="2674" t="s">
        <v>137</v>
      </c>
      <c r="B15" s="16" t="s">
        <v>269</v>
      </c>
      <c r="C15" s="2686">
        <f>'Phụ lục số 5'!X14</f>
        <v>0</v>
      </c>
    </row>
    <row r="16" spans="1:3" s="2" customFormat="1" ht="19.2" customHeight="1">
      <c r="A16" s="2673">
        <v>2</v>
      </c>
      <c r="B16" s="1399" t="s">
        <v>97</v>
      </c>
      <c r="C16" s="2685">
        <f>SUM(C17:C18)</f>
        <v>32000</v>
      </c>
    </row>
    <row r="17" spans="1:3" ht="19.2" hidden="1" customHeight="1">
      <c r="A17" s="2675" t="s">
        <v>137</v>
      </c>
      <c r="B17" s="137" t="s">
        <v>276</v>
      </c>
      <c r="C17" s="2686">
        <f>'Phụ lục số 5'!X16</f>
        <v>0</v>
      </c>
    </row>
    <row r="18" spans="1:3" ht="19.2" hidden="1" customHeight="1">
      <c r="A18" s="2676" t="s">
        <v>137</v>
      </c>
      <c r="B18" s="2274" t="s">
        <v>277</v>
      </c>
      <c r="C18" s="2686">
        <f>'Phụ lục số 5'!X17</f>
        <v>32000</v>
      </c>
    </row>
    <row r="19" spans="1:3" s="2" customFormat="1" ht="19.2" customHeight="1">
      <c r="A19" s="2673">
        <v>3</v>
      </c>
      <c r="B19" s="1399" t="s">
        <v>16</v>
      </c>
      <c r="C19" s="2685">
        <f>'Phụ lục số 5'!X18</f>
        <v>38000</v>
      </c>
    </row>
    <row r="20" spans="1:3" s="2" customFormat="1" ht="19.2" customHeight="1">
      <c r="A20" s="2673">
        <v>4</v>
      </c>
      <c r="B20" s="1399" t="s">
        <v>270</v>
      </c>
      <c r="C20" s="2685">
        <f>'Phụ lục số 5'!X19</f>
        <v>0</v>
      </c>
    </row>
    <row r="21" spans="1:3" s="2" customFormat="1" ht="19.2" customHeight="1">
      <c r="A21" s="2673">
        <v>4</v>
      </c>
      <c r="B21" s="1399" t="s">
        <v>271</v>
      </c>
      <c r="C21" s="2685">
        <f>'Phụ lục số 5'!X20</f>
        <v>2000</v>
      </c>
    </row>
    <row r="22" spans="1:3" ht="19.2" customHeight="1">
      <c r="A22" s="2673">
        <v>5</v>
      </c>
      <c r="B22" s="1399" t="s">
        <v>272</v>
      </c>
      <c r="C22" s="2685">
        <f>SUM(C23:C25)</f>
        <v>11000</v>
      </c>
    </row>
    <row r="23" spans="1:3" ht="19.2" customHeight="1">
      <c r="A23" s="2677" t="s">
        <v>137</v>
      </c>
      <c r="B23" s="137" t="s">
        <v>273</v>
      </c>
      <c r="C23" s="2686">
        <f>'Phụ lục số 5'!X22</f>
        <v>3000</v>
      </c>
    </row>
    <row r="24" spans="1:3" ht="19.2" customHeight="1">
      <c r="A24" s="2677" t="s">
        <v>137</v>
      </c>
      <c r="B24" s="137" t="s">
        <v>274</v>
      </c>
      <c r="C24" s="2686">
        <f>'Phụ lục số 5'!X23</f>
        <v>0</v>
      </c>
    </row>
    <row r="25" spans="1:3" ht="19.2" customHeight="1">
      <c r="A25" s="2677" t="s">
        <v>137</v>
      </c>
      <c r="B25" s="137" t="s">
        <v>275</v>
      </c>
      <c r="C25" s="2686">
        <f>'Phụ lục số 5'!X24</f>
        <v>8000</v>
      </c>
    </row>
    <row r="26" spans="1:3" ht="19.2" customHeight="1">
      <c r="A26" s="2673">
        <v>6</v>
      </c>
      <c r="B26" s="1399" t="s">
        <v>98</v>
      </c>
      <c r="C26" s="2685">
        <f>SUM(C27:C28)</f>
        <v>15000</v>
      </c>
    </row>
    <row r="27" spans="1:3" ht="19.2" customHeight="1">
      <c r="A27" s="2677" t="s">
        <v>137</v>
      </c>
      <c r="B27" s="137" t="s">
        <v>276</v>
      </c>
      <c r="C27" s="2686">
        <f>'Phụ lục số 5'!X26</f>
        <v>0</v>
      </c>
    </row>
    <row r="28" spans="1:3" ht="19.2" customHeight="1">
      <c r="A28" s="2678" t="s">
        <v>137</v>
      </c>
      <c r="B28" s="2274" t="s">
        <v>2804</v>
      </c>
      <c r="C28" s="2686">
        <f>'Phụ lục số 5'!X27</f>
        <v>15000</v>
      </c>
    </row>
    <row r="29" spans="1:3" ht="19.2" customHeight="1">
      <c r="A29" s="2673">
        <v>7</v>
      </c>
      <c r="B29" s="1399" t="s">
        <v>357</v>
      </c>
      <c r="C29" s="2685">
        <f>SUM(C30:C31)</f>
        <v>60000</v>
      </c>
    </row>
    <row r="30" spans="1:3" ht="19.2" customHeight="1">
      <c r="A30" s="2677" t="s">
        <v>137</v>
      </c>
      <c r="B30" s="137" t="s">
        <v>276</v>
      </c>
      <c r="C30" s="2686">
        <f>'Phụ lục số 5'!X29</f>
        <v>0</v>
      </c>
    </row>
    <row r="31" spans="1:3" ht="19.2" customHeight="1">
      <c r="A31" s="2678" t="s">
        <v>137</v>
      </c>
      <c r="B31" s="2274" t="s">
        <v>2803</v>
      </c>
      <c r="C31" s="2686">
        <f>'Phụ lục số 5'!X30</f>
        <v>60000</v>
      </c>
    </row>
    <row r="32" spans="1:3" ht="19.2" customHeight="1">
      <c r="A32" s="2673">
        <v>8</v>
      </c>
      <c r="B32" s="1399" t="s">
        <v>279</v>
      </c>
      <c r="C32" s="2685">
        <f>SUM(C33:C35)</f>
        <v>26000</v>
      </c>
    </row>
    <row r="33" spans="1:3" ht="19.2" customHeight="1">
      <c r="A33" s="2677" t="s">
        <v>137</v>
      </c>
      <c r="B33" s="137" t="s">
        <v>280</v>
      </c>
      <c r="C33" s="2686">
        <f>'Phụ lục số 5'!X32</f>
        <v>5500</v>
      </c>
    </row>
    <row r="34" spans="1:3" ht="19.2" customHeight="1">
      <c r="A34" s="2677" t="s">
        <v>137</v>
      </c>
      <c r="B34" s="137" t="s">
        <v>281</v>
      </c>
      <c r="C34" s="2686">
        <f>'Phụ lục số 5'!X33</f>
        <v>4500</v>
      </c>
    </row>
    <row r="35" spans="1:3" ht="19.2" customHeight="1">
      <c r="A35" s="2677" t="s">
        <v>137</v>
      </c>
      <c r="B35" s="137" t="s">
        <v>282</v>
      </c>
      <c r="C35" s="2686">
        <f>'Phụ lục số 5'!X34</f>
        <v>16000</v>
      </c>
    </row>
    <row r="36" spans="1:3" ht="19.2" customHeight="1">
      <c r="A36" s="2673">
        <v>9</v>
      </c>
      <c r="B36" s="2590" t="s">
        <v>2521</v>
      </c>
      <c r="C36" s="2685">
        <f>'Phụ lục số 5'!X35</f>
        <v>250</v>
      </c>
    </row>
    <row r="37" spans="1:3" ht="19.2" customHeight="1">
      <c r="A37" s="2673" t="s">
        <v>20</v>
      </c>
      <c r="B37" s="1399" t="s">
        <v>2520</v>
      </c>
      <c r="C37" s="2687"/>
    </row>
    <row r="38" spans="1:3" ht="19.2" customHeight="1">
      <c r="A38" s="2673"/>
      <c r="B38" s="16" t="s">
        <v>2523</v>
      </c>
      <c r="C38" s="2688">
        <v>1</v>
      </c>
    </row>
    <row r="39" spans="1:3" ht="19.2" customHeight="1">
      <c r="A39" s="2689" t="s">
        <v>49</v>
      </c>
      <c r="B39" s="29" t="s">
        <v>2522</v>
      </c>
      <c r="C39" s="2690">
        <f>SUM(C40:C41)</f>
        <v>642349.19999999995</v>
      </c>
    </row>
    <row r="40" spans="1:3" ht="19.2" customHeight="1">
      <c r="A40" s="2689">
        <v>1</v>
      </c>
      <c r="B40" s="29" t="s">
        <v>284</v>
      </c>
      <c r="C40" s="2691">
        <f>'Phụ lục số 5'!Z37</f>
        <v>566422</v>
      </c>
    </row>
    <row r="41" spans="1:3" ht="19.2" customHeight="1">
      <c r="A41" s="2689">
        <v>2</v>
      </c>
      <c r="B41" s="29" t="s">
        <v>285</v>
      </c>
      <c r="C41" s="2690">
        <f>SUM(C42:C46)</f>
        <v>75927.199999999997</v>
      </c>
    </row>
    <row r="42" spans="1:3" ht="36" customHeight="1">
      <c r="A42" s="2628" t="s">
        <v>34</v>
      </c>
      <c r="B42" s="2701" t="str">
        <f>'TP. CAO LÃNH'!B42</f>
        <v>Kinh phí hỗ trợ giá sản phẩm, dịch vụ công ích thủy lợi theo quy định tại Nghị định số 96/2018/NĐ-CP ngày 30/6/2018 của Chính phủ</v>
      </c>
      <c r="C42" s="2691">
        <f>'Phụ lục số 5'!Z39</f>
        <v>21400</v>
      </c>
    </row>
    <row r="43" spans="1:3" ht="54" customHeight="1">
      <c r="A43" s="2628" t="s">
        <v>35</v>
      </c>
      <c r="B43" s="2701" t="str">
        <f>'TP. CAO LÃNH'!B43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691">
        <f>'Phụ lục số 5'!Z40</f>
        <v>26000</v>
      </c>
    </row>
    <row r="44" spans="1:3" ht="19.2" customHeight="1">
      <c r="A44" s="2628" t="s">
        <v>36</v>
      </c>
      <c r="B44" s="2701" t="str">
        <f>'TP. CAO LÃNH'!B44</f>
        <v>Bổ sung nguồn thực hiện điều chỉnh tiền lương cơ sở tăng thêm đến 1,8 triệu đồng/tháng (12 tháng)</v>
      </c>
      <c r="C44" s="2691">
        <f>'Phụ lục số 5'!Z41</f>
        <v>10606</v>
      </c>
    </row>
    <row r="45" spans="1:3" ht="19.2" customHeight="1">
      <c r="A45" s="2628" t="s">
        <v>37</v>
      </c>
      <c r="B45" s="2701" t="str">
        <f>'TP. CAO LÃNH'!B45</f>
        <v>Bổ sung có mục tiêu thực hiện chính sách an sinh xã hội (ngoài chính sách tiền lương) (5)</v>
      </c>
      <c r="C45" s="2691">
        <f>'Phụ lục số 5'!Z42</f>
        <v>17921.2</v>
      </c>
    </row>
    <row r="46" spans="1:3" ht="19.2" customHeight="1">
      <c r="A46" s="2814" t="str">
        <f>'TỔNG CỘNG'!A46</f>
        <v>đ</v>
      </c>
      <c r="B46" s="2701" t="str">
        <f>'TP. CAO LÃNH'!B46</f>
        <v>Bổ sung có mục tiêu kinh phí diễn tập khu vực phòng thủ cấp huyện năm 2024</v>
      </c>
      <c r="C46" s="2691">
        <f>'Phụ lục số 5'!Z43</f>
        <v>0</v>
      </c>
    </row>
    <row r="47" spans="1:3" ht="19.2" customHeight="1" thickBot="1">
      <c r="A47" s="2705" t="s">
        <v>50</v>
      </c>
      <c r="B47" s="2706" t="s">
        <v>286</v>
      </c>
      <c r="C47" s="2697">
        <f>'Phụ lục số 5'!Z44</f>
        <v>59176</v>
      </c>
    </row>
    <row r="48" spans="1:3" hidden="1">
      <c r="A48" s="2698"/>
      <c r="B48" s="2698" t="s">
        <v>287</v>
      </c>
      <c r="C48" s="2699"/>
    </row>
    <row r="50" spans="1:3">
      <c r="A50" s="4769" t="s">
        <v>1050</v>
      </c>
      <c r="B50" s="4769"/>
      <c r="C50" s="4769"/>
    </row>
    <row r="51" spans="1:3" ht="34.950000000000003" customHeight="1">
      <c r="A51" s="4775" t="str">
        <f>'TP. CAO LÃNH'!A51:C51</f>
        <v xml:space="preserve">(1): Dự toán thu ngân sách nhà nước năm 2024 không bao gồm các khoản huy động nhân dân đóng góp, các khoản ghi thu, ghi chi vào ngân sách nhà nước theo chế độ quy định.
</v>
      </c>
      <c r="B51" s="4775"/>
      <c r="C51" s="4775"/>
    </row>
    <row r="52" spans="1:3" ht="91.95" customHeight="1">
      <c r="A52" s="4775" t="str">
        <f>'TP. CAO LÃNH'!A52:C52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75"/>
      <c r="C52" s="4775"/>
    </row>
    <row r="53" spans="1:3">
      <c r="A53" s="37" t="str">
        <f>'TP. CAO LÃNH'!A53</f>
        <v>(4): Các khoản thu phân chia theo tỷ lệ (%) giữa ngân sách cấp Tỉnh và ngân sách cấp huyện</v>
      </c>
    </row>
    <row r="54" spans="1:3">
      <c r="A54" s="37" t="str">
        <f>'TP. CAO LÃNH'!A54</f>
        <v>(5): Chi tiết chế độ, chính sách an sinh xã hội theo Phụ lục số III</v>
      </c>
    </row>
    <row r="58" spans="1:3">
      <c r="A58" s="4299" t="str">
        <f>'TP. CAO LÃNH'!A58:C58</f>
        <v>PHỤ LỤC II</v>
      </c>
      <c r="B58" s="4299"/>
      <c r="C58" s="4299"/>
    </row>
    <row r="59" spans="1:3">
      <c r="A59" s="4299" t="str">
        <f>'TP. CAO LÃNH'!A59:C59</f>
        <v>NHIỆM VỤ CHI NGÂN SÁCH HUYỆN, THÀNH PHỐ NĂM 2024</v>
      </c>
      <c r="B59" s="4299"/>
      <c r="C59" s="4299"/>
    </row>
    <row r="60" spans="1:3">
      <c r="A60" s="4299" t="str">
        <f>A3</f>
        <v>HUYỆN CAO LÃNH</v>
      </c>
      <c r="B60" s="4299"/>
      <c r="C60" s="4299"/>
    </row>
    <row r="61" spans="1:3" ht="18" customHeight="1">
      <c r="A61" s="4627" t="str">
        <f>A4</f>
        <v>(Kèm theo Quyết định số        /QĐ-UBND-HC ngày      /12/2023 của Uỷ ban nhân dân tỉnh Đồng Tháp)</v>
      </c>
      <c r="B61" s="4627"/>
      <c r="C61" s="4627"/>
    </row>
    <row r="62" spans="1:3" ht="18" customHeight="1">
      <c r="A62" s="2578"/>
      <c r="B62" s="2578"/>
      <c r="C62" s="2578"/>
    </row>
    <row r="63" spans="1:3" ht="18" customHeight="1">
      <c r="A63" s="2578"/>
      <c r="B63" s="2578"/>
      <c r="C63" s="70" t="str">
        <f>C6</f>
        <v>Đơn vị tính: Triệu đồng</v>
      </c>
    </row>
    <row r="64" spans="1:3" s="210" customFormat="1" ht="34.950000000000003" customHeight="1">
      <c r="A64" s="2285" t="s">
        <v>288</v>
      </c>
      <c r="B64" s="2402" t="str">
        <f>'TP. CAO LÃNH'!B64</f>
        <v>Nội dung</v>
      </c>
      <c r="C64" s="2403" t="str">
        <f>C7</f>
        <v>Dự toán năm 2024</v>
      </c>
    </row>
    <row r="65" spans="1:3" ht="19.2" customHeight="1">
      <c r="A65" s="2286"/>
      <c r="B65" s="1408" t="str">
        <f>'TP. CAO LÃNH'!B65</f>
        <v>Tổng chi (I+II+III+IV)</v>
      </c>
      <c r="C65" s="2589">
        <f>C66+C70+C74+C75+C76</f>
        <v>960665.2</v>
      </c>
    </row>
    <row r="66" spans="1:3" s="48" customFormat="1" ht="19.2" customHeight="1">
      <c r="A66" s="2287" t="s">
        <v>9</v>
      </c>
      <c r="B66" s="2288" t="str">
        <f>'TP. CAO LÃNH'!B66</f>
        <v>Chi đầu tư phát triển (1)</v>
      </c>
      <c r="C66" s="2594">
        <f>C68+C69</f>
        <v>101000.03850993092</v>
      </c>
    </row>
    <row r="67" spans="1:3" ht="19.2" customHeight="1">
      <c r="A67" s="2289"/>
      <c r="B67" s="2290" t="str">
        <f>'TP. CAO LÃNH'!B67</f>
        <v>Bao gồm:</v>
      </c>
      <c r="C67" s="2558"/>
    </row>
    <row r="68" spans="1:3" ht="19.2" customHeight="1">
      <c r="A68" s="2291">
        <v>1</v>
      </c>
      <c r="B68" s="3284" t="str">
        <f>'TP. CAO LÃNH'!B68</f>
        <v>Chi đầu tư xây dựng cơ bản</v>
      </c>
      <c r="C68" s="2558">
        <f>'Phụ lục số 6'!J8</f>
        <v>47000.038509930921</v>
      </c>
    </row>
    <row r="69" spans="1:3" ht="19.2" customHeight="1">
      <c r="A69" s="2291">
        <v>2</v>
      </c>
      <c r="B69" s="3284" t="str">
        <f>'TP. CAO LÃNH'!B69</f>
        <v>Chi đầu tư từ nguồn thu tiền sử dụng đất</v>
      </c>
      <c r="C69" s="2558">
        <f>'Phụ lục số 6'!J9</f>
        <v>54000</v>
      </c>
    </row>
    <row r="70" spans="1:3" ht="19.2" customHeight="1">
      <c r="A70" s="2287" t="s">
        <v>20</v>
      </c>
      <c r="B70" s="2288" t="str">
        <f>'TP. CAO LÃNH'!B70</f>
        <v>Chi thường xuyên (2)</v>
      </c>
      <c r="C70" s="2594">
        <f>'Phụ lục số 6'!J10</f>
        <v>841340.27048818825</v>
      </c>
    </row>
    <row r="71" spans="1:3" ht="19.2" customHeight="1">
      <c r="A71" s="2293"/>
      <c r="B71" s="2294" t="str">
        <f>'TP. CAO LÃNH'!B71</f>
        <v>Bao gồm:</v>
      </c>
      <c r="C71" s="2558"/>
    </row>
    <row r="72" spans="1:3" ht="19.2" customHeight="1">
      <c r="A72" s="2291">
        <v>1</v>
      </c>
      <c r="B72" s="2275" t="str">
        <f>'TP. CAO LÃNH'!B72</f>
        <v>Sự nghiệp giáo dục - đào tạo (3)</v>
      </c>
      <c r="C72" s="2558">
        <f>'Phụ lục số 6'!J12</f>
        <v>446043.65421420382</v>
      </c>
    </row>
    <row r="73" spans="1:3" ht="19.2" customHeight="1">
      <c r="A73" s="2291">
        <v>2</v>
      </c>
      <c r="B73" s="2275" t="str">
        <f>'TP. CAO LÃNH'!B73</f>
        <v>Các khoản chi thường xuyên còn lại</v>
      </c>
      <c r="C73" s="2558">
        <f>'Phụ lục số 6'!J13</f>
        <v>395296.61627398443</v>
      </c>
    </row>
    <row r="74" spans="1:3" s="2" customFormat="1" ht="19.2" customHeight="1">
      <c r="A74" s="2287" t="s">
        <v>49</v>
      </c>
      <c r="B74" s="2288" t="str">
        <f>'TP. CAO LÃNH'!B74</f>
        <v>Dự phòng ngân sách</v>
      </c>
      <c r="C74" s="2594">
        <f>'Phụ lục số 6'!J14</f>
        <v>18324.891001880766</v>
      </c>
    </row>
    <row r="75" spans="1:3" s="2" customFormat="1" ht="19.2" customHeight="1">
      <c r="A75" s="2287" t="s">
        <v>50</v>
      </c>
      <c r="B75" s="2288" t="str">
        <f>'TP. CAO LÃNH'!B75</f>
        <v>Chi tạo nguồn cải cách tiền lương</v>
      </c>
      <c r="C75" s="2594">
        <f>'Phụ lục số 6'!J15</f>
        <v>0</v>
      </c>
    </row>
    <row r="76" spans="1:3" s="2" customFormat="1" ht="19.2" customHeight="1">
      <c r="A76" s="2583" t="s">
        <v>72</v>
      </c>
      <c r="B76" s="1399" t="str">
        <f>'TP. CAO LÃNH'!B76</f>
        <v>Chi từ nguồn ngân sách cấp Tỉnh bổ sung có mục tiêu</v>
      </c>
      <c r="C76" s="2594">
        <f>SUM(C77:C81)</f>
        <v>0</v>
      </c>
    </row>
    <row r="77" spans="1:3" ht="19.2" hidden="1" customHeight="1">
      <c r="A77" s="2584" t="s">
        <v>137</v>
      </c>
      <c r="B77" s="16" t="str">
        <f>'TP. CAO LÃNH'!B77</f>
        <v>Chi đầu tư xây dựng cơ bản</v>
      </c>
      <c r="C77" s="2558">
        <f>'Phụ lục số 6'!J17</f>
        <v>0</v>
      </c>
    </row>
    <row r="78" spans="1:3" ht="19.2" hidden="1" customHeight="1">
      <c r="A78" s="2584" t="s">
        <v>137</v>
      </c>
      <c r="B78" s="16" t="str">
        <f>'TP. CAO LÃNH'!B78</f>
        <v>Chi đầu tư từ nguồn xổ số kiến thiết</v>
      </c>
      <c r="C78" s="2558">
        <f>'Phụ lục số 6'!J18</f>
        <v>0</v>
      </c>
    </row>
    <row r="79" spans="1:3" ht="19.2" hidden="1" customHeight="1">
      <c r="A79" s="2584" t="s">
        <v>137</v>
      </c>
      <c r="B79" s="16" t="str">
        <f>'TP. CAO LÃNH'!B79</f>
        <v>Chi từ nguồn ngân sách trung ương bổ sung có mục tiêu (kinh phí sự nghiệp)</v>
      </c>
      <c r="C79" s="2558">
        <f>'Phụ lục số 6'!J19</f>
        <v>0</v>
      </c>
    </row>
    <row r="80" spans="1:3" ht="19.2" hidden="1" customHeight="1">
      <c r="A80" s="2585" t="s">
        <v>137</v>
      </c>
      <c r="B80" s="16" t="str">
        <f>'TP. CAO LÃNH'!B80</f>
        <v>Chi từ nguồn ngân sách trung ương bổ sung có mục tiêu (Chương trình Mục tiêu quốc gia)</v>
      </c>
      <c r="C80" s="2558">
        <f>'Phụ lục số 6'!J20</f>
        <v>0</v>
      </c>
    </row>
    <row r="81" spans="1:3" ht="19.2" hidden="1" customHeight="1">
      <c r="A81" s="2586"/>
      <c r="B81" s="2825" t="str">
        <f>'TP. CAO LÃNH'!B81</f>
        <v>Chi từ nguồn ngân sách trung ương bổ sung có mục tiêu, nhiệm vụ quan trọng khác</v>
      </c>
      <c r="C81" s="2595">
        <f>'Phụ lục số 6'!J21</f>
        <v>0</v>
      </c>
    </row>
    <row r="83" spans="1:3">
      <c r="A83" s="48" t="s">
        <v>1050</v>
      </c>
      <c r="B83" s="2581"/>
    </row>
    <row r="84" spans="1:3" s="2249" customFormat="1">
      <c r="A84" s="4777" t="s">
        <v>2642</v>
      </c>
      <c r="B84" s="4778"/>
      <c r="C84" s="4778"/>
    </row>
    <row r="85" spans="1:3" s="2249" customFormat="1" ht="60" customHeight="1">
      <c r="A85" s="4755" t="s">
        <v>2744</v>
      </c>
      <c r="B85" s="4756"/>
      <c r="C85" s="4756"/>
    </row>
    <row r="86" spans="1:3" s="2249" customFormat="1">
      <c r="A86" s="4784" t="str">
        <f>'TP. CAO LÃNH'!A86:C86</f>
        <v>- Chưa bao gồm chi đầu tư từ nguồn vốn do ngân sách cấp tỉnh quản lý và phân bổ bổ sung có mục tiêu cho ngân sách huyện, thành phố</v>
      </c>
      <c r="B86" s="4777"/>
      <c r="C86" s="4777"/>
    </row>
    <row r="87" spans="1:3">
      <c r="A87" s="4772" t="s">
        <v>2495</v>
      </c>
      <c r="B87" s="4772"/>
      <c r="C87" s="4772"/>
    </row>
    <row r="88" spans="1:3" ht="60" customHeight="1">
      <c r="A88" s="4755" t="str">
        <f>'TP. CAO LÃNH'!A88:C88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56"/>
      <c r="C88" s="4756"/>
    </row>
    <row r="89" spans="1:3" ht="40.200000000000003" customHeight="1">
      <c r="A89" s="4783" t="str">
        <f>'TP. CAO LÃNH'!A89:C89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81"/>
      <c r="C89" s="4781"/>
    </row>
    <row r="90" spans="1:3">
      <c r="A90" s="37" t="str">
        <f>'TP. CAO LÃNH'!A90</f>
        <v xml:space="preserve">- Bao gồm 10% tiết kiệm tăng thêm năm 2024 so với năm 2023 để thực hiện cải cách tiền lương năm 2024 là: </v>
      </c>
      <c r="C90" s="3369" t="s">
        <v>2668</v>
      </c>
    </row>
    <row r="91" spans="1:3" s="2" customFormat="1" ht="17.399999999999999">
      <c r="A91" s="2248" t="str">
        <f>'TP. CAO LÃNH'!A91:C91</f>
        <v>(3): Trong đó:</v>
      </c>
      <c r="B91" s="2248"/>
      <c r="C91" s="2248"/>
    </row>
    <row r="92" spans="1:3" ht="55.2" customHeight="1">
      <c r="A92" s="4756" t="str">
        <f>'TP. CAO LÃNH'!A92:C92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56"/>
      <c r="C92" s="4756"/>
    </row>
    <row r="118" spans="1:5">
      <c r="A118" s="4299" t="str">
        <f>'TỔNG CỘNG'!A118:C118</f>
        <v>PHỤ LỤC III</v>
      </c>
      <c r="B118" s="4299"/>
      <c r="C118" s="4299"/>
    </row>
    <row r="119" spans="1:5">
      <c r="A119" s="4299" t="str">
        <f>'TỔNG CỘNG'!A119:C119</f>
        <v>CHẾ ĐỘ CHÍNH SÁCH AN SINH XÃ HỘI TĂNG THÊM NĂM 2024</v>
      </c>
      <c r="B119" s="4299"/>
      <c r="C119" s="4299"/>
    </row>
    <row r="120" spans="1:5">
      <c r="A120" s="4299" t="str">
        <f>A60</f>
        <v>HUYỆN CAO LÃNH</v>
      </c>
      <c r="B120" s="4299"/>
      <c r="C120" s="4299"/>
    </row>
    <row r="121" spans="1:5">
      <c r="A121" s="4300" t="str">
        <f>'TỔNG CỘNG'!A121:C121</f>
        <v>(Kèm theo Quyết định số        /QĐ-UBND-HC ngày      /12/2023 của Uỷ ban nhân dân tỉnh Đồng Tháp)</v>
      </c>
      <c r="B121" s="4300"/>
      <c r="C121" s="4300"/>
    </row>
    <row r="123" spans="1:5">
      <c r="A123" s="3285"/>
      <c r="B123" s="3285"/>
      <c r="C123" s="1384" t="str">
        <f>C63</f>
        <v>Đơn vị tính: Triệu đồng</v>
      </c>
    </row>
    <row r="124" spans="1:5" ht="34.799999999999997">
      <c r="A124" s="3286" t="s">
        <v>288</v>
      </c>
      <c r="B124" s="3236" t="s">
        <v>791</v>
      </c>
      <c r="C124" s="1829" t="s">
        <v>1700</v>
      </c>
    </row>
    <row r="125" spans="1:5">
      <c r="A125" s="3494"/>
      <c r="B125" s="2386" t="str">
        <f>'TỔNG CỘNG'!B125</f>
        <v>TỔNG CỘNG (I+II)</v>
      </c>
      <c r="C125" s="3505">
        <f>C126+C130</f>
        <v>17921.2</v>
      </c>
      <c r="E125" s="1">
        <f>C125-C45</f>
        <v>0</v>
      </c>
    </row>
    <row r="126" spans="1:5">
      <c r="A126" s="133" t="s">
        <v>9</v>
      </c>
      <c r="B126" s="3782" t="str">
        <f>'TỔNG CỘNG'!B126</f>
        <v>Các chính sách thuộc sự nghiệp giáo dục - đào tạo và dạy nghề</v>
      </c>
      <c r="C126" s="3655">
        <f>SUM(C127:C129)</f>
        <v>1170.7919999999999</v>
      </c>
    </row>
    <row r="127" spans="1:5" ht="36">
      <c r="A127" s="136">
        <v>1</v>
      </c>
      <c r="B127" s="803" t="str">
        <f>'TỔNG CỘNG'!B127</f>
        <v>Chính sách hỗ trợ chi phí học tập và miễn giảm học phí theo quy định tại Nghị định số 81/2021/NĐ-CP ngày 27/08/2021 của Chính phủ</v>
      </c>
      <c r="C127" s="2335">
        <f>'Phụ lục 7.3-CĐCS'!DI13</f>
        <v>1045</v>
      </c>
    </row>
    <row r="128" spans="1:5" ht="36">
      <c r="A128" s="136">
        <v>2</v>
      </c>
      <c r="B128" s="3775" t="str">
        <f>'TỔNG CỘNG'!B128</f>
        <v>Chính sách phát triển giao dục mầm non Nghị định 105/2020/NĐ-CP ngày 08/09/2020 của Chính phủ</v>
      </c>
      <c r="C128" s="2335">
        <f>'Phụ lục 7.3-CĐCS'!DI14</f>
        <v>113.75999999999999</v>
      </c>
    </row>
    <row r="129" spans="1:3" ht="36">
      <c r="A129" s="136">
        <v>3</v>
      </c>
      <c r="B129" s="3775" t="str">
        <f>'TỔNG CỘNG'!B129</f>
        <v>Học bổng, chi phí học tập cho học sinh khuyết tật theo Thông tư liên tịch số 42/2013/TTLT-BGDĐT-BLĐTBXH-BTC ngày 31/12/2013</v>
      </c>
      <c r="C129" s="2335">
        <f>'Phụ lục 7.3-CĐCS'!DI15</f>
        <v>12.032000000000039</v>
      </c>
    </row>
    <row r="130" spans="1:3">
      <c r="A130" s="133" t="s">
        <v>20</v>
      </c>
      <c r="B130" s="3782" t="str">
        <f>'TỔNG CỘNG'!B130</f>
        <v>Các chính sách thuộc sự nghiệp đảm bảo xã hội</v>
      </c>
      <c r="C130" s="3655">
        <f>SUM(C131:C132)</f>
        <v>16750.407999999999</v>
      </c>
    </row>
    <row r="131" spans="1:3" ht="36">
      <c r="A131" s="136">
        <v>1</v>
      </c>
      <c r="B131" s="3775" t="str">
        <f>'TỔNG CỘNG'!B131</f>
        <v>Chính sách hỗ trợ thường xuyên cho đối tượng bảo trợ xã hội theo quy định tại Nghị định số 20/2021/NĐ-CP ngày 15/03/2021 của Chính phủ</v>
      </c>
      <c r="C131" s="2335">
        <f>'Phụ lục 7.3-CĐCS'!DI17+'Phụ lục 7.3-CĐCS'!DI18</f>
        <v>16750.407999999999</v>
      </c>
    </row>
    <row r="132" spans="1:3" ht="36">
      <c r="A132" s="2298">
        <v>2</v>
      </c>
      <c r="B132" s="3783" t="str">
        <f>'TỔNG CỘNG'!B132</f>
        <v>Chính sách hỗ trợ tiền điện cho hộ nghèo, hộ chính sách xã hội theo quy định tại Quyết định số 28/2014/QĐ-TTg ngày 07/4/2014 của Thủ tướng Chính phủ</v>
      </c>
      <c r="C132" s="2338">
        <v>0</v>
      </c>
    </row>
  </sheetData>
  <mergeCells count="22">
    <mergeCell ref="A51:C51"/>
    <mergeCell ref="A1:C1"/>
    <mergeCell ref="A58:C58"/>
    <mergeCell ref="A87:C87"/>
    <mergeCell ref="A88:C88"/>
    <mergeCell ref="A52:C52"/>
    <mergeCell ref="A2:C2"/>
    <mergeCell ref="A3:C3"/>
    <mergeCell ref="A4:C4"/>
    <mergeCell ref="A50:C50"/>
    <mergeCell ref="A89:C89"/>
    <mergeCell ref="A59:C59"/>
    <mergeCell ref="A60:C60"/>
    <mergeCell ref="A61:C61"/>
    <mergeCell ref="A84:C84"/>
    <mergeCell ref="A85:C85"/>
    <mergeCell ref="A86:C86"/>
    <mergeCell ref="A118:C118"/>
    <mergeCell ref="A119:C119"/>
    <mergeCell ref="A120:C120"/>
    <mergeCell ref="A121:C121"/>
    <mergeCell ref="A92:C92"/>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workbookViewId="0">
      <selection activeCell="C235" sqref="C235"/>
    </sheetView>
  </sheetViews>
  <sheetFormatPr defaultColWidth="8.69921875" defaultRowHeight="18"/>
  <cols>
    <col min="1" max="1" width="5.69921875" style="37" customWidth="1"/>
    <col min="2" max="2" width="96.69921875" style="37" customWidth="1"/>
    <col min="3" max="3" width="25.69921875" style="37" customWidth="1"/>
    <col min="4" max="16384" width="8.69921875" style="37"/>
  </cols>
  <sheetData>
    <row r="1" spans="1:3">
      <c r="A1" s="4299" t="str">
        <f>'H. CAO LÃNH'!A1:C1</f>
        <v>PHỤ LỤC I</v>
      </c>
      <c r="B1" s="4299"/>
      <c r="C1" s="4299"/>
    </row>
    <row r="2" spans="1:3">
      <c r="A2" s="4299" t="str">
        <f>'H. CAO LÃNH'!A2:C2</f>
        <v>NHIỆM VỤ THU NGÂN SÁCH NHÀ NƯỚC NĂM 2024</v>
      </c>
      <c r="B2" s="4299"/>
      <c r="C2" s="4299"/>
    </row>
    <row r="3" spans="1:3">
      <c r="A3" s="4299" t="s">
        <v>1873</v>
      </c>
      <c r="B3" s="4299"/>
      <c r="C3" s="4299"/>
    </row>
    <row r="4" spans="1:3" ht="15.6" customHeight="1">
      <c r="A4" s="4627" t="str">
        <f>'H. CAO LÃNH'!A4:C4</f>
        <v>(Kèm theo Quyết định số        /QĐ-UBND-HC ngày      /12/2023 của Uỷ ban nhân dân tỉnh Đồng Tháp)</v>
      </c>
      <c r="B4" s="4627"/>
      <c r="C4" s="4627"/>
    </row>
    <row r="5" spans="1:3">
      <c r="A5" s="2578"/>
      <c r="B5" s="2578"/>
    </row>
    <row r="6" spans="1:3" ht="18.600000000000001" thickBot="1">
      <c r="A6" s="2578"/>
      <c r="B6" s="2578"/>
      <c r="C6" s="39" t="s">
        <v>64</v>
      </c>
    </row>
    <row r="7" spans="1:3" s="1319" customFormat="1" ht="30" customHeight="1">
      <c r="A7" s="2145" t="s">
        <v>244</v>
      </c>
      <c r="B7" s="2669" t="s">
        <v>791</v>
      </c>
      <c r="C7" s="2668" t="s">
        <v>1700</v>
      </c>
    </row>
    <row r="8" spans="1:3" ht="19.2" customHeight="1">
      <c r="A8" s="2672" t="s">
        <v>9</v>
      </c>
      <c r="B8" s="2268" t="s">
        <v>263</v>
      </c>
      <c r="C8" s="2682">
        <f>SUM(C10,C16,C19,C20,C21,C22,C26,C29,C32,C36)</f>
        <v>275700</v>
      </c>
    </row>
    <row r="9" spans="1:3" ht="19.2" customHeight="1">
      <c r="A9" s="2683"/>
      <c r="B9" s="2518" t="s">
        <v>264</v>
      </c>
      <c r="C9" s="2708">
        <f>C8-C29</f>
        <v>175700</v>
      </c>
    </row>
    <row r="10" spans="1:3" ht="19.2" customHeight="1">
      <c r="A10" s="2673">
        <v>1</v>
      </c>
      <c r="B10" s="1399" t="s">
        <v>352</v>
      </c>
      <c r="C10" s="2685">
        <f>SUM(C11:C15)</f>
        <v>78000</v>
      </c>
    </row>
    <row r="11" spans="1:3" ht="19.2" customHeight="1">
      <c r="A11" s="2674" t="s">
        <v>137</v>
      </c>
      <c r="B11" s="16" t="s">
        <v>266</v>
      </c>
      <c r="C11" s="2686">
        <f>'Phụ lục số 5'!AA10</f>
        <v>63900</v>
      </c>
    </row>
    <row r="12" spans="1:3" ht="19.2" customHeight="1">
      <c r="A12" s="2674" t="s">
        <v>137</v>
      </c>
      <c r="B12" s="16" t="s">
        <v>267</v>
      </c>
      <c r="C12" s="2686">
        <f>'Phụ lục số 5'!AA11</f>
        <v>13650</v>
      </c>
    </row>
    <row r="13" spans="1:3" ht="19.2" customHeight="1">
      <c r="A13" s="2674" t="s">
        <v>137</v>
      </c>
      <c r="B13" s="16" t="s">
        <v>268</v>
      </c>
      <c r="C13" s="2686">
        <f>'Phụ lục số 5'!AA12</f>
        <v>100</v>
      </c>
    </row>
    <row r="14" spans="1:3" ht="19.2" customHeight="1">
      <c r="A14" s="2674" t="s">
        <v>137</v>
      </c>
      <c r="B14" s="16" t="s">
        <v>14</v>
      </c>
      <c r="C14" s="2686">
        <f>'Phụ lục số 5'!AA13</f>
        <v>350</v>
      </c>
    </row>
    <row r="15" spans="1:3" ht="19.2" customHeight="1">
      <c r="A15" s="2674" t="s">
        <v>137</v>
      </c>
      <c r="B15" s="16" t="s">
        <v>269</v>
      </c>
      <c r="C15" s="2686">
        <f>'Phụ lục số 5'!AA14</f>
        <v>0</v>
      </c>
    </row>
    <row r="16" spans="1:3" ht="19.2" customHeight="1">
      <c r="A16" s="2673">
        <v>2</v>
      </c>
      <c r="B16" s="1399" t="s">
        <v>97</v>
      </c>
      <c r="C16" s="2685">
        <f>SUM(C17:C18)</f>
        <v>31000</v>
      </c>
    </row>
    <row r="17" spans="1:3" ht="19.2" hidden="1" customHeight="1">
      <c r="A17" s="2675" t="s">
        <v>137</v>
      </c>
      <c r="B17" s="137" t="s">
        <v>276</v>
      </c>
      <c r="C17" s="2686">
        <f>'Phụ lục số 5'!AA16</f>
        <v>0</v>
      </c>
    </row>
    <row r="18" spans="1:3" ht="19.2" hidden="1" customHeight="1">
      <c r="A18" s="2676" t="s">
        <v>137</v>
      </c>
      <c r="B18" s="2274" t="s">
        <v>277</v>
      </c>
      <c r="C18" s="2686">
        <f>'Phụ lục số 5'!AA17</f>
        <v>31000</v>
      </c>
    </row>
    <row r="19" spans="1:3" ht="19.2" customHeight="1">
      <c r="A19" s="2673">
        <v>3</v>
      </c>
      <c r="B19" s="1399" t="s">
        <v>16</v>
      </c>
      <c r="C19" s="2685">
        <f>'Phụ lục số 5'!AA18</f>
        <v>33000</v>
      </c>
    </row>
    <row r="20" spans="1:3" ht="19.2" customHeight="1">
      <c r="A20" s="2673">
        <v>4</v>
      </c>
      <c r="B20" s="1399" t="s">
        <v>270</v>
      </c>
      <c r="C20" s="2685">
        <f>'Phụ lục số 5'!AA19</f>
        <v>0</v>
      </c>
    </row>
    <row r="21" spans="1:3" ht="19.2" customHeight="1">
      <c r="A21" s="2673">
        <v>4</v>
      </c>
      <c r="B21" s="1399" t="s">
        <v>271</v>
      </c>
      <c r="C21" s="2685">
        <f>'Phụ lục số 5'!AA20</f>
        <v>1900</v>
      </c>
    </row>
    <row r="22" spans="1:3" ht="19.2" customHeight="1">
      <c r="A22" s="2673">
        <v>5</v>
      </c>
      <c r="B22" s="1399" t="s">
        <v>272</v>
      </c>
      <c r="C22" s="2685">
        <f>SUM(C23:C25)</f>
        <v>9000</v>
      </c>
    </row>
    <row r="23" spans="1:3" ht="19.2" customHeight="1">
      <c r="A23" s="2677" t="s">
        <v>137</v>
      </c>
      <c r="B23" s="137" t="s">
        <v>273</v>
      </c>
      <c r="C23" s="2686">
        <f>'Phụ lục số 5'!AA22</f>
        <v>2500</v>
      </c>
    </row>
    <row r="24" spans="1:3" ht="19.2" customHeight="1">
      <c r="A24" s="2677" t="s">
        <v>137</v>
      </c>
      <c r="B24" s="137" t="s">
        <v>274</v>
      </c>
      <c r="C24" s="2686">
        <f>'Phụ lục số 5'!AA23</f>
        <v>0</v>
      </c>
    </row>
    <row r="25" spans="1:3" ht="19.2" customHeight="1">
      <c r="A25" s="2677" t="s">
        <v>137</v>
      </c>
      <c r="B25" s="137" t="s">
        <v>275</v>
      </c>
      <c r="C25" s="2686">
        <f>'Phụ lục số 5'!AA24</f>
        <v>6500</v>
      </c>
    </row>
    <row r="26" spans="1:3" ht="19.2" customHeight="1">
      <c r="A26" s="2673">
        <v>6</v>
      </c>
      <c r="B26" s="1399" t="s">
        <v>98</v>
      </c>
      <c r="C26" s="2685">
        <f>SUM(C27:C28)</f>
        <v>10000</v>
      </c>
    </row>
    <row r="27" spans="1:3" ht="19.2" customHeight="1">
      <c r="A27" s="2677" t="s">
        <v>137</v>
      </c>
      <c r="B27" s="137" t="s">
        <v>276</v>
      </c>
      <c r="C27" s="2686">
        <f>'Phụ lục số 5'!AA26</f>
        <v>0</v>
      </c>
    </row>
    <row r="28" spans="1:3" ht="19.2" customHeight="1">
      <c r="A28" s="2678" t="s">
        <v>137</v>
      </c>
      <c r="B28" s="2274" t="s">
        <v>2804</v>
      </c>
      <c r="C28" s="2686">
        <f>'Phụ lục số 5'!AA27</f>
        <v>10000</v>
      </c>
    </row>
    <row r="29" spans="1:3" ht="19.2" customHeight="1">
      <c r="A29" s="2673">
        <v>7</v>
      </c>
      <c r="B29" s="1399" t="s">
        <v>357</v>
      </c>
      <c r="C29" s="2685">
        <f>SUM(C30:C31)</f>
        <v>100000</v>
      </c>
    </row>
    <row r="30" spans="1:3" ht="19.2" customHeight="1">
      <c r="A30" s="2677" t="s">
        <v>137</v>
      </c>
      <c r="B30" s="137" t="s">
        <v>276</v>
      </c>
      <c r="C30" s="2686">
        <f>'Phụ lục số 5'!AA29</f>
        <v>0</v>
      </c>
    </row>
    <row r="31" spans="1:3" ht="19.2" customHeight="1">
      <c r="A31" s="2678" t="s">
        <v>137</v>
      </c>
      <c r="B31" s="2274" t="s">
        <v>2803</v>
      </c>
      <c r="C31" s="2686">
        <f>'Phụ lục số 5'!AA30</f>
        <v>100000</v>
      </c>
    </row>
    <row r="32" spans="1:3" ht="19.2" customHeight="1">
      <c r="A32" s="2673">
        <v>8</v>
      </c>
      <c r="B32" s="1399" t="s">
        <v>279</v>
      </c>
      <c r="C32" s="2685">
        <f>SUM(C33:C35)</f>
        <v>12000</v>
      </c>
    </row>
    <row r="33" spans="1:3" ht="19.2" customHeight="1">
      <c r="A33" s="2677" t="s">
        <v>137</v>
      </c>
      <c r="B33" s="137" t="s">
        <v>280</v>
      </c>
      <c r="C33" s="2686">
        <f>'Phụ lục số 5'!AA32</f>
        <v>3000</v>
      </c>
    </row>
    <row r="34" spans="1:3" ht="19.2" customHeight="1">
      <c r="A34" s="2677" t="s">
        <v>137</v>
      </c>
      <c r="B34" s="137" t="s">
        <v>281</v>
      </c>
      <c r="C34" s="2686">
        <f>'Phụ lục số 5'!AA33</f>
        <v>1000</v>
      </c>
    </row>
    <row r="35" spans="1:3" ht="19.2" customHeight="1">
      <c r="A35" s="2677" t="s">
        <v>137</v>
      </c>
      <c r="B35" s="137" t="s">
        <v>282</v>
      </c>
      <c r="C35" s="2686">
        <f>'Phụ lục số 5'!AA34</f>
        <v>8000</v>
      </c>
    </row>
    <row r="36" spans="1:3" ht="19.2" customHeight="1">
      <c r="A36" s="2673">
        <v>9</v>
      </c>
      <c r="B36" s="2590" t="s">
        <v>2521</v>
      </c>
      <c r="C36" s="2685">
        <f>'Phụ lục số 5'!AA35</f>
        <v>800</v>
      </c>
    </row>
    <row r="37" spans="1:3" ht="19.2" customHeight="1">
      <c r="A37" s="2673" t="s">
        <v>20</v>
      </c>
      <c r="B37" s="1399" t="s">
        <v>2520</v>
      </c>
      <c r="C37" s="2687"/>
    </row>
    <row r="38" spans="1:3" ht="19.2" customHeight="1">
      <c r="A38" s="2673"/>
      <c r="B38" s="16" t="s">
        <v>2523</v>
      </c>
      <c r="C38" s="2688">
        <v>1</v>
      </c>
    </row>
    <row r="39" spans="1:3" s="2" customFormat="1" ht="19.2" customHeight="1">
      <c r="A39" s="2689" t="s">
        <v>49</v>
      </c>
      <c r="B39" s="29" t="s">
        <v>2522</v>
      </c>
      <c r="C39" s="2685">
        <f>SUM(C40:C41)</f>
        <v>540705.6</v>
      </c>
    </row>
    <row r="40" spans="1:3" s="2" customFormat="1" ht="19.2" customHeight="1">
      <c r="A40" s="2689">
        <v>1</v>
      </c>
      <c r="B40" s="29" t="s">
        <v>284</v>
      </c>
      <c r="C40" s="2685">
        <f>'Phụ lục số 5'!AC37</f>
        <v>441700</v>
      </c>
    </row>
    <row r="41" spans="1:3" s="2" customFormat="1" ht="19.2" customHeight="1">
      <c r="A41" s="2689">
        <v>2</v>
      </c>
      <c r="B41" s="29" t="s">
        <v>285</v>
      </c>
      <c r="C41" s="2685">
        <f>SUM(C42:C46)</f>
        <v>99005.6</v>
      </c>
    </row>
    <row r="42" spans="1:3" s="154" customFormat="1" ht="36" customHeight="1">
      <c r="A42" s="2628" t="s">
        <v>34</v>
      </c>
      <c r="B42" s="2701" t="str">
        <f>'H. CAO LÃNH'!B42</f>
        <v>Kinh phí hỗ trợ giá sản phẩm, dịch vụ công ích thủy lợi theo quy định tại Nghị định số 96/2018/NĐ-CP ngày 30/6/2018 của Chính phủ</v>
      </c>
      <c r="C42" s="2691">
        <f>'Phụ lục số 5'!AC39</f>
        <v>28600</v>
      </c>
    </row>
    <row r="43" spans="1:3" s="154" customFormat="1" ht="54" customHeight="1">
      <c r="A43" s="2628" t="s">
        <v>35</v>
      </c>
      <c r="B43" s="2701" t="str">
        <f>'H. CAO LÃNH'!B43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691">
        <f>'Phụ lục số 5'!AC40</f>
        <v>33000</v>
      </c>
    </row>
    <row r="44" spans="1:3" s="154" customFormat="1" ht="19.2" customHeight="1">
      <c r="A44" s="2628" t="s">
        <v>36</v>
      </c>
      <c r="B44" s="2701" t="str">
        <f>'H. CAO LÃNH'!B44</f>
        <v>Bổ sung nguồn thực hiện điều chỉnh tiền lương cơ sở tăng thêm đến 1,8 triệu đồng/tháng (12 tháng)</v>
      </c>
      <c r="C44" s="2691">
        <f>'Phụ lục số 5'!AC41</f>
        <v>34795</v>
      </c>
    </row>
    <row r="45" spans="1:3" s="154" customFormat="1" ht="19.2" customHeight="1">
      <c r="A45" s="2628" t="s">
        <v>37</v>
      </c>
      <c r="B45" s="2701" t="str">
        <f>'H. CAO LÃNH'!B45</f>
        <v>Bổ sung có mục tiêu thực hiện chính sách an sinh xã hội (ngoài chính sách tiền lương) (5)</v>
      </c>
      <c r="C45" s="2691">
        <f>'Phụ lục số 5'!AC42</f>
        <v>2610.6</v>
      </c>
    </row>
    <row r="46" spans="1:3" s="154" customFormat="1">
      <c r="A46" s="2814" t="str">
        <f>'TỔNG CỘNG'!A46</f>
        <v>đ</v>
      </c>
      <c r="B46" s="2701" t="str">
        <f>'H. CAO LÃNH'!B46</f>
        <v>Bổ sung có mục tiêu kinh phí diễn tập khu vực phòng thủ cấp huyện năm 2024</v>
      </c>
      <c r="C46" s="2691">
        <f>'Phụ lục số 5'!AC43</f>
        <v>0</v>
      </c>
    </row>
    <row r="47" spans="1:3" s="1319" customFormat="1" ht="19.2" customHeight="1" thickBot="1">
      <c r="A47" s="2705" t="s">
        <v>50</v>
      </c>
      <c r="B47" s="2709" t="s">
        <v>286</v>
      </c>
      <c r="C47" s="2697">
        <f>'Phụ lục số 5'!AC44</f>
        <v>26700</v>
      </c>
    </row>
    <row r="48" spans="1:3" ht="19.2" hidden="1" customHeight="1">
      <c r="A48" s="2698"/>
      <c r="B48" s="2698" t="s">
        <v>287</v>
      </c>
      <c r="C48" s="2699"/>
    </row>
    <row r="50" spans="1:3">
      <c r="A50" s="4769" t="s">
        <v>1050</v>
      </c>
      <c r="B50" s="4769"/>
      <c r="C50" s="4769"/>
    </row>
    <row r="51" spans="1:3" ht="34.950000000000003" customHeight="1">
      <c r="A51" s="4775" t="str">
        <f>'H. CAO LÃNH'!A51:C51</f>
        <v xml:space="preserve">(1): Dự toán thu ngân sách nhà nước năm 2024 không bao gồm các khoản huy động nhân dân đóng góp, các khoản ghi thu, ghi chi vào ngân sách nhà nước theo chế độ quy định.
</v>
      </c>
      <c r="B51" s="4775"/>
      <c r="C51" s="4775"/>
    </row>
    <row r="52" spans="1:3" ht="91.95" customHeight="1">
      <c r="A52" s="4775" t="str">
        <f>'H. CAO LÃNH'!A52:C52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75"/>
      <c r="C52" s="4775"/>
    </row>
    <row r="53" spans="1:3" ht="19.2" customHeight="1">
      <c r="A53" s="37" t="str">
        <f>'H. CAO LÃNH'!A53</f>
        <v>(4): Các khoản thu phân chia theo tỷ lệ (%) giữa ngân sách cấp Tỉnh và ngân sách cấp huyện</v>
      </c>
    </row>
    <row r="54" spans="1:3" ht="19.2" customHeight="1">
      <c r="A54" s="37" t="str">
        <f>'H. CAO LÃNH'!A54</f>
        <v>(5): Chi tiết chế độ, chính sách an sinh xã hội theo Phụ lục số III</v>
      </c>
    </row>
    <row r="55" spans="1:3" ht="19.2" customHeight="1"/>
    <row r="58" spans="1:3">
      <c r="A58" s="4299" t="str">
        <f>'H. CAO LÃNH'!A58:C58</f>
        <v>PHỤ LỤC II</v>
      </c>
      <c r="B58" s="4299"/>
      <c r="C58" s="4299"/>
    </row>
    <row r="59" spans="1:3">
      <c r="A59" s="4299" t="str">
        <f>'H. CAO LÃNH'!A59:C59</f>
        <v>NHIỆM VỤ CHI NGÂN SÁCH HUYỆN, THÀNH PHỐ NĂM 2024</v>
      </c>
      <c r="B59" s="4299"/>
      <c r="C59" s="4299"/>
    </row>
    <row r="60" spans="1:3">
      <c r="A60" s="4299" t="str">
        <f>A3</f>
        <v>HUYỆN THÁP MƯỜI</v>
      </c>
      <c r="B60" s="4299"/>
      <c r="C60" s="4299"/>
    </row>
    <row r="61" spans="1:3" ht="18" customHeight="1">
      <c r="A61" s="4627" t="str">
        <f>A4</f>
        <v>(Kèm theo Quyết định số        /QĐ-UBND-HC ngày      /12/2023 của Uỷ ban nhân dân tỉnh Đồng Tháp)</v>
      </c>
      <c r="B61" s="4627"/>
      <c r="C61" s="4627"/>
    </row>
    <row r="62" spans="1:3" ht="18" customHeight="1">
      <c r="A62" s="2578"/>
      <c r="B62" s="2578"/>
      <c r="C62" s="2578"/>
    </row>
    <row r="63" spans="1:3" ht="18" customHeight="1">
      <c r="A63" s="2578"/>
      <c r="B63" s="2578"/>
      <c r="C63" s="70" t="str">
        <f>C6</f>
        <v>Đơn vị tính: Triệu đồng</v>
      </c>
    </row>
    <row r="64" spans="1:3" s="210" customFormat="1" ht="34.950000000000003" customHeight="1">
      <c r="A64" s="2285" t="s">
        <v>288</v>
      </c>
      <c r="B64" s="2402" t="str">
        <f>'H. CAO LÃNH'!B64</f>
        <v>Nội dung</v>
      </c>
      <c r="C64" s="2403" t="str">
        <f>C7</f>
        <v>Dự toán năm 2024</v>
      </c>
    </row>
    <row r="65" spans="1:3" s="2" customFormat="1" ht="19.2" customHeight="1">
      <c r="A65" s="2286"/>
      <c r="B65" s="1408" t="str">
        <f>'H. CAO LÃNH'!B65</f>
        <v>Tổng chi (I+II+III+IV)</v>
      </c>
      <c r="C65" s="2553">
        <f>C66+C70+C74+C75+C76</f>
        <v>825155.6</v>
      </c>
    </row>
    <row r="66" spans="1:3" s="2" customFormat="1" ht="19.2" customHeight="1">
      <c r="A66" s="2287" t="s">
        <v>9</v>
      </c>
      <c r="B66" s="2288" t="str">
        <f>'H. CAO LÃNH'!B66</f>
        <v>Chi đầu tư phát triển (1)</v>
      </c>
      <c r="C66" s="2556">
        <f>SUM(C68:C69)</f>
        <v>130000.33494633662</v>
      </c>
    </row>
    <row r="67" spans="1:3" ht="19.2" customHeight="1">
      <c r="A67" s="2289"/>
      <c r="B67" s="2290" t="str">
        <f>'H. CAO LÃNH'!B67</f>
        <v>Bao gồm:</v>
      </c>
      <c r="C67" s="2558"/>
    </row>
    <row r="68" spans="1:3" ht="19.2" customHeight="1">
      <c r="A68" s="2291">
        <v>1</v>
      </c>
      <c r="B68" s="3284" t="str">
        <f>'H. CAO LÃNH'!B68</f>
        <v>Chi đầu tư xây dựng cơ bản</v>
      </c>
      <c r="C68" s="2558">
        <f>'Phụ lục số 6'!K8</f>
        <v>40000.334946336618</v>
      </c>
    </row>
    <row r="69" spans="1:3" ht="19.2" customHeight="1">
      <c r="A69" s="2291">
        <v>2</v>
      </c>
      <c r="B69" s="3284" t="str">
        <f>'H. CAO LÃNH'!B69</f>
        <v>Chi đầu tư từ nguồn thu tiền sử dụng đất</v>
      </c>
      <c r="C69" s="2558">
        <f>'Phụ lục số 6'!K9</f>
        <v>90000</v>
      </c>
    </row>
    <row r="70" spans="1:3" s="2" customFormat="1" ht="19.2" customHeight="1">
      <c r="A70" s="2287" t="s">
        <v>20</v>
      </c>
      <c r="B70" s="2288" t="str">
        <f>'H. CAO LÃNH'!B70</f>
        <v>Chi thường xuyên (2)</v>
      </c>
      <c r="C70" s="2556">
        <f>'Phụ lục số 6'!K10</f>
        <v>679823.93388392578</v>
      </c>
    </row>
    <row r="71" spans="1:3" ht="19.2" customHeight="1">
      <c r="A71" s="2293"/>
      <c r="B71" s="2294" t="str">
        <f>'H. CAO LÃNH'!B71</f>
        <v>Bao gồm:</v>
      </c>
      <c r="C71" s="2558"/>
    </row>
    <row r="72" spans="1:3" ht="19.2" customHeight="1">
      <c r="A72" s="2291">
        <v>1</v>
      </c>
      <c r="B72" s="2275" t="str">
        <f>'H. CAO LÃNH'!B72</f>
        <v>Sự nghiệp giáo dục - đào tạo (3)</v>
      </c>
      <c r="C72" s="2558">
        <f>'Phụ lục số 6'!K12</f>
        <v>372742.22567693546</v>
      </c>
    </row>
    <row r="73" spans="1:3" ht="19.2" customHeight="1">
      <c r="A73" s="2291">
        <v>2</v>
      </c>
      <c r="B73" s="2275" t="str">
        <f>'H. CAO LÃNH'!B73</f>
        <v>Các khoản chi thường xuyên còn lại</v>
      </c>
      <c r="C73" s="2558">
        <f>'Phụ lục số 6'!K13</f>
        <v>307081.70820699033</v>
      </c>
    </row>
    <row r="74" spans="1:3" s="2" customFormat="1" ht="19.2" customHeight="1">
      <c r="A74" s="2287" t="s">
        <v>49</v>
      </c>
      <c r="B74" s="2288" t="str">
        <f>'H. CAO LÃNH'!B74</f>
        <v>Dự phòng ngân sách</v>
      </c>
      <c r="C74" s="2556">
        <f>'Phụ lục số 6'!K14</f>
        <v>15331.331169737576</v>
      </c>
    </row>
    <row r="75" spans="1:3" s="2" customFormat="1" ht="19.2" customHeight="1">
      <c r="A75" s="2287" t="s">
        <v>50</v>
      </c>
      <c r="B75" s="2288" t="str">
        <f>'H. CAO LÃNH'!B75</f>
        <v>Chi tạo nguồn cải cách tiền lương</v>
      </c>
      <c r="C75" s="2556">
        <f>'Phụ lục số 6'!K15</f>
        <v>0</v>
      </c>
    </row>
    <row r="76" spans="1:3" s="2" customFormat="1" ht="19.2" customHeight="1">
      <c r="A76" s="2583" t="s">
        <v>72</v>
      </c>
      <c r="B76" s="1399" t="str">
        <f>'H. CAO LÃNH'!B76</f>
        <v>Chi từ nguồn ngân sách cấp Tỉnh bổ sung có mục tiêu</v>
      </c>
      <c r="C76" s="2556">
        <f>SUM(C77:C81)</f>
        <v>0</v>
      </c>
    </row>
    <row r="77" spans="1:3" ht="19.2" hidden="1" customHeight="1">
      <c r="A77" s="2584" t="s">
        <v>137</v>
      </c>
      <c r="B77" s="16" t="str">
        <f>'H. CAO LÃNH'!B77</f>
        <v>Chi đầu tư xây dựng cơ bản</v>
      </c>
      <c r="C77" s="2558">
        <f>'Phụ lục số 6'!K17</f>
        <v>0</v>
      </c>
    </row>
    <row r="78" spans="1:3" ht="19.2" hidden="1" customHeight="1">
      <c r="A78" s="2584" t="s">
        <v>137</v>
      </c>
      <c r="B78" s="16" t="str">
        <f>'H. CAO LÃNH'!B78</f>
        <v>Chi đầu tư từ nguồn xổ số kiến thiết</v>
      </c>
      <c r="C78" s="2558">
        <f>'Phụ lục số 6'!K18</f>
        <v>0</v>
      </c>
    </row>
    <row r="79" spans="1:3" ht="19.2" hidden="1" customHeight="1">
      <c r="A79" s="2584" t="s">
        <v>137</v>
      </c>
      <c r="B79" s="16" t="str">
        <f>'H. CAO LÃNH'!B79</f>
        <v>Chi từ nguồn ngân sách trung ương bổ sung có mục tiêu (kinh phí sự nghiệp)</v>
      </c>
      <c r="C79" s="2558">
        <f>'Phụ lục số 6'!K19</f>
        <v>0</v>
      </c>
    </row>
    <row r="80" spans="1:3" ht="19.2" hidden="1" customHeight="1">
      <c r="A80" s="2585" t="s">
        <v>137</v>
      </c>
      <c r="B80" s="16" t="str">
        <f>'H. CAO LÃNH'!B80</f>
        <v>Chi từ nguồn ngân sách trung ương bổ sung có mục tiêu (Chương trình Mục tiêu quốc gia)</v>
      </c>
      <c r="C80" s="2558">
        <f>'Phụ lục số 6'!K20</f>
        <v>0</v>
      </c>
    </row>
    <row r="81" spans="1:3" ht="19.2" hidden="1" customHeight="1">
      <c r="A81" s="2586"/>
      <c r="B81" s="2825" t="str">
        <f>'H. CAO LÃNH'!B81</f>
        <v>Chi từ nguồn ngân sách trung ương bổ sung có mục tiêu, nhiệm vụ quan trọng khác</v>
      </c>
      <c r="C81" s="2595">
        <f>'Phụ lục số 6'!K21</f>
        <v>0</v>
      </c>
    </row>
    <row r="83" spans="1:3">
      <c r="A83" s="48" t="s">
        <v>1050</v>
      </c>
      <c r="B83" s="2581"/>
    </row>
    <row r="84" spans="1:3">
      <c r="A84" s="4757" t="s">
        <v>2494</v>
      </c>
      <c r="B84" s="4758"/>
      <c r="C84" s="4758"/>
    </row>
    <row r="85" spans="1:3" ht="60" customHeight="1">
      <c r="A85" s="4755" t="s">
        <v>2743</v>
      </c>
      <c r="B85" s="4756"/>
      <c r="C85" s="4756"/>
    </row>
    <row r="86" spans="1:3" ht="18" customHeight="1">
      <c r="A86" s="4756" t="str">
        <f>'H. CAO LÃNH'!A86:C86</f>
        <v>- Chưa bao gồm chi đầu tư từ nguồn vốn do ngân sách cấp tỉnh quản lý và phân bổ bổ sung có mục tiêu cho ngân sách huyện, thành phố</v>
      </c>
      <c r="B86" s="4756"/>
      <c r="C86" s="4756"/>
    </row>
    <row r="87" spans="1:3">
      <c r="A87" s="4772" t="s">
        <v>2495</v>
      </c>
      <c r="B87" s="4772"/>
      <c r="C87" s="4772"/>
    </row>
    <row r="88" spans="1:3" ht="60" customHeight="1">
      <c r="A88" s="4756" t="str">
        <f>'H. CAO LÃNH'!A88:C88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56"/>
      <c r="C88" s="4756"/>
    </row>
    <row r="89" spans="1:3" s="2406" customFormat="1" ht="40.200000000000003" customHeight="1">
      <c r="A89" s="4767" t="str">
        <f>'H. CAO LÃNH'!A89:C89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67"/>
      <c r="C89" s="4767"/>
    </row>
    <row r="90" spans="1:3">
      <c r="A90" s="37" t="str">
        <f>'H. CAO LÃNH'!A90</f>
        <v xml:space="preserve">- Bao gồm 10% tiết kiệm tăng thêm năm 2024 so với năm 2023 để thực hiện cải cách tiền lương năm 2024 là: </v>
      </c>
      <c r="C90" s="3369" t="s">
        <v>2669</v>
      </c>
    </row>
    <row r="91" spans="1:3" s="2248" customFormat="1" ht="17.399999999999999">
      <c r="A91" s="2248" t="str">
        <f>'H. CAO LÃNH'!A91</f>
        <v>(3): Trong đó:</v>
      </c>
    </row>
    <row r="92" spans="1:3" s="2249" customFormat="1" ht="55.2" customHeight="1">
      <c r="A92" s="4756" t="str">
        <f>'H. CAO LÃNH'!A92:C92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56"/>
      <c r="C92" s="4756"/>
    </row>
    <row r="118" spans="1:5">
      <c r="A118" s="4299" t="str">
        <f>'TỔNG CỘNG'!A118:C118</f>
        <v>PHỤ LỤC III</v>
      </c>
      <c r="B118" s="4299"/>
      <c r="C118" s="4299"/>
    </row>
    <row r="119" spans="1:5">
      <c r="A119" s="4299" t="str">
        <f>'TỔNG CỘNG'!A119:C119</f>
        <v>CHẾ ĐỘ CHÍNH SÁCH AN SINH XÃ HỘI TĂNG THÊM NĂM 2024</v>
      </c>
      <c r="B119" s="4299"/>
      <c r="C119" s="4299"/>
    </row>
    <row r="120" spans="1:5">
      <c r="A120" s="4299" t="str">
        <f>A60</f>
        <v>HUYỆN THÁP MƯỜI</v>
      </c>
      <c r="B120" s="4299"/>
      <c r="C120" s="4299"/>
    </row>
    <row r="121" spans="1:5">
      <c r="A121" s="4300" t="str">
        <f>'TỔNG CỘNG'!A121:C121</f>
        <v>(Kèm theo Quyết định số        /QĐ-UBND-HC ngày      /12/2023 của Uỷ ban nhân dân tỉnh Đồng Tháp)</v>
      </c>
      <c r="B121" s="4300"/>
      <c r="C121" s="4300"/>
    </row>
    <row r="123" spans="1:5">
      <c r="A123" s="3285"/>
      <c r="B123" s="3285"/>
      <c r="C123" s="1384" t="str">
        <f>C63</f>
        <v>Đơn vị tính: Triệu đồng</v>
      </c>
    </row>
    <row r="124" spans="1:5" ht="34.799999999999997">
      <c r="A124" s="3286" t="s">
        <v>288</v>
      </c>
      <c r="B124" s="3236" t="s">
        <v>791</v>
      </c>
      <c r="C124" s="1829" t="s">
        <v>1700</v>
      </c>
    </row>
    <row r="125" spans="1:5">
      <c r="A125" s="3494"/>
      <c r="B125" s="2386" t="str">
        <f>'TỔNG CỘNG'!B125</f>
        <v>TỔNG CỘNG (I+II)</v>
      </c>
      <c r="C125" s="3505">
        <f>C126+C130</f>
        <v>2610.6</v>
      </c>
      <c r="E125" s="1">
        <f>C125-C45</f>
        <v>0</v>
      </c>
    </row>
    <row r="126" spans="1:5">
      <c r="A126" s="133" t="s">
        <v>9</v>
      </c>
      <c r="B126" s="3782" t="str">
        <f>'TỔNG CỘNG'!B126</f>
        <v>Các chính sách thuộc sự nghiệp giáo dục - đào tạo và dạy nghề</v>
      </c>
      <c r="C126" s="3655">
        <f>SUM(C127:C129)</f>
        <v>0</v>
      </c>
    </row>
    <row r="127" spans="1:5" ht="36">
      <c r="A127" s="136">
        <v>1</v>
      </c>
      <c r="B127" s="803" t="str">
        <f>'TỔNG CỘNG'!B127</f>
        <v>Chính sách hỗ trợ chi phí học tập và miễn giảm học phí theo quy định tại Nghị định số 81/2021/NĐ-CP ngày 27/08/2021 của Chính phủ</v>
      </c>
      <c r="C127" s="2335">
        <v>0</v>
      </c>
    </row>
    <row r="128" spans="1:5" ht="36">
      <c r="A128" s="136">
        <v>2</v>
      </c>
      <c r="B128" s="3775" t="str">
        <f>'TỔNG CỘNG'!B128</f>
        <v>Chính sách phát triển giao dục mầm non Nghị định 105/2020/NĐ-CP ngày 08/09/2020 của Chính phủ</v>
      </c>
      <c r="C128" s="2335">
        <v>0</v>
      </c>
    </row>
    <row r="129" spans="1:3" ht="36">
      <c r="A129" s="136">
        <v>3</v>
      </c>
      <c r="B129" s="3775" t="str">
        <f>'TỔNG CỘNG'!B129</f>
        <v>Học bổng, chi phí học tập cho học sinh khuyết tật theo Thông tư liên tịch số 42/2013/TTLT-BGDĐT-BLĐTBXH-BTC ngày 31/12/2013</v>
      </c>
      <c r="C129" s="2335">
        <v>0</v>
      </c>
    </row>
    <row r="130" spans="1:3">
      <c r="A130" s="133" t="s">
        <v>20</v>
      </c>
      <c r="B130" s="3782" t="str">
        <f>'TỔNG CỘNG'!B130</f>
        <v>Các chính sách thuộc sự nghiệp đảm bảo xã hội</v>
      </c>
      <c r="C130" s="3655">
        <f>SUM(C131:C132)</f>
        <v>2610.6</v>
      </c>
    </row>
    <row r="131" spans="1:3" ht="36">
      <c r="A131" s="136">
        <v>1</v>
      </c>
      <c r="B131" s="3775" t="str">
        <f>'TỔNG CỘNG'!B131</f>
        <v>Chính sách hỗ trợ thường xuyên cho đối tượng bảo trợ xã hội theo quy định tại Nghị định số 20/2021/NĐ-CP ngày 15/03/2021 của Chính phủ</v>
      </c>
      <c r="C131" s="2335">
        <f>'Phụ lục 7.3-CĐCS'!DW17+'Phụ lục 7.3-CĐCS'!DW18+'Phụ lục 7.3-CĐCS'!DW13+'Phụ lục 7.3-CĐCS'!DW14+'Phụ lục 7.3-CĐCS'!DW15</f>
        <v>2610.6</v>
      </c>
    </row>
    <row r="132" spans="1:3" ht="36">
      <c r="A132" s="2298">
        <v>2</v>
      </c>
      <c r="B132" s="3783" t="str">
        <f>'TỔNG CỘNG'!B132</f>
        <v>Chính sách hỗ trợ tiền điện cho hộ nghèo, hộ chính sách xã hội theo quy định tại Quyết định số 28/2014/QĐ-TTg ngày 07/4/2014 của Thủ tướng Chính phủ</v>
      </c>
      <c r="C132" s="2338">
        <v>0</v>
      </c>
    </row>
  </sheetData>
  <mergeCells count="22">
    <mergeCell ref="A51:C51"/>
    <mergeCell ref="A1:C1"/>
    <mergeCell ref="A58:C58"/>
    <mergeCell ref="A87:C87"/>
    <mergeCell ref="A88:C88"/>
    <mergeCell ref="A52:C52"/>
    <mergeCell ref="A2:C2"/>
    <mergeCell ref="A3:C3"/>
    <mergeCell ref="A4:C4"/>
    <mergeCell ref="A50:C50"/>
    <mergeCell ref="A89:C89"/>
    <mergeCell ref="A59:C59"/>
    <mergeCell ref="A60:C60"/>
    <mergeCell ref="A61:C61"/>
    <mergeCell ref="A84:C84"/>
    <mergeCell ref="A85:C85"/>
    <mergeCell ref="A86:C86"/>
    <mergeCell ref="A118:C118"/>
    <mergeCell ref="A119:C119"/>
    <mergeCell ref="A120:C120"/>
    <mergeCell ref="A121:C121"/>
    <mergeCell ref="A92:C92"/>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workbookViewId="0">
      <selection activeCell="C235" sqref="C235"/>
    </sheetView>
  </sheetViews>
  <sheetFormatPr defaultColWidth="8.69921875" defaultRowHeight="18"/>
  <cols>
    <col min="1" max="1" width="5.69921875" style="37" customWidth="1"/>
    <col min="2" max="2" width="96.69921875" style="37" customWidth="1"/>
    <col min="3" max="3" width="25.69921875" style="37" customWidth="1"/>
    <col min="4" max="16384" width="8.69921875" style="37"/>
  </cols>
  <sheetData>
    <row r="1" spans="1:3">
      <c r="A1" s="4299" t="str">
        <f>'H. THÁP MƯỜI'!A1:C1</f>
        <v>PHỤ LỤC I</v>
      </c>
      <c r="B1" s="4299"/>
      <c r="C1" s="4299"/>
    </row>
    <row r="2" spans="1:3">
      <c r="A2" s="4299" t="str">
        <f>'H. THÁP MƯỜI'!A2:C2</f>
        <v>NHIỆM VỤ THU NGÂN SÁCH NHÀ NƯỚC NĂM 2024</v>
      </c>
      <c r="B2" s="4299"/>
      <c r="C2" s="4299"/>
    </row>
    <row r="3" spans="1:3">
      <c r="A3" s="4299" t="s">
        <v>1874</v>
      </c>
      <c r="B3" s="4299"/>
      <c r="C3" s="4299"/>
    </row>
    <row r="4" spans="1:3" ht="15.6" customHeight="1">
      <c r="A4" s="4627" t="str">
        <f>'H. THÁP MƯỜI'!A4:C4</f>
        <v>(Kèm theo Quyết định số        /QĐ-UBND-HC ngày      /12/2023 của Uỷ ban nhân dân tỉnh Đồng Tháp)</v>
      </c>
      <c r="B4" s="4627"/>
      <c r="C4" s="4627"/>
    </row>
    <row r="5" spans="1:3">
      <c r="A5" s="2578"/>
      <c r="B5" s="2578"/>
    </row>
    <row r="6" spans="1:3" ht="18.600000000000001" thickBot="1">
      <c r="A6" s="2578"/>
      <c r="B6" s="2578"/>
      <c r="C6" s="39" t="s">
        <v>64</v>
      </c>
    </row>
    <row r="7" spans="1:3" s="1319" customFormat="1" ht="30" customHeight="1">
      <c r="A7" s="2145" t="s">
        <v>244</v>
      </c>
      <c r="B7" s="2669" t="s">
        <v>791</v>
      </c>
      <c r="C7" s="2668" t="s">
        <v>1700</v>
      </c>
    </row>
    <row r="8" spans="1:3" s="48" customFormat="1" ht="19.2" customHeight="1">
      <c r="A8" s="2672" t="s">
        <v>9</v>
      </c>
      <c r="B8" s="2268" t="s">
        <v>263</v>
      </c>
      <c r="C8" s="2682">
        <f>SUM(C10,C16,C19,C20,C21,C22,C26,C29,C32,C36)</f>
        <v>284000</v>
      </c>
    </row>
    <row r="9" spans="1:3" s="49" customFormat="1" ht="19.2" customHeight="1">
      <c r="A9" s="2683"/>
      <c r="B9" s="2518" t="s">
        <v>264</v>
      </c>
      <c r="C9" s="2684">
        <f>C8-C29</f>
        <v>224000</v>
      </c>
    </row>
    <row r="10" spans="1:3" ht="19.2" customHeight="1">
      <c r="A10" s="2673">
        <v>1</v>
      </c>
      <c r="B10" s="1399" t="s">
        <v>352</v>
      </c>
      <c r="C10" s="2685">
        <f>SUM(C11:C15)</f>
        <v>138300</v>
      </c>
    </row>
    <row r="11" spans="1:3" ht="19.2" customHeight="1">
      <c r="A11" s="2674" t="s">
        <v>137</v>
      </c>
      <c r="B11" s="16" t="s">
        <v>266</v>
      </c>
      <c r="C11" s="2686">
        <f>'Phụ lục số 5'!AD10</f>
        <v>38600</v>
      </c>
    </row>
    <row r="12" spans="1:3" ht="19.2" customHeight="1">
      <c r="A12" s="2674" t="s">
        <v>137</v>
      </c>
      <c r="B12" s="16" t="s">
        <v>267</v>
      </c>
      <c r="C12" s="2686">
        <f>'Phụ lục số 5'!AD11</f>
        <v>99000</v>
      </c>
    </row>
    <row r="13" spans="1:3" ht="19.2" customHeight="1">
      <c r="A13" s="2674" t="s">
        <v>137</v>
      </c>
      <c r="B13" s="16" t="s">
        <v>268</v>
      </c>
      <c r="C13" s="2686">
        <f>'Phụ lục số 5'!AD12</f>
        <v>100</v>
      </c>
    </row>
    <row r="14" spans="1:3" ht="19.2" customHeight="1">
      <c r="A14" s="2674" t="s">
        <v>137</v>
      </c>
      <c r="B14" s="16" t="s">
        <v>14</v>
      </c>
      <c r="C14" s="2686">
        <f>'Phụ lục số 5'!AD13</f>
        <v>600</v>
      </c>
    </row>
    <row r="15" spans="1:3" ht="19.2" customHeight="1">
      <c r="A15" s="2674" t="s">
        <v>137</v>
      </c>
      <c r="B15" s="16" t="s">
        <v>269</v>
      </c>
      <c r="C15" s="2686">
        <f>'Phụ lục số 5'!AD14</f>
        <v>0</v>
      </c>
    </row>
    <row r="16" spans="1:3" ht="19.2" customHeight="1">
      <c r="A16" s="2673">
        <v>2</v>
      </c>
      <c r="B16" s="1399" t="s">
        <v>97</v>
      </c>
      <c r="C16" s="2685">
        <f>SUM(C17:C18)</f>
        <v>25000</v>
      </c>
    </row>
    <row r="17" spans="1:3" ht="19.2" hidden="1" customHeight="1">
      <c r="A17" s="2675" t="s">
        <v>137</v>
      </c>
      <c r="B17" s="137" t="s">
        <v>276</v>
      </c>
      <c r="C17" s="2686">
        <f>'Phụ lục số 5'!AD16</f>
        <v>0</v>
      </c>
    </row>
    <row r="18" spans="1:3" ht="19.2" hidden="1" customHeight="1">
      <c r="A18" s="2676" t="s">
        <v>137</v>
      </c>
      <c r="B18" s="2274" t="s">
        <v>277</v>
      </c>
      <c r="C18" s="2686">
        <f>'Phụ lục số 5'!AD17</f>
        <v>25000</v>
      </c>
    </row>
    <row r="19" spans="1:3" s="2" customFormat="1" ht="19.2" customHeight="1">
      <c r="A19" s="2673">
        <v>3</v>
      </c>
      <c r="B19" s="1399" t="s">
        <v>16</v>
      </c>
      <c r="C19" s="2685">
        <f>'Phụ lục số 5'!AD18</f>
        <v>25000</v>
      </c>
    </row>
    <row r="20" spans="1:3" s="2" customFormat="1" ht="19.2" customHeight="1">
      <c r="A20" s="2673">
        <v>4</v>
      </c>
      <c r="B20" s="1399" t="s">
        <v>270</v>
      </c>
      <c r="C20" s="2685">
        <f>'Phụ lục số 5'!AD19</f>
        <v>0</v>
      </c>
    </row>
    <row r="21" spans="1:3" s="2" customFormat="1" ht="19.2" customHeight="1">
      <c r="A21" s="2673">
        <v>4</v>
      </c>
      <c r="B21" s="1399" t="s">
        <v>271</v>
      </c>
      <c r="C21" s="2685">
        <f>'Phụ lục số 5'!AD20</f>
        <v>700</v>
      </c>
    </row>
    <row r="22" spans="1:3" s="2" customFormat="1" ht="19.2" customHeight="1">
      <c r="A22" s="2673">
        <v>5</v>
      </c>
      <c r="B22" s="1399" t="s">
        <v>272</v>
      </c>
      <c r="C22" s="2685">
        <f>SUM(C23:C25)</f>
        <v>11000</v>
      </c>
    </row>
    <row r="23" spans="1:3" ht="19.2" customHeight="1">
      <c r="A23" s="2677" t="s">
        <v>137</v>
      </c>
      <c r="B23" s="137" t="s">
        <v>273</v>
      </c>
      <c r="C23" s="2686">
        <f>'Phụ lục số 5'!AD22</f>
        <v>3500</v>
      </c>
    </row>
    <row r="24" spans="1:3" ht="19.2" customHeight="1">
      <c r="A24" s="2677" t="s">
        <v>137</v>
      </c>
      <c r="B24" s="137" t="s">
        <v>274</v>
      </c>
      <c r="C24" s="2686">
        <f>'Phụ lục số 5'!AD23</f>
        <v>0</v>
      </c>
    </row>
    <row r="25" spans="1:3" ht="19.2" customHeight="1">
      <c r="A25" s="2677" t="s">
        <v>137</v>
      </c>
      <c r="B25" s="137" t="s">
        <v>275</v>
      </c>
      <c r="C25" s="2686">
        <f>'Phụ lục số 5'!AD24</f>
        <v>7500</v>
      </c>
    </row>
    <row r="26" spans="1:3" s="2" customFormat="1" ht="19.2" customHeight="1">
      <c r="A26" s="2673">
        <v>6</v>
      </c>
      <c r="B26" s="1399" t="s">
        <v>98</v>
      </c>
      <c r="C26" s="2685">
        <f>SUM(C27:C28)</f>
        <v>6000</v>
      </c>
    </row>
    <row r="27" spans="1:3" ht="19.2" customHeight="1">
      <c r="A27" s="2677" t="s">
        <v>137</v>
      </c>
      <c r="B27" s="137" t="s">
        <v>276</v>
      </c>
      <c r="C27" s="2686">
        <f>'Phụ lục số 5'!AD26</f>
        <v>0</v>
      </c>
    </row>
    <row r="28" spans="1:3" ht="19.2" customHeight="1">
      <c r="A28" s="2678" t="s">
        <v>137</v>
      </c>
      <c r="B28" s="2274" t="s">
        <v>2804</v>
      </c>
      <c r="C28" s="2686">
        <f>'Phụ lục số 5'!AD27</f>
        <v>6000</v>
      </c>
    </row>
    <row r="29" spans="1:3" s="2" customFormat="1" ht="19.2" customHeight="1">
      <c r="A29" s="2673">
        <v>7</v>
      </c>
      <c r="B29" s="1399" t="s">
        <v>357</v>
      </c>
      <c r="C29" s="2685">
        <f>SUM(C30:C31)</f>
        <v>60000</v>
      </c>
    </row>
    <row r="30" spans="1:3" ht="19.2" customHeight="1">
      <c r="A30" s="2677" t="s">
        <v>137</v>
      </c>
      <c r="B30" s="137" t="s">
        <v>276</v>
      </c>
      <c r="C30" s="2686">
        <f>'Phụ lục số 5'!AD29</f>
        <v>0</v>
      </c>
    </row>
    <row r="31" spans="1:3" ht="19.2" customHeight="1">
      <c r="A31" s="2678" t="s">
        <v>137</v>
      </c>
      <c r="B31" s="2274" t="s">
        <v>2803</v>
      </c>
      <c r="C31" s="2686">
        <f>'Phụ lục số 5'!AD30</f>
        <v>60000</v>
      </c>
    </row>
    <row r="32" spans="1:3" s="2" customFormat="1" ht="19.2" customHeight="1">
      <c r="A32" s="2673">
        <v>8</v>
      </c>
      <c r="B32" s="1399" t="s">
        <v>279</v>
      </c>
      <c r="C32" s="2685">
        <f>SUM(C33:C35)</f>
        <v>18000</v>
      </c>
    </row>
    <row r="33" spans="1:3" ht="19.2" customHeight="1">
      <c r="A33" s="2677" t="s">
        <v>137</v>
      </c>
      <c r="B33" s="137" t="s">
        <v>280</v>
      </c>
      <c r="C33" s="2686">
        <f>'Phụ lục số 5'!AD32</f>
        <v>2500</v>
      </c>
    </row>
    <row r="34" spans="1:3" ht="19.2" customHeight="1">
      <c r="A34" s="2677" t="s">
        <v>137</v>
      </c>
      <c r="B34" s="137" t="s">
        <v>281</v>
      </c>
      <c r="C34" s="2686">
        <f>'Phụ lục số 5'!AD33</f>
        <v>1500</v>
      </c>
    </row>
    <row r="35" spans="1:3" ht="19.2" customHeight="1">
      <c r="A35" s="2677" t="s">
        <v>137</v>
      </c>
      <c r="B35" s="137" t="s">
        <v>282</v>
      </c>
      <c r="C35" s="2686">
        <f>'Phụ lục số 5'!AD34</f>
        <v>14000</v>
      </c>
    </row>
    <row r="36" spans="1:3" s="2" customFormat="1" ht="19.2" customHeight="1">
      <c r="A36" s="2673">
        <v>9</v>
      </c>
      <c r="B36" s="2590" t="s">
        <v>2521</v>
      </c>
      <c r="C36" s="2685">
        <f>'Phụ lục số 5'!AD35</f>
        <v>0</v>
      </c>
    </row>
    <row r="37" spans="1:3" ht="19.2" customHeight="1">
      <c r="A37" s="2673" t="s">
        <v>20</v>
      </c>
      <c r="B37" s="1399" t="s">
        <v>2520</v>
      </c>
      <c r="C37" s="2687"/>
    </row>
    <row r="38" spans="1:3" ht="19.2" customHeight="1">
      <c r="A38" s="2673"/>
      <c r="B38" s="16" t="s">
        <v>2523</v>
      </c>
      <c r="C38" s="2688">
        <v>1</v>
      </c>
    </row>
    <row r="39" spans="1:3" s="154" customFormat="1" ht="19.2" customHeight="1">
      <c r="A39" s="2689" t="s">
        <v>49</v>
      </c>
      <c r="B39" s="29" t="s">
        <v>2522</v>
      </c>
      <c r="C39" s="2690">
        <f>SUM(C40:C41)</f>
        <v>520654.94799999997</v>
      </c>
    </row>
    <row r="40" spans="1:3" s="154" customFormat="1" ht="19.2" customHeight="1">
      <c r="A40" s="2689">
        <v>1</v>
      </c>
      <c r="B40" s="29" t="s">
        <v>284</v>
      </c>
      <c r="C40" s="2691">
        <f>'Phụ lục số 5'!AF37</f>
        <v>470689</v>
      </c>
    </row>
    <row r="41" spans="1:3" s="154" customFormat="1" ht="19.2" customHeight="1">
      <c r="A41" s="2689">
        <v>2</v>
      </c>
      <c r="B41" s="29" t="s">
        <v>285</v>
      </c>
      <c r="C41" s="2690">
        <f>SUM(C42:C46)</f>
        <v>49965.948000000004</v>
      </c>
    </row>
    <row r="42" spans="1:3" s="154" customFormat="1" ht="36" customHeight="1">
      <c r="A42" s="2628" t="s">
        <v>34</v>
      </c>
      <c r="B42" s="2701" t="str">
        <f>'H. THÁP MƯỜI'!B42</f>
        <v>Kinh phí hỗ trợ giá sản phẩm, dịch vụ công ích thủy lợi theo quy định tại Nghị định số 96/2018/NĐ-CP ngày 30/6/2018 của Chính phủ</v>
      </c>
      <c r="C42" s="2691">
        <f>'Phụ lục số 5'!AF39</f>
        <v>8900</v>
      </c>
    </row>
    <row r="43" spans="1:3" s="154" customFormat="1" ht="54" customHeight="1">
      <c r="A43" s="2628" t="s">
        <v>35</v>
      </c>
      <c r="B43" s="2701" t="str">
        <f>'H. THÁP MƯỜI'!B43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691">
        <f>'Phụ lục số 5'!AF40</f>
        <v>7000</v>
      </c>
    </row>
    <row r="44" spans="1:3" s="154" customFormat="1" ht="19.2" customHeight="1">
      <c r="A44" s="2628" t="s">
        <v>36</v>
      </c>
      <c r="B44" s="2701" t="str">
        <f>'H. THÁP MƯỜI'!B44</f>
        <v>Bổ sung nguồn thực hiện điều chỉnh tiền lương cơ sở tăng thêm đến 1,8 triệu đồng/tháng (12 tháng)</v>
      </c>
      <c r="C44" s="2691">
        <f>'Phụ lục số 5'!AF41</f>
        <v>9628</v>
      </c>
    </row>
    <row r="45" spans="1:3" s="154" customFormat="1" ht="19.2" customHeight="1">
      <c r="A45" s="2628" t="s">
        <v>37</v>
      </c>
      <c r="B45" s="2701" t="str">
        <f>'H. THÁP MƯỜI'!B45</f>
        <v>Bổ sung có mục tiêu thực hiện chính sách an sinh xã hội (ngoài chính sách tiền lương) (5)</v>
      </c>
      <c r="C45" s="2691">
        <f>'Phụ lục số 5'!AF42</f>
        <v>22437.948</v>
      </c>
    </row>
    <row r="46" spans="1:3" s="154" customFormat="1">
      <c r="A46" s="2814" t="str">
        <f>'TỔNG CỘNG'!A46</f>
        <v>đ</v>
      </c>
      <c r="B46" s="2701" t="str">
        <f>'H. THÁP MƯỜI'!B46</f>
        <v>Bổ sung có mục tiêu kinh phí diễn tập khu vực phòng thủ cấp huyện năm 2024</v>
      </c>
      <c r="C46" s="2691">
        <f>'Phụ lục số 5'!AF43</f>
        <v>2000</v>
      </c>
    </row>
    <row r="47" spans="1:3" s="154" customFormat="1" ht="19.2" customHeight="1" thickBot="1">
      <c r="A47" s="2705" t="s">
        <v>50</v>
      </c>
      <c r="B47" s="2709" t="s">
        <v>286</v>
      </c>
      <c r="C47" s="2707">
        <f>'Phụ lục số 5'!AF44</f>
        <v>39278</v>
      </c>
    </row>
    <row r="48" spans="1:3" ht="19.2" hidden="1" customHeight="1">
      <c r="A48" s="2698"/>
      <c r="B48" s="2698" t="s">
        <v>287</v>
      </c>
      <c r="C48" s="2699"/>
    </row>
    <row r="50" spans="1:3">
      <c r="A50" s="4769" t="s">
        <v>1050</v>
      </c>
      <c r="B50" s="4769"/>
      <c r="C50" s="4769"/>
    </row>
    <row r="51" spans="1:3" ht="34.950000000000003" customHeight="1">
      <c r="A51" s="4775" t="str">
        <f>'H. THÁP MƯỜI'!A51:C51</f>
        <v xml:space="preserve">(1): Dự toán thu ngân sách nhà nước năm 2024 không bao gồm các khoản huy động nhân dân đóng góp, các khoản ghi thu, ghi chi vào ngân sách nhà nước theo chế độ quy định.
</v>
      </c>
      <c r="B51" s="4775"/>
      <c r="C51" s="4775"/>
    </row>
    <row r="52" spans="1:3" ht="91.95" customHeight="1">
      <c r="A52" s="4775" t="str">
        <f>'H. THÁP MƯỜI'!A52:C52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75"/>
      <c r="C52" s="4775"/>
    </row>
    <row r="53" spans="1:3" ht="19.2" customHeight="1">
      <c r="A53" s="37" t="str">
        <f>'H. THÁP MƯỜI'!A53</f>
        <v>(4): Các khoản thu phân chia theo tỷ lệ (%) giữa ngân sách cấp Tỉnh và ngân sách cấp huyện</v>
      </c>
    </row>
    <row r="54" spans="1:3" ht="19.2" customHeight="1">
      <c r="A54" s="37" t="str">
        <f>'H. THÁP MƯỜI'!A54</f>
        <v>(5): Chi tiết chế độ, chính sách an sinh xã hội theo Phụ lục số III</v>
      </c>
    </row>
    <row r="55" spans="1:3" ht="19.2" customHeight="1"/>
    <row r="58" spans="1:3">
      <c r="A58" s="4299" t="str">
        <f>'H. THÁP MƯỜI'!A58:C58</f>
        <v>PHỤ LỤC II</v>
      </c>
      <c r="B58" s="4299"/>
      <c r="C58" s="4299"/>
    </row>
    <row r="59" spans="1:3">
      <c r="A59" s="4299" t="str">
        <f>'H. THÁP MƯỜI'!A59:C59</f>
        <v>NHIỆM VỤ CHI NGÂN SÁCH HUYỆN, THÀNH PHỐ NĂM 2024</v>
      </c>
      <c r="B59" s="4299"/>
      <c r="C59" s="4299"/>
    </row>
    <row r="60" spans="1:3">
      <c r="A60" s="4299" t="str">
        <f>A3</f>
        <v>HUYỆN LẤP VÒ</v>
      </c>
      <c r="B60" s="4299"/>
      <c r="C60" s="4299"/>
    </row>
    <row r="61" spans="1:3" ht="18" customHeight="1">
      <c r="A61" s="4627" t="str">
        <f>A4</f>
        <v>(Kèm theo Quyết định số        /QĐ-UBND-HC ngày      /12/2023 của Uỷ ban nhân dân tỉnh Đồng Tháp)</v>
      </c>
      <c r="B61" s="4627"/>
      <c r="C61" s="4627"/>
    </row>
    <row r="62" spans="1:3" ht="18" customHeight="1">
      <c r="A62" s="2578"/>
      <c r="B62" s="2578"/>
      <c r="C62" s="2578"/>
    </row>
    <row r="63" spans="1:3" ht="18" customHeight="1">
      <c r="A63" s="2578"/>
      <c r="B63" s="2578"/>
      <c r="C63" s="70" t="str">
        <f>C6</f>
        <v>Đơn vị tính: Triệu đồng</v>
      </c>
    </row>
    <row r="64" spans="1:3" s="210" customFormat="1" ht="34.950000000000003" customHeight="1">
      <c r="A64" s="2285" t="s">
        <v>288</v>
      </c>
      <c r="B64" s="2402" t="str">
        <f>'H. THÁP MƯỜI'!B64</f>
        <v>Nội dung</v>
      </c>
      <c r="C64" s="2403" t="str">
        <f>C7</f>
        <v>Dự toán năm 2024</v>
      </c>
    </row>
    <row r="65" spans="1:3" ht="19.2" customHeight="1">
      <c r="A65" s="2286"/>
      <c r="B65" s="1408" t="str">
        <f>'H. THÁP MƯỜI'!B65</f>
        <v>Tổng chi (I+II+III+IV)</v>
      </c>
      <c r="C65" s="2589">
        <f>C66+C70+C74+C75+C76</f>
        <v>829132.94799999997</v>
      </c>
    </row>
    <row r="66" spans="1:3" ht="19.2" customHeight="1">
      <c r="A66" s="2287" t="s">
        <v>9</v>
      </c>
      <c r="B66" s="2288" t="str">
        <f>'H. THÁP MƯỜI'!B66</f>
        <v>Chi đầu tư phát triển (1)</v>
      </c>
      <c r="C66" s="2594">
        <f>SUM(C68:C69)</f>
        <v>96000.351400568732</v>
      </c>
    </row>
    <row r="67" spans="1:3" ht="19.2" customHeight="1">
      <c r="A67" s="2289"/>
      <c r="B67" s="2290" t="str">
        <f>'H. THÁP MƯỜI'!B67</f>
        <v>Bao gồm:</v>
      </c>
      <c r="C67" s="2558"/>
    </row>
    <row r="68" spans="1:3" ht="19.2" customHeight="1">
      <c r="A68" s="2291">
        <v>1</v>
      </c>
      <c r="B68" s="3284" t="str">
        <f>'H. THÁP MƯỜI'!B68</f>
        <v>Chi đầu tư xây dựng cơ bản</v>
      </c>
      <c r="C68" s="2558">
        <f>'Phụ lục số 6'!L8</f>
        <v>42000.351400568725</v>
      </c>
    </row>
    <row r="69" spans="1:3" ht="19.2" customHeight="1">
      <c r="A69" s="2291">
        <v>2</v>
      </c>
      <c r="B69" s="3284" t="str">
        <f>'H. THÁP MƯỜI'!B69</f>
        <v>Chi đầu tư từ nguồn thu tiền sử dụng đất</v>
      </c>
      <c r="C69" s="2558">
        <f>'Phụ lục số 6'!L9</f>
        <v>54000</v>
      </c>
    </row>
    <row r="70" spans="1:3" ht="19.2" customHeight="1">
      <c r="A70" s="2287" t="s">
        <v>20</v>
      </c>
      <c r="B70" s="2288" t="str">
        <f>'H. THÁP MƯỜI'!B70</f>
        <v>Chi thường xuyên (2)</v>
      </c>
      <c r="C70" s="2594">
        <f>'Phụ lục số 6'!L10</f>
        <v>716878.32347413257</v>
      </c>
    </row>
    <row r="71" spans="1:3" ht="19.2" customHeight="1">
      <c r="A71" s="2293"/>
      <c r="B71" s="2294" t="str">
        <f>'H. THÁP MƯỜI'!B71</f>
        <v>Bao gồm:</v>
      </c>
      <c r="C71" s="2558"/>
    </row>
    <row r="72" spans="1:3" ht="19.2" customHeight="1">
      <c r="A72" s="2291">
        <v>1</v>
      </c>
      <c r="B72" s="2275" t="str">
        <f>'H. THÁP MƯỜI'!B72</f>
        <v>Sự nghiệp giáo dục - đào tạo (3)</v>
      </c>
      <c r="C72" s="2558">
        <f>'Phụ lục số 6'!L12</f>
        <v>366671.59034785029</v>
      </c>
    </row>
    <row r="73" spans="1:3" ht="19.2" customHeight="1">
      <c r="A73" s="2291">
        <v>2</v>
      </c>
      <c r="B73" s="2275" t="str">
        <f>'H. THÁP MƯỜI'!B73</f>
        <v>Các khoản chi thường xuyên còn lại</v>
      </c>
      <c r="C73" s="2558">
        <f>'Phụ lục số 6'!L13</f>
        <v>350206.73312628228</v>
      </c>
    </row>
    <row r="74" spans="1:3" ht="19.2" customHeight="1">
      <c r="A74" s="2287" t="s">
        <v>49</v>
      </c>
      <c r="B74" s="2288" t="str">
        <f>'H. THÁP MƯỜI'!B74</f>
        <v>Dự phòng ngân sách</v>
      </c>
      <c r="C74" s="2594">
        <f>'Phụ lục số 6'!L14</f>
        <v>16254.273125298643</v>
      </c>
    </row>
    <row r="75" spans="1:3" ht="19.2" customHeight="1">
      <c r="A75" s="2287" t="s">
        <v>50</v>
      </c>
      <c r="B75" s="2288" t="str">
        <f>'H. THÁP MƯỜI'!B75</f>
        <v>Chi tạo nguồn cải cách tiền lương</v>
      </c>
      <c r="C75" s="2594">
        <f>'Phụ lục số 6'!L15</f>
        <v>0</v>
      </c>
    </row>
    <row r="76" spans="1:3" ht="19.2" customHeight="1">
      <c r="A76" s="2583" t="s">
        <v>72</v>
      </c>
      <c r="B76" s="1399" t="str">
        <f>'H. THÁP MƯỜI'!B76</f>
        <v>Chi từ nguồn ngân sách cấp Tỉnh bổ sung có mục tiêu</v>
      </c>
      <c r="C76" s="2594">
        <f>SUM(C77:C81)</f>
        <v>0</v>
      </c>
    </row>
    <row r="77" spans="1:3" ht="19.2" hidden="1" customHeight="1">
      <c r="A77" s="2584" t="s">
        <v>137</v>
      </c>
      <c r="B77" s="16" t="str">
        <f>'H. THÁP MƯỜI'!B77</f>
        <v>Chi đầu tư xây dựng cơ bản</v>
      </c>
      <c r="C77" s="2558">
        <f>'Phụ lục số 6'!L17</f>
        <v>0</v>
      </c>
    </row>
    <row r="78" spans="1:3" ht="19.2" hidden="1" customHeight="1">
      <c r="A78" s="2584" t="s">
        <v>137</v>
      </c>
      <c r="B78" s="16" t="str">
        <f>'H. THÁP MƯỜI'!B78</f>
        <v>Chi đầu tư từ nguồn xổ số kiến thiết</v>
      </c>
      <c r="C78" s="2558">
        <f>'Phụ lục số 6'!L18</f>
        <v>0</v>
      </c>
    </row>
    <row r="79" spans="1:3" ht="19.2" hidden="1" customHeight="1">
      <c r="A79" s="2584" t="s">
        <v>137</v>
      </c>
      <c r="B79" s="16" t="str">
        <f>'H. THÁP MƯỜI'!B79</f>
        <v>Chi từ nguồn ngân sách trung ương bổ sung có mục tiêu (kinh phí sự nghiệp)</v>
      </c>
      <c r="C79" s="2558">
        <f>'Phụ lục số 6'!L19</f>
        <v>0</v>
      </c>
    </row>
    <row r="80" spans="1:3" ht="19.2" hidden="1" customHeight="1">
      <c r="A80" s="2585" t="s">
        <v>137</v>
      </c>
      <c r="B80" s="16" t="str">
        <f>'H. THÁP MƯỜI'!B80</f>
        <v>Chi từ nguồn ngân sách trung ương bổ sung có mục tiêu (Chương trình Mục tiêu quốc gia)</v>
      </c>
      <c r="C80" s="2558">
        <f>'Phụ lục số 6'!L20</f>
        <v>0</v>
      </c>
    </row>
    <row r="81" spans="1:3" ht="19.2" hidden="1" customHeight="1">
      <c r="A81" s="2586"/>
      <c r="B81" s="2825" t="str">
        <f>'H. THÁP MƯỜI'!B81</f>
        <v>Chi từ nguồn ngân sách trung ương bổ sung có mục tiêu, nhiệm vụ quan trọng khác</v>
      </c>
      <c r="C81" s="2595">
        <f>'Phụ lục số 6'!L21</f>
        <v>0</v>
      </c>
    </row>
    <row r="83" spans="1:3">
      <c r="A83" s="48" t="s">
        <v>1050</v>
      </c>
      <c r="B83" s="2581"/>
    </row>
    <row r="84" spans="1:3">
      <c r="A84" s="4757" t="s">
        <v>2494</v>
      </c>
      <c r="B84" s="4758"/>
      <c r="C84" s="4758"/>
    </row>
    <row r="85" spans="1:3" ht="60" customHeight="1">
      <c r="A85" s="4755" t="s">
        <v>2743</v>
      </c>
      <c r="B85" s="4756"/>
      <c r="C85" s="4756"/>
    </row>
    <row r="86" spans="1:3" ht="18" customHeight="1">
      <c r="A86" s="4756" t="str">
        <f>'H. THÁP MƯỜI'!A86:C86</f>
        <v>- Chưa bao gồm chi đầu tư từ nguồn vốn do ngân sách cấp tỉnh quản lý và phân bổ bổ sung có mục tiêu cho ngân sách huyện, thành phố</v>
      </c>
      <c r="B86" s="4756"/>
      <c r="C86" s="4756"/>
    </row>
    <row r="87" spans="1:3">
      <c r="A87" s="4772" t="s">
        <v>2495</v>
      </c>
      <c r="B87" s="4772"/>
      <c r="C87" s="4772"/>
    </row>
    <row r="88" spans="1:3" ht="60" customHeight="1">
      <c r="A88" s="4756" t="str">
        <f>'H. THÁP MƯỜI'!A88:C88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56"/>
      <c r="C88" s="4756"/>
    </row>
    <row r="89" spans="1:3" ht="40.200000000000003" customHeight="1">
      <c r="A89" s="4767" t="str">
        <f>'H. THÁP MƯỜI'!A89:C89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67"/>
      <c r="C89" s="4767"/>
    </row>
    <row r="90" spans="1:3">
      <c r="A90" s="37" t="str">
        <f>'H. THÁP MƯỜI'!A90</f>
        <v xml:space="preserve">- Bao gồm 10% tiết kiệm tăng thêm năm 2024 so với năm 2023 để thực hiện cải cách tiền lương năm 2024 là: </v>
      </c>
      <c r="C90" s="3369" t="s">
        <v>2670</v>
      </c>
    </row>
    <row r="91" spans="1:3" s="2248" customFormat="1" ht="17.399999999999999">
      <c r="A91" s="2248" t="str">
        <f>'H. THÁP MƯỜI'!A91</f>
        <v>(3): Trong đó:</v>
      </c>
    </row>
    <row r="92" spans="1:3" s="2249" customFormat="1" ht="55.2" customHeight="1">
      <c r="A92" s="4756" t="str">
        <f>'H. THÁP MƯỜI'!A92:C92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56"/>
      <c r="C92" s="4756"/>
    </row>
    <row r="118" spans="1:5">
      <c r="A118" s="4299" t="str">
        <f>'TỔNG CỘNG'!A118:C118</f>
        <v>PHỤ LỤC III</v>
      </c>
      <c r="B118" s="4299"/>
      <c r="C118" s="4299"/>
    </row>
    <row r="119" spans="1:5">
      <c r="A119" s="4299" t="str">
        <f>'TỔNG CỘNG'!A119:C119</f>
        <v>CHẾ ĐỘ CHÍNH SÁCH AN SINH XÃ HỘI TĂNG THÊM NĂM 2024</v>
      </c>
      <c r="B119" s="4299"/>
      <c r="C119" s="4299"/>
    </row>
    <row r="120" spans="1:5">
      <c r="A120" s="4299" t="str">
        <f>A60</f>
        <v>HUYỆN LẤP VÒ</v>
      </c>
      <c r="B120" s="4299"/>
      <c r="C120" s="4299"/>
    </row>
    <row r="121" spans="1:5">
      <c r="A121" s="4300" t="str">
        <f>'TỔNG CỘNG'!A121:C121</f>
        <v>(Kèm theo Quyết định số        /QĐ-UBND-HC ngày      /12/2023 của Uỷ ban nhân dân tỉnh Đồng Tháp)</v>
      </c>
      <c r="B121" s="4300"/>
      <c r="C121" s="4300"/>
    </row>
    <row r="123" spans="1:5">
      <c r="A123" s="3285"/>
      <c r="B123" s="3285"/>
      <c r="C123" s="1384" t="str">
        <f>C63</f>
        <v>Đơn vị tính: Triệu đồng</v>
      </c>
    </row>
    <row r="124" spans="1:5" ht="34.799999999999997">
      <c r="A124" s="3286" t="s">
        <v>288</v>
      </c>
      <c r="B124" s="3236" t="s">
        <v>791</v>
      </c>
      <c r="C124" s="1829" t="s">
        <v>1700</v>
      </c>
    </row>
    <row r="125" spans="1:5">
      <c r="A125" s="3494"/>
      <c r="B125" s="2386" t="str">
        <f>'TỔNG CỘNG'!B125</f>
        <v>TỔNG CỘNG (I+II)</v>
      </c>
      <c r="C125" s="3505">
        <f>C126+C130</f>
        <v>22437.948</v>
      </c>
      <c r="E125" s="1">
        <f>C125-C45</f>
        <v>0</v>
      </c>
    </row>
    <row r="126" spans="1:5">
      <c r="A126" s="133" t="s">
        <v>9</v>
      </c>
      <c r="B126" s="3782" t="str">
        <f>'TỔNG CỘNG'!B126</f>
        <v>Các chính sách thuộc sự nghiệp giáo dục - đào tạo và dạy nghề</v>
      </c>
      <c r="C126" s="3655">
        <f>SUM(C127:C129)</f>
        <v>568.80000000000007</v>
      </c>
    </row>
    <row r="127" spans="1:5" ht="36">
      <c r="A127" s="136">
        <v>1</v>
      </c>
      <c r="B127" s="803" t="str">
        <f>'TỔNG CỘNG'!B127</f>
        <v>Chính sách hỗ trợ chi phí học tập và miễn giảm học phí theo quy định tại Nghị định số 81/2021/NĐ-CP ngày 27/08/2021 của Chính phủ</v>
      </c>
      <c r="C127" s="2335">
        <f>'Phụ lục 7.3-CĐCS'!EK13+'Phụ lục 7.3-CĐCS'!EK14+'Phụ lục 7.3-CĐCS'!EK15</f>
        <v>568.80000000000007</v>
      </c>
    </row>
    <row r="128" spans="1:5" ht="36">
      <c r="A128" s="136">
        <v>2</v>
      </c>
      <c r="B128" s="3775" t="str">
        <f>'TỔNG CỘNG'!B128</f>
        <v>Chính sách phát triển giao dục mầm non Nghị định 105/2020/NĐ-CP ngày 08/09/2020 của Chính phủ</v>
      </c>
      <c r="C128" s="2335">
        <v>0</v>
      </c>
    </row>
    <row r="129" spans="1:3" ht="36">
      <c r="A129" s="136">
        <v>3</v>
      </c>
      <c r="B129" s="3775" t="str">
        <f>'TỔNG CỘNG'!B129</f>
        <v>Học bổng, chi phí học tập cho học sinh khuyết tật theo Thông tư liên tịch số 42/2013/TTLT-BGDĐT-BLĐTBXH-BTC ngày 31/12/2013</v>
      </c>
      <c r="C129" s="2335">
        <v>0</v>
      </c>
    </row>
    <row r="130" spans="1:3">
      <c r="A130" s="133" t="s">
        <v>20</v>
      </c>
      <c r="B130" s="3782" t="str">
        <f>'TỔNG CỘNG'!B130</f>
        <v>Các chính sách thuộc sự nghiệp đảm bảo xã hội</v>
      </c>
      <c r="C130" s="3655">
        <f>SUM(C131:C132)</f>
        <v>21869.148000000001</v>
      </c>
    </row>
    <row r="131" spans="1:3" ht="36">
      <c r="A131" s="136">
        <v>1</v>
      </c>
      <c r="B131" s="3775" t="str">
        <f>'TỔNG CỘNG'!B131</f>
        <v>Chính sách hỗ trợ thường xuyên cho đối tượng bảo trợ xã hội theo quy định tại Nghị định số 20/2021/NĐ-CP ngày 15/03/2021 của Chính phủ</v>
      </c>
      <c r="C131" s="2335">
        <f>'Phụ lục 7.3-CĐCS'!EK17+'Phụ lục 7.3-CĐCS'!EK18</f>
        <v>21869.148000000001</v>
      </c>
    </row>
    <row r="132" spans="1:3" ht="36">
      <c r="A132" s="2298">
        <v>2</v>
      </c>
      <c r="B132" s="3783" t="str">
        <f>'TỔNG CỘNG'!B132</f>
        <v>Chính sách hỗ trợ tiền điện cho hộ nghèo, hộ chính sách xã hội theo quy định tại Quyết định số 28/2014/QĐ-TTg ngày 07/4/2014 của Thủ tướng Chính phủ</v>
      </c>
      <c r="C132" s="2338">
        <v>0</v>
      </c>
    </row>
  </sheetData>
  <mergeCells count="22">
    <mergeCell ref="A51:C51"/>
    <mergeCell ref="A1:C1"/>
    <mergeCell ref="A58:C58"/>
    <mergeCell ref="A87:C87"/>
    <mergeCell ref="A88:C88"/>
    <mergeCell ref="A52:C52"/>
    <mergeCell ref="A2:C2"/>
    <mergeCell ref="A3:C3"/>
    <mergeCell ref="A4:C4"/>
    <mergeCell ref="A50:C50"/>
    <mergeCell ref="A89:C89"/>
    <mergeCell ref="A59:C59"/>
    <mergeCell ref="A60:C60"/>
    <mergeCell ref="A61:C61"/>
    <mergeCell ref="A84:C84"/>
    <mergeCell ref="A85:C85"/>
    <mergeCell ref="A86:C86"/>
    <mergeCell ref="A118:C118"/>
    <mergeCell ref="A119:C119"/>
    <mergeCell ref="A120:C120"/>
    <mergeCell ref="A121:C121"/>
    <mergeCell ref="A92:C92"/>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topLeftCell="A97" workbookViewId="0">
      <selection activeCell="C235" sqref="C235"/>
    </sheetView>
  </sheetViews>
  <sheetFormatPr defaultColWidth="8.69921875" defaultRowHeight="18"/>
  <cols>
    <col min="1" max="1" width="5.69921875" style="37" customWidth="1"/>
    <col min="2" max="2" width="96.69921875" style="37" customWidth="1"/>
    <col min="3" max="3" width="25.69921875" style="37" customWidth="1"/>
    <col min="4" max="16384" width="8.69921875" style="37"/>
  </cols>
  <sheetData>
    <row r="1" spans="1:3">
      <c r="A1" s="4299" t="str">
        <f>'H. LẤP VÒ'!A1:C1</f>
        <v>PHỤ LỤC I</v>
      </c>
      <c r="B1" s="4299"/>
      <c r="C1" s="4299"/>
    </row>
    <row r="2" spans="1:3">
      <c r="A2" s="4299" t="str">
        <f>'H. LẤP VÒ'!A2:C2</f>
        <v>NHIỆM VỤ THU NGÂN SÁCH NHÀ NƯỚC NĂM 2024</v>
      </c>
      <c r="B2" s="4299"/>
      <c r="C2" s="4299"/>
    </row>
    <row r="3" spans="1:3">
      <c r="A3" s="4299" t="s">
        <v>1875</v>
      </c>
      <c r="B3" s="4299"/>
      <c r="C3" s="4299"/>
    </row>
    <row r="4" spans="1:3" ht="15.6" customHeight="1">
      <c r="A4" s="4627" t="str">
        <f>'H. LẤP VÒ'!A4:C4</f>
        <v>(Kèm theo Quyết định số        /QĐ-UBND-HC ngày      /12/2023 của Uỷ ban nhân dân tỉnh Đồng Tháp)</v>
      </c>
      <c r="B4" s="4627"/>
      <c r="C4" s="4627"/>
    </row>
    <row r="5" spans="1:3">
      <c r="A5" s="2578"/>
      <c r="B5" s="2578"/>
    </row>
    <row r="6" spans="1:3" ht="18.600000000000001" thickBot="1">
      <c r="A6" s="2578"/>
      <c r="B6" s="2578"/>
      <c r="C6" s="39" t="s">
        <v>64</v>
      </c>
    </row>
    <row r="7" spans="1:3" s="1319" customFormat="1" ht="30" customHeight="1">
      <c r="A7" s="2145" t="s">
        <v>244</v>
      </c>
      <c r="B7" s="2669" t="s">
        <v>791</v>
      </c>
      <c r="C7" s="2668" t="s">
        <v>1700</v>
      </c>
    </row>
    <row r="8" spans="1:3" ht="19.2" customHeight="1">
      <c r="A8" s="2672" t="s">
        <v>9</v>
      </c>
      <c r="B8" s="2268" t="s">
        <v>263</v>
      </c>
      <c r="C8" s="2682">
        <f>SUM(C10,C16,C19,C20,C21,C22,C26,C29,C32,C36)</f>
        <v>195000</v>
      </c>
    </row>
    <row r="9" spans="1:3" s="49" customFormat="1" ht="19.2" customHeight="1">
      <c r="A9" s="2683"/>
      <c r="B9" s="2518" t="s">
        <v>264</v>
      </c>
      <c r="C9" s="2684">
        <f>C8-C29</f>
        <v>125000</v>
      </c>
    </row>
    <row r="10" spans="1:3" s="2" customFormat="1" ht="19.2" customHeight="1">
      <c r="A10" s="2673">
        <v>1</v>
      </c>
      <c r="B10" s="1399" t="s">
        <v>352</v>
      </c>
      <c r="C10" s="2685">
        <f>SUM(C11:C15)</f>
        <v>48800</v>
      </c>
    </row>
    <row r="11" spans="1:3" ht="19.2" customHeight="1">
      <c r="A11" s="2674" t="s">
        <v>137</v>
      </c>
      <c r="B11" s="16" t="s">
        <v>266</v>
      </c>
      <c r="C11" s="2686">
        <f>'Phụ lục số 5'!AG10</f>
        <v>30900</v>
      </c>
    </row>
    <row r="12" spans="1:3" ht="19.2" customHeight="1">
      <c r="A12" s="2674" t="s">
        <v>137</v>
      </c>
      <c r="B12" s="16" t="s">
        <v>267</v>
      </c>
      <c r="C12" s="2686">
        <f>'Phụ lục số 5'!AG11</f>
        <v>16300</v>
      </c>
    </row>
    <row r="13" spans="1:3" ht="19.2" customHeight="1">
      <c r="A13" s="2674" t="s">
        <v>137</v>
      </c>
      <c r="B13" s="16" t="s">
        <v>268</v>
      </c>
      <c r="C13" s="2686">
        <f>'Phụ lục số 5'!AG12</f>
        <v>200</v>
      </c>
    </row>
    <row r="14" spans="1:3" ht="19.2" customHeight="1">
      <c r="A14" s="2674" t="s">
        <v>137</v>
      </c>
      <c r="B14" s="16" t="s">
        <v>14</v>
      </c>
      <c r="C14" s="2686">
        <f>'Phụ lục số 5'!AG13</f>
        <v>1400</v>
      </c>
    </row>
    <row r="15" spans="1:3" ht="19.2" customHeight="1">
      <c r="A15" s="2674" t="s">
        <v>137</v>
      </c>
      <c r="B15" s="16" t="s">
        <v>269</v>
      </c>
      <c r="C15" s="2686">
        <f>'Phụ lục số 5'!AG14</f>
        <v>0</v>
      </c>
    </row>
    <row r="16" spans="1:3" s="2" customFormat="1" ht="19.2" customHeight="1">
      <c r="A16" s="2673">
        <v>2</v>
      </c>
      <c r="B16" s="1399" t="s">
        <v>97</v>
      </c>
      <c r="C16" s="2685">
        <f>SUM(C17:C18)</f>
        <v>24000</v>
      </c>
    </row>
    <row r="17" spans="1:3" ht="19.2" hidden="1" customHeight="1">
      <c r="A17" s="2675" t="s">
        <v>137</v>
      </c>
      <c r="B17" s="137" t="s">
        <v>276</v>
      </c>
      <c r="C17" s="2686">
        <f>'Phụ lục số 5'!AG16</f>
        <v>0</v>
      </c>
    </row>
    <row r="18" spans="1:3" ht="19.2" hidden="1" customHeight="1">
      <c r="A18" s="2676" t="s">
        <v>137</v>
      </c>
      <c r="B18" s="2274" t="s">
        <v>277</v>
      </c>
      <c r="C18" s="2686">
        <f>'Phụ lục số 5'!AG17</f>
        <v>24000</v>
      </c>
    </row>
    <row r="19" spans="1:3" ht="19.2" customHeight="1">
      <c r="A19" s="2673">
        <v>3</v>
      </c>
      <c r="B19" s="1399" t="s">
        <v>16</v>
      </c>
      <c r="C19" s="2685">
        <f>'Phụ lục số 5'!AG18</f>
        <v>24000</v>
      </c>
    </row>
    <row r="20" spans="1:3" ht="19.2" customHeight="1">
      <c r="A20" s="2673">
        <v>4</v>
      </c>
      <c r="B20" s="1399" t="s">
        <v>270</v>
      </c>
      <c r="C20" s="2685">
        <f>'Phụ lục số 5'!AG19</f>
        <v>0</v>
      </c>
    </row>
    <row r="21" spans="1:3" ht="19.2" customHeight="1">
      <c r="A21" s="2673">
        <v>4</v>
      </c>
      <c r="B21" s="1399" t="s">
        <v>271</v>
      </c>
      <c r="C21" s="2685">
        <f>'Phụ lục số 5'!AG20</f>
        <v>1000</v>
      </c>
    </row>
    <row r="22" spans="1:3" s="2" customFormat="1" ht="19.2" customHeight="1">
      <c r="A22" s="2673">
        <v>5</v>
      </c>
      <c r="B22" s="1399" t="s">
        <v>272</v>
      </c>
      <c r="C22" s="2685">
        <f>SUM(C23:C25)</f>
        <v>7000</v>
      </c>
    </row>
    <row r="23" spans="1:3" ht="19.2" customHeight="1">
      <c r="A23" s="2677" t="s">
        <v>137</v>
      </c>
      <c r="B23" s="137" t="s">
        <v>273</v>
      </c>
      <c r="C23" s="2686">
        <f>'Phụ lục số 5'!AG22</f>
        <v>2500</v>
      </c>
    </row>
    <row r="24" spans="1:3" ht="19.2" customHeight="1">
      <c r="A24" s="2677" t="s">
        <v>137</v>
      </c>
      <c r="B24" s="137" t="s">
        <v>274</v>
      </c>
      <c r="C24" s="2686">
        <f>'Phụ lục số 5'!AG23</f>
        <v>250</v>
      </c>
    </row>
    <row r="25" spans="1:3" ht="19.2" customHeight="1">
      <c r="A25" s="2677" t="s">
        <v>137</v>
      </c>
      <c r="B25" s="137" t="s">
        <v>275</v>
      </c>
      <c r="C25" s="2686">
        <f>'Phụ lục số 5'!AG24</f>
        <v>4250</v>
      </c>
    </row>
    <row r="26" spans="1:3" s="2" customFormat="1" ht="19.2" customHeight="1">
      <c r="A26" s="2673">
        <v>6</v>
      </c>
      <c r="B26" s="1399" t="s">
        <v>98</v>
      </c>
      <c r="C26" s="2685">
        <f>SUM(C27:C28)</f>
        <v>2200</v>
      </c>
    </row>
    <row r="27" spans="1:3" ht="19.2" customHeight="1">
      <c r="A27" s="2677" t="s">
        <v>137</v>
      </c>
      <c r="B27" s="137" t="s">
        <v>276</v>
      </c>
      <c r="C27" s="2686">
        <f>'Phụ lục số 5'!AG26</f>
        <v>0</v>
      </c>
    </row>
    <row r="28" spans="1:3" ht="19.2" customHeight="1">
      <c r="A28" s="2678" t="s">
        <v>137</v>
      </c>
      <c r="B28" s="2274" t="s">
        <v>2804</v>
      </c>
      <c r="C28" s="2686">
        <f>'Phụ lục số 5'!AG27</f>
        <v>2200</v>
      </c>
    </row>
    <row r="29" spans="1:3" ht="19.2" customHeight="1">
      <c r="A29" s="2673">
        <v>7</v>
      </c>
      <c r="B29" s="1399" t="s">
        <v>357</v>
      </c>
      <c r="C29" s="2685">
        <f>SUM(C30:C31)</f>
        <v>70000</v>
      </c>
    </row>
    <row r="30" spans="1:3" ht="19.2" customHeight="1">
      <c r="A30" s="2677" t="s">
        <v>137</v>
      </c>
      <c r="B30" s="137" t="s">
        <v>276</v>
      </c>
      <c r="C30" s="2686">
        <f>'Phụ lục số 5'!AG29</f>
        <v>0</v>
      </c>
    </row>
    <row r="31" spans="1:3" ht="19.2" customHeight="1">
      <c r="A31" s="2678" t="s">
        <v>137</v>
      </c>
      <c r="B31" s="2274" t="s">
        <v>2803</v>
      </c>
      <c r="C31" s="2686">
        <f>'Phụ lục số 5'!AG30</f>
        <v>70000</v>
      </c>
    </row>
    <row r="32" spans="1:3" s="2" customFormat="1" ht="19.2" customHeight="1">
      <c r="A32" s="2673">
        <v>8</v>
      </c>
      <c r="B32" s="1399" t="s">
        <v>279</v>
      </c>
      <c r="C32" s="2685">
        <f>SUM(C33:C35)</f>
        <v>18000</v>
      </c>
    </row>
    <row r="33" spans="1:3" ht="19.2" customHeight="1">
      <c r="A33" s="2677" t="s">
        <v>137</v>
      </c>
      <c r="B33" s="137" t="s">
        <v>280</v>
      </c>
      <c r="C33" s="2686">
        <f>'Phụ lục số 5'!AG32</f>
        <v>4000</v>
      </c>
    </row>
    <row r="34" spans="1:3" ht="19.2" customHeight="1">
      <c r="A34" s="2677" t="s">
        <v>137</v>
      </c>
      <c r="B34" s="137" t="s">
        <v>281</v>
      </c>
      <c r="C34" s="2686">
        <f>'Phụ lục số 5'!AG33</f>
        <v>4000</v>
      </c>
    </row>
    <row r="35" spans="1:3" ht="19.2" customHeight="1">
      <c r="A35" s="2677" t="s">
        <v>137</v>
      </c>
      <c r="B35" s="137" t="s">
        <v>282</v>
      </c>
      <c r="C35" s="2686">
        <f>'Phụ lục số 5'!AG34</f>
        <v>10000</v>
      </c>
    </row>
    <row r="36" spans="1:3" ht="19.2" customHeight="1">
      <c r="A36" s="2673">
        <v>9</v>
      </c>
      <c r="B36" s="2590" t="s">
        <v>2521</v>
      </c>
      <c r="C36" s="2685">
        <f>'Phụ lục số 5'!AG35</f>
        <v>0</v>
      </c>
    </row>
    <row r="37" spans="1:3" ht="19.2" customHeight="1">
      <c r="A37" s="2673" t="s">
        <v>20</v>
      </c>
      <c r="B37" s="1399" t="s">
        <v>2520</v>
      </c>
      <c r="C37" s="2687"/>
    </row>
    <row r="38" spans="1:3" ht="19.2" customHeight="1">
      <c r="A38" s="2673"/>
      <c r="B38" s="16" t="s">
        <v>2523</v>
      </c>
      <c r="C38" s="2688">
        <v>1</v>
      </c>
    </row>
    <row r="39" spans="1:3" s="1319" customFormat="1" ht="19.2" customHeight="1">
      <c r="A39" s="2689" t="s">
        <v>49</v>
      </c>
      <c r="B39" s="29" t="s">
        <v>2522</v>
      </c>
      <c r="C39" s="2690">
        <f>SUM(C40:C41)</f>
        <v>519057.712</v>
      </c>
    </row>
    <row r="40" spans="1:3" s="1319" customFormat="1" ht="19.2" customHeight="1">
      <c r="A40" s="2689">
        <v>1</v>
      </c>
      <c r="B40" s="29" t="s">
        <v>284</v>
      </c>
      <c r="C40" s="2690">
        <f>'Phụ lục số 5'!AI37</f>
        <v>440874</v>
      </c>
    </row>
    <row r="41" spans="1:3" s="1319" customFormat="1" ht="19.2" customHeight="1">
      <c r="A41" s="2689">
        <v>2</v>
      </c>
      <c r="B41" s="29" t="s">
        <v>285</v>
      </c>
      <c r="C41" s="2690">
        <f>SUM(C42:C46)</f>
        <v>78183.712</v>
      </c>
    </row>
    <row r="42" spans="1:3" s="154" customFormat="1" ht="36" customHeight="1">
      <c r="A42" s="2628" t="s">
        <v>34</v>
      </c>
      <c r="B42" s="2281" t="str">
        <f>'H. LẤP VÒ'!B42</f>
        <v>Kinh phí hỗ trợ giá sản phẩm, dịch vụ công ích thủy lợi theo quy định tại Nghị định số 96/2018/NĐ-CP ngày 30/6/2018 của Chính phủ</v>
      </c>
      <c r="C42" s="2691">
        <f>'Phụ lục số 5'!AI39</f>
        <v>11300</v>
      </c>
    </row>
    <row r="43" spans="1:3" s="154" customFormat="1" ht="54" customHeight="1">
      <c r="A43" s="2628" t="s">
        <v>35</v>
      </c>
      <c r="B43" s="2281" t="str">
        <f>'H. LẤP VÒ'!B43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691">
        <f>'Phụ lục số 5'!AI40</f>
        <v>7000</v>
      </c>
    </row>
    <row r="44" spans="1:3" s="154" customFormat="1" ht="19.2" customHeight="1">
      <c r="A44" s="2628" t="s">
        <v>36</v>
      </c>
      <c r="B44" s="2281" t="str">
        <f>'H. LẤP VÒ'!B44</f>
        <v>Bổ sung nguồn thực hiện điều chỉnh tiền lương cơ sở tăng thêm đến 1,8 triệu đồng/tháng (12 tháng)</v>
      </c>
      <c r="C44" s="2691">
        <f>'Phụ lục số 5'!AI41</f>
        <v>50621</v>
      </c>
    </row>
    <row r="45" spans="1:3" s="154" customFormat="1" ht="19.2" customHeight="1">
      <c r="A45" s="2628" t="s">
        <v>37</v>
      </c>
      <c r="B45" s="2281" t="str">
        <f>'H. LẤP VÒ'!B45</f>
        <v>Bổ sung có mục tiêu thực hiện chính sách an sinh xã hội (ngoài chính sách tiền lương) (5)</v>
      </c>
      <c r="C45" s="2691">
        <f>'Phụ lục số 5'!AI42</f>
        <v>7262.7119999999995</v>
      </c>
    </row>
    <row r="46" spans="1:3" s="154" customFormat="1">
      <c r="A46" s="2814" t="str">
        <f>'TỔNG CỘNG'!A46</f>
        <v>đ</v>
      </c>
      <c r="B46" s="2281" t="str">
        <f>'H. LẤP VÒ'!B46</f>
        <v>Bổ sung có mục tiêu kinh phí diễn tập khu vực phòng thủ cấp huyện năm 2024</v>
      </c>
      <c r="C46" s="2691">
        <f>'Phụ lục số 5'!AI43</f>
        <v>2000</v>
      </c>
    </row>
    <row r="47" spans="1:3" s="154" customFormat="1" ht="19.2" customHeight="1" thickBot="1">
      <c r="A47" s="2705" t="s">
        <v>50</v>
      </c>
      <c r="B47" s="2706" t="s">
        <v>286</v>
      </c>
      <c r="C47" s="2824">
        <f>'Phụ lục số 5'!AI44</f>
        <v>22770</v>
      </c>
    </row>
    <row r="48" spans="1:3" ht="19.2" hidden="1" customHeight="1">
      <c r="A48" s="2698"/>
      <c r="B48" s="2698" t="s">
        <v>287</v>
      </c>
      <c r="C48" s="2699"/>
    </row>
    <row r="50" spans="1:3">
      <c r="A50" s="4769" t="s">
        <v>1050</v>
      </c>
      <c r="B50" s="4769"/>
      <c r="C50" s="4769"/>
    </row>
    <row r="51" spans="1:3" ht="34.950000000000003" customHeight="1">
      <c r="A51" s="4775" t="str">
        <f>'H. LẤP VÒ'!A51:C51</f>
        <v xml:space="preserve">(1): Dự toán thu ngân sách nhà nước năm 2024 không bao gồm các khoản huy động nhân dân đóng góp, các khoản ghi thu, ghi chi vào ngân sách nhà nước theo chế độ quy định.
</v>
      </c>
      <c r="B51" s="4775"/>
      <c r="C51" s="4775"/>
    </row>
    <row r="52" spans="1:3" ht="91.95" customHeight="1">
      <c r="A52" s="4775" t="str">
        <f>'H. LẤP VÒ'!A52:C52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75"/>
      <c r="C52" s="4775"/>
    </row>
    <row r="53" spans="1:3" ht="19.2" customHeight="1">
      <c r="A53" s="37" t="str">
        <f>'H. LẤP VÒ'!A53</f>
        <v>(4): Các khoản thu phân chia theo tỷ lệ (%) giữa ngân sách cấp Tỉnh và ngân sách cấp huyện</v>
      </c>
    </row>
    <row r="54" spans="1:3" ht="19.2" customHeight="1">
      <c r="A54" s="37" t="str">
        <f>'H. LẤP VÒ'!A54</f>
        <v>(5): Chi tiết chế độ, chính sách an sinh xã hội theo Phụ lục số III</v>
      </c>
    </row>
    <row r="55" spans="1:3" ht="19.2" customHeight="1"/>
    <row r="58" spans="1:3">
      <c r="A58" s="4299" t="str">
        <f>'H. LẤP VÒ'!A58:C58</f>
        <v>PHỤ LỤC II</v>
      </c>
      <c r="B58" s="4299"/>
      <c r="C58" s="4299"/>
    </row>
    <row r="59" spans="1:3">
      <c r="A59" s="4299" t="str">
        <f>'H. LẤP VÒ'!A59:C59</f>
        <v>NHIỆM VỤ CHI NGÂN SÁCH HUYỆN, THÀNH PHỐ NĂM 2024</v>
      </c>
      <c r="B59" s="4299"/>
      <c r="C59" s="4299"/>
    </row>
    <row r="60" spans="1:3">
      <c r="A60" s="4299" t="str">
        <f>A3</f>
        <v>HUYỆN LAI VUNG</v>
      </c>
      <c r="B60" s="4299"/>
      <c r="C60" s="4299"/>
    </row>
    <row r="61" spans="1:3" ht="18" customHeight="1">
      <c r="A61" s="4627" t="str">
        <f>A4</f>
        <v>(Kèm theo Quyết định số        /QĐ-UBND-HC ngày      /12/2023 của Uỷ ban nhân dân tỉnh Đồng Tháp)</v>
      </c>
      <c r="B61" s="4627"/>
      <c r="C61" s="4627"/>
    </row>
    <row r="62" spans="1:3" ht="18" customHeight="1">
      <c r="A62" s="2578"/>
      <c r="B62" s="2578"/>
      <c r="C62" s="2578"/>
    </row>
    <row r="63" spans="1:3" ht="18" customHeight="1">
      <c r="A63" s="2578"/>
      <c r="B63" s="2578"/>
      <c r="C63" s="70" t="str">
        <f>C6</f>
        <v>Đơn vị tính: Triệu đồng</v>
      </c>
    </row>
    <row r="64" spans="1:3" s="210" customFormat="1" ht="34.950000000000003" customHeight="1">
      <c r="A64" s="2285" t="s">
        <v>288</v>
      </c>
      <c r="B64" s="2402" t="str">
        <f>'H. LẤP VÒ'!B64</f>
        <v>Nội dung</v>
      </c>
      <c r="C64" s="2403" t="str">
        <f>C7</f>
        <v>Dự toán năm 2024</v>
      </c>
    </row>
    <row r="65" spans="1:3" ht="19.2" customHeight="1">
      <c r="A65" s="2286"/>
      <c r="B65" s="1408" t="str">
        <f>'H. LẤP VÒ'!B65</f>
        <v>Tổng chi (I+II+III+IV)</v>
      </c>
      <c r="C65" s="2589">
        <f>C66+C70+C74+C75+C76</f>
        <v>717257.71200000006</v>
      </c>
    </row>
    <row r="66" spans="1:3" s="2" customFormat="1" ht="19.2" customHeight="1">
      <c r="A66" s="2287" t="s">
        <v>9</v>
      </c>
      <c r="B66" s="2288" t="str">
        <f>'H. LẤP VÒ'!B66</f>
        <v>Chi đầu tư phát triển (1)</v>
      </c>
      <c r="C66" s="2594">
        <f>SUM(C68:C69)</f>
        <v>96999.720817696681</v>
      </c>
    </row>
    <row r="67" spans="1:3" ht="19.2" customHeight="1">
      <c r="A67" s="2289"/>
      <c r="B67" s="2290" t="str">
        <f>'H. LẤP VÒ'!B67</f>
        <v>Bao gồm:</v>
      </c>
      <c r="C67" s="2558"/>
    </row>
    <row r="68" spans="1:3" ht="19.2" customHeight="1">
      <c r="A68" s="2291">
        <v>1</v>
      </c>
      <c r="B68" s="3284" t="str">
        <f>'H. LẤP VÒ'!B68</f>
        <v>Chi đầu tư xây dựng cơ bản</v>
      </c>
      <c r="C68" s="2558">
        <f>'Phụ lục số 6'!M8</f>
        <v>33999.720817696674</v>
      </c>
    </row>
    <row r="69" spans="1:3" ht="19.2" customHeight="1">
      <c r="A69" s="2291">
        <v>2</v>
      </c>
      <c r="B69" s="3284" t="str">
        <f>'H. LẤP VÒ'!B69</f>
        <v>Chi đầu tư từ nguồn thu tiền sử dụng đất</v>
      </c>
      <c r="C69" s="2558">
        <f>'Phụ lục số 6'!M9</f>
        <v>63000</v>
      </c>
    </row>
    <row r="70" spans="1:3" s="2" customFormat="1" ht="19.2" customHeight="1">
      <c r="A70" s="2287" t="s">
        <v>20</v>
      </c>
      <c r="B70" s="2288" t="str">
        <f>'H. LẤP VÒ'!B70</f>
        <v>Chi thường xuyên (2)</v>
      </c>
      <c r="C70" s="2594">
        <f>'Phụ lục số 6'!M10</f>
        <v>608806.9670957122</v>
      </c>
    </row>
    <row r="71" spans="1:3" ht="19.2" customHeight="1">
      <c r="A71" s="2293"/>
      <c r="B71" s="2294" t="str">
        <f>'H. LẤP VÒ'!B71</f>
        <v>Bao gồm:</v>
      </c>
      <c r="C71" s="2558"/>
    </row>
    <row r="72" spans="1:3" ht="19.2" customHeight="1">
      <c r="A72" s="2291">
        <v>1</v>
      </c>
      <c r="B72" s="2275" t="str">
        <f>'H. LẤP VÒ'!B72</f>
        <v>Sự nghiệp giáo dục - đào tạo (3)</v>
      </c>
      <c r="C72" s="2558">
        <f>'Phụ lục số 6'!M12</f>
        <v>331706.50480976811</v>
      </c>
    </row>
    <row r="73" spans="1:3" ht="19.2" customHeight="1">
      <c r="A73" s="2291">
        <v>2</v>
      </c>
      <c r="B73" s="2275" t="str">
        <f>'H. LẤP VÒ'!B73</f>
        <v>Các khoản chi thường xuyên còn lại</v>
      </c>
      <c r="C73" s="2558">
        <f>'Phụ lục số 6'!M13</f>
        <v>277100.46228594409</v>
      </c>
    </row>
    <row r="74" spans="1:3" s="2" customFormat="1" ht="19.2" customHeight="1">
      <c r="A74" s="2287" t="s">
        <v>49</v>
      </c>
      <c r="B74" s="2288" t="str">
        <f>'H. LẤP VÒ'!B74</f>
        <v>Dự phòng ngân sách</v>
      </c>
      <c r="C74" s="2594">
        <f>'Phụ lục số 6'!M14</f>
        <v>11451.024086591191</v>
      </c>
    </row>
    <row r="75" spans="1:3" s="2" customFormat="1" ht="19.2" customHeight="1">
      <c r="A75" s="2287" t="s">
        <v>50</v>
      </c>
      <c r="B75" s="2288" t="str">
        <f>'H. LẤP VÒ'!B75</f>
        <v>Chi tạo nguồn cải cách tiền lương</v>
      </c>
      <c r="C75" s="2594">
        <f>'Phụ lục số 6'!M15</f>
        <v>0</v>
      </c>
    </row>
    <row r="76" spans="1:3" s="2" customFormat="1" ht="19.2" customHeight="1">
      <c r="A76" s="2583" t="s">
        <v>72</v>
      </c>
      <c r="B76" s="1399" t="str">
        <f>'H. LẤP VÒ'!B76</f>
        <v>Chi từ nguồn ngân sách cấp Tỉnh bổ sung có mục tiêu</v>
      </c>
      <c r="C76" s="2594">
        <f>SUM(C77:C81)</f>
        <v>0</v>
      </c>
    </row>
    <row r="77" spans="1:3" ht="19.2" hidden="1" customHeight="1">
      <c r="A77" s="2584" t="s">
        <v>137</v>
      </c>
      <c r="B77" s="16" t="str">
        <f>'H. LẤP VÒ'!B77</f>
        <v>Chi đầu tư xây dựng cơ bản</v>
      </c>
      <c r="C77" s="2558">
        <f>'Phụ lục số 6'!M17</f>
        <v>0</v>
      </c>
    </row>
    <row r="78" spans="1:3" ht="19.2" hidden="1" customHeight="1">
      <c r="A78" s="2584" t="s">
        <v>137</v>
      </c>
      <c r="B78" s="16" t="str">
        <f>'H. LẤP VÒ'!B78</f>
        <v>Chi đầu tư từ nguồn xổ số kiến thiết</v>
      </c>
      <c r="C78" s="2558">
        <f>'Phụ lục số 6'!M18</f>
        <v>0</v>
      </c>
    </row>
    <row r="79" spans="1:3" ht="19.2" hidden="1" customHeight="1">
      <c r="A79" s="2584" t="s">
        <v>137</v>
      </c>
      <c r="B79" s="16" t="str">
        <f>'H. LẤP VÒ'!B79</f>
        <v>Chi từ nguồn ngân sách trung ương bổ sung có mục tiêu (kinh phí sự nghiệp)</v>
      </c>
      <c r="C79" s="2558">
        <f>'Phụ lục số 6'!M19</f>
        <v>0</v>
      </c>
    </row>
    <row r="80" spans="1:3" ht="19.2" hidden="1" customHeight="1">
      <c r="A80" s="2585" t="s">
        <v>137</v>
      </c>
      <c r="B80" s="16" t="str">
        <f>'H. LẤP VÒ'!B80</f>
        <v>Chi từ nguồn ngân sách trung ương bổ sung có mục tiêu (Chương trình Mục tiêu quốc gia)</v>
      </c>
      <c r="C80" s="2558">
        <f>'Phụ lục số 6'!M20</f>
        <v>0</v>
      </c>
    </row>
    <row r="81" spans="1:3" ht="19.2" hidden="1" customHeight="1">
      <c r="A81" s="2586"/>
      <c r="B81" s="2825" t="str">
        <f>'H. LẤP VÒ'!B81</f>
        <v>Chi từ nguồn ngân sách trung ương bổ sung có mục tiêu, nhiệm vụ quan trọng khác</v>
      </c>
      <c r="C81" s="2595">
        <f>'Phụ lục số 6'!M21</f>
        <v>0</v>
      </c>
    </row>
    <row r="83" spans="1:3">
      <c r="A83" s="48" t="s">
        <v>1050</v>
      </c>
      <c r="B83" s="2581"/>
    </row>
    <row r="84" spans="1:3">
      <c r="A84" s="4757" t="s">
        <v>2494</v>
      </c>
      <c r="B84" s="4758"/>
      <c r="C84" s="4758"/>
    </row>
    <row r="85" spans="1:3" ht="60" customHeight="1">
      <c r="A85" s="4755" t="s">
        <v>2743</v>
      </c>
      <c r="B85" s="4756"/>
      <c r="C85" s="4756"/>
    </row>
    <row r="86" spans="1:3" ht="18" customHeight="1">
      <c r="A86" s="4756" t="str">
        <f>'H. LẤP VÒ'!A86:C86</f>
        <v>- Chưa bao gồm chi đầu tư từ nguồn vốn do ngân sách cấp tỉnh quản lý và phân bổ bổ sung có mục tiêu cho ngân sách huyện, thành phố</v>
      </c>
      <c r="B86" s="4756"/>
      <c r="C86" s="4756"/>
    </row>
    <row r="87" spans="1:3">
      <c r="A87" s="4772" t="s">
        <v>2495</v>
      </c>
      <c r="B87" s="4772"/>
      <c r="C87" s="4772"/>
    </row>
    <row r="88" spans="1:3" ht="60" customHeight="1">
      <c r="A88" s="4756" t="str">
        <f>'H. LẤP VÒ'!A88:C88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56"/>
      <c r="C88" s="4756"/>
    </row>
    <row r="89" spans="1:3" ht="40.200000000000003" customHeight="1">
      <c r="A89" s="4767" t="str">
        <f>'H. LẤP VÒ'!A89:C89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67"/>
      <c r="C89" s="4767"/>
    </row>
    <row r="90" spans="1:3">
      <c r="A90" s="37" t="str">
        <f>'H. LẤP VÒ'!A90</f>
        <v xml:space="preserve">- Bao gồm 10% tiết kiệm tăng thêm năm 2024 so với năm 2023 để thực hiện cải cách tiền lương năm 2024 là: </v>
      </c>
      <c r="C90" s="3369" t="s">
        <v>2663</v>
      </c>
    </row>
    <row r="91" spans="1:3" s="2248" customFormat="1" ht="17.399999999999999">
      <c r="A91" s="2248" t="str">
        <f>'H. LẤP VÒ'!A91</f>
        <v>(3): Trong đó:</v>
      </c>
    </row>
    <row r="92" spans="1:3" s="3301" customFormat="1" ht="55.2" customHeight="1">
      <c r="A92" s="4756" t="str">
        <f>'H. LẤP VÒ'!A92:C92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56"/>
      <c r="C92" s="4756"/>
    </row>
    <row r="118" spans="1:5">
      <c r="A118" s="4299" t="str">
        <f>'TỔNG CỘNG'!A118:C118</f>
        <v>PHỤ LỤC III</v>
      </c>
      <c r="B118" s="4299"/>
      <c r="C118" s="4299"/>
    </row>
    <row r="119" spans="1:5">
      <c r="A119" s="4299" t="str">
        <f>'TỔNG CỘNG'!A119:C119</f>
        <v>CHẾ ĐỘ CHÍNH SÁCH AN SINH XÃ HỘI TĂNG THÊM NĂM 2024</v>
      </c>
      <c r="B119" s="4299"/>
      <c r="C119" s="4299"/>
    </row>
    <row r="120" spans="1:5">
      <c r="A120" s="4299" t="str">
        <f>A60</f>
        <v>HUYỆN LAI VUNG</v>
      </c>
      <c r="B120" s="4299"/>
      <c r="C120" s="4299"/>
    </row>
    <row r="121" spans="1:5">
      <c r="A121" s="4300" t="str">
        <f>'TỔNG CỘNG'!A121:C121</f>
        <v>(Kèm theo Quyết định số        /QĐ-UBND-HC ngày      /12/2023 của Uỷ ban nhân dân tỉnh Đồng Tháp)</v>
      </c>
      <c r="B121" s="4300"/>
      <c r="C121" s="4300"/>
    </row>
    <row r="123" spans="1:5">
      <c r="A123" s="3285"/>
      <c r="B123" s="3285"/>
      <c r="C123" s="1384" t="str">
        <f>C63</f>
        <v>Đơn vị tính: Triệu đồng</v>
      </c>
    </row>
    <row r="124" spans="1:5" ht="34.799999999999997">
      <c r="A124" s="3286" t="s">
        <v>288</v>
      </c>
      <c r="B124" s="3236" t="s">
        <v>791</v>
      </c>
      <c r="C124" s="1829" t="s">
        <v>1700</v>
      </c>
    </row>
    <row r="125" spans="1:5">
      <c r="A125" s="3494"/>
      <c r="B125" s="2386" t="str">
        <f>'TỔNG CỘNG'!B125</f>
        <v>TỔNG CỘNG (I+II)</v>
      </c>
      <c r="C125" s="3505">
        <f>C126+C130</f>
        <v>7262.7119999999995</v>
      </c>
      <c r="E125" s="1">
        <f>C125-C45</f>
        <v>0</v>
      </c>
    </row>
    <row r="126" spans="1:5">
      <c r="A126" s="133" t="s">
        <v>9</v>
      </c>
      <c r="B126" s="3782" t="str">
        <f>'TỔNG CỘNG'!B126</f>
        <v>Các chính sách thuộc sự nghiệp giáo dục - đào tạo và dạy nghề</v>
      </c>
      <c r="C126" s="3655">
        <f>SUM(C127:C129)</f>
        <v>182.71199999999999</v>
      </c>
    </row>
    <row r="127" spans="1:5" ht="36">
      <c r="A127" s="136">
        <v>1</v>
      </c>
      <c r="B127" s="803" t="str">
        <f>'TỔNG CỘNG'!B127</f>
        <v>Chính sách hỗ trợ chi phí học tập và miễn giảm học phí theo quy định tại Nghị định số 81/2021/NĐ-CP ngày 27/08/2021 của Chính phủ</v>
      </c>
      <c r="C127" s="2335">
        <f>'Phụ lục 7.3-CĐCS'!EY13+'Phụ lục 7.3-CĐCS'!EY14+'Phụ lục 7.3-CĐCS'!EY15</f>
        <v>182.71199999999999</v>
      </c>
    </row>
    <row r="128" spans="1:5" ht="36">
      <c r="A128" s="136">
        <v>2</v>
      </c>
      <c r="B128" s="3775" t="str">
        <f>'TỔNG CỘNG'!B128</f>
        <v>Chính sách phát triển giao dục mầm non Nghị định 105/2020/NĐ-CP ngày 08/09/2020 của Chính phủ</v>
      </c>
      <c r="C128" s="2335">
        <v>0</v>
      </c>
    </row>
    <row r="129" spans="1:3" ht="36">
      <c r="A129" s="136">
        <v>3</v>
      </c>
      <c r="B129" s="3775" t="str">
        <f>'TỔNG CỘNG'!B129</f>
        <v>Học bổng, chi phí học tập cho học sinh khuyết tật theo Thông tư liên tịch số 42/2013/TTLT-BGDĐT-BLĐTBXH-BTC ngày 31/12/2013</v>
      </c>
      <c r="C129" s="2335">
        <v>0</v>
      </c>
    </row>
    <row r="130" spans="1:3">
      <c r="A130" s="133" t="s">
        <v>20</v>
      </c>
      <c r="B130" s="3782" t="str">
        <f>'TỔNG CỘNG'!B130</f>
        <v>Các chính sách thuộc sự nghiệp đảm bảo xã hội</v>
      </c>
      <c r="C130" s="3655">
        <f>SUM(C131:C132)</f>
        <v>7080</v>
      </c>
    </row>
    <row r="131" spans="1:3" ht="36">
      <c r="A131" s="136">
        <v>1</v>
      </c>
      <c r="B131" s="3775" t="str">
        <f>'TỔNG CỘNG'!B131</f>
        <v>Chính sách hỗ trợ thường xuyên cho đối tượng bảo trợ xã hội theo quy định tại Nghị định số 20/2021/NĐ-CP ngày 15/03/2021 của Chính phủ</v>
      </c>
      <c r="C131" s="2335">
        <f>'Phụ lục 7.3-CĐCS'!EY17</f>
        <v>5627</v>
      </c>
    </row>
    <row r="132" spans="1:3" ht="36">
      <c r="A132" s="2298">
        <v>2</v>
      </c>
      <c r="B132" s="3783" t="str">
        <f>'TỔNG CỘNG'!B132</f>
        <v>Chính sách hỗ trợ tiền điện cho hộ nghèo, hộ chính sách xã hội theo quy định tại Quyết định số 28/2014/QĐ-TTg ngày 07/4/2014 của Thủ tướng Chính phủ</v>
      </c>
      <c r="C132" s="2338">
        <f>'Phụ lục 7.3-CĐCS'!EY18</f>
        <v>1453</v>
      </c>
    </row>
  </sheetData>
  <mergeCells count="22">
    <mergeCell ref="A51:C51"/>
    <mergeCell ref="A1:C1"/>
    <mergeCell ref="A58:C58"/>
    <mergeCell ref="A87:C87"/>
    <mergeCell ref="A88:C88"/>
    <mergeCell ref="A52:C52"/>
    <mergeCell ref="A2:C2"/>
    <mergeCell ref="A3:C3"/>
    <mergeCell ref="A4:C4"/>
    <mergeCell ref="A50:C50"/>
    <mergeCell ref="A89:C89"/>
    <mergeCell ref="A59:C59"/>
    <mergeCell ref="A60:C60"/>
    <mergeCell ref="A61:C61"/>
    <mergeCell ref="A84:C84"/>
    <mergeCell ref="A85:C85"/>
    <mergeCell ref="A86:C86"/>
    <mergeCell ref="A118:C118"/>
    <mergeCell ref="A119:C119"/>
    <mergeCell ref="A120:C120"/>
    <mergeCell ref="A121:C121"/>
    <mergeCell ref="A92:C92"/>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workbookViewId="0">
      <selection activeCell="C235" sqref="C235"/>
    </sheetView>
  </sheetViews>
  <sheetFormatPr defaultColWidth="8.69921875" defaultRowHeight="18"/>
  <cols>
    <col min="1" max="1" width="5.69921875" style="37" customWidth="1"/>
    <col min="2" max="2" width="96.69921875" style="37" customWidth="1"/>
    <col min="3" max="3" width="25.69921875" style="37" customWidth="1"/>
    <col min="4" max="16384" width="8.69921875" style="37"/>
  </cols>
  <sheetData>
    <row r="1" spans="1:3">
      <c r="A1" s="4299" t="str">
        <f>'H. LAI VUNG'!A1:C1</f>
        <v>PHỤ LỤC I</v>
      </c>
      <c r="B1" s="4299"/>
      <c r="C1" s="4299"/>
    </row>
    <row r="2" spans="1:3">
      <c r="A2" s="4299" t="str">
        <f>'H. LAI VUNG'!A2:C2</f>
        <v>NHIỆM VỤ THU NGÂN SÁCH NHÀ NƯỚC NĂM 2024</v>
      </c>
      <c r="B2" s="4299"/>
      <c r="C2" s="4299"/>
    </row>
    <row r="3" spans="1:3">
      <c r="A3" s="4299" t="s">
        <v>367</v>
      </c>
      <c r="B3" s="4299"/>
      <c r="C3" s="4299"/>
    </row>
    <row r="4" spans="1:3" ht="15.6" customHeight="1">
      <c r="A4" s="4627" t="str">
        <f>'H. LAI VUNG'!A4:C4</f>
        <v>(Kèm theo Quyết định số        /QĐ-UBND-HC ngày      /12/2023 của Uỷ ban nhân dân tỉnh Đồng Tháp)</v>
      </c>
      <c r="B4" s="4627"/>
      <c r="C4" s="4627"/>
    </row>
    <row r="5" spans="1:3">
      <c r="A5" s="2578"/>
      <c r="B5" s="2578"/>
    </row>
    <row r="6" spans="1:3" ht="18.600000000000001" thickBot="1">
      <c r="A6" s="2578"/>
      <c r="B6" s="2578"/>
      <c r="C6" s="39" t="s">
        <v>64</v>
      </c>
    </row>
    <row r="7" spans="1:3" s="1319" customFormat="1" ht="30" customHeight="1">
      <c r="A7" s="2145" t="s">
        <v>244</v>
      </c>
      <c r="B7" s="2669" t="s">
        <v>791</v>
      </c>
      <c r="C7" s="2668" t="s">
        <v>1700</v>
      </c>
    </row>
    <row r="8" spans="1:3" s="2" customFormat="1" ht="19.2" customHeight="1">
      <c r="A8" s="2672" t="s">
        <v>9</v>
      </c>
      <c r="B8" s="2268" t="s">
        <v>263</v>
      </c>
      <c r="C8" s="2682">
        <f>C10+C16+C19+C20+C21+C22+C26+C29+C32+C36</f>
        <v>930100</v>
      </c>
    </row>
    <row r="9" spans="1:3" s="49" customFormat="1" ht="19.2" customHeight="1">
      <c r="A9" s="2683"/>
      <c r="B9" s="2518" t="s">
        <v>264</v>
      </c>
      <c r="C9" s="2684">
        <f>C8-C29</f>
        <v>420100</v>
      </c>
    </row>
    <row r="10" spans="1:3" s="2" customFormat="1" ht="19.2" customHeight="1">
      <c r="A10" s="2673">
        <v>1</v>
      </c>
      <c r="B10" s="1399" t="s">
        <v>352</v>
      </c>
      <c r="C10" s="2685">
        <f>SUM(C11:C15)</f>
        <v>252200</v>
      </c>
    </row>
    <row r="11" spans="1:3" ht="19.2" customHeight="1">
      <c r="A11" s="2674" t="s">
        <v>137</v>
      </c>
      <c r="B11" s="16" t="s">
        <v>266</v>
      </c>
      <c r="C11" s="2686">
        <f>'Phụ lục số 5'!AJ10</f>
        <v>100000</v>
      </c>
    </row>
    <row r="12" spans="1:3" ht="19.2" customHeight="1">
      <c r="A12" s="2674" t="s">
        <v>137</v>
      </c>
      <c r="B12" s="16" t="s">
        <v>267</v>
      </c>
      <c r="C12" s="2686">
        <f>'Phụ lục số 5'!AJ11</f>
        <v>151200</v>
      </c>
    </row>
    <row r="13" spans="1:3" ht="19.2" customHeight="1">
      <c r="A13" s="2674" t="s">
        <v>137</v>
      </c>
      <c r="B13" s="16" t="s">
        <v>268</v>
      </c>
      <c r="C13" s="2686">
        <f>'Phụ lục số 5'!AJ12</f>
        <v>500</v>
      </c>
    </row>
    <row r="14" spans="1:3" ht="19.2" customHeight="1">
      <c r="A14" s="2674" t="s">
        <v>137</v>
      </c>
      <c r="B14" s="16" t="s">
        <v>14</v>
      </c>
      <c r="C14" s="2686">
        <f>'Phụ lục số 5'!AJ13</f>
        <v>500</v>
      </c>
    </row>
    <row r="15" spans="1:3" ht="19.2" customHeight="1">
      <c r="A15" s="2674" t="s">
        <v>137</v>
      </c>
      <c r="B15" s="16" t="s">
        <v>269</v>
      </c>
      <c r="C15" s="2686">
        <f>'Phụ lục số 5'!AJ14</f>
        <v>0</v>
      </c>
    </row>
    <row r="16" spans="1:3" s="2" customFormat="1" ht="19.2" customHeight="1">
      <c r="A16" s="2673">
        <v>2</v>
      </c>
      <c r="B16" s="1399" t="s">
        <v>97</v>
      </c>
      <c r="C16" s="2685">
        <f>SUM(C17:C18)</f>
        <v>39000</v>
      </c>
    </row>
    <row r="17" spans="1:3" ht="19.2" hidden="1" customHeight="1">
      <c r="A17" s="2675" t="s">
        <v>137</v>
      </c>
      <c r="B17" s="137" t="s">
        <v>276</v>
      </c>
      <c r="C17" s="2686">
        <f>'Phụ lục số 5'!AJ16</f>
        <v>0</v>
      </c>
    </row>
    <row r="18" spans="1:3" ht="19.2" hidden="1" customHeight="1">
      <c r="A18" s="2676" t="s">
        <v>137</v>
      </c>
      <c r="B18" s="2274" t="s">
        <v>277</v>
      </c>
      <c r="C18" s="2686">
        <f>'Phụ lục số 5'!AJ17</f>
        <v>39000</v>
      </c>
    </row>
    <row r="19" spans="1:3" s="2" customFormat="1" ht="19.2" customHeight="1">
      <c r="A19" s="2673">
        <v>3</v>
      </c>
      <c r="B19" s="1399" t="s">
        <v>16</v>
      </c>
      <c r="C19" s="2685">
        <f>'Phụ lục số 5'!AJ18</f>
        <v>33000</v>
      </c>
    </row>
    <row r="20" spans="1:3" s="2" customFormat="1" ht="19.2" customHeight="1">
      <c r="A20" s="2673">
        <v>4</v>
      </c>
      <c r="B20" s="1399" t="s">
        <v>270</v>
      </c>
      <c r="C20" s="2685">
        <f>'Phụ lục số 5'!AJ19</f>
        <v>0</v>
      </c>
    </row>
    <row r="21" spans="1:3" s="2" customFormat="1" ht="19.2" customHeight="1">
      <c r="A21" s="2673">
        <v>4</v>
      </c>
      <c r="B21" s="1399" t="s">
        <v>271</v>
      </c>
      <c r="C21" s="2685">
        <f>'Phụ lục số 5'!AJ20</f>
        <v>2800</v>
      </c>
    </row>
    <row r="22" spans="1:3" s="2" customFormat="1" ht="19.2" customHeight="1">
      <c r="A22" s="2673">
        <v>5</v>
      </c>
      <c r="B22" s="1399" t="s">
        <v>272</v>
      </c>
      <c r="C22" s="2685">
        <f>SUM(C23:C25)</f>
        <v>13000</v>
      </c>
    </row>
    <row r="23" spans="1:3" ht="19.2" customHeight="1">
      <c r="A23" s="2677" t="s">
        <v>137</v>
      </c>
      <c r="B23" s="137" t="s">
        <v>273</v>
      </c>
      <c r="C23" s="2686">
        <f>'Phụ lục số 5'!AJ22</f>
        <v>4500</v>
      </c>
    </row>
    <row r="24" spans="1:3" ht="19.2" customHeight="1">
      <c r="A24" s="2677" t="s">
        <v>137</v>
      </c>
      <c r="B24" s="137" t="s">
        <v>274</v>
      </c>
      <c r="C24" s="2686">
        <f>'Phụ lục số 5'!AJ23</f>
        <v>1500</v>
      </c>
    </row>
    <row r="25" spans="1:3" ht="19.2" customHeight="1">
      <c r="A25" s="2677" t="s">
        <v>137</v>
      </c>
      <c r="B25" s="137" t="s">
        <v>275</v>
      </c>
      <c r="C25" s="2686">
        <f>'Phụ lục số 5'!AJ24</f>
        <v>7000</v>
      </c>
    </row>
    <row r="26" spans="1:3" s="2" customFormat="1" ht="19.2" customHeight="1">
      <c r="A26" s="2673">
        <v>6</v>
      </c>
      <c r="B26" s="1399" t="s">
        <v>98</v>
      </c>
      <c r="C26" s="2685">
        <f>SUM(C27:C28)</f>
        <v>61600</v>
      </c>
    </row>
    <row r="27" spans="1:3" ht="19.2" customHeight="1">
      <c r="A27" s="2677" t="s">
        <v>137</v>
      </c>
      <c r="B27" s="137" t="s">
        <v>276</v>
      </c>
      <c r="C27" s="2686">
        <f>'Phụ lục số 5'!AJ26</f>
        <v>0</v>
      </c>
    </row>
    <row r="28" spans="1:3" ht="19.2" customHeight="1">
      <c r="A28" s="2678" t="s">
        <v>137</v>
      </c>
      <c r="B28" s="2274" t="s">
        <v>2804</v>
      </c>
      <c r="C28" s="2686">
        <f>'Phụ lục số 5'!AJ27</f>
        <v>61600</v>
      </c>
    </row>
    <row r="29" spans="1:3" s="2" customFormat="1" ht="19.2" customHeight="1">
      <c r="A29" s="2673">
        <v>7</v>
      </c>
      <c r="B29" s="1399" t="s">
        <v>357</v>
      </c>
      <c r="C29" s="2685">
        <f>SUM(C30:C31)</f>
        <v>510000</v>
      </c>
    </row>
    <row r="30" spans="1:3" ht="19.2" customHeight="1">
      <c r="A30" s="2677" t="s">
        <v>137</v>
      </c>
      <c r="B30" s="137" t="s">
        <v>276</v>
      </c>
      <c r="C30" s="2686">
        <f>'Phụ lục số 5'!AJ29</f>
        <v>350000</v>
      </c>
    </row>
    <row r="31" spans="1:3" ht="19.2" customHeight="1">
      <c r="A31" s="2678" t="s">
        <v>137</v>
      </c>
      <c r="B31" s="2274" t="s">
        <v>2803</v>
      </c>
      <c r="C31" s="2686">
        <f>'Phụ lục số 5'!AJ30</f>
        <v>160000</v>
      </c>
    </row>
    <row r="32" spans="1:3" s="2" customFormat="1" ht="19.2" customHeight="1">
      <c r="A32" s="2673">
        <v>8</v>
      </c>
      <c r="B32" s="1399" t="s">
        <v>279</v>
      </c>
      <c r="C32" s="2685">
        <f>SUM(C33:C35)</f>
        <v>18000</v>
      </c>
    </row>
    <row r="33" spans="1:3" ht="19.2" customHeight="1">
      <c r="A33" s="2677" t="s">
        <v>137</v>
      </c>
      <c r="B33" s="137" t="s">
        <v>280</v>
      </c>
      <c r="C33" s="2686">
        <f>'Phụ lục số 5'!AJ32</f>
        <v>4000</v>
      </c>
    </row>
    <row r="34" spans="1:3" ht="19.2" customHeight="1">
      <c r="A34" s="2677" t="s">
        <v>137</v>
      </c>
      <c r="B34" s="137" t="s">
        <v>281</v>
      </c>
      <c r="C34" s="2686">
        <f>'Phụ lục số 5'!AJ33</f>
        <v>2500</v>
      </c>
    </row>
    <row r="35" spans="1:3" ht="19.2" customHeight="1">
      <c r="A35" s="2677" t="s">
        <v>137</v>
      </c>
      <c r="B35" s="137" t="s">
        <v>282</v>
      </c>
      <c r="C35" s="2686">
        <f>'Phụ lục số 5'!AJ34</f>
        <v>11500</v>
      </c>
    </row>
    <row r="36" spans="1:3" s="2" customFormat="1" ht="19.2" customHeight="1">
      <c r="A36" s="2673">
        <v>9</v>
      </c>
      <c r="B36" s="2590" t="s">
        <v>2521</v>
      </c>
      <c r="C36" s="2685">
        <f>'Phụ lục số 5'!AJ35</f>
        <v>500</v>
      </c>
    </row>
    <row r="37" spans="1:3" s="2" customFormat="1" ht="19.2" customHeight="1">
      <c r="A37" s="2673" t="s">
        <v>20</v>
      </c>
      <c r="B37" s="1399" t="s">
        <v>2520</v>
      </c>
      <c r="C37" s="2711"/>
    </row>
    <row r="38" spans="1:3" s="2" customFormat="1" ht="19.2" customHeight="1">
      <c r="A38" s="2673"/>
      <c r="B38" s="16" t="s">
        <v>2523</v>
      </c>
      <c r="C38" s="2712">
        <f>100%</f>
        <v>1</v>
      </c>
    </row>
    <row r="39" spans="1:3" s="1319" customFormat="1" ht="19.2" customHeight="1">
      <c r="A39" s="2689" t="s">
        <v>49</v>
      </c>
      <c r="B39" s="29" t="s">
        <v>2522</v>
      </c>
      <c r="C39" s="2690">
        <f>SUM(C40:C41)</f>
        <v>234459.92</v>
      </c>
    </row>
    <row r="40" spans="1:3" s="1319" customFormat="1" ht="19.2" customHeight="1">
      <c r="A40" s="2689">
        <v>1</v>
      </c>
      <c r="B40" s="29" t="s">
        <v>284</v>
      </c>
      <c r="C40" s="2690">
        <f>'Phụ lục số 5'!AL37</f>
        <v>224584</v>
      </c>
    </row>
    <row r="41" spans="1:3" s="1319" customFormat="1" ht="19.2" customHeight="1">
      <c r="A41" s="2689">
        <v>2</v>
      </c>
      <c r="B41" s="29" t="s">
        <v>285</v>
      </c>
      <c r="C41" s="2690">
        <f>SUM(C42:C46)</f>
        <v>9875.92</v>
      </c>
    </row>
    <row r="42" spans="1:3" s="154" customFormat="1" ht="36" customHeight="1">
      <c r="A42" s="2628" t="s">
        <v>34</v>
      </c>
      <c r="B42" s="2281" t="str">
        <f>'H. LAI VUNG'!B42</f>
        <v>Kinh phí hỗ trợ giá sản phẩm, dịch vụ công ích thủy lợi theo quy định tại Nghị định số 96/2018/NĐ-CP ngày 30/6/2018 của Chính phủ</v>
      </c>
      <c r="C42" s="2691">
        <f>'Phụ lục số 5'!AL39</f>
        <v>3000</v>
      </c>
    </row>
    <row r="43" spans="1:3" s="154" customFormat="1" ht="54" customHeight="1">
      <c r="A43" s="2628" t="s">
        <v>35</v>
      </c>
      <c r="B43" s="2281" t="str">
        <f>'H. LAI VUNG'!B43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691">
        <f>'Phụ lục số 5'!AL40</f>
        <v>1500</v>
      </c>
    </row>
    <row r="44" spans="1:3" s="154" customFormat="1" ht="19.2" customHeight="1">
      <c r="A44" s="2628" t="s">
        <v>36</v>
      </c>
      <c r="B44" s="2281" t="str">
        <f>'H. LAI VUNG'!B44</f>
        <v>Bổ sung nguồn thực hiện điều chỉnh tiền lương cơ sở tăng thêm đến 1,8 triệu đồng/tháng (12 tháng)</v>
      </c>
      <c r="C44" s="2691">
        <f>'Phụ lục số 5'!AL41</f>
        <v>0</v>
      </c>
    </row>
    <row r="45" spans="1:3" s="154" customFormat="1" ht="19.2" customHeight="1">
      <c r="A45" s="2628" t="s">
        <v>37</v>
      </c>
      <c r="B45" s="2281" t="str">
        <f>'H. LAI VUNG'!B45</f>
        <v>Bổ sung có mục tiêu thực hiện chính sách an sinh xã hội (ngoài chính sách tiền lương) (5)</v>
      </c>
      <c r="C45" s="2691">
        <f>'Phụ lục số 5'!AL42</f>
        <v>5375.92</v>
      </c>
    </row>
    <row r="46" spans="1:3" s="154" customFormat="1">
      <c r="A46" s="2814" t="str">
        <f>'TỔNG CỘNG'!A46</f>
        <v>đ</v>
      </c>
      <c r="B46" s="2281" t="str">
        <f>'H. LAI VUNG'!B46</f>
        <v>Bổ sung có mục tiêu kinh phí diễn tập khu vực phòng thủ cấp huyện năm 2024</v>
      </c>
      <c r="C46" s="2691">
        <f>'Phụ lục số 5'!AL43</f>
        <v>0</v>
      </c>
    </row>
    <row r="47" spans="1:3" s="154" customFormat="1" ht="19.2" customHeight="1" thickBot="1">
      <c r="A47" s="2705" t="s">
        <v>50</v>
      </c>
      <c r="B47" s="2706" t="s">
        <v>286</v>
      </c>
      <c r="C47" s="2697">
        <f>'Phụ lục số 5'!AL44</f>
        <v>174966</v>
      </c>
    </row>
    <row r="48" spans="1:3" s="154" customFormat="1" ht="19.2" hidden="1" customHeight="1">
      <c r="A48" s="2698"/>
      <c r="B48" s="2698" t="s">
        <v>287</v>
      </c>
      <c r="C48" s="2710"/>
    </row>
    <row r="50" spans="1:3">
      <c r="A50" s="4769" t="s">
        <v>1050</v>
      </c>
      <c r="B50" s="4769"/>
      <c r="C50" s="4769"/>
    </row>
    <row r="51" spans="1:3" ht="34.950000000000003" customHeight="1">
      <c r="A51" s="4775" t="str">
        <f>'H. LAI VUNG'!A51:C51</f>
        <v xml:space="preserve">(1): Dự toán thu ngân sách nhà nước năm 2024 không bao gồm các khoản huy động nhân dân đóng góp, các khoản ghi thu, ghi chi vào ngân sách nhà nước theo chế độ quy định.
</v>
      </c>
      <c r="B51" s="4775"/>
      <c r="C51" s="4775"/>
    </row>
    <row r="52" spans="1:3" ht="91.95" customHeight="1">
      <c r="A52" s="4775" t="str">
        <f>'H. LAI VUNG'!A52:C52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75"/>
      <c r="C52" s="4775"/>
    </row>
    <row r="53" spans="1:3" ht="19.2" customHeight="1">
      <c r="A53" s="37" t="str">
        <f>'H. LAI VUNG'!A53</f>
        <v>(4): Các khoản thu phân chia theo tỷ lệ (%) giữa ngân sách cấp Tỉnh và ngân sách cấp huyện</v>
      </c>
    </row>
    <row r="54" spans="1:3" ht="19.2" customHeight="1">
      <c r="A54" s="37" t="str">
        <f>'H. LAI VUNG'!A54</f>
        <v>(5): Chi tiết chế độ, chính sách an sinh xã hội theo Phụ lục số III</v>
      </c>
    </row>
    <row r="55" spans="1:3" ht="19.2" customHeight="1"/>
    <row r="58" spans="1:3">
      <c r="A58" s="4299" t="str">
        <f>'H. LAI VUNG'!A58:C58</f>
        <v>PHỤ LỤC II</v>
      </c>
      <c r="B58" s="4299"/>
      <c r="C58" s="4299"/>
    </row>
    <row r="59" spans="1:3">
      <c r="A59" s="4299" t="str">
        <f>'H. LAI VUNG'!A59:C59</f>
        <v>NHIỆM VỤ CHI NGÂN SÁCH HUYỆN, THÀNH PHỐ NĂM 2024</v>
      </c>
      <c r="B59" s="4299"/>
      <c r="C59" s="4299"/>
    </row>
    <row r="60" spans="1:3">
      <c r="A60" s="4299" t="str">
        <f>A3</f>
        <v>THÀNH PHỐ SA ĐÉC</v>
      </c>
      <c r="B60" s="4299"/>
      <c r="C60" s="4299"/>
    </row>
    <row r="61" spans="1:3" ht="18" customHeight="1">
      <c r="A61" s="4627" t="str">
        <f>A4</f>
        <v>(Kèm theo Quyết định số        /QĐ-UBND-HC ngày      /12/2023 của Uỷ ban nhân dân tỉnh Đồng Tháp)</v>
      </c>
      <c r="B61" s="4627"/>
      <c r="C61" s="4627"/>
    </row>
    <row r="62" spans="1:3" ht="18" customHeight="1">
      <c r="A62" s="2578"/>
      <c r="B62" s="2578"/>
      <c r="C62" s="2578"/>
    </row>
    <row r="63" spans="1:3" ht="18" customHeight="1">
      <c r="A63" s="2578"/>
      <c r="B63" s="2578"/>
      <c r="C63" s="70" t="str">
        <f>C6</f>
        <v>Đơn vị tính: Triệu đồng</v>
      </c>
    </row>
    <row r="64" spans="1:3" s="210" customFormat="1" ht="34.950000000000003" customHeight="1">
      <c r="A64" s="2285" t="s">
        <v>288</v>
      </c>
      <c r="B64" s="2402" t="str">
        <f>'H. LAI VUNG'!B64</f>
        <v>Nội dung</v>
      </c>
      <c r="C64" s="2403" t="str">
        <f>C7</f>
        <v>Dự toán năm 2024</v>
      </c>
    </row>
    <row r="65" spans="1:3" s="2" customFormat="1" ht="19.2" customHeight="1">
      <c r="A65" s="2286"/>
      <c r="B65" s="1408" t="str">
        <f>'H. LAI VUNG'!B65</f>
        <v>Tổng chi (I+II+III+IV)</v>
      </c>
      <c r="C65" s="2592">
        <f>C66+C70+C74+C75+C76</f>
        <v>953865.92</v>
      </c>
    </row>
    <row r="66" spans="1:3" s="2" customFormat="1" ht="19.2" customHeight="1">
      <c r="A66" s="2287" t="s">
        <v>9</v>
      </c>
      <c r="B66" s="2288" t="str">
        <f>'H. LAI VUNG'!B66</f>
        <v>Chi đầu tư phát triển (1)</v>
      </c>
      <c r="C66" s="2582">
        <f>SUM(C68:C69)</f>
        <v>227000.360400012</v>
      </c>
    </row>
    <row r="67" spans="1:3" ht="19.2" customHeight="1">
      <c r="A67" s="2289"/>
      <c r="B67" s="2290" t="str">
        <f>'H. LAI VUNG'!B67</f>
        <v>Bao gồm:</v>
      </c>
      <c r="C67" s="2587"/>
    </row>
    <row r="68" spans="1:3" ht="19.2" customHeight="1">
      <c r="A68" s="2291">
        <v>1</v>
      </c>
      <c r="B68" s="3284" t="str">
        <f>'H. LAI VUNG'!B68</f>
        <v>Chi đầu tư xây dựng cơ bản</v>
      </c>
      <c r="C68" s="2587">
        <f>'Phụ lục số 6'!N8</f>
        <v>83000.360400011981</v>
      </c>
    </row>
    <row r="69" spans="1:3" ht="19.2" customHeight="1">
      <c r="A69" s="2291">
        <v>2</v>
      </c>
      <c r="B69" s="3284" t="str">
        <f>'H. LAI VUNG'!B69</f>
        <v>Chi đầu tư từ nguồn thu tiền sử dụng đất</v>
      </c>
      <c r="C69" s="2587">
        <f>'Phụ lục số 6'!N9</f>
        <v>144000</v>
      </c>
    </row>
    <row r="70" spans="1:3" s="2" customFormat="1" ht="19.2" customHeight="1">
      <c r="A70" s="2287" t="s">
        <v>20</v>
      </c>
      <c r="B70" s="2288" t="str">
        <f>'H. LAI VUNG'!B70</f>
        <v>Chi thường xuyên (2)</v>
      </c>
      <c r="C70" s="2582">
        <f>'Phụ lục số 6'!N10</f>
        <v>537382.28403784544</v>
      </c>
    </row>
    <row r="71" spans="1:3" ht="19.2" customHeight="1">
      <c r="A71" s="2293"/>
      <c r="B71" s="2294" t="str">
        <f>'H. LAI VUNG'!B71</f>
        <v>Bao gồm:</v>
      </c>
      <c r="C71" s="2587"/>
    </row>
    <row r="72" spans="1:3" ht="19.2" customHeight="1">
      <c r="A72" s="2291">
        <v>1</v>
      </c>
      <c r="B72" s="2275" t="str">
        <f>'H. LAI VUNG'!B72</f>
        <v>Sự nghiệp giáo dục - đào tạo (3)</v>
      </c>
      <c r="C72" s="2587">
        <f>'Phụ lục số 6'!N12</f>
        <v>221835.73186322945</v>
      </c>
    </row>
    <row r="73" spans="1:3" ht="19.2" customHeight="1">
      <c r="A73" s="2291">
        <v>2</v>
      </c>
      <c r="B73" s="2275" t="str">
        <f>'H. LAI VUNG'!B73</f>
        <v>Các khoản chi thường xuyên còn lại</v>
      </c>
      <c r="C73" s="2587">
        <f>'Phụ lục số 6'!N13</f>
        <v>315546.55217461602</v>
      </c>
    </row>
    <row r="74" spans="1:3" s="2" customFormat="1" ht="19.2" customHeight="1">
      <c r="A74" s="2287" t="s">
        <v>49</v>
      </c>
      <c r="B74" s="2288" t="str">
        <f>'H. LAI VUNG'!B74</f>
        <v>Dự phòng ngân sách</v>
      </c>
      <c r="C74" s="2582">
        <f>'Phụ lục số 6'!N14</f>
        <v>16517.275562142579</v>
      </c>
    </row>
    <row r="75" spans="1:3" s="2" customFormat="1" ht="19.2" customHeight="1">
      <c r="A75" s="2287" t="s">
        <v>50</v>
      </c>
      <c r="B75" s="2288" t="str">
        <f>'H. LAI VUNG'!B75</f>
        <v>Chi tạo nguồn cải cách tiền lương</v>
      </c>
      <c r="C75" s="2582">
        <f>'Phụ lục số 6'!N15</f>
        <v>172966</v>
      </c>
    </row>
    <row r="76" spans="1:3" s="2" customFormat="1" ht="19.2" customHeight="1">
      <c r="A76" s="2583" t="s">
        <v>72</v>
      </c>
      <c r="B76" s="1399" t="str">
        <f>'H. LAI VUNG'!B76</f>
        <v>Chi từ nguồn ngân sách cấp Tỉnh bổ sung có mục tiêu</v>
      </c>
      <c r="C76" s="2582">
        <f>SUM(C77:C81)</f>
        <v>0</v>
      </c>
    </row>
    <row r="77" spans="1:3" ht="19.2" hidden="1" customHeight="1">
      <c r="A77" s="2584" t="s">
        <v>137</v>
      </c>
      <c r="B77" s="16" t="str">
        <f>'H. LAI VUNG'!B77</f>
        <v>Chi đầu tư xây dựng cơ bản</v>
      </c>
      <c r="C77" s="2587">
        <f>'Phụ lục số 6'!N17</f>
        <v>0</v>
      </c>
    </row>
    <row r="78" spans="1:3" ht="19.2" hidden="1" customHeight="1">
      <c r="A78" s="2584" t="s">
        <v>137</v>
      </c>
      <c r="B78" s="16" t="str">
        <f>'H. LAI VUNG'!B78</f>
        <v>Chi đầu tư từ nguồn xổ số kiến thiết</v>
      </c>
      <c r="C78" s="2587">
        <f>'Phụ lục số 6'!N18</f>
        <v>0</v>
      </c>
    </row>
    <row r="79" spans="1:3" ht="19.2" hidden="1" customHeight="1">
      <c r="A79" s="2584" t="s">
        <v>137</v>
      </c>
      <c r="B79" s="16" t="str">
        <f>'H. LAI VUNG'!B79</f>
        <v>Chi từ nguồn ngân sách trung ương bổ sung có mục tiêu (kinh phí sự nghiệp)</v>
      </c>
      <c r="C79" s="2587">
        <f>'Phụ lục số 6'!N19</f>
        <v>0</v>
      </c>
    </row>
    <row r="80" spans="1:3" ht="19.2" hidden="1" customHeight="1">
      <c r="A80" s="2585" t="s">
        <v>137</v>
      </c>
      <c r="B80" s="16" t="str">
        <f>'H. LAI VUNG'!B80</f>
        <v>Chi từ nguồn ngân sách trung ương bổ sung có mục tiêu (Chương trình Mục tiêu quốc gia)</v>
      </c>
      <c r="C80" s="2587">
        <f>'Phụ lục số 6'!N20</f>
        <v>0</v>
      </c>
    </row>
    <row r="81" spans="1:3" ht="19.2" hidden="1" customHeight="1">
      <c r="A81" s="2586"/>
      <c r="B81" s="2825" t="str">
        <f>'H. LAI VUNG'!B81</f>
        <v>Chi từ nguồn ngân sách trung ương bổ sung có mục tiêu, nhiệm vụ quan trọng khác</v>
      </c>
      <c r="C81" s="2591">
        <f>'Phụ lục số 6'!N21</f>
        <v>0</v>
      </c>
    </row>
    <row r="83" spans="1:3">
      <c r="A83" s="48" t="s">
        <v>1050</v>
      </c>
      <c r="B83" s="2581"/>
    </row>
    <row r="84" spans="1:3">
      <c r="A84" s="4757" t="s">
        <v>2494</v>
      </c>
      <c r="B84" s="4758"/>
      <c r="C84" s="4758"/>
    </row>
    <row r="85" spans="1:3" ht="60" customHeight="1">
      <c r="A85" s="4755" t="s">
        <v>2743</v>
      </c>
      <c r="B85" s="4756"/>
      <c r="C85" s="4756"/>
    </row>
    <row r="86" spans="1:3" ht="18" customHeight="1">
      <c r="A86" s="4756" t="str">
        <f>'H. LAI VUNG'!A86:C86</f>
        <v>- Chưa bao gồm chi đầu tư từ nguồn vốn do ngân sách cấp tỉnh quản lý và phân bổ bổ sung có mục tiêu cho ngân sách huyện, thành phố</v>
      </c>
      <c r="B86" s="4756"/>
      <c r="C86" s="4756"/>
    </row>
    <row r="87" spans="1:3">
      <c r="A87" s="4772" t="s">
        <v>2495</v>
      </c>
      <c r="B87" s="4772"/>
      <c r="C87" s="4772"/>
    </row>
    <row r="88" spans="1:3" ht="60" customHeight="1">
      <c r="A88" s="4756" t="str">
        <f>'H. LAI VUNG'!A88:C88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56"/>
      <c r="C88" s="4756"/>
    </row>
    <row r="89" spans="1:3" ht="40.200000000000003" customHeight="1">
      <c r="A89" s="4767" t="str">
        <f>'H. LAI VUNG'!A89:C89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67"/>
      <c r="C89" s="4767"/>
    </row>
    <row r="90" spans="1:3">
      <c r="A90" s="37" t="str">
        <f>'H. LAI VUNG'!A90</f>
        <v xml:space="preserve">- Bao gồm 10% tiết kiệm tăng thêm năm 2024 so với năm 2023 để thực hiện cải cách tiền lương năm 2024 là: </v>
      </c>
      <c r="C90" s="3369" t="s">
        <v>2672</v>
      </c>
    </row>
    <row r="91" spans="1:3" s="2" customFormat="1" ht="17.399999999999999">
      <c r="A91" s="2248" t="str">
        <f>'H. LAI VUNG'!A91</f>
        <v>(3): Trong đó:</v>
      </c>
      <c r="B91" s="2248"/>
      <c r="C91" s="2248"/>
    </row>
    <row r="92" spans="1:3" s="3349" customFormat="1" ht="55.2" customHeight="1">
      <c r="A92" s="4756" t="str">
        <f>'H. LAI VUNG'!A92:C92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56"/>
      <c r="C92" s="4756"/>
    </row>
    <row r="118" spans="1:5">
      <c r="A118" s="4299" t="str">
        <f>'TỔNG CỘNG'!A118:C118</f>
        <v>PHỤ LỤC III</v>
      </c>
      <c r="B118" s="4299"/>
      <c r="C118" s="4299"/>
    </row>
    <row r="119" spans="1:5">
      <c r="A119" s="4299" t="str">
        <f>'TỔNG CỘNG'!A119:C119</f>
        <v>CHẾ ĐỘ CHÍNH SÁCH AN SINH XÃ HỘI TĂNG THÊM NĂM 2024</v>
      </c>
      <c r="B119" s="4299"/>
      <c r="C119" s="4299"/>
    </row>
    <row r="120" spans="1:5">
      <c r="A120" s="4299" t="str">
        <f>A60</f>
        <v>THÀNH PHỐ SA ĐÉC</v>
      </c>
      <c r="B120" s="4299"/>
      <c r="C120" s="4299"/>
    </row>
    <row r="121" spans="1:5">
      <c r="A121" s="4300" t="str">
        <f>'TỔNG CỘNG'!A121:C121</f>
        <v>(Kèm theo Quyết định số        /QĐ-UBND-HC ngày      /12/2023 của Uỷ ban nhân dân tỉnh Đồng Tháp)</v>
      </c>
      <c r="B121" s="4300"/>
      <c r="C121" s="4300"/>
    </row>
    <row r="123" spans="1:5">
      <c r="A123" s="3285"/>
      <c r="B123" s="3285"/>
      <c r="C123" s="1384" t="str">
        <f>C63</f>
        <v>Đơn vị tính: Triệu đồng</v>
      </c>
    </row>
    <row r="124" spans="1:5" ht="34.799999999999997">
      <c r="A124" s="3286" t="s">
        <v>288</v>
      </c>
      <c r="B124" s="3236" t="s">
        <v>791</v>
      </c>
      <c r="C124" s="1829" t="s">
        <v>1700</v>
      </c>
    </row>
    <row r="125" spans="1:5">
      <c r="A125" s="3494"/>
      <c r="B125" s="2386" t="str">
        <f>'TỔNG CỘNG'!B125</f>
        <v>TỔNG CỘNG (I+II)</v>
      </c>
      <c r="C125" s="3505">
        <f>C126+C130</f>
        <v>5375.92</v>
      </c>
      <c r="E125" s="1">
        <f>C125-C45</f>
        <v>0</v>
      </c>
    </row>
    <row r="126" spans="1:5">
      <c r="A126" s="133" t="s">
        <v>9</v>
      </c>
      <c r="B126" s="3782" t="str">
        <f>'TỔNG CỘNG'!B126</f>
        <v>Các chính sách thuộc sự nghiệp giáo dục - đào tạo và dạy nghề</v>
      </c>
      <c r="C126" s="3655">
        <f>SUM(C127:C129)</f>
        <v>867.92000000000007</v>
      </c>
    </row>
    <row r="127" spans="1:5" ht="36">
      <c r="A127" s="136">
        <v>1</v>
      </c>
      <c r="B127" s="803" t="str">
        <f>'TỔNG CỘNG'!B127</f>
        <v>Chính sách hỗ trợ chi phí học tập và miễn giảm học phí theo quy định tại Nghị định số 81/2021/NĐ-CP ngày 27/08/2021 của Chính phủ</v>
      </c>
      <c r="C127" s="2335">
        <f>'Phụ lục 7.3-CĐCS'!FM13+'Phụ lục 7.3-CĐCS'!FM14</f>
        <v>786.48</v>
      </c>
    </row>
    <row r="128" spans="1:5" ht="36">
      <c r="A128" s="136">
        <v>2</v>
      </c>
      <c r="B128" s="3775" t="str">
        <f>'TỔNG CỘNG'!B128</f>
        <v>Chính sách phát triển giao dục mầm non Nghị định 105/2020/NĐ-CP ngày 08/09/2020 của Chính phủ</v>
      </c>
      <c r="C128" s="2335">
        <v>0</v>
      </c>
    </row>
    <row r="129" spans="1:3" ht="36">
      <c r="A129" s="136">
        <v>3</v>
      </c>
      <c r="B129" s="3775" t="str">
        <f>'TỔNG CỘNG'!B129</f>
        <v>Học bổng, chi phí học tập cho học sinh khuyết tật theo Thông tư liên tịch số 42/2013/TTLT-BGDĐT-BLĐTBXH-BTC ngày 31/12/2013</v>
      </c>
      <c r="C129" s="2335">
        <f>'Phụ lục 7.3-CĐCS'!FM15</f>
        <v>81.44</v>
      </c>
    </row>
    <row r="130" spans="1:3">
      <c r="A130" s="133" t="s">
        <v>20</v>
      </c>
      <c r="B130" s="3782" t="str">
        <f>'TỔNG CỘNG'!B130</f>
        <v>Các chính sách thuộc sự nghiệp đảm bảo xã hội</v>
      </c>
      <c r="C130" s="3655">
        <f>SUM(C131:C132)</f>
        <v>4508</v>
      </c>
    </row>
    <row r="131" spans="1:3" ht="36">
      <c r="A131" s="136">
        <v>1</v>
      </c>
      <c r="B131" s="3775" t="str">
        <f>'TỔNG CỘNG'!B131</f>
        <v>Chính sách hỗ trợ thường xuyên cho đối tượng bảo trợ xã hội theo quy định tại Nghị định số 20/2021/NĐ-CP ngày 15/03/2021 của Chính phủ</v>
      </c>
      <c r="C131" s="2335">
        <f>'Phụ lục 7.3-CĐCS'!FM17+'Phụ lục 7.3-CĐCS'!FM18</f>
        <v>4508</v>
      </c>
    </row>
    <row r="132" spans="1:3" ht="36">
      <c r="A132" s="2298">
        <v>2</v>
      </c>
      <c r="B132" s="3783" t="str">
        <f>'TỔNG CỘNG'!B132</f>
        <v>Chính sách hỗ trợ tiền điện cho hộ nghèo, hộ chính sách xã hội theo quy định tại Quyết định số 28/2014/QĐ-TTg ngày 07/4/2014 của Thủ tướng Chính phủ</v>
      </c>
      <c r="C132" s="2338">
        <v>0</v>
      </c>
    </row>
  </sheetData>
  <mergeCells count="22">
    <mergeCell ref="A51:C51"/>
    <mergeCell ref="A1:C1"/>
    <mergeCell ref="A58:C58"/>
    <mergeCell ref="A87:C87"/>
    <mergeCell ref="A88:C88"/>
    <mergeCell ref="A52:C52"/>
    <mergeCell ref="A2:C2"/>
    <mergeCell ref="A3:C3"/>
    <mergeCell ref="A4:C4"/>
    <mergeCell ref="A50:C50"/>
    <mergeCell ref="A89:C89"/>
    <mergeCell ref="A59:C59"/>
    <mergeCell ref="A60:C60"/>
    <mergeCell ref="A61:C61"/>
    <mergeCell ref="A84:C84"/>
    <mergeCell ref="A85:C85"/>
    <mergeCell ref="A86:C86"/>
    <mergeCell ref="A118:C118"/>
    <mergeCell ref="A119:C119"/>
    <mergeCell ref="A120:C120"/>
    <mergeCell ref="A121:C121"/>
    <mergeCell ref="A92:C92"/>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topLeftCell="A73" workbookViewId="0">
      <selection activeCell="C235" sqref="C235"/>
    </sheetView>
  </sheetViews>
  <sheetFormatPr defaultColWidth="8.69921875" defaultRowHeight="18"/>
  <cols>
    <col min="1" max="1" width="5.69921875" style="37" customWidth="1"/>
    <col min="2" max="2" width="96.69921875" style="37" customWidth="1"/>
    <col min="3" max="3" width="25.69921875" style="37" customWidth="1"/>
    <col min="4" max="16384" width="8.69921875" style="37"/>
  </cols>
  <sheetData>
    <row r="1" spans="1:3">
      <c r="A1" s="4299" t="str">
        <f>'TP. SA ĐÉC'!A1:C1</f>
        <v>PHỤ LỤC I</v>
      </c>
      <c r="B1" s="4299"/>
      <c r="C1" s="4299"/>
    </row>
    <row r="2" spans="1:3">
      <c r="A2" s="4299" t="str">
        <f>'TP. SA ĐÉC'!A2:C2</f>
        <v>NHIỆM VỤ THU NGÂN SÁCH NHÀ NƯỚC NĂM 2024</v>
      </c>
      <c r="B2" s="4299"/>
      <c r="C2" s="4299"/>
    </row>
    <row r="3" spans="1:3">
      <c r="A3" s="4299" t="s">
        <v>2471</v>
      </c>
      <c r="B3" s="4299"/>
      <c r="C3" s="4299"/>
    </row>
    <row r="4" spans="1:3">
      <c r="A4" s="4627" t="str">
        <f>'TP. SA ĐÉC'!A4:C4</f>
        <v>(Kèm theo Quyết định số        /QĐ-UBND-HC ngày      /12/2023 của Uỷ ban nhân dân tỉnh Đồng Tháp)</v>
      </c>
      <c r="B4" s="4627"/>
      <c r="C4" s="4627"/>
    </row>
    <row r="5" spans="1:3">
      <c r="A5" s="2578"/>
      <c r="B5" s="2578"/>
    </row>
    <row r="6" spans="1:3" ht="18.600000000000001" thickBot="1">
      <c r="A6" s="2578"/>
      <c r="B6" s="2578"/>
      <c r="C6" s="39" t="s">
        <v>64</v>
      </c>
    </row>
    <row r="7" spans="1:3" s="1319" customFormat="1" ht="30" customHeight="1">
      <c r="A7" s="2145" t="s">
        <v>244</v>
      </c>
      <c r="B7" s="2669" t="s">
        <v>791</v>
      </c>
      <c r="C7" s="2668" t="s">
        <v>1700</v>
      </c>
    </row>
    <row r="8" spans="1:3" s="48" customFormat="1" ht="19.2" customHeight="1">
      <c r="A8" s="2672" t="s">
        <v>9</v>
      </c>
      <c r="B8" s="2268" t="s">
        <v>263</v>
      </c>
      <c r="C8" s="2682">
        <f>C10+C16+C19+C20+C21+C22+C26+C29+C32+C36</f>
        <v>285000</v>
      </c>
    </row>
    <row r="9" spans="1:3" s="47" customFormat="1" ht="19.2" customHeight="1">
      <c r="A9" s="2683"/>
      <c r="B9" s="2518" t="s">
        <v>264</v>
      </c>
      <c r="C9" s="2708">
        <f>C8-C29</f>
        <v>185000</v>
      </c>
    </row>
    <row r="10" spans="1:3" s="48" customFormat="1" ht="19.2" customHeight="1">
      <c r="A10" s="2673">
        <v>1</v>
      </c>
      <c r="B10" s="1399" t="s">
        <v>352</v>
      </c>
      <c r="C10" s="2714">
        <f>SUM(C11:C15)</f>
        <v>80200</v>
      </c>
    </row>
    <row r="11" spans="1:3" ht="19.2" customHeight="1">
      <c r="A11" s="2674" t="s">
        <v>137</v>
      </c>
      <c r="B11" s="16" t="s">
        <v>266</v>
      </c>
      <c r="C11" s="2715">
        <f>'Phụ lục số 5'!AM10</f>
        <v>46000</v>
      </c>
    </row>
    <row r="12" spans="1:3" ht="19.2" customHeight="1">
      <c r="A12" s="2674" t="s">
        <v>137</v>
      </c>
      <c r="B12" s="16" t="s">
        <v>267</v>
      </c>
      <c r="C12" s="2715">
        <f>'Phụ lục số 5'!AM11</f>
        <v>33960</v>
      </c>
    </row>
    <row r="13" spans="1:3" ht="19.2" customHeight="1">
      <c r="A13" s="2674" t="s">
        <v>137</v>
      </c>
      <c r="B13" s="16" t="s">
        <v>268</v>
      </c>
      <c r="C13" s="2715">
        <f>'Phụ lục số 5'!AM12</f>
        <v>100</v>
      </c>
    </row>
    <row r="14" spans="1:3" ht="19.2" customHeight="1">
      <c r="A14" s="2674" t="s">
        <v>137</v>
      </c>
      <c r="B14" s="16" t="s">
        <v>14</v>
      </c>
      <c r="C14" s="2715">
        <f>'Phụ lục số 5'!AM13</f>
        <v>140</v>
      </c>
    </row>
    <row r="15" spans="1:3" ht="19.2" customHeight="1">
      <c r="A15" s="2674" t="s">
        <v>137</v>
      </c>
      <c r="B15" s="16" t="s">
        <v>269</v>
      </c>
      <c r="C15" s="2715">
        <f>'Phụ lục số 5'!AM14</f>
        <v>0</v>
      </c>
    </row>
    <row r="16" spans="1:3" s="43" customFormat="1" ht="19.2" customHeight="1">
      <c r="A16" s="2673">
        <v>2</v>
      </c>
      <c r="B16" s="1399" t="s">
        <v>97</v>
      </c>
      <c r="C16" s="2714">
        <f>SUM(C17:C18)</f>
        <v>19000</v>
      </c>
    </row>
    <row r="17" spans="1:3" ht="19.2" hidden="1" customHeight="1">
      <c r="A17" s="2675" t="s">
        <v>137</v>
      </c>
      <c r="B17" s="137" t="s">
        <v>276</v>
      </c>
      <c r="C17" s="2715">
        <f>'Phụ lục số 5'!AM16</f>
        <v>0</v>
      </c>
    </row>
    <row r="18" spans="1:3" ht="19.2" hidden="1" customHeight="1">
      <c r="A18" s="2676" t="s">
        <v>137</v>
      </c>
      <c r="B18" s="2274" t="s">
        <v>277</v>
      </c>
      <c r="C18" s="2715">
        <f>'Phụ lục số 5'!AM17</f>
        <v>19000</v>
      </c>
    </row>
    <row r="19" spans="1:3" s="48" customFormat="1" ht="19.2" customHeight="1">
      <c r="A19" s="2673">
        <v>3</v>
      </c>
      <c r="B19" s="1399" t="s">
        <v>16</v>
      </c>
      <c r="C19" s="2714">
        <f>'Phụ lục số 5'!AM18</f>
        <v>25000</v>
      </c>
    </row>
    <row r="20" spans="1:3" s="48" customFormat="1" ht="19.2" customHeight="1">
      <c r="A20" s="2673">
        <v>4</v>
      </c>
      <c r="B20" s="1399" t="s">
        <v>270</v>
      </c>
      <c r="C20" s="2714">
        <f>'Phụ lục số 5'!AM19</f>
        <v>0</v>
      </c>
    </row>
    <row r="21" spans="1:3" s="48" customFormat="1" ht="19.2" customHeight="1">
      <c r="A21" s="2673">
        <v>4</v>
      </c>
      <c r="B21" s="1399" t="s">
        <v>271</v>
      </c>
      <c r="C21" s="2714">
        <f>'Phụ lục số 5'!AM20</f>
        <v>750</v>
      </c>
    </row>
    <row r="22" spans="1:3" s="48" customFormat="1" ht="19.2" customHeight="1">
      <c r="A22" s="2673">
        <v>5</v>
      </c>
      <c r="B22" s="1399" t="s">
        <v>272</v>
      </c>
      <c r="C22" s="2714">
        <f>SUM(C23:C25)</f>
        <v>7000</v>
      </c>
    </row>
    <row r="23" spans="1:3" ht="19.2" customHeight="1">
      <c r="A23" s="2677" t="s">
        <v>137</v>
      </c>
      <c r="B23" s="137" t="s">
        <v>273</v>
      </c>
      <c r="C23" s="2715">
        <f>'Phụ lục số 5'!AM22</f>
        <v>2500</v>
      </c>
    </row>
    <row r="24" spans="1:3" ht="19.2" customHeight="1">
      <c r="A24" s="2677" t="s">
        <v>137</v>
      </c>
      <c r="B24" s="137" t="s">
        <v>274</v>
      </c>
      <c r="C24" s="2715">
        <f>'Phụ lục số 5'!AM23</f>
        <v>250</v>
      </c>
    </row>
    <row r="25" spans="1:3" ht="19.2" customHeight="1">
      <c r="A25" s="2677" t="s">
        <v>137</v>
      </c>
      <c r="B25" s="137" t="s">
        <v>275</v>
      </c>
      <c r="C25" s="2715">
        <f>'Phụ lục số 5'!AM24</f>
        <v>4250</v>
      </c>
    </row>
    <row r="26" spans="1:3" s="48" customFormat="1" ht="19.2" customHeight="1">
      <c r="A26" s="2673">
        <v>6</v>
      </c>
      <c r="B26" s="1399" t="s">
        <v>98</v>
      </c>
      <c r="C26" s="2714">
        <f>SUM(C27:C28)</f>
        <v>40000</v>
      </c>
    </row>
    <row r="27" spans="1:3" ht="19.2" customHeight="1">
      <c r="A27" s="2677" t="s">
        <v>137</v>
      </c>
      <c r="B27" s="137" t="s">
        <v>276</v>
      </c>
      <c r="C27" s="2715">
        <f>'Phụ lục số 5'!AM26</f>
        <v>0</v>
      </c>
    </row>
    <row r="28" spans="1:3" ht="19.2" customHeight="1">
      <c r="A28" s="2678" t="s">
        <v>137</v>
      </c>
      <c r="B28" s="2274" t="s">
        <v>2804</v>
      </c>
      <c r="C28" s="2715">
        <f>'Phụ lục số 5'!AM27</f>
        <v>40000</v>
      </c>
    </row>
    <row r="29" spans="1:3" s="48" customFormat="1" ht="19.2" customHeight="1">
      <c r="A29" s="2673">
        <v>7</v>
      </c>
      <c r="B29" s="1399" t="s">
        <v>357</v>
      </c>
      <c r="C29" s="2714">
        <f>SUM(C30:C31)</f>
        <v>100000</v>
      </c>
    </row>
    <row r="30" spans="1:3" ht="19.2" customHeight="1">
      <c r="A30" s="2677" t="s">
        <v>137</v>
      </c>
      <c r="B30" s="137" t="s">
        <v>276</v>
      </c>
      <c r="C30" s="2715">
        <f>'Phụ lục số 5'!AM29</f>
        <v>0</v>
      </c>
    </row>
    <row r="31" spans="1:3" ht="19.2" customHeight="1">
      <c r="A31" s="2678" t="s">
        <v>137</v>
      </c>
      <c r="B31" s="2274" t="s">
        <v>2803</v>
      </c>
      <c r="C31" s="2715">
        <f>'Phụ lục số 5'!AM30</f>
        <v>100000</v>
      </c>
    </row>
    <row r="32" spans="1:3" s="48" customFormat="1" ht="19.2" customHeight="1">
      <c r="A32" s="2673">
        <v>8</v>
      </c>
      <c r="B32" s="1399" t="s">
        <v>279</v>
      </c>
      <c r="C32" s="2714">
        <f>SUM(C33:C35)</f>
        <v>13000</v>
      </c>
    </row>
    <row r="33" spans="1:3" ht="19.2" customHeight="1">
      <c r="A33" s="2677" t="s">
        <v>137</v>
      </c>
      <c r="B33" s="137" t="s">
        <v>280</v>
      </c>
      <c r="C33" s="2715">
        <f>'Phụ lục số 5'!AM32</f>
        <v>2000</v>
      </c>
    </row>
    <row r="34" spans="1:3" ht="19.2" customHeight="1">
      <c r="A34" s="2677" t="s">
        <v>137</v>
      </c>
      <c r="B34" s="137" t="s">
        <v>281</v>
      </c>
      <c r="C34" s="2715">
        <f>'Phụ lục số 5'!AM33</f>
        <v>500</v>
      </c>
    </row>
    <row r="35" spans="1:3" ht="19.2" customHeight="1">
      <c r="A35" s="2677" t="s">
        <v>137</v>
      </c>
      <c r="B35" s="137" t="s">
        <v>282</v>
      </c>
      <c r="C35" s="2715">
        <f>'Phụ lục số 5'!AM34</f>
        <v>10500</v>
      </c>
    </row>
    <row r="36" spans="1:3" s="48" customFormat="1" ht="19.2" customHeight="1">
      <c r="A36" s="2673">
        <v>9</v>
      </c>
      <c r="B36" s="2590" t="s">
        <v>2521</v>
      </c>
      <c r="C36" s="2714">
        <f>'Phụ lục số 5'!AM35</f>
        <v>50</v>
      </c>
    </row>
    <row r="37" spans="1:3" s="2" customFormat="1" ht="19.2" customHeight="1">
      <c r="A37" s="2673" t="s">
        <v>20</v>
      </c>
      <c r="B37" s="1399" t="s">
        <v>2520</v>
      </c>
      <c r="C37" s="2711"/>
    </row>
    <row r="38" spans="1:3" s="2" customFormat="1" ht="19.2" customHeight="1">
      <c r="A38" s="2673"/>
      <c r="B38" s="16" t="s">
        <v>2523</v>
      </c>
      <c r="C38" s="2712">
        <f>100%</f>
        <v>1</v>
      </c>
    </row>
    <row r="39" spans="1:3" s="48" customFormat="1" ht="19.2" customHeight="1">
      <c r="A39" s="2673" t="s">
        <v>49</v>
      </c>
      <c r="B39" s="1399" t="s">
        <v>2522</v>
      </c>
      <c r="C39" s="2714">
        <f>SUM(C40:C41)</f>
        <v>414556.83199999999</v>
      </c>
    </row>
    <row r="40" spans="1:3" s="48" customFormat="1" ht="19.2" customHeight="1">
      <c r="A40" s="2673">
        <v>1</v>
      </c>
      <c r="B40" s="1399" t="s">
        <v>284</v>
      </c>
      <c r="C40" s="2714">
        <f>'Phụ lục số 5'!AO37</f>
        <v>379928</v>
      </c>
    </row>
    <row r="41" spans="1:3" s="48" customFormat="1" ht="19.2" customHeight="1">
      <c r="A41" s="2673">
        <v>2</v>
      </c>
      <c r="B41" s="1399" t="s">
        <v>285</v>
      </c>
      <c r="C41" s="2714">
        <f>SUM(C42:C46)</f>
        <v>34628.832000000002</v>
      </c>
    </row>
    <row r="42" spans="1:3" ht="36" customHeight="1">
      <c r="A42" s="2628" t="s">
        <v>34</v>
      </c>
      <c r="B42" s="2701" t="str">
        <f>'TP. SA ĐÉC'!B42</f>
        <v>Kinh phí hỗ trợ giá sản phẩm, dịch vụ công ích thủy lợi theo quy định tại Nghị định số 96/2018/NĐ-CP ngày 30/6/2018 của Chính phủ</v>
      </c>
      <c r="C42" s="2716">
        <f>'Phụ lục số 5'!AO39</f>
        <v>7200</v>
      </c>
    </row>
    <row r="43" spans="1:3" ht="54" customHeight="1">
      <c r="A43" s="2628" t="s">
        <v>35</v>
      </c>
      <c r="B43" s="2701" t="str">
        <f>'TP. SA ĐÉC'!B43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716">
        <f>'Phụ lục số 5'!AO40</f>
        <v>10500</v>
      </c>
    </row>
    <row r="44" spans="1:3" ht="19.2" customHeight="1">
      <c r="A44" s="2628" t="s">
        <v>36</v>
      </c>
      <c r="B44" s="2701" t="str">
        <f>'TP. SA ĐÉC'!B44</f>
        <v>Bổ sung nguồn thực hiện điều chỉnh tiền lương cơ sở tăng thêm đến 1,8 triệu đồng/tháng (12 tháng)</v>
      </c>
      <c r="C44" s="2716">
        <f>'Phụ lục số 5'!AO41</f>
        <v>8166</v>
      </c>
    </row>
    <row r="45" spans="1:3" ht="19.2" customHeight="1">
      <c r="A45" s="2628" t="s">
        <v>37</v>
      </c>
      <c r="B45" s="2701" t="str">
        <f>'TP. SA ĐÉC'!B45</f>
        <v>Bổ sung có mục tiêu thực hiện chính sách an sinh xã hội (ngoài chính sách tiền lương) (5)</v>
      </c>
      <c r="C45" s="2716">
        <f>'Phụ lục số 5'!AO42</f>
        <v>6762.8320000000003</v>
      </c>
    </row>
    <row r="46" spans="1:3">
      <c r="A46" s="2814" t="str">
        <f>'TỔNG CỘNG'!A46</f>
        <v>đ</v>
      </c>
      <c r="B46" s="2701" t="str">
        <f>'TP. SA ĐÉC'!B46</f>
        <v>Bổ sung có mục tiêu kinh phí diễn tập khu vực phòng thủ cấp huyện năm 2024</v>
      </c>
      <c r="C46" s="2716">
        <f>'Phụ lục số 5'!AO43</f>
        <v>2000</v>
      </c>
    </row>
    <row r="47" spans="1:3" s="2576" customFormat="1" ht="19.2" customHeight="1" thickBot="1">
      <c r="A47" s="2717" t="s">
        <v>50</v>
      </c>
      <c r="B47" s="2718" t="s">
        <v>286</v>
      </c>
      <c r="C47" s="2719">
        <f>'Phụ lục số 5'!AO44</f>
        <v>33681</v>
      </c>
    </row>
    <row r="48" spans="1:3" ht="19.2" hidden="1" customHeight="1">
      <c r="A48" s="2713"/>
      <c r="B48" s="2713" t="s">
        <v>287</v>
      </c>
      <c r="C48" s="2699"/>
    </row>
    <row r="50" spans="1:3">
      <c r="A50" s="4769" t="s">
        <v>1050</v>
      </c>
      <c r="B50" s="4769"/>
      <c r="C50" s="4769"/>
    </row>
    <row r="51" spans="1:3" ht="34.950000000000003" customHeight="1">
      <c r="A51" s="4775" t="str">
        <f>'TP. SA ĐÉC'!A51:C51</f>
        <v xml:space="preserve">(1): Dự toán thu ngân sách nhà nước năm 2024 không bao gồm các khoản huy động nhân dân đóng góp, các khoản ghi thu, ghi chi vào ngân sách nhà nước theo chế độ quy định.
</v>
      </c>
      <c r="B51" s="4775"/>
      <c r="C51" s="4775"/>
    </row>
    <row r="52" spans="1:3" ht="91.95" customHeight="1">
      <c r="A52" s="4775" t="str">
        <f>'TP. SA ĐÉC'!A52:C52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75"/>
      <c r="C52" s="4775"/>
    </row>
    <row r="53" spans="1:3" ht="19.2" customHeight="1">
      <c r="A53" s="4780" t="str">
        <f>'TP. SA ĐÉC'!A53</f>
        <v>(4): Các khoản thu phân chia theo tỷ lệ (%) giữa ngân sách cấp Tỉnh và ngân sách cấp huyện</v>
      </c>
      <c r="B53" s="4780"/>
      <c r="C53" s="4780"/>
    </row>
    <row r="54" spans="1:3" ht="19.2" customHeight="1">
      <c r="A54" s="4780" t="str">
        <f>'TP. SA ĐÉC'!A54</f>
        <v>(5): Chi tiết chế độ, chính sách an sinh xã hội theo Phụ lục số III</v>
      </c>
      <c r="B54" s="4780"/>
      <c r="C54" s="4780"/>
    </row>
    <row r="55" spans="1:3" ht="19.2" customHeight="1">
      <c r="A55" s="3544"/>
      <c r="B55" s="3544"/>
      <c r="C55" s="3544"/>
    </row>
    <row r="58" spans="1:3">
      <c r="A58" s="4299" t="str">
        <f>'TP. SA ĐÉC'!A58:C58</f>
        <v>PHỤ LỤC II</v>
      </c>
      <c r="B58" s="4299"/>
      <c r="C58" s="4299"/>
    </row>
    <row r="59" spans="1:3">
      <c r="A59" s="4299" t="str">
        <f>'TP. SA ĐÉC'!A59:C59</f>
        <v>NHIỆM VỤ CHI NGÂN SÁCH HUYỆN, THÀNH PHỐ NĂM 2024</v>
      </c>
      <c r="B59" s="4299"/>
      <c r="C59" s="4299"/>
    </row>
    <row r="60" spans="1:3">
      <c r="A60" s="4299" t="str">
        <f>A3</f>
        <v>HUYỆN CHÂU THÀNH</v>
      </c>
      <c r="B60" s="4299"/>
      <c r="C60" s="4299"/>
    </row>
    <row r="61" spans="1:3" ht="18" customHeight="1">
      <c r="A61" s="4627" t="str">
        <f>A4</f>
        <v>(Kèm theo Quyết định số        /QĐ-UBND-HC ngày      /12/2023 của Uỷ ban nhân dân tỉnh Đồng Tháp)</v>
      </c>
      <c r="B61" s="4627"/>
      <c r="C61" s="4627"/>
    </row>
    <row r="62" spans="1:3" ht="18" customHeight="1">
      <c r="A62" s="2578"/>
      <c r="B62" s="2578"/>
      <c r="C62" s="2578"/>
    </row>
    <row r="63" spans="1:3" ht="18" customHeight="1">
      <c r="A63" s="2578"/>
      <c r="B63" s="2578"/>
      <c r="C63" s="70" t="str">
        <f>C6</f>
        <v>Đơn vị tính: Triệu đồng</v>
      </c>
    </row>
    <row r="64" spans="1:3" s="210" customFormat="1" ht="34.950000000000003" customHeight="1">
      <c r="A64" s="2285" t="s">
        <v>288</v>
      </c>
      <c r="B64" s="2402" t="str">
        <f>'TP. SA ĐÉC'!B64</f>
        <v>Nội dung</v>
      </c>
      <c r="C64" s="2403" t="str">
        <f>C7</f>
        <v>Dự toán năm 2024</v>
      </c>
    </row>
    <row r="65" spans="1:3" s="48" customFormat="1" ht="19.2" customHeight="1">
      <c r="A65" s="2286"/>
      <c r="B65" s="1408" t="str">
        <f>'TP. SA ĐÉC'!B65</f>
        <v>Tổng chi (I+II+III+IV)</v>
      </c>
      <c r="C65" s="2589">
        <f>C66+C70+C74+C75+C76</f>
        <v>713747.83200000005</v>
      </c>
    </row>
    <row r="66" spans="1:3" s="48" customFormat="1" ht="19.2" customHeight="1">
      <c r="A66" s="2287" t="s">
        <v>9</v>
      </c>
      <c r="B66" s="2288" t="str">
        <f>'TP. SA ĐÉC'!B66</f>
        <v>Chi đầu tư phát triển (1)</v>
      </c>
      <c r="C66" s="2582">
        <f>C68+C69</f>
        <v>123000.33758532717</v>
      </c>
    </row>
    <row r="67" spans="1:3" ht="19.2" customHeight="1">
      <c r="A67" s="2289"/>
      <c r="B67" s="2290" t="str">
        <f>'TP. SA ĐÉC'!B67</f>
        <v>Bao gồm:</v>
      </c>
      <c r="C67" s="2587"/>
    </row>
    <row r="68" spans="1:3" ht="19.2" customHeight="1">
      <c r="A68" s="2291">
        <v>1</v>
      </c>
      <c r="B68" s="3284" t="str">
        <f>'TP. SA ĐÉC'!B68</f>
        <v>Chi đầu tư xây dựng cơ bản</v>
      </c>
      <c r="C68" s="2587">
        <f>'Phụ lục số 6'!O8</f>
        <v>33000.337585327172</v>
      </c>
    </row>
    <row r="69" spans="1:3" ht="19.2" customHeight="1">
      <c r="A69" s="2291">
        <v>2</v>
      </c>
      <c r="B69" s="3284" t="str">
        <f>'TP. SA ĐÉC'!B69</f>
        <v>Chi đầu tư từ nguồn thu tiền sử dụng đất</v>
      </c>
      <c r="C69" s="2587">
        <f>'Phụ lục số 6'!O9</f>
        <v>90000</v>
      </c>
    </row>
    <row r="70" spans="1:3" s="48" customFormat="1" ht="19.2" customHeight="1">
      <c r="A70" s="2287" t="s">
        <v>20</v>
      </c>
      <c r="B70" s="2288" t="str">
        <f>'TP. SA ĐÉC'!B70</f>
        <v>Chi thường xuyên (2)</v>
      </c>
      <c r="C70" s="2582">
        <f>'Phụ lục số 6'!O10</f>
        <v>576944.16506902024</v>
      </c>
    </row>
    <row r="71" spans="1:3" ht="19.2" customHeight="1">
      <c r="A71" s="2293"/>
      <c r="B71" s="2294" t="str">
        <f>'TP. SA ĐÉC'!B71</f>
        <v>Bao gồm:</v>
      </c>
      <c r="C71" s="2587"/>
    </row>
    <row r="72" spans="1:3" ht="19.2" customHeight="1">
      <c r="A72" s="2291">
        <v>1</v>
      </c>
      <c r="B72" s="2275" t="str">
        <f>'TP. SA ĐÉC'!B72</f>
        <v>Sự nghiệp giáo dục - đào tạo (3)</v>
      </c>
      <c r="C72" s="2587">
        <f>'Phụ lục số 6'!O12</f>
        <v>294004.16143211746</v>
      </c>
    </row>
    <row r="73" spans="1:3" ht="19.2" customHeight="1">
      <c r="A73" s="2291">
        <v>2</v>
      </c>
      <c r="B73" s="2275" t="str">
        <f>'TP. SA ĐÉC'!B73</f>
        <v>Các khoản chi thường xuyên còn lại</v>
      </c>
      <c r="C73" s="2587">
        <f>'Phụ lục số 6'!O13</f>
        <v>282940.00363690278</v>
      </c>
    </row>
    <row r="74" spans="1:3" s="48" customFormat="1" ht="19.2" customHeight="1">
      <c r="A74" s="2287" t="s">
        <v>49</v>
      </c>
      <c r="B74" s="2288" t="str">
        <f>'TP. SA ĐÉC'!B74</f>
        <v>Dự phòng ngân sách</v>
      </c>
      <c r="C74" s="2582">
        <f>'Phụ lục số 6'!O14</f>
        <v>13803.329345652623</v>
      </c>
    </row>
    <row r="75" spans="1:3" s="48" customFormat="1" ht="19.2" customHeight="1">
      <c r="A75" s="2287" t="s">
        <v>50</v>
      </c>
      <c r="B75" s="2288" t="str">
        <f>'TP. SA ĐÉC'!B75</f>
        <v>Chi tạo nguồn cải cách tiền lương</v>
      </c>
      <c r="C75" s="2582">
        <f>'Phụ lục số 6'!O15</f>
        <v>0</v>
      </c>
    </row>
    <row r="76" spans="1:3" s="2" customFormat="1" ht="19.2" customHeight="1">
      <c r="A76" s="2583" t="s">
        <v>72</v>
      </c>
      <c r="B76" s="1399" t="str">
        <f>'TP. SA ĐÉC'!B76</f>
        <v>Chi từ nguồn ngân sách cấp Tỉnh bổ sung có mục tiêu</v>
      </c>
      <c r="C76" s="2588">
        <f>SUM(C77:C81)</f>
        <v>0</v>
      </c>
    </row>
    <row r="77" spans="1:3" ht="19.2" hidden="1" customHeight="1">
      <c r="A77" s="2584" t="s">
        <v>137</v>
      </c>
      <c r="B77" s="16" t="str">
        <f>'TP. SA ĐÉC'!B77</f>
        <v>Chi đầu tư xây dựng cơ bản</v>
      </c>
      <c r="C77" s="2579">
        <f>'Phụ lục số 6'!O17</f>
        <v>0</v>
      </c>
    </row>
    <row r="78" spans="1:3" ht="19.2" hidden="1" customHeight="1">
      <c r="A78" s="2584" t="s">
        <v>137</v>
      </c>
      <c r="B78" s="16" t="str">
        <f>'TP. SA ĐÉC'!B78</f>
        <v>Chi đầu tư từ nguồn xổ số kiến thiết</v>
      </c>
      <c r="C78" s="2579">
        <f>'Phụ lục số 6'!O18</f>
        <v>0</v>
      </c>
    </row>
    <row r="79" spans="1:3" ht="19.2" hidden="1" customHeight="1">
      <c r="A79" s="2584" t="s">
        <v>137</v>
      </c>
      <c r="B79" s="16" t="str">
        <f>'TP. SA ĐÉC'!B79</f>
        <v>Chi từ nguồn ngân sách trung ương bổ sung có mục tiêu (kinh phí sự nghiệp)</v>
      </c>
      <c r="C79" s="2579">
        <f>'Phụ lục số 6'!O19</f>
        <v>0</v>
      </c>
    </row>
    <row r="80" spans="1:3" ht="19.2" hidden="1" customHeight="1">
      <c r="A80" s="2585" t="s">
        <v>137</v>
      </c>
      <c r="B80" s="16" t="str">
        <f>'TP. SA ĐÉC'!B80</f>
        <v>Chi từ nguồn ngân sách trung ương bổ sung có mục tiêu (Chương trình Mục tiêu quốc gia)</v>
      </c>
      <c r="C80" s="2579">
        <f>'Phụ lục số 6'!O20</f>
        <v>0</v>
      </c>
    </row>
    <row r="81" spans="1:3" ht="19.2" hidden="1" customHeight="1">
      <c r="A81" s="2586"/>
      <c r="B81" s="2825" t="str">
        <f>'TP. SA ĐÉC'!B81</f>
        <v>Chi từ nguồn ngân sách trung ương bổ sung có mục tiêu, nhiệm vụ quan trọng khác</v>
      </c>
      <c r="C81" s="2580">
        <f>'Phụ lục số 6'!O21</f>
        <v>0</v>
      </c>
    </row>
    <row r="83" spans="1:3">
      <c r="A83" s="48" t="s">
        <v>1050</v>
      </c>
      <c r="B83" s="2581"/>
    </row>
    <row r="84" spans="1:3">
      <c r="A84" s="4757" t="s">
        <v>2494</v>
      </c>
      <c r="B84" s="4758"/>
      <c r="C84" s="4758"/>
    </row>
    <row r="85" spans="1:3" ht="60" customHeight="1">
      <c r="A85" s="4755" t="s">
        <v>2742</v>
      </c>
      <c r="B85" s="4756"/>
      <c r="C85" s="4756"/>
    </row>
    <row r="86" spans="1:3" ht="18" customHeight="1">
      <c r="A86" s="4756" t="str">
        <f>'TP. SA ĐÉC'!A86:C86</f>
        <v>- Chưa bao gồm chi đầu tư từ nguồn vốn do ngân sách cấp tỉnh quản lý và phân bổ bổ sung có mục tiêu cho ngân sách huyện, thành phố</v>
      </c>
      <c r="B86" s="4756"/>
      <c r="C86" s="4756"/>
    </row>
    <row r="87" spans="1:3">
      <c r="A87" s="4772" t="s">
        <v>2495</v>
      </c>
      <c r="B87" s="4772"/>
      <c r="C87" s="4772"/>
    </row>
    <row r="88" spans="1:3" ht="60" customHeight="1">
      <c r="A88" s="4756" t="str">
        <f>'TP. SA ĐÉC'!A88:C88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56"/>
      <c r="C88" s="4756"/>
    </row>
    <row r="89" spans="1:3" ht="40.200000000000003" customHeight="1">
      <c r="A89" s="4767" t="str">
        <f>'TP. SA ĐÉC'!A89:C89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67"/>
      <c r="C89" s="4767"/>
    </row>
    <row r="90" spans="1:3">
      <c r="A90" s="37" t="str">
        <f>'TP. SA ĐÉC'!A90</f>
        <v xml:space="preserve">- Bao gồm 10% tiết kiệm tăng thêm năm 2024 so với năm 2023 để thực hiện cải cách tiền lương năm 2024 là: </v>
      </c>
      <c r="C90" s="3369" t="s">
        <v>2671</v>
      </c>
    </row>
    <row r="91" spans="1:3" s="2248" customFormat="1" ht="17.399999999999999">
      <c r="A91" s="2248" t="str">
        <f>'TP. SA ĐÉC'!A91</f>
        <v>(3): Trong đó:</v>
      </c>
    </row>
    <row r="92" spans="1:3" s="2249" customFormat="1" ht="55.2" customHeight="1">
      <c r="A92" s="4756" t="str">
        <f>'TP. SA ĐÉC'!A92:C92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56"/>
      <c r="C92" s="4756"/>
    </row>
    <row r="118" spans="1:5">
      <c r="A118" s="4299" t="str">
        <f>'TỔNG CỘNG'!A118:C118</f>
        <v>PHỤ LỤC III</v>
      </c>
      <c r="B118" s="4299"/>
      <c r="C118" s="4299"/>
    </row>
    <row r="119" spans="1:5">
      <c r="A119" s="4299" t="str">
        <f>'TỔNG CỘNG'!A119:C119</f>
        <v>CHẾ ĐỘ CHÍNH SÁCH AN SINH XÃ HỘI TĂNG THÊM NĂM 2024</v>
      </c>
      <c r="B119" s="4299"/>
      <c r="C119" s="4299"/>
    </row>
    <row r="120" spans="1:5">
      <c r="A120" s="4299" t="str">
        <f>A60</f>
        <v>HUYỆN CHÂU THÀNH</v>
      </c>
      <c r="B120" s="4299"/>
      <c r="C120" s="4299"/>
    </row>
    <row r="121" spans="1:5">
      <c r="A121" s="4300" t="str">
        <f>'TỔNG CỘNG'!A121:C121</f>
        <v>(Kèm theo Quyết định số        /QĐ-UBND-HC ngày      /12/2023 của Uỷ ban nhân dân tỉnh Đồng Tháp)</v>
      </c>
      <c r="B121" s="4300"/>
      <c r="C121" s="4300"/>
    </row>
    <row r="123" spans="1:5">
      <c r="A123" s="3285"/>
      <c r="B123" s="3285"/>
      <c r="C123" s="1384" t="str">
        <f>C63</f>
        <v>Đơn vị tính: Triệu đồng</v>
      </c>
    </row>
    <row r="124" spans="1:5" ht="34.799999999999997">
      <c r="A124" s="3286" t="s">
        <v>288</v>
      </c>
      <c r="B124" s="3236" t="s">
        <v>791</v>
      </c>
      <c r="C124" s="1829" t="s">
        <v>1700</v>
      </c>
    </row>
    <row r="125" spans="1:5">
      <c r="A125" s="3494"/>
      <c r="B125" s="2386" t="str">
        <f>'TỔNG CỘNG'!B125</f>
        <v>TỔNG CỘNG (I+II)</v>
      </c>
      <c r="C125" s="3505">
        <f>C126+C130</f>
        <v>6762.8319999999994</v>
      </c>
      <c r="E125" s="1">
        <f>C125-C45</f>
        <v>0</v>
      </c>
    </row>
    <row r="126" spans="1:5">
      <c r="A126" s="133" t="s">
        <v>9</v>
      </c>
      <c r="B126" s="3782" t="str">
        <f>'TỔNG CỘNG'!B126</f>
        <v>Các chính sách thuộc sự nghiệp giáo dục - đào tạo và dạy nghề</v>
      </c>
      <c r="C126" s="3655">
        <f>SUM(C127:C129)</f>
        <v>0</v>
      </c>
    </row>
    <row r="127" spans="1:5" ht="36">
      <c r="A127" s="136">
        <v>1</v>
      </c>
      <c r="B127" s="803" t="str">
        <f>'TỔNG CỘNG'!B127</f>
        <v>Chính sách hỗ trợ chi phí học tập và miễn giảm học phí theo quy định tại Nghị định số 81/2021/NĐ-CP ngày 27/08/2021 của Chính phủ</v>
      </c>
      <c r="C127" s="2335">
        <v>0</v>
      </c>
    </row>
    <row r="128" spans="1:5" ht="36">
      <c r="A128" s="136">
        <v>2</v>
      </c>
      <c r="B128" s="3775" t="str">
        <f>'TỔNG CỘNG'!B128</f>
        <v>Chính sách phát triển giao dục mầm non Nghị định 105/2020/NĐ-CP ngày 08/09/2020 của Chính phủ</v>
      </c>
      <c r="C128" s="2335">
        <v>0</v>
      </c>
    </row>
    <row r="129" spans="1:3" ht="36">
      <c r="A129" s="136">
        <v>3</v>
      </c>
      <c r="B129" s="3775" t="str">
        <f>'TỔNG CỘNG'!B129</f>
        <v>Học bổng, chi phí học tập cho học sinh khuyết tật theo Thông tư liên tịch số 42/2013/TTLT-BGDĐT-BLĐTBXH-BTC ngày 31/12/2013</v>
      </c>
      <c r="C129" s="2335">
        <v>0</v>
      </c>
    </row>
    <row r="130" spans="1:3">
      <c r="A130" s="133" t="s">
        <v>20</v>
      </c>
      <c r="B130" s="3782" t="str">
        <f>'TỔNG CỘNG'!B130</f>
        <v>Các chính sách thuộc sự nghiệp đảm bảo xã hội</v>
      </c>
      <c r="C130" s="3655">
        <f>SUM(C131:C132)</f>
        <v>6762.8319999999994</v>
      </c>
    </row>
    <row r="131" spans="1:3" ht="36">
      <c r="A131" s="136">
        <v>1</v>
      </c>
      <c r="B131" s="3775" t="str">
        <f>'TỔNG CỘNG'!B131</f>
        <v>Chính sách hỗ trợ thường xuyên cho đối tượng bảo trợ xã hội theo quy định tại Nghị định số 20/2021/NĐ-CP ngày 15/03/2021 của Chính phủ</v>
      </c>
      <c r="C131" s="2335">
        <f>'Phụ lục 7.3-CĐCS'!GA17+'Phụ lục 7.3-CĐCS'!GA13+'Phụ lục 7.3-CĐCS'!GA14+'Phụ lục 7.3-CĐCS'!GA15</f>
        <v>6681.8319999999994</v>
      </c>
    </row>
    <row r="132" spans="1:3" ht="36">
      <c r="A132" s="2298">
        <v>2</v>
      </c>
      <c r="B132" s="3783" t="str">
        <f>'TỔNG CỘNG'!B132</f>
        <v>Chính sách hỗ trợ tiền điện cho hộ nghèo, hộ chính sách xã hội theo quy định tại Quyết định số 28/2014/QĐ-TTg ngày 07/4/2014 của Thủ tướng Chính phủ</v>
      </c>
      <c r="C132" s="2338">
        <f>'Phụ lục 7.3-CĐCS'!GA18</f>
        <v>81</v>
      </c>
    </row>
  </sheetData>
  <mergeCells count="24">
    <mergeCell ref="A1:C1"/>
    <mergeCell ref="A53:C53"/>
    <mergeCell ref="A58:C58"/>
    <mergeCell ref="A87:C87"/>
    <mergeCell ref="A88:C88"/>
    <mergeCell ref="A52:C52"/>
    <mergeCell ref="A2:C2"/>
    <mergeCell ref="A3:C3"/>
    <mergeCell ref="A4:C4"/>
    <mergeCell ref="A50:C50"/>
    <mergeCell ref="A51:C51"/>
    <mergeCell ref="A59:C59"/>
    <mergeCell ref="A60:C60"/>
    <mergeCell ref="A61:C61"/>
    <mergeCell ref="A84:C84"/>
    <mergeCell ref="A85:C85"/>
    <mergeCell ref="A118:C118"/>
    <mergeCell ref="A119:C119"/>
    <mergeCell ref="A120:C120"/>
    <mergeCell ref="A121:C121"/>
    <mergeCell ref="A54:C54"/>
    <mergeCell ref="A86:C86"/>
    <mergeCell ref="A92:C92"/>
    <mergeCell ref="A89:C89"/>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E45"/>
  <sheetViews>
    <sheetView topLeftCell="A31" workbookViewId="0">
      <selection activeCell="F18" sqref="F18:F19"/>
    </sheetView>
  </sheetViews>
  <sheetFormatPr defaultColWidth="8.59765625" defaultRowHeight="18"/>
  <cols>
    <col min="1" max="1" width="5.69921875" style="37" customWidth="1"/>
    <col min="2" max="2" width="75.69921875" style="37" customWidth="1"/>
    <col min="3" max="3" width="16.69921875" style="37" customWidth="1"/>
    <col min="4" max="4" width="8.59765625" style="37"/>
    <col min="5" max="5" width="8.8984375" style="37" bestFit="1" customWidth="1"/>
    <col min="6" max="16384" width="8.59765625" style="37"/>
  </cols>
  <sheetData>
    <row r="1" spans="1:3" s="2" customFormat="1" ht="17.399999999999999" hidden="1">
      <c r="B1" s="2208"/>
    </row>
    <row r="2" spans="1:3" s="2" customFormat="1" ht="17.399999999999999" hidden="1">
      <c r="B2" s="2208"/>
    </row>
    <row r="3" spans="1:3" s="2" customFormat="1" ht="17.399999999999999" hidden="1">
      <c r="C3" s="38"/>
    </row>
    <row r="4" spans="1:3">
      <c r="A4" s="4316" t="s">
        <v>2348</v>
      </c>
      <c r="B4" s="4299"/>
      <c r="C4" s="4299"/>
    </row>
    <row r="5" spans="1:3">
      <c r="A5" s="4727" t="s">
        <v>2391</v>
      </c>
      <c r="B5" s="4727"/>
      <c r="C5" s="4727"/>
    </row>
    <row r="6" spans="1:3">
      <c r="A6" s="20"/>
      <c r="B6" s="20"/>
      <c r="C6" s="20"/>
    </row>
    <row r="7" spans="1:3" ht="18.600000000000001" thickBot="1">
      <c r="A7" s="20"/>
      <c r="B7" s="4541" t="s">
        <v>64</v>
      </c>
      <c r="C7" s="4541"/>
    </row>
    <row r="8" spans="1:3" s="70" customFormat="1" ht="35.4" thickTop="1">
      <c r="A8" s="2920" t="s">
        <v>1370</v>
      </c>
      <c r="B8" s="2921" t="s">
        <v>791</v>
      </c>
      <c r="C8" s="2922" t="s">
        <v>1700</v>
      </c>
    </row>
    <row r="9" spans="1:3" s="48" customFormat="1" ht="19.95" customHeight="1">
      <c r="A9" s="3303" t="s">
        <v>7</v>
      </c>
      <c r="B9" s="2209" t="str">
        <f>'Phụ lục 1-HĐND'!B9</f>
        <v>Tổng thu ngân sách nhà nước trên địa bàn (I+II)</v>
      </c>
      <c r="C9" s="2978">
        <f>SUM(C10,C14)</f>
        <v>9266000</v>
      </c>
    </row>
    <row r="10" spans="1:3" s="2" customFormat="1" ht="19.95" customHeight="1">
      <c r="A10" s="2109" t="s">
        <v>9</v>
      </c>
      <c r="B10" s="2224" t="str">
        <f>'Phụ lục 1-HĐND'!B10</f>
        <v>Thu nội địa</v>
      </c>
      <c r="C10" s="2979">
        <f>'Phụ lục số 1'!AE9</f>
        <v>9066000</v>
      </c>
    </row>
    <row r="11" spans="1:3" ht="19.95" customHeight="1">
      <c r="A11" s="2110" t="s">
        <v>137</v>
      </c>
      <c r="B11" s="2225" t="str">
        <f>'Phụ lục 1-HĐND'!B11</f>
        <v>Trong đó:</v>
      </c>
      <c r="C11" s="2980"/>
    </row>
    <row r="12" spans="1:3" s="47" customFormat="1" ht="19.95" customHeight="1">
      <c r="A12" s="2923" t="s">
        <v>137</v>
      </c>
      <c r="B12" s="2213" t="str">
        <f>'Phụ lục 1-HĐND'!B12</f>
        <v>Thu tiền sử dụng đất</v>
      </c>
      <c r="C12" s="2981">
        <f>'Phụ lục số 1'!AE40</f>
        <v>1770000</v>
      </c>
    </row>
    <row r="13" spans="1:3" s="47" customFormat="1" ht="19.95" customHeight="1">
      <c r="A13" s="2923" t="s">
        <v>137</v>
      </c>
      <c r="B13" s="2213" t="str">
        <f>'Phụ lục 1-HĐND'!B13</f>
        <v>Thu xổ số kiến thiết</v>
      </c>
      <c r="C13" s="2981">
        <f>'Phụ lục số 1'!AE48</f>
        <v>1950000</v>
      </c>
    </row>
    <row r="14" spans="1:3" s="2" customFormat="1" ht="19.95" customHeight="1">
      <c r="A14" s="2109" t="s">
        <v>20</v>
      </c>
      <c r="B14" s="2224" t="str">
        <f>'Phụ lục 1-HĐND'!B14</f>
        <v>Thu từ hoạt động xuất, nhập khẩu</v>
      </c>
      <c r="C14" s="2979">
        <f>'Phụ lục số 1'!AE49</f>
        <v>200000</v>
      </c>
    </row>
    <row r="15" spans="1:3" s="48" customFormat="1" ht="19.95" customHeight="1">
      <c r="A15" s="2924" t="s">
        <v>22</v>
      </c>
      <c r="B15" s="2211" t="str">
        <f>'Phụ lục 1-HĐND'!B15</f>
        <v>Thu ngân sách địa phương  (I+II+III)</v>
      </c>
      <c r="C15" s="2945">
        <f>SUM(C16,C19,C23,C22)</f>
        <v>18627409</v>
      </c>
    </row>
    <row r="16" spans="1:3" s="2" customFormat="1" ht="19.95" customHeight="1">
      <c r="A16" s="2109" t="s">
        <v>9</v>
      </c>
      <c r="B16" s="2224" t="str">
        <f>'Phụ lục 1-HĐND'!B16</f>
        <v>Thu ngân sách địa phương (NSĐP) hưởng theo phân cấp</v>
      </c>
      <c r="C16" s="2979">
        <f>'Phụ lục số 1'!AH8</f>
        <v>8484930</v>
      </c>
    </row>
    <row r="17" spans="1:5" s="47" customFormat="1" ht="19.95" customHeight="1">
      <c r="A17" s="2923" t="s">
        <v>34</v>
      </c>
      <c r="B17" s="2213" t="str">
        <f>'Phụ lục 1-HĐND'!B17</f>
        <v>Các khoản thu NSĐP hưởng 100 %</v>
      </c>
      <c r="C17" s="2981">
        <f>C16-C18</f>
        <v>4901430</v>
      </c>
    </row>
    <row r="18" spans="1:5" s="47" customFormat="1" ht="19.95" customHeight="1">
      <c r="A18" s="3304" t="s">
        <v>35</v>
      </c>
      <c r="B18" s="2227" t="str">
        <f>'Phụ lục 1-HĐND'!B18</f>
        <v>Các khoản thu phân chia NSĐP hưởng theo tỷ lệ phần trăm (%)</v>
      </c>
      <c r="C18" s="2981">
        <f>'Phụ lục số 1'!AH12+'Phụ lục số 1'!AH13+'Phụ lục số 1'!AH14+'Phụ lục số 1'!AH18+'Phụ lục số 1'!AH19+'Phụ lục số 1'!AH20+'Phụ lục số 1'!AH24+'Phụ lục số 1'!AH25+'Phụ lục số 1'!AH29+'Phụ lục số 1'!AH30+'Phụ lục số 1'!AH31+'Phụ lục số 1'!AH37+'Phụ lục số 1'!AH38</f>
        <v>3583500</v>
      </c>
    </row>
    <row r="19" spans="1:5" s="2" customFormat="1" ht="19.95" customHeight="1">
      <c r="A19" s="2109" t="s">
        <v>20</v>
      </c>
      <c r="B19" s="2224" t="str">
        <f>'Phụ lục 1-HĐND'!B19</f>
        <v>Bổ sung từ ngân sách trung ương</v>
      </c>
      <c r="C19" s="2979">
        <f>SUM(C20:C21)</f>
        <v>9256479</v>
      </c>
    </row>
    <row r="20" spans="1:5" s="47" customFormat="1" ht="19.95" customHeight="1">
      <c r="A20" s="2923" t="s">
        <v>34</v>
      </c>
      <c r="B20" s="2213" t="str">
        <f>'Phụ lục 1-HĐND'!B20</f>
        <v>Bổ sung cân đối ngân sách</v>
      </c>
      <c r="C20" s="2981">
        <f>'Phụ lục số 1'!AH53</f>
        <v>6617188</v>
      </c>
    </row>
    <row r="21" spans="1:5" s="47" customFormat="1" ht="19.95" customHeight="1">
      <c r="A21" s="2923" t="s">
        <v>35</v>
      </c>
      <c r="B21" s="2213" t="str">
        <f>'Phụ lục 1-HĐND'!B21</f>
        <v>Bổ sung có mục tiêu</v>
      </c>
      <c r="C21" s="2981">
        <f>'Phụ lục số 1'!AH55</f>
        <v>2639291</v>
      </c>
    </row>
    <row r="22" spans="1:5" s="47" customFormat="1" ht="19.95" customHeight="1">
      <c r="A22" s="2109" t="s">
        <v>49</v>
      </c>
      <c r="B22" s="2224" t="str">
        <f>'Phụ lục 1-HĐND'!B22</f>
        <v>Thu chuyển nguồn từ năm trước chuyển sang</v>
      </c>
      <c r="C22" s="2979">
        <f>'Phụ lục số 1'!AH59</f>
        <v>886000</v>
      </c>
    </row>
    <row r="23" spans="1:5" s="2" customFormat="1" ht="19.95" hidden="1" customHeight="1">
      <c r="A23" s="2109" t="s">
        <v>50</v>
      </c>
      <c r="B23" s="2224" t="str">
        <f>'Phụ lục 1-HĐND'!B23</f>
        <v>Thu đầu tư từ nguồn vốn Chính phủ vay về cho vay lại</v>
      </c>
      <c r="C23" s="2979">
        <f>'Phụ lục số 1'!AH60</f>
        <v>0</v>
      </c>
    </row>
    <row r="24" spans="1:5" s="48" customFormat="1" ht="19.95" customHeight="1">
      <c r="A24" s="2924" t="s">
        <v>26</v>
      </c>
      <c r="B24" s="2211" t="str">
        <f>'Phụ lục 1-HĐND'!B24</f>
        <v>Chi ngân sách địa phương (I+II+III)</v>
      </c>
      <c r="C24" s="2945">
        <f>SUM(C25,C41,C44)</f>
        <v>18627408.915999997</v>
      </c>
    </row>
    <row r="25" spans="1:5" s="2" customFormat="1" ht="19.95" customHeight="1">
      <c r="A25" s="2109" t="s">
        <v>9</v>
      </c>
      <c r="B25" s="2224" t="str">
        <f>'Phụ lục 1-HĐND'!B25</f>
        <v>Chi cân đối ngân sách địa phương</v>
      </c>
      <c r="C25" s="2979">
        <f>SUM(C26,C32,C37,C38,C39,C40)</f>
        <v>16638432.915999997</v>
      </c>
    </row>
    <row r="26" spans="1:5" s="2" customFormat="1" ht="19.95" customHeight="1">
      <c r="A26" s="2109">
        <v>1</v>
      </c>
      <c r="B26" s="2224" t="str">
        <f>'Phụ lục 1-HĐND'!B26</f>
        <v>Chi đầu tư phát triển (1)</v>
      </c>
      <c r="C26" s="2979">
        <f>'Phụ lục số 2'!X9</f>
        <v>4923186.4089698764</v>
      </c>
      <c r="D26" s="2228"/>
      <c r="E26" s="2228"/>
    </row>
    <row r="27" spans="1:5" s="47" customFormat="1" ht="19.95" customHeight="1">
      <c r="A27" s="2923" t="s">
        <v>34</v>
      </c>
      <c r="B27" s="2214" t="str">
        <f>'Phụ lục 1-HĐND'!B27</f>
        <v>Chi đầu tư xây dựng cơ bản</v>
      </c>
      <c r="C27" s="2981">
        <f>'Phụ lục số 2'!X10</f>
        <v>1143186.4089698761</v>
      </c>
    </row>
    <row r="28" spans="1:5" s="47" customFormat="1" ht="19.95" customHeight="1">
      <c r="A28" s="2923" t="s">
        <v>35</v>
      </c>
      <c r="B28" s="2214" t="str">
        <f>'Phụ lục 1-HĐND'!B28</f>
        <v>Chi đầu tư từ nguồn thu tiền sử dụng đất</v>
      </c>
      <c r="C28" s="2981">
        <f>'Phụ lục số 2'!X11</f>
        <v>1770000</v>
      </c>
    </row>
    <row r="29" spans="1:5" s="47" customFormat="1" ht="19.95" customHeight="1">
      <c r="A29" s="2923" t="s">
        <v>36</v>
      </c>
      <c r="B29" s="2214" t="str">
        <f>'Phụ lục 1-HĐND'!B29</f>
        <v>Chi đầu tư từ nguồn thu xổ số kiến thiết</v>
      </c>
      <c r="C29" s="2981">
        <f>'Phụ lục số 2'!X12</f>
        <v>1950000</v>
      </c>
    </row>
    <row r="30" spans="1:5" s="47" customFormat="1" ht="19.95" customHeight="1">
      <c r="A30" s="2923" t="s">
        <v>37</v>
      </c>
      <c r="B30" s="2214" t="str">
        <f>'Phụ lục 1-HĐND'!B30</f>
        <v>Chi đầu tư từ nguồn thu cổ phần hóa, thoái vốn doanh nghiệp nhà nước địa phương quản lý;…</v>
      </c>
      <c r="C30" s="2981">
        <f>'Phụ lục số 2'!X13</f>
        <v>0</v>
      </c>
    </row>
    <row r="31" spans="1:5" s="47" customFormat="1" ht="19.95" customHeight="1">
      <c r="A31" s="2923" t="s">
        <v>1327</v>
      </c>
      <c r="B31" s="2214" t="str">
        <f>'Phụ lục 1-HĐND'!B31</f>
        <v>Chi đầu tư phát triển khác (Ủy thác qua NH Chính sách xã hội chi nhánh tỉnh Đồng Tháp)</v>
      </c>
      <c r="C31" s="2981">
        <f>'Phụ lục số 2'!X14</f>
        <v>60000</v>
      </c>
    </row>
    <row r="32" spans="1:5" s="2" customFormat="1" ht="19.95" customHeight="1">
      <c r="A32" s="2109">
        <v>2</v>
      </c>
      <c r="B32" s="2224" t="str">
        <f>'Phụ lục 1-HĐND'!B32</f>
        <v>Chi thường xuyên</v>
      </c>
      <c r="C32" s="2979">
        <f>'Phụ lục số 2'!X15</f>
        <v>10664978.394711081</v>
      </c>
    </row>
    <row r="33" spans="1:3" ht="19.95" customHeight="1">
      <c r="A33" s="2110" t="s">
        <v>137</v>
      </c>
      <c r="B33" s="2225" t="str">
        <f>'Phụ lục 1-HĐND'!B33</f>
        <v>Bao gồm:</v>
      </c>
      <c r="C33" s="2980"/>
    </row>
    <row r="34" spans="1:3" s="47" customFormat="1" ht="19.95" customHeight="1">
      <c r="A34" s="2923" t="s">
        <v>34</v>
      </c>
      <c r="B34" s="2213" t="str">
        <f>'Phụ lục 1-HĐND'!B34</f>
        <v>Chi giáo dục, đào tạo và dạy nghề</v>
      </c>
      <c r="C34" s="2981">
        <f>'Phụ lục số 2'!X20</f>
        <v>4797945.7831797441</v>
      </c>
    </row>
    <row r="35" spans="1:3" s="47" customFormat="1" ht="19.95" customHeight="1">
      <c r="A35" s="2923" t="s">
        <v>35</v>
      </c>
      <c r="B35" s="2213" t="str">
        <f>'Phụ lục 1-HĐND'!B35</f>
        <v>Chi khoa học và công nghệ</v>
      </c>
      <c r="C35" s="2981">
        <f>'Phụ lục số 2'!X19</f>
        <v>31218</v>
      </c>
    </row>
    <row r="36" spans="1:3" s="47" customFormat="1" ht="19.95" customHeight="1">
      <c r="A36" s="2923" t="s">
        <v>37</v>
      </c>
      <c r="B36" s="2213" t="str">
        <f>'Phụ lục 1-HĐND'!B36</f>
        <v>Các khoản chi thường xuyên còn lại</v>
      </c>
      <c r="C36" s="2981">
        <f>C32-C34-C35</f>
        <v>5835814.6115313368</v>
      </c>
    </row>
    <row r="37" spans="1:3" s="2" customFormat="1" ht="19.95" customHeight="1">
      <c r="A37" s="2109">
        <v>3</v>
      </c>
      <c r="B37" s="2224" t="str">
        <f>'Phụ lục 1-HĐND'!B37</f>
        <v>Chi bổ sung Quỹ Dự trữ tài chính</v>
      </c>
      <c r="C37" s="2979">
        <f>'Phụ lục số 2'!X29</f>
        <v>2000</v>
      </c>
    </row>
    <row r="38" spans="1:3" s="2" customFormat="1" ht="19.95" customHeight="1">
      <c r="A38" s="2109">
        <v>4</v>
      </c>
      <c r="B38" s="2224" t="str">
        <f>'Phụ lục 1-HĐND'!B38</f>
        <v>Dự phòng ngân sách</v>
      </c>
      <c r="C38" s="2979">
        <f>'Phụ lục số 2'!X30</f>
        <v>327868.91231904214</v>
      </c>
    </row>
    <row r="39" spans="1:3" s="2" customFormat="1" ht="19.95" customHeight="1">
      <c r="A39" s="2109">
        <v>5</v>
      </c>
      <c r="B39" s="2224" t="str">
        <f>'Phụ lục 1-HĐND'!B39</f>
        <v>Chi tạo nguồn cải cách tiền lương</v>
      </c>
      <c r="C39" s="2979">
        <f>'Phụ lục số 2'!X32</f>
        <v>717399.2</v>
      </c>
    </row>
    <row r="40" spans="1:3" s="2" customFormat="1" ht="19.95" customHeight="1">
      <c r="A40" s="2109">
        <v>6</v>
      </c>
      <c r="B40" s="17" t="str">
        <f>'Phụ lục 1-HĐND'!B40</f>
        <v>Chi trả lãi khoản vay của ngân sách cấp tỉnh</v>
      </c>
      <c r="C40" s="2979">
        <f>'Phụ lục số 2'!X34</f>
        <v>3000</v>
      </c>
    </row>
    <row r="41" spans="1:3" s="2" customFormat="1" ht="19.95" customHeight="1">
      <c r="A41" s="2109" t="s">
        <v>20</v>
      </c>
      <c r="B41" s="134" t="str">
        <f>'Phụ lục 1-HĐND'!B41</f>
        <v>Chi từ nguồn bổ sung có mục tiêu từ ngân sách trung ương</v>
      </c>
      <c r="C41" s="2979">
        <f>SUM(C42:C43)</f>
        <v>1988976</v>
      </c>
    </row>
    <row r="42" spans="1:3" s="2" customFormat="1" ht="19.95" customHeight="1">
      <c r="A42" s="2110">
        <v>1</v>
      </c>
      <c r="B42" s="12" t="str">
        <f>'Phụ lục 1-HĐND'!B42</f>
        <v>Chi thực hiện mục tiêu, nhiệm vụ quan trọng (vốn đầu tư phát triển)</v>
      </c>
      <c r="C42" s="2980">
        <f>'Phụ lục số 2'!X36</f>
        <v>1814491</v>
      </c>
    </row>
    <row r="43" spans="1:3" s="2" customFormat="1" ht="19.95" customHeight="1">
      <c r="A43" s="2110">
        <v>2</v>
      </c>
      <c r="B43" s="12" t="str">
        <f>'Phụ lục 1-HĐND'!B43</f>
        <v>Chi thực hiện mục tiêu, nhiệm vụ quan trọng (kinh phí sự nghiệp)</v>
      </c>
      <c r="C43" s="2980">
        <f>'Phụ lục số 2'!X37</f>
        <v>174485</v>
      </c>
    </row>
    <row r="44" spans="1:3" s="2" customFormat="1" ht="19.95" customHeight="1" thickBot="1">
      <c r="A44" s="2114" t="s">
        <v>49</v>
      </c>
      <c r="B44" s="3305" t="str">
        <f>'Phụ lục 1-HĐND'!B44</f>
        <v>Chi đầu tư từ nguồn vốn Chính phủ vay về cho vay lại</v>
      </c>
      <c r="C44" s="2982">
        <f>'Phụ lục số 2'!X39</f>
        <v>0</v>
      </c>
    </row>
    <row r="45" spans="1:3" ht="19.95" customHeight="1" thickTop="1">
      <c r="B45" s="4785" t="str">
        <f>'Phụ lục 1-HĐND'!B45:C45</f>
        <v>Ghi chú: (1) Đã bao gồm chi trả nợ gốc các khoản vay của ngân sách địa phương từ nguồn bội thu</v>
      </c>
      <c r="C45" s="4785"/>
    </row>
  </sheetData>
  <mergeCells count="4">
    <mergeCell ref="A4:C4"/>
    <mergeCell ref="A5:C5"/>
    <mergeCell ref="B45:C45"/>
    <mergeCell ref="B7:C7"/>
  </mergeCells>
  <hyperlinks>
    <hyperlink ref="A8" location="'List danh mục'!A1" display="'List danh mục'!A1"/>
  </hyperlinks>
  <printOptions horizontalCentered="1"/>
  <pageMargins left="0" right="0" top="0.39370078740157483" bottom="0" header="0.19685039370078741" footer="0.19685039370078741"/>
  <pageSetup paperSize="9" scale="95" orientation="portrait" verticalDpi="0" r:id="rId1"/>
  <headerFooter>
    <oddHeader>&amp;R&amp;A</oddHeader>
    <oddFooter>&amp;C&amp;P/&amp;N</oddFooter>
  </headerFooter>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66FF"/>
  </sheetPr>
  <dimension ref="A1:C39"/>
  <sheetViews>
    <sheetView topLeftCell="A22" workbookViewId="0">
      <selection activeCell="F18" sqref="F18:F19"/>
    </sheetView>
  </sheetViews>
  <sheetFormatPr defaultColWidth="9" defaultRowHeight="18"/>
  <cols>
    <col min="1" max="1" width="5.69921875" style="2230" customWidth="1"/>
    <col min="2" max="2" width="75.69921875" style="2230" customWidth="1"/>
    <col min="3" max="3" width="16.69921875" style="2230" customWidth="1"/>
    <col min="4" max="16384" width="9" style="2230"/>
  </cols>
  <sheetData>
    <row r="1" spans="1:3" s="2229" customFormat="1" ht="21" hidden="1" customHeight="1">
      <c r="B1" s="2208" t="s">
        <v>1368</v>
      </c>
      <c r="C1" s="2"/>
    </row>
    <row r="2" spans="1:3" s="2229" customFormat="1" ht="21" hidden="1" customHeight="1">
      <c r="B2" s="2208" t="s">
        <v>1369</v>
      </c>
      <c r="C2" s="2"/>
    </row>
    <row r="3" spans="1:3" hidden="1">
      <c r="B3" s="2231"/>
      <c r="C3" s="2232"/>
    </row>
    <row r="4" spans="1:3" s="2229" customFormat="1" ht="17.399999999999999">
      <c r="A4" s="4738" t="s">
        <v>2353</v>
      </c>
      <c r="B4" s="4738"/>
      <c r="C4" s="4738"/>
    </row>
    <row r="5" spans="1:3" s="2229" customFormat="1">
      <c r="A5" s="4737" t="str">
        <f>'Phụ lục 1-KQPB'!A5:C5</f>
        <v>(Kèm theo Báo cáo số            /BC-UBND ngày      /12/2023 của Ủy ban nhân dân tỉnh Đồng Tháp)</v>
      </c>
      <c r="B5" s="4737"/>
      <c r="C5" s="4737"/>
    </row>
    <row r="6" spans="1:3" s="2229" customFormat="1">
      <c r="A6" s="2232"/>
      <c r="B6" s="2232"/>
      <c r="C6" s="2232"/>
    </row>
    <row r="7" spans="1:3" s="2229" customFormat="1" thickBot="1">
      <c r="A7" s="2233"/>
      <c r="B7" s="4739" t="s">
        <v>64</v>
      </c>
      <c r="C7" s="4739"/>
    </row>
    <row r="8" spans="1:3" s="2234" customFormat="1" ht="15.9" customHeight="1" thickTop="1">
      <c r="A8" s="4731" t="s">
        <v>1370</v>
      </c>
      <c r="B8" s="4733" t="s">
        <v>52</v>
      </c>
      <c r="C8" s="4735" t="s">
        <v>1700</v>
      </c>
    </row>
    <row r="9" spans="1:3" s="2234" customFormat="1" ht="17.399999999999999">
      <c r="A9" s="4732"/>
      <c r="B9" s="4734"/>
      <c r="C9" s="4736"/>
    </row>
    <row r="10" spans="1:3" s="2240" customFormat="1" ht="24" customHeight="1">
      <c r="A10" s="2983" t="s">
        <v>7</v>
      </c>
      <c r="B10" s="2235" t="s">
        <v>1371</v>
      </c>
      <c r="C10" s="2984">
        <f>SUM(C11,C28)</f>
        <v>9266000</v>
      </c>
    </row>
    <row r="11" spans="1:3" s="2240" customFormat="1" ht="24" customHeight="1">
      <c r="A11" s="2985" t="s">
        <v>9</v>
      </c>
      <c r="B11" s="2236" t="s">
        <v>10</v>
      </c>
      <c r="C11" s="2986">
        <f>SUM(C12:C27)</f>
        <v>9066000</v>
      </c>
    </row>
    <row r="12" spans="1:3" s="2241" customFormat="1" ht="24" customHeight="1">
      <c r="A12" s="2987">
        <v>1</v>
      </c>
      <c r="B12" s="2237" t="s">
        <v>1398</v>
      </c>
      <c r="C12" s="2988">
        <f>'Phụ lục số 1'!AE11</f>
        <v>230000</v>
      </c>
    </row>
    <row r="13" spans="1:3" s="2241" customFormat="1" ht="24" customHeight="1">
      <c r="A13" s="2987">
        <v>2</v>
      </c>
      <c r="B13" s="2237" t="s">
        <v>1399</v>
      </c>
      <c r="C13" s="2988">
        <f>'Phụ lục số 1'!AE17</f>
        <v>300000</v>
      </c>
    </row>
    <row r="14" spans="1:3" s="2241" customFormat="1" ht="24" customHeight="1">
      <c r="A14" s="2987">
        <v>3</v>
      </c>
      <c r="B14" s="2237" t="s">
        <v>1400</v>
      </c>
      <c r="C14" s="2988">
        <f>'Phụ lục số 1'!AE23</f>
        <v>75000</v>
      </c>
    </row>
    <row r="15" spans="1:3" s="2242" customFormat="1" ht="24" customHeight="1">
      <c r="A15" s="2987">
        <v>4</v>
      </c>
      <c r="B15" s="2237" t="s">
        <v>352</v>
      </c>
      <c r="C15" s="2988">
        <f>'Phụ lục số 1'!AE28</f>
        <v>1701000</v>
      </c>
    </row>
    <row r="16" spans="1:3" s="2241" customFormat="1" ht="24" customHeight="1">
      <c r="A16" s="2987">
        <v>5</v>
      </c>
      <c r="B16" s="2237" t="s">
        <v>16</v>
      </c>
      <c r="C16" s="2988">
        <f>'Phụ lục số 1'!AE34</f>
        <v>350000</v>
      </c>
    </row>
    <row r="17" spans="1:3" s="2241" customFormat="1" ht="24" customHeight="1">
      <c r="A17" s="2987">
        <v>6</v>
      </c>
      <c r="B17" s="2237" t="s">
        <v>271</v>
      </c>
      <c r="C17" s="2988">
        <f>'Phụ lục số 1'!AE36</f>
        <v>15000</v>
      </c>
    </row>
    <row r="18" spans="1:3" s="2241" customFormat="1" ht="24" customHeight="1">
      <c r="A18" s="2987">
        <v>7</v>
      </c>
      <c r="B18" s="2237" t="s">
        <v>97</v>
      </c>
      <c r="C18" s="2988">
        <f>'Phụ lục số 1'!AE37</f>
        <v>730000</v>
      </c>
    </row>
    <row r="19" spans="1:3" s="2241" customFormat="1" ht="24" customHeight="1">
      <c r="A19" s="2987">
        <v>8</v>
      </c>
      <c r="B19" s="2237" t="s">
        <v>1288</v>
      </c>
      <c r="C19" s="2988">
        <f>'Phụ lục số 1'!AE38</f>
        <v>1065000</v>
      </c>
    </row>
    <row r="20" spans="1:3" s="2241" customFormat="1" ht="24" customHeight="1">
      <c r="A20" s="2987">
        <v>9</v>
      </c>
      <c r="B20" s="2237" t="s">
        <v>1401</v>
      </c>
      <c r="C20" s="2989">
        <f>'Phụ lục số 1'!AE39</f>
        <v>170000</v>
      </c>
    </row>
    <row r="21" spans="1:3" s="2241" customFormat="1" ht="24" customHeight="1">
      <c r="A21" s="2987">
        <v>10</v>
      </c>
      <c r="B21" s="2237" t="s">
        <v>18</v>
      </c>
      <c r="C21" s="2988">
        <f>'Phụ lục số 1'!AE40</f>
        <v>1770000</v>
      </c>
    </row>
    <row r="22" spans="1:3" s="2241" customFormat="1" ht="24" customHeight="1">
      <c r="A22" s="2987">
        <v>11</v>
      </c>
      <c r="B22" s="2237" t="s">
        <v>98</v>
      </c>
      <c r="C22" s="2988">
        <f>'Phụ lục số 1'!AE41</f>
        <v>315000</v>
      </c>
    </row>
    <row r="23" spans="1:3" s="2241" customFormat="1" ht="24" customHeight="1">
      <c r="A23" s="2987">
        <v>12</v>
      </c>
      <c r="B23" s="2237" t="s">
        <v>279</v>
      </c>
      <c r="C23" s="2988">
        <f>'Phụ lục số 1'!AE43</f>
        <v>326000</v>
      </c>
    </row>
    <row r="24" spans="1:3" s="2241" customFormat="1" ht="24" customHeight="1">
      <c r="A24" s="2987">
        <v>13</v>
      </c>
      <c r="B24" s="2237" t="s">
        <v>1402</v>
      </c>
      <c r="C24" s="2988">
        <f>'Phụ lục số 1'!AE47</f>
        <v>2000</v>
      </c>
    </row>
    <row r="25" spans="1:3" s="2241" customFormat="1" ht="24" customHeight="1">
      <c r="A25" s="2987">
        <v>14</v>
      </c>
      <c r="B25" s="11" t="s">
        <v>1403</v>
      </c>
      <c r="C25" s="2988">
        <f>'Phụ lục số 1'!AE48</f>
        <v>1950000</v>
      </c>
    </row>
    <row r="26" spans="1:3" s="2241" customFormat="1" ht="24" customHeight="1">
      <c r="A26" s="2987">
        <v>15</v>
      </c>
      <c r="B26" s="11" t="s">
        <v>1404</v>
      </c>
      <c r="C26" s="2988">
        <f>'Phụ lục số 1'!AE44</f>
        <v>30000</v>
      </c>
    </row>
    <row r="27" spans="1:3" s="2241" customFormat="1" ht="24" customHeight="1">
      <c r="A27" s="2987">
        <v>16</v>
      </c>
      <c r="B27" s="11" t="s">
        <v>1405</v>
      </c>
      <c r="C27" s="2988">
        <f>'Phụ lục số 1'!AE45</f>
        <v>37000</v>
      </c>
    </row>
    <row r="28" spans="1:3" s="2243" customFormat="1" ht="24" customHeight="1">
      <c r="A28" s="2985" t="s">
        <v>20</v>
      </c>
      <c r="B28" s="2236" t="s">
        <v>107</v>
      </c>
      <c r="C28" s="2990">
        <f>'Phụ lục số 1'!AE49</f>
        <v>200000</v>
      </c>
    </row>
    <row r="29" spans="1:3" s="2240" customFormat="1" ht="24" customHeight="1">
      <c r="A29" s="2991"/>
      <c r="B29" s="2245" t="s">
        <v>1378</v>
      </c>
      <c r="C29" s="2992">
        <f>'[1]Phụ lục số 1'!N57</f>
        <v>0</v>
      </c>
    </row>
    <row r="30" spans="1:3" s="2243" customFormat="1" ht="24" customHeight="1">
      <c r="A30" s="2985" t="s">
        <v>22</v>
      </c>
      <c r="B30" s="2244" t="s">
        <v>1406</v>
      </c>
      <c r="C30" s="2990">
        <f>SUM(C31,C34,C38,C37)</f>
        <v>18627409</v>
      </c>
    </row>
    <row r="31" spans="1:3" s="2242" customFormat="1" ht="24" customHeight="1">
      <c r="A31" s="2993" t="s">
        <v>9</v>
      </c>
      <c r="B31" s="2238" t="str">
        <f>'Phụ lục 1-KQPB'!B16</f>
        <v>Thu ngân sách địa phương (NSĐP) hưởng theo phân cấp</v>
      </c>
      <c r="C31" s="2994">
        <f>SUM(C32:C33)</f>
        <v>8484930</v>
      </c>
    </row>
    <row r="32" spans="1:3" s="2241" customFormat="1" ht="24" customHeight="1">
      <c r="A32" s="2987">
        <v>1</v>
      </c>
      <c r="B32" s="2237" t="str">
        <f>'Phụ lục 1-KQPB'!B17</f>
        <v>Các khoản thu NSĐP hưởng 100 %</v>
      </c>
      <c r="C32" s="2988">
        <f>'Phụ lục 1-HĐND'!C17</f>
        <v>4901430</v>
      </c>
    </row>
    <row r="33" spans="1:3" s="2241" customFormat="1" ht="24" customHeight="1">
      <c r="A33" s="2987">
        <v>2</v>
      </c>
      <c r="B33" s="2237" t="str">
        <f>'Phụ lục 1-KQPB'!B18</f>
        <v>Các khoản thu phân chia NSĐP hưởng theo tỷ lệ phần trăm (%)</v>
      </c>
      <c r="C33" s="2988">
        <f>'Phụ lục 1-HĐND'!C18</f>
        <v>3583500</v>
      </c>
    </row>
    <row r="34" spans="1:3" s="2242" customFormat="1" ht="24" customHeight="1">
      <c r="A34" s="2993" t="s">
        <v>20</v>
      </c>
      <c r="B34" s="2238" t="str">
        <f>'Phụ lục 1-KQPB'!B19</f>
        <v>Bổ sung từ ngân sách trung ương</v>
      </c>
      <c r="C34" s="2995">
        <f>SUM(C35:C36)</f>
        <v>9256479</v>
      </c>
    </row>
    <row r="35" spans="1:3" s="2241" customFormat="1" ht="24" customHeight="1">
      <c r="A35" s="2987">
        <v>1</v>
      </c>
      <c r="B35" s="2237" t="str">
        <f>'Phụ lục 1-KQPB'!B20</f>
        <v>Bổ sung cân đối ngân sách</v>
      </c>
      <c r="C35" s="2988">
        <f>'Phụ lục 1-HĐND'!C20</f>
        <v>6617188</v>
      </c>
    </row>
    <row r="36" spans="1:3" s="2241" customFormat="1" ht="24" customHeight="1">
      <c r="A36" s="2987">
        <v>2</v>
      </c>
      <c r="B36" s="2237" t="str">
        <f>'Phụ lục 1-KQPB'!B21</f>
        <v>Bổ sung có mục tiêu</v>
      </c>
      <c r="C36" s="2988">
        <f>'Phụ lục 1-HĐND'!C21</f>
        <v>2639291</v>
      </c>
    </row>
    <row r="37" spans="1:3" s="2242" customFormat="1" ht="24" customHeight="1">
      <c r="A37" s="2996" t="s">
        <v>49</v>
      </c>
      <c r="B37" s="2239" t="str">
        <f>'Phụ lục 1-KQPB'!B22</f>
        <v>Thu chuyển nguồn từ năm trước chuyển sang</v>
      </c>
      <c r="C37" s="2997">
        <f>'Phụ lục 1-HĐND'!C22</f>
        <v>886000</v>
      </c>
    </row>
    <row r="38" spans="1:3" s="2242" customFormat="1" ht="24" customHeight="1" thickBot="1">
      <c r="A38" s="2998" t="s">
        <v>50</v>
      </c>
      <c r="B38" s="2999" t="str">
        <f>'Phụ lục 1-KQPB'!B23</f>
        <v>Thu đầu tư từ nguồn vốn Chính phủ vay về cho vay lại</v>
      </c>
      <c r="C38" s="3000">
        <f>'Phụ lục 1-HĐND'!C23</f>
        <v>0</v>
      </c>
    </row>
    <row r="39" spans="1:3" ht="18.600000000000001" thickTop="1"/>
  </sheetData>
  <mergeCells count="6">
    <mergeCell ref="A4:C4"/>
    <mergeCell ref="A5:C5"/>
    <mergeCell ref="A8:A9"/>
    <mergeCell ref="B8:B9"/>
    <mergeCell ref="C8:C9"/>
    <mergeCell ref="B7:C7"/>
  </mergeCells>
  <hyperlinks>
    <hyperlink ref="A8:A9" location="'List danh mục'!A1" display="'List danh mục'!A1"/>
  </hyperlinks>
  <printOptions horizontalCentered="1"/>
  <pageMargins left="0" right="0" top="0.39370078740157483" bottom="0" header="0.19685039370078741" footer="0.19685039370078741"/>
  <pageSetup paperSize="9" scale="95" orientation="portrait" verticalDpi="0" r:id="rId1"/>
  <headerFooter>
    <oddHeader>&amp;R&amp;A</oddHeader>
    <oddFooter>&amp;C&amp;P/&amp;N</oddFooter>
  </headerFooter>
  <legacyDrawing r:id="rId2"/>
</worksheet>
</file>

<file path=xl/worksheets/sheet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66FF"/>
  </sheetPr>
  <dimension ref="A1:E55"/>
  <sheetViews>
    <sheetView topLeftCell="A43" workbookViewId="0">
      <selection activeCell="F18" sqref="F18:F19"/>
    </sheetView>
  </sheetViews>
  <sheetFormatPr defaultColWidth="9" defaultRowHeight="18"/>
  <cols>
    <col min="1" max="1" width="5.69921875" style="37" customWidth="1"/>
    <col min="2" max="2" width="60" style="37" customWidth="1"/>
    <col min="3" max="5" width="12.69921875" style="37" customWidth="1"/>
    <col min="6" max="16384" width="9" style="37"/>
  </cols>
  <sheetData>
    <row r="1" spans="1:5" s="2" customFormat="1" ht="17.399999999999999" hidden="1">
      <c r="B1" s="4568" t="s">
        <v>1368</v>
      </c>
      <c r="C1" s="4568"/>
      <c r="D1" s="4568"/>
    </row>
    <row r="2" spans="1:5" s="2" customFormat="1" ht="17.399999999999999" hidden="1">
      <c r="B2" s="4568" t="s">
        <v>1369</v>
      </c>
      <c r="C2" s="4568"/>
      <c r="D2" s="4568"/>
    </row>
    <row r="3" spans="1:5" s="2" customFormat="1" ht="17.399999999999999" hidden="1">
      <c r="B3" s="38"/>
      <c r="C3" s="4299"/>
      <c r="D3" s="4299"/>
      <c r="E3" s="4299"/>
    </row>
    <row r="4" spans="1:5" s="2" customFormat="1" ht="17.399999999999999">
      <c r="A4" s="4316" t="s">
        <v>2355</v>
      </c>
      <c r="B4" s="4299"/>
      <c r="C4" s="4299"/>
      <c r="D4" s="4299"/>
      <c r="E4" s="4299"/>
    </row>
    <row r="5" spans="1:5" s="2" customFormat="1">
      <c r="A5" s="4523" t="str">
        <f>'Phụ lục 2-KQPB'!A5:C5</f>
        <v>(Kèm theo Báo cáo số            /BC-UBND ngày      /12/2023 của Ủy ban nhân dân tỉnh Đồng Tháp)</v>
      </c>
      <c r="B5" s="4571"/>
      <c r="C5" s="4571"/>
      <c r="D5" s="4571"/>
      <c r="E5" s="4571"/>
    </row>
    <row r="6" spans="1:5" s="2" customFormat="1" ht="17.399999999999999">
      <c r="A6" s="2206"/>
      <c r="B6" s="38"/>
      <c r="C6" s="38"/>
      <c r="D6" s="38"/>
      <c r="E6" s="38"/>
    </row>
    <row r="7" spans="1:5" ht="18.600000000000001" thickBot="1">
      <c r="B7" s="4516" t="s">
        <v>64</v>
      </c>
      <c r="C7" s="4516"/>
      <c r="D7" s="4516"/>
      <c r="E7" s="4516"/>
    </row>
    <row r="8" spans="1:5" s="2" customFormat="1" thickTop="1">
      <c r="A8" s="4731" t="s">
        <v>1370</v>
      </c>
      <c r="B8" s="4479" t="s">
        <v>791</v>
      </c>
      <c r="C8" s="4650" t="s">
        <v>1700</v>
      </c>
      <c r="D8" s="4650"/>
      <c r="E8" s="4651"/>
    </row>
    <row r="9" spans="1:5" s="2" customFormat="1" ht="17.399999999999999">
      <c r="A9" s="4740"/>
      <c r="B9" s="4480"/>
      <c r="C9" s="4480" t="s">
        <v>4</v>
      </c>
      <c r="D9" s="4362" t="s">
        <v>1409</v>
      </c>
      <c r="E9" s="4741"/>
    </row>
    <row r="10" spans="1:5" s="70" customFormat="1" ht="78.75" customHeight="1">
      <c r="A10" s="4740"/>
      <c r="B10" s="4480"/>
      <c r="C10" s="4480"/>
      <c r="D10" s="7" t="s">
        <v>1410</v>
      </c>
      <c r="E10" s="3001" t="s">
        <v>1411</v>
      </c>
    </row>
    <row r="11" spans="1:5" s="48" customFormat="1" ht="19.95" customHeight="1">
      <c r="A11" s="3002"/>
      <c r="B11" s="2253" t="str">
        <f>'Phụ lục 4-HĐND'!B11</f>
        <v>Tổng chi ngân sách địa phương</v>
      </c>
      <c r="C11" s="2254">
        <f>SUM(C12,C19,C34,C35,C38,C42,C36,C37)</f>
        <v>18627408.915999997</v>
      </c>
      <c r="D11" s="2254">
        <f t="shared" ref="D11:E11" si="0">SUM(D12,D19,D34,D35,D38,D42,D36,D37)</f>
        <v>8719005.568</v>
      </c>
      <c r="E11" s="3003">
        <f t="shared" si="0"/>
        <v>9908403.3479999993</v>
      </c>
    </row>
    <row r="12" spans="1:5" s="48" customFormat="1" ht="19.95" customHeight="1">
      <c r="A12" s="2933" t="s">
        <v>9</v>
      </c>
      <c r="B12" s="2256" t="str">
        <f>'Phụ lục 4-HĐND'!B12</f>
        <v>Chi đầu tư phát triển (2)</v>
      </c>
      <c r="C12" s="1445">
        <f t="shared" ref="C12:D12" si="1">SUM(C14:C18)</f>
        <v>4923186.4089698764</v>
      </c>
      <c r="D12" s="1445">
        <f t="shared" si="1"/>
        <v>3199186</v>
      </c>
      <c r="E12" s="3004">
        <f>SUM(E14:E18)</f>
        <v>1724000.4089698761</v>
      </c>
    </row>
    <row r="13" spans="1:5" ht="19.95" customHeight="1">
      <c r="A13" s="2931"/>
      <c r="B13" s="1438" t="str">
        <f>'Phụ lục 4-HĐND'!B13</f>
        <v>Bao gồm:</v>
      </c>
      <c r="C13" s="78"/>
      <c r="D13" s="78"/>
      <c r="E13" s="3005"/>
    </row>
    <row r="14" spans="1:5" ht="19.95" customHeight="1">
      <c r="A14" s="2931">
        <f>'Phụ lục 4-HĐND'!A14</f>
        <v>1</v>
      </c>
      <c r="B14" s="1444" t="str">
        <f>'Phụ lục 1-KQPB'!B27</f>
        <v>Chi đầu tư xây dựng cơ bản</v>
      </c>
      <c r="C14" s="78">
        <f t="shared" ref="C14:C19" si="2">SUM(D14:E14)</f>
        <v>1143186.4089698761</v>
      </c>
      <c r="D14" s="78">
        <f>'Phụ lục số 2'!AA10</f>
        <v>562186</v>
      </c>
      <c r="E14" s="3005">
        <f>'Phụ lục số 2'!AB10</f>
        <v>581000.40896987612</v>
      </c>
    </row>
    <row r="15" spans="1:5" ht="19.95" customHeight="1">
      <c r="A15" s="2931">
        <f>'Phụ lục 4-HĐND'!A15</f>
        <v>2</v>
      </c>
      <c r="B15" s="1444" t="str">
        <f>'Phụ lục 1-KQPB'!B28</f>
        <v>Chi đầu tư từ nguồn thu tiền sử dụng đất</v>
      </c>
      <c r="C15" s="78">
        <f t="shared" si="2"/>
        <v>1770000</v>
      </c>
      <c r="D15" s="78">
        <f>'Phụ lục số 2'!AA11</f>
        <v>627000</v>
      </c>
      <c r="E15" s="3005">
        <f>'Phụ lục số 2'!AB11</f>
        <v>1143000</v>
      </c>
    </row>
    <row r="16" spans="1:5" ht="19.95" customHeight="1">
      <c r="A16" s="2931">
        <f>'Phụ lục 4-HĐND'!A16</f>
        <v>3</v>
      </c>
      <c r="B16" s="1444" t="str">
        <f>'Phụ lục 1-KQPB'!B29</f>
        <v>Chi đầu tư từ nguồn thu xổ số kiến thiết</v>
      </c>
      <c r="C16" s="78">
        <f t="shared" si="2"/>
        <v>1950000</v>
      </c>
      <c r="D16" s="78">
        <f>'Phụ lục số 2'!AA12</f>
        <v>1950000</v>
      </c>
      <c r="E16" s="3005">
        <f>'Phụ lục số 2'!AB12</f>
        <v>0</v>
      </c>
    </row>
    <row r="17" spans="1:5" ht="19.95" customHeight="1">
      <c r="A17" s="2931">
        <f>'Phụ lục 4-HĐND'!A17</f>
        <v>4</v>
      </c>
      <c r="B17" s="1444" t="str">
        <f>'Phụ lục 1-KQPB'!B30</f>
        <v>Chi đầu tư từ nguồn thu cổ phần hóa, thoái vốn doanh nghiệp nhà nước địa phương quản lý;…</v>
      </c>
      <c r="C17" s="78">
        <f t="shared" si="2"/>
        <v>0</v>
      </c>
      <c r="D17" s="78">
        <f>'Phụ lục số 2'!AA13</f>
        <v>0</v>
      </c>
      <c r="E17" s="3005">
        <f>'Phụ lục số 2'!AB13</f>
        <v>0</v>
      </c>
    </row>
    <row r="18" spans="1:5" ht="19.95" customHeight="1">
      <c r="A18" s="2931">
        <f>'Phụ lục 4-HĐND'!A18</f>
        <v>4</v>
      </c>
      <c r="B18" s="1444" t="str">
        <f>'Phụ lục 1-KQPB'!B31</f>
        <v>Chi đầu tư phát triển khác (Ủy thác qua NH Chính sách xã hội chi nhánh tỉnh Đồng Tháp)</v>
      </c>
      <c r="C18" s="78">
        <f t="shared" si="2"/>
        <v>60000</v>
      </c>
      <c r="D18" s="78">
        <f>'Phụ lục số 2'!AA14</f>
        <v>60000</v>
      </c>
      <c r="E18" s="3005">
        <f>'Phụ lục số 2'!AB14</f>
        <v>0</v>
      </c>
    </row>
    <row r="19" spans="1:5" s="2247" customFormat="1" ht="19.95" customHeight="1">
      <c r="A19" s="2933" t="s">
        <v>20</v>
      </c>
      <c r="B19" s="2256" t="s">
        <v>1414</v>
      </c>
      <c r="C19" s="1445">
        <f t="shared" si="2"/>
        <v>10664978.394711081</v>
      </c>
      <c r="D19" s="1445">
        <f>'Phụ lục số 2'!AA15</f>
        <v>3294440</v>
      </c>
      <c r="E19" s="3004">
        <f>'Phụ lục số 2'!AB15</f>
        <v>7370538.3947110809</v>
      </c>
    </row>
    <row r="20" spans="1:5" s="2248" customFormat="1" ht="19.95" customHeight="1">
      <c r="A20" s="2930"/>
      <c r="B20" s="1438" t="s">
        <v>299</v>
      </c>
      <c r="C20" s="76"/>
      <c r="D20" s="76"/>
      <c r="E20" s="3007"/>
    </row>
    <row r="21" spans="1:5" s="2249" customFormat="1" ht="19.95" customHeight="1">
      <c r="A21" s="2931" t="s">
        <v>34</v>
      </c>
      <c r="B21" s="1438" t="str">
        <f>'Phụ lục 1-KQPB'!B34</f>
        <v>Chi giáo dục, đào tạo và dạy nghề</v>
      </c>
      <c r="C21" s="78">
        <f t="shared" ref="C21:C42" si="3">SUM(D21:E21)</f>
        <v>4797945.7831797441</v>
      </c>
      <c r="D21" s="78">
        <f>'Phụ lục số 2'!AA20</f>
        <v>956676</v>
      </c>
      <c r="E21" s="3005">
        <f>'Phụ lục số 2'!AB20</f>
        <v>3841269.7831797441</v>
      </c>
    </row>
    <row r="22" spans="1:5" s="2249" customFormat="1" ht="19.95" customHeight="1">
      <c r="A22" s="2931" t="s">
        <v>35</v>
      </c>
      <c r="B22" s="1438" t="str">
        <f>'Phụ lục 1-KQPB'!B35</f>
        <v>Chi khoa học và công nghệ</v>
      </c>
      <c r="C22" s="78">
        <f t="shared" si="3"/>
        <v>31218</v>
      </c>
      <c r="D22" s="78">
        <f>'Phụ lục số 2'!AA19</f>
        <v>31218</v>
      </c>
      <c r="E22" s="3005">
        <f>'[1]Phụ lục số 2'!O18</f>
        <v>0</v>
      </c>
    </row>
    <row r="23" spans="1:5" s="2249" customFormat="1" ht="19.95" customHeight="1">
      <c r="A23" s="2931" t="s">
        <v>36</v>
      </c>
      <c r="B23" s="1438" t="str">
        <f>'Phụ lục 1-KQPB'!B36</f>
        <v>Các khoản chi thường xuyên còn lại</v>
      </c>
      <c r="C23" s="78">
        <f>SUM(D23:E23)</f>
        <v>5835814.6115313368</v>
      </c>
      <c r="D23" s="78">
        <f>D19-D21-D22</f>
        <v>2306546</v>
      </c>
      <c r="E23" s="3005">
        <f>E19-E21-E22</f>
        <v>3529268.6115313368</v>
      </c>
    </row>
    <row r="24" spans="1:5" s="2249" customFormat="1" ht="19.95" hidden="1" customHeight="1">
      <c r="A24" s="3306">
        <v>3</v>
      </c>
      <c r="B24" s="2341" t="s">
        <v>2044</v>
      </c>
      <c r="C24" s="2343">
        <f>SUM(D24:E24)</f>
        <v>151965</v>
      </c>
      <c r="D24" s="2342">
        <f>'Phụ lục số 2'!AA17</f>
        <v>67965</v>
      </c>
      <c r="E24" s="3307">
        <f>'Phụ lục số 2'!AB17</f>
        <v>84000</v>
      </c>
    </row>
    <row r="25" spans="1:5" s="2249" customFormat="1" ht="19.95" hidden="1" customHeight="1">
      <c r="A25" s="3308">
        <v>4</v>
      </c>
      <c r="B25" s="2342" t="s">
        <v>63</v>
      </c>
      <c r="C25" s="2343">
        <f t="shared" ref="C25:C33" si="4">SUM(D25:E25)</f>
        <v>2068978.6115313373</v>
      </c>
      <c r="D25" s="2342">
        <f>'Phụ lục số 2'!AA16</f>
        <v>545710</v>
      </c>
      <c r="E25" s="3307">
        <f>'Phụ lục số 2'!AB16</f>
        <v>1523268.6115313373</v>
      </c>
    </row>
    <row r="26" spans="1:5" s="2249" customFormat="1" ht="19.95" hidden="1" customHeight="1">
      <c r="A26" s="3308">
        <v>5</v>
      </c>
      <c r="B26" s="2342" t="s">
        <v>39</v>
      </c>
      <c r="C26" s="2343">
        <f t="shared" si="4"/>
        <v>828538</v>
      </c>
      <c r="D26" s="2342">
        <f>'Phụ lục số 2'!AA21</f>
        <v>828538</v>
      </c>
      <c r="E26" s="3307">
        <f>'Phụ lục số 2'!AB21</f>
        <v>0</v>
      </c>
    </row>
    <row r="27" spans="1:5" s="2249" customFormat="1" ht="19.95" hidden="1" customHeight="1">
      <c r="A27" s="3308">
        <v>6</v>
      </c>
      <c r="B27" s="2342" t="s">
        <v>41</v>
      </c>
      <c r="C27" s="2343">
        <f t="shared" si="4"/>
        <v>91888</v>
      </c>
      <c r="D27" s="2342">
        <f>'Phụ lục số 2'!AA22</f>
        <v>47888</v>
      </c>
      <c r="E27" s="3307">
        <f>'Phụ lục số 2'!AB22</f>
        <v>44000</v>
      </c>
    </row>
    <row r="28" spans="1:5" s="2249" customFormat="1" ht="19.95" hidden="1" customHeight="1">
      <c r="A28" s="3308">
        <v>7</v>
      </c>
      <c r="B28" s="2342" t="s">
        <v>43</v>
      </c>
      <c r="C28" s="2343">
        <f t="shared" si="4"/>
        <v>50073</v>
      </c>
      <c r="D28" s="2342">
        <f>'Phụ lục số 2'!AA23</f>
        <v>18073</v>
      </c>
      <c r="E28" s="3307">
        <f>'Phụ lục số 2'!AB23</f>
        <v>32000</v>
      </c>
    </row>
    <row r="29" spans="1:5" s="2249" customFormat="1" ht="19.95" hidden="1" customHeight="1">
      <c r="A29" s="3308">
        <v>8</v>
      </c>
      <c r="B29" s="2342" t="s">
        <v>45</v>
      </c>
      <c r="C29" s="2343">
        <f t="shared" si="4"/>
        <v>53202</v>
      </c>
      <c r="D29" s="2342">
        <f>'Phụ lục số 2'!AA24</f>
        <v>37202</v>
      </c>
      <c r="E29" s="3307">
        <f>'Phụ lục số 2'!AB24</f>
        <v>16000</v>
      </c>
    </row>
    <row r="30" spans="1:5" s="2249" customFormat="1" ht="19.95" hidden="1" customHeight="1">
      <c r="A30" s="3308">
        <v>9</v>
      </c>
      <c r="B30" s="2342" t="s">
        <v>46</v>
      </c>
      <c r="C30" s="2343">
        <f t="shared" si="4"/>
        <v>601385</v>
      </c>
      <c r="D30" s="2342">
        <f>'Phụ lục số 2'!AA25</f>
        <v>77385</v>
      </c>
      <c r="E30" s="3307">
        <f>'Phụ lục số 2'!AB25</f>
        <v>524000</v>
      </c>
    </row>
    <row r="31" spans="1:5" s="2249" customFormat="1" ht="19.95" hidden="1" customHeight="1">
      <c r="A31" s="3308">
        <v>10</v>
      </c>
      <c r="B31" s="2342" t="s">
        <v>47</v>
      </c>
      <c r="C31" s="2343">
        <f t="shared" si="4"/>
        <v>1570458</v>
      </c>
      <c r="D31" s="2342">
        <f>'Phụ lục số 2'!AA26</f>
        <v>515458</v>
      </c>
      <c r="E31" s="3307">
        <f>'Phụ lục số 2'!AB26</f>
        <v>1055000</v>
      </c>
    </row>
    <row r="32" spans="1:5" s="2249" customFormat="1" ht="19.95" hidden="1" customHeight="1">
      <c r="A32" s="3308">
        <v>11</v>
      </c>
      <c r="B32" s="2342" t="s">
        <v>2045</v>
      </c>
      <c r="C32" s="2343">
        <f t="shared" si="4"/>
        <v>367327</v>
      </c>
      <c r="D32" s="2342">
        <f>'Phụ lục số 2'!AA27</f>
        <v>148327</v>
      </c>
      <c r="E32" s="3307">
        <f>'Phụ lục số 2'!AB27</f>
        <v>219000</v>
      </c>
    </row>
    <row r="33" spans="1:5" s="2249" customFormat="1" ht="19.95" hidden="1" customHeight="1">
      <c r="A33" s="3308">
        <v>12</v>
      </c>
      <c r="B33" s="2342" t="s">
        <v>90</v>
      </c>
      <c r="C33" s="2343">
        <f t="shared" si="4"/>
        <v>52000</v>
      </c>
      <c r="D33" s="2342">
        <f>'Phụ lục số 2'!AA28</f>
        <v>20000</v>
      </c>
      <c r="E33" s="3307">
        <f>'Phụ lục số 2'!AB28</f>
        <v>32000</v>
      </c>
    </row>
    <row r="34" spans="1:5" s="2247" customFormat="1" ht="19.95" customHeight="1">
      <c r="A34" s="2933" t="s">
        <v>49</v>
      </c>
      <c r="B34" s="2258" t="str">
        <f>'Phụ lục 1-KQPB'!B37</f>
        <v>Chi bổ sung Quỹ Dự trữ tài chính</v>
      </c>
      <c r="C34" s="1445">
        <f>SUM(D34:E34)</f>
        <v>2000</v>
      </c>
      <c r="D34" s="1445">
        <f>'Phụ lục số 2'!AA29</f>
        <v>2000</v>
      </c>
      <c r="E34" s="3004">
        <f>'Phụ lục số 2'!AB29</f>
        <v>0</v>
      </c>
    </row>
    <row r="35" spans="1:5" s="2247" customFormat="1" ht="19.95" customHeight="1">
      <c r="A35" s="2933" t="s">
        <v>50</v>
      </c>
      <c r="B35" s="2256" t="str">
        <f>'Phụ lục 1-KQPB'!B38</f>
        <v>Dự phòng ngân sách</v>
      </c>
      <c r="C35" s="1445">
        <f>SUM(D35:E35)</f>
        <v>327868.91231904214</v>
      </c>
      <c r="D35" s="1445">
        <f>'Phụ lục số 2'!AA30</f>
        <v>152264.36799999999</v>
      </c>
      <c r="E35" s="3004">
        <f>'Phụ lục số 2'!AB30</f>
        <v>175604.54431904212</v>
      </c>
    </row>
    <row r="36" spans="1:5" s="2247" customFormat="1" ht="19.95" customHeight="1">
      <c r="A36" s="2933" t="s">
        <v>72</v>
      </c>
      <c r="B36" s="1896" t="str">
        <f>'Phụ lục 1-KQPB'!B39</f>
        <v>Chi tạo nguồn cải cách tiền lương</v>
      </c>
      <c r="C36" s="1445">
        <f>SUM(D36:E36)</f>
        <v>717399.2</v>
      </c>
      <c r="D36" s="1445">
        <f>'Phụ lục số 2'!AA32</f>
        <v>79139.200000000012</v>
      </c>
      <c r="E36" s="3004">
        <f>'Phụ lục số 2'!AB32</f>
        <v>638260</v>
      </c>
    </row>
    <row r="37" spans="1:5" s="2247" customFormat="1" ht="19.95" customHeight="1">
      <c r="A37" s="2933" t="s">
        <v>100</v>
      </c>
      <c r="B37" s="29" t="str">
        <f>'Phụ lục 1-KQPB'!B40</f>
        <v>Chi trả lãi khoản vay của ngân sách cấp tỉnh</v>
      </c>
      <c r="C37" s="1445">
        <f>SUM(D37:E37)</f>
        <v>3000</v>
      </c>
      <c r="D37" s="1445">
        <f>'Phụ lục số 2'!AA34</f>
        <v>3000</v>
      </c>
      <c r="E37" s="3004">
        <f>'Phụ lục số 2'!AB34</f>
        <v>0</v>
      </c>
    </row>
    <row r="38" spans="1:5" s="2247" customFormat="1" ht="19.95" customHeight="1">
      <c r="A38" s="3008" t="s">
        <v>151</v>
      </c>
      <c r="B38" s="3312" t="str">
        <f>'Phụ lục 1-KQPB'!B41</f>
        <v>Chi từ nguồn bổ sung có mục tiêu từ ngân sách trung ương</v>
      </c>
      <c r="C38" s="1445">
        <f>SUM(C39:C41)</f>
        <v>1988976</v>
      </c>
      <c r="D38" s="1445">
        <f>SUM(D39:D41)</f>
        <v>1988976</v>
      </c>
      <c r="E38" s="3004">
        <f>SUM(E39:E41)</f>
        <v>0</v>
      </c>
    </row>
    <row r="39" spans="1:5" ht="19.95" customHeight="1">
      <c r="A39" s="3009" t="s">
        <v>34</v>
      </c>
      <c r="B39" s="78" t="str">
        <f>'Phụ lục 1-KQPB'!B42</f>
        <v>Chi thực hiện mục tiêu, nhiệm vụ quan trọng (vốn đầu tư phát triển)</v>
      </c>
      <c r="C39" s="2262">
        <f>SUM(D39:E39)</f>
        <v>1814491</v>
      </c>
      <c r="D39" s="2262">
        <f>'Phụ lục số 2'!AA36</f>
        <v>1814491</v>
      </c>
      <c r="E39" s="3010"/>
    </row>
    <row r="40" spans="1:5" ht="19.95" customHeight="1">
      <c r="A40" s="3009" t="s">
        <v>35</v>
      </c>
      <c r="B40" s="78" t="str">
        <f>'Phụ lục 1-KQPB'!B43</f>
        <v>Chi thực hiện mục tiêu, nhiệm vụ quan trọng (kinh phí sự nghiệp)</v>
      </c>
      <c r="C40" s="2262">
        <f t="shared" ref="C40:C41" si="5">SUM(D40:E40)</f>
        <v>174485</v>
      </c>
      <c r="D40" s="2262">
        <f>'Phụ lục số 2'!AA37</f>
        <v>174485</v>
      </c>
      <c r="E40" s="3010"/>
    </row>
    <row r="41" spans="1:5" hidden="1">
      <c r="A41" s="3009" t="s">
        <v>36</v>
      </c>
      <c r="B41" s="78" t="str">
        <f>'Phụ lục 4-HĐND'!B31</f>
        <v>Chi bổ sung có mục tiêu nhiệm vụ quan trọng khác (nếu có)</v>
      </c>
      <c r="C41" s="2262">
        <f t="shared" si="5"/>
        <v>0</v>
      </c>
      <c r="D41" s="2262">
        <f>'Phụ lục số 2'!AA38</f>
        <v>0</v>
      </c>
      <c r="E41" s="3010"/>
    </row>
    <row r="42" spans="1:5" s="48" customFormat="1" ht="19.95" customHeight="1" thickBot="1">
      <c r="A42" s="3309" t="s">
        <v>229</v>
      </c>
      <c r="B42" s="3310" t="str">
        <f>'Phụ lục 1-KQPB'!B44</f>
        <v>Chi đầu tư từ nguồn vốn Chính phủ vay về cho vay lại</v>
      </c>
      <c r="C42" s="3065">
        <f t="shared" si="3"/>
        <v>0</v>
      </c>
      <c r="D42" s="3065">
        <f>'Phụ lục số 2'!AA39</f>
        <v>0</v>
      </c>
      <c r="E42" s="3311">
        <f>'Phụ lục số 2'!AB39</f>
        <v>0</v>
      </c>
    </row>
    <row r="43" spans="1:5" s="48" customFormat="1" ht="20.100000000000001" customHeight="1" thickTop="1">
      <c r="A43" s="2251"/>
      <c r="B43" s="2221"/>
      <c r="C43" s="2252"/>
      <c r="D43" s="2252"/>
      <c r="E43" s="2252"/>
    </row>
    <row r="44" spans="1:5">
      <c r="B44" s="48" t="s">
        <v>1050</v>
      </c>
    </row>
    <row r="45" spans="1:5" s="154" customFormat="1" ht="36">
      <c r="B45" s="3014" t="str">
        <f>'Phụ lục 4-HĐND'!B35</f>
        <v xml:space="preserve">(1)- Dự toán chi ngân sách cấp Tỉnh chưa kể chi bổ sung cho ngân sách huyện, thành phố: </v>
      </c>
      <c r="D45" s="191">
        <f>'Phụ lục số 5'!E36</f>
        <v>5083323.3480000002</v>
      </c>
      <c r="E45" s="1319" t="s">
        <v>1417</v>
      </c>
    </row>
    <row r="46" spans="1:5" s="154" customFormat="1">
      <c r="B46" s="3014" t="str">
        <f>'Phụ lục 4-HĐND'!B36</f>
        <v>Bao gồm:</v>
      </c>
      <c r="D46" s="191"/>
      <c r="E46" s="1319"/>
    </row>
    <row r="47" spans="1:5" s="2351" customFormat="1">
      <c r="B47" s="3015" t="str">
        <f>'Phụ lục 4-HĐND'!B37</f>
        <v>- Thu bổ sung cân đối ngân sách:</v>
      </c>
      <c r="D47" s="2671">
        <f>'Phụ lục số 5'!E37</f>
        <v>4430923</v>
      </c>
      <c r="E47" s="2351" t="s">
        <v>1417</v>
      </c>
    </row>
    <row r="48" spans="1:5" s="2351" customFormat="1" ht="54">
      <c r="B48" s="3015" t="str">
        <f>'Phụ lục 4-HĐND'!B38</f>
        <v>- Thu bổ sung kinh phí bù miễn thu thuỷ lợi phí, hỗ trợ địa phương sản xuất lúa; chế độ chính sách an sinh xã hội; đảm bảo tiền lương cơ sở đến 1,8 triệu đồng/tháng</v>
      </c>
      <c r="D48" s="2671">
        <f>'Phụ lục số 5'!E38</f>
        <v>652400.348</v>
      </c>
      <c r="E48" s="2351" t="s">
        <v>1417</v>
      </c>
    </row>
    <row r="49" spans="2:5" s="154" customFormat="1" ht="36">
      <c r="B49" s="3014" t="str">
        <f>'Phụ lục 4-HĐND'!B39</f>
        <v>(2)- Đã bao gồm chi trả nợ gốc các khoản vay của ngân sách địa phương từ nguồn bội thu</v>
      </c>
      <c r="D49" s="166">
        <f>'Phụ lục 4-HĐND'!D39</f>
        <v>13000</v>
      </c>
      <c r="E49" s="154" t="s">
        <v>1417</v>
      </c>
    </row>
    <row r="54" spans="2:5">
      <c r="D54" s="37">
        <f>'Phụ lục số 2'!X7</f>
        <v>18627408.915999997</v>
      </c>
    </row>
    <row r="55" spans="2:5">
      <c r="D55" s="2250">
        <f>D54-C11</f>
        <v>0</v>
      </c>
    </row>
  </sheetData>
  <mergeCells count="11">
    <mergeCell ref="B7:E7"/>
    <mergeCell ref="B1:D1"/>
    <mergeCell ref="B2:D2"/>
    <mergeCell ref="C3:E3"/>
    <mergeCell ref="A4:E4"/>
    <mergeCell ref="A5:E5"/>
    <mergeCell ref="A8:A10"/>
    <mergeCell ref="B8:B10"/>
    <mergeCell ref="C8:E8"/>
    <mergeCell ref="C9:C10"/>
    <mergeCell ref="D9:E9"/>
  </mergeCells>
  <hyperlinks>
    <hyperlink ref="A8:A10" location="'List danh mục'!A1" display="'List danh mục'!A1"/>
  </hyperlinks>
  <printOptions horizontalCentered="1"/>
  <pageMargins left="0" right="0" top="0.39370078740157483" bottom="0" header="0.19685039370078741" footer="0.19685039370078741"/>
  <pageSetup paperSize="9" scale="90" orientation="portrait" verticalDpi="0" r:id="rId1"/>
  <headerFooter>
    <oddHeader>&amp;R&amp;A</oddHeader>
    <oddFooter>&amp;C&amp;P/&amp;N</oddFooter>
  </headerFooter>
  <legacy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E37"/>
  <sheetViews>
    <sheetView topLeftCell="A26" workbookViewId="0">
      <selection activeCell="F18" sqref="F18:F19"/>
    </sheetView>
  </sheetViews>
  <sheetFormatPr defaultColWidth="9" defaultRowHeight="18"/>
  <cols>
    <col min="1" max="1" width="5.69921875" style="37" customWidth="1"/>
    <col min="2" max="2" width="71" style="37" customWidth="1"/>
    <col min="3" max="5" width="12.69921875" style="37" customWidth="1"/>
    <col min="6" max="16384" width="9" style="37"/>
  </cols>
  <sheetData>
    <row r="1" spans="1:5">
      <c r="A1" s="4475" t="s">
        <v>2386</v>
      </c>
      <c r="B1" s="4514"/>
      <c r="C1" s="4514"/>
      <c r="D1" s="4514"/>
      <c r="E1" s="4514"/>
    </row>
    <row r="2" spans="1:5">
      <c r="A2" s="4515" t="str">
        <f>'Phụ lục 3-KQPB'!A5:E5</f>
        <v>(Kèm theo Báo cáo số            /BC-UBND ngày      /12/2023 của Ủy ban nhân dân tỉnh Đồng Tháp)</v>
      </c>
      <c r="B2" s="4514"/>
      <c r="C2" s="4514"/>
      <c r="D2" s="4514"/>
      <c r="E2" s="4514"/>
    </row>
    <row r="3" spans="1:5">
      <c r="A3" s="70"/>
      <c r="B3" s="2207"/>
      <c r="C3" s="2207"/>
      <c r="D3" s="2207"/>
      <c r="E3" s="2207"/>
    </row>
    <row r="4" spans="1:5" ht="18.600000000000001" thickBot="1">
      <c r="B4" s="4541" t="s">
        <v>64</v>
      </c>
      <c r="C4" s="4541"/>
      <c r="D4" s="4541"/>
      <c r="E4" s="4541"/>
    </row>
    <row r="5" spans="1:5" s="70" customFormat="1" thickTop="1">
      <c r="A5" s="4731" t="s">
        <v>244</v>
      </c>
      <c r="B5" s="4519" t="s">
        <v>326</v>
      </c>
      <c r="C5" s="4519" t="s">
        <v>1700</v>
      </c>
      <c r="D5" s="4519" t="s">
        <v>327</v>
      </c>
      <c r="E5" s="4520"/>
    </row>
    <row r="6" spans="1:5" s="70" customFormat="1" ht="62.4" customHeight="1">
      <c r="A6" s="4732"/>
      <c r="B6" s="4318"/>
      <c r="C6" s="4318"/>
      <c r="D6" s="2304" t="s">
        <v>328</v>
      </c>
      <c r="E6" s="2957" t="s">
        <v>329</v>
      </c>
    </row>
    <row r="7" spans="1:5" ht="34.799999999999997">
      <c r="A7" s="3313"/>
      <c r="B7" s="3795" t="str">
        <f>'Phụ lục 8-HĐND'!B7</f>
        <v>BỔ SUNG CÓ MỤC TIÊU TỪ NGÂN SÁCH TRUNG ƯƠNG ĐỂ THỰC HIỆN CÁC MỤC TIÊU, NHIỆM VỤ QUAN TRỌNG (I+II)</v>
      </c>
      <c r="C7" s="2305">
        <f>C8</f>
        <v>1988976</v>
      </c>
      <c r="D7" s="2305">
        <f>D8</f>
        <v>1814491</v>
      </c>
      <c r="E7" s="2960">
        <f>E8</f>
        <v>174485</v>
      </c>
    </row>
    <row r="8" spans="1:5" ht="36" customHeight="1">
      <c r="A8" s="2961" t="str">
        <f>'Phụ lục 8-HĐND'!A8</f>
        <v>I</v>
      </c>
      <c r="B8" s="2306" t="str">
        <f>'Phụ lục 8-HĐND'!B8</f>
        <v>Đầu tư phát triển từ nguồn ngân sách trung ương bổ sung có mục tiêu</v>
      </c>
      <c r="C8" s="2305">
        <f>SUM(C9,C12)</f>
        <v>1988976</v>
      </c>
      <c r="D8" s="2305">
        <f>SUM(D9,D12)</f>
        <v>1814491</v>
      </c>
      <c r="E8" s="2960">
        <f>SUM(E9,E12)</f>
        <v>174485</v>
      </c>
    </row>
    <row r="9" spans="1:5" ht="36" customHeight="1">
      <c r="A9" s="2972">
        <f>'Phụ lục 8-HĐND'!A9</f>
        <v>1</v>
      </c>
      <c r="B9" s="2312" t="str">
        <f>'Phụ lục 8-HĐND'!B9</f>
        <v>Bổ sung vốn đầu tư theo ngành, lĩnh vực (vốn ngoài nước)</v>
      </c>
      <c r="C9" s="2313">
        <f>SUM(D9:E9)</f>
        <v>85000</v>
      </c>
      <c r="D9" s="2313">
        <f>'Phụ lục 8-HĐND'!D9</f>
        <v>85000</v>
      </c>
      <c r="E9" s="2968"/>
    </row>
    <row r="10" spans="1:5" s="2" customFormat="1" ht="36" hidden="1" customHeight="1">
      <c r="A10" s="2961"/>
      <c r="B10" s="2307" t="str">
        <f>'Phụ lục số 8'!B10</f>
        <v>Trong đó:</v>
      </c>
      <c r="C10" s="2308"/>
      <c r="D10" s="2308"/>
      <c r="E10" s="2963"/>
    </row>
    <row r="11" spans="1:5" s="47" customFormat="1" ht="36" hidden="1" customHeight="1">
      <c r="A11" s="2964"/>
      <c r="B11" s="3315" t="str">
        <f>'Phụ lục số 8'!B11</f>
        <v>Chương trình mục tiêu ứng phó biến đổi khí hậu và tăng trưởng xanh (giải ngân theo cơ chế tài chính trong nước)</v>
      </c>
      <c r="C11" s="2310">
        <f>SUM(D11:E11)</f>
        <v>0</v>
      </c>
      <c r="D11" s="2310"/>
      <c r="E11" s="2962"/>
    </row>
    <row r="12" spans="1:5" s="2" customFormat="1" ht="36" customHeight="1">
      <c r="A12" s="3314">
        <f>'Phụ lục 8-HĐND'!A12</f>
        <v>2</v>
      </c>
      <c r="B12" s="2312" t="str">
        <f>'Phụ lục 8-HĐND'!B12</f>
        <v>Bổ sung vốn đầu tư theo ngành, lĩnh vực (vốn trong nước)</v>
      </c>
      <c r="C12" s="2313">
        <f>SUM(C13,C19,C29)</f>
        <v>1903976</v>
      </c>
      <c r="D12" s="2313">
        <f>SUM(D13,D19,D29)</f>
        <v>1729491</v>
      </c>
      <c r="E12" s="2968">
        <f>SUM(E13,E19,E29)</f>
        <v>174485</v>
      </c>
    </row>
    <row r="13" spans="1:5" s="2" customFormat="1" ht="36" customHeight="1">
      <c r="A13" s="2965" t="str">
        <f>'Phụ lục 8-HĐND'!A13</f>
        <v>2.1</v>
      </c>
      <c r="B13" s="2307" t="str">
        <f>'Phụ lục 8-HĐND'!B13</f>
        <v>Bổ sung vốn đầu tư để thực hiện các chương trình, mục tiêu nhiệm vụ</v>
      </c>
      <c r="C13" s="2308">
        <f>SUM(D13:E13)</f>
        <v>1596570</v>
      </c>
      <c r="D13" s="2308">
        <f>SUM(D15+D17+D18)</f>
        <v>1596570</v>
      </c>
      <c r="E13" s="2963">
        <v>0</v>
      </c>
    </row>
    <row r="14" spans="1:5" ht="36" customHeight="1">
      <c r="A14" s="3314"/>
      <c r="B14" s="2312" t="str">
        <f>'Phụ lục số 8'!B14</f>
        <v>Trong đó:</v>
      </c>
      <c r="C14" s="2313"/>
      <c r="D14" s="2313"/>
      <c r="E14" s="2968"/>
    </row>
    <row r="15" spans="1:5" ht="36" customHeight="1">
      <c r="A15" s="3314" t="str">
        <f>'Phụ lục 8-HĐND'!A15</f>
        <v>2.1.1</v>
      </c>
      <c r="B15" s="2312" t="str">
        <f>'Phụ lục 8-HĐND'!B15</f>
        <v>Đầu tư các dự án theo ngành, lĩnh vực và Chương trình phục hồi phát triển kinh tế - xã hội</v>
      </c>
      <c r="C15" s="2313">
        <f>SUM(D15:E15)</f>
        <v>558070</v>
      </c>
      <c r="D15" s="2313">
        <f>'Phụ lục 8-HĐND'!D15</f>
        <v>558070</v>
      </c>
      <c r="E15" s="2968">
        <f>'Phụ lục 8-HĐND'!E15</f>
        <v>0</v>
      </c>
    </row>
    <row r="16" spans="1:5" s="47" customFormat="1" ht="36" hidden="1" customHeight="1">
      <c r="A16" s="3789"/>
      <c r="B16" s="3315" t="str">
        <f>'Phụ lục số 8'!B16</f>
        <v>Thu hồi các khoản vốn ứng trước của các chương trình mục tiêu (số vốn thiểu địa phương phải bố trí)</v>
      </c>
      <c r="C16" s="2310">
        <f>SUM(D16:E16)</f>
        <v>0</v>
      </c>
      <c r="D16" s="2313">
        <f>'Phụ lục 8-HĐND'!D16</f>
        <v>0</v>
      </c>
      <c r="E16" s="2968">
        <f>'Phụ lục 8-HĐND'!E16</f>
        <v>0</v>
      </c>
    </row>
    <row r="17" spans="1:5" ht="36" customHeight="1">
      <c r="A17" s="3314" t="str">
        <f>'Phụ lục 8-HĐND'!A17</f>
        <v>2.1.2</v>
      </c>
      <c r="B17" s="2312" t="str">
        <f>'Phụ lục 8-HĐND'!B17</f>
        <v>Dự án quan trọng quốc gia, đường bộ cao tốc</v>
      </c>
      <c r="C17" s="2313">
        <f>SUM(D17:E17)</f>
        <v>882000</v>
      </c>
      <c r="D17" s="2313">
        <f>'Phụ lục 8-HĐND'!D17</f>
        <v>882000</v>
      </c>
      <c r="E17" s="2968">
        <f>'Phụ lục 8-HĐND'!E17</f>
        <v>0</v>
      </c>
    </row>
    <row r="18" spans="1:5" ht="36" customHeight="1">
      <c r="A18" s="3314" t="str">
        <f>'Phụ lục 8-HĐND'!A18</f>
        <v>2.1.3</v>
      </c>
      <c r="B18" s="2312" t="str">
        <f>'Phụ lục 8-HĐND'!B18</f>
        <v>Dự án trọng điểm, liên vùng, đường ven biển</v>
      </c>
      <c r="C18" s="2313">
        <f>SUM(D18:E18)</f>
        <v>156500</v>
      </c>
      <c r="D18" s="2313">
        <f>'Phụ lục 8-HĐND'!D18</f>
        <v>156500</v>
      </c>
      <c r="E18" s="2968">
        <f>'Phụ lục 8-HĐND'!E18</f>
        <v>0</v>
      </c>
    </row>
    <row r="19" spans="1:5" s="2" customFormat="1" ht="36" customHeight="1">
      <c r="A19" s="2965" t="str">
        <f>'Phụ lục 8-HĐND'!A19</f>
        <v>2.2</v>
      </c>
      <c r="B19" s="2307" t="str">
        <f>'Phụ lục 8-HĐND'!B19</f>
        <v>Vốn thực hiện 03 chương trình mục tiêu quốc gia</v>
      </c>
      <c r="C19" s="2308">
        <f>SUM(C20,C26,C27)</f>
        <v>234937</v>
      </c>
      <c r="D19" s="2308">
        <f>SUM(D20,D26,D27)</f>
        <v>132921</v>
      </c>
      <c r="E19" s="2963">
        <f>SUM(E20,E26,E27)</f>
        <v>102016</v>
      </c>
    </row>
    <row r="20" spans="1:5" ht="36" customHeight="1">
      <c r="A20" s="3314" t="str">
        <f>'Phụ lục 8-HĐND'!A20</f>
        <v>2.2.1</v>
      </c>
      <c r="B20" s="2312" t="str">
        <f>'Phụ lục 8-HĐND'!B20</f>
        <v>Chương trình mục tiêu quốc gia giảm nghèo bền vững</v>
      </c>
      <c r="C20" s="2313">
        <f>SUM(D20:E20)</f>
        <v>70871</v>
      </c>
      <c r="D20" s="2313">
        <f>SUM(D21:D25)+'Phụ lục số 8'!D20</f>
        <v>5216</v>
      </c>
      <c r="E20" s="2968">
        <f t="shared" ref="E20" si="0">SUM(E21:E25)</f>
        <v>65655</v>
      </c>
    </row>
    <row r="21" spans="1:5" ht="36" hidden="1" customHeight="1">
      <c r="A21" s="3790" t="str">
        <f>'Phụ lục số 8'!A21</f>
        <v>a</v>
      </c>
      <c r="B21" s="3791" t="str">
        <f>'Phụ lục số 8'!B21</f>
        <v>Dự án 2: Đa dạng hóa sinh kế, phát triển mô hình giảm nghèo (các hoạt động kinh tế); 25.125 triệu đồng</v>
      </c>
      <c r="C21" s="3792">
        <f>SUM(D21:E21)</f>
        <v>25125</v>
      </c>
      <c r="D21" s="3792">
        <f>'Phụ lục số 8'!D21</f>
        <v>0</v>
      </c>
      <c r="E21" s="3793">
        <f>'Phụ lục số 8'!E21</f>
        <v>25125</v>
      </c>
    </row>
    <row r="22" spans="1:5" ht="36" hidden="1" customHeight="1">
      <c r="A22" s="3790" t="str">
        <f>'Phụ lục số 8'!A22</f>
        <v>b</v>
      </c>
      <c r="B22" s="3791" t="str">
        <f>'Phụ lục số 8'!B22</f>
        <v>Dự án 3: Hỗ trợ phát triển sản xuất, cải thiện dinh dưỡng (sự nghiệp y tế, dân số và gia đình: 4.025 triệu đồng; các hoạt động kinh tế: 10.387 triệu đồng)</v>
      </c>
      <c r="C22" s="3792">
        <f t="shared" ref="C22:C25" si="1">SUM(D22:E22)</f>
        <v>14412</v>
      </c>
      <c r="D22" s="3792">
        <f>'Phụ lục số 8'!D22</f>
        <v>0</v>
      </c>
      <c r="E22" s="3793">
        <f>'Phụ lục số 8'!E22</f>
        <v>14412</v>
      </c>
    </row>
    <row r="23" spans="1:5" ht="36" hidden="1" customHeight="1">
      <c r="A23" s="3790" t="str">
        <f>'Phụ lục số 8'!A23</f>
        <v>c</v>
      </c>
      <c r="B23" s="3791" t="str">
        <f>'Phụ lục số 8'!B23</f>
        <v xml:space="preserve">Dự án 4: Phát triển giáo dục nghề nghiệp, việc làm bền vững (sự nghiệp giáo dục-đào tạo và dạy nghề 2.237 triệu đồng; các hoạt động kinh tế 9.941 triệu đồng) </v>
      </c>
      <c r="C23" s="3792">
        <f t="shared" si="1"/>
        <v>12178</v>
      </c>
      <c r="D23" s="3792">
        <f>'Phụ lục số 8'!D23</f>
        <v>0</v>
      </c>
      <c r="E23" s="3793">
        <f>'Phụ lục số 8'!E23</f>
        <v>12178</v>
      </c>
    </row>
    <row r="24" spans="1:5" ht="36" hidden="1" customHeight="1">
      <c r="A24" s="3790" t="str">
        <f>'Phụ lục số 8'!A24</f>
        <v>d</v>
      </c>
      <c r="B24" s="3791" t="str">
        <f>'Phụ lục số 8'!B24</f>
        <v>Dự án 6: Truyền thông và giảm nghèo về thông tin (sự nghiệp văn hóa thông tin); 6.372 triệu đồng</v>
      </c>
      <c r="C24" s="3792">
        <f t="shared" si="1"/>
        <v>6372</v>
      </c>
      <c r="D24" s="3792">
        <f>'Phụ lục số 8'!D24</f>
        <v>0</v>
      </c>
      <c r="E24" s="3793">
        <f>'Phụ lục số 8'!E24</f>
        <v>6372</v>
      </c>
    </row>
    <row r="25" spans="1:5" ht="36" hidden="1" customHeight="1">
      <c r="A25" s="3790" t="str">
        <f>'Phụ lục số 8'!A25</f>
        <v>đ</v>
      </c>
      <c r="B25" s="3791" t="str">
        <f>'Phụ lục số 8'!B25</f>
        <v>Dự án 7: Nâng cao năng lực và giám sát, đánh giá chương trình (sự nghiệp giáo dục- đào tạo và dạy nghề); 7.568 triệu đồng</v>
      </c>
      <c r="C25" s="3792">
        <f t="shared" si="1"/>
        <v>7568</v>
      </c>
      <c r="D25" s="3792">
        <f>'Phụ lục số 8'!D25</f>
        <v>0</v>
      </c>
      <c r="E25" s="3793">
        <f>'Phụ lục số 8'!E25</f>
        <v>7568</v>
      </c>
    </row>
    <row r="26" spans="1:5" ht="36" customHeight="1">
      <c r="A26" s="2969" t="str">
        <f>'Phụ lục 8-HĐND'!A26</f>
        <v>2.2.2</v>
      </c>
      <c r="B26" s="2316" t="str">
        <f>'Phụ lục 8-HĐND'!B26</f>
        <v>Chương trình mục tiêu quốc gia xây dựng nông thôn mới</v>
      </c>
      <c r="C26" s="2317">
        <f>SUM(D26:E26)</f>
        <v>164066</v>
      </c>
      <c r="D26" s="2317">
        <f>'Phụ lục số 8'!D26</f>
        <v>127705</v>
      </c>
      <c r="E26" s="2970">
        <f>'Phụ lục số 8'!E26</f>
        <v>36361</v>
      </c>
    </row>
    <row r="27" spans="1:5" s="2" customFormat="1" ht="36" hidden="1" customHeight="1">
      <c r="A27" s="2969" t="str">
        <f>'Phụ lục 8-HĐND'!A27</f>
        <v>2.2.3</v>
      </c>
      <c r="B27" s="2316" t="str">
        <f>'Phụ lục 8-HĐND'!B27</f>
        <v>Chương trình mục tiêu quốc gia phát triển kinh tế xã hội vùng đồng bào dân tộc thiểu số và miền núi</v>
      </c>
      <c r="C27" s="2319">
        <f>SUM(D27:E27)</f>
        <v>0</v>
      </c>
      <c r="D27" s="2317">
        <f>'Phụ lục số 8'!D27</f>
        <v>0</v>
      </c>
      <c r="E27" s="2970">
        <f>'Phụ lục số 8'!E27</f>
        <v>0</v>
      </c>
    </row>
    <row r="28" spans="1:5" ht="36" hidden="1" customHeight="1">
      <c r="A28" s="2969"/>
      <c r="B28" s="2316"/>
      <c r="C28" s="2317"/>
      <c r="D28" s="2317"/>
      <c r="E28" s="2970"/>
    </row>
    <row r="29" spans="1:5" s="1239" customFormat="1" ht="36" customHeight="1">
      <c r="A29" s="2961" t="s">
        <v>20</v>
      </c>
      <c r="B29" s="2306" t="str">
        <f>'Phụ lục số 8'!B29</f>
        <v>Ngân sách trung ương bổ sung có mục tiêu (kinh phí sự nghiệp)</v>
      </c>
      <c r="C29" s="2305">
        <f>SUM(C30:C36)</f>
        <v>72469</v>
      </c>
      <c r="D29" s="2305">
        <f>SUM(D30:D36)</f>
        <v>0</v>
      </c>
      <c r="E29" s="2960">
        <f>SUM(E30:E36)</f>
        <v>72469</v>
      </c>
    </row>
    <row r="30" spans="1:5" s="1239" customFormat="1" ht="36" customHeight="1">
      <c r="A30" s="2972">
        <f>'Phụ lục 8-HĐND'!A30</f>
        <v>1</v>
      </c>
      <c r="B30" s="2312" t="str">
        <f>'Phụ lục 8-HĐND'!B30</f>
        <v>Kinh phí biên chế giáo viên tăng thêm (Sự nghiệp giáo dục - đào tạo)</v>
      </c>
      <c r="C30" s="2313">
        <f t="shared" ref="C30:C35" si="2">SUM(D30:E30)</f>
        <v>11626</v>
      </c>
      <c r="D30" s="2320">
        <f>'Phụ lục 8-HĐND'!D30</f>
        <v>0</v>
      </c>
      <c r="E30" s="2973">
        <f>'Phụ lục 8-HĐND'!E30</f>
        <v>11626</v>
      </c>
    </row>
    <row r="31" spans="1:5" s="1239" customFormat="1" ht="36" hidden="1" customHeight="1">
      <c r="A31" s="2972">
        <f>'Phụ lục 8-HĐND'!A31</f>
        <v>0</v>
      </c>
      <c r="B31" s="2312">
        <f>'Phụ lục 8-HĐND'!B31</f>
        <v>0</v>
      </c>
      <c r="C31" s="2313">
        <f t="shared" si="2"/>
        <v>0</v>
      </c>
      <c r="D31" s="2320">
        <f>'Phụ lục 8-HĐND'!D31</f>
        <v>0</v>
      </c>
      <c r="E31" s="2973">
        <f>'Phụ lục 8-HĐND'!E31</f>
        <v>0</v>
      </c>
    </row>
    <row r="32" spans="1:5" s="1239" customFormat="1" ht="36" hidden="1" customHeight="1">
      <c r="A32" s="2972">
        <f>'Phụ lục 8-HĐND'!A32</f>
        <v>0</v>
      </c>
      <c r="B32" s="2312">
        <f>'Phụ lục 8-HĐND'!B32</f>
        <v>0</v>
      </c>
      <c r="C32" s="2313">
        <f t="shared" si="2"/>
        <v>0</v>
      </c>
      <c r="D32" s="2320">
        <f>'Phụ lục 8-HĐND'!D32</f>
        <v>0</v>
      </c>
      <c r="E32" s="2973">
        <f>'Phụ lục 8-HĐND'!E32</f>
        <v>0</v>
      </c>
    </row>
    <row r="33" spans="1:5" s="1239" customFormat="1" ht="36" customHeight="1">
      <c r="A33" s="2972">
        <f>'Phụ lục 8-HĐND'!A33</f>
        <v>2</v>
      </c>
      <c r="B33" s="2312" t="str">
        <f>'Phụ lục 8-HĐND'!B33</f>
        <v>Hỗ trợ doanh nghiệp nhỏ và vừa (Các hoạt động kinh tế)</v>
      </c>
      <c r="C33" s="2313">
        <f t="shared" si="2"/>
        <v>2000</v>
      </c>
      <c r="D33" s="2320">
        <f>'Phụ lục 8-HĐND'!D33</f>
        <v>0</v>
      </c>
      <c r="E33" s="2973">
        <f>'Phụ lục 8-HĐND'!E33</f>
        <v>2000</v>
      </c>
    </row>
    <row r="34" spans="1:5" s="1239" customFormat="1" ht="36" customHeight="1">
      <c r="A34" s="2972">
        <f>'Phụ lục 8-HĐND'!A34</f>
        <v>3</v>
      </c>
      <c r="B34" s="2312" t="str">
        <f>'Phụ lục 8-HĐND'!B34</f>
        <v>Kinh phí thực hiện Chương trình Phát triển lâm nghiệp bền vững (Các hoạt động kinh tế)</v>
      </c>
      <c r="C34" s="2313">
        <f t="shared" si="2"/>
        <v>479</v>
      </c>
      <c r="D34" s="2320">
        <f>'Phụ lục 8-HĐND'!D34</f>
        <v>0</v>
      </c>
      <c r="E34" s="2973">
        <f>'Phụ lục 8-HĐND'!E34</f>
        <v>479</v>
      </c>
    </row>
    <row r="35" spans="1:5" s="1239" customFormat="1" ht="36" customHeight="1">
      <c r="A35" s="2972">
        <f>'Phụ lục 8-HĐND'!A35</f>
        <v>4</v>
      </c>
      <c r="B35" s="2312" t="str">
        <f>'Phụ lục 8-HĐND'!B35</f>
        <v>Bổ sung kinh phí thực hiện nhiệm vụ đảm bảo trật tự an toàn giao thông (Các hoạt động kinh tế)</v>
      </c>
      <c r="C35" s="2313">
        <f t="shared" si="2"/>
        <v>7106</v>
      </c>
      <c r="D35" s="2320">
        <f>'Phụ lục 8-HĐND'!D35</f>
        <v>0</v>
      </c>
      <c r="E35" s="2973">
        <f>'Phụ lục 8-HĐND'!E35</f>
        <v>7106</v>
      </c>
    </row>
    <row r="36" spans="1:5" s="1239" customFormat="1" ht="36" customHeight="1" thickBot="1">
      <c r="A36" s="2974">
        <f>'Phụ lục 8-HĐND'!A36</f>
        <v>5</v>
      </c>
      <c r="B36" s="2975" t="str">
        <f>'Phụ lục 8-HĐND'!B36</f>
        <v>Phí sử dụng đường bộ (Các hoạt động kinh tế)</v>
      </c>
      <c r="C36" s="2976">
        <f>SUM(D36:E36)</f>
        <v>51258</v>
      </c>
      <c r="D36" s="3794">
        <f>'Phụ lục 8-HĐND'!D36</f>
        <v>0</v>
      </c>
      <c r="E36" s="2977">
        <f>'Phụ lục 8-HĐND'!E36</f>
        <v>51258</v>
      </c>
    </row>
    <row r="37" spans="1:5" ht="18.600000000000001" thickTop="1"/>
  </sheetData>
  <mergeCells count="7">
    <mergeCell ref="A1:E1"/>
    <mergeCell ref="A2:E2"/>
    <mergeCell ref="A5:A6"/>
    <mergeCell ref="B5:B6"/>
    <mergeCell ref="C5:C6"/>
    <mergeCell ref="D5:E5"/>
    <mergeCell ref="B4:E4"/>
  </mergeCells>
  <hyperlinks>
    <hyperlink ref="A5:A6" location="'List danh mục'!A1" display="STT"/>
  </hyperlinks>
  <printOptions horizontalCentered="1"/>
  <pageMargins left="0" right="0" top="0.59055118110236227" bottom="0" header="0.19685039370078741" footer="0.19685039370078741"/>
  <pageSetup paperSize="9" scale="80" orientation="portrait" verticalDpi="0" r:id="rId1"/>
  <headerFooter>
    <oddHeader>&amp;R&amp;A</oddHeader>
    <oddFooter>&amp;C&amp;P/&amp;N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113</vt:i4>
      </vt:variant>
      <vt:variant>
        <vt:lpstr>Named Ranges</vt:lpstr>
      </vt:variant>
      <vt:variant>
        <vt:i4>85</vt:i4>
      </vt:variant>
    </vt:vector>
  </HeadingPairs>
  <TitlesOfParts>
    <vt:vector size="198" baseType="lpstr">
      <vt:lpstr>Biễu mẩu số 01-KTXH</vt:lpstr>
      <vt:lpstr>Biểu mẫu số 01-KTXH.1</vt:lpstr>
      <vt:lpstr>PL1.1</vt:lpstr>
      <vt:lpstr>PL2.1</vt:lpstr>
      <vt:lpstr>PL-TổngThu21-25</vt:lpstr>
      <vt:lpstr>PL-TổngChi21-25</vt:lpstr>
      <vt:lpstr>PL-CĐ21-25</vt:lpstr>
      <vt:lpstr>PL-NSTWBSGĐ</vt:lpstr>
      <vt:lpstr>PL-DP DU TRU</vt:lpstr>
      <vt:lpstr>PL QUYTCNGOAINS</vt:lpstr>
      <vt:lpstr>PL-CĐNAMTHEOTW</vt:lpstr>
      <vt:lpstr>PL-VAY TRA NO</vt:lpstr>
      <vt:lpstr>Biểu mẫu số 3</vt:lpstr>
      <vt:lpstr>Biểu mẫu số 04</vt:lpstr>
      <vt:lpstr>Biểu mẫu số 05</vt:lpstr>
      <vt:lpstr>PL-NSTWBSTRONGNAM</vt:lpstr>
      <vt:lpstr>PL-KHTC5NAM</vt:lpstr>
      <vt:lpstr>NC Tiền lương</vt:lpstr>
      <vt:lpstr>List danh mục</vt:lpstr>
      <vt:lpstr>Vốn ĐTC 2021-2025</vt:lpstr>
      <vt:lpstr>Dự toán Chi TW-ĐP</vt:lpstr>
      <vt:lpstr>PL-SosanhĐM</vt:lpstr>
      <vt:lpstr>PL-ĐP Xác định lại ĐM</vt:lpstr>
      <vt:lpstr>PL-TW Xác định lại ĐM</vt:lpstr>
      <vt:lpstr>PL-Định mức chi TX</vt:lpstr>
      <vt:lpstr>SO SANH-UTH2023-DT2024 (2)</vt:lpstr>
      <vt:lpstr>SO SANH (1) UTH2023-DT2024</vt:lpstr>
      <vt:lpstr>ThuNSNN2010-2025</vt:lpstr>
      <vt:lpstr>ChiNSĐP2010-2025</vt:lpstr>
      <vt:lpstr>CĐNS2023-2024 (2)</vt:lpstr>
      <vt:lpstr>CĐNS2023-2024</vt:lpstr>
      <vt:lpstr>Thu03nam</vt:lpstr>
      <vt:lpstr>ChiNSĐP03nam</vt:lpstr>
      <vt:lpstr>CĐ03nam</vt:lpstr>
      <vt:lpstr>CĐNSĐP03namBS</vt:lpstr>
      <vt:lpstr>CĐNSĐP03nam-BS</vt:lpstr>
      <vt:lpstr>Biểu số 54-CK-NSNN </vt:lpstr>
      <vt:lpstr>Biểu số 45-CK-NSNN-ĐT</vt:lpstr>
      <vt:lpstr>Biểu số 44-CK-NSNN</vt:lpstr>
      <vt:lpstr>Biểu số 43-CK-NSNN</vt:lpstr>
      <vt:lpstr>Biểu số 42-CK-NSNN</vt:lpstr>
      <vt:lpstr>Biểu số 41-CK-NSNN</vt:lpstr>
      <vt:lpstr>Biểu số 40-CK-NSNN</vt:lpstr>
      <vt:lpstr>Biểu số 39-CK-NSNN-ĐT</vt:lpstr>
      <vt:lpstr>Biểu số 38-CK-NSNN</vt:lpstr>
      <vt:lpstr>Biểu số 37-CK-NSNN</vt:lpstr>
      <vt:lpstr>Phụ lục 36-CK-NSNN</vt:lpstr>
      <vt:lpstr>Biểu số 35-CK-NSNN</vt:lpstr>
      <vt:lpstr>Biểu số 34-CK-NSNN</vt:lpstr>
      <vt:lpstr>Biểu số 33-CK-NSNN</vt:lpstr>
      <vt:lpstr>Sheet1</vt:lpstr>
      <vt:lpstr>Phụ lục số 1</vt:lpstr>
      <vt:lpstr>Phụ lục số 2</vt:lpstr>
      <vt:lpstr>Phụ lục số 3</vt:lpstr>
      <vt:lpstr>Phụ lục số 3.1</vt:lpstr>
      <vt:lpstr>Phụ lục số 3.2</vt:lpstr>
      <vt:lpstr>Phụ lục số 4</vt:lpstr>
      <vt:lpstr>Phụ lục số 5</vt:lpstr>
      <vt:lpstr>Phụ lục số 6</vt:lpstr>
      <vt:lpstr>Phụ lục số 7</vt:lpstr>
      <vt:lpstr>Phụ lục số 8</vt:lpstr>
      <vt:lpstr>PL Thuyet minh đất</vt:lpstr>
      <vt:lpstr>Phụ lục số 5.1 Thu</vt:lpstr>
      <vt:lpstr>Phụ lục 6.1 Chi</vt:lpstr>
      <vt:lpstr>Phụ lục 7.1-CĐH</vt:lpstr>
      <vt:lpstr>Phụ lục 7.2-CCTL</vt:lpstr>
      <vt:lpstr>Phụ lục 7.3-CĐCS</vt:lpstr>
      <vt:lpstr>Phụ lục 3.3-XSKT</vt:lpstr>
      <vt:lpstr>PL1-Thu6T</vt:lpstr>
      <vt:lpstr>PL2-Chi6T</vt:lpstr>
      <vt:lpstr>PL3-CĐ6Thang</vt:lpstr>
      <vt:lpstr>PL3-CĐ6Thang-KBS</vt:lpstr>
      <vt:lpstr>Phụ lục 1-HĐND</vt:lpstr>
      <vt:lpstr>Phụ lục 2-HĐND</vt:lpstr>
      <vt:lpstr>Phụ lục 3-HĐND</vt:lpstr>
      <vt:lpstr>Phụ lục 4-HĐND</vt:lpstr>
      <vt:lpstr>Phụ lục 5-HĐND</vt:lpstr>
      <vt:lpstr>Phụ lục 6-HĐND</vt:lpstr>
      <vt:lpstr>Phụ lục 7-HĐND</vt:lpstr>
      <vt:lpstr>Phụ lục 8-HĐND</vt:lpstr>
      <vt:lpstr>Phụ lục 9-HĐND</vt:lpstr>
      <vt:lpstr>Phụ lục 7.4 - 10%TK</vt:lpstr>
      <vt:lpstr>TỔNG CỘNG</vt:lpstr>
      <vt:lpstr>H. HỒNG NGỰ</vt:lpstr>
      <vt:lpstr>TP. HỒNG NGỰ</vt:lpstr>
      <vt:lpstr>H. TÂN HỒNG</vt:lpstr>
      <vt:lpstr>H. TAM NÔNG</vt:lpstr>
      <vt:lpstr>H. THANH BÌNH</vt:lpstr>
      <vt:lpstr>TP. CAO LÃNH</vt:lpstr>
      <vt:lpstr>H. CAO LÃNH</vt:lpstr>
      <vt:lpstr>H. THÁP MƯỜI</vt:lpstr>
      <vt:lpstr>H. LẤP VÒ</vt:lpstr>
      <vt:lpstr>H. LAI VUNG</vt:lpstr>
      <vt:lpstr>TP. SA ĐÉC</vt:lpstr>
      <vt:lpstr>H. CHÂU THÀNH</vt:lpstr>
      <vt:lpstr>Phụ lục 1-KQPB</vt:lpstr>
      <vt:lpstr>Phụ lục 2-KQPB</vt:lpstr>
      <vt:lpstr>Phụ lục 3-KQPB</vt:lpstr>
      <vt:lpstr>Phụ lục 4-KQPB</vt:lpstr>
      <vt:lpstr>Phụ lục 5-KQPB</vt:lpstr>
      <vt:lpstr>Phụ lục 1-CKNS</vt:lpstr>
      <vt:lpstr>Phụ lục 2-CKNS</vt:lpstr>
      <vt:lpstr>Phụ lục 3-CKNS</vt:lpstr>
      <vt:lpstr>Phụ lục 4-CKNS</vt:lpstr>
      <vt:lpstr>Phụ lục 5-CKNS</vt:lpstr>
      <vt:lpstr>Phụ lục 6-CKNS</vt:lpstr>
      <vt:lpstr>Phụ lục 7-CKNS</vt:lpstr>
      <vt:lpstr>Phụ lục 8-CKNS</vt:lpstr>
      <vt:lpstr>Phụ lục 9-CKNS</vt:lpstr>
      <vt:lpstr>Phụ lục 10-CKNS</vt:lpstr>
      <vt:lpstr>TỔNG HỢP-SNGD</vt:lpstr>
      <vt:lpstr>PL-Theo dõi ĐA-ĐU Địa phương</vt:lpstr>
      <vt:lpstr>PL-Theo dõi nguồn chưa PB</vt:lpstr>
      <vt:lpstr>'Biểu số 42-CK-NSNN'!Print_Area</vt:lpstr>
      <vt:lpstr>'Biểu số 44-CK-NSNN'!Print_Area</vt:lpstr>
      <vt:lpstr>CĐ03nam!Print_Area</vt:lpstr>
      <vt:lpstr>'CĐNS2023-2024'!Print_Area</vt:lpstr>
      <vt:lpstr>'CĐNS2023-2024 (2)'!Print_Area</vt:lpstr>
      <vt:lpstr>CĐNSĐP03namBS!Print_Area</vt:lpstr>
      <vt:lpstr>'CĐNSĐP03nam-BS'!Print_Area</vt:lpstr>
      <vt:lpstr>ChiNSĐP03nam!Print_Area</vt:lpstr>
      <vt:lpstr>'Dự toán Chi TW-ĐP'!Print_Area</vt:lpstr>
      <vt:lpstr>'H. CAO LÃNH'!Print_Area</vt:lpstr>
      <vt:lpstr>'H. CHÂU THÀNH'!Print_Area</vt:lpstr>
      <vt:lpstr>'H. HỒNG NGỰ'!Print_Area</vt:lpstr>
      <vt:lpstr>'H. LAI VUNG'!Print_Area</vt:lpstr>
      <vt:lpstr>'H. LẤP VÒ'!Print_Area</vt:lpstr>
      <vt:lpstr>'H. TAM NÔNG'!Print_Area</vt:lpstr>
      <vt:lpstr>'H. TÂN HỒNG'!Print_Area</vt:lpstr>
      <vt:lpstr>'H. THANH BÌNH'!Print_Area</vt:lpstr>
      <vt:lpstr>'H. THÁP MƯỜI'!Print_Area</vt:lpstr>
      <vt:lpstr>'Phụ lục 10-CKNS'!Print_Area</vt:lpstr>
      <vt:lpstr>'Phụ lục 1-CKNS'!Print_Area</vt:lpstr>
      <vt:lpstr>'Phụ lục 1-HĐND'!Print_Area</vt:lpstr>
      <vt:lpstr>'Phụ lục 1-KQPB'!Print_Area</vt:lpstr>
      <vt:lpstr>'Phụ lục 2-CKNS'!Print_Area</vt:lpstr>
      <vt:lpstr>'Phụ lục 2-HĐND'!Print_Area</vt:lpstr>
      <vt:lpstr>'Phụ lục 2-KQPB'!Print_Area</vt:lpstr>
      <vt:lpstr>'Phụ lục 36-CK-NSNN'!Print_Area</vt:lpstr>
      <vt:lpstr>'Phụ lục 3-KQPB'!Print_Area</vt:lpstr>
      <vt:lpstr>'Phụ lục 4-CKNS'!Print_Area</vt:lpstr>
      <vt:lpstr>'Phụ lục 4-HĐND'!Print_Area</vt:lpstr>
      <vt:lpstr>'Phụ lục 4-KQPB'!Print_Area</vt:lpstr>
      <vt:lpstr>'Phụ lục 5-HĐND'!Print_Area</vt:lpstr>
      <vt:lpstr>'Phụ lục 5-KQPB'!Print_Area</vt:lpstr>
      <vt:lpstr>'Phụ lục 6-CKNS'!Print_Area</vt:lpstr>
      <vt:lpstr>'Phụ lục 7-CKNS'!Print_Area</vt:lpstr>
      <vt:lpstr>'Phụ lục 7-HĐND'!Print_Area</vt:lpstr>
      <vt:lpstr>'Phụ lục 8-HĐND'!Print_Area</vt:lpstr>
      <vt:lpstr>'Phụ lục số 1'!Print_Area</vt:lpstr>
      <vt:lpstr>'Phụ lục số 2'!Print_Area</vt:lpstr>
      <vt:lpstr>'Phụ lục số 3'!Print_Area</vt:lpstr>
      <vt:lpstr>'Phụ lục số 3.1'!Print_Area</vt:lpstr>
      <vt:lpstr>'Phụ lục số 4'!Print_Area</vt:lpstr>
      <vt:lpstr>'Phụ lục số 5'!Print_Area</vt:lpstr>
      <vt:lpstr>'Phụ lục số 6'!Print_Area</vt:lpstr>
      <vt:lpstr>'Phụ lục số 7'!Print_Area</vt:lpstr>
      <vt:lpstr>'Phụ lục số 8'!Print_Area</vt:lpstr>
      <vt:lpstr>'PL Thuyet minh đất'!Print_Area</vt:lpstr>
      <vt:lpstr>'PL3-CĐ6Thang'!Print_Area</vt:lpstr>
      <vt:lpstr>'PL3-CĐ6Thang-KBS'!Print_Area</vt:lpstr>
      <vt:lpstr>'PL-DP DU TRU'!Print_Area</vt:lpstr>
      <vt:lpstr>'PL-VAY TRA NO'!Print_Area</vt:lpstr>
      <vt:lpstr>'SO SANH (1) UTH2023-DT2024'!Print_Area</vt:lpstr>
      <vt:lpstr>'SO SANH-UTH2023-DT2024 (2)'!Print_Area</vt:lpstr>
      <vt:lpstr>Thu03nam!Print_Area</vt:lpstr>
      <vt:lpstr>'TỔNG CỘNG'!Print_Area</vt:lpstr>
      <vt:lpstr>'TỔNG HỢP-SNGD'!Print_Area</vt:lpstr>
      <vt:lpstr>'TP. CAO LÃNH'!Print_Area</vt:lpstr>
      <vt:lpstr>'TP. HỒNG NGỰ'!Print_Area</vt:lpstr>
      <vt:lpstr>'TP. SA ĐÉC'!Print_Area</vt:lpstr>
      <vt:lpstr>'Vốn ĐTC 2021-2025'!Print_Area</vt:lpstr>
      <vt:lpstr>'Biễu mẩu số 01-KTXH'!Print_Titles</vt:lpstr>
      <vt:lpstr>'Biểu số 37-CK-NSNN'!Print_Titles</vt:lpstr>
      <vt:lpstr>'Biểu số 38-CK-NSNN'!Print_Titles</vt:lpstr>
      <vt:lpstr>'Biểu số 39-CK-NSNN-ĐT'!Print_Titles</vt:lpstr>
      <vt:lpstr>'Biểu số 40-CK-NSNN'!Print_Titles</vt:lpstr>
      <vt:lpstr>'Biểu số 45-CK-NSNN-ĐT'!Print_Titles</vt:lpstr>
      <vt:lpstr>'CĐNSĐP03nam-BS'!Print_Titles</vt:lpstr>
      <vt:lpstr>ChiNSĐP03nam!Print_Titles</vt:lpstr>
      <vt:lpstr>'Phụ lục 5-CKNS'!Print_Titles</vt:lpstr>
      <vt:lpstr>'Phụ lục 5-HĐND'!Print_Titles</vt:lpstr>
      <vt:lpstr>'Phụ lục 6.1 Chi'!Print_Titles</vt:lpstr>
      <vt:lpstr>'Phụ lục 7.3-CĐCS'!Print_Titles</vt:lpstr>
      <vt:lpstr>'Phụ lục 9-CKNS'!Print_Titles</vt:lpstr>
      <vt:lpstr>'Phụ lục 9-HĐND'!Print_Titles</vt:lpstr>
      <vt:lpstr>'Phụ lục số 1'!Print_Titles</vt:lpstr>
      <vt:lpstr>'Phụ lục số 2'!Print_Titles</vt:lpstr>
      <vt:lpstr>'Phụ lục số 3'!Print_Titles</vt:lpstr>
      <vt:lpstr>'Phụ lục số 3.1'!Print_Titles</vt:lpstr>
      <vt:lpstr>'Phụ lục số 4'!Print_Titles</vt:lpstr>
      <vt:lpstr>'Phụ lục số 5'!Print_Titles</vt:lpstr>
      <vt:lpstr>'Phụ lục số 5.1 Thu'!Print_Titles</vt:lpstr>
      <vt:lpstr>'PL3-CĐ6Thang'!Print_Titles</vt:lpstr>
      <vt:lpstr>'PL3-CĐ6Thang-KBS'!Print_Titles</vt:lpstr>
      <vt:lpstr>'PL-VAY TRA NO'!Print_Titles</vt:lpstr>
      <vt:lpstr>Thu03nam!Print_Titles</vt:lpstr>
      <vt:lpstr>'Vốn ĐTC 2021-2025'!Print_Titles</vt:lpstr>
    </vt:vector>
  </TitlesOfParts>
  <Company>stc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Quang</dc:creator>
  <cp:lastModifiedBy>nghiabh</cp:lastModifiedBy>
  <cp:lastPrinted>2024-01-30T03:41:01Z</cp:lastPrinted>
  <dcterms:created xsi:type="dcterms:W3CDTF">2004-12-14T00:55:31Z</dcterms:created>
  <dcterms:modified xsi:type="dcterms:W3CDTF">2024-03-12T03:50:01Z</dcterms:modified>
</cp:coreProperties>
</file>